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sin TD" sheetId="1" r:id="rId4"/>
    <sheet state="visible" name="Maestra" sheetId="2" r:id="rId5"/>
    <sheet state="visible" name="Stock Empresa por Bodega" sheetId="3" r:id="rId6"/>
    <sheet state="visible" name="Resumen Maestra" sheetId="4" r:id="rId7"/>
    <sheet state="visible" name="Urban Maestra" sheetId="5" r:id="rId8"/>
    <sheet state="visible" name="Productos y Categorizacion" sheetId="6" r:id="rId9"/>
    <sheet state="visible" name="Empresa" sheetId="7" r:id="rId10"/>
    <sheet state="visible" name="CanalxKam" sheetId="8" r:id="rId11"/>
    <sheet state="hidden" name="Stock" sheetId="9" r:id="rId12"/>
    <sheet state="hidden" name="Resumen Stock" sheetId="10" r:id="rId13"/>
    <sheet state="hidden" name="Base Stk BSale" sheetId="11" r:id="rId14"/>
    <sheet state="hidden" name="Propuestas Falabella regalable" sheetId="12" r:id="rId15"/>
  </sheets>
  <definedNames>
    <definedName hidden="1" localSheetId="0" name="_xlnm._FilterDatabase">'Resumen sin TD'!$A$3:$Z$809</definedName>
    <definedName hidden="1" localSheetId="1" name="_xlnm._FilterDatabase">Maestra!$A$2:$R$770</definedName>
    <definedName hidden="1" localSheetId="2" name="_xlnm._FilterDatabase">'Stock Empresa por Bodega'!$A$1:$Z$4745</definedName>
    <definedName hidden="1" localSheetId="4" name="_xlnm._FilterDatabase">'Urban Maestra'!$B$4:$Z$482</definedName>
    <definedName hidden="1" localSheetId="5" name="_xlnm._FilterDatabase">'Productos y Categorizacion'!$A$1:$Z$7338</definedName>
    <definedName hidden="1" localSheetId="8" name="_xlnm._FilterDatabase">Stock!$A$2:$D$1669</definedName>
  </definedNames>
  <calcPr/>
  <pivotCaches>
    <pivotCache cacheId="0" r:id="rId16"/>
  </pivotCaches>
  <extLst>
    <ext uri="GoogleSheetsCustomDataVersion2">
      <go:sheetsCustomData xmlns:go="http://customooxmlschemas.google.com/" r:id="rId17" roundtripDataChecksum="fevthgEaqlBRXzWWnuDzFi8NsUda0axlpGVJjIkrsKo="/>
    </ext>
  </extLst>
</workbook>
</file>

<file path=xl/sharedStrings.xml><?xml version="1.0" encoding="utf-8"?>
<sst xmlns="http://schemas.openxmlformats.org/spreadsheetml/2006/main" count="117875" uniqueCount="18838">
  <si>
    <t>-</t>
  </si>
  <si>
    <t>Valores</t>
  </si>
  <si>
    <t>Costos B2B Según volumen</t>
  </si>
  <si>
    <t>Margenes B2B Según volumen</t>
  </si>
  <si>
    <t>Marca</t>
  </si>
  <si>
    <t>Categoria Padre</t>
  </si>
  <si>
    <t>Categoria Hijo</t>
  </si>
  <si>
    <t>Descripcion</t>
  </si>
  <si>
    <t>Sku</t>
  </si>
  <si>
    <t>Status MLL</t>
  </si>
  <si>
    <t>Precio Etiqueta</t>
  </si>
  <si>
    <t>Costo Oferta</t>
  </si>
  <si>
    <t>Costo MLL</t>
  </si>
  <si>
    <t>30+</t>
  </si>
  <si>
    <t>21 y 29</t>
  </si>
  <si>
    <t>10 y 20</t>
  </si>
  <si>
    <t>Bandú</t>
  </si>
  <si>
    <t>Accesorios de Bebe</t>
  </si>
  <si>
    <t>Mecedor Electrico Coche Recargable Bebe Baby Chick Bandú</t>
  </si>
  <si>
    <t>BDBBYCHK</t>
  </si>
  <si>
    <t>Mix MLL</t>
  </si>
  <si>
    <t>Jueguetes de Rol</t>
  </si>
  <si>
    <t>Cocina y Accesorios</t>
  </si>
  <si>
    <t>Casa De Muñecas Clásica Madera Rosada Con Accesorios Bandú</t>
  </si>
  <si>
    <t>BDCASMUÑEC</t>
  </si>
  <si>
    <t>Cocina de Juguete Infantil Niños Madera 11 Accesorios Bandú</t>
  </si>
  <si>
    <t>BDCOCMEDI</t>
  </si>
  <si>
    <t>Cocina de Juguete Infantil Niños Madera Accesorios Bandú</t>
  </si>
  <si>
    <t>BDCOCGRND</t>
  </si>
  <si>
    <t>Cocina de Juguete Infantil Niños Madera Rosada con Acc Bandú</t>
  </si>
  <si>
    <t>BDCOCPQMD</t>
  </si>
  <si>
    <t>Juguete Infantil mini Electrodomésticos Cocina Madera Bandú</t>
  </si>
  <si>
    <t>BDELECTCOC</t>
  </si>
  <si>
    <t>Set Juego Mini Cocina de Juguete Alimentos Madera Bandú</t>
  </si>
  <si>
    <t>BDCOCMIN</t>
  </si>
  <si>
    <t>Set Juego Pastelería Corta Postre Infantil Niño Madera Bandú</t>
  </si>
  <si>
    <t>BDSETPAST</t>
  </si>
  <si>
    <t>Set Juego Tazas De Té Juguete Didáctico 16pcs Madera Bandú</t>
  </si>
  <si>
    <t>BDJUESETTE</t>
  </si>
  <si>
    <t>Juegos de Oficio</t>
  </si>
  <si>
    <t>Set Juego de Roles Doctor Niños Madera 12 pcs Bandú</t>
  </si>
  <si>
    <t>BDSETDOC</t>
  </si>
  <si>
    <t>Maquillaje y Belleza</t>
  </si>
  <si>
    <t>Juego de Maquillaje Set Belleza de Roll Niños Madera Bandú</t>
  </si>
  <si>
    <t>BDSETMAQ</t>
  </si>
  <si>
    <t>Tocador Infantil Para Niñas Espejo Maquillaje Madera Bandú</t>
  </si>
  <si>
    <t>BDTOCMD-WH</t>
  </si>
  <si>
    <t>Juguetes de Armado</t>
  </si>
  <si>
    <t>Pistas y Vehiculos</t>
  </si>
  <si>
    <t>Pista de Autos y Tren de Madera Juego Didactico 70pcs Bandú</t>
  </si>
  <si>
    <t>BDJUETRE</t>
  </si>
  <si>
    <t>Set Autos de Juguete Tren Pista y Señaleticas Madera Bandú</t>
  </si>
  <si>
    <t>BDJUEAUT</t>
  </si>
  <si>
    <t>Sets de Construccion</t>
  </si>
  <si>
    <t>Juego de Construcción Herramientas Madera para Niños Bandú</t>
  </si>
  <si>
    <t>BDMESHERRA</t>
  </si>
  <si>
    <t>Juguetes de Motricidad</t>
  </si>
  <si>
    <t>Andador y Correpasillos</t>
  </si>
  <si>
    <t>Andador Correpasillos Bebe Didáctico Madera Bandú Rosado</t>
  </si>
  <si>
    <t>BDANDDIDAC-PK</t>
  </si>
  <si>
    <t>Andador Correpasillos Bebe Didáctico Madera Bandú Verde</t>
  </si>
  <si>
    <t>BDANDDIDAC-GR</t>
  </si>
  <si>
    <t>Andador Correpasillos Bebe Juego Construccion Madera Bandú</t>
  </si>
  <si>
    <t>BNANDCONTRU</t>
  </si>
  <si>
    <t>Didacticos</t>
  </si>
  <si>
    <t>Mesa Didactica de Juguete 7 en 1 Montessori Animales Bandú</t>
  </si>
  <si>
    <t>BDMESDIDAC</t>
  </si>
  <si>
    <t>⁠MineBlocks Aventura en Hielo 89pcs - Bandú</t>
  </si>
  <si>
    <t>BDMBAVTHIE</t>
  </si>
  <si>
    <t>⁠⁠MineBlocks Mundo Mario 75pcs - Bandú</t>
  </si>
  <si>
    <t>BDMBMNMRIO</t>
  </si>
  <si>
    <t>⁠⁠MineBlocks Súper Aventura Mario 146pcs - Bandú</t>
  </si>
  <si>
    <t>BDMBSPAVMRIO</t>
  </si>
  <si>
    <t>MineBlocks Fondo Marino Bob Esponja 54pcs - Bandú</t>
  </si>
  <si>
    <t>BDMBBOESP</t>
  </si>
  <si>
    <t>MineBlocks Ciudad Magnética 114pcs - Bandú</t>
  </si>
  <si>
    <t>BDMBCIUMG</t>
  </si>
  <si>
    <t>Escalada y Equilibrio</t>
  </si>
  <si>
    <t>Torre Aprendizaje Infantil Pikler Escalada Montessori Bandú</t>
  </si>
  <si>
    <t>BDMROBLDESC</t>
  </si>
  <si>
    <t>(en blanco)</t>
  </si>
  <si>
    <t>Juego Heladería Infantil Niños Madera Bandú</t>
  </si>
  <si>
    <t>BDHELMAD</t>
  </si>
  <si>
    <t>Gimancio Infantil Juego Pikler Parque 8 en 1 Bandu</t>
  </si>
  <si>
    <t>BDGIMPIK</t>
  </si>
  <si>
    <t>Total Bandú</t>
  </si>
  <si>
    <t>Dynamo Tools</t>
  </si>
  <si>
    <t>Herramientas Eléctricas</t>
  </si>
  <si>
    <t>Otras</t>
  </si>
  <si>
    <t>Hidrolavadora eléctrica Dynamo WP 1800w 130bar 220/240V 60Hz</t>
  </si>
  <si>
    <t>DYNHYDLA</t>
  </si>
  <si>
    <t>Taladro y Atornilladores</t>
  </si>
  <si>
    <t xml:space="preserve">Kit Taladro Destornillador Inalámbrico Dynamo 21v 2 Baterías
</t>
  </si>
  <si>
    <t>DYNTALSPER</t>
  </si>
  <si>
    <t>Llave de Impacto Inalámbrica Dynamo 21V + 2 Baterias y Acss</t>
  </si>
  <si>
    <t>DYNLLAIMP</t>
  </si>
  <si>
    <t>Pack Taladro Percutor + Atornillador de Impacto 21V Dynamo</t>
  </si>
  <si>
    <t>DYNTALIMPA</t>
  </si>
  <si>
    <t>Taladro Desatornillador Inalámbrico Dynamo YM 21V 2 baterías</t>
  </si>
  <si>
    <t>DYNTALSCA</t>
  </si>
  <si>
    <t>Taladro Inalámbrico Dynamo Rotomartillo Percutor 2 Baterías</t>
  </si>
  <si>
    <t>DYNTALPOW</t>
  </si>
  <si>
    <t>Taladro Percutor Inalámbrico Dynamo 21v 2 Baterías + Accs</t>
  </si>
  <si>
    <t>DYNTALCPER</t>
  </si>
  <si>
    <t>Total Dynamo Tools</t>
  </si>
  <si>
    <t>Innovate-K</t>
  </si>
  <si>
    <t>Gasfiteria</t>
  </si>
  <si>
    <t>Baroscopios</t>
  </si>
  <si>
    <t>Cámara de inspección alcantarillado con pantalla LCD de 7 pulgadas H6 endoscopio boroscopio</t>
  </si>
  <si>
    <t>Cámara de Inspección Baroscopio 512 Hz con Sonda 20 Mts H5</t>
  </si>
  <si>
    <t>INNCAMINSH5512-20</t>
  </si>
  <si>
    <t>Cámara de Inspección Baroscopio con Sonda 20 Mts H5</t>
  </si>
  <si>
    <t>INNCAMINSH5-20</t>
  </si>
  <si>
    <t>Cámara de Inspección Baroscopio con Sonda 40 Mts H6</t>
  </si>
  <si>
    <t>INNCAMINSH6-40</t>
  </si>
  <si>
    <t>Cámara de Inspección Baroscopio con Sonda 40 Mts TP9200</t>
  </si>
  <si>
    <t>INCAMINS92-40</t>
  </si>
  <si>
    <t>Cámara de Inspección de Tuberías Endoscopio Industrial TP9600</t>
  </si>
  <si>
    <t>INNCAMINS-96</t>
  </si>
  <si>
    <t>Cámara de Inspección de Tuberías Endoscopio Industrial TP9607F</t>
  </si>
  <si>
    <t>INNCAMINS-7F</t>
  </si>
  <si>
    <t>Cámara de Inspección de Tuberías Endoscopio Industrial U9</t>
  </si>
  <si>
    <t>INNCAMINS-U9</t>
  </si>
  <si>
    <t>Cámara de Inspección Baroscopio con Sonda 70 Mts H3</t>
  </si>
  <si>
    <t>INNCAMINSH3-70</t>
  </si>
  <si>
    <t>Cámara de Inspección Baroscopio con Sonda 20 Mts TP9200</t>
  </si>
  <si>
    <t>Hogar</t>
  </si>
  <si>
    <t>Accesorios para Baño</t>
  </si>
  <si>
    <t>Secador De Toallas Pedestal 6 Niveles</t>
  </si>
  <si>
    <t>Total Innovate-K</t>
  </si>
  <si>
    <t>Klip Klap</t>
  </si>
  <si>
    <t>Instrumentos Musicales</t>
  </si>
  <si>
    <t>Metalofonos</t>
  </si>
  <si>
    <t>Metalofono Cromatico 25 infantil Amarillo</t>
  </si>
  <si>
    <t>Descontinuado</t>
  </si>
  <si>
    <t>Metalofono Cromatico 25 infantil Azul</t>
  </si>
  <si>
    <t>Metalofono Cromatico 25 infantil Rojo</t>
  </si>
  <si>
    <t>Metalofono Cromatico 25 infantil Rosado</t>
  </si>
  <si>
    <t>Total Klip Klap</t>
  </si>
  <si>
    <t>LEVO</t>
  </si>
  <si>
    <t>Accesorios</t>
  </si>
  <si>
    <t>Cable Cargador</t>
  </si>
  <si>
    <t>Cable USB Tipo-C a Lightning blanco</t>
  </si>
  <si>
    <t>LVCABTCLIGH-WH</t>
  </si>
  <si>
    <t>Cable USB Tipo-C a Tipo-C (5A) blanco</t>
  </si>
  <si>
    <t>LVCABTC-WH</t>
  </si>
  <si>
    <t>Cable USB Tipo-C a Tipo-C (5A) negro</t>
  </si>
  <si>
    <t>LVCABTC-BK</t>
  </si>
  <si>
    <t>Cargador Automovil</t>
  </si>
  <si>
    <t>Soporte Cargador Magnético V+</t>
  </si>
  <si>
    <t>Soporte Cargador Magnético VO1</t>
  </si>
  <si>
    <t>Cargador de Celular</t>
  </si>
  <si>
    <t>Cargador Rapido 25W Blanco</t>
  </si>
  <si>
    <t>LVCAR25W-WH</t>
  </si>
  <si>
    <t>Cargador Rapido 25W Negro</t>
  </si>
  <si>
    <t>LVCAR25W-BK</t>
  </si>
  <si>
    <t>Cargador Ultra Rapido 45 W Blanco</t>
  </si>
  <si>
    <t>LVCAR45W-WH</t>
  </si>
  <si>
    <t>Cargador Ultra Rapido 45 W Negro</t>
  </si>
  <si>
    <t>LVCAR45W-BK</t>
  </si>
  <si>
    <t>Dispositivo Multipuerto</t>
  </si>
  <si>
    <t>Hub multipuerto Tipo-C 5 puertos con entrada Ethernet</t>
  </si>
  <si>
    <t>LVHUBMP-5</t>
  </si>
  <si>
    <t>Hub multipuerto Tipo-C 6 puertos con entrada TF y SD</t>
  </si>
  <si>
    <t>LVHUBMP-6</t>
  </si>
  <si>
    <t>Mochilas y Fundas</t>
  </si>
  <si>
    <t>Fundas</t>
  </si>
  <si>
    <t>Funda Maletin Notebook EXECUTIVE Gris 15,6" LEVO</t>
  </si>
  <si>
    <t>LVFUEX-GR</t>
  </si>
  <si>
    <t>Funda Maletin Notebook EXECUTIVE Negro 15,6" LEVO</t>
  </si>
  <si>
    <t>LVFUEX-BK</t>
  </si>
  <si>
    <t>Funda Notebook Hardshell 13,3</t>
  </si>
  <si>
    <t>LVFNOTHS13-BK</t>
  </si>
  <si>
    <t>Funda Notebook Hardshell 15,6</t>
  </si>
  <si>
    <t>LVFNOTHS15-BK</t>
  </si>
  <si>
    <t>Mochilas</t>
  </si>
  <si>
    <t>Mochila de Viaje AeroSuite 30 L Negra LEVO</t>
  </si>
  <si>
    <t>LVMOVITR-BK</t>
  </si>
  <si>
    <t>Mochila LEVO Computador Gris</t>
  </si>
  <si>
    <t>Mix B2B</t>
  </si>
  <si>
    <t>Mochila LEVO Computador Negro</t>
  </si>
  <si>
    <t>Mochila Notebook MANAGER Gris LEVO</t>
  </si>
  <si>
    <t>LVMOMA-GR</t>
  </si>
  <si>
    <t>Mochila Notebook MANAGER Negra LEVO</t>
  </si>
  <si>
    <t>LVMOMA-BK</t>
  </si>
  <si>
    <t>Mochila Notebook WOLF Negra LEVO</t>
  </si>
  <si>
    <t>LVMOWO-BK</t>
  </si>
  <si>
    <t>Pantallas</t>
  </si>
  <si>
    <t>Monitores</t>
  </si>
  <si>
    <t>Monitor Portatil ViewGo LEVO</t>
  </si>
  <si>
    <t>LVMONPOR-15</t>
  </si>
  <si>
    <t>Pantalla Monitor Portátil 15.6 LED NexView Full HD LEVO</t>
  </si>
  <si>
    <t>LVMONEXV-15</t>
  </si>
  <si>
    <t>Transito</t>
  </si>
  <si>
    <t>Pantallas Publicitarias</t>
  </si>
  <si>
    <t>Pantalla Totem Publicitario 43" Touch Android Wifi Usb LEVO</t>
  </si>
  <si>
    <t>LVPANTOTPUB-43</t>
  </si>
  <si>
    <t>Pantalla Totem Publicitario 50" Touch Android Wifi Usb LEVO</t>
  </si>
  <si>
    <t>LVPANTOTPUB-50</t>
  </si>
  <si>
    <t>Perifericos de Computacion</t>
  </si>
  <si>
    <t>Gaming</t>
  </si>
  <si>
    <t>Audífono Gamer RGB Thunder</t>
  </si>
  <si>
    <t>Audifono Gamer Zenit Elite Wireless 7.1 LEVO</t>
  </si>
  <si>
    <t>LVAUDGM-BK</t>
  </si>
  <si>
    <t>Mouse Gamer LED</t>
  </si>
  <si>
    <t>Mousepad LEVO BattleMat XXL Negro</t>
  </si>
  <si>
    <t>LVMPADXXL-BK</t>
  </si>
  <si>
    <t>Teclado Gamer NovaBlade Red Switch Mecanico LEVO</t>
  </si>
  <si>
    <t>LVTECMCC-BK</t>
  </si>
  <si>
    <t>Teclado Gamer RGB Storm</t>
  </si>
  <si>
    <t>Vr Box</t>
  </si>
  <si>
    <t>Vr Box Ultra + audifonos</t>
  </si>
  <si>
    <t>Control Gamer Inalámbrico PC</t>
  </si>
  <si>
    <t>Joystick Inalámbrico Dualshock 4</t>
  </si>
  <si>
    <t>Joystick Inalámbrico Dualshock 4 ROJO</t>
  </si>
  <si>
    <t>Pro Control Nintendo Switch NEGRO</t>
  </si>
  <si>
    <t>LVCONSW-BK</t>
  </si>
  <si>
    <t>Pro Controller Inalámbrico Nintendo S</t>
  </si>
  <si>
    <t>Mouse Inalámbrico Gamer NovaStrike Negro LEVO</t>
  </si>
  <si>
    <t>LVMSGMNS-BK</t>
  </si>
  <si>
    <t>Audifono Gamer Zenit Elite Wireless 7.1 Blanco LEVO</t>
  </si>
  <si>
    <t>LVAUDGM-WH</t>
  </si>
  <si>
    <t>Mousepad BattleMat L Negro LEVO</t>
  </si>
  <si>
    <t>LVMPADL-BK</t>
  </si>
  <si>
    <t>Oficina</t>
  </si>
  <si>
    <t>Kit Teclado y Mouse Inalámbrico Blanco</t>
  </si>
  <si>
    <t>Silla Ejecutiva Negra</t>
  </si>
  <si>
    <t>Silla Escritorio Ergonomica</t>
  </si>
  <si>
    <t>LVSILLERGO-BL</t>
  </si>
  <si>
    <t>Silla Gamer Negro-Roja</t>
  </si>
  <si>
    <t>Teclado Inalambrico Slim LEVO Cygna Grafito</t>
  </si>
  <si>
    <t>LVTECOFSL-GR</t>
  </si>
  <si>
    <t>Mouse Inalámbrico Slim Velar Grafito LEVO</t>
  </si>
  <si>
    <t>LVMSVEL-GR</t>
  </si>
  <si>
    <t>KIT Transmisiones Sonidos</t>
  </si>
  <si>
    <t>LVMICPORT</t>
  </si>
  <si>
    <t>Mousepad OfficePad S Negro LEVO</t>
  </si>
  <si>
    <t>LVMPADS-BK</t>
  </si>
  <si>
    <t>Silla de Escritorio Lite Ergonómica LEVO</t>
  </si>
  <si>
    <t>LVSILLLIT-BL</t>
  </si>
  <si>
    <t>Smart Home</t>
  </si>
  <si>
    <t>Aspiradoras</t>
  </si>
  <si>
    <t>Aspiradora Inalámbrica XPIRA</t>
  </si>
  <si>
    <t>Cámaras de automovil</t>
  </si>
  <si>
    <t>Cámara de Auto Dual D3</t>
  </si>
  <si>
    <t>Dual Camara con GPS R300</t>
  </si>
  <si>
    <t>Cámaras de seguridad</t>
  </si>
  <si>
    <t>Cámara de Seguridad Exterior 5G Wifi Negra LEVO</t>
  </si>
  <si>
    <t>LVCAMSEGEX-BK</t>
  </si>
  <si>
    <t>Citofonia</t>
  </si>
  <si>
    <t>Citofono monitor</t>
  </si>
  <si>
    <t>LVCITMON01</t>
  </si>
  <si>
    <t>Citofono Monitor WIFI</t>
  </si>
  <si>
    <t>LVCITMONWF</t>
  </si>
  <si>
    <t>Pesas Digitales</t>
  </si>
  <si>
    <t>Pesa Digital Balanza Blanca Inteligente</t>
  </si>
  <si>
    <t>Pesa Digital Balanza Negra Inteligente</t>
  </si>
  <si>
    <t>Soportes</t>
  </si>
  <si>
    <t>Soportes de Television</t>
  </si>
  <si>
    <t>Soporte TV 32"-80"</t>
  </si>
  <si>
    <t>LVSPTVUN</t>
  </si>
  <si>
    <t>Soportes de Computador</t>
  </si>
  <si>
    <t>Soporte Brazo Doble Monitor Notebook Escritorio Negro LEVO</t>
  </si>
  <si>
    <t>LVSPMONDOB</t>
  </si>
  <si>
    <t>Soporte Base Alzador Notebook Plegable Ajustable Gris LEVO</t>
  </si>
  <si>
    <t>LVSPNOTFIJ</t>
  </si>
  <si>
    <t>Telones y Proyectores</t>
  </si>
  <si>
    <t>Proyectores</t>
  </si>
  <si>
    <t>Proyector LED Focus Mini</t>
  </si>
  <si>
    <t>Proyector Led Portátil 360º Full HD Home Cinema LEVO</t>
  </si>
  <si>
    <t>Proyector Led portatil Halo HD</t>
  </si>
  <si>
    <t>LVPROHAL</t>
  </si>
  <si>
    <t>Proyector Led Portátil HD LCD LEVO</t>
  </si>
  <si>
    <t>Proyector Led portatil Orion FullHD</t>
  </si>
  <si>
    <t>LVPROORI</t>
  </si>
  <si>
    <t>Proyector Led inalambrico portatil HD max lumix</t>
  </si>
  <si>
    <t>LVPROLUM</t>
  </si>
  <si>
    <t>Proyector Led portatil Nova FullHD</t>
  </si>
  <si>
    <t>LVPRONOV</t>
  </si>
  <si>
    <t>Proyector LED Portátil Infinity SMART Full HD LEVO</t>
  </si>
  <si>
    <t>Proyector Portatil Smart Hexa FullHD LEVO</t>
  </si>
  <si>
    <t>LVPROHEX</t>
  </si>
  <si>
    <t>Telones Proyector</t>
  </si>
  <si>
    <t>Telon Proyector 100 Electrico</t>
  </si>
  <si>
    <t>LVTELELE-100</t>
  </si>
  <si>
    <t>Telon Proyector 100 pulgadas</t>
  </si>
  <si>
    <t>Telon Proyector 60 Electrico</t>
  </si>
  <si>
    <t>LVTELELE-60</t>
  </si>
  <si>
    <t>Telon Proyector 60 pulgadas</t>
  </si>
  <si>
    <t>Telon Proyector 80 Electrico</t>
  </si>
  <si>
    <t>LVTELELE-80</t>
  </si>
  <si>
    <t>Telon Proyector 80 pulgadas</t>
  </si>
  <si>
    <t>LVTEL-80</t>
  </si>
  <si>
    <t>Telon Proyector 100 Plegable 200 x 150 cm</t>
  </si>
  <si>
    <t>LVTELRETR-100</t>
  </si>
  <si>
    <t>Telon Proyector 100 pulgadas Negro LEVO</t>
  </si>
  <si>
    <t>LVTELBK-100</t>
  </si>
  <si>
    <t>Telon Proyector 80 pulgadas Negro LEVO</t>
  </si>
  <si>
    <t>LVTELBK-80</t>
  </si>
  <si>
    <t>Telon Proyector 60 pulgadas Negro LEVO</t>
  </si>
  <si>
    <t>LVTELBK-60</t>
  </si>
  <si>
    <t>Total LEVO</t>
  </si>
  <si>
    <t>Lhotse</t>
  </si>
  <si>
    <t>Accesorio Vestuario</t>
  </si>
  <si>
    <t>Calcetines</t>
  </si>
  <si>
    <t>Calcetin Deportivo Corte Tobillo Running Vora Lhotse Gray Melange S-M</t>
  </si>
  <si>
    <t>LHCALBAJGRMS-M</t>
  </si>
  <si>
    <t>Calcetin Deportivo Corte Tobillo Running Vora Lhotse Gray Melange L-XL</t>
  </si>
  <si>
    <t>LHCALBAJGRML-XL</t>
  </si>
  <si>
    <t>Calcetin Deportivo Corte Tobillo Running Vora Lhotse Black S-M</t>
  </si>
  <si>
    <t>LHCALBAJBKS-M</t>
  </si>
  <si>
    <t>Calcetin Deportivo Corte Tobillo Running Vora Lhotse Black L-XL</t>
  </si>
  <si>
    <t>LHCALBAJBKL-XL</t>
  </si>
  <si>
    <t>Calcetin Deportivo Corte Tobillo Running Vora Lhotse White S-M</t>
  </si>
  <si>
    <t>LHCALBAJWHS-M</t>
  </si>
  <si>
    <t>Calcetin Deportivo Corte Tobillo Running Vora Lhotse White L-XL</t>
  </si>
  <si>
    <t>LHCALBAJWHL-XL</t>
  </si>
  <si>
    <t>Calcetin Deportivo Corte Medio Trail Numa Lhotse Beige S-M</t>
  </si>
  <si>
    <t>LHCALTOBGRS-M</t>
  </si>
  <si>
    <t>Calcetin Deportivo Corte Medio Trail Numa Lhotse Beige L-XL</t>
  </si>
  <si>
    <t>LHCALTOBGRL-XL</t>
  </si>
  <si>
    <t>Calcetin Deportivo Corte Medio Trail Numa Lhotse Green S-M</t>
  </si>
  <si>
    <t>LHCALTOBGRES-M</t>
  </si>
  <si>
    <t>Calcetin Deportivo Corte Medio Trail Numa Lhotse Green L-XL</t>
  </si>
  <si>
    <t>LHCALTOBGREL-XL</t>
  </si>
  <si>
    <t>Calcetin Deportivo Corte Medio Trail Numa Lhotse Black S-M</t>
  </si>
  <si>
    <t>LHCALTOBBKS-M</t>
  </si>
  <si>
    <t>Calcetin Deportivo Corte Medio Trail Numa Lhotse Black L-XL</t>
  </si>
  <si>
    <t>LHCALTOBBKL-XL</t>
  </si>
  <si>
    <t>Calcetin Deportivo Corte Largo Trekking Andor Lhotse Gray Melange S-M</t>
  </si>
  <si>
    <t>LHCALMEDGRMS-M</t>
  </si>
  <si>
    <t>Calcetin Deportivo Corte Largo Trekking Andor Lhotse Gray Melange L-XL</t>
  </si>
  <si>
    <t>LHCALMEDGRML-XL</t>
  </si>
  <si>
    <t>Calcetin Deportivo Corte Largo Trekking Andor Lhotse Blue S-M</t>
  </si>
  <si>
    <t>LHCALMEDBLS-M</t>
  </si>
  <si>
    <t>Calcetin Deportivo Corte Largo Trekking Andor Blue L-XL</t>
  </si>
  <si>
    <t>LHCALMEDBLL-XL</t>
  </si>
  <si>
    <t>Calcetin Deportivo Corte Largo Trekking Andor Earth S-M</t>
  </si>
  <si>
    <t>LHCALMEDEAS-M</t>
  </si>
  <si>
    <t>Calcetin Deportivo Corte Largo Trekking Andor Earth L-XL</t>
  </si>
  <si>
    <t>LHCALMEDEAL-XL</t>
  </si>
  <si>
    <t>Calcetin Deportivo Corte Largo Trekking Andor Black S-M</t>
  </si>
  <si>
    <t>LHCALMEDBKS-M</t>
  </si>
  <si>
    <t>Calcetin Deportivo Corte Largo Trekking Andor Black L-XL</t>
  </si>
  <si>
    <t>LHCALMEDBKL-XL</t>
  </si>
  <si>
    <t>Jockey</t>
  </si>
  <si>
    <t>Jockey Ride Algodón Black/Green Lhotse</t>
  </si>
  <si>
    <t>LHJOKRD-BK</t>
  </si>
  <si>
    <t>Jockey Ride Algodón Blue/Black/Beige Lhotse</t>
  </si>
  <si>
    <t>LHJOKRD-ML</t>
  </si>
  <si>
    <t>Jockey Ride Algodón Green Lhotse</t>
  </si>
  <si>
    <t>LHJOKRD-GR</t>
  </si>
  <si>
    <t>Jockey Wave Algodón Black/Green Lhotse</t>
  </si>
  <si>
    <t>LHJOKWV-BK</t>
  </si>
  <si>
    <t>Jockey Wave Algodón Green Lhotse</t>
  </si>
  <si>
    <t>LHJOKWV-GR</t>
  </si>
  <si>
    <t>Jockey FlexFlow Dri Fit Black Lhotse</t>
  </si>
  <si>
    <t>LHJOKFLF-BK</t>
  </si>
  <si>
    <t>Jockey FlexFlow Dri Fit Blue Lhotse</t>
  </si>
  <si>
    <t>LHJOKFLF-BL</t>
  </si>
  <si>
    <t>Jockey FlexFlow Dri Fit Green Lhotse</t>
  </si>
  <si>
    <t>LHJOKFLF-GR</t>
  </si>
  <si>
    <t>Jockey Hike Black</t>
  </si>
  <si>
    <t>LHJOKHIK-BK</t>
  </si>
  <si>
    <t>Jockey Hike Green/Beige</t>
  </si>
  <si>
    <t>LHJOKHIK-GR</t>
  </si>
  <si>
    <t>Jockey Hike Green/Black</t>
  </si>
  <si>
    <t>LHJOKHIK-GB</t>
  </si>
  <si>
    <t>Jockey Trekker Black</t>
  </si>
  <si>
    <t>LHJOKTRE-BK</t>
  </si>
  <si>
    <t>Jockey Trekker Green</t>
  </si>
  <si>
    <t>LHJOKTRE-GR</t>
  </si>
  <si>
    <t>Jockey Trekker Orange</t>
  </si>
  <si>
    <t>LHJOKTRE-OR</t>
  </si>
  <si>
    <t>Pantuflas</t>
  </si>
  <si>
    <t>Pantufla CloudFit Azul 36/37</t>
  </si>
  <si>
    <t>LHPANCLOBL36-37</t>
  </si>
  <si>
    <t>Pantufla CloudFit Azul 38/39</t>
  </si>
  <si>
    <t>LHPANCLOBL38-39</t>
  </si>
  <si>
    <t>Pantufla CloudFit Azul 40/41</t>
  </si>
  <si>
    <t>LHPANCLOBL40-41</t>
  </si>
  <si>
    <t>Pantufla CloudFit Azul 42/43</t>
  </si>
  <si>
    <t>LHPANCLOBL42-43</t>
  </si>
  <si>
    <t>Pantufla CloudFit Azul 44/45</t>
  </si>
  <si>
    <t>LHPANCLOBL44-45</t>
  </si>
  <si>
    <t>Pantufla CloudFit Negro 36/37</t>
  </si>
  <si>
    <t>LHPANCLOBK36-37</t>
  </si>
  <si>
    <t>Pantufla CloudFit Negro 38/39</t>
  </si>
  <si>
    <t>LHPANCLOBK38-39</t>
  </si>
  <si>
    <t>Pantufla CloudFit Negro 40/41</t>
  </si>
  <si>
    <t>LHPANCLOBK40-41</t>
  </si>
  <si>
    <t>Pantufla CloudFit Negro 42/43</t>
  </si>
  <si>
    <t>LHPANCLOBK42-43</t>
  </si>
  <si>
    <t>Pantufla CloudFit Negro 44/45</t>
  </si>
  <si>
    <t>LHPANCLOBK44-45</t>
  </si>
  <si>
    <t>Pantufla CloudFit Verde 36/37</t>
  </si>
  <si>
    <t>LHPANCLOGR36-37</t>
  </si>
  <si>
    <t>Pantufla CloudFit Verde 38/39</t>
  </si>
  <si>
    <t>LHPANCLOGR38-39</t>
  </si>
  <si>
    <t>Pantufla CloudFit Verde 40/41</t>
  </si>
  <si>
    <t>LHPANCLOGR40-41</t>
  </si>
  <si>
    <t>Pantufla CloudFit Verde 42/43</t>
  </si>
  <si>
    <t>LHPANCLOGR42-43</t>
  </si>
  <si>
    <t>Pantufla CloudFit Verde 44/45</t>
  </si>
  <si>
    <t>LHPANCLOGR44-45</t>
  </si>
  <si>
    <t>Pantuflas Térmicas Nimbus Suela CloudGrip Outdoor Black Camo 36/37</t>
  </si>
  <si>
    <t>LHPANIMBKCM-36/37</t>
  </si>
  <si>
    <t>Pantuflas Térmicas Nimbus Suela CloudGrip Outdoor Black Camo 38/39</t>
  </si>
  <si>
    <t>LHPANIMBKCM-38/39</t>
  </si>
  <si>
    <t>Pantuflas Térmicas Nimbus Suela CloudGrip Outdoor Black Camo 40/41</t>
  </si>
  <si>
    <t>LHPANIMBKCM-40/41</t>
  </si>
  <si>
    <t>Pantuflas Térmicas Nimbus Suela CloudGrip Outdoor Black Camo 42/43</t>
  </si>
  <si>
    <t>LHPANIMBKCM-42/43</t>
  </si>
  <si>
    <t>Pantuflas Térmicas Nimbus Suela CloudGrip Outdoor Black Camo 44/45</t>
  </si>
  <si>
    <t>LHPANIMBKCM-44/45</t>
  </si>
  <si>
    <t>Pantuflas Térmicas Nimbus Suela CloudGrip Outdoor Black 36/37</t>
  </si>
  <si>
    <t>LHPANIMBKBK-36/37</t>
  </si>
  <si>
    <t>Pantuflas Térmicas Nimbus Suela CloudGrip Outdoor Black 38/39</t>
  </si>
  <si>
    <t>LHPANIMBKBK-38/39</t>
  </si>
  <si>
    <t>Pantuflas Térmicas Nimbus Suela CloudGrip Outdoor Black 40/41</t>
  </si>
  <si>
    <t>LHPANIMBKBK-40/41</t>
  </si>
  <si>
    <t>Pantuflas Térmicas Nimbus Suela CloudGrip Outdoor Black 42/43</t>
  </si>
  <si>
    <t>LHPANIMBKBK-42/43</t>
  </si>
  <si>
    <t>Pantuflas Térmicas Nimbus Suela CloudGrip Outdoor Black 44/45</t>
  </si>
  <si>
    <t>LHPANIMBKBK-44/45</t>
  </si>
  <si>
    <t>Pantuflas Térmicas Nimbus Suela CloudGrip Outdoor Pink 34/35</t>
  </si>
  <si>
    <t>LHPANIMPK-34/35</t>
  </si>
  <si>
    <t>Pantuflas Térmicas Nimbus Suela CloudGrip Outdoor Pink 36/37</t>
  </si>
  <si>
    <t>LHPANIMPK-36/37</t>
  </si>
  <si>
    <t>Pantuflas Térmicas Nimbus Suela CloudGrip Outdoor Pink 38/39</t>
  </si>
  <si>
    <t>LHPANIMPK-38/39</t>
  </si>
  <si>
    <t>Pantuflas Térmicas Nimbus Suela CloudGrip Outdoor Pink 40/41</t>
  </si>
  <si>
    <t>LHPANIMPK-40/41</t>
  </si>
  <si>
    <t>Pantuflas Térmicas Nimbus Suela CloudGrip Outdoor Smoky Lila 34/35</t>
  </si>
  <si>
    <t>LHPANIMSLIL-34/35</t>
  </si>
  <si>
    <t>Pantuflas Térmicas Nimbus Suela CloudGrip Outdoor Smoky Lila 36/37</t>
  </si>
  <si>
    <t>LHPANIMSLIL-36/37</t>
  </si>
  <si>
    <t>Pantuflas Térmicas Nimbus Suela CloudGrip Outdoor Smoky Lila 38/39</t>
  </si>
  <si>
    <t>LHPANIMSLIL-38/39</t>
  </si>
  <si>
    <t>Pantuflas Térmicas Nimbus Suela CloudGrip Outdoor Smoky Lila 40/41</t>
  </si>
  <si>
    <t>LHPANIMSLIL-40/41</t>
  </si>
  <si>
    <t>Pantuflas Térmicas Nimbus Suela CloudGrip Outdoor Smoky Green 36/37</t>
  </si>
  <si>
    <t>LHPANIMSGR-36/37</t>
  </si>
  <si>
    <t>Pantuflas Térmicas Nimbus Suela CloudGrip Outdoor Smoky Green 38/39</t>
  </si>
  <si>
    <t>LHPANIMSGR-38/39</t>
  </si>
  <si>
    <t>Pantuflas Térmicas Nimbus Suela CloudGrip Outdoor Smoky Green 40/41</t>
  </si>
  <si>
    <t>LHPANIMSGR-40/41</t>
  </si>
  <si>
    <t>Pantuflas Térmicas Nimbus Suela CloudGrip Outdoor Smoky Green 42/43</t>
  </si>
  <si>
    <t>LHPANIMSGR-42/43</t>
  </si>
  <si>
    <t>Pantuflas Térmicas Nimbus Suela CloudGrip Outdoor Smoky Green 44/45</t>
  </si>
  <si>
    <t>LHPANIMSGR-44/45</t>
  </si>
  <si>
    <t>Toalla</t>
  </si>
  <si>
    <t>Toalla Secado Rapido Microfibra QuickTrek Blue (80*130cm)</t>
  </si>
  <si>
    <t>LHTOAMIC-BL</t>
  </si>
  <si>
    <t>Toalla Secado Rapido Microfibra QuickTrek Lilac (80*130cm)</t>
  </si>
  <si>
    <t>LHTOAMIC-LIL</t>
  </si>
  <si>
    <t>Audio Menor</t>
  </si>
  <si>
    <t>Audífonos</t>
  </si>
  <si>
    <t>Audífonos Bluetooth Rm12 Blanco</t>
  </si>
  <si>
    <t>Audífonos Bluetooth Rm12 Celeste</t>
  </si>
  <si>
    <t>Audífonos Bluetooth Rm12 Negro</t>
  </si>
  <si>
    <t>Audífonos Bluetooth Rm12 Rosados</t>
  </si>
  <si>
    <t>Audífonos Bluetooth RM7 Pro Blanco</t>
  </si>
  <si>
    <t>Audífonos Bluetooth RM7 Pro Negro</t>
  </si>
  <si>
    <t>Audifonos Deportivo Bluetooth RM5</t>
  </si>
  <si>
    <t>Audifonos Deportivos FitBuds T1 Black</t>
  </si>
  <si>
    <t>LHAUDFIBUD-BK</t>
  </si>
  <si>
    <t>Audífonos RM7 Pro Inalámbrico Celeste</t>
  </si>
  <si>
    <t>Audífonos RM7 Pro Inalámbrico Rosado</t>
  </si>
  <si>
    <t>Audifonos BeatMaster NC1 Black</t>
  </si>
  <si>
    <t>LHHEDBEMA-BK</t>
  </si>
  <si>
    <t>Audifonos BeatMaster NC1 Cream</t>
  </si>
  <si>
    <t>LHHEDBEMA-KH</t>
  </si>
  <si>
    <t>Audifonos On Ear Tuneair T5 Black</t>
  </si>
  <si>
    <t>LHAUDTUNAIR-BK</t>
  </si>
  <si>
    <t>Audifonos Over Ear WavePro Black</t>
  </si>
  <si>
    <t>LHHEDWEPR-BK</t>
  </si>
  <si>
    <t>Audifonos Over Ear WavePro Cream</t>
  </si>
  <si>
    <t>LHHEDWEPR-KH</t>
  </si>
  <si>
    <t>Audífonos Bluetooth Inalámbrico RmPlus+ Negro</t>
  </si>
  <si>
    <t>LHRMPLU-BK</t>
  </si>
  <si>
    <t>Audífonos Bluetooth Inalámbrico RmPlus+ Blanco</t>
  </si>
  <si>
    <t>LHRMPLU-WH</t>
  </si>
  <si>
    <t>Parlantes</t>
  </si>
  <si>
    <t>Parlante Bluetooth Teno J5 Negro</t>
  </si>
  <si>
    <t>Parlante Bounce Mini Black</t>
  </si>
  <si>
    <t>Parlante Bounce Mini Blue</t>
  </si>
  <si>
    <t>Parlante Bounce Mini Pink</t>
  </si>
  <si>
    <t>Parlante Bounce Mini White</t>
  </si>
  <si>
    <t>Parlante Journey Black</t>
  </si>
  <si>
    <t>LHPARJOUR-BK</t>
  </si>
  <si>
    <t>Parlante Journey Blue</t>
  </si>
  <si>
    <t>LHPARJOUR-BL</t>
  </si>
  <si>
    <t>Parlante Pulse Black</t>
  </si>
  <si>
    <t>LHPARPULS-BK</t>
  </si>
  <si>
    <t>Parlante Pulse Blue</t>
  </si>
  <si>
    <t>LHPARPULS-BL</t>
  </si>
  <si>
    <t>Parlante Pulse Grey</t>
  </si>
  <si>
    <t>LHPARPULS-GR</t>
  </si>
  <si>
    <t>Parlante Pulse Red</t>
  </si>
  <si>
    <t>LHPARPULS-RD</t>
  </si>
  <si>
    <t>Parlante Trip Go+ Black</t>
  </si>
  <si>
    <t>LHPARTRGO-BK</t>
  </si>
  <si>
    <t>Parlante Trip Go+ Blue</t>
  </si>
  <si>
    <t>LHPARTRGO-BL</t>
  </si>
  <si>
    <t>Parlante Trip Go+ Grey</t>
  </si>
  <si>
    <t>LHPARTRGO-GR</t>
  </si>
  <si>
    <t>Parlante Trip Go+ Red</t>
  </si>
  <si>
    <t>LHPARTRGO-RD</t>
  </si>
  <si>
    <t>Parlante TUNE UP AZUL</t>
  </si>
  <si>
    <t>Parlante TUNE UP NEGRO</t>
  </si>
  <si>
    <t>Parlante TUNE UP ROJO</t>
  </si>
  <si>
    <t>Parlante TUNE UP VERDE</t>
  </si>
  <si>
    <t>Camping y Outdoor</t>
  </si>
  <si>
    <t>Accesorios camping</t>
  </si>
  <si>
    <t>Ducha Solar Camping Pesca 20 Litros Outdoor</t>
  </si>
  <si>
    <t>Hamaca Camping Pesca Outdoor Verde Claro 270 Cm</t>
  </si>
  <si>
    <t>Lámpara Solar Linterna Inflable Camping Pesca Outdoor</t>
  </si>
  <si>
    <t>Luz de Bicicleta Foco Delantero Power Up 2000 Lúmenes</t>
  </si>
  <si>
    <t>Pick Up Pads</t>
  </si>
  <si>
    <t>Pick-up Pad Lhotse Porta 2 Bicicletas</t>
  </si>
  <si>
    <t>Pick-up Pad Lhotse Porta Bicicletas Camionetas</t>
  </si>
  <si>
    <t>Pick-up Pad Porta 6 Bicicletas Camioneta</t>
  </si>
  <si>
    <t>Deporte</t>
  </si>
  <si>
    <t>Accesorios fitness</t>
  </si>
  <si>
    <t>Set deportivo 7 en 1</t>
  </si>
  <si>
    <t>Equipamiento</t>
  </si>
  <si>
    <t>Bananos</t>
  </si>
  <si>
    <t>Banano Himalaya Black</t>
  </si>
  <si>
    <t>LHBANHIM-BK</t>
  </si>
  <si>
    <t>Banano Himalaya Blue</t>
  </si>
  <si>
    <t>LHBANHIM-BL</t>
  </si>
  <si>
    <t>Banano Himalaya Red</t>
  </si>
  <si>
    <t>LHBANHIM-RD</t>
  </si>
  <si>
    <t>Banano Impermeable Negro</t>
  </si>
  <si>
    <t>Banano Outdoor K2 Negro Lhotse</t>
  </si>
  <si>
    <t>LHBANK2BK</t>
  </si>
  <si>
    <t>Bolsos deportivos</t>
  </si>
  <si>
    <t>Bolso Deportivo Duffel 30 Litros Negro</t>
  </si>
  <si>
    <t>Bolso Deportivo Impermeable Duffel 30 lts Navy Lhotse</t>
  </si>
  <si>
    <t>LHBOLDUFNV-30</t>
  </si>
  <si>
    <t>Bolso Deportivo Impermeable Duffel 30 lts Negro Lhotse</t>
  </si>
  <si>
    <t>LHBOLDUFBK-30</t>
  </si>
  <si>
    <t>Bolso Deportivo Impermeable Duffel 30 lts Verde Lhotse</t>
  </si>
  <si>
    <t>LHBOLDUFGR-30</t>
  </si>
  <si>
    <t>Bolso Deportivo Impermeable Duffel 60 lts Lhotse Black</t>
  </si>
  <si>
    <t>LHBOLDUFBK-60</t>
  </si>
  <si>
    <t>Bolso Deportivo Impermeable Duffel 60 lts Lhotse Green</t>
  </si>
  <si>
    <t>LHBOLDUFGR-60</t>
  </si>
  <si>
    <t>Bolso Deportivo Impermeable Duffel 60 lts Navy Lhotse</t>
  </si>
  <si>
    <t>LHBOLDUFNV-60</t>
  </si>
  <si>
    <t>Bolso Impermeable 70lts Azul</t>
  </si>
  <si>
    <t>Bolso Impermeable Duffel 70lts Negro</t>
  </si>
  <si>
    <t>Maletas</t>
  </si>
  <si>
    <t>Maleta Bolso Roadtrip  70lts Black</t>
  </si>
  <si>
    <t>LHMALROABK</t>
  </si>
  <si>
    <t>Maleta Bolso Trolley Bag 30L</t>
  </si>
  <si>
    <t>LHMALEXPBK-30</t>
  </si>
  <si>
    <t>Maleta Bolso Trolley Bag 70L</t>
  </si>
  <si>
    <t>LHMALEXPBK-70</t>
  </si>
  <si>
    <t>Maleta Bolso Trolley Bag 90L</t>
  </si>
  <si>
    <t>LHMALEXPBK-90</t>
  </si>
  <si>
    <t>Mochila Antirrobo Lhotse Gris</t>
  </si>
  <si>
    <t>Mochila Makalu Negra Lhotse</t>
  </si>
  <si>
    <t>LHMOMAK-BK</t>
  </si>
  <si>
    <t>Mochila Makalu Verde Lhotse</t>
  </si>
  <si>
    <t>LHMOMAK-GR</t>
  </si>
  <si>
    <t>Mochila Outdoor Bicicleta HYDROROAD Azul + Bolsa de Agua Lhotse</t>
  </si>
  <si>
    <t>LHMOBI001-BL</t>
  </si>
  <si>
    <t>Mochila Outdoor Bicicleta HYDROROAD Gris + Bolsa de Agua Lhotse</t>
  </si>
  <si>
    <t>LHMOBI001-GR</t>
  </si>
  <si>
    <t>Mochila Outdoor Bicicleta HYDROROAD Negra + Bolsa de Agua Lhotse</t>
  </si>
  <si>
    <t>LHMOBI001-BK</t>
  </si>
  <si>
    <t>Mochila Outdoor Himalaya Lhotse Black</t>
  </si>
  <si>
    <t>LHMOHIMBK</t>
  </si>
  <si>
    <t>Mochila Outdoor Himalaya Lhotse Blue</t>
  </si>
  <si>
    <t>LHMOHIMBL</t>
  </si>
  <si>
    <t>Mochila Outdoor Plegable Naranja</t>
  </si>
  <si>
    <t>Mochila Outdoor Plegable Negra</t>
  </si>
  <si>
    <t>Mochila Pumori Negra Lhotse</t>
  </si>
  <si>
    <t>LHMOPUM-BK</t>
  </si>
  <si>
    <t>Mochila Pumori Verde Lhotse</t>
  </si>
  <si>
    <t>LHMOPUM-GR</t>
  </si>
  <si>
    <t>Mochila Street Negra</t>
  </si>
  <si>
    <t>Mochila Street Verde</t>
  </si>
  <si>
    <t>Mochila Viaje Nomad 35 L Negra Lhotse</t>
  </si>
  <si>
    <t>LHMOVINOM-BK</t>
  </si>
  <si>
    <t>Mochila Viaje Notebook Broadpeak Lhotse Black</t>
  </si>
  <si>
    <t>LHMOBROBK</t>
  </si>
  <si>
    <t>Mochila Volcano Roll Style Negra</t>
  </si>
  <si>
    <t>Mochila Volcano Roll Style Verde</t>
  </si>
  <si>
    <t>Neceser</t>
  </si>
  <si>
    <t>Neceser Travel Rimo Negro Lhotse</t>
  </si>
  <si>
    <t>LHNECTRRIM-BK</t>
  </si>
  <si>
    <t>Neceser Viaje 5L Khumbu Black</t>
  </si>
  <si>
    <t>LHNECKHUM-BK</t>
  </si>
  <si>
    <t>Neceser Viaje 5L Khumbu Grey</t>
  </si>
  <si>
    <t>LHNECKHUM-GR</t>
  </si>
  <si>
    <t>Hidratación</t>
  </si>
  <si>
    <t>Botellas Termicas</t>
  </si>
  <si>
    <t>Big Mug Tumbler 1118ml Arena</t>
  </si>
  <si>
    <t>LHBIGMU-CR</t>
  </si>
  <si>
    <t>Big Mug Tumbler 1118ml Celeste</t>
  </si>
  <si>
    <t>LHBIGMU-BL</t>
  </si>
  <si>
    <t>Big Mug Tumbler 1118ml Light Green</t>
  </si>
  <si>
    <t>LHBIGMU-GR</t>
  </si>
  <si>
    <t>Big Mug Tumbler 1118ml Light Pink</t>
  </si>
  <si>
    <t>LHBIGMU-PK</t>
  </si>
  <si>
    <t>Big Mug Tumbler 1118ml Lila</t>
  </si>
  <si>
    <t>LHBIGMU-PP</t>
  </si>
  <si>
    <t>Big Mug Tumbler 1118ml Negro</t>
  </si>
  <si>
    <t>LHBIGMU-BK</t>
  </si>
  <si>
    <t>Botella 800ml coihue Azul Lhotse</t>
  </si>
  <si>
    <t>Botella 800ml coihue Negra Lhotse</t>
  </si>
  <si>
    <t>Botella 800ml coihue Pink Lhotse</t>
  </si>
  <si>
    <t>Botella 800ml coihue White Lhotse</t>
  </si>
  <si>
    <t>Botella Hydro 360ml Lhotse Celeste</t>
  </si>
  <si>
    <t>LHBOHY36-CEL</t>
  </si>
  <si>
    <t>Botella Hydro 360ml Lhotse Green</t>
  </si>
  <si>
    <t>LHBOHY36-GR</t>
  </si>
  <si>
    <t>Botella Hydro 360ml Lhotse Lila</t>
  </si>
  <si>
    <t>LHBOHY36-LY</t>
  </si>
  <si>
    <t>Botella Hydro 360ml Lhotse Negro</t>
  </si>
  <si>
    <t>LHBOHY36-BK</t>
  </si>
  <si>
    <t>Botella Hydro 360ml Lhotse Rosado</t>
  </si>
  <si>
    <t>LHBOHY36-PK</t>
  </si>
  <si>
    <t>Botella Hydro 960ml Lhotse Celeste</t>
  </si>
  <si>
    <t>LHBOHY95-CEL</t>
  </si>
  <si>
    <t>Botella Hydro 960ml Lhotse Lila</t>
  </si>
  <si>
    <t>LHBOHY95-LY</t>
  </si>
  <si>
    <t>Botella Hydro 960ml Lhotse Negro</t>
  </si>
  <si>
    <t>LHBOHY95-BK</t>
  </si>
  <si>
    <t>Botella Hydro 960ml Lhotse Rosado</t>
  </si>
  <si>
    <t>LHBOHY95-PK</t>
  </si>
  <si>
    <t>Botella Hydro 960ml Lhotse Verde</t>
  </si>
  <si>
    <t>LHBOHY95-GR</t>
  </si>
  <si>
    <t>Botella Indo 800ml Black</t>
  </si>
  <si>
    <t>LHBOIND-BK</t>
  </si>
  <si>
    <t>Botella Indo 800ml Blue</t>
  </si>
  <si>
    <t>LHBOIND-BL</t>
  </si>
  <si>
    <t>Botella Indo 800ml Green</t>
  </si>
  <si>
    <t>LHBOIND-GR</t>
  </si>
  <si>
    <t>Botella Indo 800ml Light Blue</t>
  </si>
  <si>
    <t>LHBOIND-LBL</t>
  </si>
  <si>
    <t>Botella Indo 800ml Lilac</t>
  </si>
  <si>
    <t>LHBOIND-LY</t>
  </si>
  <si>
    <t>Botella Indo 800ml Pink</t>
  </si>
  <si>
    <t>LHBOIND-PK</t>
  </si>
  <si>
    <t>Botella Indo 800ml Red</t>
  </si>
  <si>
    <t>LHBOIND-RD</t>
  </si>
  <si>
    <t>Botella Indo 800ml White</t>
  </si>
  <si>
    <t>LHBOIND-WH</t>
  </si>
  <si>
    <t>Botella Insulada Adventure 650ml Azul</t>
  </si>
  <si>
    <t>LHBOADV-BL</t>
  </si>
  <si>
    <t>Botella Insulada Adventure 650ml Blanca</t>
  </si>
  <si>
    <t>LHBOADV-WH</t>
  </si>
  <si>
    <t>Botella Insulada Adventure 650ml Negra</t>
  </si>
  <si>
    <t>LHBOADV-BK</t>
  </si>
  <si>
    <t>Botella Insulada Adventure 650ml Pink</t>
  </si>
  <si>
    <t>LHBOADV-PK</t>
  </si>
  <si>
    <t>Insulated Travel Mug 900ml Blanco</t>
  </si>
  <si>
    <t>LHTRMU-WH</t>
  </si>
  <si>
    <t>Insulated Travel Mug 900ml Celeste</t>
  </si>
  <si>
    <t>LHTRMU-BL</t>
  </si>
  <si>
    <t>Insulated Travel Mug 900ml Negro</t>
  </si>
  <si>
    <t>LHTRMU-BK</t>
  </si>
  <si>
    <t>Insulated Travel Mug 900ml Rosado</t>
  </si>
  <si>
    <t>LHTRMU-PK</t>
  </si>
  <si>
    <t>Insulated Travel Mug 900ml Verde</t>
  </si>
  <si>
    <t>LHTRMU-GR</t>
  </si>
  <si>
    <t>Tapa Botella Adventure Black</t>
  </si>
  <si>
    <t>LHTPAD01</t>
  </si>
  <si>
    <t>Tapa Botella Boca Ancha Hydro Black</t>
  </si>
  <si>
    <t>LHTPHY01</t>
  </si>
  <si>
    <t>Botella HydroCore 1l Black</t>
  </si>
  <si>
    <t>LHBOHYCO-BK</t>
  </si>
  <si>
    <t>Botella HydroCore 1l Beige</t>
  </si>
  <si>
    <t>LHBOHYCO-BG</t>
  </si>
  <si>
    <t>Botella HydroCore 1l Pink</t>
  </si>
  <si>
    <t>LHBOHYCO-PK</t>
  </si>
  <si>
    <t>Botella HydroCore 1l Navy</t>
  </si>
  <si>
    <t>LHBOHYCO-NY</t>
  </si>
  <si>
    <t>Botella HydroCore 1l Green</t>
  </si>
  <si>
    <t>LHBOHYCO-GR</t>
  </si>
  <si>
    <t>Shaker NutriCore 500ml Black</t>
  </si>
  <si>
    <t>LHSHNUCO-BK</t>
  </si>
  <si>
    <t>Shaker NutriCore 500ml Pink</t>
  </si>
  <si>
    <t>LHSHNUCO-PK</t>
  </si>
  <si>
    <t>Shaker NutriCore 500ml Green</t>
  </si>
  <si>
    <t>LHSHNUCO-GR</t>
  </si>
  <si>
    <t>Vaso Térmico Tumbler 1180ml Acero Inoxidable con Tapa Black Lhotse</t>
  </si>
  <si>
    <t>LHBIGMU-BKN</t>
  </si>
  <si>
    <t>Vaso Térmico Tumbler 1180ml Acero Inoxidable con Tapa Light Blue Lhotse</t>
  </si>
  <si>
    <t>LHBIGMU-BLN</t>
  </si>
  <si>
    <t>Vaso Térmico Tumbler 1180ml Acero Inoxidable con Tapa Sand Lhotse</t>
  </si>
  <si>
    <t>LHBIGMU-CRN</t>
  </si>
  <si>
    <t>Vaso Térmico Tumbler 1180ml Acero Inoxidable con Tapa Light Green Lhotse</t>
  </si>
  <si>
    <t>LHBIGMU-GRN</t>
  </si>
  <si>
    <t>Vaso Térmico Tumbler 1180ml Acero Inoxidable con Tapa Pink Lhotse</t>
  </si>
  <si>
    <t>LHBIGMU-PKN</t>
  </si>
  <si>
    <t>Vaso Térmico Tumbler 1180ml Acero Inoxidable con Tapa Lila Lhotse</t>
  </si>
  <si>
    <t>LHBIGMU-PPN</t>
  </si>
  <si>
    <t>Chaqueta Parka Hombre Térmica con gorro Lhotse Altitude Black S</t>
  </si>
  <si>
    <t>LTW26-MPK02S-BK</t>
  </si>
  <si>
    <t>Tazas y vasos</t>
  </si>
  <si>
    <t>Mate Mug + Bombilla Blanco</t>
  </si>
  <si>
    <t>LHMAMU-WH</t>
  </si>
  <si>
    <t>Mate Mug + Bombilla Negro</t>
  </si>
  <si>
    <t>LHMAMU-BK</t>
  </si>
  <si>
    <t>Mate Mug + Bombilla Rojo</t>
  </si>
  <si>
    <t>LHMAMU-RD</t>
  </si>
  <si>
    <t>Mate Mug + Bombilla Rosado</t>
  </si>
  <si>
    <t>LHMAMU-PK</t>
  </si>
  <si>
    <t>Mate Mug + Bombilla Rosado Claro</t>
  </si>
  <si>
    <t>LHMAMU-LPK</t>
  </si>
  <si>
    <t>Mate Mug + Bombilla Verde</t>
  </si>
  <si>
    <t>LHMAMU-GR</t>
  </si>
  <si>
    <t>Taza Insulated Cup Mug 350ml Blanco</t>
  </si>
  <si>
    <t>LHCAMU-WH</t>
  </si>
  <si>
    <t>Taza Insulated Cup Mug 350ml Celeste</t>
  </si>
  <si>
    <t>LHCAMU-BL</t>
  </si>
  <si>
    <t>Taza Insulated Cup Mug 350ml Negro</t>
  </si>
  <si>
    <t>LHCAMU-BK</t>
  </si>
  <si>
    <t>Taza Insulated Cup Mug 350ml Verde</t>
  </si>
  <si>
    <t>LHCAMU-GR</t>
  </si>
  <si>
    <t>Vaso Camping Termico 480ml Blanco</t>
  </si>
  <si>
    <t>LHVACAM-WH</t>
  </si>
  <si>
    <t>Vaso Camping Termico 480ml Negro</t>
  </si>
  <si>
    <t>LHVACAM-BK</t>
  </si>
  <si>
    <t>Vaso Camping Termico 480ml Rojo</t>
  </si>
  <si>
    <t>LHVACAM-RD</t>
  </si>
  <si>
    <t>Vaso Camping Termico 480ml Rosado</t>
  </si>
  <si>
    <t>LHVACAM-PK</t>
  </si>
  <si>
    <t>Vaso Camping Termico 480ml Verde</t>
  </si>
  <si>
    <t>LHVACAM-VD</t>
  </si>
  <si>
    <t>Termos líquidos</t>
  </si>
  <si>
    <t>Termo Classic 1,3lts Blanco</t>
  </si>
  <si>
    <t>LHTHCLA-WH</t>
  </si>
  <si>
    <t>Termo Classic 1,3lts Negro</t>
  </si>
  <si>
    <t>LHTHCLA-BK</t>
  </si>
  <si>
    <t>Termo Classic 1,3lts Rosado</t>
  </si>
  <si>
    <t>LHTHCLA-PK</t>
  </si>
  <si>
    <t>Termo Classic 1,3lts Verde</t>
  </si>
  <si>
    <t>LHTHCLA-GR</t>
  </si>
  <si>
    <t>Termo Classic 1,3lts Verde Claro</t>
  </si>
  <si>
    <t>LHTHCLA-LGR</t>
  </si>
  <si>
    <t>Termo Lhotse Patagón 1 Lt Negro</t>
  </si>
  <si>
    <t>Termo Lhotse Patagón 1 Lt Verde</t>
  </si>
  <si>
    <t>Smartwatch</t>
  </si>
  <si>
    <t>Smartband</t>
  </si>
  <si>
    <t>Smartband Flow 03 Black</t>
  </si>
  <si>
    <t>LHSWFLOBK</t>
  </si>
  <si>
    <t>Smartband Flow 03 Blue</t>
  </si>
  <si>
    <t>LHSWFLOBL</t>
  </si>
  <si>
    <t>Smartband Flow 03 Pink</t>
  </si>
  <si>
    <t>LHSWFLOPK</t>
  </si>
  <si>
    <t>Smartband KIDS R01 Black</t>
  </si>
  <si>
    <t>Smartband KIDS R01 Blue</t>
  </si>
  <si>
    <t>Smartband KIDS R01 Pink</t>
  </si>
  <si>
    <t>Smartband KIDS R01 Purple</t>
  </si>
  <si>
    <t>Smartband Urban GT Black</t>
  </si>
  <si>
    <t>Smartband Urban GT Blue</t>
  </si>
  <si>
    <t>Smartband Urban GT Gray</t>
  </si>
  <si>
    <t>Smartband Urban GT Green</t>
  </si>
  <si>
    <t>Smartband Urban GT Pink</t>
  </si>
  <si>
    <t>Reloj Smartwatch Core 87 Negro</t>
  </si>
  <si>
    <t>Smartwatch Connect S03 Black</t>
  </si>
  <si>
    <t>LHCONS03BK</t>
  </si>
  <si>
    <t>Smartwatch Connect S03 Blue</t>
  </si>
  <si>
    <t>LHCONS03BL</t>
  </si>
  <si>
    <t>Smartwatch Connect S03 Pink</t>
  </si>
  <si>
    <t>LHCONS03PK</t>
  </si>
  <si>
    <t>Smartwatch GPS MoveOn 7 Black</t>
  </si>
  <si>
    <t>LHSWMOVON7-BK</t>
  </si>
  <si>
    <t>Smartwatch GPS MoveOn 7 Pink</t>
  </si>
  <si>
    <t>LHSWMOVON7-PK</t>
  </si>
  <si>
    <t>Smartwatch Live 206 Black</t>
  </si>
  <si>
    <t>Smartwatch Live 206 Light Green</t>
  </si>
  <si>
    <t>Smartwatch Live 206 Pink</t>
  </si>
  <si>
    <t>Smartwatch Mini Live 206 Black</t>
  </si>
  <si>
    <t>Smartwatch Mini Live 206 Light Green</t>
  </si>
  <si>
    <t>Smartwatch Mini Live 206 Pink</t>
  </si>
  <si>
    <t>Smartwatch Mini Live 206 White</t>
  </si>
  <si>
    <t>Smartwatch Music Rhythm X10 Black</t>
  </si>
  <si>
    <t>LHSWRHYX10-BK</t>
  </si>
  <si>
    <t>Smartwatch Music Rhythm X10 Blue</t>
  </si>
  <si>
    <t>LHSWRHYX10-BL</t>
  </si>
  <si>
    <t>Smartwatch Music Rhythm X10 Pink</t>
  </si>
  <si>
    <t>LHSWRHYX10-PK</t>
  </si>
  <si>
    <t>Smartwatch Runner 219 Black</t>
  </si>
  <si>
    <t>Smartwatch Runner 219 Gris</t>
  </si>
  <si>
    <t>Smartwatch Runner 219 Rosa</t>
  </si>
  <si>
    <t>Smartwatch Vibe 05 Black 45'</t>
  </si>
  <si>
    <t>LHSWVIBBK</t>
  </si>
  <si>
    <t>Smartwatch Vibe 05 Cream 42'</t>
  </si>
  <si>
    <t>LHSWVIBCR</t>
  </si>
  <si>
    <t>Vestuario</t>
  </si>
  <si>
    <t>Calzas y Petos</t>
  </si>
  <si>
    <t>Peto Deportivo Kalo Black Talla S</t>
  </si>
  <si>
    <t>LTS26-WSB01S-BK</t>
  </si>
  <si>
    <t>Peto Deportivo Kalo Black Talla M</t>
  </si>
  <si>
    <t>LTS26-WSB01M-BK</t>
  </si>
  <si>
    <t>Peto Deportivo Kalo Black Talla L</t>
  </si>
  <si>
    <t>LTS26-WSB01L-BK</t>
  </si>
  <si>
    <t>Peto Deportivo Kalo Black Talla XL</t>
  </si>
  <si>
    <t>LTS26-WSB01XL-BK</t>
  </si>
  <si>
    <t>Peto Deportivo Kalo Teal Green Talla S</t>
  </si>
  <si>
    <t>LTS26-WSB01S-TL</t>
  </si>
  <si>
    <t>Peto Deportivo Kalo Teal Green Talla M</t>
  </si>
  <si>
    <t>LTS26-WSB01M-TL</t>
  </si>
  <si>
    <t>Peto Deportivo Kalo Teal Green Talla L</t>
  </si>
  <si>
    <t>LTS26-WSB01L-TL</t>
  </si>
  <si>
    <t>Peto Deportivo Kalo Teal Green Talla XL</t>
  </si>
  <si>
    <t>LTS26-WSB01XL-TL</t>
  </si>
  <si>
    <t>Calza Legging Deportiva Bergenia Black Lhotse Talla S</t>
  </si>
  <si>
    <t>LTS26-WLG03S-BK</t>
  </si>
  <si>
    <t>Calza Legging Deportiva Bergenia Black Lhotse Talla M</t>
  </si>
  <si>
    <t>LTS26-WLG03M-BK</t>
  </si>
  <si>
    <t>Calza Legging Deportiva Bergenia Black Lhotse Talla L</t>
  </si>
  <si>
    <t>LTS26-WLG03L-BK</t>
  </si>
  <si>
    <t>Calza Legging Deportiva Bergenia Black Lhotse Talla XL</t>
  </si>
  <si>
    <t>LTS26-WLG03XL-BK</t>
  </si>
  <si>
    <t>Calza Legging Deportiva Bergenia Teal Green Lhotse Talla S</t>
  </si>
  <si>
    <t>LTS26-WLG03S-TL</t>
  </si>
  <si>
    <t>Calza Legging Deportiva Bergenia Teal Green Lhotse Talla M</t>
  </si>
  <si>
    <t>LTS26-WLG03M-TL</t>
  </si>
  <si>
    <t>Calza Legging Deportiva Bergenia Teal Green Lhotse Talla L</t>
  </si>
  <si>
    <t>LTS26-WLG03L-TL</t>
  </si>
  <si>
    <t>Calza Legging Deportiva Bergenia Teal Green Lhotse Talla XL</t>
  </si>
  <si>
    <t>LTS26-WLG03XL-TL</t>
  </si>
  <si>
    <t>Pantalones y Shorts</t>
  </si>
  <si>
    <t>Pantalón Lukla Negro L</t>
  </si>
  <si>
    <t>LTW25-MPT1144-GRY</t>
  </si>
  <si>
    <t>Pantalón Lukla Negro M</t>
  </si>
  <si>
    <t>LTW25-MPT1142-GRY</t>
  </si>
  <si>
    <t>Pantalón Lukla Negro S</t>
  </si>
  <si>
    <t>LTW25-MPT1140-GRY</t>
  </si>
  <si>
    <t>Pantalón Lukla Negro XL</t>
  </si>
  <si>
    <t>LTW25-MPT1146-GRY</t>
  </si>
  <si>
    <t>Pantalón Lukla Verde L</t>
  </si>
  <si>
    <t>LTW25-MPT1144-GR</t>
  </si>
  <si>
    <t>Pantalón Lukla Verde M</t>
  </si>
  <si>
    <t>LTW25-MPT1142-GR</t>
  </si>
  <si>
    <t>Pantalón Lukla Verde S</t>
  </si>
  <si>
    <t>LTW25-MPT1140-GR</t>
  </si>
  <si>
    <t>Pantalón Lukla Verde XL</t>
  </si>
  <si>
    <t>LTW25-MPT1146-GR</t>
  </si>
  <si>
    <t>Short Hombre Barun Black Talla 40</t>
  </si>
  <si>
    <t>LTS26-MWS0640-BK</t>
  </si>
  <si>
    <t>Short Hombre Barun Black Talla 42</t>
  </si>
  <si>
    <t>LTS26-MWS0642-BK</t>
  </si>
  <si>
    <t>Short Hombre Barun Black Talla 44</t>
  </si>
  <si>
    <t>LTS26-MWS0644-BK</t>
  </si>
  <si>
    <t>Short Hombre Barun Black Talla 46</t>
  </si>
  <si>
    <t>LTS26-MWS0646-BK</t>
  </si>
  <si>
    <t>Short Hombre Barun Green Talla 40</t>
  </si>
  <si>
    <t>LTS26-MWS0640-GR</t>
  </si>
  <si>
    <t>Short Hombre Barun Green Talla 42</t>
  </si>
  <si>
    <t>LTS26-MWS0642-GR</t>
  </si>
  <si>
    <t>Short Hombre Barun Green Talla 44</t>
  </si>
  <si>
    <t>LTS26-MWS0644-GR</t>
  </si>
  <si>
    <t>Short Hombre Barun Green Talla 46</t>
  </si>
  <si>
    <t>LTS26-MWS0646-GR</t>
  </si>
  <si>
    <t>Pantalón Mujer Lukla-W Black Talla 38</t>
  </si>
  <si>
    <t>LTS26-WPT0638-BK</t>
  </si>
  <si>
    <t>Pantalón Mujer Lukla-W Black Talla 40</t>
  </si>
  <si>
    <t>LTS26-WPT0640-BK</t>
  </si>
  <si>
    <t>Pantalón Mujer Lukla-W Black Talla 42</t>
  </si>
  <si>
    <t>LTS26-WPT0642-BK</t>
  </si>
  <si>
    <t>Pantalón Mujer Lukla-W Black Talla 44</t>
  </si>
  <si>
    <t>LTS26-WPT0644-BK</t>
  </si>
  <si>
    <t>Pantalón Mujer Lukla-W Petroleo Talla 38</t>
  </si>
  <si>
    <t>LTS26-WPT0638-PT</t>
  </si>
  <si>
    <t>Pantalón Mujer Lukla-W Petroleo Talla 40</t>
  </si>
  <si>
    <t>LTS26-WPT0640-PT</t>
  </si>
  <si>
    <t>Pantalón Mujer Lukla-W Petroleo Talla 42</t>
  </si>
  <si>
    <t>LTS26-WPT0642-PT</t>
  </si>
  <si>
    <t>Pantalón Mujer Lukla-W Petroleo Talla 44</t>
  </si>
  <si>
    <t>LTS26-WPT0644-PT</t>
  </si>
  <si>
    <t>Biker Short Mujer Dhara Black Talla S</t>
  </si>
  <si>
    <t>LTS26-WLG02S-BK</t>
  </si>
  <si>
    <t>Biker Short Mujer Dhara Black Talla M</t>
  </si>
  <si>
    <t>LTS26-WLG02M-BK</t>
  </si>
  <si>
    <t>Biker Short Mujer Dhara Black Talla L</t>
  </si>
  <si>
    <t>LTS26-WLG02L-BK</t>
  </si>
  <si>
    <t>Biker Short Mujer Dhara Black Talla XL</t>
  </si>
  <si>
    <t>LTS26-WLG02XL-BK</t>
  </si>
  <si>
    <t>Biker Short Mujer Dhara Teal Green Talla S</t>
  </si>
  <si>
    <t>LTS26-WLG02S-TL</t>
  </si>
  <si>
    <t>Biker Short Mujer Dhara Teal Green Talla M</t>
  </si>
  <si>
    <t>LTS26-WLG02M-TL</t>
  </si>
  <si>
    <t>Biker Short Mujer Dhara Teal Green Talla L</t>
  </si>
  <si>
    <t>LTS26-WLG02L-TL</t>
  </si>
  <si>
    <t>Biker Short Mujer Dhara Teal Green Talla XL</t>
  </si>
  <si>
    <t>LTS26-WLG02XL-TL</t>
  </si>
  <si>
    <t>Parkas e Impermeables</t>
  </si>
  <si>
    <t>Hardshell Gorak Shep Azul L</t>
  </si>
  <si>
    <t>LTW25-MPK09L-BL</t>
  </si>
  <si>
    <t>Hardshell Gorak Shep Azul M</t>
  </si>
  <si>
    <t>LTW25-MPK09M-BL</t>
  </si>
  <si>
    <t>Hardshell Gorak Shep Azul S</t>
  </si>
  <si>
    <t>LTW25-MPK09S-BL</t>
  </si>
  <si>
    <t>Hardshell Gorak Shep Azul XL</t>
  </si>
  <si>
    <t>LTW25-MPK09XL-BL</t>
  </si>
  <si>
    <t>Hardshell Gorak Shep Negro L</t>
  </si>
  <si>
    <t>LTW25-MPK09L-BK</t>
  </si>
  <si>
    <t>Hardshell Gorak Shep Negro M</t>
  </si>
  <si>
    <t>LTW25-MPK09M-BK</t>
  </si>
  <si>
    <t>Hardshell Gorak Shep Negro S</t>
  </si>
  <si>
    <t>LTW25-MPK09S-BK</t>
  </si>
  <si>
    <t>Hardshell Gorak Shep Negro XL</t>
  </si>
  <si>
    <t>LTW25-MPK09XL-BK</t>
  </si>
  <si>
    <t>Parka light Nuptse  NEGRO L</t>
  </si>
  <si>
    <t>LTW25-MPK08L-BK</t>
  </si>
  <si>
    <t>Parka light Nuptse  NEGRO M</t>
  </si>
  <si>
    <t>LTW25-MPK08M-BK</t>
  </si>
  <si>
    <t>Parka light Nuptse  NEGRO S</t>
  </si>
  <si>
    <t>LTW25-MPK08S-BK</t>
  </si>
  <si>
    <t>Parka light Nuptse  NEGRO XL</t>
  </si>
  <si>
    <t>LTW25-MPK08XL-BK</t>
  </si>
  <si>
    <t>Parka light Nuptse  VERDE L</t>
  </si>
  <si>
    <t>LTW25-MPK08L-GR</t>
  </si>
  <si>
    <t>Parka light Nuptse  VERDE M</t>
  </si>
  <si>
    <t>LTW25-MPK08M-GR</t>
  </si>
  <si>
    <t>Parka light Nuptse  VERDE S</t>
  </si>
  <si>
    <t>LTW25-MPK08S-GR</t>
  </si>
  <si>
    <t>Parka light Nuptse  VERDE XL</t>
  </si>
  <si>
    <t>LTW25-MPK08XL-GR</t>
  </si>
  <si>
    <t>Parka Puffa Khumbu  NEGRO L</t>
  </si>
  <si>
    <t>LTW25-MPK10L-BK</t>
  </si>
  <si>
    <t>Parka Puffa Khumbu  NEGRO M</t>
  </si>
  <si>
    <t>LTW25-MPK10M-BK</t>
  </si>
  <si>
    <t>Parka Puffa Khumbu  NEGRO S</t>
  </si>
  <si>
    <t>LTW25-MPK10S-BK</t>
  </si>
  <si>
    <t>Parka Puffa Khumbu  NEGRO XL</t>
  </si>
  <si>
    <t>LTW25-MPK10XL-BK</t>
  </si>
  <si>
    <t>Chaqueta Parka Hombre Térmica con gorro Lhotse Altitude Black M</t>
  </si>
  <si>
    <t>LTW26-MPK02M-BK</t>
  </si>
  <si>
    <t>Chaqueta Parka Hombre Térmica con gorro Lhotse Altitude Black L</t>
  </si>
  <si>
    <t>LTW26-MPK02L-BK</t>
  </si>
  <si>
    <t>Chaqueta Parka Hombre Térmica con Gorro Lhotse Altitude Black XL</t>
  </si>
  <si>
    <t>LTW26-MPK02XL-BK</t>
  </si>
  <si>
    <t>Chaqueta Parka Hombre Térmica con gorro Lhotse Altitude Black XXL</t>
  </si>
  <si>
    <t>LTW26-MPK02XXL-BK</t>
  </si>
  <si>
    <t>Chaqueta Parka Hombre Térmica con gorro Lhotse Altitude Grey S</t>
  </si>
  <si>
    <t>LTW26-MPK02S-GR</t>
  </si>
  <si>
    <t>Chaqueta Parka Hombre Térmica con gorro Lhotse Altitude Grey M</t>
  </si>
  <si>
    <t>LTW26-MPK02M-GR</t>
  </si>
  <si>
    <t>Chaqueta Parka Hombre Térmica con gorro Lhotse Altitude Grey L</t>
  </si>
  <si>
    <t>LTW26-MPK02L-GR</t>
  </si>
  <si>
    <t>Chaqueta Parka Hombre Térmica con Gorro Lhotse Altitude Grey XL</t>
  </si>
  <si>
    <t>LTW26-MPK02XL-GR</t>
  </si>
  <si>
    <t>Chaqueta Parka Hombre Térmica con Gorro Lhotse Altitude Grey XXL</t>
  </si>
  <si>
    <t>LTW26-MPK02XXL-GR</t>
  </si>
  <si>
    <t>Polar y Polerones</t>
  </si>
  <si>
    <t>Polar Hombre Shar 83 Half Zipper Lhotse Black L</t>
  </si>
  <si>
    <t>LTW25-MKF05L-BK</t>
  </si>
  <si>
    <t>Polar Hombre Shar 83 Half Zipper Lhotse Black M</t>
  </si>
  <si>
    <t>LTW25-MKF05M-BK</t>
  </si>
  <si>
    <t>Polar Hombre Shar 83 Half Zipper Lhotse Black S</t>
  </si>
  <si>
    <t>LTW25-MKF05S-BK</t>
  </si>
  <si>
    <t>Polar Hombre Shar 83 Half Zipper Lhotse Black XL</t>
  </si>
  <si>
    <t>LTW25-MKF05XL-BK</t>
  </si>
  <si>
    <t>Polar Hombre Shar 83 Half Zipper Lhotse Blue L</t>
  </si>
  <si>
    <t>LTW25-MKF05L-BL</t>
  </si>
  <si>
    <t>Polar Hombre Shar 83 Half Zipper Lhotse Blue M</t>
  </si>
  <si>
    <t>LTW25-MKF05M-BL</t>
  </si>
  <si>
    <t>Polar Hombre Shar 83 Half Zipper Lhotse Blue S</t>
  </si>
  <si>
    <t>LTW25-MKF05S-BL</t>
  </si>
  <si>
    <t>Polar Hombre Shar 83 Half Zipper Lhotse Blue XL</t>
  </si>
  <si>
    <t>LTW25-MKF05XL-BL</t>
  </si>
  <si>
    <t>Polar Hombre Tejido Middle 84 Lhotse Black L</t>
  </si>
  <si>
    <t>LTW25-MKF04L-BK</t>
  </si>
  <si>
    <t>Polar Hombre Tejido Middle 84 Lhotse Black M</t>
  </si>
  <si>
    <t>LTW25-MKF04M-BK</t>
  </si>
  <si>
    <t>Polar Hombre Tejido Middle 84 Lhotse Black S</t>
  </si>
  <si>
    <t>LTW25-MKF04S-BK</t>
  </si>
  <si>
    <t>Polar Hombre Tejido Middle 84 Lhotse Black XL</t>
  </si>
  <si>
    <t>LTW25-MKF04XL-BK</t>
  </si>
  <si>
    <t>Polar Hombre Tejido Middle 84 Lhotse Blue L</t>
  </si>
  <si>
    <t>LTW25-MKF04L-BL</t>
  </si>
  <si>
    <t>Polar Hombre Tejido Middle 84 Lhotse Blue M</t>
  </si>
  <si>
    <t>LTW25-MKF04M-BL</t>
  </si>
  <si>
    <t>Polar Hombre Tejido Middle 84 Lhotse Blue S</t>
  </si>
  <si>
    <t>LTW25-MKF04S-BL</t>
  </si>
  <si>
    <t>Polar Hombre Tejido Middle 84 Lhotse Blue XL</t>
  </si>
  <si>
    <t>LTW25-MKF04XL-BL</t>
  </si>
  <si>
    <t>Polar Segunda Capa Lobuche Black L Lhotse</t>
  </si>
  <si>
    <t>LTW25-MKF03L-BK</t>
  </si>
  <si>
    <t>Polar Segunda Capa Lobuche Black M Lhotse</t>
  </si>
  <si>
    <t>LTW25-MKF03M-BK</t>
  </si>
  <si>
    <t>Polar Segunda Capa Lobuche Black S Lhotse</t>
  </si>
  <si>
    <t>LTW25-MKF03S-BK</t>
  </si>
  <si>
    <t>Polar Segunda Capa Lobuche Black XL Lhotse</t>
  </si>
  <si>
    <t>LTW25-MKF03XL-BK</t>
  </si>
  <si>
    <t>Polar Segunda Capa Lobuche Green L Lhotse</t>
  </si>
  <si>
    <t>LTW25-MKF03L-GR</t>
  </si>
  <si>
    <t>Polar Segunda Capa Lobuche Green M Lhotse</t>
  </si>
  <si>
    <t>LTW25-MKF03M-GR</t>
  </si>
  <si>
    <t>Polar Segunda Capa Lobuche Green S Lhotse</t>
  </si>
  <si>
    <t>LTW25-MKF03S-GR</t>
  </si>
  <si>
    <t>Polar Segunda Capa Lobuche Green XL Lhotse</t>
  </si>
  <si>
    <t>LTW25-MKF03XL-GR</t>
  </si>
  <si>
    <t>Polerón Katmandú  NEGRO L</t>
  </si>
  <si>
    <t>LTW25-MSW06L-GRY</t>
  </si>
  <si>
    <t>Polerón Katmandú  NEGRO M</t>
  </si>
  <si>
    <t>LTW25-MSW06M-GRY</t>
  </si>
  <si>
    <t>Polerón Katmandú  NEGRO S</t>
  </si>
  <si>
    <t>LTW25-MSW06S-GRY</t>
  </si>
  <si>
    <t>Polerón Katmandú  NEGRO XL</t>
  </si>
  <si>
    <t>LTW25-MSW06XL-GRY</t>
  </si>
  <si>
    <t>Polerón Katmandú  VERDE L</t>
  </si>
  <si>
    <t>LTW25-MSW06L-GR</t>
  </si>
  <si>
    <t>Polerón Katmandú  VERDE M</t>
  </si>
  <si>
    <t>LTW25-MSW06M-GR</t>
  </si>
  <si>
    <t>Polerón Katmandú  VERDE S</t>
  </si>
  <si>
    <t>LTW25-MSW06S-GR</t>
  </si>
  <si>
    <t>Polerón Katmandú  VERDE XL</t>
  </si>
  <si>
    <t>LTW25-MSW06XL-GR</t>
  </si>
  <si>
    <t>Sherpa Main 85  BEIGE L</t>
  </si>
  <si>
    <t>LTW25-MKF07L-ECRU</t>
  </si>
  <si>
    <t>Sherpa Main 85  BEIGE M</t>
  </si>
  <si>
    <t>LTW25-MKF07M-ECRU</t>
  </si>
  <si>
    <t>Sherpa Main 85  BEIGE S</t>
  </si>
  <si>
    <t>LTW25-MKF07S-ECRU</t>
  </si>
  <si>
    <t>Sherpa Main 85  BEIGE XL</t>
  </si>
  <si>
    <t>LTW25-MKF07XL-ECRU</t>
  </si>
  <si>
    <t>Sherpa Main 85  VERDE L</t>
  </si>
  <si>
    <t>LTW25-MKF07L-GR</t>
  </si>
  <si>
    <t>Sherpa Main 85  VERDE M</t>
  </si>
  <si>
    <t>LTW25-MKF07M-GR</t>
  </si>
  <si>
    <t>Sherpa Main 85  VERDE S</t>
  </si>
  <si>
    <t>LTW25-MKF07S-GR</t>
  </si>
  <si>
    <t>Sherpa Main 85  VERDE XL</t>
  </si>
  <si>
    <t>LTW25-MKF07XL-GR</t>
  </si>
  <si>
    <t>Polerón Unisex Sweatshirt Origin Black Talla S</t>
  </si>
  <si>
    <t>LTS26-MSW03OR-S</t>
  </si>
  <si>
    <t>Polerón Unisex Sweatshirt Origin Black Talla M</t>
  </si>
  <si>
    <t>LTS26-MSW03OR-M</t>
  </si>
  <si>
    <t>Polerón Unisex Sweatshirt Origin Black Talla L</t>
  </si>
  <si>
    <t>LTS26-MSW03OR-L</t>
  </si>
  <si>
    <t>Polerón Unisex Sweatshirt Origin Black Talla XL</t>
  </si>
  <si>
    <t>LTS26-MSW03OR-XL</t>
  </si>
  <si>
    <t>Polerón Unisex Sweatshirt Mycena Green Talla S</t>
  </si>
  <si>
    <t>LTS26-MSW03MY-S</t>
  </si>
  <si>
    <t>Polerón Unisex Sweatshirt Mycena Green Talla M</t>
  </si>
  <si>
    <t>LTS26-MSW03MY-M</t>
  </si>
  <si>
    <t>Polerón Unisex Sweatshirt Mycena Green Talla L</t>
  </si>
  <si>
    <t>LTS26-MSW03MY-L</t>
  </si>
  <si>
    <t>Polerón Unisex Sweatshirt Mycena Green Talla XL</t>
  </si>
  <si>
    <t>LTS26-MSW03MY-XL</t>
  </si>
  <si>
    <t>Segunda Capa Mujer Lobuche Cap Black Talla S</t>
  </si>
  <si>
    <t>LTS26-WKF04S-BK</t>
  </si>
  <si>
    <t>Segunda Capa Mujer Lobuche Cap Black Talla M</t>
  </si>
  <si>
    <t>LTS26-WKF04M-BK</t>
  </si>
  <si>
    <t>Segunda Capa Mujer Lobuche Cap Black Talla L</t>
  </si>
  <si>
    <t>LTS26-WKF04L-BK</t>
  </si>
  <si>
    <t>Segunda Capa Mujer Lobuche Cap Black Talla XL</t>
  </si>
  <si>
    <t>LTS26-WKF04XL-BK</t>
  </si>
  <si>
    <t>Segunda Capa Mujer Lobuche Cap Pink Talla S</t>
  </si>
  <si>
    <t>LTS26-WKF04S-PK</t>
  </si>
  <si>
    <t>Segunda Capa Mujer Lobuche Cap Pink Talla M</t>
  </si>
  <si>
    <t>LTS26-WKF04M-PK</t>
  </si>
  <si>
    <t>Segunda Capa Mujer Lobuche Cap Pink Talla L</t>
  </si>
  <si>
    <t>LTS26-WKF04L-PK</t>
  </si>
  <si>
    <t>Segunda Capa Mujer Lobuche Cap Pink Talla XL</t>
  </si>
  <si>
    <t>LTS26-WKF04XL-PK</t>
  </si>
  <si>
    <t>Poleras y Primeras Capas</t>
  </si>
  <si>
    <t>Polera Hombre Manga Corta Nepal L Beige</t>
  </si>
  <si>
    <t>LTW25-MTS02L-BG</t>
  </si>
  <si>
    <t>Polera Hombre Manga Corta Nepal L Deep Grey</t>
  </si>
  <si>
    <t>LTW25-MTS02L-GRY</t>
  </si>
  <si>
    <t>Polera Hombre Manga Corta Nepal L Green</t>
  </si>
  <si>
    <t>LTW25-MTS02L-GR</t>
  </si>
  <si>
    <t>Polera Hombre Manga Corta Nepal M Beige</t>
  </si>
  <si>
    <t>LTW25-MTS02M-BG</t>
  </si>
  <si>
    <t>Polera Hombre Manga Corta Nepal M Deep Grey</t>
  </si>
  <si>
    <t>LTW25-MTS02M-GRY</t>
  </si>
  <si>
    <t>Polera Hombre Manga Corta Nepal M Green</t>
  </si>
  <si>
    <t>LTW25-MTS02M-GR</t>
  </si>
  <si>
    <t>Polera Hombre Manga Corta Nepal S Beige</t>
  </si>
  <si>
    <t>LTW25-MTS02S-BG</t>
  </si>
  <si>
    <t>Polera Hombre Manga Corta Nepal S Deep Grey</t>
  </si>
  <si>
    <t>LTW25-MTS02S-GRY</t>
  </si>
  <si>
    <t>Polera Hombre Manga Corta Nepal S Green</t>
  </si>
  <si>
    <t>LTW25-MTS02S-GR</t>
  </si>
  <si>
    <t>Polera Hombre Manga Corta Nepal XL Beige</t>
  </si>
  <si>
    <t>LTW25-MTS02XL-BG</t>
  </si>
  <si>
    <t>Polera Hombre Manga Corta Nepal XL Deep Grey</t>
  </si>
  <si>
    <t>LTW25-MTS02XL-GRY</t>
  </si>
  <si>
    <t>Polera Hombre Manga Corta Nepal XL Green</t>
  </si>
  <si>
    <t>LTW25-MTS02XL-GR</t>
  </si>
  <si>
    <t>Primera Capa Térmica Hombre Dugla Stay Warm Top L Black</t>
  </si>
  <si>
    <t>LTW25-MFL01L-BK</t>
  </si>
  <si>
    <t>Primera Capa Térmica Hombre Dugla Stay Warm Top M Black</t>
  </si>
  <si>
    <t>LTW25-MFL01M-BK</t>
  </si>
  <si>
    <t>Primera Capa Térmica Hombre Dugla Stay Warm Top S Black</t>
  </si>
  <si>
    <t>LTW25-MFL01S-BK</t>
  </si>
  <si>
    <t>Primera Capa Térmica Hombre Dugla Stay Warm Top XL Black</t>
  </si>
  <si>
    <t>LTW25-MFL01XL-BK</t>
  </si>
  <si>
    <t>Polera Hombre Deportiva Boyak Green Talla S</t>
  </si>
  <si>
    <t>LTS26-MTS01S-GR</t>
  </si>
  <si>
    <t>Polera Hombre Deportiva Boyak Green Talla M</t>
  </si>
  <si>
    <t>LTS26-MTS01M-GR</t>
  </si>
  <si>
    <t>Polera Hombre Deportiva Boyak Green Talla L</t>
  </si>
  <si>
    <t>LTS26-MTS01L-GR</t>
  </si>
  <si>
    <t>Polera Hombre Deportiva Boyak Green Talla XL</t>
  </si>
  <si>
    <t>LTS26-MTS01XL-GR</t>
  </si>
  <si>
    <t>Polera Hombre Deportiva Boyak Blue Talla S</t>
  </si>
  <si>
    <t>LTS26-MTS01S-BL</t>
  </si>
  <si>
    <t>Polera Hombre Deportiva Boyak Blue Talla M</t>
  </si>
  <si>
    <t>LTS26-MTS01M-BL</t>
  </si>
  <si>
    <t>Polera Hombre Deportiva Boyak Blue Talla L</t>
  </si>
  <si>
    <t>LTS26-MTS01L-BL</t>
  </si>
  <si>
    <t>Polera Hombre Deportiva Boyak Blue Talla XL</t>
  </si>
  <si>
    <t>LTS26-MTS01XL-BL</t>
  </si>
  <si>
    <t>Polera Hombre Deportiva Boyak Gray Talla S</t>
  </si>
  <si>
    <t>LTS26-MTS01S-GY</t>
  </si>
  <si>
    <t>LTS26-MTS01S-BK</t>
  </si>
  <si>
    <t>Polera Hombre Deportiva Boyak Gray Talla M</t>
  </si>
  <si>
    <t>LTS26-MTS01M-GY</t>
  </si>
  <si>
    <t>LTS26-MTS01M-BK</t>
  </si>
  <si>
    <t>Polera Hombre Deportiva Boyak Gray Talla L</t>
  </si>
  <si>
    <t>LTS26-MTS01L-GY</t>
  </si>
  <si>
    <t>LTS26-MTS01L-BK</t>
  </si>
  <si>
    <t>Polera Hombre Deportiva Boyak Gray Talla XL</t>
  </si>
  <si>
    <t>LTS26-MTS01XL-GY</t>
  </si>
  <si>
    <t>LTS26-MTS01XL-BK</t>
  </si>
  <si>
    <t>Polera Hombre Manga Corta Digueñe Talla S</t>
  </si>
  <si>
    <t>LTS26-MTS02BDS-BK</t>
  </si>
  <si>
    <t>Polera Hombre Manga Corta Digueñe Talla M</t>
  </si>
  <si>
    <t>LTS26-MTS02BDM-BK</t>
  </si>
  <si>
    <t>Polera Hombre Manga Corta Digueñe Talla L</t>
  </si>
  <si>
    <t>LTS26-MTS02BDL-BK</t>
  </si>
  <si>
    <t>Polera Hombre Manga Corta Digueñe Talla XL</t>
  </si>
  <si>
    <t>LTS26-MTS02BDXL-BK</t>
  </si>
  <si>
    <t>Polera Hombre Manga Corta Micelio Mycena Talla S</t>
  </si>
  <si>
    <t>LTS26-MTS02BMYS-PK</t>
  </si>
  <si>
    <t>Polera Hombre Manga Corta Micelio Mycena Talla M</t>
  </si>
  <si>
    <t>LTS26-MTS02BMYM-PK</t>
  </si>
  <si>
    <t>Polera Hombre Manga Corta Micelio Mycena Talla L</t>
  </si>
  <si>
    <t>LTS26-MTS02BMYL-PK</t>
  </si>
  <si>
    <t>Polera Hombre Manga Corta Micelio Mycena Talla XL</t>
  </si>
  <si>
    <t>LTS26-MTS02BMYXL-PK</t>
  </si>
  <si>
    <t>Polera Hombre Manga Corta Morchella Esculenta Talla S</t>
  </si>
  <si>
    <t>LTS26-MTS02BES-BG</t>
  </si>
  <si>
    <t>Polera Hombre Manga Corta Morchella Esculenta Talla M</t>
  </si>
  <si>
    <t>LTS26-MTS02BEM-BG</t>
  </si>
  <si>
    <t>Polera Hombre Manga Corta Morchella Esculenta Talla L</t>
  </si>
  <si>
    <t>LTS26-MTS02BEL-BG</t>
  </si>
  <si>
    <t>Polera Hombre Manga Corta Morchella Esculenta Talla XL</t>
  </si>
  <si>
    <t>LTS26-MTS02BEXL-BG</t>
  </si>
  <si>
    <t>Polera Hombre Manga Corta Boletus Loyo Talla S</t>
  </si>
  <si>
    <t>LTS26-MTS02BLS-GY</t>
  </si>
  <si>
    <t>Polera Hombre Manga Corta Boletus Loyo Talla M</t>
  </si>
  <si>
    <t>LTS26-MTS02BLM-GY</t>
  </si>
  <si>
    <t>Polera Hombre Manga Corta Boletus Loyo Talla L</t>
  </si>
  <si>
    <t>LTS26-MTS02BLL-GY</t>
  </si>
  <si>
    <t>Polera Hombre Manga Corta Boletus Loyo Talla XL</t>
  </si>
  <si>
    <t>LTS26-MTS02BLXL-GY</t>
  </si>
  <si>
    <t>Polera Hombre Manga Corta Amanita Muscaria Talla S</t>
  </si>
  <si>
    <t>LTS26-MTS02BMUS-GR</t>
  </si>
  <si>
    <t>Polera Hombre Manga Corta Amanita Muscaria Talla M</t>
  </si>
  <si>
    <t>LTS26-MTS02BMUM-GR</t>
  </si>
  <si>
    <t>Polera Hombre Manga Corta Amanita Muscaria Talla L</t>
  </si>
  <si>
    <t>LTS26-MTS02BMUL-GR</t>
  </si>
  <si>
    <t>Polera Hombre Manga Corta Amanita Muscaria Talla XL</t>
  </si>
  <si>
    <t>LTS26-MTS02BMUXL-GR</t>
  </si>
  <si>
    <t>Video</t>
  </si>
  <si>
    <t>Cámaras de acción</t>
  </si>
  <si>
    <t>Camara de Accion HD 4K</t>
  </si>
  <si>
    <t>Cámara Deportiva 4k H1 Video Con Accesorios</t>
  </si>
  <si>
    <t>Camara de accion doble 5K 60ftp</t>
  </si>
  <si>
    <t>LHCAMACPEKP</t>
  </si>
  <si>
    <t>Camara de acción doble pantalla 4k 30ftps</t>
  </si>
  <si>
    <t>LHCAMACXPL</t>
  </si>
  <si>
    <t>Cámara de Acción Deportiva Summit 5k 30fps Accesorios</t>
  </si>
  <si>
    <t>LHCAMACSUM</t>
  </si>
  <si>
    <t>Total Lhotse</t>
  </si>
  <si>
    <t>Simplit</t>
  </si>
  <si>
    <t>Cristalería y Bar</t>
  </si>
  <si>
    <t>Bar</t>
  </si>
  <si>
    <t>Decantador Chateau 1650ml</t>
  </si>
  <si>
    <t>SIMDECCHA</t>
  </si>
  <si>
    <t>Decantador Rouge 1500ml</t>
  </si>
  <si>
    <t>SIMDECROU</t>
  </si>
  <si>
    <t>Descorchador Sommelier Simplit</t>
  </si>
  <si>
    <t>SIMDESSOM</t>
  </si>
  <si>
    <t>Hielera Vidrio Charlotte Tapa Madera 3,8lts Simplit</t>
  </si>
  <si>
    <t>SIMHIECHAR</t>
  </si>
  <si>
    <t>Cubetas de hielo</t>
  </si>
  <si>
    <t>Cubeta de Hielo Silicona 6 Hielos Grandes</t>
  </si>
  <si>
    <t>Cubeta Hielo Pequeño</t>
  </si>
  <si>
    <t>Cubeta Hielo redondo 6 unidades</t>
  </si>
  <si>
    <t>Cubeta Hielo Regular 15 unidades</t>
  </si>
  <si>
    <t>Vasos</t>
  </si>
  <si>
    <t>Set 2 Moscow Mule Mug</t>
  </si>
  <si>
    <t>Set 2 Vasos de Vidrio Estilo Japonés 320 ml</t>
  </si>
  <si>
    <t>Set 2 vasos Moscow Mule M2</t>
  </si>
  <si>
    <t>Set 2 Vasos Vidrio Borosilicato 550 ml</t>
  </si>
  <si>
    <t>Set 2 Vasos Vidrio Doble Pared 400 ml</t>
  </si>
  <si>
    <t>Set 6 copas cerveceras 420ml</t>
  </si>
  <si>
    <t>Set 6 vasos cerveceros 380ml</t>
  </si>
  <si>
    <t>Set 6 vasos copa redondos 340ml</t>
  </si>
  <si>
    <t>Set 6 vasos Vintage 200ml</t>
  </si>
  <si>
    <t>Set 6 vasos vintage 350ml</t>
  </si>
  <si>
    <t>Set 6 vasos whisky 270ml</t>
  </si>
  <si>
    <t>Set 6 Copas Espumante Monaco Simplit</t>
  </si>
  <si>
    <t>SIMCOPESPMON</t>
  </si>
  <si>
    <t>Set 6 Copas Vino Tinto Piamonte Simplit</t>
  </si>
  <si>
    <t>SIMCOPVINPIAM</t>
  </si>
  <si>
    <t>Set 6 Copas Vino Blanco Alsacia Simplit</t>
  </si>
  <si>
    <t>SIMCOPVINALSA</t>
  </si>
  <si>
    <t>Set 6 Copas Gin London Simplit</t>
  </si>
  <si>
    <t>SIMCOPGINLDN</t>
  </si>
  <si>
    <t>Set 6 Vasos Largos Ginebra Simplit</t>
  </si>
  <si>
    <t>SIMVASLARGINE</t>
  </si>
  <si>
    <t>Set 6 Vasos Cortos Ginebra Simplit</t>
  </si>
  <si>
    <t>SIMVASCORGINE</t>
  </si>
  <si>
    <t>Electrodomésticos</t>
  </si>
  <si>
    <t>Espumadores</t>
  </si>
  <si>
    <t>Espumador de Leche BLANCO</t>
  </si>
  <si>
    <t>Espumador de Leche NEGRO</t>
  </si>
  <si>
    <t>Juegos de Mesa</t>
  </si>
  <si>
    <t>Juego de cachos 4 unidades</t>
  </si>
  <si>
    <t>Menaje de Cocina</t>
  </si>
  <si>
    <t>Baterías de cocina</t>
  </si>
  <si>
    <t>Batería de Cocina Oregon 5 piezas</t>
  </si>
  <si>
    <t>SIMBATORG-BK</t>
  </si>
  <si>
    <t>Bateria de Ollas Oxford 15 Piezas</t>
  </si>
  <si>
    <t>SMBATOXBK</t>
  </si>
  <si>
    <t>Batería de Cocina Antiadherente Classic 8 Piezas Simplit</t>
  </si>
  <si>
    <t>Batería de Cocina Antiadherente Copper 7 Piezas Simplit</t>
  </si>
  <si>
    <t>Bateria de olla Black Cooper 7 Piezas</t>
  </si>
  <si>
    <t>SMBATCOPBK</t>
  </si>
  <si>
    <t>Bateria de ollas 7 pcs Toulouse</t>
  </si>
  <si>
    <t>SIMBATOTOUL</t>
  </si>
  <si>
    <t>Bateria de ollas Zavannah 9 Piezas</t>
  </si>
  <si>
    <t>SMBATSAV9-CR</t>
  </si>
  <si>
    <t>Batería de Cocina Antiadherente Pompei Granito 7 Piezas Simplit</t>
  </si>
  <si>
    <t>SMBATPMGR</t>
  </si>
  <si>
    <t>Batería de Cocina Antiadherente Lucca 10 Piezas Simplit</t>
  </si>
  <si>
    <t>SMBATLCGR</t>
  </si>
  <si>
    <t>Cuchilleria</t>
  </si>
  <si>
    <t>Ser de Cuchilleria 30 pcs Acero Inoxidable Puglia Simplit</t>
  </si>
  <si>
    <t>SIMCUPGL-30</t>
  </si>
  <si>
    <t>Set Cuchillos 5 pcs Marsella Simplit</t>
  </si>
  <si>
    <t>SIMCUMAR-WO</t>
  </si>
  <si>
    <t>Set Cuchillos 5 pcs Paris Simplit</t>
  </si>
  <si>
    <t>SIMCUMAR-BK</t>
  </si>
  <si>
    <t>Set Cuchillos para Queso 4 pcs Provenza Simplit</t>
  </si>
  <si>
    <t>SIMCUPRO-4</t>
  </si>
  <si>
    <t>Set de cuchilleria 24 pcs cubiertos Le Mans Simplit</t>
  </si>
  <si>
    <t>SIMCUVER-WO</t>
  </si>
  <si>
    <t>Set de cuchilleria 24 pcs cubiertos Versalle Simplit</t>
  </si>
  <si>
    <t>SIMCUVER-CR</t>
  </si>
  <si>
    <t>Set de Cuchilleria 30 pcs Acero Inoxidable Sicilia Simplit</t>
  </si>
  <si>
    <t>SIMCUROM-30</t>
  </si>
  <si>
    <t>Set de Cucharas Ensalada Versalle Simplit</t>
  </si>
  <si>
    <t>SIMCENVER-CR</t>
  </si>
  <si>
    <t>Set Cuchillos Holz 5pcs + Taco Acero Inoxidable Simplit</t>
  </si>
  <si>
    <t>SIMCUHOL-5</t>
  </si>
  <si>
    <t>Set Cuchillos Küche 5pcs + Base Magnetica Acero Inoxidable Simplit</t>
  </si>
  <si>
    <t>SIMCUKUC-5</t>
  </si>
  <si>
    <t>Set Cuchillos Stahl 5pcs + Taco Acero Inoxidable Simplit</t>
  </si>
  <si>
    <t>SIMCUSTA-5</t>
  </si>
  <si>
    <t>Set de cuchilleria 24 pcs cubiertos Paris Simplit</t>
  </si>
  <si>
    <t>SIMCUPAR-BK</t>
  </si>
  <si>
    <t>Set de Cuchilleria 24 pcs Acero Inoxidable Cerdeña Simplit</t>
  </si>
  <si>
    <t>SIMCUCER-24</t>
  </si>
  <si>
    <t>Mantequilleros</t>
  </si>
  <si>
    <t>Mantequillero cerámica tapa bamboo 300ml</t>
  </si>
  <si>
    <t>Mantequillero cerámica tapa bamboo con cuchillo 600ml</t>
  </si>
  <si>
    <t>Mantequillero cerámica tapa bamboo con cuchillo 600ml NEGRO</t>
  </si>
  <si>
    <t>SIMMANCC-BK</t>
  </si>
  <si>
    <t>Sartenes y Ollas</t>
  </si>
  <si>
    <t>Caserola Toulouse Serie 28cm</t>
  </si>
  <si>
    <t>SIMO28TOUL</t>
  </si>
  <si>
    <t>Olla salsa Toulouse Serie 18cm</t>
  </si>
  <si>
    <t>SIMO18TOUL</t>
  </si>
  <si>
    <t>Olla Toulouse Serie 24 cms</t>
  </si>
  <si>
    <t>SIMO24TOUL</t>
  </si>
  <si>
    <t>Sarten 24cm Copper Colection</t>
  </si>
  <si>
    <t>Sartén Antiadherente Tapa 28cm Copper</t>
  </si>
  <si>
    <t>Sarten Toulouse Serie 24 cm</t>
  </si>
  <si>
    <t>SIMS24TOUL</t>
  </si>
  <si>
    <t>Termos de comida</t>
  </si>
  <si>
    <t>Termo Comida 430ml Azul</t>
  </si>
  <si>
    <t>Termo Comida 430ml Negro</t>
  </si>
  <si>
    <t>Termo Comida 430ml Rosado</t>
  </si>
  <si>
    <t>Termo Comida 750 ml Simplit Gris</t>
  </si>
  <si>
    <t>Termo Comida 750 ml Simplit Negro</t>
  </si>
  <si>
    <t>Termo Comida 750 ml Simplit Rosado</t>
  </si>
  <si>
    <t>Utensilios de cocina</t>
  </si>
  <si>
    <t>Cortador colador multifuncional</t>
  </si>
  <si>
    <t>Pesa Cocina silver</t>
  </si>
  <si>
    <t>Set de utensilios de cocina Calipso</t>
  </si>
  <si>
    <t>Set de utensilios de cocina Negro</t>
  </si>
  <si>
    <t>Tabla de corte Plegable 3 en 1</t>
  </si>
  <si>
    <t>Tabla de corte Madera Cutte Simplit</t>
  </si>
  <si>
    <t>SIMTABCUT-WD</t>
  </si>
  <si>
    <t>Mundo Café</t>
  </si>
  <si>
    <t>Cafeteras</t>
  </si>
  <si>
    <t>Cafetera Francesa 600ml Negro</t>
  </si>
  <si>
    <t>Cafetera Italiana Negro Granito 4 tazas</t>
  </si>
  <si>
    <t>Cafetera Italiana Negro Granito12 Tazas</t>
  </si>
  <si>
    <t>Cafetera Prensa Francesa Vidrio Cobre 600 ml</t>
  </si>
  <si>
    <t>SIMCAFFRCO</t>
  </si>
  <si>
    <t>Tazas</t>
  </si>
  <si>
    <t>Set 2 Tazas Doble Pared Espresso 80 ml</t>
  </si>
  <si>
    <t>Taza Mug Vidrio Doble Pared 300 ml</t>
  </si>
  <si>
    <t>Taza Vidrio Doble Pared 350 ml</t>
  </si>
  <si>
    <t>Termo Insulado 1 Lt Blanco</t>
  </si>
  <si>
    <t>Termo Insulado 1 Lt Gris</t>
  </si>
  <si>
    <t>Vaso termico con tapa y bombilla Morado</t>
  </si>
  <si>
    <t>Vaso termico con tapa y bombilla Negro</t>
  </si>
  <si>
    <t>Vaso termico con tapa y bombilla Rosado</t>
  </si>
  <si>
    <t>Jarra Termo Liquido Insulado 1 Lt Blanca Simplit</t>
  </si>
  <si>
    <t>SIMJARTER-WH</t>
  </si>
  <si>
    <t>Jarra Termo Liquido Insulado 1 Lt Negra Simplit</t>
  </si>
  <si>
    <t>SIMJARTER-BK</t>
  </si>
  <si>
    <t>Jarra Termo Liquido Insulado 1 Lt Pistacho Simplit</t>
  </si>
  <si>
    <t>SIMJARTER-GR</t>
  </si>
  <si>
    <t>Organización</t>
  </si>
  <si>
    <t>Accesorios de Baño</t>
  </si>
  <si>
    <t>Set Accesorios de Baño 4pcs Ceramica Blanco</t>
  </si>
  <si>
    <t>SIMACCBANC-WH</t>
  </si>
  <si>
    <t>Set Accesorios de Baño 4pcs Ceramica Negro</t>
  </si>
  <si>
    <t>SIMACCBANC-BK</t>
  </si>
  <si>
    <t>Set Accesorios de Baño 6pcs Bambo Blanco</t>
  </si>
  <si>
    <t>SIMACCBANB-WH</t>
  </si>
  <si>
    <t>Set Accesorios de Baño 6pcs Bambo Negro</t>
  </si>
  <si>
    <t>SIMACCBANB-BK</t>
  </si>
  <si>
    <t>Basureros</t>
  </si>
  <si>
    <t>Basurero Cocina Handy 55lts Táctil Acero Inox</t>
  </si>
  <si>
    <t>SIMBACOHA-55</t>
  </si>
  <si>
    <t>Basurero Cocina Iron 40lts Pedal Acero Inox</t>
  </si>
  <si>
    <t>SIMBACOIR-40</t>
  </si>
  <si>
    <t>Basurero Cocina Urban 30lts Pedal Acero Inox</t>
  </si>
  <si>
    <t>SIMBACOUR-30</t>
  </si>
  <si>
    <t>Contenedores</t>
  </si>
  <si>
    <t>Contenedor Cerámica L Blanco</t>
  </si>
  <si>
    <t>Contenedor Cerámica L Negro</t>
  </si>
  <si>
    <t>Contenedor Cerámica M Blanco</t>
  </si>
  <si>
    <t>Contenedor Cerámica M Negro</t>
  </si>
  <si>
    <t>Contenedor Cerámica S Blanco</t>
  </si>
  <si>
    <t>Contenedor Cerámica S Negro</t>
  </si>
  <si>
    <t>Organizador de refrigerador con cesta L</t>
  </si>
  <si>
    <t>Organizador de refrigerador con cesta M</t>
  </si>
  <si>
    <t>Organizador de refrigerador L</t>
  </si>
  <si>
    <t>Organizador de refrigerador S</t>
  </si>
  <si>
    <t>Panera Metálica con Tapa Bamboo Blanca</t>
  </si>
  <si>
    <t>Set 3 Bowl Metálico</t>
  </si>
  <si>
    <t>Set 3 Contenedores Hermeticos</t>
  </si>
  <si>
    <t>Set 4 Contenedores Hermeticos Redondos</t>
  </si>
  <si>
    <t>SIMCONRED</t>
  </si>
  <si>
    <t>Set 4 Tupper vidrio tapa Bamboo</t>
  </si>
  <si>
    <t>Set 7 Contenedores Hermeticos</t>
  </si>
  <si>
    <t>Set de 7 Contenedores Herméticos Plástico NEGROS Simplit</t>
  </si>
  <si>
    <t>Tupper acero inoxidable tapa Bamboo 800 ml</t>
  </si>
  <si>
    <t>Tupper Plástico Hermético Bento Box Beige</t>
  </si>
  <si>
    <t>SIMTUPSILBEI</t>
  </si>
  <si>
    <t>Tupper Plástico Hermético Bento Box Blue</t>
  </si>
  <si>
    <t>SIMTUPSILBL</t>
  </si>
  <si>
    <t>Tupper Plástico Hermético Bento Box Green</t>
  </si>
  <si>
    <t>SIMTUPSILGR</t>
  </si>
  <si>
    <t>Tupper Plástico Hermético Bento Box Red</t>
  </si>
  <si>
    <t>SIMTUPSILRD</t>
  </si>
  <si>
    <t>Cubiertos</t>
  </si>
  <si>
    <t>Organizador de cubiertos expandible Basel Simplit</t>
  </si>
  <si>
    <t>SIMOREXBAS-WD</t>
  </si>
  <si>
    <t>Especieros</t>
  </si>
  <si>
    <t>Especiero Madera 8 Frascos vidrio</t>
  </si>
  <si>
    <t>Molinillo de Sal y Pimienta</t>
  </si>
  <si>
    <t>Set de Especiero 16 Unidades</t>
  </si>
  <si>
    <t>Set 2 Molinillos Madera Verona Simplit</t>
  </si>
  <si>
    <t>SIMMOLVER-WD</t>
  </si>
  <si>
    <t>Secadores de platos</t>
  </si>
  <si>
    <t>Secaplato Blanco 1 Nivel</t>
  </si>
  <si>
    <t>Secaplato Negro 1 Nivel</t>
  </si>
  <si>
    <t>Secaplatos 2 niveles armable</t>
  </si>
  <si>
    <t>Secaplatos Escurridor 2 Niveles Acero Inox Blanco</t>
  </si>
  <si>
    <t>Secaplatos Escurridor 2 Niveles Acero Inox Negro</t>
  </si>
  <si>
    <t>Secaplatos Escurridor Acero Inox Bilbao 2 niveles Negro</t>
  </si>
  <si>
    <t>SIMSECBILBK</t>
  </si>
  <si>
    <t>Secaplatos Escurridor Acero Inox Bilbao 2 niveles Blanco</t>
  </si>
  <si>
    <t>SIMSECBILWH</t>
  </si>
  <si>
    <t>Secaplatos Escurridor Acero Inox Valencia 2 niveles Negro</t>
  </si>
  <si>
    <t>SIMSECVALBK</t>
  </si>
  <si>
    <t>Secaplatos Escurridor Acero Inox Valencia 2 niveles Blanco</t>
  </si>
  <si>
    <t>SIMSECVALWH</t>
  </si>
  <si>
    <t>Parrillas</t>
  </si>
  <si>
    <t>Parrilla Carbón</t>
  </si>
  <si>
    <t>Parrilla Portátil Carbón Kettle Negra 17''</t>
  </si>
  <si>
    <t>Parrilla Portátil Carbón Kettle Roja 17''</t>
  </si>
  <si>
    <t>Vajilla</t>
  </si>
  <si>
    <t>Alcuzas</t>
  </si>
  <si>
    <t>Set 2 Alcuza de Cerámica cuadrada</t>
  </si>
  <si>
    <t>Set 2 Alcuza de Cerámica redonda</t>
  </si>
  <si>
    <t>Fuentes</t>
  </si>
  <si>
    <t>Fuente Ovalada Aperitivo Cerámica Amalfi Simplit</t>
  </si>
  <si>
    <t>SIMFUEAMA</t>
  </si>
  <si>
    <t>Fuente Ovalada Aperitivo Cerámica Siena Simplit</t>
  </si>
  <si>
    <t>SIMFUESIE</t>
  </si>
  <si>
    <t>Fuente Ovalada Aperitivo Cerámica Vittoria Simplit</t>
  </si>
  <si>
    <t>SIMFUEVIT</t>
  </si>
  <si>
    <t>Fuente para Horno Olla Cerámica Roja</t>
  </si>
  <si>
    <t>Set 3 Fuentes para horno</t>
  </si>
  <si>
    <t>Juego de Loza</t>
  </si>
  <si>
    <t>Juego Loza Cerámica 12 pcs Toscana Simplit</t>
  </si>
  <si>
    <t>SIMJULZTOS-12</t>
  </si>
  <si>
    <t>Juego Loza Cerámica 16 pcs Amalfi Simplit</t>
  </si>
  <si>
    <t>SIMJULZAMA-16</t>
  </si>
  <si>
    <t>Juego Loza Cerámica 30 pcs Siena Simplit</t>
  </si>
  <si>
    <t>SIMJULZSIE-30</t>
  </si>
  <si>
    <t>Juego de Loza 30 pcs Cerámica Bruselas Simplit</t>
  </si>
  <si>
    <t>SIMJULZBRU-30</t>
  </si>
  <si>
    <t>Juego Loza Cerámica 24 pcs Amalfi Simplit</t>
  </si>
  <si>
    <t>SIMJULZAMA-24</t>
  </si>
  <si>
    <t>Juego de Loza 30 pcs Cerámica Oporto Simplit</t>
  </si>
  <si>
    <t>SIMJULZOPO-30</t>
  </si>
  <si>
    <t>Loza Granel</t>
  </si>
  <si>
    <t>Set 2 Tazas Cerámica 420ml Palermo Simplit</t>
  </si>
  <si>
    <t>SIMTAZPAL-2</t>
  </si>
  <si>
    <t>Set 4 Bowls Cerámica 7,5cm Amalfi Simplit</t>
  </si>
  <si>
    <t>SIMBOWAMA-4</t>
  </si>
  <si>
    <t>Set 4 Bowls Cerámica 7,5cm Siena Simplit</t>
  </si>
  <si>
    <t>SIMBOWSIE-4</t>
  </si>
  <si>
    <t>Set 4 Platos Fondo Cerámica 27,4cm Amalfi Simplit</t>
  </si>
  <si>
    <t>SIMPLAMA-4</t>
  </si>
  <si>
    <t>Set 4 Platos Fondo Cerámica 27,4cm Siena Simplit</t>
  </si>
  <si>
    <t>SIMPLSIE-4</t>
  </si>
  <si>
    <t>Set 4 Vasos Cerámica 270ml Amalfi Simplit</t>
  </si>
  <si>
    <t>SIMBOWTAZ-4</t>
  </si>
  <si>
    <t>Set 4 Vasos Cerámica 270ml Siena Simplit</t>
  </si>
  <si>
    <t>SIMTAZSIE-4</t>
  </si>
  <si>
    <t>Total Simplit</t>
  </si>
  <si>
    <t>Xroad</t>
  </si>
  <si>
    <t>Accesorios de Automovil</t>
  </si>
  <si>
    <t>Cobertores y Tapices</t>
  </si>
  <si>
    <t>Cobertor carpa cubre auto XRoad</t>
  </si>
  <si>
    <t>Cobertor de auto para mascotas</t>
  </si>
  <si>
    <t>Protector De Asiento Individual Auto Mascotas</t>
  </si>
  <si>
    <t>Piso de Goma Auto Universal</t>
  </si>
  <si>
    <t>XRPISUNIS-BK</t>
  </si>
  <si>
    <t>Alfombra Piso de Goma para auto Universal 3 Piezas Xroad</t>
  </si>
  <si>
    <t>XRPISUNIS3-BK</t>
  </si>
  <si>
    <t>Cubre Asientos Cuero Universal 13 Piezas Xroad</t>
  </si>
  <si>
    <t>XRCUBASGM-BK</t>
  </si>
  <si>
    <t>Accesorios de Instalacion</t>
  </si>
  <si>
    <t>Barras y Portaequipaje</t>
  </si>
  <si>
    <t>Barra para auto universal XROOF</t>
  </si>
  <si>
    <t>Barras y Portaequipajes</t>
  </si>
  <si>
    <t>Porta Bicicleta Auto Techo Xplora</t>
  </si>
  <si>
    <t>Rack techo auto</t>
  </si>
  <si>
    <t>Sensores de retroceso</t>
  </si>
  <si>
    <t>Sensor De Retroceso Para Automóviles</t>
  </si>
  <si>
    <t>Toldos y Carpas</t>
  </si>
  <si>
    <t>Toldo lateral Auto camping</t>
  </si>
  <si>
    <t>Accesorios de Viaje</t>
  </si>
  <si>
    <t>Accesorios de Camping</t>
  </si>
  <si>
    <t>Cooler Eléctrico Portátil 25 Lts Gris 12V XRoad</t>
  </si>
  <si>
    <t>XRCOOLPORT-GR</t>
  </si>
  <si>
    <t>Estación de Energía Portatil 12V 300W XRoad</t>
  </si>
  <si>
    <t>XRESTAENER-OG</t>
  </si>
  <si>
    <t>Herramientas y Mantenimiento</t>
  </si>
  <si>
    <t>Herramientas de Asistencia</t>
  </si>
  <si>
    <t>Partidor De Batería Portátil Con Compresor De Aire 12V XRoad</t>
  </si>
  <si>
    <t>XRPARTBAT-GR</t>
  </si>
  <si>
    <t>Cadena Antinapoleonica Rueda Repuesto Xroad</t>
  </si>
  <si>
    <t>XRCANSEG</t>
  </si>
  <si>
    <t>Lavado y Limpieza</t>
  </si>
  <si>
    <t>Hydrolavadora Eléctrica 1800W 120 Bar HydroX Xroad</t>
  </si>
  <si>
    <t>XRHYDLAV-OR</t>
  </si>
  <si>
    <t>Total Xroad</t>
  </si>
  <si>
    <t>T-Care</t>
  </si>
  <si>
    <t>Cuidado Personal</t>
  </si>
  <si>
    <t>Afeitadoras</t>
  </si>
  <si>
    <t>Afeitadora Rasuradora Corporal NeoBlade 3.1 T-Care</t>
  </si>
  <si>
    <t>TCRANEBL</t>
  </si>
  <si>
    <t>Secadores</t>
  </si>
  <si>
    <t>Secador de pelo Multistyler 5 en 1 AeroFlow</t>
  </si>
  <si>
    <t>TCMULTSTY5N1</t>
  </si>
  <si>
    <t>Total T-Care</t>
  </si>
  <si>
    <t>GOYA</t>
  </si>
  <si>
    <t>Aromatizacion</t>
  </si>
  <si>
    <t>Home Spray 500ml Aroma Fig Marie GOYA</t>
  </si>
  <si>
    <t>GOYAHSAM-FM</t>
  </si>
  <si>
    <t>Home Spray 500ml Aroma Sandal Wood GOYA</t>
  </si>
  <si>
    <t>GOYAHSAM-SW</t>
  </si>
  <si>
    <t>Home Spray 500ml Aroma Vanilla Soleil GOYA</t>
  </si>
  <si>
    <t>GOYAHSTR-VS</t>
  </si>
  <si>
    <t>Home Spray 500ml Aroma Citron Verveine GOYA</t>
  </si>
  <si>
    <t>GOYAHSTR-CV</t>
  </si>
  <si>
    <t>Difusor Varillas 150ml Aroma Fig Marie GOYA</t>
  </si>
  <si>
    <t>GOYADVAM-FM</t>
  </si>
  <si>
    <t>Difusor Varillas 150ml Aroma Sandal Wood GOYA</t>
  </si>
  <si>
    <t>GOYADVAM-SW</t>
  </si>
  <si>
    <t>Difusor Varillas 150ml Aroma Vanilla Soleil GOYA</t>
  </si>
  <si>
    <t>GOYADVTR-VS</t>
  </si>
  <si>
    <t>Difusor Varillas 150ml Aroma Citron Verveine GOYA</t>
  </si>
  <si>
    <t>GOYADVTR-CV</t>
  </si>
  <si>
    <t>Total GOYA</t>
  </si>
  <si>
    <t>UMA</t>
  </si>
  <si>
    <t>Botella Termica Niños Barbie Iconic 450ml Acero Inox UMA</t>
  </si>
  <si>
    <t>MTBOBIC450</t>
  </si>
  <si>
    <t>Botella Termica Niños Barbie Malibu 450ml Acero Inox UMA</t>
  </si>
  <si>
    <t>MTBOBMA450</t>
  </si>
  <si>
    <t>Botella Termica Niños Barbie 450ml Acero Inox UMA</t>
  </si>
  <si>
    <t>MTBOBBA450</t>
  </si>
  <si>
    <t>Botella Termica Niños Hot Wheels Race 450ml Acero Inox UMA</t>
  </si>
  <si>
    <t>MTBOHWRA450</t>
  </si>
  <si>
    <t>Botella Termica Niños Hot Wheels Class 450ml Acero Inox UMA</t>
  </si>
  <si>
    <t>MTBOHWCL450</t>
  </si>
  <si>
    <t>Botella Termica Niños Hot Wheels Trucks 450ml Acero Inox UMA</t>
  </si>
  <si>
    <t>MTBOHWTR450</t>
  </si>
  <si>
    <t>Vaso Termico Tumbler Mug Barbie Print 590ml Acero Inox UMA</t>
  </si>
  <si>
    <t>MTVTUMBPR590</t>
  </si>
  <si>
    <t>Vaso Termico Tumbler Mug Barbie Love 590ml Acero Inox UMA</t>
  </si>
  <si>
    <t>MTVTUMBLO590</t>
  </si>
  <si>
    <t>Vaso Termico Tumbler Mug Barbie Dreams 590ml Acero Inox UMA</t>
  </si>
  <si>
    <t>MTVTUMBDR590</t>
  </si>
  <si>
    <t>Vaso Termico Tumbler Mug Barbie Vibes 590ml Acero Inox UMA</t>
  </si>
  <si>
    <t>MTVTUMBVI590</t>
  </si>
  <si>
    <t>Botella Termica Niños Barbie Shine 2 en 1 590ml Acero Inox UMA</t>
  </si>
  <si>
    <t>MTBOBSHI590</t>
  </si>
  <si>
    <t>Botella Termica Niños Barbie Inspire 2 en 1 590ml Acero Inox UMA</t>
  </si>
  <si>
    <t>MTBOBINS590</t>
  </si>
  <si>
    <t>Botella Termica Niños Hot Wheels Fast 2 en 1 590ml Acero Inox UMA</t>
  </si>
  <si>
    <t>MTBOHWFA590</t>
  </si>
  <si>
    <t>Botella Termica Niños Hot Wheels Comic 2 en 1 590ml Acero Inox UMA</t>
  </si>
  <si>
    <t>MTBOHWCOM590</t>
  </si>
  <si>
    <t>Botella Termica Barbie Believer Soporte Magnetico 700ml Acero Inox UMA</t>
  </si>
  <si>
    <t>MTBOBBIL700</t>
  </si>
  <si>
    <t>Botella Termica Barbie World Soporte Magnetico 700ml Acero Inox UMA</t>
  </si>
  <si>
    <t>MTBOBWOR700</t>
  </si>
  <si>
    <t>Botella Termica Barbie Trend Soporte Magnetico 700ml Acero Inox UMA</t>
  </si>
  <si>
    <t>MTBOBBAR700</t>
  </si>
  <si>
    <t>Termo Comida Barbie &amp; Friends + Cuchara 450ml Acero Inox UMA</t>
  </si>
  <si>
    <t>MTTCBFRI450</t>
  </si>
  <si>
    <t>Termo Comida Barbie Fun + Cuchara 450ml Acero Inox UMA</t>
  </si>
  <si>
    <t>MTTCBFUN450</t>
  </si>
  <si>
    <t>Termo Comida Barbie Puppy + Cuchara 330ml Acero Inox UMA</t>
  </si>
  <si>
    <t>MTTCBPUP330</t>
  </si>
  <si>
    <t>Termo Comida Barbie Love + Cuchara 330ml Acero Inox UMA</t>
  </si>
  <si>
    <t>MTTCBLOV330</t>
  </si>
  <si>
    <t>Termo Comida Hot Wheels Truck + Cuchara 330ml Acero Inox UMA</t>
  </si>
  <si>
    <t>MTTCHWTRU330</t>
  </si>
  <si>
    <t>Termo Comida Hot Wheels Class + Cuchara 330ml Acero Inox UMA</t>
  </si>
  <si>
    <t>MTTCHWCLA330</t>
  </si>
  <si>
    <t>Termo Comida Hot Wheels Race + Cuchara 330ml Acero Inox UMA</t>
  </si>
  <si>
    <t>MTTCHWRAC330</t>
  </si>
  <si>
    <t>Botella Agua Niños Barbie &amp; Friends 420ml con Bombilla UMA</t>
  </si>
  <si>
    <t>MTBOBFRI420</t>
  </si>
  <si>
    <t>Botella Agua Niños Barbie &amp; Pets 420ml con Bombilla UMA</t>
  </si>
  <si>
    <t>MTBOBPET420</t>
  </si>
  <si>
    <t>Botella Agua Niños Barbie Love 420ml con Bombilla UMA</t>
  </si>
  <si>
    <t>MTBOBLOV420</t>
  </si>
  <si>
    <t>Botella Agua Niños Hot Wheels Monster Truck 420ml con Bombilla UMA</t>
  </si>
  <si>
    <t>MTBOHWMON420</t>
  </si>
  <si>
    <t>Botella Agua Niños Hot Wheels Race 420ml con Bombilla UMA</t>
  </si>
  <si>
    <t>MTBOHWRAC420</t>
  </si>
  <si>
    <t>Botella Agua Niños Hot Wheels Trucks 420ml con Bombilla UMA</t>
  </si>
  <si>
    <t>MTBOHWTRU420</t>
  </si>
  <si>
    <t>Termo Agua Caliente Barbie Traveller 1,3 litros Acero Inox UMA</t>
  </si>
  <si>
    <t>MTTERBTRA1300</t>
  </si>
  <si>
    <t>Termo Agua Caliente Barbie Pink 1,3 litros Acero Inox UMA</t>
  </si>
  <si>
    <t>MTTERBPIN1300</t>
  </si>
  <si>
    <t>Total UMA</t>
  </si>
  <si>
    <t>Total general</t>
  </si>
  <si>
    <t xml:space="preserve"> </t>
  </si>
  <si>
    <t>INFORMACION CLIENTE</t>
  </si>
  <si>
    <t>INFORMACION UNIONX</t>
  </si>
  <si>
    <t>UnionX</t>
  </si>
  <si>
    <t>Cliente</t>
  </si>
  <si>
    <t>Precios Ciente</t>
  </si>
  <si>
    <t>Costo Cliente</t>
  </si>
  <si>
    <t>Margen</t>
  </si>
  <si>
    <t>Status</t>
  </si>
  <si>
    <t>Seccion</t>
  </si>
  <si>
    <t>Familia</t>
  </si>
  <si>
    <t>Grupo</t>
  </si>
  <si>
    <t>ROI</t>
  </si>
  <si>
    <t>Utilidad UnionX</t>
  </si>
  <si>
    <t>P Etiqueta</t>
  </si>
  <si>
    <t>PVP Oferta</t>
  </si>
  <si>
    <t>Costo</t>
  </si>
  <si>
    <t>Margen Master</t>
  </si>
  <si>
    <t>Margen Oferta</t>
  </si>
  <si>
    <t>MG FRONT</t>
  </si>
  <si>
    <t>MG COMISION</t>
  </si>
  <si>
    <t>Baby Chick Bandú - Mecedor eléctrico de bebé</t>
  </si>
  <si>
    <t>Mecedor Eléctrico Coche Recargable Bebé Baby Chick Bandú</t>
  </si>
  <si>
    <t>$64.990</t>
  </si>
  <si>
    <t>$59.990</t>
  </si>
  <si>
    <t>Mix UnionX</t>
  </si>
  <si>
    <t>$99.990</t>
  </si>
  <si>
    <t>$119.990</t>
  </si>
  <si>
    <t>$139.990</t>
  </si>
  <si>
    <t>$69.990</t>
  </si>
  <si>
    <t>Juguete Infantil Mini Electrodomésticos Cocina Madera Bandú</t>
  </si>
  <si>
    <t>$24.990</t>
  </si>
  <si>
    <t>$16.990</t>
  </si>
  <si>
    <t>$29.990</t>
  </si>
  <si>
    <t>$19.990</t>
  </si>
  <si>
    <t>$14.990</t>
  </si>
  <si>
    <t>$49.990</t>
  </si>
  <si>
    <t>Juguete Infantil mini Heladeria</t>
  </si>
  <si>
    <t>$39.990</t>
  </si>
  <si>
    <t>Andador Correpasillos Bebe Didáctico Madera Bandú</t>
  </si>
  <si>
    <t>$54.990</t>
  </si>
  <si>
    <t>Mesa Infantil Aprendizaje Didactica 7 en 1 Montessori Bandú</t>
  </si>
  <si>
    <t>Juego Bloques Magnéticos 89pcs MineBlocks Aventura Bandú</t>
  </si>
  <si>
    <t>$22.990</t>
  </si>
  <si>
    <t>⁠Juego Bloques Magnéticos 75pcs MineBlocks Mundo Bandú</t>
  </si>
  <si>
    <t>⁠Juego Bloques Magnéticos 146pcs MineBlocks Mapa Bandú</t>
  </si>
  <si>
    <t>$44.990</t>
  </si>
  <si>
    <t>Juego Bloques Magnéticos 54pcs MineBlocks Bob Marino Bandú</t>
  </si>
  <si>
    <t>$9.990</t>
  </si>
  <si>
    <t>Juego Bloques Magnéticos 114pcs MineBlocks Ciudad Bandú</t>
  </si>
  <si>
    <t>$32.990</t>
  </si>
  <si>
    <t>$18.990</t>
  </si>
  <si>
    <t>$149.990</t>
  </si>
  <si>
    <t>$129.990</t>
  </si>
  <si>
    <t>Gimnasio Infantil Juego Pikler Parque 8 en 1 Bandú</t>
  </si>
  <si>
    <t>$349.990</t>
  </si>
  <si>
    <t>$289.990</t>
  </si>
  <si>
    <t>Kit Taladro Destornillador Inalámbrico Dynamo 21v 2 Baterías</t>
  </si>
  <si>
    <t>$89.990</t>
  </si>
  <si>
    <t>Kit Taladro Destornillador Inalámbrico Dynamo 21V 2 baterías</t>
  </si>
  <si>
    <t>GOYADIVA-FM</t>
  </si>
  <si>
    <t>Aromatización</t>
  </si>
  <si>
    <t>Difusor</t>
  </si>
  <si>
    <t>GOYADIVA-SW</t>
  </si>
  <si>
    <t>GOYAHOSP-FM</t>
  </si>
  <si>
    <t>Home Spray</t>
  </si>
  <si>
    <t>$17.990</t>
  </si>
  <si>
    <t>GOYAHOSP-SW</t>
  </si>
  <si>
    <t>GOYAHOSP-VS</t>
  </si>
  <si>
    <t>GOYAHOSP-CV</t>
  </si>
  <si>
    <t>$699.990</t>
  </si>
  <si>
    <t>$649.990</t>
  </si>
  <si>
    <t>$1.699.990</t>
  </si>
  <si>
    <t>$1.399.990</t>
  </si>
  <si>
    <t>Cámara de Inspección Baroscopio con Sonda 20 Mts H3</t>
  </si>
  <si>
    <t>$7.199.990</t>
  </si>
  <si>
    <t>$5.999.990</t>
  </si>
  <si>
    <t>$1.149.990</t>
  </si>
  <si>
    <t>$949.990</t>
  </si>
  <si>
    <t>$1.999.990</t>
  </si>
  <si>
    <t>$999.990</t>
  </si>
  <si>
    <t>$899.990</t>
  </si>
  <si>
    <t>$799.990</t>
  </si>
  <si>
    <t>Cámara de inspección de tuberías de alcantarillado TP9200 endoscopio boroscopio</t>
  </si>
  <si>
    <t>$599.990</t>
  </si>
  <si>
    <t>$549.990</t>
  </si>
  <si>
    <t>Camara de Inspeccion TP9600</t>
  </si>
  <si>
    <t>$1.499.990</t>
  </si>
  <si>
    <t>$1.299.990</t>
  </si>
  <si>
    <t>Camara de Inspeccion TP9607F</t>
  </si>
  <si>
    <t>$1.599.990</t>
  </si>
  <si>
    <t>Camara de Inspeccion U9</t>
  </si>
  <si>
    <t>$159.990</t>
  </si>
  <si>
    <t>Cámaras de Inspeccion</t>
  </si>
  <si>
    <t>$74.990</t>
  </si>
  <si>
    <t>Metalofono Cromatico</t>
  </si>
  <si>
    <t>Levo</t>
  </si>
  <si>
    <t>Cable de Carga USB-C a Lightning 1 Mt Blanco LEVO</t>
  </si>
  <si>
    <t>$5.990</t>
  </si>
  <si>
    <t>Cable de Carga Rápida USB-C 100W 5A 1Mt Blanco LEVO</t>
  </si>
  <si>
    <t>$6.990</t>
  </si>
  <si>
    <t>Cable de Carga Rápida USB-C 100W 5A 1Mt Negro LEVO</t>
  </si>
  <si>
    <t>Soporte Cargador Magnetico V+</t>
  </si>
  <si>
    <t>Cargador Inalámbrico Carga Rapida iPhone 12/13 Auto V+ LEVO</t>
  </si>
  <si>
    <t>Soporte Cargador Magnetico V01</t>
  </si>
  <si>
    <t>Cargador Inalámbrico Carga Rápida Magnético Auto VO1 LEVO</t>
  </si>
  <si>
    <t>Cargador 25W Blanco</t>
  </si>
  <si>
    <t>Cargador Super Rapido De Pared 25W USB-C Blanco LEVO</t>
  </si>
  <si>
    <t>Cargador 25W Negro</t>
  </si>
  <si>
    <t>Cargador Super Rapido De Pared 25W USB-C Negro LEVO</t>
  </si>
  <si>
    <t>Cargador 45 W Blanco</t>
  </si>
  <si>
    <t>Cargador Ultra Rapido De Pared 45W USB-C Blanco LEVO</t>
  </si>
  <si>
    <t>$8.990</t>
  </si>
  <si>
    <t>Cargador 45 W Negro</t>
  </si>
  <si>
    <t>Cargador Ultra Rapido De Pared 45W USB-C Negro LEVO</t>
  </si>
  <si>
    <t>Hub USB-C Adaptador Multipuerto 5 en 1 Macbook Windows LEVO</t>
  </si>
  <si>
    <t>$12.990</t>
  </si>
  <si>
    <t>Hub USB-C Adaptador Multipuerto 6 en 1 Macbook Windows LEVO</t>
  </si>
  <si>
    <t>$11.990</t>
  </si>
  <si>
    <t>Funda LEVO HardShell para Notebook 13-14" Negro</t>
  </si>
  <si>
    <t>Funda HardShell Notebook 13-14" Negra LEVO</t>
  </si>
  <si>
    <t>Funda LEVO HardShell para Notebook 15-16" Negro</t>
  </si>
  <si>
    <t>Funda HardShell Notebook 15-16" Negra LEVO</t>
  </si>
  <si>
    <t>Funda Notebook EXECUTIVE</t>
  </si>
  <si>
    <t>Funda Maletin Notebook EXECUTIVE 15,6" Negra LEVO</t>
  </si>
  <si>
    <t>Mochila de Viaje AeroSuite 30 L Negra Levo</t>
  </si>
  <si>
    <t>Mochila Viaje Impermeable Notebook 30L Aerosuite Negra LEVO</t>
  </si>
  <si>
    <t>$79.990</t>
  </si>
  <si>
    <t>Mochila Levo Computador</t>
  </si>
  <si>
    <t>Mochila Notebook Puerto USB 15,6" Gris LEVO</t>
  </si>
  <si>
    <t>Mochila Notebook Puerto USB 15,6" Negra LEVO</t>
  </si>
  <si>
    <t>Mochila Notebook MANAGER</t>
  </si>
  <si>
    <t>Mochila Notebook MANAGER 15,6" Gris LEVO</t>
  </si>
  <si>
    <t>Mochila Notebook MANAGER 15,6" Negra LEVO</t>
  </si>
  <si>
    <t>Mochila Notebook WOLF</t>
  </si>
  <si>
    <t>Mochila Notebook WOLF Negra 15,6" LEVO</t>
  </si>
  <si>
    <t>Pantalla Monitor</t>
  </si>
  <si>
    <t>Monitor Portátil Gamer ViewGo 15,6" Full HD 1080P LEVO</t>
  </si>
  <si>
    <t>$169.990</t>
  </si>
  <si>
    <t>Monitor Portátil Gamer NexView 15.6" Full HD 1080P LEVO</t>
  </si>
  <si>
    <t>Pantalla Totem Publicitario 43" Touch Android Wifi Usb Levo</t>
  </si>
  <si>
    <t>Pantalla Totem Publicitario 50" Touch Android Wifi Usb Levo</t>
  </si>
  <si>
    <t>$1.099.990</t>
  </si>
  <si>
    <t>Audifono Gamer RGB Thunder</t>
  </si>
  <si>
    <t>$34.990</t>
  </si>
  <si>
    <t>Audifono Gamer Zenit Elite Wireless 7.1 Levo</t>
  </si>
  <si>
    <t>Audífono Gamer Inalámbrico Zenit Elite Bluetooth RGB Negro LEVO</t>
  </si>
  <si>
    <t>Joystick Inalambrico Dualshock 4</t>
  </si>
  <si>
    <t>Control Joystick Inalámbrico doble Shock P4 Negro LEVO</t>
  </si>
  <si>
    <t>Control Joystick Inalámbrico doble Shock P4 Rojo LEVO</t>
  </si>
  <si>
    <t>Mousepad Levo BattleMat XXL Negro</t>
  </si>
  <si>
    <t>Mousepad Battlemat XXL 90x40 cm Antideslizante Negro LEVO</t>
  </si>
  <si>
    <t>Pro Control Nintengo Switch</t>
  </si>
  <si>
    <t>Control Joystick Controller Compatible Nintendo Switch LEVO</t>
  </si>
  <si>
    <t>Teclado Gamer NovaBlade Red Switch Mecanico Levo</t>
  </si>
  <si>
    <t>Teclado Gamer NovaBlade TKL Red Switch Mecánico Español RGB LEVO</t>
  </si>
  <si>
    <t>$26.990</t>
  </si>
  <si>
    <t>Mouse Inalámbrico Ultra Slim Silencioso Velar Grafito LEVO</t>
  </si>
  <si>
    <t>Vr Box + Control Lentes de Realidad Virtual LEVO</t>
  </si>
  <si>
    <t>Vr Box Ultra + Audifono</t>
  </si>
  <si>
    <t>Vr Box Ultra + Audífonos Lentes de Realidad Virtual  LEVO</t>
  </si>
  <si>
    <t>Audifono Gamer Zenit Elite Wireless 7.1 Blanco Levo</t>
  </si>
  <si>
    <t>Audífono Gamer Inalámbrico Zenit Elite Bluetooth RGB Blanco LEVO</t>
  </si>
  <si>
    <t>Mousepad Levo OfficePad S Negro</t>
  </si>
  <si>
    <t>$7.990</t>
  </si>
  <si>
    <t>Mousepad Levo GamerPad L Negro</t>
  </si>
  <si>
    <t>Mouse Gamer Inalambrico RGB NovaStrike Negro LEVO</t>
  </si>
  <si>
    <t>Teclado Inalambrico Slim Levo Cygna Grafito</t>
  </si>
  <si>
    <t>Teclado Inalámbrico Cygna Slim Grafito LEVO</t>
  </si>
  <si>
    <t>KIT Micrófono de Solapa Inalámbrico Lavalier EchoPro</t>
  </si>
  <si>
    <t>KIT Micrófono de Solapa Inalámbrico Lavalier EchoPro LEVO</t>
  </si>
  <si>
    <t>Silla Ejecutiva</t>
  </si>
  <si>
    <t>Silla Escritorio Oficina Ejecutiva Reclinable Comfort LEVO</t>
  </si>
  <si>
    <t>Silla Escritorio Oficina Ergonómica Reclinable Ergotech LEVO</t>
  </si>
  <si>
    <t>Silla de Escritorio Oficina Ergonomica Reclinable Lite LEVO</t>
  </si>
  <si>
    <t>Aspiradora Inalambrica XPIRA</t>
  </si>
  <si>
    <t>Aspiradora Inalámbrica Portátil Xpira Negra LEVO</t>
  </si>
  <si>
    <t>Camara de Auto Dual D3</t>
  </si>
  <si>
    <t>Cámara HD Auto D3 Frontal, Interior y Trasera LEVO</t>
  </si>
  <si>
    <t>Cámara de Seguridad Exterior 5G Wifi Negra Levo</t>
  </si>
  <si>
    <t>Cámara de Seguridad Impermeable Wifi 5G 2MP GuardPro X5 LEVO</t>
  </si>
  <si>
    <t>Timbre Video Portero Citofono Monitor WIFI LEVO</t>
  </si>
  <si>
    <t>$249.990</t>
  </si>
  <si>
    <t>Pesa Digital Inteligente</t>
  </si>
  <si>
    <t>Pesa Digital Balanza Baño Bluetooth Inteligente Blanca LEVO</t>
  </si>
  <si>
    <t>Pesa Digital Balanza Baño Bluetooth Inteligente Negra LEVO</t>
  </si>
  <si>
    <t>LVSPBRX2MN</t>
  </si>
  <si>
    <t>Soporte Computacion</t>
  </si>
  <si>
    <t>LVSPALZNPLE</t>
  </si>
  <si>
    <t>Soportes de TV</t>
  </si>
  <si>
    <t>Soporte de Television Ajustable 32" a 72" LEVO</t>
  </si>
  <si>
    <t>Proyector Led inalambrico portatil FullHD max lumix</t>
  </si>
  <si>
    <t>Proyector Portatil Smart Lumix 9000lm Inalambrico BT LEVO</t>
  </si>
  <si>
    <t>$319.990</t>
  </si>
  <si>
    <t>$199.990</t>
  </si>
  <si>
    <t>Proyector Led portatil Halo FullHD</t>
  </si>
  <si>
    <t>Proyector Portatil Smart Nova 9000lm WiFi BT Android LEVO</t>
  </si>
  <si>
    <t>$219.990</t>
  </si>
  <si>
    <t>Proyector Portatil Smart Orion 12000lm WiFi BT Android LEVO</t>
  </si>
  <si>
    <t>$269.990</t>
  </si>
  <si>
    <t>Proyector Led portatil Hexa FullHD</t>
  </si>
  <si>
    <t>Proyector Portatil Smart Hexa 8000lm WiFi BT Android LEVO</t>
  </si>
  <si>
    <t>Telon Proyector 100</t>
  </si>
  <si>
    <t>Telón Proyector 100 pulgadas 200 x 150 cm LEVO</t>
  </si>
  <si>
    <t>Telón Proyector 100 pulgadas Eléctrico 200 x 150 cm LEVO</t>
  </si>
  <si>
    <t>Telon Proyector 60</t>
  </si>
  <si>
    <t>Telón Proyector 60 pulgadas 120 x 90 cm LEVO</t>
  </si>
  <si>
    <t>Telón Proyector 60 pulgadas Eléctrico 120 x 90 cm LEVO</t>
  </si>
  <si>
    <t>Telon Proyector 80</t>
  </si>
  <si>
    <t>Telón Proyector 80 pulgadas 165 x 125 cm LEVO</t>
  </si>
  <si>
    <t>Telón Proyector 80 pulgadas Eléctrico 165 x 125 cm LEVO</t>
  </si>
  <si>
    <t>Telón Proyector 100" Sistema de Elevación 200 x 150cm LEVO</t>
  </si>
  <si>
    <t>Telón Proyector 100 pulgadas Elevación 200 x 150cm LEVO</t>
  </si>
  <si>
    <t>Telon Proyector 100 pulgadas Negro</t>
  </si>
  <si>
    <t>Telón Proyector 100 pulgadas 200 x 150 cm Negro LEVO</t>
  </si>
  <si>
    <t>Telon Proyector 80 pulgadas Negro</t>
  </si>
  <si>
    <t>Telón Proyector 80 pulgadas 165 x 125 cm Negro LEVO</t>
  </si>
  <si>
    <t>Telon Proyector 60 pulgadas Negro</t>
  </si>
  <si>
    <t>Telón Proyector 60 pulgadas 120 x 90 cm Negro LEVO</t>
  </si>
  <si>
    <t>Calcetin Corte Tobillo Numa Gray S-M</t>
  </si>
  <si>
    <t>Calcetin Corte Tobillo Numa Gray L-XL</t>
  </si>
  <si>
    <t>Calcetin Corte Tobillo Numa Green S-M</t>
  </si>
  <si>
    <t>Calcetin Corte Tobillo Numa Green L-XL</t>
  </si>
  <si>
    <t>Calcetin Corte Tobillo Numa Black S-M</t>
  </si>
  <si>
    <t>Calcetin Corte Tobillo Numa Black L-XL</t>
  </si>
  <si>
    <t>Calcetin Deportivo Corte Medio Trail Numa Lhotse</t>
  </si>
  <si>
    <t>Calcetin Corte Bajo Vora Running Gray Melange S-M</t>
  </si>
  <si>
    <t>Calcetin Corte Bajo Vora Running Gray Melange L-XL</t>
  </si>
  <si>
    <t>Calcetin Corte Bajo Vora Running Black S-M</t>
  </si>
  <si>
    <t>Calcetin Corte Bajo Vora Running Black L-XL</t>
  </si>
  <si>
    <t>Calcetin Corte Bajo Vora Running White S-M</t>
  </si>
  <si>
    <t>Calcetin Corte Bajo Vora Running White L-XL</t>
  </si>
  <si>
    <t>Calcetin Corte Medio Andor Gray Melange S-M</t>
  </si>
  <si>
    <t>Calcetin Corte Medio Andor Gray Melange L-XL</t>
  </si>
  <si>
    <t>Calcetin Corte Medio Andor Blue S-M</t>
  </si>
  <si>
    <t>Calcetin Corte Medio Andor Blue L-XL</t>
  </si>
  <si>
    <t>Calcetin Corte Medio Andor Earth S-M</t>
  </si>
  <si>
    <t>Calcetin Corte Medio Andor Earth L-XL</t>
  </si>
  <si>
    <t>Jockey FlexFlow</t>
  </si>
  <si>
    <t>Jockey Deportivo FlexFlow DryFit Lhotse</t>
  </si>
  <si>
    <t>Jockey Hike</t>
  </si>
  <si>
    <t>Jockey Hike Algodón Unisex Lhotse</t>
  </si>
  <si>
    <t>Jockey Ride</t>
  </si>
  <si>
    <t>Jockey Ride Algodón Unisex Lhotse</t>
  </si>
  <si>
    <t>Jockey Trekker</t>
  </si>
  <si>
    <t>Jockey Trekker Algodón Unisex Lhotse</t>
  </si>
  <si>
    <t>Jockey Wave</t>
  </si>
  <si>
    <t>Jockey Wave Algodón Unisex Lhotse</t>
  </si>
  <si>
    <t>Pantufla</t>
  </si>
  <si>
    <t>$10.990</t>
  </si>
  <si>
    <t>Pantuflas Térmicas Cloudfit Outdoor Suela WarmPath</t>
  </si>
  <si>
    <t>$21.990</t>
  </si>
  <si>
    <t>Toallas Microfibra</t>
  </si>
  <si>
    <t>Toalla Microfibra Secado Rapido QuickTrek Lhotse</t>
  </si>
  <si>
    <t>Audifono BeatMaster</t>
  </si>
  <si>
    <t>Audifonos Bluetooth Inalambrico ANC BeatMaster Black Lhotse</t>
  </si>
  <si>
    <t>Audifonos Bluetooth Inalambrico ANC BeatMaster Kaki Lhotse</t>
  </si>
  <si>
    <t>Audifono Fitbuds</t>
  </si>
  <si>
    <t>Audifonos Inalámbricos Bluetooth Deportivos FitBuds Lhotse</t>
  </si>
  <si>
    <t>Audifono Tuneair T5</t>
  </si>
  <si>
    <t>Audifonos Inalámbricos Bluetooth Deportivos ENC Tuneair</t>
  </si>
  <si>
    <t>Audifono WavePro</t>
  </si>
  <si>
    <t>Audifonos Bluetooth Inalambrico Over Ear WavePro Black Lhotse</t>
  </si>
  <si>
    <t>Audifonos Bluetooth Inalambrico Over Ear WavePro White Lhotse</t>
  </si>
  <si>
    <t>Audifonos RM PLUS Black</t>
  </si>
  <si>
    <t>Audifonos Bluetooth TWS Pantalla Touch ANC RMPLUS+ Black Lhotse</t>
  </si>
  <si>
    <t>Audifonos RM PLUS White</t>
  </si>
  <si>
    <t>Audifonos Bluetooth TWS Pantalla Touch ANC RMPLUS+ White Lhotse</t>
  </si>
  <si>
    <t>Audifonos RM12</t>
  </si>
  <si>
    <t>Audifonos Bluetooth Inalambrico RM12 White Lhotse</t>
  </si>
  <si>
    <t>Audifonos Bluetooth Inalambrico RM12 Light Blue Lhotse</t>
  </si>
  <si>
    <t>Audifonos Bluetooth Inalambrico RM12 Black Lhotse</t>
  </si>
  <si>
    <t>Audifonos Bluetooth Inalambrico RM12 Pink Lhotse</t>
  </si>
  <si>
    <t>Audifonos RM5</t>
  </si>
  <si>
    <t>Audifonos RM7</t>
  </si>
  <si>
    <t>Audifonos Bluetooth Inalambrico RM7 Pro White Lhotse</t>
  </si>
  <si>
    <t>Audifonos Bluetooth Inalambrico RM7 Pro Black Lhotse</t>
  </si>
  <si>
    <t>Audifonos Bluetooth Inalambrico RM7 Pro Light Blue Lhotse</t>
  </si>
  <si>
    <t>Audifonos Bluetooth Inalambrico RM7 Pro Pink Lhotse</t>
  </si>
  <si>
    <t>Parlante Bounce Mini</t>
  </si>
  <si>
    <t>Parlante Journey</t>
  </si>
  <si>
    <t>Parlante Portatil Inalambrico Bluetooth Journey Black Lhotse</t>
  </si>
  <si>
    <t>Parlante Portatil Inalambrico Bluetooth Journey Blue Lhotse</t>
  </si>
  <si>
    <t>Parlante Pulse</t>
  </si>
  <si>
    <t>Parlante Portatil Inalambrico Bluetooth Pulse On Black Lhotse</t>
  </si>
  <si>
    <t>Parlante Portatil Inalambrico Bluetooth Pulse On Blue Lhotse</t>
  </si>
  <si>
    <t>Parlante Portatil Inalambrico Bluetooth Pulse On Gray Lhotse</t>
  </si>
  <si>
    <t>Parlante Portatil Inalambrico Bluetooth Pulse On Red Lhotse</t>
  </si>
  <si>
    <t>Parlante Trip Go+</t>
  </si>
  <si>
    <t>Parlante Portatil Inalambrico Bluetooth TripGo Black Lhotse</t>
  </si>
  <si>
    <t>Parlante Portatil Inalambrico Bluetooth TripGo Blue Lhotse</t>
  </si>
  <si>
    <t>Parlante Portatil Inalambrico Bluetooth TripGo Gray Lhotse</t>
  </si>
  <si>
    <t>Parlante Portatil Inalambrico Bluetooth TripGo Red Lhotse</t>
  </si>
  <si>
    <t>Parlante TUNE</t>
  </si>
  <si>
    <t>Parlante Portatil Inalambrico Bluetooth Tune Up Blue Lhotse</t>
  </si>
  <si>
    <t>Parlante Portatil Inalambrico Bluetooth Tune Up Black Lhotse</t>
  </si>
  <si>
    <t>Parlante Portatil Inalambrico Bluetooth Tune Up Red Lhotse</t>
  </si>
  <si>
    <t>Parlante Portatil Inalambrico Bluetooth Tune Up Green Lhotse</t>
  </si>
  <si>
    <t>Pick-up Pad Lhotse Porta 5 Bicicletas</t>
  </si>
  <si>
    <t>Pick-up Pad Lhotse Porta 6 Bicicletas</t>
  </si>
  <si>
    <t>Set Deportivo 7 en 1 Rueda Abdominal Cuerda Lhotse Fit</t>
  </si>
  <si>
    <t>Banano impermeable</t>
  </si>
  <si>
    <t>Banano Lhotse Impermeable Negro</t>
  </si>
  <si>
    <t>Banano Outdoor</t>
  </si>
  <si>
    <t>Banano Outdoor Golight 1Lt Himalaya Lhotse</t>
  </si>
  <si>
    <t>Banano Outdoor Impermeable K2 Negro 2L Lhotse</t>
  </si>
  <si>
    <t>Bolso Deportivo Duffel 30 Litros</t>
  </si>
  <si>
    <t>Bolso Deportivo Lhotse Duffel 30 Lts Bag Negro</t>
  </si>
  <si>
    <t>Bolso Deportivo Duffel 70 Litros</t>
  </si>
  <si>
    <t>Bolso Duffel 30 Litros</t>
  </si>
  <si>
    <t>Bolso Deportivo Impermeable Duffel 30L Traveller Navy Lhotse</t>
  </si>
  <si>
    <t>Bolso Deportivo Impermeable Duffel 30L Traveller Black Lhotse</t>
  </si>
  <si>
    <t>Bolso Deportivo Impermeable Duffel 30L Traveller Green Lhotse</t>
  </si>
  <si>
    <t>Bolso Duffel 60 Litros</t>
  </si>
  <si>
    <t>Bolso Deportivo Impermeable Duffel 60L Traveller Black Lhotse</t>
  </si>
  <si>
    <t>Bolso Deportivo Impermeable Duffel 60L Traveller Gray Lhotse</t>
  </si>
  <si>
    <t>Bolso Deportivo Impermeable Duffel 60L Traveller Navy Lhotse</t>
  </si>
  <si>
    <t>Maleta Bolso Trolly Expedition Duffle 30lts Black</t>
  </si>
  <si>
    <t>Maleta Trolley Impermeable Duffel 30L Expedition Black Lhotse</t>
  </si>
  <si>
    <t>Maleta Bolso Trolly Expedition Duffle 70lts Black</t>
  </si>
  <si>
    <t>Maleta Trolley Impermeable Duffel 70L Expedition Black Lhotse</t>
  </si>
  <si>
    <t>$84.990</t>
  </si>
  <si>
    <t>Maleta Bolso Trolly Expedition Duffle 90lts Black</t>
  </si>
  <si>
    <t>Maleta Trolley Impermeable Duffel 90L Expedition Black Lhotse</t>
  </si>
  <si>
    <t>Mochila Antirrobo</t>
  </si>
  <si>
    <t>Mochila Urbana Roll Top Impermeable Porta Notebook 22L Makalu Black Lhotse</t>
  </si>
  <si>
    <t>Mochila Urbana Roll Top Impermeable Porta Notebook 22L Makalu Green Lhotse</t>
  </si>
  <si>
    <t>Mochila Urbana Impermeable Porta Notebook 22L Pumori Black Lhotse</t>
  </si>
  <si>
    <t>Mochila Urbana Impermeable Porta Notebook 22L Pumori Green Lhotse</t>
  </si>
  <si>
    <t>Mochila Street</t>
  </si>
  <si>
    <t>Mochila Viaje Impermeable Porta Notebook 17.3" 35L Nomad Black Lhotse</t>
  </si>
  <si>
    <t>Mochila Volcano Roll Style</t>
  </si>
  <si>
    <t>Mochila Volcano Lhotse 19 Lt Negra</t>
  </si>
  <si>
    <t>$35.990</t>
  </si>
  <si>
    <t>Mochila Volcano Lhotse 19 Lt Verde</t>
  </si>
  <si>
    <t>Mochila Outdoor Bicicleta Hydroroad</t>
  </si>
  <si>
    <t>Mochila Outdoor con Bolsa de Agua HydroRoad Black Lhotse</t>
  </si>
  <si>
    <t>Mochila Outdoor Plegable</t>
  </si>
  <si>
    <t>Mochila Outdoor Plegable 25 Lt Naranja Lhotse</t>
  </si>
  <si>
    <t>Mochila Outdoor Plegable 25L Black Lhotse</t>
  </si>
  <si>
    <t>Mochila Viaje Notebook Broadpeak</t>
  </si>
  <si>
    <t>Mochila Viaje Impermeable Porta Notebook 17.3" 40L Broadpeak Black Lhotse</t>
  </si>
  <si>
    <t>Neceser Estuche de Viaje Travel Rimo Impermeable 5L Lhotse</t>
  </si>
  <si>
    <t>Neceser Viaje</t>
  </si>
  <si>
    <t>Neceser Viaje Waterproof 5L Khumbu Lhotse</t>
  </si>
  <si>
    <t>Botellas Indo 800ml</t>
  </si>
  <si>
    <t>Botella Termica Insulada 800ml Indo Black Lhotse</t>
  </si>
  <si>
    <t>Botella Termica Insulada 800ml Indo Lilac Lhotse</t>
  </si>
  <si>
    <t>Botella Termica Insulada 800ml Indo Red Lhotse</t>
  </si>
  <si>
    <t>Botella 800ml coihue Lhotse</t>
  </si>
  <si>
    <t>Botella Hydro 360ml Lhotse</t>
  </si>
  <si>
    <t>Botella Hydro 960ml Lhotse</t>
  </si>
  <si>
    <t>Botella Termica Insulada 960ml Hydro Lilac Lhotse</t>
  </si>
  <si>
    <t>Botella Insulada Adventure 650ml</t>
  </si>
  <si>
    <t>Botella Termica Insulada 650ml Adventure Blue Lhotse</t>
  </si>
  <si>
    <t>Botella Termica Insulada 650ml Adventure White Lhotse</t>
  </si>
  <si>
    <t>Botella Termica Insulada 650ml Adventure Black Lhotse</t>
  </si>
  <si>
    <t>Botella Termica Insulada 650ml Adventure Pink Lhotse</t>
  </si>
  <si>
    <t>Insulated Travel Mug 900ml</t>
  </si>
  <si>
    <t>Botella Termica Insulada 900ml Travel Mug White Lhotse</t>
  </si>
  <si>
    <t>Botella Termica Insulada 900ml Travel Mug Blue Lhotse</t>
  </si>
  <si>
    <t>Botella Termica Insulada 900ml Travel Mug Black Lhotse</t>
  </si>
  <si>
    <t>Botella Termica Insulada 900ml Travel Mug Pink Lhotse</t>
  </si>
  <si>
    <t>Botella Termica Insulada 900ml Travel Mug Green Lhotse</t>
  </si>
  <si>
    <t>$4.990</t>
  </si>
  <si>
    <t>$3.990</t>
  </si>
  <si>
    <t>Tapa Botella Boca Ancha Hydro Black Lhotse</t>
  </si>
  <si>
    <t>Big Mug Tumbler</t>
  </si>
  <si>
    <t>Vaso Térmico Tumbler 1180ml Lhotse Arena</t>
  </si>
  <si>
    <t>Vaso Térmico Tumbler 1180ml Lhotse Light Blue</t>
  </si>
  <si>
    <t>Vaso Térmico Tumbler 1180ml Lhotse Pink</t>
  </si>
  <si>
    <t>Botella Termica Acero Inox 3 Tapas 1L HydroCore Black Lhotse</t>
  </si>
  <si>
    <t>Botella Termica Acero Inox 3 Tapas 1L HydroCore Beige Lhotse</t>
  </si>
  <si>
    <t>Botella Termica Acero Inox 3 Tapas 1L HydroCore Pink Lhotse</t>
  </si>
  <si>
    <t>Botella Termica Acero Inox 3 Tapas 1L HydroCore Navy Lhotse</t>
  </si>
  <si>
    <t>Botella Termica Acero Inox 3 Tapas 1L HydroCore Green Lhotse</t>
  </si>
  <si>
    <t>Shaker Vaso Proteina Acero Inox 500ml NutriCore Black Lhotse</t>
  </si>
  <si>
    <t>Shaker Vaso Proteina Acero Inox 500ml NutriCore Pink Lhotse</t>
  </si>
  <si>
    <t>Shaker Vaso Proteina Acero Inox 500ml NutriCore Green Lhotse</t>
  </si>
  <si>
    <t>Vaso Termico Tumbler Acero Inox Antiderrame 1180ml Black Lhotse</t>
  </si>
  <si>
    <t>Vaso Termico Tumbler Acero Inox Antiderrame 1180ml Light Blue Lhotse</t>
  </si>
  <si>
    <t>Vaso Termico Tumbler Acero Inox Antiderrame 1180ml Sand Lhotse</t>
  </si>
  <si>
    <t>Vaso Termico Tumbler Acero Inox Antiderrame 1180ml Light Green Lhotse</t>
  </si>
  <si>
    <t>Vaso Termico Tumbler Acero Inox Antiderrame 1180ml Pink Lhotse</t>
  </si>
  <si>
    <t>Vaso Termico Tumbler Acero Inox Antiderrame 1180ml Lilac Lhotse</t>
  </si>
  <si>
    <t>Vaso Camping Termico 480ml</t>
  </si>
  <si>
    <t>Vaso Térmico Insulado Camping Black480ml</t>
  </si>
  <si>
    <t>Vaso Térmico Insulado Camping Red 480ml</t>
  </si>
  <si>
    <t>Vaso Térmico Insulado Camping Pink 480ml</t>
  </si>
  <si>
    <t>Mate Mug + Bombilla</t>
  </si>
  <si>
    <t>Mate Acero Inoxidable con Bombilla White Lhotse</t>
  </si>
  <si>
    <t>Mate Acero Inoxidable con Bombilla Black Lhotse</t>
  </si>
  <si>
    <t>Mate Acero Inoxidable con Bombilla Red Lhotse</t>
  </si>
  <si>
    <t>Mate Acero Inoxidable con Bombilla Pink Lhotse</t>
  </si>
  <si>
    <t>Mate Acero Inoxidable con Bombilla Light Pink Lhotse</t>
  </si>
  <si>
    <t>Mate Acero Inoxidable con Bombilla Green Lhotse</t>
  </si>
  <si>
    <t>Taza Insulated Cup 350</t>
  </si>
  <si>
    <t>Taza Térmica Insulada Camping White 350ml</t>
  </si>
  <si>
    <t>Taza Térmica Insulada Camping Blue 350ml</t>
  </si>
  <si>
    <t>Taza Térmica Insulada Camping Black 350ml</t>
  </si>
  <si>
    <t>Taza Térmica Insulada Camping Green 350ml</t>
  </si>
  <si>
    <t>Termo Classic 1,3lts</t>
  </si>
  <si>
    <t>Termo Liquido Acero Inoxidable Classic 1,3 lts White Lhotse</t>
  </si>
  <si>
    <t>Termo Liquido Acero Inoxidable Classic 1,3 lts Black Lhotse</t>
  </si>
  <si>
    <t>Termo Liquido Acero Inoxidable Classic 1,3 lts Pink Lhotse</t>
  </si>
  <si>
    <t>Termo Liquido Acero Inoxidable Classic 1,3 lts Green Lhotse</t>
  </si>
  <si>
    <t>Smartband Flow 03</t>
  </si>
  <si>
    <t>Banda Smartband Lhotse Flow 3</t>
  </si>
  <si>
    <t>Smartband Urban GT</t>
  </si>
  <si>
    <t>Smartwatch Connect S03</t>
  </si>
  <si>
    <t>Smartwatch GPS MoveOn</t>
  </si>
  <si>
    <t>Reloj Smartwatch GPS MoveOn 7 37/38mm</t>
  </si>
  <si>
    <t>Smartwatch Live 206</t>
  </si>
  <si>
    <t>Smartwatch Mini Live 206</t>
  </si>
  <si>
    <t>Reloj Smartwatch Lhotse Live 206 40mm Mini Black</t>
  </si>
  <si>
    <t>Reloj Smartwatch Lhotse Live 206 Mini 40mm Light Green</t>
  </si>
  <si>
    <t>Smartwatch Music Rythm X10</t>
  </si>
  <si>
    <t>Reloj Smartwatch Music Rhythm X10 41mm</t>
  </si>
  <si>
    <t>Smartwatch Runner 219</t>
  </si>
  <si>
    <t>Reloj Smartwatch Lhotse Runner 219 46mm Black</t>
  </si>
  <si>
    <t>Smartwatch Vibe 42'</t>
  </si>
  <si>
    <t>Reloj Smartwatch Lhotse Vibe 05 GPS Cream 42mm</t>
  </si>
  <si>
    <t>Smartwatch Vibe 45'</t>
  </si>
  <si>
    <t>Reloj Smartwatch Lhotse Vibe 05 GPS Black 45mm</t>
  </si>
  <si>
    <t>Peto Deportivo Mujer Middle Kalo Lhotse</t>
  </si>
  <si>
    <t>Calza Deportiva Mujer Legging Bergenia Lhotse</t>
  </si>
  <si>
    <t>Pantalon</t>
  </si>
  <si>
    <t>Pantalon Trekking Hombre Desmontable Lukla Lhotse</t>
  </si>
  <si>
    <t>Short Hombre Cargo Adventure Barun UV50+ Lhotse</t>
  </si>
  <si>
    <t>Pantalón Trekking Desmontable Mujer UV50+ Lukla-W Lhotse</t>
  </si>
  <si>
    <t>Calza Deportiva Mujer Biker Dhara Lhotse</t>
  </si>
  <si>
    <t>Hardshell</t>
  </si>
  <si>
    <t>Cortaviento Impermeable Gorak Shep Lhotse</t>
  </si>
  <si>
    <t>Parka</t>
  </si>
  <si>
    <t>Chaqueta Parka Hombre Nuptse Lhotse</t>
  </si>
  <si>
    <t>Parka Puffa Hombre Khumbu Lhotse</t>
  </si>
  <si>
    <t>Polar</t>
  </si>
  <si>
    <t>Polar Hombre Half Zip Térmico con Bolsillos Shar Lhotse</t>
  </si>
  <si>
    <t>Polar Hombre Tejido Térmico Anti-peeling Middle Lhotse</t>
  </si>
  <si>
    <t>Polar Segunda Capa Lobuche Lhotse</t>
  </si>
  <si>
    <t>Poleron</t>
  </si>
  <si>
    <t>Polerón Hombre Hoodie Katmandú Lhotse</t>
  </si>
  <si>
    <t>Sherpa</t>
  </si>
  <si>
    <t>Polar Hombre Chiporro Sherpa Térmico Main Lhotse</t>
  </si>
  <si>
    <t>Polerón Unisex Sweatshirt Origin Lhotse</t>
  </si>
  <si>
    <t>Polerón Unisex Sweatshirt Mycena Lhotse</t>
  </si>
  <si>
    <t>Polar Segunda Capa Mujer Lobuche Cap Lhotse</t>
  </si>
  <si>
    <t>Polera</t>
  </si>
  <si>
    <t>Polera Hombre Manga Corta Nepal Lhotse</t>
  </si>
  <si>
    <t>Primera Capa</t>
  </si>
  <si>
    <t>Primera Capa Térmica Hombre Dugla Stay Warm Top Lhotse</t>
  </si>
  <si>
    <t>Polera Deportiva Manga Corta Hombre Boyak DryCool Lhotse</t>
  </si>
  <si>
    <t>Polera Manga Corta Hombre Digueñe Lhotse</t>
  </si>
  <si>
    <t>Polera Manga Corta Hombre Micelio Mycena Lhotse</t>
  </si>
  <si>
    <t>Polera Manga Corta Hombre Morchella Esculenta Lhotse</t>
  </si>
  <si>
    <t>Polera Manga Corta Hombre Boletus Loyo Lhotse</t>
  </si>
  <si>
    <t>Polera Manga Corta Hombre Amanita Muscaria Lhotse</t>
  </si>
  <si>
    <t>Camara de acción doble pantalla 4k 30ftps Xplore Lhotse</t>
  </si>
  <si>
    <t>Cámara de acción doble pantalla 4k 30ftps Xplore Lhotse</t>
  </si>
  <si>
    <t>Camara de Accion HD 4k</t>
  </si>
  <si>
    <t>SIMPLIT</t>
  </si>
  <si>
    <t>Hielera</t>
  </si>
  <si>
    <t>Decantador Aireador Vino Chateau 1650ml</t>
  </si>
  <si>
    <t>Decantador Aireador Vino Rouge 1500ml</t>
  </si>
  <si>
    <t>Descorchador Abridor Vino Sommelier Simplit</t>
  </si>
  <si>
    <t>Cubeta de Hielo Silicona 6 Hielos Grandes Simplit</t>
  </si>
  <si>
    <t>Cubeta Hielo Pequeña</t>
  </si>
  <si>
    <t>Cubeta de Hielo Silicona 160 Mini Hielos Simplit</t>
  </si>
  <si>
    <t>Cubeta Hielo Redondo 6 unidades</t>
  </si>
  <si>
    <t>Cubeta de Hielo Silicona 6 Hielos Redondos Simplit</t>
  </si>
  <si>
    <t>Cubeta de Hielo Silicona 15 Hielos Simplit</t>
  </si>
  <si>
    <t>Set 2 Vasos Moscow Mule Mug Cobre + Bombillas Simplit</t>
  </si>
  <si>
    <t>Set 2 Vasos de Vidrio Estilo Japonés 320 ml Simplit</t>
  </si>
  <si>
    <t>Set 2 Vasos Cobre Moscow Mule Mojito Bar + Bombilla Simplit</t>
  </si>
  <si>
    <t>Set 2 Vasos Vidrio Borosilicato 550 ml Simplit</t>
  </si>
  <si>
    <t>SMVABOR4</t>
  </si>
  <si>
    <t>Set 4 Vasos Vidrio Borosilicato 550 ml</t>
  </si>
  <si>
    <t>Set 4 Vasos Vidrio Borosilicato 550 ml Simplit</t>
  </si>
  <si>
    <t>$33.980</t>
  </si>
  <si>
    <t>Set 2 Vasos Vidrio Doble Pared 400 ml Simplit</t>
  </si>
  <si>
    <t>Set 6 Vaso Copa Cerveza Collins 420ml Simplit</t>
  </si>
  <si>
    <t>Set 6 Vasos Cerveza Portland 380ml Simplit</t>
  </si>
  <si>
    <t>Set 6 Vasos redondos Virginia 340ml Simplit</t>
  </si>
  <si>
    <t>Set 6 Vasos Corto Vintage Charlotte 200ml Simplit</t>
  </si>
  <si>
    <t>Set 6 Vasos Largo Vintage Charlotte 350ml Simplit</t>
  </si>
  <si>
    <t>Set 6 Vasos Whisky Kentucky 270ml Simplit</t>
  </si>
  <si>
    <t>Set 6 Copas Espumante 200ml Cristal Monaco Simplit</t>
  </si>
  <si>
    <t>Set 6 Copas Vino Tinto 540ml Cristal Piamonte Simplit</t>
  </si>
  <si>
    <t>Set 6 Copas Vino Blanco 400ml Cristal Alsacia Simplit</t>
  </si>
  <si>
    <t>$27.990</t>
  </si>
  <si>
    <t>Set 6 Copas Gin 650ml Cristal London Simplit</t>
  </si>
  <si>
    <t>Set 6 Vasos Largos 460ml Vidrio Ginebra Simplit</t>
  </si>
  <si>
    <t>Set 6 Vasos Cortos 380ml Vidrio Ginebra Simplit</t>
  </si>
  <si>
    <t>Espumador de Leche</t>
  </si>
  <si>
    <t>Espumador de Leche 4 en 1 Blanco Simplit</t>
  </si>
  <si>
    <t>Espumador de Leche 4 en 1 Negro Simplit</t>
  </si>
  <si>
    <t>Juego De 4 Cachos Eco Cuero Negro Simplit</t>
  </si>
  <si>
    <t>Bateria de Cocina Classic Series</t>
  </si>
  <si>
    <t>Batería de Cocina Copper 7 Piezas Simplit</t>
  </si>
  <si>
    <t>Bateria de Cocina Black Cooper 7 Piezas Simplit</t>
  </si>
  <si>
    <t>Batería de Cocina Antiadherente Black Copper 7 Pzs Simplit</t>
  </si>
  <si>
    <t>Bateria de Cocina Oregon 5 piezas</t>
  </si>
  <si>
    <t>Batería de Cocina Antiadherente Oregon 5 Piezas Simplit</t>
  </si>
  <si>
    <t>$42.990</t>
  </si>
  <si>
    <t>Bateria de Cocina Toulousse 7 piezas + Accesorios</t>
  </si>
  <si>
    <t>Batería de Cocina Toulouse 7 pcs + Accesorios Simplit</t>
  </si>
  <si>
    <t>Bateria de Cocina Zavannah 9 Piezas</t>
  </si>
  <si>
    <t>Batería de Cocina Antiadherente Savannah 9 Piezas</t>
  </si>
  <si>
    <t>Batería de Cocina Antiadherente Oxford Granito 15pcs Simplit</t>
  </si>
  <si>
    <t>$179.990</t>
  </si>
  <si>
    <t>Set de Cuchillería 30 pcs Cubiertos Acero Inoxidable Puglia</t>
  </si>
  <si>
    <t>Set Cuchillos 5 pcs Marsella Acero Inoxidable Simplit</t>
  </si>
  <si>
    <t>Set Cuchillos 5 pcs Paris Acero Inoxidable Simplit</t>
  </si>
  <si>
    <t>Set de Cuchillería 24 pcs Cubiertos Le Mans Simplit</t>
  </si>
  <si>
    <t>Set de Cuchillería 24 pcs Cubiertos Versalle Simplit</t>
  </si>
  <si>
    <t>Set de Cuchillería 30 pcs Cubiertos Acero Inoxidable Sicilia</t>
  </si>
  <si>
    <t>Set de cuchillos Holz 5 Pcs + Taco</t>
  </si>
  <si>
    <t>Set Cuchillos Holz 5 pcs Acero Inoxidable + Taco Simplit</t>
  </si>
  <si>
    <t>Set de cuchillos Kuche 5 Pcs + Taco</t>
  </si>
  <si>
    <t>Set Cuchillos Küche 5 pcs Acero Inoxidable + Base Simplit</t>
  </si>
  <si>
    <t>Set de cuchillos Stahl 5 Pcs + Taco</t>
  </si>
  <si>
    <t>Set Cuchillos Stahl 5 pcs Acero Inoxidable + Taco Simplit</t>
  </si>
  <si>
    <t>Set de Cucharas Ensalada Versalle Acero Inoxidable Simplit</t>
  </si>
  <si>
    <t>Set de Cuchillería 24 pcs Cubiertos Paris Simplit</t>
  </si>
  <si>
    <t>Set de Cuchillería 24 pcs Acero Inoxidable Cerdeña Simplit</t>
  </si>
  <si>
    <t>Mantequillero ceramica tapa bamboo</t>
  </si>
  <si>
    <t>Mantequillero de Cerámica Tapa Bamboo 300 ml Simplit</t>
  </si>
  <si>
    <t>Mantequillero ceramica tapa cuchillo</t>
  </si>
  <si>
    <t>Mantequillero Cerámica Tapa Bamboo + Cuchillo 600 ml Simplit</t>
  </si>
  <si>
    <t>Olla Cacerola Antiadherente 28cm Toulouse Simplit</t>
  </si>
  <si>
    <t>Sartén Antiadherente 24cm Copper Simplit</t>
  </si>
  <si>
    <t>Sarten 28cm Copper Colection</t>
  </si>
  <si>
    <t>Sartén Antiadherente Tapa 28cm Copper Simplit</t>
  </si>
  <si>
    <t>Termo Comida 430ml</t>
  </si>
  <si>
    <t>Termo Comida 400ml Negro Cuchara Acero Inox Simplit</t>
  </si>
  <si>
    <t>Termo Comida 750ml</t>
  </si>
  <si>
    <t>Termo de Comida Insulado Acero Inox 750 ml Gris Simplit</t>
  </si>
  <si>
    <t>Termo de Comida Insulado Acero Inox 750 ml Negro Simplit</t>
  </si>
  <si>
    <t>Termo de Comida Insulado Acero Inox 750 ml Rosado Simplit</t>
  </si>
  <si>
    <t>Bowl Cortador Rallador de Verduras Multifuncional Simplit</t>
  </si>
  <si>
    <t>Pesa Cocina</t>
  </si>
  <si>
    <t>Balanza Pesa Digital Para Cocina Simplit</t>
  </si>
  <si>
    <t>Set de utensilios de cocina</t>
  </si>
  <si>
    <t>Set 12 Utensilios De Cocina Silicona Calipso Simplit</t>
  </si>
  <si>
    <t>Set 12 Utensilios De Cocina Silicona Negro Simplit</t>
  </si>
  <si>
    <t>Tabla Para Picar Cortar Madera 40x28cm Cutte Simplit</t>
  </si>
  <si>
    <t>Cafetera Francesa 600ml</t>
  </si>
  <si>
    <t>Cafetera Prensa Francesa Negra 600 ml Simplit</t>
  </si>
  <si>
    <t>Cafetera Italiana 12 tazas</t>
  </si>
  <si>
    <t>Cafetera Italiana Negra Granito 12 Tazas Simplit</t>
  </si>
  <si>
    <t>Cafetera Italiana 4 tazas</t>
  </si>
  <si>
    <t>Cafetera Italiana Negra Granito 4 Tazas Simplit</t>
  </si>
  <si>
    <t>Cafetera Prensa Francesa Vidrio Cobre 600ml</t>
  </si>
  <si>
    <t>Cafetera Prensa Francesa Vidrio Cobre 600 ml Simplit</t>
  </si>
  <si>
    <t>Set 2 Tazas Vidrio Doble Pared Espreso 80 ml Simplit</t>
  </si>
  <si>
    <t>Taza Mug de Vidrio Doble Pared 300 ml Simplit</t>
  </si>
  <si>
    <t>Taza de Vidrio Doble Pared 350 ml Simplit</t>
  </si>
  <si>
    <t>Termo Insulado 1 Lt</t>
  </si>
  <si>
    <t>Termo Jarra Insulado 1 Lt Simplit</t>
  </si>
  <si>
    <t>Vaso termico con tapa y bombilla</t>
  </si>
  <si>
    <t>Vaso Térmico Tumbler 750ml Tapa y Bombilla Simplit</t>
  </si>
  <si>
    <t>Basurero 30 lts</t>
  </si>
  <si>
    <t>Basurero Cocina Urban 30lts Pedal Acero Inox Simplit</t>
  </si>
  <si>
    <t>Basurero 40 lts</t>
  </si>
  <si>
    <t>Basurero Cocina Iron 40lts Pedal Acero Inox Simplit</t>
  </si>
  <si>
    <t>Basurero 55 lts</t>
  </si>
  <si>
    <t>Basurero Cocina Handy 55lts Táctil Acero Inox Simplit</t>
  </si>
  <si>
    <t>Contenedor Ceramica L</t>
  </si>
  <si>
    <t>Contenedor de Cerámica Hermético Tapa Madera L Simplit</t>
  </si>
  <si>
    <t>Contenedor Ceramica M</t>
  </si>
  <si>
    <t>Contenedor de Cerámica Hermético Tapa Madera M Simplit</t>
  </si>
  <si>
    <t>Contenedor Ceramica S</t>
  </si>
  <si>
    <t>Contenedor de Cerámica Hermético Tapa Madera S Simplit</t>
  </si>
  <si>
    <t>Panera Metalica con Tapa Bamboo</t>
  </si>
  <si>
    <t>Panera Metálica con Tapa Bamboo Blanca Simplit</t>
  </si>
  <si>
    <t>Set 3 Bowls con Tapa Acero Inoxidable Antideslizante Simplit</t>
  </si>
  <si>
    <t>Set de 3 Contenedores Herméticos Plástico Simplit</t>
  </si>
  <si>
    <t>Set 4 Contenedores de Vidrio Herméticos Tapa Bamboo Simplit</t>
  </si>
  <si>
    <t>Set de 7 Contenedores Herméticos Plástico Simplit</t>
  </si>
  <si>
    <t>Set de 7 Contenedores Herméticos Plástico Negro Simplit</t>
  </si>
  <si>
    <t>Tupper de Acero Inoxidable Tapa Madera 800 ml Simplit</t>
  </si>
  <si>
    <t>Tupper Plastico Hermetico Bento Box</t>
  </si>
  <si>
    <t>Contenedor Plástico Hermético Bento Box</t>
  </si>
  <si>
    <t>Organizador de refrigerador</t>
  </si>
  <si>
    <t>Organizador Refrigerador con Drenaje L Simplit</t>
  </si>
  <si>
    <t>Organizador Refrigerador con Drenaje S Simplit</t>
  </si>
  <si>
    <t>Organizador de refrigerador con Cesta</t>
  </si>
  <si>
    <t>Organizador Refrigerador con Cesta L Simplit</t>
  </si>
  <si>
    <t>Organizador Refrigerador con Cesta M Simplit</t>
  </si>
  <si>
    <t>Organizador Cubiertos Expandible Madera Acasia Basel Simplit</t>
  </si>
  <si>
    <t>Especiero Condimentos de Madera 8 Frascos Vidrio Simplit</t>
  </si>
  <si>
    <t>Set 2 Molinillos de Sal y Pimienta Vidrio Simplit</t>
  </si>
  <si>
    <t>Especiero Condimentos Giratorio Metálico 16 Frascos Simplit</t>
  </si>
  <si>
    <t>Set 2 Molinillos Sal Pimienta Madera Verona Simplit</t>
  </si>
  <si>
    <t>Secaplato 1 Nivel</t>
  </si>
  <si>
    <t>Secaplatos Escurridor 1 Nivel Acero Inox Blanco Simplit</t>
  </si>
  <si>
    <t>Secaplatos Escurridor 1 Nivel Acero Inox Negro Simplit</t>
  </si>
  <si>
    <t>Secaplato 2 Niveles</t>
  </si>
  <si>
    <t>Secaplatos Escurridor 2 Niveles</t>
  </si>
  <si>
    <t>Secaplatos Escurridor 2 Niveles Acero Inox Blanco Simplit</t>
  </si>
  <si>
    <t>Secaplatos Escurridor 2 Niveles Acero Inox Negro Simplit</t>
  </si>
  <si>
    <t>Secaplatos Escurridor Acero Inox Bilbao 2 Niveles</t>
  </si>
  <si>
    <t>Secaplatos Escurridor Acero Inox Valencia 2 Niveles Simplit</t>
  </si>
  <si>
    <t>Parrilla Portatil Carbon Kettle</t>
  </si>
  <si>
    <t>Set 2 Alcuza de Ceramica cuadrada</t>
  </si>
  <si>
    <t>Set Alcuza Cerámica 2 Piezas Cuadrada 500 ml Simplit</t>
  </si>
  <si>
    <t>Set 2 Alcuza de Ceramica redonda</t>
  </si>
  <si>
    <t>Fuente para Horno Olla Ceramica</t>
  </si>
  <si>
    <t>Fuente de Cerámica para Horno Cacerola Olla Roja Simplit</t>
  </si>
  <si>
    <t>Set 3 Fuentes de Cerámica para Horno Celeste Simplit</t>
  </si>
  <si>
    <t>Juego de Loza 12 pcs Cerámica Toscana Simplit</t>
  </si>
  <si>
    <t>Juego Loza Cerámica 16 pcs Amalfi 4 personas Simplit</t>
  </si>
  <si>
    <t>Juego Loza Cerámica 30 pcs Siena 6 personas Simplit</t>
  </si>
  <si>
    <t>$52.990</t>
  </si>
  <si>
    <t>Juego de Loza 30 pcs Cerámica Bruselas 6 personas Simplit</t>
  </si>
  <si>
    <t>$62.990</t>
  </si>
  <si>
    <t>Set 2 Tazas Cerámica 420 ml Palermo Simplit</t>
  </si>
  <si>
    <t>Set 4 Bowls Cerámica 8,5cm Amalfi Simplit</t>
  </si>
  <si>
    <t>Set 4 Bowls Cerámica 8,5cm Siena Simplit</t>
  </si>
  <si>
    <t>Set 4 Platos Fondo Cerámica 27,4 cm Amalfi Simplit</t>
  </si>
  <si>
    <t>Set 4 Platos Fondo Cerámica 26,7cm Siena Simplit</t>
  </si>
  <si>
    <t>Set 4 Tazas Cerámica 270ml Amalfi Simplit</t>
  </si>
  <si>
    <t>Set 4 Tazas Cerámica 330ml Amalfi Simplit</t>
  </si>
  <si>
    <t>Set 4 Tazas Cerámica 270ml Siena Simplit</t>
  </si>
  <si>
    <t>Set 4 Tazas Cerámica 330ml Siena Simplit</t>
  </si>
  <si>
    <t>Afeitadora Rasuradora Corporal Electrica NeoBlade 3.1 T-Care</t>
  </si>
  <si>
    <t>Secador de pelo Multistyler T-Care 5 en 1</t>
  </si>
  <si>
    <t>TCMULTSTY5N1-BG</t>
  </si>
  <si>
    <t>Secador de pelo Multistyler 5 en 1 AeroFlow Beige</t>
  </si>
  <si>
    <t>Botellas Plasticas</t>
  </si>
  <si>
    <t>Termos</t>
  </si>
  <si>
    <t>Alfombra Piso de Goma para auto Universal 4 piezas Xroad</t>
  </si>
  <si>
    <t>Cobertor carpa cubre auto</t>
  </si>
  <si>
    <t>Carpa Funda Cubre Auto Impermeable Premium con Felpa Xroad</t>
  </si>
  <si>
    <t>Cobertor de asiento para mascotas</t>
  </si>
  <si>
    <t>Funda Cubre Asiento de Auto Impermeable Mascotas Negra Xroad</t>
  </si>
  <si>
    <t>Protector de asiento individual auto</t>
  </si>
  <si>
    <t>XRFUNCASUN-BK</t>
  </si>
  <si>
    <t>Cubre Asientos Cuero Premium</t>
  </si>
  <si>
    <t>Fundas Cubreasientos Ecocuero Universal Negro XRoad</t>
  </si>
  <si>
    <t>XRCADCANRR</t>
  </si>
  <si>
    <t>Seguridad</t>
  </si>
  <si>
    <t>Cadena Antinapoleonica Rueda Repuesto</t>
  </si>
  <si>
    <t>Cadena + Candado para Rueda de Repuesto Antirrobo XRoad</t>
  </si>
  <si>
    <t>Barras Portaequipaje de Aluminio para Techo Xroad</t>
  </si>
  <si>
    <t>Parrilla Para Auto Portaequipaje Universal XROAD</t>
  </si>
  <si>
    <t>Parrilla Para Auto Aluminio Portaequipaje Universal Gris Xroad</t>
  </si>
  <si>
    <t>XRPARREQ-BK</t>
  </si>
  <si>
    <t>Parrilla Para Auto Portaequipaje Universal Negra XROAD</t>
  </si>
  <si>
    <t>Parrilla Para Auto Aluminio Portaequipaje Universal Negra Xroad</t>
  </si>
  <si>
    <t>Sensor De Retroceso Para Automóviles Xroad</t>
  </si>
  <si>
    <t>Toldo Camping Lateral Para Auto Techo Xroad</t>
  </si>
  <si>
    <t>Accesorios Outdoor</t>
  </si>
  <si>
    <t>Camping</t>
  </si>
  <si>
    <t>Cooler Eléctrico Portátil 30L 12V Gris Xroad</t>
  </si>
  <si>
    <t>Estación de Energía Portátil 300W 248WH 80.000mAh 220V Xroad</t>
  </si>
  <si>
    <t>$299.990</t>
  </si>
  <si>
    <t>Partidor de Batería Portátil con Compresor de Aire 12V Xroad</t>
  </si>
  <si>
    <t>Hidrolavadora Eléctrica HydroX 1800W 120 Bar Xroad</t>
  </si>
  <si>
    <t>LVCONNSJC-RB</t>
  </si>
  <si>
    <t>Control Inalámbrico Joystick Nintendo Switch Joy-Con LEVO</t>
  </si>
  <si>
    <t>Nuevo/Transito</t>
  </si>
  <si>
    <t>LVTECMCL-BK</t>
  </si>
  <si>
    <t>Teclado Gamer NovaBlade Red Switch Mecanico Ext Levo</t>
  </si>
  <si>
    <t>LVMOPRL-BK</t>
  </si>
  <si>
    <t>Mochila Notebook Prime Lite 15,6” LEVO</t>
  </si>
  <si>
    <t>LVMOVEL-BK</t>
  </si>
  <si>
    <t>Mochila Notebook Velar Lite 15,6” LEVO</t>
  </si>
  <si>
    <t>LHMALFRONT-S</t>
  </si>
  <si>
    <t>Maleta Cabina S Frontier Lhotse</t>
  </si>
  <si>
    <t>LHMALFRONT-M</t>
  </si>
  <si>
    <t>Maleta Mediana M Frontier Lhotse</t>
  </si>
  <si>
    <t>LHMALFRONT-L</t>
  </si>
  <si>
    <t>Maleta Grande L Frontier Lhotse</t>
  </si>
  <si>
    <t>LHMOCLATK-BK</t>
  </si>
  <si>
    <t>Mochila Outdoor 28L Latok Lhotse</t>
  </si>
  <si>
    <t>LHBOHYTK750-BK</t>
  </si>
  <si>
    <t>Botella Termica Agua Hydrotek 750 ml Acero Inox Black</t>
  </si>
  <si>
    <t>LHBOHYTK750-PK</t>
  </si>
  <si>
    <t>Botella Termica Agua Hydrotek 750 ml Acero Inox Pink</t>
  </si>
  <si>
    <t>LHBOHYTK750-GR</t>
  </si>
  <si>
    <t>Botella Termica Agua Hydrotek 750 ml Acero Inox Green</t>
  </si>
  <si>
    <t>LHBOHYTK750-NY</t>
  </si>
  <si>
    <t>Botella Termica Agua Hydrotek 750 ml Acero Inox Navy</t>
  </si>
  <si>
    <t>LHBOHYTK750-BG</t>
  </si>
  <si>
    <t>Botella Termica Agua Hydrotek 750 ml Acero Inox Beige</t>
  </si>
  <si>
    <t>LHMUTER590-BK</t>
  </si>
  <si>
    <t>Mug Térmico para Café Termicup 590 ml Acero Inox Black</t>
  </si>
  <si>
    <t>LHMUTER590-PK</t>
  </si>
  <si>
    <t>Mug Térmico para Café Termicup 590 ml Acero Inox Pink</t>
  </si>
  <si>
    <t>LHMUTER590-GR</t>
  </si>
  <si>
    <t>Mug Térmico para Café Termicup 590 ml Acero Inox Green</t>
  </si>
  <si>
    <t>LHMUTER590-BG</t>
  </si>
  <si>
    <t>Mug Térmico para Café Termicup 590 ml Acero Inox Beige</t>
  </si>
  <si>
    <t>LHMUTER590-NY</t>
  </si>
  <si>
    <t>Mug Térmico para Café Termicup 590 ml Acero Inox Navy</t>
  </si>
  <si>
    <t>LHSMARTWDAS-BK</t>
  </si>
  <si>
    <t>Smartwatch GTS1 E Negro</t>
  </si>
  <si>
    <t>LHSMARTWDAS-PK</t>
  </si>
  <si>
    <t>Smartwatch GTS1 E Rosado</t>
  </si>
  <si>
    <t>LHSWAPEX-BK</t>
  </si>
  <si>
    <t>Reloj Smartwatch Lhotse Apex 01 GPS Black</t>
  </si>
  <si>
    <t>LHSWAPEX-PK</t>
  </si>
  <si>
    <t>Reloj Smartwatch Lhotse Apex 01 GPS Pink</t>
  </si>
  <si>
    <t>LHSWAPEX-OR</t>
  </si>
  <si>
    <t>Reloj Smartwatch Lhotse Apex 01 GPS Rust</t>
  </si>
  <si>
    <t>SMCFIT4LC-GR</t>
  </si>
  <si>
    <t>Cafetera Italiana Lucca 4 Tazas Simplit</t>
  </si>
  <si>
    <t>SMCFIT4SV-WH</t>
  </si>
  <si>
    <t>Cafetera Italiana Savannah 4 Tazas Simplit</t>
  </si>
  <si>
    <t>SMCFIT12LC-GR</t>
  </si>
  <si>
    <t>Cafetera Italiana Lucca 12 Tazas Simplit</t>
  </si>
  <si>
    <t>SMCFIT12SV-WH</t>
  </si>
  <si>
    <t>Cafetera Italiana Savannah 12 Tazas Simplit</t>
  </si>
  <si>
    <t>SMCONTCAFMI</t>
  </si>
  <si>
    <t>Contenedor Hermético De Café Acero Inoxidable Milán Simplit</t>
  </si>
  <si>
    <t>SMCONTVIDR4</t>
  </si>
  <si>
    <t>Set 3 Contenedores tupper vidrio</t>
  </si>
  <si>
    <t>SIMCONTVID3TUP</t>
  </si>
  <si>
    <t>Set 4 contenedores vidrio</t>
  </si>
  <si>
    <t>SIMOREXOSL-WD</t>
  </si>
  <si>
    <t>set 3 contenedores vidrio Taper</t>
  </si>
  <si>
    <t>SIMBASLUC-GR</t>
  </si>
  <si>
    <t>Organizador de cubiertos expandible Oslo Simplit</t>
  </si>
  <si>
    <t>SIMBASLIV-BK</t>
  </si>
  <si>
    <t>Basurero Cocina Lucca 12Lt Pedal Acero Inox Simplit</t>
  </si>
  <si>
    <t>Basurero Cocina Livorno 12Lt Pedal Acero Inox Simplit</t>
  </si>
  <si>
    <t>XRBARRUN-122</t>
  </si>
  <si>
    <t>Toldo lateral 270° Auto camping</t>
  </si>
  <si>
    <t>$499.990</t>
  </si>
  <si>
    <t>XRBARRUN-129</t>
  </si>
  <si>
    <t>Barra Portaequipaje Enganche universal 122cm XROAD</t>
  </si>
  <si>
    <t>XRBARRUN-139</t>
  </si>
  <si>
    <t>Barra Portaequipaje Enganche universal 129cm XROAD</t>
  </si>
  <si>
    <t>Barra Portaequipaje Enganche universal 139cm XROAD</t>
  </si>
  <si>
    <t>Maleta blanda Tipo Kano</t>
  </si>
  <si>
    <t>XRCOBSUV-BS</t>
  </si>
  <si>
    <t>Maleta blanda</t>
  </si>
  <si>
    <t>XRCOBMOT-BS</t>
  </si>
  <si>
    <t>Carpa Funda Cubre SUV Impermeable Premium con Felpa Xroad</t>
  </si>
  <si>
    <t>Carpa Funda Cubre Moto Impermeable Premium con Felpa Xroad</t>
  </si>
  <si>
    <t>Cooler Eléctrico Portátil 40 Lts Gris 12V XRoad</t>
  </si>
  <si>
    <t>Cooler Eléctrico Portátil 20 Lts Gris 12V XRoad</t>
  </si>
  <si>
    <t>Cooler Portátil 45 Lts Gris XRoad</t>
  </si>
  <si>
    <t>$109.990</t>
  </si>
  <si>
    <t>Cooler Freezer Eléctrico 40 Lts Gris 12V XRoad</t>
  </si>
  <si>
    <t>$329.990</t>
  </si>
  <si>
    <t>Carpa Inflable 3-4 personas Xroad</t>
  </si>
  <si>
    <t>$399.990</t>
  </si>
  <si>
    <t>Carpa Inflable 6-8 personas Xroad</t>
  </si>
  <si>
    <t>Carpa Armado Automatico 10 personas Xroad</t>
  </si>
  <si>
    <t>$229.990</t>
  </si>
  <si>
    <t>Quitasol Con Drill de Instalacion Xroad</t>
  </si>
  <si>
    <t>Colchon inflable Automatico 2 plazas Xroad</t>
  </si>
  <si>
    <t>TCAFSKIFL</t>
  </si>
  <si>
    <t>Carrito transporte Niños para Playa Xroad</t>
  </si>
  <si>
    <t>TCALSCAEGL-PP</t>
  </si>
  <si>
    <t>Afeitadora Facial Masculina SkinFlow T-Care</t>
  </si>
  <si>
    <t>BDSETLIMP</t>
  </si>
  <si>
    <t>Alisadores</t>
  </si>
  <si>
    <t>Alisador y Secador de Pelo 2 en 1 AeroGliss T-Care</t>
  </si>
  <si>
    <t>BDPZMG2E1</t>
  </si>
  <si>
    <t>Set Juego de Limpieza y Aseo Madera Bandú</t>
  </si>
  <si>
    <t>$60.480</t>
  </si>
  <si>
    <t>$45.360</t>
  </si>
  <si>
    <t>BDCASMUÑEC-WD</t>
  </si>
  <si>
    <t>Pizarra Madera Infantil Magnética 2 en 1 Didáctica Bandú</t>
  </si>
  <si>
    <t>$93.571</t>
  </si>
  <si>
    <t>$70.178</t>
  </si>
  <si>
    <t>BDPKMESILL</t>
  </si>
  <si>
    <t>Casa de Muñecas de Madera Juguete Infantil Bandú</t>
  </si>
  <si>
    <t>$181.440</t>
  </si>
  <si>
    <t>$136.080</t>
  </si>
  <si>
    <t>BDSILLEVREG</t>
  </si>
  <si>
    <t>Pack Infantil 1 Mesa 2 Sillas Madera Didáctico Bandú</t>
  </si>
  <si>
    <t>$129.600</t>
  </si>
  <si>
    <t>$97.200</t>
  </si>
  <si>
    <t>BDTORRAPR</t>
  </si>
  <si>
    <t>Silla de Comer Infantil Evolutiva Madera Regulable Bandú</t>
  </si>
  <si>
    <t>$102.060</t>
  </si>
  <si>
    <t>BDGMNMVBB</t>
  </si>
  <si>
    <t>Torre Aprendizaje Plegable Montesori Madera 3 Niveles Bandú</t>
  </si>
  <si>
    <t>$47.520</t>
  </si>
  <si>
    <t>$35.640</t>
  </si>
  <si>
    <t>Gimnasio Móvil de Madera Bebé Infantil Bandú</t>
  </si>
  <si>
    <t>BDT/Stock</t>
  </si>
  <si>
    <t>SKU</t>
  </si>
  <si>
    <t>Cantidad</t>
  </si>
  <si>
    <t>[1000190502] Collar Triángulo Azul Talla Xs Perro Mascan</t>
  </si>
  <si>
    <t>1.00</t>
  </si>
  <si>
    <t>[1513614057219] Lámpara Solar Linterna Inflable Camping Pesca Outdoor</t>
  </si>
  <si>
    <t>6.00</t>
  </si>
  <si>
    <t>[1523536647880] Hamaca Camping Pesca Outdoor Lhotse Verde Claro 270 Cm</t>
  </si>
  <si>
    <t>2.00</t>
  </si>
  <si>
    <t>[1564150627423] Audífonos Lhotse Bluetooth Inalámbrico Rm12 Blanco</t>
  </si>
  <si>
    <t>100.00</t>
  </si>
  <si>
    <t>[1564150661249] Audífonos Lhotse Bluetooth Inalámbrico Rm12 Negro</t>
  </si>
  <si>
    <t>[1566335721736] Audífonos Lhotse Bluetooth Inalámbrico Rm12 Celeste</t>
  </si>
  <si>
    <t>99.00</t>
  </si>
  <si>
    <t>[1566849947902] Mochila Antirrobo Lhotse Gris Oscuro MA147</t>
  </si>
  <si>
    <t>26.00</t>
  </si>
  <si>
    <t>[1571423280815] Pick-up Pad Lhotse Porta 5 Bicicletas</t>
  </si>
  <si>
    <t>15.00</t>
  </si>
  <si>
    <t>[1592492799236] Audífonos Lhotse Bluetooth Inalámbrico Rm12 Rosado</t>
  </si>
  <si>
    <t>[1597086499840] Audífonos Lhotse RM7 Pro Inalámbrico Blanco</t>
  </si>
  <si>
    <t>[1597098592591] Audífonos Lhotse RM7 Pro Inalámbrico Negro</t>
  </si>
  <si>
    <t>108.00</t>
  </si>
  <si>
    <t>[1615383366170] Pick-up Pad Lhotse Porta 6 Bicicletas</t>
  </si>
  <si>
    <t>11.00</t>
  </si>
  <si>
    <t>[1615383407099] Pick-up Pad Lhotse Porta 2 Bicicletas</t>
  </si>
  <si>
    <t>10.00</t>
  </si>
  <si>
    <t>[1623703690011] Mochila Outdoor Lhotse Plegable 25Lt Negra</t>
  </si>
  <si>
    <t>20.00</t>
  </si>
  <si>
    <t>[1623703728452] Mochila Outdoor Lhotse Plegable 25Lt Naranja</t>
  </si>
  <si>
    <t>29.00</t>
  </si>
  <si>
    <t>[1623703861303] Bolso Deportivo Lhotse Duffel 30 Lts Bag Negro</t>
  </si>
  <si>
    <t>27.00</t>
  </si>
  <si>
    <t>[1627416841030] Set Deportivo 7 en 1 Rueda Abdominal Cuerda Lhotse Fit</t>
  </si>
  <si>
    <t>49.00</t>
  </si>
  <si>
    <t>[1627418180602] Especiero Condimentos Giratorio Metálico 16 Frascos Simplit</t>
  </si>
  <si>
    <t>66.00</t>
  </si>
  <si>
    <t>[1627418212924] Set de 7 Contenedores Herméticos Plástico Simplit</t>
  </si>
  <si>
    <t>132.00</t>
  </si>
  <si>
    <t>[1628018206370] Juego De 4 Cachos Eco Cuero Negro Simplit</t>
  </si>
  <si>
    <t>14.00</t>
  </si>
  <si>
    <t>[1634845754276] Batería de Cocina Antiadherente Classic 8 Piezas Simplit</t>
  </si>
  <si>
    <t>24.00</t>
  </si>
  <si>
    <t>[1635956574926] Batería de Cocina Antiadherente Copper 7 Piezas Simplit</t>
  </si>
  <si>
    <t>[1635956597983] Sartén Antiadherente 24cm Copper Simplit</t>
  </si>
  <si>
    <t>30.00</t>
  </si>
  <si>
    <t>[1639085807876] Banda Smartband Lhotse Urban GT Pink</t>
  </si>
  <si>
    <t>[1645629782262] Set de 3 Contenedores Herméticos Plástico Simplit</t>
  </si>
  <si>
    <t>19.00</t>
  </si>
  <si>
    <t>[1650295261109] Organizador Refrigerador con Cesta Mediana Simplit</t>
  </si>
  <si>
    <t>35.00</t>
  </si>
  <si>
    <t>[1650295282448] Organizador Refrigerador con Cesta Grande Simplit</t>
  </si>
  <si>
    <t>[1650301031879] Barras Portaequipaje de Aluminio para Techo Xroad</t>
  </si>
  <si>
    <t>12.00</t>
  </si>
  <si>
    <t>[1650302269777] Toldo Camping Lateral Para Auto Techo Xroad</t>
  </si>
  <si>
    <t>7.00</t>
  </si>
  <si>
    <t>[1652825027456] Aspiradora Inalámbrica Portátil Xpira Negra Levo</t>
  </si>
  <si>
    <t>40.00</t>
  </si>
  <si>
    <t>[1654189048611] Organizador Refrigerador con Drenaje Chica Simplit</t>
  </si>
  <si>
    <t>34.00</t>
  </si>
  <si>
    <t>[1654189204021] Organizador Refrigerador con Drenaje Grande Simplit</t>
  </si>
  <si>
    <t>[1654207295633] Set 2 Tazas Vidrio Doble Pared Expreso 80 ml Simplit</t>
  </si>
  <si>
    <t>96.00</t>
  </si>
  <si>
    <t>[1654207307551] Taza de Vidrio Doble Pared 350 ml Simplit</t>
  </si>
  <si>
    <t>[1654207333519] Taza Mug de Vidrio Doble Pared 300 ml Simplit</t>
  </si>
  <si>
    <t>159.00</t>
  </si>
  <si>
    <t>[1654207372101] Set 2 Vasos Vidrio Borosilicato 550 ml Simplit</t>
  </si>
  <si>
    <t>16.00</t>
  </si>
  <si>
    <t>[1656603353038] Funda Cubre Asiento de Auto Impermeable Mascotas Negra Xroad</t>
  </si>
  <si>
    <t>[1659991971809] Telón Proyector 100 pulgadas 200 x 150 cm Levo</t>
  </si>
  <si>
    <t>[1659991999728] Telón Proyector 60 pulgadas 120 x 90 cm Levo</t>
  </si>
  <si>
    <t>[1659999392257] Mochila para Notebook con Puerto USB 15" Gris Levo</t>
  </si>
  <si>
    <t>90.00</t>
  </si>
  <si>
    <t>[1659999410637] Mochila para Notebook con Puerto USB 15" Negra Levo</t>
  </si>
  <si>
    <t>[1660857914743] Set 2 Vasos de Vidrio Estilo Japonés 320 ml Simplit</t>
  </si>
  <si>
    <t>[1660857963520] Tabla de Corte Plegable 3 en 1 Simplit</t>
  </si>
  <si>
    <t>[1660858101318] Mantequillero de Cerámica Tapa Bamboo 300 ml Simplit</t>
  </si>
  <si>
    <t>[1660858118518] Mantequillero Cerámica Tapa Bamboo + Cuchillo 600 ml Simplit</t>
  </si>
  <si>
    <t>59.00</t>
  </si>
  <si>
    <t>[1660858341796] Secaplatos Escurridor 2 Niveles Acero Inox Negro Simplit</t>
  </si>
  <si>
    <t>[1660858356962] Secaplatos Escurridor 2 Niveles Acero Inox Blanco Simplit</t>
  </si>
  <si>
    <t>44.00</t>
  </si>
  <si>
    <t>[1660858416606] Panera Metálica con Tapa Bamboo Blanca Simplit</t>
  </si>
  <si>
    <t>3.00</t>
  </si>
  <si>
    <t>[1660858702400] Set 2 Molinillos de Sal y Pimienta Vidrio Simplit</t>
  </si>
  <si>
    <t>18.00</t>
  </si>
  <si>
    <t>[1660858756233] Contenedor de Cerámica Hermético Tapa Madera S Negro Simplit</t>
  </si>
  <si>
    <t>4.00</t>
  </si>
  <si>
    <t>[1660858776726] Contenedor de Cerámica Hermético Tapa Madera M Negro Simplit</t>
  </si>
  <si>
    <t>[1660858793429] Contenedor de Cerámica Hermético Tapa Madera L Negro Simplit</t>
  </si>
  <si>
    <t>[1660858812938] Contenedor Cerámica Hermético Tapa Madera S Blanco Simplit</t>
  </si>
  <si>
    <t>[1660858828618] Contenedor Cerámica Hermético Tapa Madera M Blanco Simplit</t>
  </si>
  <si>
    <t>[1660858844449] Contenedor Cerámica Hermético Tapa Madera L Blanco Simplit</t>
  </si>
  <si>
    <t>9.00</t>
  </si>
  <si>
    <t>[1660859171584] Espumador de Leche 4 en 1 Negro Simplit</t>
  </si>
  <si>
    <t>[1661872956577] Set 3 Fuentes de Cerámica para Horno Celeste Simplit</t>
  </si>
  <si>
    <t>[1661873799978] Mochila Volcano Lhotse 19 Lt Negra</t>
  </si>
  <si>
    <t>5.00</t>
  </si>
  <si>
    <t>[186296] Termo Multiuso Acero 1 Lt Thermos</t>
  </si>
  <si>
    <t>[1909000061510] Bolsas Sanitarias Biodegradables Para Perro Mascan</t>
  </si>
  <si>
    <t>[20-40015] Loción De Protección Solar Hidratante SPF 15 Sun Bum</t>
  </si>
  <si>
    <t>20-40015</t>
  </si>
  <si>
    <t>[20-45085] After Sun Cool Down Lotion Sun Bum</t>
  </si>
  <si>
    <t>20-45085</t>
  </si>
  <si>
    <t>[6182252] Balancio Juego De Ingenio Scratch Europe</t>
  </si>
  <si>
    <t>[66800469437952] Termo de Comida Insulado Acero Inox 750 ml Rosado Simplit</t>
  </si>
  <si>
    <t>[66800472805184] Termo de Comida Insulado Acero Inox 750 ml Gris Simplit</t>
  </si>
  <si>
    <t>[66800506435054] Cubeta de Hielo Silicona 160 Mini Hielos Simplit</t>
  </si>
  <si>
    <t>8.00</t>
  </si>
  <si>
    <t>[66800509015029] Cubeta de Hielo Silicona 6 Hielos Redondos Simplit</t>
  </si>
  <si>
    <t>[67327712330533] Set de 7 Contenedores Herméticos Plástico Negro Simplit</t>
  </si>
  <si>
    <t>74.00</t>
  </si>
  <si>
    <t>[67933831843970] Parlante Portatil Bluetooth Lhotse Tune Up Negro</t>
  </si>
  <si>
    <t>[67933833934278] Parlante Portatil Bluetooth Lhotse Tune Up Rojo</t>
  </si>
  <si>
    <t>[67933835121467] Parlante Portatil Bluetooth Lhotse Tune Up Azul</t>
  </si>
  <si>
    <t>[67933854599885] Set 2 Vasos Cobre Moscow Mule Mojito Bar + Bombilla Simplit</t>
  </si>
  <si>
    <t>[67933857637909] Set 6 Vasos Largo Vintage Charlotte 350ml Simplit</t>
  </si>
  <si>
    <t>[67933859111971] Set 6 Vasos redondos Virginia 340ml Simplit</t>
  </si>
  <si>
    <t>[67933860407346] Set 6 Vasos Whisky Kentucky 270ml Simplit</t>
  </si>
  <si>
    <t>[67933863068841] Set 6 Vaso Copa Cerveza Collins 420ml Simplit</t>
  </si>
  <si>
    <t>[67951421434761] Vaso Térmico Tumbler 750ml Tapa y Bombilla Rosado Simplit</t>
  </si>
  <si>
    <t>[68540051413139] Secaplatos Escurridor 1 Nivel Acero Inox Blanco Simplit</t>
  </si>
  <si>
    <t>[68658866289861] Audífonos  Inalámbrico Lhotse RM7 Pro Rosado</t>
  </si>
  <si>
    <t>[68658868763602] Audífonos Lhotse RM7 Pro Inalámbrico Celeste</t>
  </si>
  <si>
    <t>[6902221318688] Sartén Granite 28 cm Gris Brando</t>
  </si>
  <si>
    <t>[757450527587] Shampoo Low Poo Vegano Sheet</t>
  </si>
  <si>
    <t>[757450527808] Gomitas De Biotina Para Fortalecer El Cabello Sheet</t>
  </si>
  <si>
    <t>[757450527853] Acondicionador Armony Desenredante Limpieza Profunda Sheet</t>
  </si>
  <si>
    <t>[757450528058] Serum Crecimiento Pestañas Y Cejas Sheet</t>
  </si>
  <si>
    <t>[BAR-SP24] Imabars 24 piezas</t>
  </si>
  <si>
    <t>BAR-SP24</t>
  </si>
  <si>
    <t>[BAR-SP60] Imabars 60 Piezas</t>
  </si>
  <si>
    <t>BAR-SP60</t>
  </si>
  <si>
    <t>[CNS10150] Espuma Mousse de Limpieza Facial Caracol Natural 150 ml</t>
  </si>
  <si>
    <t>CNS10150</t>
  </si>
  <si>
    <t>[CNS250] Crema Hidratante Antiedad Antiarrugas Caracol Natural 50 ml</t>
  </si>
  <si>
    <t>CNS250</t>
  </si>
  <si>
    <t>[CNS550] Crema Reafirmante Restauradora Facial Caracol Natural 50 ml</t>
  </si>
  <si>
    <t>CNS550</t>
  </si>
  <si>
    <t>[CNS630] Serum Rellenador Regenerador Facial Caracol Natural 30 ml</t>
  </si>
  <si>
    <t>CNS630</t>
  </si>
  <si>
    <t>[CNS720] Crema Contorno de Ojos Caracol Natural 20 ml</t>
  </si>
  <si>
    <t>CNS720</t>
  </si>
  <si>
    <t>[CNS8200] Tónico Hidratante Facial Caracol Natural 150 ml</t>
  </si>
  <si>
    <t>CNS8200</t>
  </si>
  <si>
    <t>[DOT-020] Imadots Mini Juego Magnético</t>
  </si>
  <si>
    <t>DOT-020</t>
  </si>
  <si>
    <t>[DOT-030] Imadots Juego Magnético</t>
  </si>
  <si>
    <t>DOT-030</t>
  </si>
  <si>
    <t>[DYNHYDLA] Hidrolavadora eléctrica Dynamo WP 1800w 130bar 220/240V 60Hz</t>
  </si>
  <si>
    <t>[DYNLLAIMP] Llave de Impacto Inalámbrica Dynamo 21V + 2 Baterias y Acss</t>
  </si>
  <si>
    <t>22.00</t>
  </si>
  <si>
    <t>[DYNTALCPER] Taladro Percutor Inalámbrico Dynamo 21v 2 Baterías + Accs</t>
  </si>
  <si>
    <t>[DYNTALIMPA] Pack Taladro Percutor + Atornillador de Impacto 21V Dynamo</t>
  </si>
  <si>
    <t>[DYNTALSCA] Taladro Desatornillador Inalámbrico Dynamo 21V + 2 baterías</t>
  </si>
  <si>
    <t>[DYNTALSPER] Kit Taladro Destornillador Inalámbrico Dynamo 21v 2 Baterías</t>
  </si>
  <si>
    <t>[FA038-1] Inchimals, Juego Para Aprender Matemáticas FatBrain Toys</t>
  </si>
  <si>
    <t>FA038-1</t>
  </si>
  <si>
    <t>[FA319-1] Tumbleroos, Juego De Anidar Y Balancear FatBrain Toys</t>
  </si>
  <si>
    <t>FA319-1</t>
  </si>
  <si>
    <t>[FA362-1] Tugl Cube, Cubo Sensorial Y Fidget FatBrain Toys</t>
  </si>
  <si>
    <t>FA362-1</t>
  </si>
  <si>
    <t>[FF102C] Bebé Oveja Fuzzikins</t>
  </si>
  <si>
    <t>FF102C</t>
  </si>
  <si>
    <t>[IMA-016] Imanix Juego 16 Piezas Magnéticas</t>
  </si>
  <si>
    <t>IMA-016</t>
  </si>
  <si>
    <t>[IMA-032] Imanix Juego 32 Piezas Magnéticas</t>
  </si>
  <si>
    <t>IMA-032</t>
  </si>
  <si>
    <t>[IMA-060] Imanix Juego 60 Piezas Magnéticas</t>
  </si>
  <si>
    <t>IMA-060</t>
  </si>
  <si>
    <t>[IMA-CLR20] Imanix Clear 20 Piezas</t>
  </si>
  <si>
    <t>IMA-CLR20</t>
  </si>
  <si>
    <t>[IMA-RAMPA4] Accesorios Pista Rampa Imanix</t>
  </si>
  <si>
    <t>IMA-RAMPA4</t>
  </si>
  <si>
    <t>[IMA-TB] Bolsa Sorpresa Braintoys</t>
  </si>
  <si>
    <t>IMA-TB</t>
  </si>
  <si>
    <t>[IMA-UTURN6] Imanix Accesorios Tobogán 6 Piezas</t>
  </si>
  <si>
    <t>IMA-UTURN6</t>
  </si>
  <si>
    <t>[LHAUDFIBUD-BK] Audifonos Inalámbricos Bluetooth Deportivos FitBuds Lhotse</t>
  </si>
  <si>
    <t>[LHBANHIM-BK] Banano Outdoor Golight 1Lt Himalaya Lhotse Black</t>
  </si>
  <si>
    <t>[LHBANHIM-BL] Banano Outdoor Golight 1Lt Himalaya Lhotse Blue</t>
  </si>
  <si>
    <t>[LHBANHIM-RD] Banano Outdoor Golight 1Lt Himalaya Lhotse Red</t>
  </si>
  <si>
    <t>[LHBIGMU-BL] Vaso Térmico Tumbler 1180ml Lhotse light Blue</t>
  </si>
  <si>
    <t>[LHBIGMU-CR] Vaso Térmico Tumbler 1180ml Lhotse Sand</t>
  </si>
  <si>
    <t>[LHBIGMU-GR] Vaso Térmico Tumbler 1180ml Lhotse Light Green</t>
  </si>
  <si>
    <t>[LHBIGMU-PK] Vaso Térmico Tumbler 1180ml Lhotse Pink</t>
  </si>
  <si>
    <t>[LHBOHY95-BK] Botella Térmica Insulada Lhotse Hydro 960ml Negro</t>
  </si>
  <si>
    <t>[LHBOHY95-GR] Botella Térmica Insulada Lhotse Hydro 960ml Verde</t>
  </si>
  <si>
    <t>[LHBOHY95-LY] Botella Térmica Insulada Lhotse Hydro 960ml Lila</t>
  </si>
  <si>
    <t>[LHBOHY95-PK] Botella Térmica Insulada Lhotse Hydro 960ml Rosado</t>
  </si>
  <si>
    <t>[LHBOLDUFBK-30] Bolso Deportivo Impermeable Duffel 30 lts Lhotse Black</t>
  </si>
  <si>
    <t>[LHBOLDUFGR-30] Bolso Deportivo Impermeable Duffel 30 lts Lhotse Green</t>
  </si>
  <si>
    <t>[LHBOLDUFGR-60] Bolso Deportivo Impermeable Duffel 60 lts Lhotse Green</t>
  </si>
  <si>
    <t>23.00</t>
  </si>
  <si>
    <t>[LHBOLDUFNV-30] Bolso Deportivo Impermeable Duffel 30 lts Lhotse Navy</t>
  </si>
  <si>
    <t>[LHBOLDUFNV-60] Bolso Deportivo Impermeable Duffel 60 lts Lhotse Navy</t>
  </si>
  <si>
    <t>[LHCAMU-BK] Taza Térmica Insulada Camping 350ml Black</t>
  </si>
  <si>
    <t>[LHHEDBEMA-KH] Audifonos Bluetooth Inalambrico BeatMaster ANC Cream</t>
  </si>
  <si>
    <t>53.00</t>
  </si>
  <si>
    <t>[LHJOKFLF-BK] Jockey Deportivo FlexFlow DryFit Lhotse (Negro)</t>
  </si>
  <si>
    <t>[LHJOKFLF-BK] Jockey Deportivo FlexFlow DryFit Lhotse (Negro)  (2)</t>
  </si>
  <si>
    <t>[LHJOKFLF-BL] Jockey Deportivo FlexFlow DryFit Lhotse (Azul)</t>
  </si>
  <si>
    <t>[LHJOKFLF-BL] Jockey Deportivo FlexFlow DryFit Lhotse (Azul)  (2)</t>
  </si>
  <si>
    <t>25.00</t>
  </si>
  <si>
    <t>[LHJOKFLF-GR] Jockey Deportivo FlexFlow DryFit Lhotse (Verde)</t>
  </si>
  <si>
    <t>[LHJOKFLF-GR] Jockey Deportivo FlexFlow DryFit Lhotse (verde)</t>
  </si>
  <si>
    <t>[LHJOKTRE-BK] Jockey Trekker Algodón Black Unisex Lhotse</t>
  </si>
  <si>
    <t>[LHJOKTRE-GR] Jockey Trekker Algodón Green Unisex Lhotse</t>
  </si>
  <si>
    <t>[LHJOKTRE-OR] Jockey Trekker Algodón Orange Unisex Lhotse</t>
  </si>
  <si>
    <t>[LHJOKWV-BK] Jockey Wave Algodón Black/Green Unisex Lhotse</t>
  </si>
  <si>
    <t>[LHJOKWV-GR] Jockey Wave Algodón Green Unisex Lhotse</t>
  </si>
  <si>
    <t>[LHMALEXPBK-30] Maleta Bolso Trolly Expedition Duffel 30lts Black</t>
  </si>
  <si>
    <t>45.00</t>
  </si>
  <si>
    <t>[LHMALEXPBK-70] Maleta Bolso Trolly Expedition Duffel 70lts Black</t>
  </si>
  <si>
    <t>[LHMALEXPBK-90] Maleta Bolso Trolly Expedition Duffel 90lts Black</t>
  </si>
  <si>
    <t>[LHMAMU-GR] Mate Acero Inoxidable con Bombilla Lhotse Green</t>
  </si>
  <si>
    <t>[LHMAMU-LPK] Mate Acero Inoxidable con Bombilla Lhotse Light Pink</t>
  </si>
  <si>
    <t>[LHMAMU-RD] Mate Acero Inoxidable con Bombilla Lhotse Red</t>
  </si>
  <si>
    <t>[LHMAMU-WH] Mate Acero Inoxidable con Bombilla Lhotse White</t>
  </si>
  <si>
    <t>[LHMOBI001-BK] Mochila Outdoor HYDROROAD Negra + Bolsa de Agua Lhotse</t>
  </si>
  <si>
    <t>[LHMOBI001-BL] Mochila Outdoor HYDROROAD Azul + Bolsa de Agua Lhotse</t>
  </si>
  <si>
    <t>[LHMOBI001-GR] Mochila Outdoor HYDROROAD Gris + Bolsa de Agua Lhotse</t>
  </si>
  <si>
    <t>[LHMOBROBK] Mochila Viaje impermeable Notebook 17,3"Broadpeak 40L Lhotse</t>
  </si>
  <si>
    <t>[LHNECKHUM-BK] Neceser Viaje Waterproof 5L Khumbu Black Lhotse</t>
  </si>
  <si>
    <t>[LHNECKHUM-GR] Neceser Viaje Waterproof 5L Khumbu Green Lhotse</t>
  </si>
  <si>
    <t>41.00</t>
  </si>
  <si>
    <t>[LHPARJOUR-BK] Parlante Portátil Inalámbrico Bluetooth Journey Black</t>
  </si>
  <si>
    <t>[LHPARTRGO-BK] Parlante Portátil Inalámbrico Bluetooth TripGo+ Black</t>
  </si>
  <si>
    <t>[LHPARTRGO-BL] Parlante Portátil Inalámbrico Bluetooth TripGo+ Blue</t>
  </si>
  <si>
    <t>89.00</t>
  </si>
  <si>
    <t>[LHPARTRGO-GR] Parlante Portátil Inalámbrico Bluetooth TripGo+ Grey</t>
  </si>
  <si>
    <t>78.00</t>
  </si>
  <si>
    <t>[LHPARTRGO-RD] Parlante Portátil Inalámbrico Bluetooth TripGo+ Red</t>
  </si>
  <si>
    <t>88.00</t>
  </si>
  <si>
    <t>[LHTOAMIC-BL] Toalla Microfibra Secado Rapido QuickTrek Blue Lhotse</t>
  </si>
  <si>
    <t>[LHTOAMIC-LIL] Toalla Microfibra Secado Rapido QuickTrek Lilac Lhotse</t>
  </si>
  <si>
    <t>[LHTRMU-GR] Botella Térmica Insulada Lhotse Travel Mug 900ml Green</t>
  </si>
  <si>
    <t>[LHTRMU-PK] Botella Térmica Insulada Lhotse Travel Mug 900ml Pink</t>
  </si>
  <si>
    <t>[LHTRMU-WH] Botella Térmica Insulada Lhotse Travel Mug 900ml White</t>
  </si>
  <si>
    <t>[LHVACAM-BK] Vaso Térmico Insulado Camping 480ml Black</t>
  </si>
  <si>
    <t>[LHVACAM-PK] Vaso Térmico Insulado Camping 480ml Pink</t>
  </si>
  <si>
    <t>13.00</t>
  </si>
  <si>
    <t>[LHVACAM-RD] Vaso Térmico Insulado Camping 480ml Red</t>
  </si>
  <si>
    <t>[LHVACAM-VD] Vaso Térmico Insulado Camping 480ml Green</t>
  </si>
  <si>
    <t>[LHVACAM-WH] Vaso Térmico Insulado Camping 480ml White</t>
  </si>
  <si>
    <t>[LTW25-MFL01L-BK] Primera Capa Térmica Hombre Dugla Stay Warm Top Lhotse (L)</t>
  </si>
  <si>
    <t>[LTW25-MFL01M-BK] Primera Capa Térmica Hombre Dugla Stay Warm Top Lhotse (M)</t>
  </si>
  <si>
    <t>43.00</t>
  </si>
  <si>
    <t>[LTW25-MFL01S-BK] Primera Capa Térmica Hombre Dugla Stay Warm Top Lhotse (S)</t>
  </si>
  <si>
    <t>47.00</t>
  </si>
  <si>
    <t>[LTW25-MFL01XL-BK] Primera Capa Térmica Hombre Dugla Stay Warm Top Lhotse (XL)</t>
  </si>
  <si>
    <t>[LTW25-MKF03L-BK] Polar Segunda Capa Lobuche Lhotse (Negro, L)</t>
  </si>
  <si>
    <t>[LTW25-MKF03L-GR] Polar Segunda Capa Lobuche Lhotse (Verde, L)</t>
  </si>
  <si>
    <t>[LTW25-MKF03M-BK] Polar Segunda Capa Lobuche Lhotse (Negro, M)</t>
  </si>
  <si>
    <t>[LTW25-MKF03M-GR] Polar Segunda Capa Lobuche Lhotse (Verde, M)</t>
  </si>
  <si>
    <t>[LTW25-MKF03S-BK] Polar Segunda Capa Lobuche Lhotse (Negro, S)</t>
  </si>
  <si>
    <t>[LTW25-MKF03S-GR] Polar Segunda Capa Lobuche Lhotse (Verde, S)</t>
  </si>
  <si>
    <t>[LTW25-MKF03XL-BK] Polar Segunda Capa Lobuche Lhotse (Negro, XL)</t>
  </si>
  <si>
    <t>[LTW25-MKF03XL-GR] Polar Segunda Capa Lobuche Lhotse (Verde, XL)</t>
  </si>
  <si>
    <t>[LTW25-MKF04L-BK] Polar Hombre Tejido Full Zip Middle 84 Lhotse (L, Negro)</t>
  </si>
  <si>
    <t>[LTW25-MKF04L-BL] Polar Hombre Tejido Full Zip Middle 84 Lhotse (L, Azul)</t>
  </si>
  <si>
    <t>[LTW25-MKF04M-BK] Polar Hombre Tejido Full Zip Middle 84 Lhotse (M, Negro)</t>
  </si>
  <si>
    <t>[LTW25-MKF04M-BL] Polar Hombre Tejido Full Zip Middle 84 Lhotse (M, Azul)</t>
  </si>
  <si>
    <t>[LTW25-MKF04S-BK] Polar Hombre Tejido Full Zip Middle 84 Lhotse (S, Negro)</t>
  </si>
  <si>
    <t>[LTW25-MKF04S-BL] Polar Hombre Tejido Full Zip Middle 84 Lhotse (S, Azul)</t>
  </si>
  <si>
    <t>[LTW25-MKF04XL-BK] Polar Hombre Tejido Full Zip Middle 84 Lhotse (XL, Negro)</t>
  </si>
  <si>
    <t>[LTW25-MKF04XL-BL] Polar Hombre Tejido Full Zip Middle 84 Lhotse (XL, Azul)</t>
  </si>
  <si>
    <t>[LTW25-MKF05L-BK] Polar Hombre Shar 83 Half Zipper Lhotse (L, Negro)</t>
  </si>
  <si>
    <t>[LTW25-MKF05L-BL] Polar Hombre Shar 83 Half Zipper Lhotse (L, Azul)</t>
  </si>
  <si>
    <t>[LTW25-MKF05M-BK] Polar Hombre Shar 83 Half Zipper Lhotse (M, Negro)</t>
  </si>
  <si>
    <t>[LTW25-MKF05M-BL] Polar Hombre Shar 83 Half Zipper Lhotse (M, Azul)</t>
  </si>
  <si>
    <t>[LTW25-MKF05S-BK] Polar Hombre Shar 83 Half Zipper Lhotse (S, Negro)</t>
  </si>
  <si>
    <t>[LTW25-MKF05S-BL] Polar Hombre Shar 83 Half Zipper Lhotse (S, Azul)</t>
  </si>
  <si>
    <t>[LTW25-MKF05XL-BK] Polar Hombre Shar 83 Half Zipper Lhotse (XL, Negro)</t>
  </si>
  <si>
    <t>[LTW25-MKF05XL-BL] Polar Hombre Shar 83 Half Zipper Lhotse (XL, Azul)</t>
  </si>
  <si>
    <t>[LTW25-MKF07L-ECRU] Polar Sherpa Main 85 Lhotse (L, Beige)</t>
  </si>
  <si>
    <t>[LTW25-MKF07L-GR] Polar Sherpa Main 85 Lhotse (L, Verde)</t>
  </si>
  <si>
    <t>[LTW25-MKF07M-ECRU] Polar Sherpa Main 85 Lhotse (M, Beige)</t>
  </si>
  <si>
    <t>[LTW25-MKF07M-GR] Polar Sherpa Main 85 Lhotse (M, Verde)</t>
  </si>
  <si>
    <t>[LTW25-MKF07S-ECRU] Polar Sherpa Main 85 Lhotse (S, Beige)</t>
  </si>
  <si>
    <t>[LTW25-MKF07S-GR] Polar Sherpa Main 85 Lhotse (S, Verde)</t>
  </si>
  <si>
    <t>[LTW25-MKF07XL-ECRU] Polar Sherpa Main 85 Lhotse (XL, Beige)</t>
  </si>
  <si>
    <t>[LTW25-MKF07XL-GR] Polar Sherpa Main 85 Lhotse (XL, Verde)</t>
  </si>
  <si>
    <t>[LTW25-MPK08L-BK] Chaqueta Parka Hombre Nuptse Lhotse (L, Negro)</t>
  </si>
  <si>
    <t>[LTW25-MPK08L-GR] Chaqueta Parka Hombre Nuptse Lhotse (L, Verde)</t>
  </si>
  <si>
    <t>[LTW25-MPK08M-BK] Chaqueta Parka Hombre Nuptse Lhotse (M, Negro)</t>
  </si>
  <si>
    <t>[LTW25-MPK08M-GR] Chaqueta Parka Hombre Nuptse Lhotse (M, Verde)</t>
  </si>
  <si>
    <t>[LTW25-MPK08S-BK] Chaqueta Parka Hombre Nuptse Lhotse (S, Negro)</t>
  </si>
  <si>
    <t>[LTW25-MPK08S-GR] Chaqueta Parka Hombre Nuptse Lhotse (S, Verde)</t>
  </si>
  <si>
    <t>[LTW25-MPK08XL-BK] Chaqueta Parka Hombre Nuptse Lhotse (XL, Negro)</t>
  </si>
  <si>
    <t>[LTW25-MPK08XL-GR] Chaqueta Parka Hombre Nuptse Lhotse (XL, Verde)</t>
  </si>
  <si>
    <t>[LTW25-MPK09L-BK] Cortaviento Impermeable Gorak Shep Lhotse (L, Negro)</t>
  </si>
  <si>
    <t>[LTW25-MPK09L-BL] Cortaviento Impermeable Gorak Shep Lhotse (L, Azul)</t>
  </si>
  <si>
    <t>[LTW25-MPK09M-BK] Cortaviento Impermeable Gorak Shep Lhotse (M, Negro)</t>
  </si>
  <si>
    <t>[LTW25-MPK09S-BK] Cortaviento Impermeable Gorak Shep Lhotse (S, Negro)</t>
  </si>
  <si>
    <t>[LTW25-MPK09S-BL] Cortaviento Impermeable Gorak Shep Lhotse (S, Azul)</t>
  </si>
  <si>
    <t>[LTW25-MPK09XL-BK] Cortaviento Impermeable Gorak Shep Lhotse (XL, Negro)</t>
  </si>
  <si>
    <t>[LTW25-MPK09XL-BL] Cortaviento Impermeable Gorak Shep Lhotse (XL, Azul)</t>
  </si>
  <si>
    <t>[LTW25-MPK10L-BK] Parka Puffa Hombre Khumbu Lhotse (L)</t>
  </si>
  <si>
    <t>[LTW25-MPK10M-BK] Parka Puffa Hombre Khumbu Lhotse (M)</t>
  </si>
  <si>
    <t>[LTW25-MPK10S-BK] Parka Puffa Hombre Khumbu Lhotse (S)</t>
  </si>
  <si>
    <t>[LTW25-MPK10XL-BK] Parka Puffa Hombre Khumbu Lhotse (XL)</t>
  </si>
  <si>
    <t>[LTW25-MPT1142-GR] Pantalon Trekking Hombre Desmontable Lukla Lhotse (42, Verde)</t>
  </si>
  <si>
    <t>[LTW25-MPT1144-GR] Pantalon Trekking Hombre Desmontable Lukla Lhotse (44, Verde)</t>
  </si>
  <si>
    <t>[LTW25-MSW06L-GR] Polerón Hombre Hoodie Katmandú Lhotse (L, Verde)</t>
  </si>
  <si>
    <t>[LTW25-MSW06L-GRY] Polerón Hombre Hoodie Katmandú Lhotse (L, Gris)</t>
  </si>
  <si>
    <t>[LTW25-MSW06M-GR] Polerón Hombre Hoodie Katmandú Lhotse (M, Verde)</t>
  </si>
  <si>
    <t>[LTW25-MSW06M-GRY] Polerón Hombre Hoodie Katmandú Lhotse (M, Gris)</t>
  </si>
  <si>
    <t>[LTW25-MSW06S-GR] Polerón Hombre Hoodie Katmandú Lhotse (S, Verde)</t>
  </si>
  <si>
    <t>[LTW25-MSW06S-GRY] Polerón Hombre Hoodie Katmandú Lhotse (S, Gris)</t>
  </si>
  <si>
    <t>[LTW25-MSW06XL-GR] Polerón Hombre Hoodie Katmandú Lhotse (XL, Verde)</t>
  </si>
  <si>
    <t>[LTW25-MSW06XL-GRY] Polerón Hombre Hoodie Katmandú Lhotse (XL, Gris)</t>
  </si>
  <si>
    <t>[LTW25-MTS02L-BG] Polera Hombre Manga Corta Nepal Lhotse (L, Beige)</t>
  </si>
  <si>
    <t>[LTW25-MTS02L-GR] Polera Hombre Manga Corta Nepal Lhotse (L, Verde)</t>
  </si>
  <si>
    <t>[LTW25-MTS02L-GRY] Polera Hombre Manga Corta Nepal Lhotse (L, Gris)</t>
  </si>
  <si>
    <t>[LTW25-MTS02M-BG] Polera Hombre Manga Corta Nepal Lhotse (M, Beige)</t>
  </si>
  <si>
    <t>[LTW25-MTS02M-GR] Polera Hombre Manga Corta Nepal Lhotse (M, Verde)</t>
  </si>
  <si>
    <t>[LVFNOTHS13-BK] Funda HardShell para Notebook 13-14" Negro Levo</t>
  </si>
  <si>
    <t>32.00</t>
  </si>
  <si>
    <t>[LVFNOTHS15-BK] Funda HardShell para Notebook 15-16" Negro Levo</t>
  </si>
  <si>
    <t>[LVFUEX-BK] Funda Maletin Notebook EXECUTIVE Negro 15,6" LEVO</t>
  </si>
  <si>
    <t>[LVMOMA-BK] Mochila Notebook MANAGER Negra 15,6" LEVO</t>
  </si>
  <si>
    <t>[LVMOMA-GR] Mochila Notebook MANAGER Gris 15,6" LEVO</t>
  </si>
  <si>
    <t>[LVMOWO-BK] Mochila de viaje Notebook WOLF Negra 15,6" LEVO</t>
  </si>
  <si>
    <t>[LVPROHAL] Proyector Portatil Mini Halo 9000lm Bluetooth HD Levo</t>
  </si>
  <si>
    <t>64.00</t>
  </si>
  <si>
    <t>[LVPROLUM] Proyector Portatil Inalámbrico Smart Lumix 9000lm BT Levo</t>
  </si>
  <si>
    <t>[LVPROORI] Proyector Portátil Orion FullHD LEVO</t>
  </si>
  <si>
    <t>17.00</t>
  </si>
  <si>
    <t>[LVSILLERGO-BL] Silla Escritorio Oficina Ergonómica Reclinable Ergotech Levo</t>
  </si>
  <si>
    <t>[LVTEL-80] Telón Proyector 80 pulgadas 165 x 125 cm Levo</t>
  </si>
  <si>
    <t>[MAG-01] MagneMath Juego Combinaciones Numéricas</t>
  </si>
  <si>
    <t>MAG-01</t>
  </si>
  <si>
    <t>[MCO125] Crema Humectante 500 Ml Black Cedar Transparente Madison</t>
  </si>
  <si>
    <t>MCO125</t>
  </si>
  <si>
    <t>[MF07000040710] Hueso Goma Limpiadientes Verde Talla M Perro Mascan</t>
  </si>
  <si>
    <t>MF07000040710</t>
  </si>
  <si>
    <t>[PACKCNS20] Pack Antimanchas Hidratante Caracol Natural</t>
  </si>
  <si>
    <t>PACKCNS20</t>
  </si>
  <si>
    <t>[PACKCNS21] Pack Power Duo Limpieza Profunda Caracol Natural</t>
  </si>
  <si>
    <t>PACKCNS21</t>
  </si>
  <si>
    <t>[PAD-L02] Set de 2 Lápices Imapad</t>
  </si>
  <si>
    <t>PAD-L02</t>
  </si>
  <si>
    <t>[PAD-MANROJ] Imapad Pocket Manzana Rojo</t>
  </si>
  <si>
    <t>PAD-MANROJ</t>
  </si>
  <si>
    <t>[PAD-PKTNE] Pocket Imapad Juego Magnético Negro</t>
  </si>
  <si>
    <t>PAD-PKTNE</t>
  </si>
  <si>
    <t>[PAD-PKTROJ] Pocket Imapad Juego Magnético Rojo</t>
  </si>
  <si>
    <t>PAD-PKTROJ</t>
  </si>
  <si>
    <t>[RC-GUA11] Guante Cuero Artesanal Asado Raiquen</t>
  </si>
  <si>
    <t>RC-GUA11</t>
  </si>
  <si>
    <t>[RC-IDE11] Identificador Para Equipaje De Cuero Hecho a Mano Raiquen</t>
  </si>
  <si>
    <t>RC-IDE11</t>
  </si>
  <si>
    <t>[SD06000050909] Plato Melamina Anti-ahogo Talla Xl Rojo Perro Mascan</t>
  </si>
  <si>
    <t>SD06000050909</t>
  </si>
  <si>
    <t>[SIMBOWAMA-4] Set 4 Bowls Cerámica 7,5 cm Amalfi Simplit</t>
  </si>
  <si>
    <t>[SIMBOWSIE-4] Set 4 Bowls Cerámica 7,5 cm Siena Simplit</t>
  </si>
  <si>
    <t>[SIMBOWTAZ-4] Set 4 Vasos Cerámica 270 ml Amalfi Simplit</t>
  </si>
  <si>
    <t>[SIMCUHOL-5] Set Cuchillos Holz 5 pcs Acero Inoxidable + Taco Simplit</t>
  </si>
  <si>
    <t>[SIMCUMAR-WO] Set Cuchillos 5 pcs Marsella Acero Inoxidable Simplit</t>
  </si>
  <si>
    <t>[SIMCUVER-WO] Set de Cuchillería 24 pcs Cubiertos Le Mans Simplit</t>
  </si>
  <si>
    <t>[SIMDECROU] Decantador Aireador Vino Rouge 1500ml</t>
  </si>
  <si>
    <t>[SIMFUEVIT] Fuente Ovalada Aperitivo Cerámica 36 cm Vittoria Simplit</t>
  </si>
  <si>
    <t>[SIMHIECHAR] Hielera Vidrio Charlotte Tapa Madera 3,8lts Simplit</t>
  </si>
  <si>
    <t>56.00</t>
  </si>
  <si>
    <t>[SIMJULZTOS-12] Juego de Loza 12 pcs Cerámica Toscana Simplit</t>
  </si>
  <si>
    <t>[SIMPLAMA-4] Set 4 Platos Fondo Cerámica 27,4 cm Amalfi Simplit</t>
  </si>
  <si>
    <t>[SIMPLSIE-4] Set 4 Platos Fondo Cerámica 27,4 cm Siena Simplit</t>
  </si>
  <si>
    <t>[SIMS24TOUL] Sartén Antiadherente Toulouse Serie 24 cm</t>
  </si>
  <si>
    <t>[SIMTAZPAL-2] Set 2 Tazas Cerámica 420 ml Palermo Simplit</t>
  </si>
  <si>
    <t>[SIMTUPSILBEI] Contenedor Plástico Hermético Bento Box Beige</t>
  </si>
  <si>
    <t>[SIMTUPSILBL] Contenedor Plástico Hermético Bento Box Blue</t>
  </si>
  <si>
    <t>[SIMTUPSILGR] Contenedor Plástico Hermético Bento Box Green</t>
  </si>
  <si>
    <t>[SK2010BK] Termo Líquidos King Acero Inox Negro 1.2lts Thermos</t>
  </si>
  <si>
    <t>SK2010BK</t>
  </si>
  <si>
    <t>[SMBATCOPBK] Batería de Cocina Antiadherente Black Copper 7 Pzs Simplit</t>
  </si>
  <si>
    <t>[TD10000010608] Cama Impermeable Con Memory Foam Perro Mascan Talla S</t>
  </si>
  <si>
    <t>TD10000010608</t>
  </si>
  <si>
    <t>[TL03000161508] Cinturón De Seguridad Perro Mascan</t>
  </si>
  <si>
    <t>TL03000161508</t>
  </si>
  <si>
    <t>BFE/Stock</t>
  </si>
  <si>
    <t>#ERROR</t>
  </si>
  <si>
    <t>[1652825295706] Cafetera Italiana Negra Granito 12 Tazas Simplit</t>
  </si>
  <si>
    <t>[SIMBATOTOUL] Batería de Cocina Toulouse 7 pcs + Accesorios Simplit</t>
  </si>
  <si>
    <t>[SIMCUPGL-30] Set de Cuchillería 30 pcs Cubiertos Acero Inoxidable Puglia</t>
  </si>
  <si>
    <t>[SIMCUPRO-4] Set Cuchillos para Queso 4 pcs Provenza Simplit</t>
  </si>
  <si>
    <t>[SIMCUSTA-5] Set Cuchillos Stahl 5 pcs Acero Inoxidable + Taco Simplit</t>
  </si>
  <si>
    <t>[SIMCUVER-CR] Set de Cuchillería 24 pcs Cubiertos Versalle Simplit</t>
  </si>
  <si>
    <t>[SIMFUESIE] Fuente Ovalada Aperitivo Cerámica 36 cm Siena Simplit</t>
  </si>
  <si>
    <t>[SIMJULZAMA-16] Juego de Loza 16 pcs Cerámica Amalfi Simplit</t>
  </si>
  <si>
    <t>[SIMJULZSIE-30] Juego de Loza 30 pcs Cerámica Siena Simplit</t>
  </si>
  <si>
    <t>BFFa/Stock</t>
  </si>
  <si>
    <t>1,722.00</t>
  </si>
  <si>
    <t>[1535543463599] Parrilla Portátil Carbón Kettle Roja 17</t>
  </si>
  <si>
    <t>[1538141129434] Pesa Digital Balanza Baño Bluetooth Negra Inteligente</t>
  </si>
  <si>
    <t>[1543406075297] Pesa Digital Balanza Baño Bluetooth Blanca Inteligente</t>
  </si>
  <si>
    <t>[1548358566329] Mochila Maternal Pañalera Bebé Freaky Mommy Azul Marino</t>
  </si>
  <si>
    <t>129.00</t>
  </si>
  <si>
    <t>57.00</t>
  </si>
  <si>
    <t>[1589209076056] Lentes Antiparras Transparentes Protección</t>
  </si>
  <si>
    <t>[1614194024408] Correa Smartwatch Lhotse SW88 20mm Amarilla Hebilla</t>
  </si>
  <si>
    <t>[1616009024556] Reloj Smartwatch Lhotse Core 87 Negro</t>
  </si>
  <si>
    <t>[1616450827982] Reloj Smartwatch Lhotse Core 87 Gold</t>
  </si>
  <si>
    <t>[1623703942966] Banano Lhotse Impermeable Negro</t>
  </si>
  <si>
    <t>[1623891882677] Parlante Bluetooth Lhotse Austral 40 Negro</t>
  </si>
  <si>
    <t>60.00</t>
  </si>
  <si>
    <t>[1628016796209] Parrilla Portátil Carbón Kettle Negra 17</t>
  </si>
  <si>
    <t>[1629726091782] Set 12 Utensilios De Cocina Silicona Calipso Simplit</t>
  </si>
  <si>
    <t>[1629726117626] Set 12 Utensilios De Cocina Silicona Negro Simplit</t>
  </si>
  <si>
    <t>[1630370579400] Silla Gamer Escritorio Ergonómica Negra Roja Levo</t>
  </si>
  <si>
    <t>[1630370852776] Proyector Led Portátil HD LCD Levo</t>
  </si>
  <si>
    <t>[1634567034010] Proyector Led Portátil 360º Full HD Home Cinema Levo</t>
  </si>
  <si>
    <t>[1638799019582] Bicicleta Estática Spinning Negra Lhotse Fit</t>
  </si>
  <si>
    <t>[1639085706913] Reloj Smartwatch Lhotse Runner 219 46mm Black</t>
  </si>
  <si>
    <t>[1639085745522] Reloj Smartwatch Lhotse Ultimate GPS 217 46mm Black</t>
  </si>
  <si>
    <t>[1639085755244] Reloj Smartwatch Lhotse Ultimate GPS 217 46mm Pink</t>
  </si>
  <si>
    <t>[1640091153797] Cámara Deportiva Lhotse 4K Ultra HD Negra</t>
  </si>
  <si>
    <t>[1650298717170] Luz de Bicicleta Foco Delantero Power Up 2000 Lúmenes Lhotse</t>
  </si>
  <si>
    <t>[1650298908518] Set 2 Vasos Moscow Mule Mug Cobre + Bombillas Simplit</t>
  </si>
  <si>
    <t>[1652824796337] Banda Smartband Lhotse KIDS R01 Blue</t>
  </si>
  <si>
    <t>[1652824942453] Reloj Smartwatch Lhotse Live 206 40mm Mini Black</t>
  </si>
  <si>
    <t>[1652824957424] Reloj Smartwatch Lhotse Live 206 Mini 40mm Light Green</t>
  </si>
  <si>
    <t>28.00</t>
  </si>
  <si>
    <t>[1654207352499] Set 2 Vasos Vidrio Doble Pared 400 ml Simplit</t>
  </si>
  <si>
    <t>[1654207748340] Set 3 Bowls con Tapa Acero Inoxidable Antideslizante Simplit</t>
  </si>
  <si>
    <t>[1656603804695] Bolso Deportivo Impermeable Duffel 70 lts Negro Lhotse</t>
  </si>
  <si>
    <t>[1657222641841] Pack Organizador de Refrigerador M + L Simplit</t>
  </si>
  <si>
    <t>[1658269683485] Set 4 Vasos Moscow Mule Mug Cobre + Bombillas Simplit</t>
  </si>
  <si>
    <t>[1658330420825] Proyector LED Portátil Focus Mini HD Levo</t>
  </si>
  <si>
    <t>[1658525816907] Pack Organizador Refrigerador Drenaje S + L Simplit</t>
  </si>
  <si>
    <t>[1659989549286] Set Alcuza Cerámica 2 Piezas Cuadrada 500 ml Simplit</t>
  </si>
  <si>
    <t>[1659989621591] Audifono Gamer Bluetooth RGB Thunder Micrófono Levo</t>
  </si>
  <si>
    <t>[1659990725288] Teclado Mecánico Gamer Storm RGB QWERTY Retroiluminado Levo</t>
  </si>
  <si>
    <t>[1659991379695] Secaplatos Escurridor 2 Niveles 17 Platos Negro Simplit</t>
  </si>
  <si>
    <t>[1659991481176] Fuente de Cerámica para Horno Cacerola Olla Roja Simplit</t>
  </si>
  <si>
    <t>[1659992478281] Botella Térmica Coihue Negra 800 ml Lhotse</t>
  </si>
  <si>
    <t>[1660-SET] Set 6 Vasos Vidrio Super Sham Rock 311 Ml Libbey</t>
  </si>
  <si>
    <t>1660-SET</t>
  </si>
  <si>
    <t>[1660857800718] Especiero Condimentos de Madera 8 Frascos Vidrio Simplit</t>
  </si>
  <si>
    <t>[1660858235219] Termo Jarra Insulado 1 Lt Gris Simplit</t>
  </si>
  <si>
    <t>[1660859287583] Set 4 Contenedores de Vidrio Herméticos Tapa Bamboo Simplit</t>
  </si>
  <si>
    <t>[1661-SET] Set 6 Vasos Super Sham Vidrio 355 Ml Libbey</t>
  </si>
  <si>
    <t>1661-SET</t>
  </si>
  <si>
    <t>21.00</t>
  </si>
  <si>
    <t>[1661873779510] Mochila Street Lhotse 20 Lt Verde</t>
  </si>
  <si>
    <t>[1662389376894] Set 3 Contenedores Cerámica Hermético Blanco Simplit</t>
  </si>
  <si>
    <t>[1700887] Juego 5 Pzas De Vidrio Tempo Libbey</t>
  </si>
  <si>
    <t>[1709226] Jarra Pitcher 2,2Lt Brisa Libbey</t>
  </si>
  <si>
    <t>[1720434] Set 6 Vasos Heavy Sham HB 483ml Libbey</t>
  </si>
  <si>
    <t>[1720662] Set 6 Vasos Koba 472 ml Libbey</t>
  </si>
  <si>
    <t>[184957] Termo Sifón Vidrio 2,5 Lt Thermos</t>
  </si>
  <si>
    <t>[20-65032] Signature Face Stick Tinted SPF 50 Sun Bum</t>
  </si>
  <si>
    <t>20-65032</t>
  </si>
  <si>
    <t>[25533] Alcancia Oink Cerámica Balvi</t>
  </si>
  <si>
    <t>[25782] Marco Fotos Madisson Magneticos X6 Balvi</t>
  </si>
  <si>
    <t>[26667] Perchero Shiitake Acero Blanco Balvi</t>
  </si>
  <si>
    <t>[26668] Perchero Shiitake Madera Blanco Balvi</t>
  </si>
  <si>
    <t>[26882] Caja Organizadora Rectangular Balvi</t>
  </si>
  <si>
    <t>[2691516] Pack x 2 Cojín Magic Plateado/Dorado Balvi</t>
  </si>
  <si>
    <t>[26925] Perchero Birdie Metal Blanco Balvi</t>
  </si>
  <si>
    <t>[26967] Revistero News Negro Balvi</t>
  </si>
  <si>
    <t>[3915-SET] Set 6 Copas Cervecera Belgian Vidrio 436 Ml Libbey</t>
  </si>
  <si>
    <t>3915-SET</t>
  </si>
  <si>
    <t>[66800471275549] Termo de Comida Insulado Acero Inox 750 ml Negro Simplit</t>
  </si>
  <si>
    <t>[66800507665930] Cubeta de Hielo Silicona 15 Hielos Simplit</t>
  </si>
  <si>
    <t>[66800510263382] Cubeta de Hielo Silicona 6 Hielos Grandes Simplit</t>
  </si>
  <si>
    <t>[67114505814137] Metalófono Cromatico 25 Notas Infantil Rosado Klip Klap</t>
  </si>
  <si>
    <t>[67327559384453] Cámara HD Auto D3 Frontal, Interior y Trasera Levo</t>
  </si>
  <si>
    <t>73.00</t>
  </si>
  <si>
    <t>[67898087132855] Silla Escritorio Oficina Ejecutiva Reclinable Comfort Levo</t>
  </si>
  <si>
    <t>[67898258445967] Protector Funda Cubre Asiento Auto Perros Mascotas Xroad</t>
  </si>
  <si>
    <t>[67898465380537] Parlante Portátil Bluetooth Lhotse Bounce Blue</t>
  </si>
  <si>
    <t>[67898498248964] Audífonos in-ear Bluetooth Inalámbrico Lhotse Buds Jam White</t>
  </si>
  <si>
    <t>[67898499812968] Audífonos in-ear Bluetooth Inalámbrico Lhotse Buds Jam Black</t>
  </si>
  <si>
    <t>[67933835988925] Parlante Portatil Bluetooth Lhotse Tune Up Verde</t>
  </si>
  <si>
    <t>[67951425161311] Vaso Térmico Tumbler 750ml con Tapa y Bombilla Negro Simplit</t>
  </si>
  <si>
    <t>[68142278578308] Termo Comida 400ml Azul Cuchara Acero Inox Simplit</t>
  </si>
  <si>
    <t>[68142280732690] Termo Comida 400ml Negro Cuchara Acero Inox Simplit</t>
  </si>
  <si>
    <t>[68313284342161] Botella Térmica Coihue Pink 800 ml Lhotse</t>
  </si>
  <si>
    <t>[68540048936286] Secaplatos Escurridor 1 Nivel Acero Inox Negro Simplit</t>
  </si>
  <si>
    <t>[6902221315267] Set 2 Vasos Cerveceros Brando</t>
  </si>
  <si>
    <t>[6902221333193] Mochila On The Go Azul Brando</t>
  </si>
  <si>
    <t>[6902221335197] Mochila Urbana Azul Brando</t>
  </si>
  <si>
    <t>[6902221335227] Mochila Clásica Azul Brando</t>
  </si>
  <si>
    <t>[6909621325537] Set Salsero Y Brocha Acero Inoxidable Negro Brando</t>
  </si>
  <si>
    <t>[757450527600] Mascarilla Capilar De Aceite De Semillas De Zanahoria Sheet</t>
  </si>
  <si>
    <t>[757450527785] Shampoo Crecimiento Pelo Y Anticaída 3% Baicapil Sheet</t>
  </si>
  <si>
    <t>[757450527846] Shampoo Vegano Limpieza Profunda Con Sulfatos Sheet</t>
  </si>
  <si>
    <t>[757450527884] Suplemento Para Estimular El Crecimiento Del Pelo Sheet</t>
  </si>
  <si>
    <t>[757450527921] Serum Regenerador De Zanahoria Sheet</t>
  </si>
  <si>
    <t>[76636] Jarra Vidrio Blanca 1Lt Thermos</t>
  </si>
  <si>
    <t>[80-41006] Shampoo Revitalizante Sun Bum</t>
  </si>
  <si>
    <t>80-41006</t>
  </si>
  <si>
    <t>[89388] Set 6 Copas De Vino Vina 547 Ml Libbey</t>
  </si>
  <si>
    <t>[925166] Set 4 Vasos De Vidrio Cervecero Artisan Pilsner 370ml Libbey</t>
  </si>
  <si>
    <t>[9550134] Jarra Pitcher 1,78Lt México Libbey</t>
  </si>
  <si>
    <t>[B0293] Set 2 Individuales Tahití Circular Negro/Blan BVS</t>
  </si>
  <si>
    <t>B0293</t>
  </si>
  <si>
    <t>[B0296] Set 2 Individuales Red Circular Rojo BVS</t>
  </si>
  <si>
    <t>B0296</t>
  </si>
  <si>
    <t>[B0411] Set 4 Cubiertos Chic Table Minimal Negro BVS</t>
  </si>
  <si>
    <t>B0411</t>
  </si>
  <si>
    <t>[B0760] Espejo Pared Art Deco Redondo Dorado BVS</t>
  </si>
  <si>
    <t>B0760</t>
  </si>
  <si>
    <t>[BF2428B-MI] Sarten Soho 28Cm Mint</t>
  </si>
  <si>
    <t>BF2428B-MI</t>
  </si>
  <si>
    <t>[BF5228B-CH] Wok Soho 28Cm Cherry</t>
  </si>
  <si>
    <t>BF5228B-CH</t>
  </si>
  <si>
    <t>[BF5228B-MI] Wok Soho 28Cm Mint</t>
  </si>
  <si>
    <t>BF5228B-MI</t>
  </si>
  <si>
    <t>[BTZBB750] Botella Térmica Clásica 750Ml Negro Zola</t>
  </si>
  <si>
    <t>BTZBB750</t>
  </si>
  <si>
    <t>[BTZGF750] Botella Termica Clásica 750Ml Verde Zola</t>
  </si>
  <si>
    <t>BTZGF750</t>
  </si>
  <si>
    <t>[BTZGO750] Botella Térmica Clásica 750Ml Gris Zola</t>
  </si>
  <si>
    <t>BTZGO750</t>
  </si>
  <si>
    <t>[BTZPR750] Botella Térmica Clásica 750Ml Rosado Zola</t>
  </si>
  <si>
    <t>BTZPR750</t>
  </si>
  <si>
    <t>[BUC-102] Pinzas Cocina Acero Inoxidable 40Cm Bklyn</t>
  </si>
  <si>
    <t>BUC-102</t>
  </si>
  <si>
    <t>[CER-2220ROJO] Sartén Stone Cerámica Antiadherente 20 Cm</t>
  </si>
  <si>
    <t>CER-2220ROJO</t>
  </si>
  <si>
    <t>[CER-2228CHERRY] Sartén Stone Cerámica Antiadherente 28 Cm</t>
  </si>
  <si>
    <t>CER-2228CHERRY</t>
  </si>
  <si>
    <t>[CLN-15METALICO] Termo Sifón Acero 1,5 Lt Metálico Thermos</t>
  </si>
  <si>
    <t>CLN-15METALICO</t>
  </si>
  <si>
    <t>[CNS450] Crema Gel Anti Pigmento Antimanchas Caracol Natural 50 ml</t>
  </si>
  <si>
    <t>CNS450</t>
  </si>
  <si>
    <t>[Clak002] Silla de Comer Plegable Niño Turquesa Clak.</t>
  </si>
  <si>
    <t>Clak002</t>
  </si>
  <si>
    <t>[DF2001-BL] Mug Thermos Acero Inoxidable 420 ML Azul</t>
  </si>
  <si>
    <t>DF2001-BL</t>
  </si>
  <si>
    <t>[DF2001-RD] Mug Thermos Acero Inoxidable 420 ML Rojo</t>
  </si>
  <si>
    <t>DF2001-RD</t>
  </si>
  <si>
    <t>[DF2001-TL] Mug Thermos Acero Inoxidable 420 ML Celeste</t>
  </si>
  <si>
    <t>DF2001-TL</t>
  </si>
  <si>
    <t>[EN-1000-BL] Termo Líquido Tapa Plana Acero Inoxidable 1 Lt Thermos (Azul)</t>
  </si>
  <si>
    <t>EN-1000-BL</t>
  </si>
  <si>
    <t>[EN-1000-RD] Termo Líquido Tapa Plana Acero Inoxidable 1 Lt Thermos (Rojo)</t>
  </si>
  <si>
    <t>EN-1000-RD</t>
  </si>
  <si>
    <t>[EN-500-RD] Termo Líquido Tapa Plana Acero Inoxidable 500 ml Thermos (Rojo)</t>
  </si>
  <si>
    <t>EN-500-RD</t>
  </si>
  <si>
    <t>[HK-129B PRO-L] Patin Inline Roller Fitness Pro Adulto Negro Talla L Hook</t>
  </si>
  <si>
    <t>HK-129B PRO-L</t>
  </si>
  <si>
    <t>[IMA-050] Imanix Set de Trenes 50 Piezas Magnéticas</t>
  </si>
  <si>
    <t>IMA-050</t>
  </si>
  <si>
    <t>[IMA-AC8] Imanix Accesorios Curvos 8 Piezas</t>
  </si>
  <si>
    <t>IMA-AC8</t>
  </si>
  <si>
    <t>[IMA-PISTA] Imanix Pista de Carreras 105 Piezas Magnéticas</t>
  </si>
  <si>
    <t>IMA-PISTA</t>
  </si>
  <si>
    <t>[IMA-WSB] Imanix Imaboard Magnética Blanco</t>
  </si>
  <si>
    <t>IMA-WSB</t>
  </si>
  <si>
    <t>[KW-20ROJO] Sarten Ceramica Simply Cook 20 Cm Rojo Cocina</t>
  </si>
  <si>
    <t>KW-20ROJO</t>
  </si>
  <si>
    <t>[KW-28CALIPSO] Sartén Cerámica Simply Cook 28cm Calipso Cocina</t>
  </si>
  <si>
    <t>KW-28CALIPSO</t>
  </si>
  <si>
    <t>[KW-28ROJO] Sartén Cerámica Simply Cook 28cm Rojo</t>
  </si>
  <si>
    <t>KW-28ROJO</t>
  </si>
  <si>
    <t>[LHBOADV-BK] Botella Térmica Insulada Lhotse Adventure 650ml Black</t>
  </si>
  <si>
    <t>[LHBOADV-BL] Botella Térmica Insulada Lhotse Adventure 650ml Blue</t>
  </si>
  <si>
    <t>[LHBOADV-PK] Botella Térmica Insulada Lhotse Adventure 650ml Rosado</t>
  </si>
  <si>
    <t>[LHBOADV-WH] Botella Térmica Insulada Lhotse Adventure 650ml White</t>
  </si>
  <si>
    <t>[LHBOHY36-BK] Botella Térmica Niño Insulada Lhotse Hydro 360ml Negro</t>
  </si>
  <si>
    <t>[LHBOHY36-CEL] Botella Térmica Niño Insulada Lhotse Hydro 360ml Celeste</t>
  </si>
  <si>
    <t>[LHBOHY36-GR] Botella Térmica Niño Insulada Lhotse Hydro 360ml Verde</t>
  </si>
  <si>
    <t>[LHBOHY36-LY] Botella Térmica Niño Insulada Lhotse Hydro 360ml Lila</t>
  </si>
  <si>
    <t>[LHBOHY36-PK] Botella Térmica Niño Insulada Lhotse Hydro 360ml Rosado</t>
  </si>
  <si>
    <t>[LHBOHY95-CEL] Botella Térmica Insulada Lhotse Hydro 960ml Celeste</t>
  </si>
  <si>
    <t>[LHCONS03BK] Reloj Smartwatch Lhotse Connect S03 42mm Black</t>
  </si>
  <si>
    <t>[LHCONS03BL] Reloj Smartwatch Lhotse Connect S03 42mm Blue</t>
  </si>
  <si>
    <t>[LHCONS03PK] Reloj Smartwatch Lhotse Connect S03 42mm Pink</t>
  </si>
  <si>
    <t>[LHTHCLA-BK] Termo Liquido Acero Inoxidable Classic 1,3 lts Lhotse Black</t>
  </si>
  <si>
    <t>[LHTHCLA-GR] Termo Liquido Acero Inoxidable Classic 1,3 lts Lhotse Verde</t>
  </si>
  <si>
    <t>[LHTHCLA-PK] Termo Liquido Acero Inoxidable Classic 1,3 lts Lhotse Pink</t>
  </si>
  <si>
    <t>[LHTHCLA-WH] Termo Liquido Acero Inoxidable Classic 1,3 lts Lhotse White</t>
  </si>
  <si>
    <t>[LHTRMU-BK] Botella Térmica Insulada Lhotse Travel Mug 900ml Black</t>
  </si>
  <si>
    <t>[LHTRMU-BL] Botella Térmica Insulada Lhotse Travel Mug 900ml Blue</t>
  </si>
  <si>
    <t>[LVFUEX-GR] Funda Maletin Notebook EXECUTIVE Gris 15,6" LEVO</t>
  </si>
  <si>
    <t>[MCO003] Home Spray 500 Ml Green Citrus Transparente Madison</t>
  </si>
  <si>
    <t>MCO003</t>
  </si>
  <si>
    <t>[MCO004] Home Spray 500 Ml Ala Moana Transparente Madison</t>
  </si>
  <si>
    <t>MCO004</t>
  </si>
  <si>
    <t>[MCO016] Difusor Auto 8 Ml Limoncello Madison</t>
  </si>
  <si>
    <t>MCO016</t>
  </si>
  <si>
    <t>[MCO022-2] Difusor Varitas 250 Ml Black Cedar Negro Madison</t>
  </si>
  <si>
    <t>MCO022-2</t>
  </si>
  <si>
    <t>[MCO036] Difusor Varitas 150 Ml Green Citrus Transparente Madison</t>
  </si>
  <si>
    <t>MCO036</t>
  </si>
  <si>
    <t>[MCO051-1] Home Spray 500 Ml Black Cedar Ámbar Madison</t>
  </si>
  <si>
    <t>MCO051-1</t>
  </si>
  <si>
    <t>[MCO051-2] Home Spray 500 Ml Black Cedar Negro Madison</t>
  </si>
  <si>
    <t>MCO051-2</t>
  </si>
  <si>
    <t>[MCO053] Home Spray 500 Ml Tropical Chic Transparente Madison</t>
  </si>
  <si>
    <t>MCO053</t>
  </si>
  <si>
    <t>[MCO053-1] Home Spray 500 Ml Tropical Chic Ámbar Madison</t>
  </si>
  <si>
    <t>MCO053-1</t>
  </si>
  <si>
    <t>[MCO053-2] Home Spray 500 Ml Tropical Chic Negro Madison</t>
  </si>
  <si>
    <t>MCO053-2</t>
  </si>
  <si>
    <t>[MCO095-1] Difusor Varitas 150 Ml Saint Sandal Negro Madison</t>
  </si>
  <si>
    <t>MCO095-1</t>
  </si>
  <si>
    <t>[MCO095-2] Difusor Varitas 150 ml Saint Sandal Ámbar Madison</t>
  </si>
  <si>
    <t>MCO095-2</t>
  </si>
  <si>
    <t>[MCO120-1] Crema Humectante 500 Ml Passion Fig Ámbar Madison</t>
  </si>
  <si>
    <t>MCO120-1</t>
  </si>
  <si>
    <t>[MCO152] Aceite Home Diffuser 30 ml Green Citrus Madison</t>
  </si>
  <si>
    <t>MCO152</t>
  </si>
  <si>
    <t>[MCO154] Aceite Home Diffuser 30 ml Ala Moana Madison</t>
  </si>
  <si>
    <t>MCO154</t>
  </si>
  <si>
    <t>[MCO155] Aceite Home Diffuser 30 ml Tropical Chic Madison</t>
  </si>
  <si>
    <t>MCO155</t>
  </si>
  <si>
    <t>[MCO162-1] Jabón Líquido 500 Ml Summer Days Ámbar Madison</t>
  </si>
  <si>
    <t>MCO162-1</t>
  </si>
  <si>
    <t>[MCO163] Difusor Varitas 250 Ml Summer Days Transparente Madison</t>
  </si>
  <si>
    <t>MCO163</t>
  </si>
  <si>
    <t>[MCO173] Room Spray Saint Sandal Madison</t>
  </si>
  <si>
    <t>MCO173</t>
  </si>
  <si>
    <t>[MCO251] Vela Soja Natural 320 Grms Ala Moana Madison</t>
  </si>
  <si>
    <t>MCO251</t>
  </si>
  <si>
    <t>[MP075] Termo Multipropósito Acero 750ml Thermos</t>
  </si>
  <si>
    <t>MP075</t>
  </si>
  <si>
    <t>[PAD-001NE] Imapad Juego Magnético Negro</t>
  </si>
  <si>
    <t>PAD-001NE</t>
  </si>
  <si>
    <t>[Pack125] Pack Smartwatch Lhotse Live 206 42mm Black + Audifono RM12</t>
  </si>
  <si>
    <t>Pack125</t>
  </si>
  <si>
    <t>[Pack250] Pack 2 Termos de Comida 750ml Rosado y Negro Simplit</t>
  </si>
  <si>
    <t>Pack250</t>
  </si>
  <si>
    <t>[Pack251] Pack 2 Termos de Comida 750ml Rosado y Gris Simplit</t>
  </si>
  <si>
    <t>Pack251</t>
  </si>
  <si>
    <t>[Pack252] Pack 2 Termos de Comida 400ml Rosado y Azul Simplit</t>
  </si>
  <si>
    <t>Pack252</t>
  </si>
  <si>
    <t>[Pack264] Pack 4 Vasos de Vidrio Estilo Japonés 320 ml Simplit</t>
  </si>
  <si>
    <t>Pack264</t>
  </si>
  <si>
    <t>[Pack87] Set 4 Vasos Vidrio Doble Pared 400 ml Simplit</t>
  </si>
  <si>
    <t>Pack87</t>
  </si>
  <si>
    <t>[Pack89] Pack Teclado Gamer RGB Storm + Mouse Gamer Inalámbrico Levo</t>
  </si>
  <si>
    <t>Pack89</t>
  </si>
  <si>
    <t>[RC-BIL32] Billetera Cuero Pehoé Con Pasador Hecha a mano Raiquen</t>
  </si>
  <si>
    <t>RC-BIL32</t>
  </si>
  <si>
    <t>[RC-PEC33] Pechera Asador Turmán Cuero Negro Raiquen</t>
  </si>
  <si>
    <t>RC-PEC33</t>
  </si>
  <si>
    <t>[SD06000140603] Plato Huellitas Blanco Para Perro S Mascan</t>
  </si>
  <si>
    <t>SD06000140603</t>
  </si>
  <si>
    <t>[SE-740] Molde De Silicona Redondo Desmontable 24 Cm Marble</t>
  </si>
  <si>
    <t>SE-740</t>
  </si>
  <si>
    <t>[SIMBATORG-BK] Batería de Cocina Antiadherente Oregon 5 Piezas Simplit</t>
  </si>
  <si>
    <t>[SK1005BK] Termo Mug Acero Inox Negro 470ml Thermos</t>
  </si>
  <si>
    <t>SK1005BK</t>
  </si>
  <si>
    <t>[SK1005RD] Termo Mug Acero Inox Rojo 470ml Thermos</t>
  </si>
  <si>
    <t>SK1005RD</t>
  </si>
  <si>
    <t>[SK2000BK] Termo Líquidos King Acero Inox Negro 470ml Thermos</t>
  </si>
  <si>
    <t>SK2000BK</t>
  </si>
  <si>
    <t>[SK2000RD] Termo Líquidos King Acero Inox Rojo 470ml Thermos</t>
  </si>
  <si>
    <t>SK2000RD</t>
  </si>
  <si>
    <t>[SK2020BK] Termo Líquidos King Acero Inox Negro 2lts Thermos</t>
  </si>
  <si>
    <t>SK2020BK</t>
  </si>
  <si>
    <t>[SK3020BK] Termo Comida King Acero Inox 710ml Thermos</t>
  </si>
  <si>
    <t>SK3020BK</t>
  </si>
  <si>
    <t>[THV2000] Jarra Acero 2 Litros Thermos</t>
  </si>
  <si>
    <t>THV2000</t>
  </si>
  <si>
    <t>[TPP1900M] Termo Sifón Acero Inox 1.9 Lt Thermos</t>
  </si>
  <si>
    <t>TPP1900M</t>
  </si>
  <si>
    <t>[XK-201B] Dispensador y Purificador de agua Ozono Bluecare</t>
  </si>
  <si>
    <t>XK-201B</t>
  </si>
  <si>
    <t>BFN/Stock</t>
  </si>
  <si>
    <t>464.00</t>
  </si>
  <si>
    <t>[1479750635184] Vr Box + Control Lente De Realidad Virtual</t>
  </si>
  <si>
    <t>[1496183099853] Cámara Deportiva 4k Lhotse H1 Video Con Accesorios</t>
  </si>
  <si>
    <t>[1537889368850] Audífonos Bluetooth Deportivos Lhotse Rm5 Manos Libres</t>
  </si>
  <si>
    <t>[1538570367611] Banda Deportiva Lhotse Sm33 Negro Pulsómetro Bluetooth</t>
  </si>
  <si>
    <t>[1538570373373] Banda Deportiva Lhotse Sm33 Rojo Pulsómetro Bluetooth</t>
  </si>
  <si>
    <t>[1542051526349] Correa Smartwatch Lhotse SW88 20mm Rojo</t>
  </si>
  <si>
    <t>[1542051551484] Correa Smartwatch Lhotse SW88 20mm Calipso</t>
  </si>
  <si>
    <t>[1542051822796] Correa Smartwatch Lhotse SW88 20mm Negro</t>
  </si>
  <si>
    <t>[1577101558492] Audífonos Bluetooth Lhotse Rm3 Negro</t>
  </si>
  <si>
    <t>[1579014517754] Reloj Smartwatch Lhotse RD7 Negro</t>
  </si>
  <si>
    <t>[1579117521866] Correa Smartwatch Lhotse RD7 22mm Negra</t>
  </si>
  <si>
    <t>[1581963986702] Reloj Smartwatch Lhotse RD7 Plateado Negro</t>
  </si>
  <si>
    <t>[1581963991564] Reloj Smartwatch Lhotse RD7 Plateado Verde</t>
  </si>
  <si>
    <t>[1581963997060] Reloj Smartwatch Lhotse RD7 Plateado Azul</t>
  </si>
  <si>
    <t>[1581964006972] Reloj Smartwatch Lhotse RD7 Plateado Cuero Negro</t>
  </si>
  <si>
    <t>[1602623177408] Reloj Analogo Sky Watch Black</t>
  </si>
  <si>
    <t>[1606847480521] Parlante Bluetooth Lhotse Teno J5 Negro</t>
  </si>
  <si>
    <t>[1608208175202] Smart Watch MOVE 88 Negro</t>
  </si>
  <si>
    <t>[1608208205086] Reloj Smartwatch Lhotse Move 88 Naranjo</t>
  </si>
  <si>
    <t>[1608588603788] Reloj Smartwatch Lhotse RD9 Dark Silver Negro</t>
  </si>
  <si>
    <t>[1616006872824] Bandas de Suspensión TRX Lhotse Amarillas</t>
  </si>
  <si>
    <t>[1616006958885] Bandas de Suspensión TRX Lhotse Rosadas</t>
  </si>
  <si>
    <t>[1616008882110] Rueda Abdominal Y Mat Para Rodillas Lhotse</t>
  </si>
  <si>
    <t>[1618617475539] Correa Smartwatch Lhotse SW88 20mm Metálica</t>
  </si>
  <si>
    <t>[1627416826283] Set Bandas Elásticas Resistencia 11 Piezas</t>
  </si>
  <si>
    <t>[1627418225537] Termo Lhotse Patagón 1 Lt Verde</t>
  </si>
  <si>
    <t>[1627418258229] Parlante Bluetooth Lhotse Boom 360 Negro</t>
  </si>
  <si>
    <t>[1627418329116] Kit Teclado y Mouse Inalámbrico Blanco Levo</t>
  </si>
  <si>
    <t>[1627424867043] Termo Lhotse Patagón 1 Lt Negro</t>
  </si>
  <si>
    <t>[1639085736261] Reloj Smartwatch Lhotse Runner 219 46mm Gray</t>
  </si>
  <si>
    <t>[1639085763857] Reloj Smartwatch Lhotse Ultimate GPS 217 46mm Gray</t>
  </si>
  <si>
    <t>[1639085780345] Reloj Smartwatch Lhotse Live 206 42mm Pink</t>
  </si>
  <si>
    <t>[1639085790351] Reloj Smartwatch Lhotse Live 206 42mm Light Green</t>
  </si>
  <si>
    <t>[1639085799549] Banda Smartband Lhotse Urban GT Black (0, Negro)</t>
  </si>
  <si>
    <t>[1639085816442] Banda Smartband Lhotse Urban GT Gray</t>
  </si>
  <si>
    <t>[1639483512405] Correa Smartwatch Lhotse SW88 20mm Metálica Negra</t>
  </si>
  <si>
    <t>[1652824769553] Banda Smartband Lhotse KIDS R01 Black</t>
  </si>
  <si>
    <t>[1652824902758] Reloj Smartwatch Lhotse Live 206 Mini 40mm White</t>
  </si>
  <si>
    <t>[1652824924113] Reloj Smartwatch Lhotse Live 206 Mini 40mm Pink</t>
  </si>
  <si>
    <t>[1656603823688] Bolso Deportivo Impermeable Duffel 70 lts Azul Lhotse</t>
  </si>
  <si>
    <t>[1659992503614] Botella Térmica Coihue Azul 800 ml Lhotse</t>
  </si>
  <si>
    <t>[1661873760641] Mochila Street Lhotse 20 Lt Negra</t>
  </si>
  <si>
    <t>[1748316345017] Cámara De Video Camtek R300 Dvr Hd Doble Auto Gps</t>
  </si>
  <si>
    <t>[66436955223732] Reloj Smartwatch Lhotse Kids Safe K9 GPS Pink</t>
  </si>
  <si>
    <t>[67898303200803] Banda Smartband Lhotse Urban GT Blue</t>
  </si>
  <si>
    <t>[67898307709665] Banda Smartband Lhotse Urban GT Green</t>
  </si>
  <si>
    <t>[67898461965813] Parlante Portátil Bluetooth Lhotse Bounce Black</t>
  </si>
  <si>
    <t>[67898463643999] Parlante Portátil Bluetooth Lhotse Bounce White</t>
  </si>
  <si>
    <t>[67898466886403] Parlante Portátil Bluetooth Lhotse Bounce Pink</t>
  </si>
  <si>
    <t>[AWS40-BARBIE-PINK] Correa Smartwatch Lhotse TW58 38/40mm Fucsia</t>
  </si>
  <si>
    <t>AWS40-BARBIE-PINK</t>
  </si>
  <si>
    <t>BFP/Stock</t>
  </si>
  <si>
    <t>899.00</t>
  </si>
  <si>
    <t>[1479755068919] Cámara Camtek Dvr Hd 1080P Autos Gt300 Nocturna Negra</t>
  </si>
  <si>
    <t>[1479823191801] Lente De Realidad Virtual Vr Box 2.0</t>
  </si>
  <si>
    <t>[1481123917144] Ampolleta Halógena 9004 12v 65/45 W Blanca Bioligh</t>
  </si>
  <si>
    <t>[1538570360620] Banda Deportiva Lhotse Sm33 Morado Pulsómetro Bluetooth</t>
  </si>
  <si>
    <t>[1538657933192] Mochila Maternal Pañalera Bebé Freaky Mommy Negra</t>
  </si>
  <si>
    <t>[1600871884990] Manguilla Desechable Tela X100 Roja</t>
  </si>
  <si>
    <t>[1604333316238] Reloj Smartwatch Lhotse RD7 Plateado Beige Silicona</t>
  </si>
  <si>
    <t>[1610816377646] Correa Smartwatch Lhotse SW88 20mm Negra Verde Hebilla</t>
  </si>
  <si>
    <t>[1629726159155] Cafetera Italiana Negra Granito 4 Tazas Simplit</t>
  </si>
  <si>
    <t>[1630369674271] Cafetera Prensa Francesa Negra 600 ml Simplit</t>
  </si>
  <si>
    <t>[1639085772390] Reloj Smartwatch Lhotse Live 206 42mm Black</t>
  </si>
  <si>
    <t>[1659971347046] Mouse Gamer Inalámbrico 6 botones Luz Led Levo</t>
  </si>
  <si>
    <t>[1659990788079] Control Joystick Controller Compatible Nintendo Switch Levo</t>
  </si>
  <si>
    <t>[1659990807310] Control Gamer Inalámbrico PC Levo</t>
  </si>
  <si>
    <t>[1659990828178] Control Joystick Inalámbrico doble Shock P4 Negro Levo</t>
  </si>
  <si>
    <t>[1660858577510] Pick-up Pad Porta 5 Bicicletas Xroad</t>
  </si>
  <si>
    <t>[1660859424566] Carpa Funda Cubre Auto Impermeable Premium con Felpa Xroad</t>
  </si>
  <si>
    <t>[1661872713289] Set Alcuza Cerámica 2 Piezas Redonda 500 ml Simplit</t>
  </si>
  <si>
    <t>[1661894945281] Set 12 Utensilios Cocina Silicona Negro Simplit</t>
  </si>
  <si>
    <t>[1700284] ENSALADERA 30CM SELENE DE VIDRIO LIBBEY</t>
  </si>
  <si>
    <t>[1796402] Fuente Frutera Vidrio 23cm Libbey</t>
  </si>
  <si>
    <t>[3096SET] Set 6 Copas Espumante Flauta Vidrio 170ml Libbey</t>
  </si>
  <si>
    <t>3096SET</t>
  </si>
  <si>
    <t>[66436804863605] Control Joystick Inalámbrico doble Shock P4 Rojo Levo</t>
  </si>
  <si>
    <t>[66436950085067] Reloj Smartwatch Lhotse Kids Safe K9 GPS Light Blue</t>
  </si>
  <si>
    <t>[67933856404072] Set 6 Vasos Corto Vintage Charlotte 200ml Simplit</t>
  </si>
  <si>
    <t>[67933861722733] Set 6 Vasos Cerveza Portland 380ml Simplit</t>
  </si>
  <si>
    <t>[67951423489593] Vaso Térmico Tumbler 750ml Tapa y Bombilla Morado Simplit</t>
  </si>
  <si>
    <t>[6902221290779] Huincha De Medir 5 Metros Diseño Compacto Brando</t>
  </si>
  <si>
    <t>[6902221296221] Set Notas Adhesivas Brando</t>
  </si>
  <si>
    <t>[6902221297884] Juego De Mesa Portátil Dominó Brando</t>
  </si>
  <si>
    <t>[6902221297891] Juego De Mesa Portátil Poker Texas Brando</t>
  </si>
  <si>
    <t>[6902221315144] Taper Tupper Hermético 400ml Rectangular Brando</t>
  </si>
  <si>
    <t>[6902221315151] Taper Tupper Hermético 600ml Cuadrado Brando</t>
  </si>
  <si>
    <t>[6909821325559] Canister Contenedor Hermético 1100ml Brando</t>
  </si>
  <si>
    <t>[757450527792] Tónico Anticaída 3% Baicapil Para Caida Del Pelo Sheet</t>
  </si>
  <si>
    <t>[BGIC-1002] Sartén Aluminio Forjado 24cm Infinity Chef's Bergner</t>
  </si>
  <si>
    <t>BGIC-1002</t>
  </si>
  <si>
    <t>[CER-2220CHERRY] Sartén Stone Cerámica Antiadherente 20 Cm Cherry</t>
  </si>
  <si>
    <t>CER-2220CHERRY</t>
  </si>
  <si>
    <t>[CNS150] Crema Gel de Regeneración Facial Caracol Natural 50 ml</t>
  </si>
  <si>
    <t>CNS150</t>
  </si>
  <si>
    <t>[Clak001] Silla de Comer Plegable Niño Roja Clak</t>
  </si>
  <si>
    <t>Clak001</t>
  </si>
  <si>
    <t>[Clak003] Silla de Comer Plegable Niño Azul Clak</t>
  </si>
  <si>
    <t>Clak003</t>
  </si>
  <si>
    <t>[IMA-PI50] Imanix Pista de Carreras 50 Piezas Magnéticas</t>
  </si>
  <si>
    <t>IMA-PI50</t>
  </si>
  <si>
    <t>[IMA-TOBO70] Imanix Tobogán 70 Piezas Magnéticas</t>
  </si>
  <si>
    <t>IMA-TOBO70</t>
  </si>
  <si>
    <t>[LHCAMU-BL] Taza Térmica Insulada Camping 350ml Blue</t>
  </si>
  <si>
    <t>[LHCAMU-GR] Taza Térmica Insulada Camping 350ml Green</t>
  </si>
  <si>
    <t>[LHCAMU-WH] Taza Térmica Insulada Camping 350ml White</t>
  </si>
  <si>
    <t>[LHMAMU-BK] Mate Acero Inoxidable con Bombilla Lhotse Black</t>
  </si>
  <si>
    <t>[LHMAMU-PK] Mate Acero Inoxidable con Bombilla Lhotse Pink</t>
  </si>
  <si>
    <t>[SK3000RD] Termo Comida King Acero Inox Rojo 470 ml Thermos</t>
  </si>
  <si>
    <t>SK3000RD</t>
  </si>
  <si>
    <t>BFR/Stock</t>
  </si>
  <si>
    <t>177.00</t>
  </si>
  <si>
    <t>[1658330471799] Proyector LED Portátil Infinity SMART Full HD Levo</t>
  </si>
  <si>
    <t>[34-180-C3] Termo Líquidos New Azul 1,8Lt Thermos</t>
  </si>
  <si>
    <t>34-180-C3</t>
  </si>
  <si>
    <t>[HK-126C-PP-M] Patines Inline Fitness Morado Talla M Hook</t>
  </si>
  <si>
    <t>HK-126C-PP-M</t>
  </si>
  <si>
    <t>[IMA-A02] Imanix Set de 2 Carros Magnéticos</t>
  </si>
  <si>
    <t>IMA-A02</t>
  </si>
  <si>
    <t>[IMA-VP16] Imanix Juego 16 Piezas Magnéticas Puertas y Ventanas</t>
  </si>
  <si>
    <t>IMA-VP16</t>
  </si>
  <si>
    <t>[PP3025TRI] Termo Sifón Acero Inoxidable 2,5 Lt Thermos</t>
  </si>
  <si>
    <t>PP3025TRI</t>
  </si>
  <si>
    <t>BMER/Stock</t>
  </si>
  <si>
    <t>540.00</t>
  </si>
  <si>
    <t>[1639488921197] Balanza Pesa Digital Para Cocina Simplit</t>
  </si>
  <si>
    <t>[1650299083874] Cargador Inalámbrico Rápido Auto iPhone 12/13 V+ Levo</t>
  </si>
  <si>
    <t>[1660858025311] Bowl Cortador Rallador de Verduras Multifuncional Simplit</t>
  </si>
  <si>
    <t>[1660858118518] Mantequillero Cerámica Tapa Bamboo + Cuchillo 600 ml Simplit (-, Blanco)</t>
  </si>
  <si>
    <t>[1660859102915] Tupper de Acero Inoxidable Tapa Madera 800 ml Simplit</t>
  </si>
  <si>
    <t>[69746014453052] Sensor De Retroceso Para Automóviles Xroad</t>
  </si>
  <si>
    <t>[LHBIGMU-BK] Vaso Térmico Tumbler 1180ml Lhotse Black</t>
  </si>
  <si>
    <t>[LHMALROABK] Maleta Bolso trolly Outdoor Roadtrip 70lts Lhotse Black</t>
  </si>
  <si>
    <t>[LHMOHIMBK] Mochila Deportiva Outdoor Ski Himalaya 22Lts Lhotse Black</t>
  </si>
  <si>
    <t>[LHMOHIMBL] Mochila Deportiva Outdoor Ski Himalaya 22Lts Lhotse Blue</t>
  </si>
  <si>
    <t>[LHSWFLOBK] Banda Smartband Lhotse Flow 3 Black</t>
  </si>
  <si>
    <t>[LHSWFLOBL] Banda Smartband Lhotse Flow 3 Blue</t>
  </si>
  <si>
    <t>[LHSWMOVON7-BK] Reloj Smartwatch GPS MoveOn 7 Black 37/38mm</t>
  </si>
  <si>
    <t>[LHSWMOVON7-PK] Reloj Smartwatch GPS MoveOn 7 Pink 37/38mm</t>
  </si>
  <si>
    <t>[LVMONPOR-15] Monitor Portátil Gamer ViewGo 15,6" Full HD 1080P Levo</t>
  </si>
  <si>
    <t>[SIMCONRED] Contenedores Alimento Herméticos Set 4 Cierre Facil Simplit</t>
  </si>
  <si>
    <t>[SIMTUPSILRD] Contenedor Plástico Hermético Bento Box Red</t>
  </si>
  <si>
    <t>BMPE/Stock</t>
  </si>
  <si>
    <t>1,026.00</t>
  </si>
  <si>
    <t>[1639085816442] Banda Smartband Lhotse Urban GT (Gris)</t>
  </si>
  <si>
    <t>-1.00</t>
  </si>
  <si>
    <t>[LHAUDTUNAIR-BK] Audifonos Inalámbricos Bluetooth Deportivos ENC Tuneair</t>
  </si>
  <si>
    <t>[LHBIGMU-PP] Vaso Térmico Tumbler 1180ml Lhotse Lila</t>
  </si>
  <si>
    <t>[LHBOIND-BK] Botella Térmica Insulada Indo 800ml Black Lhotse</t>
  </si>
  <si>
    <t>[LHBOIND-BL] Botella Térmica Insulada Indo 800ml Blue Lhotse</t>
  </si>
  <si>
    <t>[LHBOIND-GR] Botella Térmica Insulada Indo 800ml Green Lhotse</t>
  </si>
  <si>
    <t>[LHBOIND-LBL] Botella Térmica Insulada Indo 800ml Light Blue Lhotse</t>
  </si>
  <si>
    <t>[LHBOIND-LY] Botella Térmica Insulada Indo 800ml Lilac Lhotse</t>
  </si>
  <si>
    <t>[LHBOIND-PK] Botella Térmica Insulada Indo 800ml Pink Lhotse</t>
  </si>
  <si>
    <t>[LHBOIND-RD] Botella Térmica Insulada Indo 800ml Red Lhotse</t>
  </si>
  <si>
    <t>[LHBOIND-WH] Botella Térmica Insulada Indo 800ml White Lhotse</t>
  </si>
  <si>
    <t>[LHBOLDUFBK-60] Bolso Deportivo Impermeable Duffel 60 lts Lhotse Black</t>
  </si>
  <si>
    <t>[LHCAMACPEKP] Cámara de acción 5K 60ftp accesorios PeakPro Lhotse</t>
  </si>
  <si>
    <t>[LHCAMACXPL] Cámara de acción doble pantalla 4k 30ftps Xplore Lhotse</t>
  </si>
  <si>
    <t>[LHHEDBEMA-BK] Audifonos Bluetooth Inalambrico BeatMaster ANC Black</t>
  </si>
  <si>
    <t>[LHHEDWEPR-BK] Audifonos Bluetooth Inalambricos Over Ear WavePro Black</t>
  </si>
  <si>
    <t>[LHHEDWEPR-KH] Audifonos Bluetooth Inalambricos Over Ear WavePro Cream</t>
  </si>
  <si>
    <t>[LHJOKHIK-BK] Jockey Hike Algodón Black Unisex Lhotse</t>
  </si>
  <si>
    <t>[LHJOKHIK-GB] Jockey Hike Algodón Green/Black Unisex Lhotse</t>
  </si>
  <si>
    <t>[LHJOKHIK-GR] Jockey Hike Algodón Green/Beige Unisex Lhotse</t>
  </si>
  <si>
    <t>[LHJOKRD-BK] Jockey Ride Algodón Black/Green Unisex Lhotse</t>
  </si>
  <si>
    <t>[LHJOKRD-GR] Jockey Ride Algodón Green Unisex Lhotse</t>
  </si>
  <si>
    <t>[LHJOKRD-ML] Jockey Ride Algodón Blue/Black/Beige Unisex Lhotse</t>
  </si>
  <si>
    <t>[LHPANCLOBK36-37] Pantuflas Térmicas Cloudfit Outdoor Suela WarmPath (Negro, 36-37)</t>
  </si>
  <si>
    <t>[LHPANCLOBK38-39] Pantuflas Térmicas Cloudfit Outdoor Suela WarmPath (Negro, 38-39)</t>
  </si>
  <si>
    <t>[LHPANCLOBK40-41] Pantuflas Térmicas Cloudfit Outdoor Suela WarmPath (Negro, 40-41)</t>
  </si>
  <si>
    <t>[LHPANCLOBK42-43] Pantuflas Térmicas Cloudfit Outdoor Suela WarmPath (Negro, 42-43)</t>
  </si>
  <si>
    <t>[LHPANCLOBK44-45] Pantuflas Térmicas Cloudfit Outdoor Suela WarmPath (Negro, 44-45)</t>
  </si>
  <si>
    <t>[LHPANCLOBL36-37] Pantuflas Térmicas Cloudfit Outdoor Suela WarmPath (Azul, 36-37)</t>
  </si>
  <si>
    <t>[LHPANCLOBL38-39] Pantuflas Térmicas Cloudfit Outdoor Suela WarmPath (Azul, 38-39)</t>
  </si>
  <si>
    <t>[LHPANCLOBL40-41] Pantuflas Térmicas Cloudfit Outdoor Suela WarmPath (Azul, 40-41)</t>
  </si>
  <si>
    <t>[LHPANCLOBL42-43] Pantuflas Térmicas Cloudfit Outdoor Suela WarmPath (Azul, 42-43)</t>
  </si>
  <si>
    <t>[LHPANCLOBL44-45] Pantuflas Térmicas Cloudfit Outdoor Suela WarmPath (Azul, 44-45)</t>
  </si>
  <si>
    <t>[LHPANCLOGR36-37] Pantuflas Térmicas Cloudfit Outdoor Suela WarmPath (Verde, 36-37)</t>
  </si>
  <si>
    <t>[LHPANCLOGR38-39] Pantuflas Térmicas Cloudfit Outdoor Suela WarmPath (Verde, 38-39)</t>
  </si>
  <si>
    <t>[LHPANCLOGR40-41] Pantuflas Térmicas Cloudfit Outdoor Suela WarmPath (Verde, 40-41)</t>
  </si>
  <si>
    <t>[LHPANCLOGR42-43] Pantuflas Térmicas Cloudfit Outdoor Suela WarmPath (Verde, 42-43)</t>
  </si>
  <si>
    <t>[LHPANCLOGR44-45] Pantuflas Térmicas Cloudfit Outdoor Suela WarmPath (Verde, 44-45)</t>
  </si>
  <si>
    <t>[LHPARJOUR-BL] Parlante Portátil Inalámbrico Bluetooth Journey Blue</t>
  </si>
  <si>
    <t>[LHPARPULS-BK] Parlante Portátil Inalámbrico Bluetooth Pulse On Black</t>
  </si>
  <si>
    <t>[LHPARPULS-BL] Parlante Portátil Inalámbrico Bluetooth Pulse On Blue</t>
  </si>
  <si>
    <t>[LHPARPULS-GR] Parlante Portátil Inalámbrico Bluetooth Pulse On Grey</t>
  </si>
  <si>
    <t>[LHPARPULS-RD] Parlante Portátil Inalámbrico Bluetooth Pulse On Red</t>
  </si>
  <si>
    <t>[LHSWFLOPK] Banda Smartband Lhotse Flow 3 Pink</t>
  </si>
  <si>
    <t>[LHSWRHYX10-BK] Reloj Smartwatch Music Rhythm X10 Black 41mm</t>
  </si>
  <si>
    <t>[LHSWRHYX10-PK] Reloj Smartwatch Music Rhythm X10 Pink 41mm</t>
  </si>
  <si>
    <t>[LHSWVIBBK] Reloj Smartwatch Lhotse Vibe 05 GPS Black 45mm</t>
  </si>
  <si>
    <t>[LHSWVIBCR] Reloj Smartwatch Lhotse Vibe 05 GPS Cream 42mm</t>
  </si>
  <si>
    <t>[LHTPAD01] Tapa Botella Adventure Black Lhotse</t>
  </si>
  <si>
    <t>[LHTPHY01] Tapa Botella Boca Ancha Hydro Black Lhotse</t>
  </si>
  <si>
    <t>[LTW25-MPK09M-BL] Cortaviento Impermeable Gorak Shep Lhotse (M, Azul)</t>
  </si>
  <si>
    <t>[LTW25-MPT1140-GR] Pantalon Trekking Hombre Desmontable Lukla Lhotse (40, Verde)</t>
  </si>
  <si>
    <t>[LTW25-MPT1140-GRY] Pantalon Trekking Hombre Desmontable Lukla Lhotse (40, Gris)</t>
  </si>
  <si>
    <t>[LTW25-MPT1142-GRY] Pantalon Trekking Hombre Desmontable Lukla Lhotse (42, Gris)</t>
  </si>
  <si>
    <t>[LTW25-MPT1144-GRY] Pantalon Trekking Hombre Desmontable Lukla Lhotse (44, Gris)</t>
  </si>
  <si>
    <t>[LTW25-MPT1146-GR] Pantalon Trekking Hombre Desmontable Lukla Lhotse (46, Verde)</t>
  </si>
  <si>
    <t>[LTW25-MPT1146-GRY] Pantalon Trekking Hombre Desmontable Lukla Lhotse (46, Gris)</t>
  </si>
  <si>
    <t>[LTW25-MTS02M-GRY] Polera Hombre Manga Corta Nepal Lhotse (M, Gris)</t>
  </si>
  <si>
    <t>[LTW25-MTS02S-BG] Polera Hombre Manga Corta Nepal Lhotse (S, Beige)</t>
  </si>
  <si>
    <t>[LTW25-MTS02S-GR] Polera Hombre Manga Corta Nepal Lhotse (S, Verde)</t>
  </si>
  <si>
    <t>[LTW25-MTS02S-GRY] Polera Hombre Manga Corta Nepal Lhotse (S, Gris)</t>
  </si>
  <si>
    <t>[LTW25-MTS02XL-BG] Polera Hombre Manga Corta Nepal Lhotse (XL, Beige)</t>
  </si>
  <si>
    <t>[LTW25-MTS02XL-GR] Polera Hombre Manga Corta Nepal Lhotse (XL, Verde)</t>
  </si>
  <si>
    <t>[LTW25-MTS02XL-GRY] Polera Hombre Manga Corta Nepal Lhotse (XL, Gris)</t>
  </si>
  <si>
    <t>Banda Smartband Lhotse Urban GT Black (Negro)</t>
  </si>
  <si>
    <t>Banda Smartband Lhotse Urban GT Black (Negro)  (2)</t>
  </si>
  <si>
    <t>BMPN/Stock</t>
  </si>
  <si>
    <t>856.00</t>
  </si>
  <si>
    <t>[1639085799549] Banda Smartband Lhotse Urban GT (Negro)</t>
  </si>
  <si>
    <t>[1639085799549] Banda Smartband Lhotse Urban GT Black (Negro)</t>
  </si>
  <si>
    <t>-2.00</t>
  </si>
  <si>
    <t>[1661873818029] Mochila Volcano Lhotse 19 Lt Verde</t>
  </si>
  <si>
    <t>[LHSWRHYX10-BL] Reloj Smartwatch Music Rhythm X10 Blue 41mm</t>
  </si>
  <si>
    <t>BMPVS/Stock</t>
  </si>
  <si>
    <t>1,003.00</t>
  </si>
  <si>
    <t>BNC/Stock</t>
  </si>
  <si>
    <t>669.00</t>
  </si>
  <si>
    <t>[10030030120102] Extractor De Jugo En Frío Slow Juicier Pro EasyWays</t>
  </si>
  <si>
    <t>[10080110250140] Cafetera Expresso Milano Coffee 3 en 1 Gris EasyWays</t>
  </si>
  <si>
    <t>[10080140470002] Licuadora de Inmersión Minipimer Full EasyWays</t>
  </si>
  <si>
    <t>[10080160500002] Espumador de Leche Milano Milk EasyWays</t>
  </si>
  <si>
    <t>[10100150210007] Hervidor Control de Temperatura Perfect Heat 1,7 L EasyWays</t>
  </si>
  <si>
    <t>[1512566970929] Reloj Smartwatch Casual P9 Negro</t>
  </si>
  <si>
    <t>[1513615272195] Android Tv Box Mxq Pro 4K</t>
  </si>
  <si>
    <t>[1538570377166] Banda Deportiva Lhotse Sm33 Azul Pulsómetro Bluetooth</t>
  </si>
  <si>
    <t>[1542823095263] Ducha Solar Camping Pesca Lhotse 20 Litros Outdoor</t>
  </si>
  <si>
    <t>31.00</t>
  </si>
  <si>
    <t>83.00</t>
  </si>
  <si>
    <t>[1630369235283] Audífonos Bluetooth Sense F1 Negro Lhotse</t>
  </si>
  <si>
    <t>[1635956592996] Sartén Antiadherente Tapa 28cm Copper Simplit</t>
  </si>
  <si>
    <t>[1639085727598] Reloj Smartwatch Lhotse Runner 219 46mm Pink</t>
  </si>
  <si>
    <t>[1652824782363] Banda Smartband Lhotse KIDS R01 Pink</t>
  </si>
  <si>
    <t>[1658329968514] Lentes de Realidad Virtual Vr Box Ultra + Audífonos Levo</t>
  </si>
  <si>
    <t>[1661892870974] Parrilla Portátil a Carbón Kettle Negra 17</t>
  </si>
  <si>
    <t>[20-48052] Bálsamo Labial Con Color SPF 15 Nude Beach Sun Bum</t>
  </si>
  <si>
    <t>20-48052</t>
  </si>
  <si>
    <t>[20-48053] Bálsamo Labial Con Color Spf 15 Sunset Cove Sun bum</t>
  </si>
  <si>
    <t>20-48053</t>
  </si>
  <si>
    <t>[20001009086] Arnés Noruego Acolchado Talla Xl Negro Perro Mascan</t>
  </si>
  <si>
    <t>[2014000021508] Cobertor De Asiento Trasero Perro Mascan</t>
  </si>
  <si>
    <t>[211312923506] Billetera Acordeon Mediana Modelo 2923506 Sei</t>
  </si>
  <si>
    <t>[22130608615] Billetera Matte Crystal Rose Bubba Bags</t>
  </si>
  <si>
    <t>[22130608779] Billetera Classic Onyx Black Mini Bubba Bags</t>
  </si>
  <si>
    <t>[22130608780] Billetera Classic Mint Mini Bubba Bags</t>
  </si>
  <si>
    <t>[22130608785] Billetera Classic Mirabella Regular Bubba Bags</t>
  </si>
  <si>
    <t>[23-40030] Loción De Protección Solar Hidratante SPF 30 Sun Bum</t>
  </si>
  <si>
    <t>23-40030</t>
  </si>
  <si>
    <t>[23-40050] Loción De Protección Solar Hidratante SPF 50 Sun Bum</t>
  </si>
  <si>
    <t>23-40050</t>
  </si>
  <si>
    <t>[25835] Reloj de Pared Milk Metal Balvi</t>
  </si>
  <si>
    <t>[26225] Masajeador de Cabeza Aluminio 1/ Aa Balvi</t>
  </si>
  <si>
    <t>[26916] Cojin Magic Negro/Dorado Balvi</t>
  </si>
  <si>
    <t>[26917] Cojín Magic Negro/Rosa Balvi</t>
  </si>
  <si>
    <t>[27245] Lámpara Usb/3Aa 34Cm Balvi</t>
  </si>
  <si>
    <t>[30-55050] Protector Solar Mineral en Barra SPF 50 Sun Bum</t>
  </si>
  <si>
    <t>30-55050</t>
  </si>
  <si>
    <t>[32-180-C3] Termos Líquidos Mondial Petróleo 1,8Lt Thermos</t>
  </si>
  <si>
    <t>32-180-C3</t>
  </si>
  <si>
    <t>51.00</t>
  </si>
  <si>
    <t>[67114508251225] Metalófono Cromatico 25 Notas Infantil Amarillo Klip Klap</t>
  </si>
  <si>
    <t>[67114509855998] Metalófono Cromatico 25 Notas Infantil Rojo Klip Klap</t>
  </si>
  <si>
    <t>[68142275737629] Termo Comida 400ml Rosado Cuchara Acero Inox Simplit</t>
  </si>
  <si>
    <t>[6902221290595] Banano Azabache Bubba Bags</t>
  </si>
  <si>
    <t>[6902221314888] Contenedor De Sal Vidrio Tapa Bamboo Brando</t>
  </si>
  <si>
    <t>[6902221314895] Delantal Pechera Gourmet Para Asado BBQ Negro Brando</t>
  </si>
  <si>
    <t>[6902221365613] Mochila Victoria Gris Bubba Bags</t>
  </si>
  <si>
    <t>[6902221366597] Mochila Charlotte Daily Verde Bubba Bags</t>
  </si>
  <si>
    <t>[6902221378453] Mochila Laptop Mini Alazan Negro Bubba Bags</t>
  </si>
  <si>
    <t>[6902221381835] Banano Metalizado Stone Bubba Bags</t>
  </si>
  <si>
    <t>[6902221385154] Mochila Victoria Negro Bubba Bags</t>
  </si>
  <si>
    <t>[6902221385963] Billetera Black Velvet Mini Rpet Bubba Bags</t>
  </si>
  <si>
    <t>[6902221385987] Billetera Matte Black Velvet Regular Rpet Bubba Bags</t>
  </si>
  <si>
    <t>[6902221385994] Billetera Matte Crystal Rose Mini Rpet Bubba Bags</t>
  </si>
  <si>
    <t>[6902221386557] Mochila Classic Onyx Mini Rpet Bubba Bags</t>
  </si>
  <si>
    <t>[6902221386588] Bubba Mochila Matte Rosado Crystal Regular Rpet Bubba Bags</t>
  </si>
  <si>
    <t>[6902221386595] Mochila Matte Unique Black Velvet Mini Rpet Bubba Bags</t>
  </si>
  <si>
    <t>[6902221386601] Bubba Mochila Matte Negro Velvet Regular Rpet Bubba Bags</t>
  </si>
  <si>
    <t>[6902221386694] Bubba Banano Matte Negro Velvet Rpet Bubba Bags</t>
  </si>
  <si>
    <t>[6902221388155] Mochila Lewis Negra Black Bubba</t>
  </si>
  <si>
    <t>[757450527594] Acondicionador Low Poo Aporta Brillo Y Sedosidad Sheet</t>
  </si>
  <si>
    <t>[80-41015] Acondicionador Revitalizante Sun Bum</t>
  </si>
  <si>
    <t>80-41015</t>
  </si>
  <si>
    <t>[80-41020] Tratamiento 3 in 1 Leave In Sun Bum</t>
  </si>
  <si>
    <t>80-41020</t>
  </si>
  <si>
    <t>[80-41040] Coconut Argain Oil Sun Bum</t>
  </si>
  <si>
    <t>80-41040</t>
  </si>
  <si>
    <t>[80-41045] Aclarador Capilar Blonde Hair Lightener Sun Bum</t>
  </si>
  <si>
    <t>80-41045</t>
  </si>
  <si>
    <t>[8437] Ensaladera Juego 5 Piezas Tempo Vidrio</t>
  </si>
  <si>
    <t>[AUSS] Aussie Slang Jugando A Las Cartas Lingo</t>
  </si>
  <si>
    <t>AUSS</t>
  </si>
  <si>
    <t>[B0284] Caja Deco Retro Dorado Vidrio BVS</t>
  </si>
  <si>
    <t>B0284</t>
  </si>
  <si>
    <t>[B0351] Tabla De Cortar Indonesia Rectang Natural/Mar BVS</t>
  </si>
  <si>
    <t>B0351</t>
  </si>
  <si>
    <t>[B0500] Set Farolillo Retro M Y L Dorado BVS</t>
  </si>
  <si>
    <t>B0500</t>
  </si>
  <si>
    <t>[B0688] Set 4 Cubiertos Viking Dorado BVS</t>
  </si>
  <si>
    <t>B0688</t>
  </si>
  <si>
    <t>[B0698] Set 4 Cubiertos Must Cobre Blanco BVS</t>
  </si>
  <si>
    <t>B0698</t>
  </si>
  <si>
    <t>[CER-2224ROJO] Sartén Stone Cerámica Antiadherente 24 Cm Rojo</t>
  </si>
  <si>
    <t>CER-2224ROJO</t>
  </si>
  <si>
    <t>[GUIR220VTEJIDOBLAN] Guirnalda Ledzone Eléctrica Madeja Blanco 20 Luces Led</t>
  </si>
  <si>
    <t>GUIR220VTEJIDOBLAN</t>
  </si>
  <si>
    <t>[HK-126C-BK-M] Patines Roller Inline Fitness Negro Talla M Hook</t>
  </si>
  <si>
    <t>HK-126C-BK-M</t>
  </si>
  <si>
    <t>[HK-129B PRO-M] Patin Roller Inline Fitness Pro Adulto Negro Talla M Hook</t>
  </si>
  <si>
    <t>HK-129B PRO-M</t>
  </si>
  <si>
    <t>[IMA-4LB] Imanix Set Imaballs Led 4 Piezas</t>
  </si>
  <si>
    <t>IMA-4LB</t>
  </si>
  <si>
    <t>[IMA-TOBO50] Imanix Tobogan 50 piezas</t>
  </si>
  <si>
    <t>IMA-TOBO50</t>
  </si>
  <si>
    <t>[MCO001-2] Home Spray 500 Ml Passion Fig Negro Madison</t>
  </si>
  <si>
    <t>MCO001-2</t>
  </si>
  <si>
    <t>[MCO019] Difusor Varitas 250 ml Passion Fig Ámbar Madison</t>
  </si>
  <si>
    <t>MCO019</t>
  </si>
  <si>
    <t>[MCO021-2] Difusor Varitas 250 Ml Tropical Chic Negro Madison</t>
  </si>
  <si>
    <t>MCO021-2</t>
  </si>
  <si>
    <t>[MCO036-1] Difusor Varitas 150 Ml Green Citrus Negro Madison</t>
  </si>
  <si>
    <t>MCO036-1</t>
  </si>
  <si>
    <t>[MCO037] Difusor Varitas 150 Ml Tropical Chic Transparente Madison</t>
  </si>
  <si>
    <t>MCO037</t>
  </si>
  <si>
    <t>[MCO037-2] Difusor Varitas 150 Ml Tropical Chic Ámbar Madison</t>
  </si>
  <si>
    <t>MCO037-2</t>
  </si>
  <si>
    <t>[MCO038-1] Difusor Varitas 150 Ml Black Cedar Negro Madison</t>
  </si>
  <si>
    <t>MCO038-1</t>
  </si>
  <si>
    <t>[MCO160] Home Spray 500 Ml Summer Days Transparente Madison</t>
  </si>
  <si>
    <t>MCO160</t>
  </si>
  <si>
    <t>[MCZ-197] Mate Térmico 200Ml Negro Zola</t>
  </si>
  <si>
    <t>MCZ-197</t>
  </si>
  <si>
    <t>[MF07000061510] Animal Látex Con Cuerda Verde Perro Mascan</t>
  </si>
  <si>
    <t>MF07000061510</t>
  </si>
  <si>
    <t>[MF07000200715] Rama De Nylon Cafe Sabor Carne Talla M Perro Mascan</t>
  </si>
  <si>
    <t>MF07000200715</t>
  </si>
  <si>
    <t>[RC-BIL12] Billetera Cuero Clásica Puelo Con Pasador Raiquen</t>
  </si>
  <si>
    <t>RC-BIL12</t>
  </si>
  <si>
    <t>[RC-CAC11] Juego Cachos Raiquen 100% Cuero Legítimo</t>
  </si>
  <si>
    <t>RC-CAC11</t>
  </si>
  <si>
    <t>[RC-COW11] Tabaquera de Cuero Cowboy Raiquén Hecha a Mano</t>
  </si>
  <si>
    <t>RC-COW11</t>
  </si>
  <si>
    <t>[RC-TAB80] Tabla madera rústica gourmet Raiquen Conguillío de 80cm</t>
  </si>
  <si>
    <t>RC-TAB80</t>
  </si>
  <si>
    <t>[TEGOLE1] Libro Explora Tere Gott</t>
  </si>
  <si>
    <t>TEGOLE1</t>
  </si>
  <si>
    <t>BPV/Stock</t>
  </si>
  <si>
    <t>560.00</t>
  </si>
  <si>
    <t>[10080050250002] Freidora de Aire Air Fryer XL 6,2L EasyWays</t>
  </si>
  <si>
    <t>[1571055493973] Secador De Toallas Pedestal 6 Niveles</t>
  </si>
  <si>
    <t>[1650302273911] Parrilla Para Auto Aluminio portaequipaje Universal XROAD</t>
  </si>
  <si>
    <t>[179073] Mesa De Centro Solen 4 Cajones 110 X 60 X 47 cm Atmosphera</t>
  </si>
  <si>
    <t>[179422B] Espejo Redondo Alice 76 cm Con Borde Metal Dorado Atmosphera</t>
  </si>
  <si>
    <t>179422B</t>
  </si>
  <si>
    <t>[20-48050] Bálsamo Labial Con Color SPF 15 Raisin Sun Bum</t>
  </si>
  <si>
    <t>20-48050</t>
  </si>
  <si>
    <t>[20000807027] Arnés Cruzado Acolchado Talla M Azul Perros Mascan</t>
  </si>
  <si>
    <t>[20000807210] Arnés Cruzado Acolchado Talla M Fucsia Perros Mascan</t>
  </si>
  <si>
    <t>[26027] Cosmetiquero 2 Pisos Minnie</t>
  </si>
  <si>
    <t>[26512] Muñeca Princesa 33 cm Sparkle Girlz De Zuru Modelos Surtidos</t>
  </si>
  <si>
    <t>[26956] Peluche Pájaro Loco en Huevo Pets Alive Zuru</t>
  </si>
  <si>
    <t>[3000200821] Correa Doble Agarre Perro L Fucsia Mascan</t>
  </si>
  <si>
    <t>[34200] Casa Del Terror Smashers De Zuru</t>
  </si>
  <si>
    <t>[34211] Tubo Lanza Agua De 720 ml X-Shot</t>
  </si>
  <si>
    <t>[6181130] Puzzle 60Pcs Con Forma Ballena Scratch Europe</t>
  </si>
  <si>
    <t>[6902221318633] Sartén Aluminio 24 cm Gris Brando</t>
  </si>
  <si>
    <t>[6902221342614] Mascarilla Bubba Mask Ultra Light Neomint Regular Bubba Bags</t>
  </si>
  <si>
    <t>[80-41372] Aceite Revitalizante Protector y Reparar de Cabello Sum Bum</t>
  </si>
  <si>
    <t>80-41372</t>
  </si>
  <si>
    <t>[BGMP-3306] Plancha Aluminio Fundido 36cm Gravity Bergner</t>
  </si>
  <si>
    <t>BGMP-3306</t>
  </si>
  <si>
    <t>[FA183-1] Suction Kupz, Vasos De Construcción FatBrain Toys</t>
  </si>
  <si>
    <t>FA183-1</t>
  </si>
  <si>
    <t>[FAG-1007] Batería De Cocina 7 Piezas Soho Mint Kitchenware</t>
  </si>
  <si>
    <t>FAG-1007</t>
  </si>
  <si>
    <t>[HEBE25L] Hervidor Kitchen-it Big Edition 2,5 litros</t>
  </si>
  <si>
    <t>HEBE25L</t>
  </si>
  <si>
    <t>[LHTHCLA-LGR] Termo Acero Inoxidable Classic 1,3 lts Lhotse Light Green</t>
  </si>
  <si>
    <t>[LVPRONOV] Proyector Portátil Nova HD LEVO</t>
  </si>
  <si>
    <t>[LVTELELE-100] Telón 100 pulgadas Eléctrico con control 200 x 150 cm Levo</t>
  </si>
  <si>
    <t>[PAD-DLN] Imapad Juego Duo Letras y Números</t>
  </si>
  <si>
    <t>PAD-DLN</t>
  </si>
  <si>
    <t>[PPME] Plancha Panini Master Series Kitchen-it</t>
  </si>
  <si>
    <t>PPME</t>
  </si>
  <si>
    <t>[Pack215] Set 4 Vasos Moscow Mule Mojito Mug Cobre + Bombillas Simplit</t>
  </si>
  <si>
    <t>Pack215</t>
  </si>
  <si>
    <t>[Pack320] Pack Cafetera Francesa 600 ml + Set 2 Tazas 350 ml Simplit</t>
  </si>
  <si>
    <t>Pack320</t>
  </si>
  <si>
    <t>[SD06000050910] Plato Melamina Anti-ahogo Talla Xl Verde Perro Mascan</t>
  </si>
  <si>
    <t>SD06000050910</t>
  </si>
  <si>
    <t>[SD06000060708] Plato Melamina Sólido Redondo Negro Talla M Perro</t>
  </si>
  <si>
    <t>SD06000060708</t>
  </si>
  <si>
    <t>[SD06000080601] Plato Melamina Motivo Redondo Amarillo Talla S Perro</t>
  </si>
  <si>
    <t>SD06000080601</t>
  </si>
  <si>
    <t>[SD06000080701] Plato Melamina Motivo Redondo Amarillo Talla M Perro</t>
  </si>
  <si>
    <t>SD06000080701</t>
  </si>
  <si>
    <t>[SD06000080709] Plato Melamina Motivo Redondo Multicolor Talla M Perro</t>
  </si>
  <si>
    <t>SD06000080709</t>
  </si>
  <si>
    <t>[SD06000080730] Plato Melamina Motivo Redondo Negro Talla M Perro Mascan</t>
  </si>
  <si>
    <t>SD06000080730</t>
  </si>
  <si>
    <t>[SIMBACOUR-30] Basurero Cocina Urban 30lts Pedal Acero Inox Simplit</t>
  </si>
  <si>
    <t>[SIMO28TOUL] Olla Cacerola Antiadherente 28cm Toulouse Simplit</t>
  </si>
  <si>
    <t>[TD10000020712] Cama Reversible Doble Color Perro Talla M Morado Mascan</t>
  </si>
  <si>
    <t>TD10000020712</t>
  </si>
  <si>
    <t>[TL02500011521] Arnés Y Correa Gato Acolchado Reflectante Fucsia Mascan</t>
  </si>
  <si>
    <t>TL02500011521</t>
  </si>
  <si>
    <t>BPro/Stock</t>
  </si>
  <si>
    <t>[LVTELELE-60] Telón 60 pulgadas Eléctrico con control 120 x 90 cm Levo</t>
  </si>
  <si>
    <t>[LVTELELE-80] Telón 80 pulgadas Eléctrico con control 165 x 125 cm Levo</t>
  </si>
  <si>
    <t>BRSt/Stock</t>
  </si>
  <si>
    <t>[1652825203439] Cargador Inalámbrico Magnético Carga Rápida Auto VO1 Levo</t>
  </si>
  <si>
    <t>[SMBATSAV9-CR] Batería de Cocina Antiadherente Savannah 9 Piezas</t>
  </si>
  <si>
    <t>BVO/Stock</t>
  </si>
  <si>
    <t>785.00</t>
  </si>
  <si>
    <t>50.00</t>
  </si>
  <si>
    <t>[68432930518995] Espumador de Leche 4 en 1 Blanco Simplit</t>
  </si>
  <si>
    <t>[SIMCUKUC-5] Set Cuchillos Küche 5 pcs Acero Inoxidable + Base Simplit</t>
  </si>
  <si>
    <t>BXR/Stock</t>
  </si>
  <si>
    <t>227.00</t>
  </si>
  <si>
    <t>-3.00</t>
  </si>
  <si>
    <t>-14.00</t>
  </si>
  <si>
    <t>-6.00</t>
  </si>
  <si>
    <t>Bo/Stock</t>
  </si>
  <si>
    <t>1,039.00</t>
  </si>
  <si>
    <t>[10020020040103] Olla de Cocción Lenta Slow Pot Design 5,5 Lt EasyWays</t>
  </si>
  <si>
    <t>[10020020160103] Olla de Cocción Lenta Slow Pot Mini 3,8 Lt EasyWays</t>
  </si>
  <si>
    <t>[10040010020401] Robot de Cocina Kitchen Pro EasyWays</t>
  </si>
  <si>
    <t>[10080020540000] Olla de Cocción MultiCooker Pro 5,5 L EasyWays</t>
  </si>
  <si>
    <t>[10080050230002] Freidora de Aire Air Fryer Fast 1,8 L EasyWays</t>
  </si>
  <si>
    <t>[10080050320007] Horno Eléctrico Oven Master 23 L EasyWays</t>
  </si>
  <si>
    <t>[10080050430002] Freidora de Aire Air Fryer MultiTouch EasyWays</t>
  </si>
  <si>
    <t>[10080100220101] Batidora de Pedestal Hook Mixer Blanco EasyWays</t>
  </si>
  <si>
    <t>[10080110250103] Cafetera Expresso Milano Coffee 3 en 1 Roja EasyWays</t>
  </si>
  <si>
    <t>[10080120550000] Picadora Power Cutter 1,2 L EasyWays</t>
  </si>
  <si>
    <t>[10080130220002] Parrilla Eléctrica Pitmaster EasyWays</t>
  </si>
  <si>
    <t>[10080150490001] Hervidor Heat Control Blanco 1,7 Lt EasyWays</t>
  </si>
  <si>
    <t>[10080151190002] Hervidor Design Negro 1,7 L EasyWays</t>
  </si>
  <si>
    <t>[120312743019] Cartera Clasic Tela Escoces Negro 27430 Sei</t>
  </si>
  <si>
    <t>[121312919409] Bolso Sei Modelo 2919409</t>
  </si>
  <si>
    <t>[121312919417] Bolso Sei Modelo 2919417 Sei</t>
  </si>
  <si>
    <t>[121312935198] Bolso Sei Modelo 2935198</t>
  </si>
  <si>
    <t>[1505329353494] Soporte Celular Magnetico Rejilla Magnetic Mount</t>
  </si>
  <si>
    <t>[1513100019184] Estabilizador De Cámaras Universales Portátil</t>
  </si>
  <si>
    <t>[1535566560027] Reloj Smartwatch Lhotse P10 Blanco</t>
  </si>
  <si>
    <t>[1539703106378] Mochila Maternal Pañalera Bebé Freaky Mommy Verde</t>
  </si>
  <si>
    <t>[1539703126734] Mochila Maternal Pañalera Bebé Freaky Mommy Lila</t>
  </si>
  <si>
    <t>[1544125235646] Kit Accesorios Cámaras Deportivas Maletín</t>
  </si>
  <si>
    <t>[1566335650094] Audífonos Lhotse Bluetooth Inalámbrico Rm12 Rojo</t>
  </si>
  <si>
    <t>[1579117587919] Smartwatch RD7 Azul</t>
  </si>
  <si>
    <t>[1579117612971] Smartwatch RD7 Cuero Negro</t>
  </si>
  <si>
    <t>[1594337749167] Smartwatch TW58 Negro con Temperatura</t>
  </si>
  <si>
    <t>[1594405367324] Smartwatch TW58 Plateado con Temperatura</t>
  </si>
  <si>
    <t>[1597086403194] Smartwatch SR11 Negro</t>
  </si>
  <si>
    <t>[1602029301612] Reloj Smartwatch Lhotse Route M5 GPS Black</t>
  </si>
  <si>
    <t>[1605624680115] Smartwatch RD7 Plateado Cuero Negro Rojo</t>
  </si>
  <si>
    <t>[1605707978907] Smartwatch RD7 Dark Silver Cuero Negro Rojo</t>
  </si>
  <si>
    <t>[1607526253622] Smartwatch SW88 Correa Rosada</t>
  </si>
  <si>
    <t>[1607548770561] Smartwatch RD9 Negro Correa silicon negra</t>
  </si>
  <si>
    <t>[1608037818000] Reloj Smartwatch Lhotse Track M7 GPS Negro Gris</t>
  </si>
  <si>
    <t>[1608588643610] Smartwatch RD9 Dark Silver Verde Limón</t>
  </si>
  <si>
    <t>[1609965879850] Banda Deportiva SM36 Negro</t>
  </si>
  <si>
    <t>[1616007431943] Audifonos Buds 5 Bluetooth Negro</t>
  </si>
  <si>
    <t>[1627416753683] Pesa Rusa 10KG</t>
  </si>
  <si>
    <t>[1629725255197] Audífonos Bluetooth Lhotse Up Sound 4</t>
  </si>
  <si>
    <t>[1634566934933] Cámara de Seguridad Interior Wifi 360º Levo</t>
  </si>
  <si>
    <t>204.00</t>
  </si>
  <si>
    <t>33.00</t>
  </si>
  <si>
    <t>[1660858266475] Termo Jarra Insulado Acero Inox 1 Lt Blanco Simplit</t>
  </si>
  <si>
    <t>[1661877043628] Cámara de Inspección Baroscopio con Sonda 20 Mts TP9200</t>
  </si>
  <si>
    <t>[1795456] PLATO TORTA DE VIDRIO C/PIE 31 CM. LIBBEY</t>
  </si>
  <si>
    <t>[20-45080] After Sun Cool Down Gel Sun Bum</t>
  </si>
  <si>
    <t>20-45080</t>
  </si>
  <si>
    <t>[22121-255-S] Casco Bicicleta Rampage Pro Carbon Negro Matte</t>
  </si>
  <si>
    <t>22121-255-S</t>
  </si>
  <si>
    <t>[22130608650] Funda De Notebook 13" Classic Onyx Black Bubba Bags</t>
  </si>
  <si>
    <t>[2311-SET] Set 6 Vasos Vibe Rock Vidrio Cortos 355 Ml Libbey</t>
  </si>
  <si>
    <t>2311-SET</t>
  </si>
  <si>
    <t>[2651002] Set 4 Vasos Cortos Hobstar 355ml Libbey</t>
  </si>
  <si>
    <t>[26807] Cojin Kitty Gris Balvi</t>
  </si>
  <si>
    <t>[26968] Revistero News Blanco Balvi</t>
  </si>
  <si>
    <t>[26994] Organizador Sofá Negro Balvi</t>
  </si>
  <si>
    <t>[27418] Bota Calienta Pies Kitty Gris Balvi</t>
  </si>
  <si>
    <t>[27433] Lámpara de Mesa Tic Tic Blanca Balvi</t>
  </si>
  <si>
    <t>[27434] Lámpara de Mesa Tic Tic Negra Balvi</t>
  </si>
  <si>
    <t>[30001407080] Correa Ramal Trenzada Negra Perro Mascan</t>
  </si>
  <si>
    <t>[34-180-C4] Thermo 1.8Lt Líquido New Gris Matero Thermos</t>
  </si>
  <si>
    <t>34-180-C4</t>
  </si>
  <si>
    <t>[632627814274] Anteojos Liam Yellow Inztinto</t>
  </si>
  <si>
    <t>[6902221289452] Banano Onyx Black Bubba Bags</t>
  </si>
  <si>
    <t>[6902221292148] Mochila Glam Fancy Moka Bubba Bags</t>
  </si>
  <si>
    <t>[6902221315342] Set 6 Copas de Vino 685ml Brando</t>
  </si>
  <si>
    <t>[6902221318695] Set Fuentes De Vidrio Para Horno Brando</t>
  </si>
  <si>
    <t>[6902221318909] Vaso De Yogurt Cereal 500ml Rosa Brando</t>
  </si>
  <si>
    <t>[6902221332998] Set 4 Copas Vidrio Líneas Brando</t>
  </si>
  <si>
    <t>[6902221356635] Mochila Fancy Bag Alazan Negro Bubba Bags</t>
  </si>
  <si>
    <t>[6902221356741] Mochila Classic Mirabella Regular 21 Bubba Bags</t>
  </si>
  <si>
    <t>[6902221386564] Mochila Clásica Onix Regular Rpet Bubba Bags</t>
  </si>
  <si>
    <t>[6902221386663] Mochila Mom Matte Black Velvet Regular Rpet Bubba Essentials</t>
  </si>
  <si>
    <t>[715] Jarra Vidrio Blanca 1,5 Lt Thermos</t>
  </si>
  <si>
    <t>[757450527877] Cepillo De Pelo Con Cerdas Delgadas Para Desenredar Sheet</t>
  </si>
  <si>
    <t>[80317] Shaker/Coctelera Set 3 Pzas Libbey</t>
  </si>
  <si>
    <t>[89554] Set 6 Copas Vina Trumpet 192 Ml</t>
  </si>
  <si>
    <t>[AMPMINIGLOBOE27] Ampolleta Ledzone Mini Globo Vintage E27 Led 4W</t>
  </si>
  <si>
    <t>AMPMINIGLOBOE27</t>
  </si>
  <si>
    <t>[B0046] Espejo Kahala L Redonda Natural BVS</t>
  </si>
  <si>
    <t>B0046</t>
  </si>
  <si>
    <t>[B0290] Set 2 Individuales Gold Fantasía Dorado BVS</t>
  </si>
  <si>
    <t>B0290</t>
  </si>
  <si>
    <t>[B0406] Caja Deco Metal Dorado 2 Huecos BVS</t>
  </si>
  <si>
    <t>B0406</t>
  </si>
  <si>
    <t>[B0413] Set 4 Cubiertos Chic Table Minimal Cobre BVS</t>
  </si>
  <si>
    <t>B0413</t>
  </si>
  <si>
    <t>[B0624] Espejo Mele Flor Natural BVS</t>
  </si>
  <si>
    <t>B0624</t>
  </si>
  <si>
    <t>[B0642] Set 2 Individuales Leaf Hoja Dorado BVS</t>
  </si>
  <si>
    <t>B0642</t>
  </si>
  <si>
    <t>[B0757] Espejo Pared Star S Metal Dorado BVS</t>
  </si>
  <si>
    <t>B0757</t>
  </si>
  <si>
    <t>[B0761] Espejo Pared Arrow Redondo Dorado BVS</t>
  </si>
  <si>
    <t>B0761</t>
  </si>
  <si>
    <t>[BF1220B-MI] Olla Soho Mint 20cm Con Tapa</t>
  </si>
  <si>
    <t>BF1220B-MI</t>
  </si>
  <si>
    <t>[BF2428B-CH] SARTEN SOHO 28CM CHERRY</t>
  </si>
  <si>
    <t>BF2428B-CH</t>
  </si>
  <si>
    <t>[BG-6233-CP] Batería De Cocina Pandora 6 Piezas Bergner</t>
  </si>
  <si>
    <t>BG-6233-CP</t>
  </si>
  <si>
    <t>[BGMP-3302] Sartén Aluminio Forjado 24cm Gravity Bergner</t>
  </si>
  <si>
    <t>BGMP-3302</t>
  </si>
  <si>
    <t>[BGMP-5104] Set Descorchador de Vino 5pcs Alloy Moulis Bergner</t>
  </si>
  <si>
    <t>BGMP-5104</t>
  </si>
  <si>
    <t>[CAFA4] Cafetera Arezzo 4 en 1 Kitchen-it</t>
  </si>
  <si>
    <t>CAFA4</t>
  </si>
  <si>
    <t>[CER-2228ROJO] Sartén Stone Rojo Cerámica Antiadherente 28 Cm</t>
  </si>
  <si>
    <t>CER-2228ROJO</t>
  </si>
  <si>
    <t>[FACE4L] Freidora de Aire Chef Edition 4L Kitchen-It</t>
  </si>
  <si>
    <t>FACE4L</t>
  </si>
  <si>
    <t>[FF006C] Familia De Conejos Fuzzikins</t>
  </si>
  <si>
    <t>FF006C</t>
  </si>
  <si>
    <t>[HK-126C-BK-S] Patines Roller Inline Fitness Negro Talla S Hook</t>
  </si>
  <si>
    <t>HK-126C-BK-S</t>
  </si>
  <si>
    <t>[HK-126C-BK-XS] PATINES EN LINEA FITNESS NEGRO HOOK XS(29-32)</t>
  </si>
  <si>
    <t>HK-126C-BK-XS</t>
  </si>
  <si>
    <t>[HK-126C-PP-XS] Patines Roller Inline Fitness Morado Talla Xs Hook</t>
  </si>
  <si>
    <t>HK-126C-PP-XS</t>
  </si>
  <si>
    <t>[HK-153BG-L] Patin Roller Triskate Adulto Talla L Hook</t>
  </si>
  <si>
    <t>HK-153BG-L</t>
  </si>
  <si>
    <t>[HK-170WP 28] Patin 4 Ruedas Artistico Blanco-Rosa 28 Hook</t>
  </si>
  <si>
    <t>HK-170WP 28</t>
  </si>
  <si>
    <t>[HK-320C-P-S] Set De Protección Hook 320C Pink S</t>
  </si>
  <si>
    <t>HK-320C-P-S</t>
  </si>
  <si>
    <t>[IMA-110N] Imanix Juego 110 Piezas Magnéticas</t>
  </si>
  <si>
    <t>IMA-110N</t>
  </si>
  <si>
    <t>[IMA-TOBO] Imanix Tobogán 134 Piezas Magnéticas</t>
  </si>
  <si>
    <t>IMA-TOBO</t>
  </si>
  <si>
    <t>[KT12PRO] Aspiradora Inalámbrica Vertical KT-12PRO Kitchen-It</t>
  </si>
  <si>
    <t>KT12PRO</t>
  </si>
  <si>
    <t>[KW-1008RED] Batería De Cocina Ollas 10 Piezas Cerámica Simply Red</t>
  </si>
  <si>
    <t>KW-1008RED</t>
  </si>
  <si>
    <t>[KW-24ROJO] Sarten Ceramica Simply Cook 24cm Rojo</t>
  </si>
  <si>
    <t>KW-24ROJO</t>
  </si>
  <si>
    <t>[KW-AL1008] Batería de Cocina Ollas 10 Piezas Cerámica Berries</t>
  </si>
  <si>
    <t>KW-AL1008</t>
  </si>
  <si>
    <t>[LVCONSW-BK] Control Joystick Pro Compatible Nintendo Switch Levo Negro</t>
  </si>
  <si>
    <t>[MCO001] Home Spray 500 Ml Passion Fig Transparente Madison</t>
  </si>
  <si>
    <t>MCO001</t>
  </si>
  <si>
    <t>[MCO004-2] Home Spray 500 Ml Ala Moana Negro Madison</t>
  </si>
  <si>
    <t>MCO004-2</t>
  </si>
  <si>
    <t>[MCO011] Refill Home Spray 1 Lt Green Citrus Madison</t>
  </si>
  <si>
    <t>MCO011</t>
  </si>
  <si>
    <t>[MCO019-1] Difusor Varitas 250 Ml Passion Fig Transparente Madison</t>
  </si>
  <si>
    <t>MCO019-1</t>
  </si>
  <si>
    <t>[MCO020] Difusor Varitas 250 Ml Green Citrus Ámbar Madison</t>
  </si>
  <si>
    <t>MCO020</t>
  </si>
  <si>
    <t>[MCO021] Difusor Varitas 250 Ml Tropical Chic Ámbar Madison</t>
  </si>
  <si>
    <t>MCO021</t>
  </si>
  <si>
    <t>[MCO051] Home Spray 500 Ml Black Cedar Transparente Madison</t>
  </si>
  <si>
    <t>MCO051</t>
  </si>
  <si>
    <t>[MCO055] Refill Home Spray 1 Lt Tropical Chic Madison</t>
  </si>
  <si>
    <t>MCO055</t>
  </si>
  <si>
    <t>[MCO163-1] Difusor Varitas 250 Ml Summer Days Ámbar Madison</t>
  </si>
  <si>
    <t>MCO163-1</t>
  </si>
  <si>
    <t>[MD1024] Linterna Proyectora De Cuentos MiDeer</t>
  </si>
  <si>
    <t>MD1024</t>
  </si>
  <si>
    <t>[OD-AD28] Sartén Grill Doble Antiadherente 28 Cm</t>
  </si>
  <si>
    <t>OD-AD28</t>
  </si>
  <si>
    <t>[OW-012] Alforja Bicicleta OnWheels Ejecutiva Negra</t>
  </si>
  <si>
    <t>OW-012</t>
  </si>
  <si>
    <t>[OW-902P-M] Casco Bicicleta Urbano Luz Morado Talla M Onwheels</t>
  </si>
  <si>
    <t>OW-902P-M</t>
  </si>
  <si>
    <t>[PACKCNS23] Mega Regenerador Hidratación Profunda Caracol Natural</t>
  </si>
  <si>
    <t>PACKCNS23</t>
  </si>
  <si>
    <t>[PANEL60X60] Panel Led Ledzone 40w 60x60 Cm Luz Neutra</t>
  </si>
  <si>
    <t>PANEL60X60</t>
  </si>
  <si>
    <t>[RC-BIL11] Billetera de Cuero Clásica Puelo Raiquen Hecho a Mano</t>
  </si>
  <si>
    <t>RC-BIL11</t>
  </si>
  <si>
    <t>[RC-CBL11] Cinturón Cuero Bordado Pampa Talla L Café Raiquen</t>
  </si>
  <si>
    <t>RC-CBL11</t>
  </si>
  <si>
    <t>[RC-CBX11] Cinturón Cuero Bordado Pampa Café Talla XL Raiquen</t>
  </si>
  <si>
    <t>RC-CBX11</t>
  </si>
  <si>
    <t>[RC-CBXL22] Cinturón Cuero Bordado Pampa Verde Raiquen (XL (90CM), Verde)</t>
  </si>
  <si>
    <t>RC-CBXL22</t>
  </si>
  <si>
    <t>[RC-CCS11] Cinturón Cuero Café S Costura Hecho a Mano Raiquen</t>
  </si>
  <si>
    <t>RC-CCS11</t>
  </si>
  <si>
    <t>[RC-COW22] Tabaquera Multifuncional Cuero Reno Raiquen</t>
  </si>
  <si>
    <t>RC-COW22</t>
  </si>
  <si>
    <t>[RC-TAB50] Tabla madera rústica gourmet Raiquen Huerquehue de 50cm</t>
  </si>
  <si>
    <t>RC-TAB50</t>
  </si>
  <si>
    <t>[SD06000060702] Plato Melamina Sólido Redondo Azul Talla M Perro Mascan</t>
  </si>
  <si>
    <t>SD06000060702</t>
  </si>
  <si>
    <t>[SK3000BK] Termo Comida King Acero Inox Negro 470 ml Thermos</t>
  </si>
  <si>
    <t>SK3000BK</t>
  </si>
  <si>
    <t>[TD10000010908] Cama Impermeable Con Memory Foam Perro Mascan Talla Xl</t>
  </si>
  <si>
    <t>TD10000010908</t>
  </si>
  <si>
    <t>[TD10000020612] Cama Reversible Doble Color Perro Talla S Morado Mascan</t>
  </si>
  <si>
    <t>TD10000020612</t>
  </si>
  <si>
    <t>[TD10000020915] Cama Reversible Doble Color Perro Talla Xl Café Mascan</t>
  </si>
  <si>
    <t>TD10000020915</t>
  </si>
  <si>
    <t>[YX-HF099MM] Casco Multisport 099 Morado Talla M Street Runner</t>
  </si>
  <si>
    <t>YX-HF099MM</t>
  </si>
  <si>
    <t>Levo  |  SKU: 1627418329116</t>
  </si>
  <si>
    <t>CA1/Stock</t>
  </si>
  <si>
    <t>171,664.00</t>
  </si>
  <si>
    <t>[10000105087] Collar Nylon Anti-pull Negro Perro Talla Xs Mascan</t>
  </si>
  <si>
    <t>[1000190507] Collar Triángulo Naranja Tallas XS Perro Mascan</t>
  </si>
  <si>
    <t>[1000190521] Collar Triángulo Fucsia Talla Xs Perro Mascan</t>
  </si>
  <si>
    <t>[1000190602] Collar Triángulo Azul Talla S Perro Mascan</t>
  </si>
  <si>
    <t>[1000190607] Collar Triángulo Naranja Tallas S Perro Mascan</t>
  </si>
  <si>
    <t>[1000190621] Collar Triángulo Fucsia Talla S Perro Mascan</t>
  </si>
  <si>
    <t>[1000190702] Collar Triángulo Azul Talla M Perro Mascan</t>
  </si>
  <si>
    <t>[1000190707] Collar Triángulo Naranja Tallas M Perro Mascan</t>
  </si>
  <si>
    <t>[1000190721] Collar Triángulo Fucsia Talla M Perro Mascan</t>
  </si>
  <si>
    <t>[1000190802] Collar Triángulo Azul Talla L Perro Mascan</t>
  </si>
  <si>
    <t>[1000190807] Collar Triángulo Naranja Tallas L Perro Mascan</t>
  </si>
  <si>
    <t>[1000190821] Collar Triángulo Fucsia Talla L Perro Mascan</t>
  </si>
  <si>
    <t>[1000200510] Collar Perro Diagonal Xs Verde Mascan</t>
  </si>
  <si>
    <t>[1000200512] Collar Perro Diagonal Xs Morado Mascan</t>
  </si>
  <si>
    <t>[1000200519] Collar Perro Diagonal Xs Celeste Mascan</t>
  </si>
  <si>
    <t>[1000200610] Collar Perro Diagonal S Verde Mascan</t>
  </si>
  <si>
    <t>[1000200612] Collar Perro Diagonal S Morado Mascan</t>
  </si>
  <si>
    <t>[1000200619] Collar Perro Diagonal S Celeste Mascan</t>
  </si>
  <si>
    <t>[1000200710] Collar Perro Diagonal M Verde Mascan</t>
  </si>
  <si>
    <t>[1000200712] Collar Perro Diagonal M Morado Mascan</t>
  </si>
  <si>
    <t>[1000200719] Collar Perro Diagonal M Celeste Mascan</t>
  </si>
  <si>
    <t>[1000200810] Collar Perro Diagonal L Verde Mascan</t>
  </si>
  <si>
    <t>[1000200812] Collar Perro Diagonal L Morado Mascan</t>
  </si>
  <si>
    <t>[1000200819] Collar Perro Diagonal L Celeste Mascan</t>
  </si>
  <si>
    <t>[1000210501] Collar Perro Puntitos Xs Amarillo Mascan</t>
  </si>
  <si>
    <t>[1000210509] Collar Perro Puntitos Xs Rojo Mascan</t>
  </si>
  <si>
    <t>[1000210510] Collar Perro Puntitos Xs Verde Mascan</t>
  </si>
  <si>
    <t>[1000210601] Collar Perro Puntitos S Amarillo Mascan</t>
  </si>
  <si>
    <t>[1000210609] Collar Perro Puntitos S Rojo Mascan</t>
  </si>
  <si>
    <t>[1000210610] Collar Perro Puntitos S Verde Mascan</t>
  </si>
  <si>
    <t>[1000210701] Collar Perro Puntitos M Amarillo Mascan</t>
  </si>
  <si>
    <t>[1000210709] Collar Perro Puntitos M Rojo Mascan</t>
  </si>
  <si>
    <t>[1000210710] Collar Perro Puntitos M Verde Mascan</t>
  </si>
  <si>
    <t>[1000210801] Collar Perro Puntitos L Amarillo Mascan</t>
  </si>
  <si>
    <t>[1000210809] Collar Perro Puntitos L Rojo Mascan</t>
  </si>
  <si>
    <t>[1000210810] Collar Perro Puntitos L Verde Mascan</t>
  </si>
  <si>
    <t>[1000220502] Collar Huesos Perro Xs Azul Mascan</t>
  </si>
  <si>
    <t>[1000220508] Collar Huesos Perro Xs Negro Mascan</t>
  </si>
  <si>
    <t>[1000220521] Collar Huesos Perro Xs Fucsia Mascan</t>
  </si>
  <si>
    <t>[1000220602] Collar Huesos Perro S Azul Mascan</t>
  </si>
  <si>
    <t>[1000220608] Collar Huesos Perro S Negro Mascan</t>
  </si>
  <si>
    <t>[1000220621] Collar Huesos Perro S Fucsia Mascan</t>
  </si>
  <si>
    <t>[1000220702] Collar Huesos Perro M Azul Mascan</t>
  </si>
  <si>
    <t>[1000220708] Collar Huesos Perro M Negro Mascan</t>
  </si>
  <si>
    <t>[1000220721] Collar Huesos Perro M Fucsia Mascan</t>
  </si>
  <si>
    <t>[1000220802] Collar Huesos Perro L Azul Mascan</t>
  </si>
  <si>
    <t>[1000220808] Collar Huesos Perro L Negro Mascan</t>
  </si>
  <si>
    <t>[1000220821] Collar Huesos Perro L Fucsia Mascan</t>
  </si>
  <si>
    <t>[10030030110102] Licuadora Personal Nutriblender EasyWays</t>
  </si>
  <si>
    <t>[10030050150102] Freidora De Aire Air Fryer Plus 11,6 Lt EasyWays</t>
  </si>
  <si>
    <t>[10040010400101] Robot de Cocina Kitchen Grand Connect EasyWays</t>
  </si>
  <si>
    <t>[100500101011] Batidora de Pedestal Art Mixer Blanco Easyways</t>
  </si>
  <si>
    <t>[100500101012] Batidora de Pedestal Art Mixer Negro Easyways</t>
  </si>
  <si>
    <t>[100500201011] Cafetera Expresso Milano Coffee 3 en 1 Gris Easyways</t>
  </si>
  <si>
    <t>300.00</t>
  </si>
  <si>
    <t>[100500201012] Cafetera Expresso Milano Coffee 3 en 1 Roja Easyways</t>
  </si>
  <si>
    <t>[100500301011] Espumador de Leche Milano Milk Easyways</t>
  </si>
  <si>
    <t>200.00</t>
  </si>
  <si>
    <t>[100500401011] Freidora de Aire Air Fryer MultiTouch Easyways</t>
  </si>
  <si>
    <t>[100500401012] Freidora De Aire Air Fryer Plus 11,6 Lt Easyways</t>
  </si>
  <si>
    <t>400.00</t>
  </si>
  <si>
    <t>[100500501011] Hervidor Heat Control Blanco 1,7 Lt Easyways</t>
  </si>
  <si>
    <t>[100500501012] Hervidor Heat Control Negro 1,7 Lt Easyways</t>
  </si>
  <si>
    <t>[100500601011] Horno Eléctrico Oven Master 23 L Easyways</t>
  </si>
  <si>
    <t>[100500601012] Horno Eléctrico Oven Master 60 L Convección Easyways</t>
  </si>
  <si>
    <t>[100500601013] Horno eléctrico Oven Master 100 L + Convección y Spiedo EasyWays</t>
  </si>
  <si>
    <t>[100500601014] Horno Freidora de Aire Air Fryer Gourmet Pro 20 L Easyways</t>
  </si>
  <si>
    <t>[100500701011] Licuadora de Inmersión Minipimer Full Easyways</t>
  </si>
  <si>
    <t>[100500701012] Licuadora Personal Nutriblender Easyways</t>
  </si>
  <si>
    <t>[100500701013] Licuadora Ultra Roja 2,2L + Vaso to go Easyways</t>
  </si>
  <si>
    <t>[100500701014] Licuadora Ultra Silver 2,2L + Vaso to go Easyways</t>
  </si>
  <si>
    <t>[100500801011] Olla de Cocción Fast Pot 5,7 L Easyways</t>
  </si>
  <si>
    <t>[100500801012] Olla Multiuso Multicooker Fast Pot 7,6 Lt Easyways</t>
  </si>
  <si>
    <t>[100500901011] Parrilla Eléctrica Pitmaster Easyways</t>
  </si>
  <si>
    <t>[100500901012] Parrilla Electrica Smokeless Grill Master Easyways</t>
  </si>
  <si>
    <t>[100500901013] Plancha Waffles Let´s Grill 3 en 1 Easyways</t>
  </si>
  <si>
    <t>[10070050170103] Horno Para Pizza Eléctrico Pizza Oven EasyWays</t>
  </si>
  <si>
    <t>[100706] Set Molinillo Sal Pimienta DAY</t>
  </si>
  <si>
    <t>[10080030280002] Licuadora Crush n' roll Negra 1,5 Litros EasyWays</t>
  </si>
  <si>
    <t>[10080030290007] Licuadora Crush n' roll Silver  1,5 Litros EasyWays</t>
  </si>
  <si>
    <t>[10080030300003] Licuadora Ultra Roja 2,2L + Vaso to go EasyWays</t>
  </si>
  <si>
    <t>[10080030310007] Licuadora Ultra Silver 2,2L + Vaso to go EasyWays</t>
  </si>
  <si>
    <t>[10080050180100] Máquina De Pan Multibread EasyWays</t>
  </si>
  <si>
    <t>[10080050260002] Freidora de Aire Air Fryer Full 10 L EasyWays</t>
  </si>
  <si>
    <t>[10080050270007] Horno Freidora de Aire Air Fryer Gourmet Pro 20 L EasyWays</t>
  </si>
  <si>
    <t>[10080050330007] Horno eléctrico Oven Master 45L+Convección y Spiedo Easyways</t>
  </si>
  <si>
    <t>[10080050340007] Horno Eléctrico Oven Master 60 L Convección EasyWays</t>
  </si>
  <si>
    <t>[10080050350007] Horno Eléctrico Oven Master 100L + Convección EasyWays</t>
  </si>
  <si>
    <t>[10080100220103] Batidora de Pedestal Hook Mixer Rojo EasyWays</t>
  </si>
  <si>
    <t>[10080100220107] Batidora de Pedestal Hook Mixer Plateada EasyWays</t>
  </si>
  <si>
    <t>[10080100230101] Batidora de Pedestal Art Mixer Blanco EasyWays</t>
  </si>
  <si>
    <t>[10080120420040] Máquina Para Leches Vegetales Good Milk 6 en 1 EasyWays</t>
  </si>
  <si>
    <t>[10080130510002] Parrilla Electrica Smokeless Grill Master EasyWays</t>
  </si>
  <si>
    <t>[10080150490002] Hervidor Heat Control Negro 1,7 Lt EasyWays</t>
  </si>
  <si>
    <t>[10080151300002] Hervidor Black 1,7 L EasyWays</t>
  </si>
  <si>
    <t>[10080181200002] Tostador Toast Master 2 rebanadas Negro EasyWays</t>
  </si>
  <si>
    <t>[10090050450000] Parrilla Freidora de Aire Air Fryer Grill EasyWays</t>
  </si>
  <si>
    <t>[10090130460000] Plancha Waffles Let´s Grill 3 en 1 EasyWays</t>
  </si>
  <si>
    <t>[1010] Set De 6 Personas Y 6 Casas De Colores Dëna</t>
  </si>
  <si>
    <t>[10110020560000] Olla de Cocción Fast Pot 5,7 L EasyWays</t>
  </si>
  <si>
    <t>[1015] Set De Persona Y Casa Color Verde Pastel Dëna</t>
  </si>
  <si>
    <t>[1028] Arcoiris De Colores 6Pcs Dëna</t>
  </si>
  <si>
    <t>[1029] Arcoiris De Colores Pastel 6Pcs Dëna</t>
  </si>
  <si>
    <t>[1034] Arcoiris De Colores 12Pcs Dëna</t>
  </si>
  <si>
    <t>[1035] Arcoiris De Colores Pastel 12Pcs Dëna</t>
  </si>
  <si>
    <t>[1036] Set De Auto Y Persona Color Azul Dëna</t>
  </si>
  <si>
    <t>[1052] Arcoiris Nature 6Pcs Dëna</t>
  </si>
  <si>
    <t>[1053] Arcoiris Nature 12Pcs Dëna</t>
  </si>
  <si>
    <t>[1061] Animales Nature 4Pcs Dëna</t>
  </si>
  <si>
    <t>[10644] Tetera De Vidrio 1Lt DAY</t>
  </si>
  <si>
    <t>[10822] Set De 3 Jarros Medidores</t>
  </si>
  <si>
    <t>[10844] Set 2 Tablas De Cortar 2 Tamaños 14 X 24cm - 25X 35cm DAY</t>
  </si>
  <si>
    <t>[111539A] Bandeja Rectangular Angular 44X29 cm Bambú 5Five</t>
  </si>
  <si>
    <t>111539A</t>
  </si>
  <si>
    <t>[116415C] Guirnalda Led 10 Bolas Blanco 165 cm Atmosphera</t>
  </si>
  <si>
    <t>116415C</t>
  </si>
  <si>
    <t>[121312926717] Bandolera Modelo 2926717 Sei</t>
  </si>
  <si>
    <t>[121312926721] Bandolera Modelo 2926721 Sei</t>
  </si>
  <si>
    <t>[134515] Cafetera Italiana acero 6 Tazas Negro 5Five</t>
  </si>
  <si>
    <t>[138868] Zapatero de Acero 64x50x18 Cm Atmosphera Negro</t>
  </si>
  <si>
    <t>[146295J] Alfombra Yute Redonda Con Borde Negro 120 cm Atmosphera</t>
  </si>
  <si>
    <t>146295J</t>
  </si>
  <si>
    <t>607.00</t>
  </si>
  <si>
    <t>[1481123752846] Ampolleta Auto Halógena Singlelight H7 55w Cristal</t>
  </si>
  <si>
    <t>[1481123937937] Ampolleta Auto Halógena Biolight 9007 65/55w White 12v</t>
  </si>
  <si>
    <t>[1483452520904] Sensor Anti Fatiga Driver State Monitor</t>
  </si>
  <si>
    <t>[150287] Hielera Con Tapa Acero Inoxidable 18x18 Cm SecretDeGourmet</t>
  </si>
  <si>
    <t>[1507904554106] Android 2111</t>
  </si>
  <si>
    <t>[1513615220412] TV Streaming Device Chromecast</t>
  </si>
  <si>
    <t>36.00</t>
  </si>
  <si>
    <t>[1514379781861] Monkey Toy Interactivo Azul</t>
  </si>
  <si>
    <t>405.00</t>
  </si>
  <si>
    <t>[1538141179064] Mochila Maternal Pañalera Bebé Freaky Mommy Roja</t>
  </si>
  <si>
    <t>[1538481335277] Candado de Seguridad Con Lector Huella</t>
  </si>
  <si>
    <t>[1541697243401] Sensor Antifatiga DL550A</t>
  </si>
  <si>
    <t>663.00</t>
  </si>
  <si>
    <t>244.00</t>
  </si>
  <si>
    <t>[1549546168927] Cargador SW55</t>
  </si>
  <si>
    <t>[1561394899592] Parrilla Smoker Grill Negra</t>
  </si>
  <si>
    <t>[156173D] Funda Cojin Etnik 40x40 cm Atmosphera</t>
  </si>
  <si>
    <t>156173D</t>
  </si>
  <si>
    <t>7,434.00</t>
  </si>
  <si>
    <t>10,639.00</t>
  </si>
  <si>
    <t>[1565218463197] Repetidor de Wifi Booster</t>
  </si>
  <si>
    <t>[1565277372026] Correa Smartwatch Lhotse SW88 20mm Negra</t>
  </si>
  <si>
    <t>353.00</t>
  </si>
  <si>
    <t>7,986.00</t>
  </si>
  <si>
    <t>247.00</t>
  </si>
  <si>
    <t>[157101] Set de 4 Canastos Yute Emmet Atmosphera</t>
  </si>
  <si>
    <t>163.00</t>
  </si>
  <si>
    <t>111.00</t>
  </si>
  <si>
    <t>[157209] Arrimo Damian 110 X 40 X 85 cm Atmosphera</t>
  </si>
  <si>
    <t>[157266] Costurero Oria 30 Cm De Largo Atmosphera</t>
  </si>
  <si>
    <t>[1574177821495] Smartwatch RD9 Correa Metálica Negra</t>
  </si>
  <si>
    <t>[1585575578419] Sensor Antena GPS para Axon 3.2</t>
  </si>
  <si>
    <t>75.00</t>
  </si>
  <si>
    <t>[1591103835523] GS770 Papago</t>
  </si>
  <si>
    <t>11,380.00</t>
  </si>
  <si>
    <t>[1593115256999] Mascarilla X2 Modelo S KN95 3D Reutilizable (Sobre 2 Unid)</t>
  </si>
  <si>
    <t>86.00</t>
  </si>
  <si>
    <t>[1595007277212] Guantes Latex Médico Blanco X100 Talla L</t>
  </si>
  <si>
    <t>165.00</t>
  </si>
  <si>
    <t>[1595007331468] Cofias Para El Pelo Plisadas 100 Unidades (Azul)</t>
  </si>
  <si>
    <t>[1596549586882] Camara 4k H1 Azul</t>
  </si>
  <si>
    <t>2,409.00</t>
  </si>
  <si>
    <t>1,123.00</t>
  </si>
  <si>
    <t>[1598650124917] Cámara Webcam Full Hd 1080P con Micrófono Levo</t>
  </si>
  <si>
    <t>[1600117183428] Placa Cobre Para Celular Reduce Bacterias Cu+Safe</t>
  </si>
  <si>
    <t>3,536.00</t>
  </si>
  <si>
    <t>[1601323542043] Cargador Smartwatch RD7</t>
  </si>
  <si>
    <t>[1602029190396] Smartwatch Stone M4 Negro GPS</t>
  </si>
  <si>
    <t>[1602163055069] Esterilizador Luz Uv De Bolsillo Sk8 Uvpocket Blanco</t>
  </si>
  <si>
    <t>[160479] Banca Madera Mix Café 105 X 34 X 50 cm 5 Five</t>
  </si>
  <si>
    <t>[1605622069868] Smartwatch SW88 Dorado Correa Rosada Claro</t>
  </si>
  <si>
    <t>[1605624656414] Smartwatch RD7 Plateado Cuero Café Claro</t>
  </si>
  <si>
    <t>[1605624727428] Smartwatch RD7 Cuero Café Claro</t>
  </si>
  <si>
    <t>[1605708086872] Smartwatch RD7 Dark Silver Azul</t>
  </si>
  <si>
    <t>[1605820909877] Cargador Smartwatch SW88</t>
  </si>
  <si>
    <t>[160753] Kit De Vino 4 Piezas Con Caja SecretDeGourmet</t>
  </si>
  <si>
    <t>[161016] Joyero De Bambu Con Espejo 15X15X9 Cm 5Five</t>
  </si>
  <si>
    <t>[1610396246750] SPINNING BIKE MAX 120KG</t>
  </si>
  <si>
    <t>[1610816087324] Correa Smartwatch Lhotse SW88 20mm Negra Roja</t>
  </si>
  <si>
    <t>202.00</t>
  </si>
  <si>
    <t>375.00</t>
  </si>
  <si>
    <t>[1612801611908] Cargador Smartwatch RD9</t>
  </si>
  <si>
    <t>87.00</t>
  </si>
  <si>
    <t>[1616011328526] Guantes Vinilo Azul X100 Talla M</t>
  </si>
  <si>
    <t>[1617981582842] Banco Chile BAG</t>
  </si>
  <si>
    <t>500.00</t>
  </si>
  <si>
    <t>[1619101669158] llave lavaplatos acero opaco</t>
  </si>
  <si>
    <t>[1619101943225] Llave lavaplatos doradas</t>
  </si>
  <si>
    <t>[162085] Bandeja redonda de 35 cm Jacynte mimbre 5Five</t>
  </si>
  <si>
    <t>[1621435991486] package machine 21TP0402PI</t>
  </si>
  <si>
    <t>[1621436042191] blister package 21TP0402PI</t>
  </si>
  <si>
    <t>[1621436109437] Almohadillas de asientos 21TP0402PI</t>
  </si>
  <si>
    <t>[162315A] Espejo Joe Diametro 45 Cm Metal y MDF Atmosphera</t>
  </si>
  <si>
    <t>162315A</t>
  </si>
  <si>
    <t>173.00</t>
  </si>
  <si>
    <t>255.00</t>
  </si>
  <si>
    <t>208.00</t>
  </si>
  <si>
    <t>[1627069056921] SML fitness samples 21TP0522PI</t>
  </si>
  <si>
    <t>432.00</t>
  </si>
  <si>
    <t>562.00</t>
  </si>
  <si>
    <t>1,527.00</t>
  </si>
  <si>
    <t>118.00</t>
  </si>
  <si>
    <t>[1628778259856] T500 21TP0731PI</t>
  </si>
  <si>
    <t>[1628778289266] X8 21TP0731PI</t>
  </si>
  <si>
    <t>[1628778300463] H10 21TP0731PI</t>
  </si>
  <si>
    <t>[1628778335600] IP CAM 3 21TP0731PI</t>
  </si>
  <si>
    <t>[1628778362232] TP05C 21TP0731PI</t>
  </si>
  <si>
    <t>[1628778373680] SMP 7 21TP0731PI</t>
  </si>
  <si>
    <t>[1628801818864] Almohadillas Asiento</t>
  </si>
  <si>
    <t>[1629291104067] Correa Smartwatch Lhotse SW88 20mm Sandía</t>
  </si>
  <si>
    <t>120.00</t>
  </si>
  <si>
    <t>[1629727814806] TP37 dice cup bag</t>
  </si>
  <si>
    <t>1,014.00</t>
  </si>
  <si>
    <t>[1629727823148] TP013 dice cup box</t>
  </si>
  <si>
    <t>239.00</t>
  </si>
  <si>
    <t>[1630371162211] car clearer</t>
  </si>
  <si>
    <t>[1630371207740] 50w +100W+200W</t>
  </si>
  <si>
    <t>[1632149131003] mueñecos chile (zorro)</t>
  </si>
  <si>
    <t>[1632938525133] ID205G 21TP0922PI</t>
  </si>
  <si>
    <t>150.00</t>
  </si>
  <si>
    <t>369.00</t>
  </si>
  <si>
    <t>606.00</t>
  </si>
  <si>
    <t>284.00</t>
  </si>
  <si>
    <t>[1636122379069] solar pannel controler</t>
  </si>
  <si>
    <t>[1637090439300] Bolso para Juguete Flora Y Fauna Pajarito de Mimbre</t>
  </si>
  <si>
    <t>[1637090501146] Calendario 2022 Aves Pajarito de Mimbre</t>
  </si>
  <si>
    <t>[1637682789024] AUDIFONOS I12</t>
  </si>
  <si>
    <t>[1639422799417] Filtro de aire</t>
  </si>
  <si>
    <t>[1641933886673] Camara 4k H1 Plateada</t>
  </si>
  <si>
    <t>[1644258770920] Especiero madera</t>
  </si>
  <si>
    <t>[1644258777141] Panera ceramica</t>
  </si>
  <si>
    <t>[1644258822428] Bowls Metalicos</t>
  </si>
  <si>
    <t>[1644258839009] Caja colación</t>
  </si>
  <si>
    <t>[1644258852971] Maquina para espuma</t>
  </si>
  <si>
    <t>[1644258868016] Especiero Giratorio 6 unis</t>
  </si>
  <si>
    <t>[1644258884424] molinillos sal-pimienta</t>
  </si>
  <si>
    <t>[1644258895286] jarro para guardar ceramica</t>
  </si>
  <si>
    <t>[1644258923159] colador y cortador</t>
  </si>
  <si>
    <t>[1644258979631] tupper tapa madera</t>
  </si>
  <si>
    <t>[1644258989378] Muestra Turbo Grill (Mini parrilla)</t>
  </si>
  <si>
    <t>[1644259023303] Paragua para el vidrio del auto</t>
  </si>
  <si>
    <t>[1644259048756] Fuente para el horno ceramica</t>
  </si>
  <si>
    <t>[1644259059993] Fundas asientos de auto</t>
  </si>
  <si>
    <t>[1644259071820] cobertor de asiento para perro</t>
  </si>
  <si>
    <t>[1644259088244] Bowl con tapa de ceramica</t>
  </si>
  <si>
    <t>[1644259102328] Bowl con tapa de vidrio</t>
  </si>
  <si>
    <t>[1644259122271] Cobertor de auto</t>
  </si>
  <si>
    <t>221.00</t>
  </si>
  <si>
    <t>303.00</t>
  </si>
  <si>
    <t>175.00</t>
  </si>
  <si>
    <t>702.00</t>
  </si>
  <si>
    <t>137.00</t>
  </si>
  <si>
    <t>183.00</t>
  </si>
  <si>
    <t>84.00</t>
  </si>
  <si>
    <t>[1650477967885] Muestra Drone 1080 sdcard</t>
  </si>
  <si>
    <t>[1650478008436] Audifono gamer headphone cable</t>
  </si>
  <si>
    <t>[1650478021227] Audifono gamer headphone inalambrico</t>
  </si>
  <si>
    <t>[1650478034510] Audifono gamer earphone micro</t>
  </si>
  <si>
    <t>[1650478050242] Teclado GAMER COLORES</t>
  </si>
  <si>
    <t>[1650478089929] Control PS4</t>
  </si>
  <si>
    <t>[1650478100917] Control Nintendo</t>
  </si>
  <si>
    <t>[1650478111691] Control Gamer</t>
  </si>
  <si>
    <t>[1650478123588] VRBOX AUDIFONOS</t>
  </si>
  <si>
    <t>[1650478146139] Secador de platos</t>
  </si>
  <si>
    <t>[1650478157760] Mochila tipo patagonia</t>
  </si>
  <si>
    <t>[1650478169323] Mochila Lisa</t>
  </si>
  <si>
    <t>[1650478206093] Mochila tipo bolsa seca</t>
  </si>
  <si>
    <t>[1650478249084] Barra Glory 550</t>
  </si>
  <si>
    <t>[1650478277346] Seca Platos SMP1</t>
  </si>
  <si>
    <t>[1650478290520] Tabla- drenaje</t>
  </si>
  <si>
    <t>[1650478301588] Banano negro</t>
  </si>
  <si>
    <t>[1650478333611] Audifonos inalambricos steven</t>
  </si>
  <si>
    <t>[1651602983648] Pack 5 Unidades Wow Peanut</t>
  </si>
  <si>
    <t>[1651603020408] Barra Wow Peanut</t>
  </si>
  <si>
    <t>215.00</t>
  </si>
  <si>
    <t>94.00</t>
  </si>
  <si>
    <t>107.00</t>
  </si>
  <si>
    <t>[1653404584202] MUESTRA audifono Q20</t>
  </si>
  <si>
    <t>[1653404596846] MUESTRA Audifono T17</t>
  </si>
  <si>
    <t>[1653404613464] MUESTRA Audifono B6</t>
  </si>
  <si>
    <t>[1653404633176] MUESTRA Smartwatch MX1</t>
  </si>
  <si>
    <t>[1653404646981] MUESTRA Proyector PL12</t>
  </si>
  <si>
    <t>[1653404660401] MUESTRA Alcuza redondo con plato</t>
  </si>
  <si>
    <t>[1653404672596] MUESTRA Audifono M2</t>
  </si>
  <si>
    <t>[1653404687721] MUESTRA Audifono M6 PRO</t>
  </si>
  <si>
    <t>[1653404698359] MUESTRA Audifono M13</t>
  </si>
  <si>
    <t>[1653404709747] MUESTRA Audifono i12 511-1</t>
  </si>
  <si>
    <t>[1653404720633] MUESTRA Audifono i12 511-2</t>
  </si>
  <si>
    <t>[1653404731061] MUESTRA Audifono i12 511-3</t>
  </si>
  <si>
    <t>[1653404741817] MUESTRA Audifono i12 511-4</t>
  </si>
  <si>
    <t>480.00</t>
  </si>
  <si>
    <t>1,127.00</t>
  </si>
  <si>
    <t>852.00</t>
  </si>
  <si>
    <t>216.00</t>
  </si>
  <si>
    <t>308.00</t>
  </si>
  <si>
    <t>[1656617537266] MUESTRA Parlante SMP6</t>
  </si>
  <si>
    <t>[1656617557771] MUESTRA Audifonos 618-1</t>
  </si>
  <si>
    <t>[1656617655162] MUESTRA Audifonos 618-10</t>
  </si>
  <si>
    <t>[1656617666249] MUESTRA Audifonos 618-11</t>
  </si>
  <si>
    <t>-922.00</t>
  </si>
  <si>
    <t>-3,035.00</t>
  </si>
  <si>
    <t>180.00</t>
  </si>
  <si>
    <t>[1658434022703] Glory 580/560 roof bars</t>
  </si>
  <si>
    <t>[1658434052995] Glory 500 Roof Bar</t>
  </si>
  <si>
    <t>[1658436173706] Rav 4 roof bar</t>
  </si>
  <si>
    <t>[1658436211628] Rav 4 roof bar RB130.140</t>
  </si>
  <si>
    <t>[1659132834108] ANTIFATIGA SE-3 CON ANTENA GPS</t>
  </si>
  <si>
    <t>[1659987555067] Set 2 Tazas de Vidrio Doble Pared 350 ml Simplit</t>
  </si>
  <si>
    <t>[1659987577541] Set 2 Tazas Mug de Vidrio Doble Pared 300 ml Simplit</t>
  </si>
  <si>
    <t>167.00</t>
  </si>
  <si>
    <t>145.00</t>
  </si>
  <si>
    <t>411.00</t>
  </si>
  <si>
    <t>135.00</t>
  </si>
  <si>
    <t>765.00</t>
  </si>
  <si>
    <t>[1660825216719] SMARTWATCH PARIS D20L</t>
  </si>
  <si>
    <t>[1660825229924] SMARTBAND PARIS M7</t>
  </si>
  <si>
    <t>95.00</t>
  </si>
  <si>
    <t>229.00</t>
  </si>
  <si>
    <t>238.00</t>
  </si>
  <si>
    <t>467.00</t>
  </si>
  <si>
    <t>484.00</t>
  </si>
  <si>
    <t>1,380.00</t>
  </si>
  <si>
    <t>653.00</t>
  </si>
  <si>
    <t>234.00</t>
  </si>
  <si>
    <t>126.00</t>
  </si>
  <si>
    <t>48.00</t>
  </si>
  <si>
    <t>447.00</t>
  </si>
  <si>
    <t>188.00</t>
  </si>
  <si>
    <t>348.00</t>
  </si>
  <si>
    <t>[1661877072053] Cámara de Inspección Baroscopio con Sonda 20 Mts H6</t>
  </si>
  <si>
    <t>[1661894977439] Set 12 Utensilios Cocina Silicona Calipso Simplit</t>
  </si>
  <si>
    <t>-152.00</t>
  </si>
  <si>
    <t>[1662389430959] Set 3 Contenedores Cerámica Hermético Negro Simplit</t>
  </si>
  <si>
    <t>[168857D] Alfombra Yute Natural 120X170 cm Atmosphera</t>
  </si>
  <si>
    <t>168857D</t>
  </si>
  <si>
    <t>[1722782] Set 4 Vasos Estrellas Libbey</t>
  </si>
  <si>
    <t>[172462N] Cojín Inca Algodón Y Poliester 40X40 cm Terracota Atmosphera</t>
  </si>
  <si>
    <t>172462N</t>
  </si>
  <si>
    <t>[172462R] Cojin Inca Algodon Y Poliester 40x40 Ocre Atmosphera</t>
  </si>
  <si>
    <t>172462R</t>
  </si>
  <si>
    <t>[172476] Alfombra Natura De Yute Beige 160X230 cm Atmosphera</t>
  </si>
  <si>
    <t>[172496] Cojín Algodón Y Polister Sand Cop 40X40 cm Atmosphera</t>
  </si>
  <si>
    <t>[176926] Set Tabla + 3 Posillos Aperitivo Black SecretDeGourmet</t>
  </si>
  <si>
    <t>[178520] Cojín Macrame 30X50 cm Atmosphera</t>
  </si>
  <si>
    <t>[178603] Cojin Sequin 30x50 Cm Marfl Atmosphera</t>
  </si>
  <si>
    <t>[179106] Arrimo Madera 2 Cajones Charme 110 X 40 X 85 cm Atmosphera</t>
  </si>
  <si>
    <t>[180000115086] Banano De Paseo Para Perro Mascan</t>
  </si>
  <si>
    <t>[1801080] Jarra Cabos 1.6 Lts</t>
  </si>
  <si>
    <t>[185017] Escritorio Cierna 120x53x77 Cm 5Five</t>
  </si>
  <si>
    <t>[188455] Set Tabla + 3 Posillos Aperitivo Colores SecretDeGourmet</t>
  </si>
  <si>
    <t>[188914] Soporte Madera Con 6 Vasos De Chupito Secret de Gourmet</t>
  </si>
  <si>
    <t>[189717] Bandeja redonda kord 40 cm mimbre 5Five</t>
  </si>
  <si>
    <t>[189720] Bandeja cuadrada Kord 35cm beige mimbre 5Five</t>
  </si>
  <si>
    <t>[194905] Hielera Acero Inox Con Tapa Madera SecretDeGourmet</t>
  </si>
  <si>
    <t>[20-45090] Clear Zinc Pantalla Solar a Base de Mineral SPF 50 Sun Bum</t>
  </si>
  <si>
    <t>20-45090</t>
  </si>
  <si>
    <t>[20-45095] Bálsamo Labial Lip Balm SPF 30 Banana Sun Bum</t>
  </si>
  <si>
    <t>20-45095</t>
  </si>
  <si>
    <t>[20-46022] Bálsamo Labial Lip Balm SPF 30 Pineapple Sun Bum</t>
  </si>
  <si>
    <t>20-46022</t>
  </si>
  <si>
    <t>[20-46025] Bálsamo Sun Bum Labial Lip Balm SPF 30 Key Lime Sun Bum</t>
  </si>
  <si>
    <t>20-46025</t>
  </si>
  <si>
    <t>[20-46026] Bálsamo Labial Lip Balm SPF 30 Mango Sun Bum</t>
  </si>
  <si>
    <t>20-46026</t>
  </si>
  <si>
    <t>[20-50105] Bronceador con Protección Solar SPF 15 Sun Bum</t>
  </si>
  <si>
    <t>20-50105</t>
  </si>
  <si>
    <t>[20-65095] Signature Lip Balm SPF 30</t>
  </si>
  <si>
    <t>20-65095</t>
  </si>
  <si>
    <t>[20000207087] Arnés Anti-pull M Paseo Seguridad Mascotas Perro Mascan</t>
  </si>
  <si>
    <t>[20000208084] Arnés Anti-Pull L Paseo Seguridad Mascotas Perro Mascan</t>
  </si>
  <si>
    <t>[20000209081] Arnés Anti-pull Xl Paseo Seguridad Mascotas Perro</t>
  </si>
  <si>
    <t>[20000805020] Arnés Cruzado Acolchado Talla XS Azul Perros Mascan</t>
  </si>
  <si>
    <t>[20000805090] Arnés Cruzado Acolchado Xs Rojo Perros Mascan</t>
  </si>
  <si>
    <t>[20000805210] Arnés Cruzado Acolchado Xs Fucsia Perros Mascan</t>
  </si>
  <si>
    <t>[20000806020] Arnés Cruzado Acolchado Talla S Azul Perros Mascan</t>
  </si>
  <si>
    <t>[20000806090] Arnés Cruzado Acolchado Talla S Rojo Perros Mascan</t>
  </si>
  <si>
    <t>[20000806210] Arnés Cruzado Acolchado Talla S Fucsia Perros Mascan</t>
  </si>
  <si>
    <t>[20000807090] Arnés Cruzado Acolchado Talla M Rojo Perros Mascan</t>
  </si>
  <si>
    <t>[20000808024] Arnés Cruzado Acolchado Talla L Azul Perros Mascan</t>
  </si>
  <si>
    <t>[20000808090] Arnés Cruzado Acolchado Talla L Rojo Perros Mascan</t>
  </si>
  <si>
    <t>[20000808210] Arnés Cruzado Acolchado Talla L Fucsia Perros Mascan</t>
  </si>
  <si>
    <t>[20001007081] Arnés Noruego Acolchado Talla M Negro Perro Mascan</t>
  </si>
  <si>
    <t>[20001008089] Arnés Noruego Acolchado Talla L Negro Perro Mascan</t>
  </si>
  <si>
    <t>[20001010082] Arnés Noruego Acolchado Talla XXL Negro Perro Mascan</t>
  </si>
  <si>
    <t>[2000110607] Arnés Deportivo De Control S Naranja Perro Mascan</t>
  </si>
  <si>
    <t>[2000110610] Arnés Deportivo De Control S Verde Perro Mascan</t>
  </si>
  <si>
    <t>[2000110621] Arnés Deportivo De Control S Fucsia Perro Mascan</t>
  </si>
  <si>
    <t>[2000110707] Arnés Deportivo De Control M Naranja Perro Mascan</t>
  </si>
  <si>
    <t>[2000110710] Arnés Deportivo De Control M Verde Perro Mascan</t>
  </si>
  <si>
    <t>[2000110721] Arnés Deportivo De Control M Fucsia Perro Mascan</t>
  </si>
  <si>
    <t>[2000110807] Arnés Deportivo De Control L Naranja Perro Mascan</t>
  </si>
  <si>
    <t>[2000110810] Arnés Deportivo De Control L Verde Perro Mascan</t>
  </si>
  <si>
    <t>[2000110907] Arnés Deportivo De Control Xl Naranja Perro Mascan</t>
  </si>
  <si>
    <t>[2000110910] Arnés Deportivo De Control Xl Verde Perro Mascan</t>
  </si>
  <si>
    <t>[2000110921] Arnés Deportivo De Control Xl Fucsia Perro Mascan</t>
  </si>
  <si>
    <t>[2014000011508] Cobertor De Maletero Suv Perro Mascan</t>
  </si>
  <si>
    <t>[2110000040802] Manta Refrescante Refrigerante para Perro Azul L Mascan</t>
  </si>
  <si>
    <t>[2110000040821] Cool Mat L Rosada Bd 00004 Mascan</t>
  </si>
  <si>
    <t>[22130608802] Mochila Boss Green Black Bubba</t>
  </si>
  <si>
    <t>[27123] Revistero Haus Blanco Balvi</t>
  </si>
  <si>
    <t>[30001407091] Correa Ramal Trenzada Roja Perro Mascan</t>
  </si>
  <si>
    <t>[30001415080] Correa Ramal Trenza Negra Perro Mascan</t>
  </si>
  <si>
    <t>[30001415091] Correa Ramal Trenza Roja Perro Mascan</t>
  </si>
  <si>
    <t>[3000171508] Correa Acolchada Reflectante Perros Grandes Mascan</t>
  </si>
  <si>
    <t>[3000181508] Correa Acolchada Reflectante Perros MeDianos Y Chicos</t>
  </si>
  <si>
    <t>[3000200702] Correa Doble Agarre Perro M Azul Mascan</t>
  </si>
  <si>
    <t>[3000200721] Correa Doble Agarre Perro M Fucsia Mascan</t>
  </si>
  <si>
    <t>[3000200802] Correa Doble Agarre Perro L Azul Mascan</t>
  </si>
  <si>
    <t>[3011SET] SET 6 COPAS DE VIDRIO ARBOR VINO 414 ML. LIBBEY</t>
  </si>
  <si>
    <t>3011SET</t>
  </si>
  <si>
    <t>[31129] Puzzle 12Pcs En Estuche Bajo El Mar Mudpuppy</t>
  </si>
  <si>
    <t>[32-100-C4] Termo Liquido 1Lt Mondial Pistacho Thermos</t>
  </si>
  <si>
    <t>32-100-C4</t>
  </si>
  <si>
    <t>[32-100-C5] Termo Liquido 1Lt Mondial Oceano Thermos</t>
  </si>
  <si>
    <t>32-100-C5</t>
  </si>
  <si>
    <t>[3201069000018] Piedras decorativas 350g</t>
  </si>
  <si>
    <t>[3210960000010] Set 4 mini letreros pizarra diseño</t>
  </si>
  <si>
    <t>63.00</t>
  </si>
  <si>
    <t>[3211511000022] VASO ACRILICO VINTAGE</t>
  </si>
  <si>
    <t>[34-100-C5] Thermo Líquido 1Lt New Stone Matero Thermos</t>
  </si>
  <si>
    <t>34-100-C5</t>
  </si>
  <si>
    <t>[34-180-C5] Thermo 1.8Lt Líquido New Stone Matero Thermos</t>
  </si>
  <si>
    <t>34-180-C5</t>
  </si>
  <si>
    <t>[3478] Rompecabezas Con Iluminacion 3D Pequeño Alce Creatto</t>
  </si>
  <si>
    <t>[3522] Rompecabezas Con Iluminacion 3D Grande Tiburon Creatto</t>
  </si>
  <si>
    <t>[3539] Rompecabezas Con Iluminacion 3D Grande Unicornio Creatto</t>
  </si>
  <si>
    <t>[36712] Tigre Siberiano 300 Pcs Peligro De Extincion Mudpuppy</t>
  </si>
  <si>
    <t>[36860] Puzzle 1000 Pcs Be Kind Mudpuppy</t>
  </si>
  <si>
    <t>[39279] Puzzle 12Pcs En Estuche Bailarinas Mudpuppy</t>
  </si>
  <si>
    <t>[3950032] Mortero Blanco Con Tapa BERGHOFF</t>
  </si>
  <si>
    <t>[3950087] Tabla Bambú Leo Ranurada BERGHOFF</t>
  </si>
  <si>
    <t>[45744] Puzzle 100Pcs Brilla En La Oscuridad Bajo El Mar Mudpuppy</t>
  </si>
  <si>
    <t>[45935] Puzzle 12Pcs En Estuche Castillo De Princesas Mudpuppy</t>
  </si>
  <si>
    <t>[47465] Puzzle 100Pcs Que Brilla En La Oscuridad, La Selva Mudpuppy</t>
  </si>
  <si>
    <t>[49452] Lámpara Exterior 20x24cm Negra a Pilas DAY</t>
  </si>
  <si>
    <t>[52063] Puzzle 12Pcs En Estuche Espacio Exterior Mudpuppy</t>
  </si>
  <si>
    <t>[53251] Puzzle 1000Pcs Lapices Vintage Con Aluminio Mudpuppy</t>
  </si>
  <si>
    <t>[53824] Puzzle 500Pcs Little Feminist Mudpuppy</t>
  </si>
  <si>
    <t>[53893] Rollo De Actividades Dinosaurios Mudpuppy</t>
  </si>
  <si>
    <t>[56948] Puzzle 36Pcs En Bolso Unicornios Mágicos Mudpuppy</t>
  </si>
  <si>
    <t>[57266] Puzzle 300Pcs Con Forma Selva Mudpuppy</t>
  </si>
  <si>
    <t>[57273] Puzzle 300Pcs Con Forma Oceano Mudpuppy</t>
  </si>
  <si>
    <t>[57280] Puzzle 300Pcs Con Forma Dinosaurios Mudpuppy</t>
  </si>
  <si>
    <t>[57297] Puzzle 100Pcs Glitter Sirenas Mudpuppy</t>
  </si>
  <si>
    <t>[57303] Puzzle 100Pcs Con Aluminio Tiburones Mudpuppy</t>
  </si>
  <si>
    <t>[57556] Puzzle 42Pcs Con Dibujos Secretos Espacio Exterior Mudpuppy</t>
  </si>
  <si>
    <t>[57792] Puzzle 500Pcs Alcachofa Floral Mudpuppy</t>
  </si>
  <si>
    <t>[57839] Puzzle 500Pcs Flores De Andy Warhol Mudpuppy</t>
  </si>
  <si>
    <t>[57914] Puzzle 500Pcs Unicornio Leyendo Mudpuppy</t>
  </si>
  <si>
    <t>[60136] 2 Puzzles Con Forma 650Pcs Queen Of The Stacks Mudpuppy</t>
  </si>
  <si>
    <t>[60204] Rollo De Actividades Animales De La Selva Mudpuppy</t>
  </si>
  <si>
    <t>[60464] Puzzle 100Pcs Doble Mundo Animal Mudpuppy</t>
  </si>
  <si>
    <t>[60730] Puzzle 100Pcs Doble Perros Y Gatos Mudpuppy</t>
  </si>
  <si>
    <t>[614143600036] Aromatizador de Auto 8 ml Ipanema Spot Essence</t>
  </si>
  <si>
    <t>[6181075] Puzzle 60 Cs Ferry Scratch Europe</t>
  </si>
  <si>
    <t>[6181076] Puzzle 150Pcs Mapa Del Mundo Scratch Europe</t>
  </si>
  <si>
    <t>[6181088] Cubos Para Apilar Incluye Autos Scratch Europe</t>
  </si>
  <si>
    <t>[6181090] Puzzle 60Pcs Princesa Scratch Europe</t>
  </si>
  <si>
    <t>[6181091] Puzzle 40Pcs Dinosaurios Scratch Europe</t>
  </si>
  <si>
    <t>[6181095] Puzzle 200Pcs Jungla Scratch Europe</t>
  </si>
  <si>
    <t>[6181103] Casa De Juegos La Tienda Scratch Europe</t>
  </si>
  <si>
    <t>[6181104] Casa De Juegos Hospital Scratch Europe</t>
  </si>
  <si>
    <t>[6181105] Casa De Juegos La Casa Scratch Europe</t>
  </si>
  <si>
    <t>[6181110] Puzzle 36Pcs De Piso, Safari Scratch Europe</t>
  </si>
  <si>
    <t>[6181135] Puzzle 40Pcs Con Forma Pavo Real Scratch Europe</t>
  </si>
  <si>
    <t>[6181136] Puzzle 59Pcs Con Forma Tigre Scratch Europe</t>
  </si>
  <si>
    <t>[6181140] Puzzle 39Pcs Doble Con Forma Buho Scratch Europe</t>
  </si>
  <si>
    <t>[6181195] Puzzle 30Pcs Con Forma Dinosaurio Scratch Europe</t>
  </si>
  <si>
    <t>[6181220] Puzzle Progresivo Vehiculos 5 Puzzles Scratch Europe</t>
  </si>
  <si>
    <t>[6181222] Puzzle Progresivo Safari 5 Puzzles Scratch Europe</t>
  </si>
  <si>
    <t>[6182204] Jungla Juego De Mesa Scratch Europe</t>
  </si>
  <si>
    <t>[6182205] Encuentra Un Pez Juego De Mesa Scratch Europe</t>
  </si>
  <si>
    <t>[6182251] Koala Juego De Ingenio Scratch Europe</t>
  </si>
  <si>
    <t>[6182254] Pijama Party Juego De Ingenio Scratch Europe</t>
  </si>
  <si>
    <t>[62345] Puzzle 500Pcs Mariposas Mudpuppy</t>
  </si>
  <si>
    <t>[62598] Puzzle 500Pcs Ojos En El Jardin Mudpuppy</t>
  </si>
  <si>
    <t>[63724] Puzzle 300Pcs Con Forma Bosque Mudpuppy</t>
  </si>
  <si>
    <t>[64080] 2 Puzzles Con Forma 850Pcs Christian Lacroix Mudpuppy</t>
  </si>
  <si>
    <t>[6500071503] Fuente De Agua Cascada Std Blanco</t>
  </si>
  <si>
    <t>[659525598679] Difusor de Varillas 150ml Verbena Citrus Spot Essence</t>
  </si>
  <si>
    <t>[659525598693] Difusor de Varillas 150ml Ipanema Spot Essence</t>
  </si>
  <si>
    <t>[659525598716] Difusor de Varillas 150ml Coco Lime Spot Essence</t>
  </si>
  <si>
    <t>[659525598990] Refill Difusor de Varillas 250ml Coco Lime Spot Essence</t>
  </si>
  <si>
    <t>[659525599003] Refill Difusor de Varillas 250ml Verbena Citrus Spot Essence</t>
  </si>
  <si>
    <t>[659525599027] Refill Difusor de Varillas 250ml Ipanema Spot Essence</t>
  </si>
  <si>
    <t>[66559856061451] Muestra Proyector Aao 2</t>
  </si>
  <si>
    <t>[66559859669124] Muestra Proyector Aao 3</t>
  </si>
  <si>
    <t>[66633] Puzzle 300Pcs Con Forma Safari Mudpuppy</t>
  </si>
  <si>
    <t>[66671] Puzzle 500Pcs Safari Pintado Mudpuppy</t>
  </si>
  <si>
    <t>[66782882621304] Roof Bar Variado</t>
  </si>
  <si>
    <t>[66782906770403] Winebox sample 1022-5</t>
  </si>
  <si>
    <t>[66782909003418] Winebox Sample 1022-6</t>
  </si>
  <si>
    <t>122.00</t>
  </si>
  <si>
    <t>162.00</t>
  </si>
  <si>
    <t>187.00</t>
  </si>
  <si>
    <t>[67135] Puzzle 300Pcs Perezoso Pigmeo Peligro De Extinción Mudpuppy</t>
  </si>
  <si>
    <t>[67142] Puzzle 300Pcs Elefante Asiático Peligro Extinción Mudpuppy</t>
  </si>
  <si>
    <t>55.00</t>
  </si>
  <si>
    <t>566.00</t>
  </si>
  <si>
    <t>[67337648026851] MUEBLES EXHIBIDORES PARA AUDIFONOS RM12</t>
  </si>
  <si>
    <t>160.00</t>
  </si>
  <si>
    <t>[67414791217036] MUESTRA Audifono T58</t>
  </si>
  <si>
    <t>[67414791952688] MUESTRA Audifonos MS01</t>
  </si>
  <si>
    <t>[67414792729571] MUESTRA Audifono 111-1</t>
  </si>
  <si>
    <t>[67414793517640] MUESTRA Smartwatch GPS CR130</t>
  </si>
  <si>
    <t>[67414809824183] MLL Camara dvr 1080p 111-2</t>
  </si>
  <si>
    <t>[67414812797526] MUESTRA Termo 111-4</t>
  </si>
  <si>
    <t>[67414820120443] MUESTRA Caja vino VINOTECA</t>
  </si>
  <si>
    <t>[67545214667077] MLL Cable Camara 50 mts</t>
  </si>
  <si>
    <t>[67739] Puzzle 75Pcs Lenticular Rugido De Dinosaurio Mudpuppy</t>
  </si>
  <si>
    <t>[67784] Juego De Mesa Chomp Champ Mudpuppy</t>
  </si>
  <si>
    <t>347.00</t>
  </si>
  <si>
    <t>1,556.00</t>
  </si>
  <si>
    <t>1,143.00</t>
  </si>
  <si>
    <t>2,141.00</t>
  </si>
  <si>
    <t>2,070.00</t>
  </si>
  <si>
    <t>61.00</t>
  </si>
  <si>
    <t>72.00</t>
  </si>
  <si>
    <t>125.00</t>
  </si>
  <si>
    <t>205.00</t>
  </si>
  <si>
    <t>194.00</t>
  </si>
  <si>
    <t>85.00</t>
  </si>
  <si>
    <t>184.00</t>
  </si>
  <si>
    <t>189.00</t>
  </si>
  <si>
    <t>[68321385498620] Botella Térmica Coihue White 800 ml Lhotse (Tamaño Único, Blanco)</t>
  </si>
  <si>
    <t>[68321385498620-FF] Botella Térmica Coihue White 800 ml Lhotse</t>
  </si>
  <si>
    <t>68321385498620-FF</t>
  </si>
  <si>
    <t>[68433275901113] RM12 BLANCO</t>
  </si>
  <si>
    <t>80.00</t>
  </si>
  <si>
    <t>[68433276883711] RM12 NEGRO</t>
  </si>
  <si>
    <t>[68433278516107] RM12 CELESTE</t>
  </si>
  <si>
    <t>[68433280161720] RM12 ROSADO</t>
  </si>
  <si>
    <t>[68433281942863] Proyector PL05 - Dummy</t>
  </si>
  <si>
    <t>[68433283717553] Proyector home 360 - Dummy</t>
  </si>
  <si>
    <t>[68433285199445] Proyector Infinity - Dummy</t>
  </si>
  <si>
    <t>[68433336255939] MLL Proyector G17</t>
  </si>
  <si>
    <t>[68433337529096] MLL Proyector G17 2M</t>
  </si>
  <si>
    <t>[68433340544078] MUESTRA Maleta + Bolsa</t>
  </si>
  <si>
    <t>[68433354409679] MLL Camara auto bebe</t>
  </si>
  <si>
    <t>[68433359013019] MUESTRA Botella 502-27</t>
  </si>
  <si>
    <t>[68433360148837] MUESTRA Botella 502-28</t>
  </si>
  <si>
    <t>[68617959527128] Proyector Focus Mini - Dummy</t>
  </si>
  <si>
    <t>[68617980049160] Car fridge 12L</t>
  </si>
  <si>
    <t>[68617981173073] Car fridge 15L</t>
  </si>
  <si>
    <t>[68617982138107] Car fridge 10L</t>
  </si>
  <si>
    <t>[68617983132574] Bbq indoor</t>
  </si>
  <si>
    <t>[68617984529773] Mochila colores</t>
  </si>
  <si>
    <t>[68617985384626] Mochila computador</t>
  </si>
  <si>
    <t>[68617986250710] Tetera Lia</t>
  </si>
  <si>
    <t>2,073.00</t>
  </si>
  <si>
    <t>2,897.00</t>
  </si>
  <si>
    <t>[68911622143156] Mochila computador LEVO</t>
  </si>
  <si>
    <t>[68911624368184] Mochila Outdoor Lhotse</t>
  </si>
  <si>
    <t>[68911626126569] Glass cover</t>
  </si>
  <si>
    <t>[6902221296276] Clip Diseño Diamante Rose Gold 15 U Brando</t>
  </si>
  <si>
    <t>[6902221296382] Lápiz De Silicona Diseño De Sirena Celeste Brando</t>
  </si>
  <si>
    <t>[6902221297877] Juego De Mesa Portátil Backgammon Brando</t>
  </si>
  <si>
    <t>[6902221314598] Termo Mug Botón Dispensador Antiderrame 450ml Rosa Brando</t>
  </si>
  <si>
    <t>[6902221316967] Mascarilla Bubba Mask Chita Bubba Bags</t>
  </si>
  <si>
    <t>[6902221317032] Mascarilla Bubba Mask Wild Chita S/M Bubba Bags</t>
  </si>
  <si>
    <t>[6902221317094] Mascarilla Bubba Mask Chita S/M Bubba Bags</t>
  </si>
  <si>
    <t>[6902221318817] Botella De Vidrio Con Infusión 410Ml Verde Brando</t>
  </si>
  <si>
    <t>[6902221319104] Mascarilla Bubba Mask Piton Bubba Bags</t>
  </si>
  <si>
    <t>[6902221319111] Mascarilla Bubba Mask Piton S/M Bubba Bags</t>
  </si>
  <si>
    <t>[6902221322814] Mascarilla Summer Mask Coral Talla S Bubba Bags</t>
  </si>
  <si>
    <t>[6902221322838] Mascarilla Summer Mask Neo Mint Talla S Bubba Bags</t>
  </si>
  <si>
    <t>[6902221322845] Mascarilla Summer Mask Camberry Talla S Bubba Bags</t>
  </si>
  <si>
    <t>[6902221322852] Mascarilla Summer Mask Bluecam Talla S Bubba Bags</t>
  </si>
  <si>
    <t>[6902221322883] Mascarilla Bubba Summer Mask Wild Yellow S/M Bubba Bags</t>
  </si>
  <si>
    <t>[6902221322937] Mascarilla Summer Mask Neo Mint Kids Bubba Bags</t>
  </si>
  <si>
    <t>[6902221322944] Mascarilla Bubba Summer Mask Camberry Kids Bubba Bags</t>
  </si>
  <si>
    <t>[6902221323545] Mascarilla BLVCK Summer Mask Camo Talla S/M Bubba Bags</t>
  </si>
  <si>
    <t>[6902221324078] Mascarilla BLVCK Summer Mask Light Camo Talla S/M Bubba Bags</t>
  </si>
  <si>
    <t>[6902221324641] Set 3 Brochas de Maquillaje Brando</t>
  </si>
  <si>
    <t>[6902221325891] Organizador de Refrigerador 12 Huevos Brando</t>
  </si>
  <si>
    <t>[6902221326225] Babero Silicona Azure Brando</t>
  </si>
  <si>
    <t>[6902221326232] Babero Silicona Rose Brando</t>
  </si>
  <si>
    <t>[6902221335241] Funda Notebook Azul Brando</t>
  </si>
  <si>
    <t>[6902221335258] Funda Notebook Negro Brando</t>
  </si>
  <si>
    <t>[6902221341105] Mascarilla Ultra Light Strawberry Regular Bubba Bags</t>
  </si>
  <si>
    <t>[6902221341129] Mascarilla Bubba Mask Ultra Light Clay Talla S Bubba Bags</t>
  </si>
  <si>
    <t>[6902221341167] Mascarilla Bubba Mask Ultra Light Mint Talla S Bubba Bags</t>
  </si>
  <si>
    <t>[6902221341181] Mascarilla Bubba Mask Ultra Light Mimosa Talla S Bubba Bags</t>
  </si>
  <si>
    <t>[6902221341198] Mascarilla Ultra Light Strawberry Talla S Bubba Bags</t>
  </si>
  <si>
    <t>[6902221341204] Mascarilla Bubba Mask Ultra Light Dots Talla S Bubba Bags</t>
  </si>
  <si>
    <t>[6902221341228] Mascarilla Ultra Light Pinky Animals Kids Bubba Bags</t>
  </si>
  <si>
    <t>[6902221341235] Mascarilla Ultra Light Minty Animals Kids Bubba Bags</t>
  </si>
  <si>
    <t>[6902221341983] Mascarilla Bubba Mask Ultra Light Ocean Bubba Bags</t>
  </si>
  <si>
    <t>[6902221342003] Mascarilla Bubba Mask Ultra Light Coral Bubba Bags</t>
  </si>
  <si>
    <t>[6902221342027] Mascarilla Bubba Mask Ultra Light Sunset Bubba Bags</t>
  </si>
  <si>
    <t>[6902221342034] Mascarilla Bubba Mask Ultra Light Moss Bubba Bags</t>
  </si>
  <si>
    <t>[6902221342058] Mascarilla Bubba Mask Ultra Light Ocean Talla S Bubba Bags</t>
  </si>
  <si>
    <t>[6902221342089] Mascarilla Bubba Mask Ultra Light Moss Talla S Bubba Bags</t>
  </si>
  <si>
    <t>[6902221342553] Pack 3 Mascarillas Ultralight Marine Kids Bubba Bags</t>
  </si>
  <si>
    <t>[6902221342591] Mascarilla Bubba Mask Ultra Light Sweet Cotton Bubba Bags</t>
  </si>
  <si>
    <t>[6902221342621] Mascarilla Bubba Mask Ultralight Lemonade Regular Bubba Bags</t>
  </si>
  <si>
    <t>[6902221342645] Mascarilla Ultra Light Sweet Cotton Talla S Bubba Bags</t>
  </si>
  <si>
    <t>[6902221342652] Mascarilla Bubba Mask Ultra Light Azulino Talla S Bubba Bags</t>
  </si>
  <si>
    <t>[6902221342683] Mascarilla Bubba Mask Ultralight Talla S Lemonade Bags</t>
  </si>
  <si>
    <t>[6902221414823] Estuche Cosmetiquero To Go Onyx Bubba Essentials</t>
  </si>
  <si>
    <t>[6902221441201] Funda Laptop Classic Onyx 13" Bubba Essentials</t>
  </si>
  <si>
    <t>[6902221442192] Bolso Sporty Bag Originals Matte Blossom Bubba Essentials</t>
  </si>
  <si>
    <t>[6903421324912] Mascarilla Summer Mask Coral Kids Bubba Bags</t>
  </si>
  <si>
    <t>[6909721325543] Canister Contenedor Hermético 450ml Brando</t>
  </si>
  <si>
    <t>[69340337962010] Muebles Parlantes Tune Up</t>
  </si>
  <si>
    <t>[69348994953762] Car cover net</t>
  </si>
  <si>
    <t>[69653484984761] CAJA Audifonos Gamer Thunder</t>
  </si>
  <si>
    <t>[69653486293127] CAJA Teclado Gamer Storm</t>
  </si>
  <si>
    <t>[69653487487038] CAJA Kit teclado + mouse Levo</t>
  </si>
  <si>
    <t>114.00</t>
  </si>
  <si>
    <t>[69653491094344] CAJA Smartband R01 Blue</t>
  </si>
  <si>
    <t>[69653492427642] CAJA Smartband R01 Pink</t>
  </si>
  <si>
    <t>[69653493886110] CAJA Smartwatch Live Mini 206 Verde</t>
  </si>
  <si>
    <t>[69653495999708] CAJA Smartwatch Live Mini 206 Negro</t>
  </si>
  <si>
    <t>[69653497087357] Caja Smartwatch Live Mini 206 Rosado</t>
  </si>
  <si>
    <t>[69653596768424] Melollevo Compostable Bag 29,5x48cm</t>
  </si>
  <si>
    <t>5,000.00</t>
  </si>
  <si>
    <t>[69653598176576] Lhotse Compostable Bag 29.5x48cm</t>
  </si>
  <si>
    <t>2,400.00</t>
  </si>
  <si>
    <t>[69653599249811] Melollevo Compostable Bag 48x48cm</t>
  </si>
  <si>
    <t>5,300.00</t>
  </si>
  <si>
    <t>[69653600180380] Lhotse Compostable Bag 48x48cm</t>
  </si>
  <si>
    <t>2,500.00</t>
  </si>
  <si>
    <t>[69653601317354] Melollevo Compostable Bag 25*40cm</t>
  </si>
  <si>
    <t>10,300.00</t>
  </si>
  <si>
    <t>[69653602134992] Lhotse Compostable Bag 25*40cm</t>
  </si>
  <si>
    <t>5,100.00</t>
  </si>
  <si>
    <t>407.00</t>
  </si>
  <si>
    <t>[69875994809889] LIA cast iron casserole</t>
  </si>
  <si>
    <t>[69875997006865] LIA Stainless steel cassrole with lid</t>
  </si>
  <si>
    <t>[70068917703813] ERMLL Pick Up Pad 5 bicicletas</t>
  </si>
  <si>
    <t>[70135] Puzzle 60Pcs Rascar Y Oler Frutas Cosmicas Mudpuppy</t>
  </si>
  <si>
    <t>[70195453061666] Parlante TUNE UP NEGRO</t>
  </si>
  <si>
    <t>[70195453981273] Parlante TUNE UP VERDE</t>
  </si>
  <si>
    <t>[70195454617300] Parlante TUNE UP ROJO</t>
  </si>
  <si>
    <t>[70195455304569] Parlante TUNE UP AZUL</t>
  </si>
  <si>
    <t>[70197502690522] Glass GUN 121-2</t>
  </si>
  <si>
    <t>[70197505407304] GPS WATCH MG02</t>
  </si>
  <si>
    <t>[70197510577926] RACKET Padel 121-3</t>
  </si>
  <si>
    <t>[70296] Juego De Mesa Aventura De Un Pingüino En Un Iceberg Mudpuppy</t>
  </si>
  <si>
    <t>[70302] Juego De Mesa Safari De Leones Mudpuppy</t>
  </si>
  <si>
    <t>[70326] Juego De Mesa Encuentra A Los Amigos Del Bosque Mudpuppy</t>
  </si>
  <si>
    <t>[70447869307288] Spanish KEYBOARD camara inspeccion</t>
  </si>
  <si>
    <t>[70782661369782] Cortador Multiple Cocina</t>
  </si>
  <si>
    <t>[70907190854055] Soporte cocina blanco</t>
  </si>
  <si>
    <t>[70907192757761] Soporte cocina Negro</t>
  </si>
  <si>
    <t>[70907194567594] Centrifugador</t>
  </si>
  <si>
    <t>[70907196536306] Colador</t>
  </si>
  <si>
    <t>[70907198089005] SECADOR Lavaplato</t>
  </si>
  <si>
    <t>[70907200116752] Colador 2</t>
  </si>
  <si>
    <t>[70907201771012] Colador 3</t>
  </si>
  <si>
    <t>[70907203461725] Colador 4</t>
  </si>
  <si>
    <t>[70907205129301] Contenedor 1 lts plastico</t>
  </si>
  <si>
    <t>[70907207087415] Contenedor 1,55lts plastico</t>
  </si>
  <si>
    <t>[70907209276689] Contenedor 850ml</t>
  </si>
  <si>
    <t>[70907211091358] Contenedor 1600ml</t>
  </si>
  <si>
    <t>[70907212944338] Contenedor 2800ml</t>
  </si>
  <si>
    <t>[70921709583422] Telon Proyector 100 pulgadas electrico</t>
  </si>
  <si>
    <t>[71244] Vela Led 7,5X15 cm DAY</t>
  </si>
  <si>
    <t>[72178] Caja Almacenamiento Plegable 33X24,5X15 Blanco Day</t>
  </si>
  <si>
    <t>[72191] Juego De Mesa Fiesta De Monos En El Bosque Mudpuppy</t>
  </si>
  <si>
    <t>[72383] Caja De Almacenamiento Plegable 33X24.5X15 cm Gris DAY</t>
  </si>
  <si>
    <t>[72389] Caja De Almacenamiento Plegable 33X24.5X15 cm DAY</t>
  </si>
  <si>
    <t>[72491] Canasto Yute Natural 38x34 cm DAY</t>
  </si>
  <si>
    <t>[72633] Organizador Bambu DAY</t>
  </si>
  <si>
    <t>[72657] Perchero de Pared 5 Ganchos Negro DAY</t>
  </si>
  <si>
    <t>[72746] Huevos Timer Colores</t>
  </si>
  <si>
    <t>[731144] Repisa Blanca 50X10X4.5 cm DAY</t>
  </si>
  <si>
    <t>[731145] Repisa Galeria Blanco 100X10X4.5 cm DAY</t>
  </si>
  <si>
    <t>[731154] Porta Zapatos 65x29x74 cm Metal con Plástico Negro DAY</t>
  </si>
  <si>
    <t>[731176] Mesa 30X70Cm Metal Mdf DAY</t>
  </si>
  <si>
    <t>[731177] Mesa Lateral Mdf Y Metal 55X40 cm DAY</t>
  </si>
  <si>
    <t>[731192] Mesa 40X50Cm Metal Mdf Negro DAY</t>
  </si>
  <si>
    <t>[73132] Repisa Bambú 75X10X4.5 cm DAY</t>
  </si>
  <si>
    <t>[73730] Repisa 55X15X9 cm Metal Negro DAY</t>
  </si>
  <si>
    <t>[73849] Caja De Almacenamiento Plegable 33X24,5X15 cm DAY</t>
  </si>
  <si>
    <t>[74048] Maquina De Pastas DAY</t>
  </si>
  <si>
    <t>[74049] Set De 3 Contenedores De Vidrio Con Tapas Plasticas DAY</t>
  </si>
  <si>
    <t>[74173] Tabla Aperitivo 26X15X3Cm DAY</t>
  </si>
  <si>
    <t>[745853438517] Aromatizador de auto 8 ml Berries Blossom Spot Essence</t>
  </si>
  <si>
    <t>[745853438524] Aromatizador de Auto 8 ml Hawaii Spot Essence</t>
  </si>
  <si>
    <t>[745853438661] Home Spray LH 500ml Ambar Coco Lime Spot Essence</t>
  </si>
  <si>
    <t>[745853438685] Home Spray LH 500ml Ambar Ipanema Spot Essence</t>
  </si>
  <si>
    <t>[745853438722] Home Spray LH 500ml Ambar Verbena Citrus Spot Essence</t>
  </si>
  <si>
    <t>[745853438753] Difusor de Varillas 150ml Berries Blossom Spot Essence</t>
  </si>
  <si>
    <t>[745853438760] Difusor de Varillas 150ml Hawaii Spot Essence</t>
  </si>
  <si>
    <t>[745853438784] Refill Difusor Varillas 250ml Berries Blossom Spot Essence</t>
  </si>
  <si>
    <t>[745853438791] Refill Difusor de Varillas 250ml Hawaii Spot Essence</t>
  </si>
  <si>
    <t>[745853438944] Home Spray LH 500ml Ambar Hawaii Spot Essence</t>
  </si>
  <si>
    <t>[745853438975] Home Spray LH 500ml Ambar Berries Blossom Spot Essence</t>
  </si>
  <si>
    <t>[7500021502] Varilla Extensible Con Led Std Azul</t>
  </si>
  <si>
    <t>[7500021521] Varilla Extensible Con Led Std Fucsia</t>
  </si>
  <si>
    <t>[7500030702] Juguete Dispensador Para Gato M Azul</t>
  </si>
  <si>
    <t>[7500030721] Juguete Dispensador Para Gato M Fucsia</t>
  </si>
  <si>
    <t>[7500030802] Juguete Dispensador Para Gato L Azul</t>
  </si>
  <si>
    <t>[7500030821] Juguete Dispensador Para Gato L Fucsia</t>
  </si>
  <si>
    <t>[75095] Set 3 Tablas De Cortar Bamboo Incluye Cuerda DAY</t>
  </si>
  <si>
    <t>[751178] Mesa Lateral Mdf Metal 70 X 35 cm DAY</t>
  </si>
  <si>
    <t>[757450527655] Crema Tratamiento Para El Pelo Con Extracto De Uva Sheet</t>
  </si>
  <si>
    <t>[757450527815] Mascarilla Rescue Sos De Colágeno Vegano De Champiñón Sheet</t>
  </si>
  <si>
    <t>[757450527839] Mascarilla Radiance Cítricos Para Piel Más Radiante Sheet</t>
  </si>
  <si>
    <t>[757450527891] Suplemento Alimenticio Para Mejorar Aspecto De La Piel Sheet</t>
  </si>
  <si>
    <t>[757450527945] Serum Regenerador De Argan Sheet</t>
  </si>
  <si>
    <t>[764451134775] Cubo Tunel para Gatos Gris Mascan</t>
  </si>
  <si>
    <t>[764451134782] Cama Nido Gato Plegable Mascan</t>
  </si>
  <si>
    <t>[77915] Caja De Organización Para Té De Bambú DAY</t>
  </si>
  <si>
    <t>[7804683440015] Snack Para Perros Meat Sticks Sin aditivos South Bites</t>
  </si>
  <si>
    <t>[7804683440022] Snack Para Perros Premium Pipes Sin aditivos South Bites</t>
  </si>
  <si>
    <t>[7804683440039] Snack Para Perros Protein Cubes Sin aditivos South Bites</t>
  </si>
  <si>
    <t>[7804683440046] Snack Para Perros Heart Chips Sin aditivos South Bites</t>
  </si>
  <si>
    <t>[781159758591] Aromatizador de Auto 8ml Monoi Spot Essence</t>
  </si>
  <si>
    <t>[788115359151] Aromatizador de Auto 8 ml Coco Lime Spot Essence</t>
  </si>
  <si>
    <t>[799192097485] Difusor de Varillas 150ml Teakwood Spot Essence</t>
  </si>
  <si>
    <t>[799192097492] Difusor de Varillas 150ml Fig Velvet Spot Essence</t>
  </si>
  <si>
    <t>[799192097751] Refill Difusor de Varillas 250ml Teakwood Spot Essence</t>
  </si>
  <si>
    <t>[799192097775] Refill Difusor de Varillas 250ml Sandalwood Spot Essence</t>
  </si>
  <si>
    <t>[799192097812] Refill Difusor de Varillas 250ml Fig Velvet Spot Essence</t>
  </si>
  <si>
    <t>[799192098178] Spray Home LH 500ml Ambar Sandalwood Spot Essence</t>
  </si>
  <si>
    <t>[80-41055] Mascarilla Capilar Revitalizante Sun Bum</t>
  </si>
  <si>
    <t>80-41055</t>
  </si>
  <si>
    <t>[9500021503] Base Para Pala Sanitaria Std Blanco</t>
  </si>
  <si>
    <t>[A320] Convertidor A2z Is A Post Mount Mantiene Disc A2Z</t>
  </si>
  <si>
    <t>A320</t>
  </si>
  <si>
    <t>[ART-A009] Juego de Memoria Cube it! - Artists Imanix</t>
  </si>
  <si>
    <t>ART-A009</t>
  </si>
  <si>
    <t>[ART-F009] Juego de Memoria Rostros  de Artistas Cube it! Imanix</t>
  </si>
  <si>
    <t>ART-F009</t>
  </si>
  <si>
    <t>[AWS40-MORADA] Correa Silicona Para AWatch 38/40mm Morada</t>
  </si>
  <si>
    <t>AWS40-MORADA</t>
  </si>
  <si>
    <t>46.00</t>
  </si>
  <si>
    <t>[AWS44-BARBIE-PINK] Correa Silicona Para AWatch 42/44 Barbie Pink</t>
  </si>
  <si>
    <t>AWS44-BARBIE-PINK</t>
  </si>
  <si>
    <t>[Acrilico1970] Caja  Marcadores Acrilicos 12 colores Dr. Markers</t>
  </si>
  <si>
    <t>Acrilico1970</t>
  </si>
  <si>
    <t>[B0619] Espejo 3D Metal Dorado BVS</t>
  </si>
  <si>
    <t>B0619</t>
  </si>
  <si>
    <t>[BB24009P] Mamadera 150 Ml Kaki Elhee</t>
  </si>
  <si>
    <t>BB24009P</t>
  </si>
  <si>
    <t>[BB33006P] Mamadera 330 Ml Arena Elhee</t>
  </si>
  <si>
    <t>BB33006P</t>
  </si>
  <si>
    <t>[BG-8511-MBG] Sartén Orion 28 cm De Aluminio Forjado</t>
  </si>
  <si>
    <t>BG-8511-MBG</t>
  </si>
  <si>
    <t>[BGMP-3305] Wok 28 cm Aluminio Forjado Gravity</t>
  </si>
  <si>
    <t>BGMP-3305</t>
  </si>
  <si>
    <t>[BGZIPLAZ] Maleta Grande BG Berlin ZIP² Cierre Seguridad 125 Lt (Azul)</t>
  </si>
  <si>
    <t>BGZIPLAZ</t>
  </si>
  <si>
    <t>[BGZIPLNE] Maleta Grande BG Berlin ZIP² Cierre Seguridad 125 Lt (Negro)</t>
  </si>
  <si>
    <t>BGZIPLNE</t>
  </si>
  <si>
    <t>[BGZIPLROS] Maleta Grande BG Berlin ZIP² Cierre Seguridad 125 Lt (Rosa)</t>
  </si>
  <si>
    <t>BGZIPLROS</t>
  </si>
  <si>
    <t>[BGZIPSAZ] Maleta de cabina BG Berlin ZIP² Cierre seguridad 35 Lt (Azul)</t>
  </si>
  <si>
    <t>BGZIPSAZ</t>
  </si>
  <si>
    <t>[BGZIPSROS] Maleta de cabina BG Berlin ZIP² Cierre seguridad 35 Lt (Rosa)</t>
  </si>
  <si>
    <t>BGZIPSROS</t>
  </si>
  <si>
    <t>[BGZIPSVER] Maleta de cabina BG Berlin ZIP² Cierre seguridad 35 Lt (Verde)</t>
  </si>
  <si>
    <t>BGZIPSVER</t>
  </si>
  <si>
    <t>[BRIT] Jugando a las Cartas de Argot Británico Lingo</t>
  </si>
  <si>
    <t>BRIT</t>
  </si>
  <si>
    <t>[C1PICCC005] Puzzle Costa Constitución 500 Piezas</t>
  </si>
  <si>
    <t>C1PICCC005</t>
  </si>
  <si>
    <t>[CHELSEA-B] Batería De Cocina 9 Piezas Chelsea Kitchenware</t>
  </si>
  <si>
    <t>CHELSEA-B</t>
  </si>
  <si>
    <t>[CHELSEA-MC] Batería De Cocina 9 Piezas Chelsea Mixta Kitchenware</t>
  </si>
  <si>
    <t>CHELSEA-MC</t>
  </si>
  <si>
    <t>[CNS11] Crema Corporal Intensiva 250 ml Caracol Natural</t>
  </si>
  <si>
    <t>CNS11</t>
  </si>
  <si>
    <t>[CNS16] Gel Limpiador Desmaquillante Oleoso 100ml Caracol Natural</t>
  </si>
  <si>
    <t>CNS16</t>
  </si>
  <si>
    <t>[CNS1820] Crema Unificante 20 Ml Travel Size Caracol Natural</t>
  </si>
  <si>
    <t>CNS1820</t>
  </si>
  <si>
    <t>[CT1761-6T] Kit De Proyectos Yo Amo Los Unicornios Ann Williams Group</t>
  </si>
  <si>
    <t>CT1761-6T</t>
  </si>
  <si>
    <t>[CT1925T] Hazlo Tu Mismo Crea Una Amiga Ciervo Ann Williams Group</t>
  </si>
  <si>
    <t>CT1925T</t>
  </si>
  <si>
    <t>[CT1929T] Stickers De Pared Casa Encantada Ann Williams Group</t>
  </si>
  <si>
    <t>CT1929T</t>
  </si>
  <si>
    <t>[CT2165T] Hazlo Tu Mismo Amuletos Para El Pelo Ann Williams Group</t>
  </si>
  <si>
    <t>CT2165T</t>
  </si>
  <si>
    <t>[CUB-S12] Juego Magnético Imacube Baby - Savannah</t>
  </si>
  <si>
    <t>CUB-S12</t>
  </si>
  <si>
    <t>[DMLVPROHAL] Dummy Proyector Halo</t>
  </si>
  <si>
    <t>DMLVPROHAL</t>
  </si>
  <si>
    <t>[DMLVPROLUM] DUMMY Proyector Lumix</t>
  </si>
  <si>
    <t>DMLVPROLUM</t>
  </si>
  <si>
    <t>[DMLVPRONOV] DUMMY Proyector Nova</t>
  </si>
  <si>
    <t>DMLVPRONOV</t>
  </si>
  <si>
    <t>[DMLVPROORI] Dummy Proyector Orion</t>
  </si>
  <si>
    <t>DMLVPROORI</t>
  </si>
  <si>
    <t>[DNRESPIRAD] Respirador Plastico</t>
  </si>
  <si>
    <t>DNRESPIRAD</t>
  </si>
  <si>
    <t>[DNSILLA1] MUESTRA SILLA DINASTY 1</t>
  </si>
  <si>
    <t>DNSILLA1</t>
  </si>
  <si>
    <t>[DNSILLA2] MUESTRA SILLA DINASTY 2</t>
  </si>
  <si>
    <t>DNSILLA2</t>
  </si>
  <si>
    <t>[DNSILLA3] MUESTRA SILLA DINASTY 3</t>
  </si>
  <si>
    <t>DNSILLA3</t>
  </si>
  <si>
    <t>[DNSILLA4] MUESTRA SILLA DINASTY 4</t>
  </si>
  <si>
    <t>DNSILLA4</t>
  </si>
  <si>
    <t>[DNSILLA5] MUESTRA SILLA DINASTY 5</t>
  </si>
  <si>
    <t>DNSILLA5</t>
  </si>
  <si>
    <t>[DNSILLA6] MUESTRA SILLA DINASTY 6</t>
  </si>
  <si>
    <t>DNSILLA6</t>
  </si>
  <si>
    <t>[DNSILLA7] MUESTRA SILLA DINASTY 7</t>
  </si>
  <si>
    <t>DNSILLA7</t>
  </si>
  <si>
    <t>[DNSILLA8] MUESTRA SILLA DINASTY 8</t>
  </si>
  <si>
    <t>DNSILLA8</t>
  </si>
  <si>
    <t>[DNSILLA9] MUESTRA SILLA DINASTY 9</t>
  </si>
  <si>
    <t>DNSILLA9</t>
  </si>
  <si>
    <t>[DNSILLREP] Repuestos Silla Dynasty</t>
  </si>
  <si>
    <t>DNSILLREP</t>
  </si>
  <si>
    <t>[DOT-040] Pizarra Magnética Imadots Mini Black</t>
  </si>
  <si>
    <t>DOT-040</t>
  </si>
  <si>
    <t>[DOT-050] Pizarra Magnética Imadots Black</t>
  </si>
  <si>
    <t>DOT-050</t>
  </si>
  <si>
    <t>[DYNTALPOW] Taladro Inalámbrico Dynamo Rotomartillo Percutor 2 Baterías</t>
  </si>
  <si>
    <t>[EN-500-BL] Termo Líquido Tapa Plana Acero Inoxidable 500 ml Thermos (Azul)</t>
  </si>
  <si>
    <t>EN-500-BL</t>
  </si>
  <si>
    <t>[FA113-1] Box N Balls, Juego De Creatividad FatBrain Toys</t>
  </si>
  <si>
    <t>FA113-1</t>
  </si>
  <si>
    <t>[FA116-1] Coggy, Juego De Ingenio FatBrain Toys</t>
  </si>
  <si>
    <t>FA116-1</t>
  </si>
  <si>
    <t>[FA120-1] Oombeecube, Cubo De Encaje Bebé FatBrain Toys</t>
  </si>
  <si>
    <t>FA120-1</t>
  </si>
  <si>
    <t>[FA134-1] Minispinny Juguete Sensorial FatBrain Toys</t>
  </si>
  <si>
    <t>FA134-1</t>
  </si>
  <si>
    <t>[FA136-1] Wimzle, Juguete Sensorial FatBrain Toys</t>
  </si>
  <si>
    <t>FA136-1</t>
  </si>
  <si>
    <t>[FA140-1] Crankity, Juego De Ingenio FatBrain Toys</t>
  </si>
  <si>
    <t>FA140-1</t>
  </si>
  <si>
    <t>[FA161-1] Sensory Rollers, Pelotas Sensoriales FatBrain Toys</t>
  </si>
  <si>
    <t>FA161-1</t>
  </si>
  <si>
    <t>[FA166-1] Pipsquigz Loops Celeste Mordedores Sensoriales FatBrain Toys</t>
  </si>
  <si>
    <t>FA166-1</t>
  </si>
  <si>
    <t>[FA181-1] Spoolz, Juego De Construccion Y Equilibrio FatBrain Toys</t>
  </si>
  <si>
    <t>FA181-1</t>
  </si>
  <si>
    <t>[FA199-1] Jixelz Puzzle De Pixeles 700 Pc Set, Mascotas FatBrain Toys</t>
  </si>
  <si>
    <t>FA199-1</t>
  </si>
  <si>
    <t>[FA199-3] Jixelz Puzzle 700 Pc Set, Amigos Del Mar FatBrain Toys</t>
  </si>
  <si>
    <t>FA199-3</t>
  </si>
  <si>
    <t>[FA199-5] Jixelz Puzzle De Pixeles 700 Pc Set, Robots FatBrain Toys</t>
  </si>
  <si>
    <t>FA199-5</t>
  </si>
  <si>
    <t>[FA200-1] Jixelz Puzzle 1500 Pc Set, Bajo El Mar FatBrain Toys</t>
  </si>
  <si>
    <t>FA200-1</t>
  </si>
  <si>
    <t>[FA200-2] Jixezl Puzzle De Pixeles 1500 Pc Set FatBrain Toys</t>
  </si>
  <si>
    <t>FA200-2</t>
  </si>
  <si>
    <t>[FA208-1] Dimpl Dúo, Juego Sensorial FatBrain Toys</t>
  </si>
  <si>
    <t>FA208-1</t>
  </si>
  <si>
    <t>[FA209-1] Bugzzle, Juego De Ingenio Para Pequeños FatBrain Toys</t>
  </si>
  <si>
    <t>FA209-1</t>
  </si>
  <si>
    <t>[FA227-1] Puzzle Fruit Friends, Sonajero, FatBrain Toys</t>
  </si>
  <si>
    <t>FA227-1</t>
  </si>
  <si>
    <t>[FA230-1] Oombeeball, Pelotas Sensoriales Anidables FatBrain Toys</t>
  </si>
  <si>
    <t>FA230-1</t>
  </si>
  <si>
    <t>[FA270-1] Tinker Rings, Anillos Imanes Y Texturas FatBrain Toys</t>
  </si>
  <si>
    <t>FA270-1</t>
  </si>
  <si>
    <t>[FA294-1] Dizzy Bees Mordedor Apilable Con Iman FatBrain Toys</t>
  </si>
  <si>
    <t>FA294-1</t>
  </si>
  <si>
    <t>[FA316-1] One In A Chameleon Juego De Ingenio FatBrain Toys</t>
  </si>
  <si>
    <t>FA316-1</t>
  </si>
  <si>
    <t>[FA334-2] Simpl Dimpl Llavero Colores Surtidos FatBrain Toys</t>
  </si>
  <si>
    <t>FA334-2</t>
  </si>
  <si>
    <t>[FA336-1] Dimpl Pops Deluxe Juego Sensorial FatBrain Toys</t>
  </si>
  <si>
    <t>FA336-1</t>
  </si>
  <si>
    <t>[FA341-1] Plugzy Juego De Encaje FatBrain Toys</t>
  </si>
  <si>
    <t>FA341-1</t>
  </si>
  <si>
    <t>[FA346-1] Dimpl Billow &amp; Bright Juego Sensorial FatBrain Toys</t>
  </si>
  <si>
    <t>FA346-1</t>
  </si>
  <si>
    <t>[FA348-1] Dimpl Clutch Juego Sensorial FatBrain Toys</t>
  </si>
  <si>
    <t>FA348-1</t>
  </si>
  <si>
    <t>[FADE9L] Freidora de Aire Dual Edition 9L Kitchen-It</t>
  </si>
  <si>
    <t>FADE9L</t>
  </si>
  <si>
    <t>[FAFE7L] Freidora de Aire Family Edition 7L Kitchen-It</t>
  </si>
  <si>
    <t>FAFE7L</t>
  </si>
  <si>
    <t>[FAME12L] Freidora de Aire Max Edition 12L Kitchen-It</t>
  </si>
  <si>
    <t>FAME12L</t>
  </si>
  <si>
    <t>[FAMF06] Freidora de Aire 6 L Verde Mouvair Fry</t>
  </si>
  <si>
    <t>FAMF06</t>
  </si>
  <si>
    <t>[FAPE5L] Freidora de Aire Plus Edition 5L Kitchen-It</t>
  </si>
  <si>
    <t>FAPE5L</t>
  </si>
  <si>
    <t>[FCH-1007] Batería De Cocina 7 Piezas Soho Cherry Kitchenware</t>
  </si>
  <si>
    <t>FCH-1007</t>
  </si>
  <si>
    <t>[FF101C] Bebé Mono Fuzzikins</t>
  </si>
  <si>
    <t>FF101C</t>
  </si>
  <si>
    <t>[FMCF06] Freidora de Aire 6 L Negro Mouvair Clear Fry</t>
  </si>
  <si>
    <t>FMCF06</t>
  </si>
  <si>
    <t>[GT2000] Pesa Digital De Equipaje 50 Kgs Go Travel</t>
  </si>
  <si>
    <t>GT2000</t>
  </si>
  <si>
    <t>[GT2004] Pesa Digital De Equipaje Pro 50 Kgs Go Travel</t>
  </si>
  <si>
    <t>GT2004</t>
  </si>
  <si>
    <t>[GT281] Antifaz Y Tapones De Oido Gris</t>
  </si>
  <si>
    <t>GT281</t>
  </si>
  <si>
    <t>[GT285] Organizador De Equipaje 2 Piezas Cubos</t>
  </si>
  <si>
    <t>GT285</t>
  </si>
  <si>
    <t>[GT336AZU] Candado Tsa Con Clave</t>
  </si>
  <si>
    <t>GT336AZU</t>
  </si>
  <si>
    <t>[GT336MOR] Candado TSA con Clave Morado</t>
  </si>
  <si>
    <t>GT336MOR</t>
  </si>
  <si>
    <t>[GT349] Candado Tsa Bronce Con Llave</t>
  </si>
  <si>
    <t>GT349</t>
  </si>
  <si>
    <t>[GT379] Adaptador De Corriente Universal + 1 Puerto Usb</t>
  </si>
  <si>
    <t>GT379</t>
  </si>
  <si>
    <t>[GT425] Tapones De Oídos Adultos Para Presion Cabina -Earplanes</t>
  </si>
  <si>
    <t>GT425</t>
  </si>
  <si>
    <t>[GT426] Tapones De Oídos Niños Para Presion Cabina -Earplanes</t>
  </si>
  <si>
    <t>GT426</t>
  </si>
  <si>
    <t>[GT430] Tapones De Oídos Z Zone</t>
  </si>
  <si>
    <t>GT430</t>
  </si>
  <si>
    <t>[GT447] Almohada De Viaje Inflable</t>
  </si>
  <si>
    <t>GT447</t>
  </si>
  <si>
    <t>[GT464BEI] Clip Sujetador De Equipaje Ajustable</t>
  </si>
  <si>
    <t>GT464BEI</t>
  </si>
  <si>
    <t>[GT466GRI] Frazada De Viaje 127X152Cm</t>
  </si>
  <si>
    <t>GT466GRI</t>
  </si>
  <si>
    <t>[GT469] Frazada Tipo Poncho + Almohada Multiuso</t>
  </si>
  <si>
    <t>GT469</t>
  </si>
  <si>
    <t>[GT477] Descansa Pies Inflable Fusion</t>
  </si>
  <si>
    <t>GT477</t>
  </si>
  <si>
    <t>[GT478] Almohada Fusion Inflable Dual</t>
  </si>
  <si>
    <t>GT478</t>
  </si>
  <si>
    <t>[GT485NAR] Almohada Memoria American Zzz Gris</t>
  </si>
  <si>
    <t>GT485NAR</t>
  </si>
  <si>
    <t>[GT5200] Bolso Plegable Tote Bag Light 24Lts</t>
  </si>
  <si>
    <t>GT5200</t>
  </si>
  <si>
    <t>[GT574] Adaptador Universal Con 3 Puertos Usb-A 2.4A</t>
  </si>
  <si>
    <t>GT574</t>
  </si>
  <si>
    <t>[GT576] Adaptador Universal Usb-A Y Usb-C Carga Rapida</t>
  </si>
  <si>
    <t>GT576</t>
  </si>
  <si>
    <t>[GT639] Adaptador Enchufe Universal Con Tierra Tres Clavijas + 2 Usb</t>
  </si>
  <si>
    <t>GT639</t>
  </si>
  <si>
    <t>[GT660] Set 2 Botellitas Para Cabina Silicona 100Ml</t>
  </si>
  <si>
    <t>GT660</t>
  </si>
  <si>
    <t>[GT662] Set 3 Botellitas Para Cabina Silicona 60 ml</t>
  </si>
  <si>
    <t>GT662</t>
  </si>
  <si>
    <t>[GT671NEG] Porta Pasaporte  Pouch Seguro Con Bloqueo Rfid</t>
  </si>
  <si>
    <t>GT671NEG</t>
  </si>
  <si>
    <t>[GT675NEG] Porta Dinero Con Bloqueo Rfid</t>
  </si>
  <si>
    <t>GT675NEG</t>
  </si>
  <si>
    <t>[GT682] Billetera Rfid Clip Seguro</t>
  </si>
  <si>
    <t>GT682</t>
  </si>
  <si>
    <t>[GT732NAR] Antifaz Suave Y Comodo Zzz Gris</t>
  </si>
  <si>
    <t>GT732NAR</t>
  </si>
  <si>
    <t>[GT818NAR] Dos Capas De Agua + Bolsito Naranjo</t>
  </si>
  <si>
    <t>GT818NAR</t>
  </si>
  <si>
    <t>[GT959] Conector Retractil 3 En 1</t>
  </si>
  <si>
    <t>GT959</t>
  </si>
  <si>
    <t>[GUIRDECOTUCAN] Guirnalda Ledzone Tucan 10 Luces Led 1,65 Mts Pilas</t>
  </si>
  <si>
    <t>GUIRDECOTUCAN</t>
  </si>
  <si>
    <t>37.00</t>
  </si>
  <si>
    <t>[HESS45L] Horno Eléctrico Kitchen-it Silver Series 45L</t>
  </si>
  <si>
    <t>HESS45L</t>
  </si>
  <si>
    <t>[HESS60L] Horno Eléctrico Kitchen-it Silver Series 60L</t>
  </si>
  <si>
    <t>HESS60L</t>
  </si>
  <si>
    <t>[HK-907BL] Casco Hook 907b Negro L</t>
  </si>
  <si>
    <t>HK-907BL</t>
  </si>
  <si>
    <t>[HK-907BM] Casco Hook 907b Negro M</t>
  </si>
  <si>
    <t>HK-907BM</t>
  </si>
  <si>
    <t>[HPBE22] Horno Pizza a la Piedra - Black Edition Kitchen-It</t>
  </si>
  <si>
    <t>HPBE22</t>
  </si>
  <si>
    <t>[IMA-012] Imanix Juego de Construcción Magnético 12 piezas</t>
  </si>
  <si>
    <t>IMA-012</t>
  </si>
  <si>
    <t>[IMA-ANI1] Imanix Imanimals Jungla Salvaje 5 Piezas</t>
  </si>
  <si>
    <t>IMA-ANI1</t>
  </si>
  <si>
    <t>[IMA-COLUM6] Accesorios Pista Columna 6 Piezas Imanix</t>
  </si>
  <si>
    <t>IMA-COLUM6</t>
  </si>
  <si>
    <t>[IMA-DC140] Imanix Clicks 140 Piezas</t>
  </si>
  <si>
    <t>IMA-DC140</t>
  </si>
  <si>
    <t>[IMA-JUN30] Imanix Jungle 30 Piezas Mágneticas</t>
  </si>
  <si>
    <t>IMA-JUN30</t>
  </si>
  <si>
    <t>[IMA-P36] Imanix Pastel Juego de Construcción 36 Piezas</t>
  </si>
  <si>
    <t>IMA-P36</t>
  </si>
  <si>
    <t>[IMA-RC64] Imanix Rocket Castle 64 Piezas Mágneticas</t>
  </si>
  <si>
    <t>IMA-RC64</t>
  </si>
  <si>
    <t>[IMA-RCPISTA] Accesorios Pista Cuarto De Curva 4 Piezas Imanix</t>
  </si>
  <si>
    <t>IMA-RCPISTA</t>
  </si>
  <si>
    <t>[IMA-S32] Imanix Star 32 Pzs para Construcciones Geométricas 2D y 3D</t>
  </si>
  <si>
    <t>IMA-S32</t>
  </si>
  <si>
    <t>[IMA-SKR2] Stickers Reutilizable Imanix</t>
  </si>
  <si>
    <t>IMA-SKR2</t>
  </si>
  <si>
    <t>[IMA-SP28] Imanix Rompecabezas Speed Eye 28</t>
  </si>
  <si>
    <t>IMA-SP28</t>
  </si>
  <si>
    <t>[IMA-TR38] Imanix Train Electronics Cars 38 Piezas</t>
  </si>
  <si>
    <t>IMA-TR38</t>
  </si>
  <si>
    <t>[IMA-TUBO6] Accesorios Tobogán Tubo</t>
  </si>
  <si>
    <t>IMA-TUBO6</t>
  </si>
  <si>
    <t>[INNCAMINS-7F] Cámara de Inspección Baroscopio con Sonda 20 Mts TP9607F</t>
  </si>
  <si>
    <t>[INNCAMINS-96] Cámara de Inspección Baroscopio con Sonda 50 Mts TP9600</t>
  </si>
  <si>
    <t>[INNCAMINSH5-20] Cámara de Inspección Baroscopio con Sonda 20 Mts H5</t>
  </si>
  <si>
    <t>[INNCAMINSH5512-20] Cámara de Inspección Baroscopio 512 Hz con Sonda 20 Mts H5</t>
  </si>
  <si>
    <t>[INNCAMINSH6-40] Cámara de Inspección Baroscopio con Sonda 40 Mts H6</t>
  </si>
  <si>
    <t>[IT] Naipes Italianos Lingo</t>
  </si>
  <si>
    <t>IT</t>
  </si>
  <si>
    <t>[J523] Jersey Mtb Radical Mountain Negro/azul M Radical Mountain</t>
  </si>
  <si>
    <t>J523</t>
  </si>
  <si>
    <t>[KF05ES] Mundos En Colisión Mazo De Arconte Keyforge</t>
  </si>
  <si>
    <t>KF05ES</t>
  </si>
  <si>
    <t>[KF07ES] Mundos En Colisión Caja De Inicio Para 2 Jugadores Keyforge</t>
  </si>
  <si>
    <t>KF07ES</t>
  </si>
  <si>
    <t>[KW-AL0908B] Batería De Cocina 9 Piezas Berries Kitchenware</t>
  </si>
  <si>
    <t>KW-AL0908B</t>
  </si>
  <si>
    <t>109.00</t>
  </si>
  <si>
    <t>241.00</t>
  </si>
  <si>
    <t>233.00</t>
  </si>
  <si>
    <t>110.00</t>
  </si>
  <si>
    <t>62.00</t>
  </si>
  <si>
    <t>39.00</t>
  </si>
  <si>
    <t>54.00</t>
  </si>
  <si>
    <t>77.00</t>
  </si>
  <si>
    <t>1,855.00</t>
  </si>
  <si>
    <t>92.00</t>
  </si>
  <si>
    <t>119.00</t>
  </si>
  <si>
    <t>197.00</t>
  </si>
  <si>
    <t>115.00</t>
  </si>
  <si>
    <t>154.00</t>
  </si>
  <si>
    <t>[LHDUMRM12-BK] DUMMY RM12 NEGRO</t>
  </si>
  <si>
    <t>LHDUMRM12-BK</t>
  </si>
  <si>
    <t>[LHDUMRM12-BL] DUMMY RM12 CELESTE</t>
  </si>
  <si>
    <t>LHDUMRM12-BL</t>
  </si>
  <si>
    <t>[LHDUMRM12-PK] DUMMY RM12 ROSADO</t>
  </si>
  <si>
    <t>LHDUMRM12-PK</t>
  </si>
  <si>
    <t>[LHDUMRM12-WH] DUMMY RM12 BLANCO</t>
  </si>
  <si>
    <t>LHDUMRM12-WH</t>
  </si>
  <si>
    <t>[LHDUMRM7-BK] DUMMY RM7 Negro</t>
  </si>
  <si>
    <t>LHDUMRM7-BK</t>
  </si>
  <si>
    <t>230.00</t>
  </si>
  <si>
    <t>[LHDUMRM7-BL] DUMMY RM7 Celeste</t>
  </si>
  <si>
    <t>LHDUMRM7-BL</t>
  </si>
  <si>
    <t>[LHDUMRM7-PK] DUMMY RM7 Rosado</t>
  </si>
  <si>
    <t>LHDUMRM7-PK</t>
  </si>
  <si>
    <t>[LHDUMRM7-WH] DUMMY RM7 Blanco</t>
  </si>
  <si>
    <t>LHDUMRM7-WH</t>
  </si>
  <si>
    <t>[LHDUMTU-BK] DUMMY TUNE-UP NEGRO</t>
  </si>
  <si>
    <t>LHDUMTU-BK</t>
  </si>
  <si>
    <t>298.00</t>
  </si>
  <si>
    <t>[LHDUMTU-BL] DUMMY TUNE-UP AZUL</t>
  </si>
  <si>
    <t>LHDUMTU-BL</t>
  </si>
  <si>
    <t>299.00</t>
  </si>
  <si>
    <t>[LHDUMTU-GR] DUMMY TUNE-UP VERDE</t>
  </si>
  <si>
    <t>LHDUMTU-GR</t>
  </si>
  <si>
    <t>[LHDUMTU-RD] DUMMY TUNE-UP ROJO</t>
  </si>
  <si>
    <t>LHDUMTU-RD</t>
  </si>
  <si>
    <t>342.00</t>
  </si>
  <si>
    <t>555.00</t>
  </si>
  <si>
    <t>860.00</t>
  </si>
  <si>
    <t>870.00</t>
  </si>
  <si>
    <t>178.00</t>
  </si>
  <si>
    <t>121.00</t>
  </si>
  <si>
    <t>127.00</t>
  </si>
  <si>
    <t>91.00</t>
  </si>
  <si>
    <t>93.00</t>
  </si>
  <si>
    <t>67.00</t>
  </si>
  <si>
    <t>76.00</t>
  </si>
  <si>
    <t>307.00</t>
  </si>
  <si>
    <t>58.00</t>
  </si>
  <si>
    <t>71.00</t>
  </si>
  <si>
    <t>268.00</t>
  </si>
  <si>
    <t>[LHMUERM712] MUEBLES RM12 + RM7</t>
  </si>
  <si>
    <t>LHMUERM712</t>
  </si>
  <si>
    <t>181.00</t>
  </si>
  <si>
    <t>363.00</t>
  </si>
  <si>
    <t>79.00</t>
  </si>
  <si>
    <t>182.00</t>
  </si>
  <si>
    <t>42.00</t>
  </si>
  <si>
    <t>102.00</t>
  </si>
  <si>
    <t>116.00</t>
  </si>
  <si>
    <t>147.00</t>
  </si>
  <si>
    <t>134.00</t>
  </si>
  <si>
    <t>662.00</t>
  </si>
  <si>
    <t>879.00</t>
  </si>
  <si>
    <t>782.00</t>
  </si>
  <si>
    <t>819.00</t>
  </si>
  <si>
    <t>[LHREPSELLINDO] Respuesto Goma Botella Indo</t>
  </si>
  <si>
    <t>LHREPSELLINDO</t>
  </si>
  <si>
    <t>4,000.00</t>
  </si>
  <si>
    <t>101.00</t>
  </si>
  <si>
    <t>148.00</t>
  </si>
  <si>
    <t>103.00</t>
  </si>
  <si>
    <t>[LIPS850] Licuadora Kitchen-it Professional Series 850W</t>
  </si>
  <si>
    <t>LIPS850</t>
  </si>
  <si>
    <t>354.00</t>
  </si>
  <si>
    <t>378.00</t>
  </si>
  <si>
    <t>416.00</t>
  </si>
  <si>
    <t>68.00</t>
  </si>
  <si>
    <t>[LTW25-MKF07L-GR] Polar Sherpa Main 85 Lhotse (L, verde)</t>
  </si>
  <si>
    <t>[LTW25-MKF07M-GR] Polar Sherpa Main 85 Lhotse (M, verde)</t>
  </si>
  <si>
    <t>[LTW25-MKF07S-GR] Polar Sherpa Main 85 Lhotse (S, verde)</t>
  </si>
  <si>
    <t>[LTW25-MKF07XL-GR] Polar Sherpa Main 85 Lhotse (XL, verde)</t>
  </si>
  <si>
    <t>113.00</t>
  </si>
  <si>
    <t>[LTW25-MPK08L-GR] Chaqueta Parka Hombre Nuptse Lhotse (L, verde)</t>
  </si>
  <si>
    <t>[LTW25-MPK08M-GR] Chaqueta Parka Hombre Nuptse Lhotse (M, verde)</t>
  </si>
  <si>
    <t>[LTW25-MPK08S-GR] Chaqueta Parka Hombre Nuptse Lhotse (S, verde)</t>
  </si>
  <si>
    <t>[LTW25-MPK08XL-GR] Chaqueta Parka Hombre Nuptse Lhotse (XL, verde)</t>
  </si>
  <si>
    <t>[LVAUDGM-BK] Audífono Gamer Zenit Elite Wireless 7.1 Levo</t>
  </si>
  <si>
    <t>339.00</t>
  </si>
  <si>
    <t>[LVCITMON01] Timbre Video Portero Citofono Monitor LEVO</t>
  </si>
  <si>
    <t>[LVCITMONWF] Timbre Video Portero Citofono Monitor WIFI LEVO</t>
  </si>
  <si>
    <t>112.00</t>
  </si>
  <si>
    <t>[LVMICPORT] KIT Micrófono de Solapa Inalámbrico Lavalier EchoPro LEVO</t>
  </si>
  <si>
    <t>124.00</t>
  </si>
  <si>
    <t>[LVMPADXXL-BK] Mousepad BattleMat XXL Negro Levo</t>
  </si>
  <si>
    <t>968.00</t>
  </si>
  <si>
    <t>611.00</t>
  </si>
  <si>
    <t>[LVSPTVUN] Soporte de Tv Ajustable 32 a 72" LEVO</t>
  </si>
  <si>
    <t>3,421.00</t>
  </si>
  <si>
    <t>[LVTECMCC-BK] Teclado Gamer NovaBlade Red Switch Mecánico Levo</t>
  </si>
  <si>
    <t>196.00</t>
  </si>
  <si>
    <t>[LVTECOFSL-GR] Teclado Inalámbrico Cygna Slim Grafito Levo</t>
  </si>
  <si>
    <t>328.00</t>
  </si>
  <si>
    <t>261.00</t>
  </si>
  <si>
    <t>228.00</t>
  </si>
  <si>
    <t>[Lenzi1] Anteojo de sol Lanai Ebano Negro Lenzi</t>
  </si>
  <si>
    <t>Lenzi1</t>
  </si>
  <si>
    <t>[Lenzi10] Anteojo de sol Gato Roble Café Lenzi</t>
  </si>
  <si>
    <t>Lenzi10</t>
  </si>
  <si>
    <t>[Lenzi11] Anteojo de sol Galapago Nogal Lenzi</t>
  </si>
  <si>
    <t>Lenzi11</t>
  </si>
  <si>
    <t>[Lenzi12] Anteojo de sol Madagascar Café Lenzi</t>
  </si>
  <si>
    <t>Lenzi12</t>
  </si>
  <si>
    <t>[Lenzi13] Anteojo de sol Hana Sandalo Café Lenzi</t>
  </si>
  <si>
    <t>Lenzi13</t>
  </si>
  <si>
    <t>[Lenzi14] Anteojo de sol Roble Molokai Café Lenzi</t>
  </si>
  <si>
    <t>Lenzi14</t>
  </si>
  <si>
    <t>[Lenzi15] Anteojo de sol Milan Nogal Café Lenzi</t>
  </si>
  <si>
    <t>Lenzi15</t>
  </si>
  <si>
    <t>[Lenzi16] Anteojo de sol Viena Roble Claro Lenzi</t>
  </si>
  <si>
    <t>Lenzi16</t>
  </si>
  <si>
    <t>[Lenzi17] Anteojo de sol Drake Roble Lenzi</t>
  </si>
  <si>
    <t>Lenzi17</t>
  </si>
  <si>
    <t>[Lenzi18] Anteojo de sol Santorini Ebano Lenzi</t>
  </si>
  <si>
    <t>Lenzi18</t>
  </si>
  <si>
    <t>[Lenzi19] Anteojo de sol Billy Roble Negro Lenzi</t>
  </si>
  <si>
    <t>Lenzi19</t>
  </si>
  <si>
    <t>[Lenzi2] Anteojo de sol Rainbow Multimaderas Lenzi</t>
  </si>
  <si>
    <t>Lenzi2</t>
  </si>
  <si>
    <t>[Lenzi20] Anteojo de sol Sequoia Nogal Café Lenzi</t>
  </si>
  <si>
    <t>Lenzi20</t>
  </si>
  <si>
    <t>[Lenzi21] Anteojo de sol Walnut Madera Nogal Lenzi</t>
  </si>
  <si>
    <t>Lenzi21</t>
  </si>
  <si>
    <t>[Lenzi22] Anteojo de sol Charly Madera Nogal Lenzi</t>
  </si>
  <si>
    <t>Lenzi22</t>
  </si>
  <si>
    <t>[Lenzi23] Anteojo de sol Fresno Madera Ebano Lenzi</t>
  </si>
  <si>
    <t>Lenzi23</t>
  </si>
  <si>
    <t>[Lenzi24] Anteojo de sol Louis Palo de Rosa Lenzi</t>
  </si>
  <si>
    <t>Lenzi24</t>
  </si>
  <si>
    <t>[Lenzi25] Anteojo de sol Rose Palo de Rosa Lenzi</t>
  </si>
  <si>
    <t>Lenzi25</t>
  </si>
  <si>
    <t>[Lenzi26] Anteojo de sol Maldivas Ebano Nacar Lenzi</t>
  </si>
  <si>
    <t>Lenzi26</t>
  </si>
  <si>
    <t>[Lenzi27] Anteojo de sol Bali Abedul Blanco</t>
  </si>
  <si>
    <t>Lenzi27</t>
  </si>
  <si>
    <t>[Lenzi28] Anteojo de sol Garda Nogal</t>
  </si>
  <si>
    <t>Lenzi28</t>
  </si>
  <si>
    <t>[Lenzi29] Anteojo de sol Molveno Sandalo Negro Acero</t>
  </si>
  <si>
    <t>Lenzi29</t>
  </si>
  <si>
    <t>[Lenzi3] Anteojo de sol Pilot Palo de Rosa Negro Lenzi</t>
  </si>
  <si>
    <t>Lenzi3</t>
  </si>
  <si>
    <t>[Lenzi4] Anteojo de sol Pilot Ebano Metal Café Lenzi</t>
  </si>
  <si>
    <t>Lenzi4</t>
  </si>
  <si>
    <t>[Lenzi5] Anteojo de sol Gina Ebano Café Lenzi</t>
  </si>
  <si>
    <t>Lenzi5</t>
  </si>
  <si>
    <t>[Lenzi6] Anteojo de sol Tahiti Nogal Nacar Lenzi</t>
  </si>
  <si>
    <t>Lenzi6</t>
  </si>
  <si>
    <t>[Lenzi7] Anteojo de sol Tahiti Nogal Café Nacar Lenzi</t>
  </si>
  <si>
    <t>Lenzi7</t>
  </si>
  <si>
    <t>[Lenzi8] Anteojo de sol Olivia Roble Lenzi</t>
  </si>
  <si>
    <t>Lenzi8</t>
  </si>
  <si>
    <t>[Lenzi9] Anteojo de sol Sicilia Nogal Lenzi</t>
  </si>
  <si>
    <t>Lenzi9</t>
  </si>
  <si>
    <t>[MAND] Naipes Mandaínes Lingo</t>
  </si>
  <si>
    <t>MAND</t>
  </si>
  <si>
    <t>[MCO068] Jabón en Barra 100 Grms Rosa Madison</t>
  </si>
  <si>
    <t>MCO068</t>
  </si>
  <si>
    <t>[MCO069] Jabón En barra 100 Grms Negro Madison</t>
  </si>
  <si>
    <t>MCO069</t>
  </si>
  <si>
    <t>[MCO120] Crema Humectante 500 Ml Passion Fig Transparente Madison</t>
  </si>
  <si>
    <t>MCO120</t>
  </si>
  <si>
    <t>[MCO121] Crema Humectante 500 Ml Green Citrus Transparente Madison</t>
  </si>
  <si>
    <t>MCO121</t>
  </si>
  <si>
    <t>[MCO121-1] Crema Humectante 500 Ml Green Citrus Ámbar Madison</t>
  </si>
  <si>
    <t>MCO121-1</t>
  </si>
  <si>
    <t>[MCO122-1] Crema Humectante 500 Ml Ala Moana Ámbar Madison</t>
  </si>
  <si>
    <t>MCO122-1</t>
  </si>
  <si>
    <t>[MCO123-1] Crema Humectante 500 Ml Saint Sandal Ámbar Madison</t>
  </si>
  <si>
    <t>MCO123-1</t>
  </si>
  <si>
    <t>[MCO124-1] Crema Humectante 500 Ml Tropical Chic Ámbar Madison</t>
  </si>
  <si>
    <t>MCO124-1</t>
  </si>
  <si>
    <t>[MCO124-2] Crema Humectante 500 Ml Tropical Chic Negro Madison</t>
  </si>
  <si>
    <t>MCO124-2</t>
  </si>
  <si>
    <t>[MCO125-1] Crema Humectante 500 Ml Black Cedar Ámbar Madison</t>
  </si>
  <si>
    <t>MCO125-1</t>
  </si>
  <si>
    <t>[MCO125-2] Crema Humectante 500 Ml Black Cedar Negro Madison</t>
  </si>
  <si>
    <t>MCO125-2</t>
  </si>
  <si>
    <t>[MCO150] Home Diffuser Blanca Madison</t>
  </si>
  <si>
    <t>MCO150</t>
  </si>
  <si>
    <t>[MCO150-1] Home Diffuser Negro Madison</t>
  </si>
  <si>
    <t>MCO150-1</t>
  </si>
  <si>
    <t>[MCO150-2] Home Diffuser Gris Madison</t>
  </si>
  <si>
    <t>MCO150-2</t>
  </si>
  <si>
    <t>[MCO172] Room Spray Ala Moana Madison</t>
  </si>
  <si>
    <t>MCO172</t>
  </si>
  <si>
    <t>[MCO175] Room Spray Black Cedar Madison</t>
  </si>
  <si>
    <t>MCO175</t>
  </si>
  <si>
    <t>[MCO176] Room Spray Summer Days Madison</t>
  </si>
  <si>
    <t>MCO176</t>
  </si>
  <si>
    <t>[MD0077-1] Puzzle 25Pcs Mi Primer Puzzle Progresivo Vehículos MiDeer</t>
  </si>
  <si>
    <t>MD0077-1</t>
  </si>
  <si>
    <t>[MD1014] Set Stickers Reutilizables, La Vida Es Divertida MiDeer</t>
  </si>
  <si>
    <t>MD1014</t>
  </si>
  <si>
    <t>[MD1031] Tarjetas Números, Escribir Y Borrar MiDeer</t>
  </si>
  <si>
    <t>MD1031</t>
  </si>
  <si>
    <t>[MD1034] Tarjetas Sumas, Escribir Y Borrar MiDeer</t>
  </si>
  <si>
    <t>MD1034</t>
  </si>
  <si>
    <t>[MD1040] Juego De Transporte Magnético MiDeer</t>
  </si>
  <si>
    <t>MD1040</t>
  </si>
  <si>
    <t>[MD2087] Juego De Lógica Diversión De Monstruos MiDeer</t>
  </si>
  <si>
    <t>MD2087</t>
  </si>
  <si>
    <t>[MD3020] Puzzle Redondo Mi Viaje En El Tiempo 25Pcs MiDeer</t>
  </si>
  <si>
    <t>MD3020</t>
  </si>
  <si>
    <t>[MD3021] Juego De Enlace Animales MiDeer</t>
  </si>
  <si>
    <t>MD3021</t>
  </si>
  <si>
    <t>[MD3083] Puzzle 280Pcs Con Forma, Dinosaurios MiDeer</t>
  </si>
  <si>
    <t>MD3083</t>
  </si>
  <si>
    <t>[MD3084] Puzzle 280Pcs Con Forma, Sueño De Elefante MiDeer</t>
  </si>
  <si>
    <t>MD3084</t>
  </si>
  <si>
    <t>[MD3169] Puzzle Con Forma Fabrica De Robot MiDeer</t>
  </si>
  <si>
    <t>MD3169</t>
  </si>
  <si>
    <t>[MD3170] Puzzle Con Forma Cohete Espacial MiDeer</t>
  </si>
  <si>
    <t>MD3170</t>
  </si>
  <si>
    <t>[MD4063] Stickers Geometricos Oceano MiDeer</t>
  </si>
  <si>
    <t>MD4063</t>
  </si>
  <si>
    <t>[MD4140] Scratch Art Card, Brilla Constelaciones MiDeer</t>
  </si>
  <si>
    <t>MD4140</t>
  </si>
  <si>
    <t>[MF07000011510] Juguete Dispensador Circular Perro Mascan</t>
  </si>
  <si>
    <t>MF07000011510</t>
  </si>
  <si>
    <t>[MF07000020610] Hueso Curvo Talla S Perro Mascan</t>
  </si>
  <si>
    <t>MF07000020610</t>
  </si>
  <si>
    <t>[MF07000020710] Hueso Curvo Talla M Perro Mascan</t>
  </si>
  <si>
    <t>MF07000020710</t>
  </si>
  <si>
    <t>[MF07000020810] Hueso Curvo Talla L Perro Mascan</t>
  </si>
  <si>
    <t>MF07000020810</t>
  </si>
  <si>
    <t>[MF07000040810] Hueso Goma Limpiadientes Verde Talla L Perro Mascan</t>
  </si>
  <si>
    <t>MF07000040810</t>
  </si>
  <si>
    <t>[MF07000061509] Animal Látex Con Cuerda Rojo Perro Mascan</t>
  </si>
  <si>
    <t>MF07000061509</t>
  </si>
  <si>
    <t>[MF07000110710] Pelota Con Dientes Para Perro Verde M Mascan</t>
  </si>
  <si>
    <t>MF07000110710</t>
  </si>
  <si>
    <t>[MF07000110810] Pelota Con Dientes Verde Talla L Perro Mascan</t>
  </si>
  <si>
    <t>MF07000110810</t>
  </si>
  <si>
    <t>[MF07000131510] Juguete Dispensador Oviode Egg Perro Mascan</t>
  </si>
  <si>
    <t>MF07000131510</t>
  </si>
  <si>
    <t>[MF07000151510] Animal Plush Con Pelota Verde Perro Mascan</t>
  </si>
  <si>
    <t>MF07000151510</t>
  </si>
  <si>
    <t>[MF07000151519] Animal Plush Con Pelota Celeste Perro Mascan</t>
  </si>
  <si>
    <t>MF07000151519</t>
  </si>
  <si>
    <t>[MF07000180613] Costillas De Cerdo Sabor Carne Talla S Perro Mascan</t>
  </si>
  <si>
    <t>MF07000180613</t>
  </si>
  <si>
    <t>[MF07000180713] Costillas De Cerdo Sabor Carne Talla M Perro Mascan</t>
  </si>
  <si>
    <t>MF07000180713</t>
  </si>
  <si>
    <t>[MF07000200815] Rama De Nylon Cafe Sabor Carne Talla L Perro Mascan</t>
  </si>
  <si>
    <t>MF07000200815</t>
  </si>
  <si>
    <t>[MF07000211507] Bouncer Ball Naranja Perro Mascan</t>
  </si>
  <si>
    <t>MF07000211507</t>
  </si>
  <si>
    <t>[MF07000220615] Rama De Madera Talla S Perro Mascan</t>
  </si>
  <si>
    <t>MF07000220615</t>
  </si>
  <si>
    <t>[MF07000220715] Rama De Madera Talla M Perro Mascan</t>
  </si>
  <si>
    <t>MF07000220715</t>
  </si>
  <si>
    <t>[MF07000220815] Rama De Madera Talla L Perro Mascan</t>
  </si>
  <si>
    <t>MF07000220815</t>
  </si>
  <si>
    <t>[MGI2] Möbi Kids Juego Para Aprender Números Y Operaciones Möbi</t>
  </si>
  <si>
    <t>MGI2</t>
  </si>
  <si>
    <t>[MLLASPPOR1] MLL Aspiradora portatil 312-1</t>
  </si>
  <si>
    <t>MLLASPPOR1</t>
  </si>
  <si>
    <t>[MLLASPPOR2] MLL Aspiradora portatil 312-2</t>
  </si>
  <si>
    <t>MLLASPPOR2</t>
  </si>
  <si>
    <t>[MLLASPPOR3] MLL Aspiradora portatil 312-3</t>
  </si>
  <si>
    <t>MLLASPPOR3</t>
  </si>
  <si>
    <t>[MLLAUD2] Audifono 926-2</t>
  </si>
  <si>
    <t>MLLAUD2</t>
  </si>
  <si>
    <t>[MLLAUDIFTUN] MUESTRA reemplazo audifonos tuneair</t>
  </si>
  <si>
    <t>MLLAUDIFTUN</t>
  </si>
  <si>
    <t>[MLLAUDIN-8301] bluetooth earphone 830-1</t>
  </si>
  <si>
    <t>MLLAUDIN-8301</t>
  </si>
  <si>
    <t>[MLLAUDIN-8302] 6th earphone</t>
  </si>
  <si>
    <t>MLLAUDIN-8302</t>
  </si>
  <si>
    <t>[MLLBANROCK1] Muestra Rocket Baby 1</t>
  </si>
  <si>
    <t>MLLBANROCK1</t>
  </si>
  <si>
    <t>[MLLBANROCK2] Muestra Rocket Baby Pollo</t>
  </si>
  <si>
    <t>MLLBANROCK2</t>
  </si>
  <si>
    <t>[MLLBDIMA-1] Muestra Jugueteria Imanes</t>
  </si>
  <si>
    <t>MLLBDIMA-1</t>
  </si>
  <si>
    <t>[MLLBOLSACHIC] Bolsa chica SKILLKORP</t>
  </si>
  <si>
    <t>MLLBOLSACHIC</t>
  </si>
  <si>
    <t>[MLLBOT800ML-5] Botella termica 800ml 402-5</t>
  </si>
  <si>
    <t>MLLBOT800ML-5</t>
  </si>
  <si>
    <t>[MLLBOT800ML-6] Botella termica 800ml 402-6</t>
  </si>
  <si>
    <t>MLLBOT800ML-6</t>
  </si>
  <si>
    <t>[MLLCALCETAD] MUESTRA Calcetines ADAM</t>
  </si>
  <si>
    <t>MLLCALCETAD</t>
  </si>
  <si>
    <t>[MLLCAR20W] Cargador 20W</t>
  </si>
  <si>
    <t>MLLCAR20W</t>
  </si>
  <si>
    <t>[MLLCARFILT] car filter Peugeot 206</t>
  </si>
  <si>
    <t>MLLCARFILT</t>
  </si>
  <si>
    <t>[MLLCORPMZBT50] Muestra Pisaderas para Mazda BT-50</t>
  </si>
  <si>
    <t>MLLCORPMZBT50</t>
  </si>
  <si>
    <t>[MLLCORSW20/22-8] Correa 20/22 cms 402-8</t>
  </si>
  <si>
    <t>MLLCORSW20/22-8</t>
  </si>
  <si>
    <t>[MLLGLASSGUN] GLASS GUN</t>
  </si>
  <si>
    <t>MLLGLASSGUN</t>
  </si>
  <si>
    <t>[MLLLEVMP] MUESTRAS MOUSE PAD</t>
  </si>
  <si>
    <t>MLLLEVMP</t>
  </si>
  <si>
    <t>[MLLLHBOTJEN] MUESTRA Botellas Jennifer</t>
  </si>
  <si>
    <t>MLLLHBOTJEN</t>
  </si>
  <si>
    <t>[MLLLHPANT-1] Muestra Pantuflas 1</t>
  </si>
  <si>
    <t>MLLLHPANT-1</t>
  </si>
  <si>
    <t>[MLLLHRM15] Muestra Audifono RM 15</t>
  </si>
  <si>
    <t>MLLLHRM15</t>
  </si>
  <si>
    <t>[MLLLVASPPED] Muestra Aspiradora Inalámbrica Pedestal</t>
  </si>
  <si>
    <t>MLLLVASPPED</t>
  </si>
  <si>
    <t>[MLLLVAUD-GM] Audifono Gamer 7.1 V1</t>
  </si>
  <si>
    <t>MLLLVAUD-GM</t>
  </si>
  <si>
    <t>[MLLLVAUDGM-BK] Golden Sample Audifono Gamer Zenit Elite Wireless 7.1 Levo</t>
  </si>
  <si>
    <t>MLLLVAUDGM-BK</t>
  </si>
  <si>
    <t>[MLLLVCAMOUT-1] Muestra Cámara Outdoor 1</t>
  </si>
  <si>
    <t>MLLLVCAMOUT-1</t>
  </si>
  <si>
    <t>[MLLLVCAMOUT-2] Muestra Cámara Outdoor 2</t>
  </si>
  <si>
    <t>MLLLVCAMOUT-2</t>
  </si>
  <si>
    <t>[MLLLVCAR45W] Cargador 45W</t>
  </si>
  <si>
    <t>MLLLVCAR45W</t>
  </si>
  <si>
    <t>[MLLLVCAR65W] Cargador 65W</t>
  </si>
  <si>
    <t>MLLLVCAR65W</t>
  </si>
  <si>
    <t>[MLLLVCARGCAB] Muestras Cargadores, Cables y Hub</t>
  </si>
  <si>
    <t>MLLLVCARGCAB</t>
  </si>
  <si>
    <t>[MLLLVCARTEL-1] Muestra Cargadores y cables</t>
  </si>
  <si>
    <t>MLLLVCARTEL-1</t>
  </si>
  <si>
    <t>[MLLLVCARTEL-2] Muestra Cargadores y Cables 2</t>
  </si>
  <si>
    <t>MLLLVCARTEL-2</t>
  </si>
  <si>
    <t>[MLLLVCONTSW1] Control Nintendo Switch 1</t>
  </si>
  <si>
    <t>MLLLVCONTSW1</t>
  </si>
  <si>
    <t>[MLLLVCONTSW2] Control Nintendo Switch 2</t>
  </si>
  <si>
    <t>MLLLVCONTSW2</t>
  </si>
  <si>
    <t>[MLLLVFNH-BL] Funda Notebook Resistente</t>
  </si>
  <si>
    <t>MLLLVFNH-BL</t>
  </si>
  <si>
    <t>[MLLLVFUNNSW2] Muestra Funda Nintendo Switch 2</t>
  </si>
  <si>
    <t>MLLLVFUNNSW2</t>
  </si>
  <si>
    <t>[MLLLVMO-GM] MUESTRA MOUSE GAMING 1</t>
  </si>
  <si>
    <t>MLLLVMO-GM</t>
  </si>
  <si>
    <t>[MLLLVMO-OF] Mouse Oficina Slim</t>
  </si>
  <si>
    <t>MLLLVMO-OF</t>
  </si>
  <si>
    <t>[MLLLVMOSE-1] Muestra Mouse Levo (25TP0121PI)</t>
  </si>
  <si>
    <t>MLLLVMOSE-1</t>
  </si>
  <si>
    <t>[MLLLVMOVITR-BK] Muestra Mochila Aerosuite LEVO</t>
  </si>
  <si>
    <t>MLLLVMOVITR-BK</t>
  </si>
  <si>
    <t>[MLLLVMPADXXL-BK] Golden Sample Mousepad Levo BattleMat XXL Negro</t>
  </si>
  <si>
    <t>MLLLVMPADXXL-BK</t>
  </si>
  <si>
    <t>[MLLLVPARLANT-1] Muestra Parlantes Portátiles</t>
  </si>
  <si>
    <t>MLLLVPARLANT-1</t>
  </si>
  <si>
    <t>[MLLLVTEC-CNM] Teclado Gamer Mecanico con Num Pad</t>
  </si>
  <si>
    <t>MLLLVTEC-CNM</t>
  </si>
  <si>
    <t>[MLLLVTEC-SNM] Teclado Gamer Mecanico Sin Num Pad</t>
  </si>
  <si>
    <t>MLLLVTEC-SNM</t>
  </si>
  <si>
    <t>[MLLLVTECLMC-2] Muestra Teclado Mecánico Low 2</t>
  </si>
  <si>
    <t>MLLLVTECLMC-2</t>
  </si>
  <si>
    <t>[MLLLVTECOFSL-GR] Golden Sample Teclado Inalambrico Slim Levo Cygna Grafito</t>
  </si>
  <si>
    <t>MLLLVTECOFSL-GR</t>
  </si>
  <si>
    <t>[MLLMFAF-MC] Muestras Afeitadoras MCC</t>
  </si>
  <si>
    <t>MLLMFAF-MC</t>
  </si>
  <si>
    <t>[MLLMONITOSF] Muestra Monitor portatil sin funda</t>
  </si>
  <si>
    <t>MLLMONITOSF</t>
  </si>
  <si>
    <t>[MLLMONPOR] MLL Pantalla monitor portatil</t>
  </si>
  <si>
    <t>MLLMONPOR</t>
  </si>
  <si>
    <t>[MLLMUESSY197] speaker samples TUNE FACTORY SY197</t>
  </si>
  <si>
    <t>MLLMUESSY197</t>
  </si>
  <si>
    <t>[MLLMUESSY199] speaker samples TUNE FACTORY SY199</t>
  </si>
  <si>
    <t>MLLMUESSY199</t>
  </si>
  <si>
    <t>[MLLMUESSY219] Speaker samples TUNE FACTORY SY219</t>
  </si>
  <si>
    <t>MLLMUESSY219</t>
  </si>
  <si>
    <t>[MLLMUESSY220] Speaker samples TUNE FACTORY SY220</t>
  </si>
  <si>
    <t>MLLMUESSY220</t>
  </si>
  <si>
    <t>[MLLPANT004] PANTUFLAS 004</t>
  </si>
  <si>
    <t>MLLPANT004</t>
  </si>
  <si>
    <t>[MLLPORTBOT402-1] Porta botella auto 402-1</t>
  </si>
  <si>
    <t>MLLPORTBOT402-1</t>
  </si>
  <si>
    <t>[MLLPVBMB-TB] Bombilla Post Venta Tumbler</t>
  </si>
  <si>
    <t>MLLPVBMB-TB</t>
  </si>
  <si>
    <t>2,000.00</t>
  </si>
  <si>
    <t>[MLLRMPLUS] Muestra RM Plus</t>
  </si>
  <si>
    <t>MLLRMPLUS</t>
  </si>
  <si>
    <t>[MLLSEBTOCADS] Turntable Player Sample from Sandy</t>
  </si>
  <si>
    <t>MLLSEBTOCADS</t>
  </si>
  <si>
    <t>[MLLSIMCUBIER] Cubiertos Varios</t>
  </si>
  <si>
    <t>MLLSIMCUBIER</t>
  </si>
  <si>
    <t>[MLLSIMESPBK] Muestra Espumador de Leche NEGRO</t>
  </si>
  <si>
    <t>MLLSIMESPBK</t>
  </si>
  <si>
    <t>[MLLSMBATOXBK] MUESTRA Batería de Cocina Oxford Granito 15 pcs Simplit</t>
  </si>
  <si>
    <t>MLLSMBATOXBK</t>
  </si>
  <si>
    <t>[MLLSMSUTMD] Set De Utencilios Mango Madera</t>
  </si>
  <si>
    <t>MLLSMSUTMD</t>
  </si>
  <si>
    <t>[MLLSOSACRPAP] SOSTENEDOR PAPEL ACRILICO</t>
  </si>
  <si>
    <t>MLLSOSACRPAP</t>
  </si>
  <si>
    <t>[MLLSOSACRSW] SOSTENEDOR ACRILICO RELOJ</t>
  </si>
  <si>
    <t>MLLSOSACRSW</t>
  </si>
  <si>
    <t>[MLLSPG-M] Set de Pesas Gimnasio</t>
  </si>
  <si>
    <t>MLLSPG-M</t>
  </si>
  <si>
    <t>219.00</t>
  </si>
  <si>
    <t>[MLLSWGPSKD] MUESTRA Smartwatch gps KIDS</t>
  </si>
  <si>
    <t>MLLSWGPSKD</t>
  </si>
  <si>
    <t>[MLLSWGPSKID] Smartwatch GPS Kids IDK01</t>
  </si>
  <si>
    <t>MLLSWGPSKID</t>
  </si>
  <si>
    <t>[MLLTCAFEIT] Muestra Afeitadoras</t>
  </si>
  <si>
    <t>MLLTCAFEIT</t>
  </si>
  <si>
    <t>[MLLVIN10] Bolsa botella inflable</t>
  </si>
  <si>
    <t>MLLVIN10</t>
  </si>
  <si>
    <t>[MLLVIN11] Decantador ollo en el fondo</t>
  </si>
  <si>
    <t>MLLVIN11</t>
  </si>
  <si>
    <t>[MLLVIN12] Termometro botella</t>
  </si>
  <si>
    <t>MLLVIN12</t>
  </si>
  <si>
    <t>[MLLXR001] kick sensor to open</t>
  </si>
  <si>
    <t>MLLXR001</t>
  </si>
  <si>
    <t>[MLLXRALAAT-AB] Muestra Alarma Autobahn</t>
  </si>
  <si>
    <t>MLLXRALAAT-AB</t>
  </si>
  <si>
    <t>[MLLXRASPA-1] Muestra Aspiradora Portatil Auto 1</t>
  </si>
  <si>
    <t>MLLXRASPA-1</t>
  </si>
  <si>
    <t>[MLLXRASPA-2] Muestra Aspiradora Portatil Auto 2</t>
  </si>
  <si>
    <t>MLLXRASPA-2</t>
  </si>
  <si>
    <t>[MLLXRASPACC] Aspiradora Automovil Con Accesorios</t>
  </si>
  <si>
    <t>MLLXRASPACC</t>
  </si>
  <si>
    <t>[MLLXRCAMA-1] Muestra Camara de Automovil 1</t>
  </si>
  <si>
    <t>MLLXRCAMA-1</t>
  </si>
  <si>
    <t>[MLLXRCAMA-2] Muestra Camara de Automovil 2</t>
  </si>
  <si>
    <t>MLLXRCAMA-2</t>
  </si>
  <si>
    <t>[MLLXRCARMAT] Pisos Para Automovil</t>
  </si>
  <si>
    <t>MLLXRCARMAT</t>
  </si>
  <si>
    <t>[MLLXRCCARB-1] Muestra Sistema Antirobo Cortacorriente 1</t>
  </si>
  <si>
    <t>MLLXRCCARB-1</t>
  </si>
  <si>
    <t>[MLLXRCCARB-2] Muestra Sistema Antirobo Cortacorriente 2</t>
  </si>
  <si>
    <t>MLLXRCCARB-2</t>
  </si>
  <si>
    <t>[MLLXRCCARB-3] Muestra Sistema Antirobo Cortacorriente 3</t>
  </si>
  <si>
    <t>MLLXRCCARB-3</t>
  </si>
  <si>
    <t>[MLLXRESLRTD-1] Muestra Ratchet Tie Down 1</t>
  </si>
  <si>
    <t>MLLXRESLRTD-1</t>
  </si>
  <si>
    <t>[MLLXRESLRTD-2] Muestra Ratchet Tie Down 2</t>
  </si>
  <si>
    <t>MLLXRESLRTD-2</t>
  </si>
  <si>
    <t>[MLLXRESLRTD-3] Muestra Ratchet Tie Down 3</t>
  </si>
  <si>
    <t>MLLXRESLRTD-3</t>
  </si>
  <si>
    <t>[MLLXRESLRTD-4] Muestra Ratchet Tie Down 4</t>
  </si>
  <si>
    <t>MLLXRESLRTD-4</t>
  </si>
  <si>
    <t>[MLLXRESLRTD-5] Muestra Ratchet Tie Down 5</t>
  </si>
  <si>
    <t>MLLXRESLRTD-5</t>
  </si>
  <si>
    <t>[MLLXRFUNA-1] Muestra Funda para Auto 1</t>
  </si>
  <si>
    <t>MLLXRFUNA-1</t>
  </si>
  <si>
    <t>[MLLXRFUNA-2] Muestra Funda para Auto 2</t>
  </si>
  <si>
    <t>MLLXRFUNA-2</t>
  </si>
  <si>
    <t>[MLLXRFUNA-3] Muestra Funda para Auto 3</t>
  </si>
  <si>
    <t>MLLXRFUNA-3</t>
  </si>
  <si>
    <t>[MLLXRFUNA-4] Muestra Funda para Auto 4</t>
  </si>
  <si>
    <t>MLLXRFUNA-4</t>
  </si>
  <si>
    <t>[MLLXRHYDLAV-OR] Muestra HydroLavadora XROAD Naranja</t>
  </si>
  <si>
    <t>MLLXRHYDLAV-OR</t>
  </si>
  <si>
    <t>[MLLXRHYDROL] Muestra Hydrolavadora Xroad</t>
  </si>
  <si>
    <t>MLLXRHYDROL</t>
  </si>
  <si>
    <t>[MLLXRRTD1] Eslinga Ratchet Tie Down Muestra</t>
  </si>
  <si>
    <t>MLLXRRTD1</t>
  </si>
  <si>
    <t>[MLLXRSCFALL] Muestra Scanner Car Code Reader</t>
  </si>
  <si>
    <t>MLLXRSCFALL</t>
  </si>
  <si>
    <t>[MLLXRSOPTEL-1] Muestra Soporte para Automovil 1</t>
  </si>
  <si>
    <t>MLLXRSOPTEL-1</t>
  </si>
  <si>
    <t>[MLLXRSOPTEL-2] Muestra Soporte para Automovil 2</t>
  </si>
  <si>
    <t>MLLXRSOPTEL-2</t>
  </si>
  <si>
    <t>[MLLXRSOPTEL-3] Muestra Soporte para Automovil 3</t>
  </si>
  <si>
    <t>MLLXRSOPTEL-3</t>
  </si>
  <si>
    <t>[MLLXRSOPTEL-4] Muestra Soporte para Automovil 4</t>
  </si>
  <si>
    <t>MLLXRSOPTEL-4</t>
  </si>
  <si>
    <t>[NG0890ENEG] Bolso/Mochila Natgeo Save The Planet Pet Reciclado 12Lt</t>
  </si>
  <si>
    <t>NG0890ENEG</t>
  </si>
  <si>
    <t>[NG16981KHA] Neceser Natgeo New Explorer</t>
  </si>
  <si>
    <t>NG16981KHA</t>
  </si>
  <si>
    <t>[NG18380KHA] Neceser Rpet Natgeo Mutation (Tamaño Único)</t>
  </si>
  <si>
    <t>NG18380KHA</t>
  </si>
  <si>
    <t>[NG18380NEG] Neceser Rpet Natgeo Mutation National Geographic Negro</t>
  </si>
  <si>
    <t>NG18380NEG</t>
  </si>
  <si>
    <t>[NG18388GRI] Mochila Natgeo Mutation Rpet Impermeable 22Lt</t>
  </si>
  <si>
    <t>NG18388GRI</t>
  </si>
  <si>
    <t>[NG18388NEG] Mochila Natgeo Mutation Rpet Impermeable Negro 22Lt</t>
  </si>
  <si>
    <t>NG18388NEG</t>
  </si>
  <si>
    <t>[NG19180KHA] Mochila National Geographic Legend Café 13Lt</t>
  </si>
  <si>
    <t>NG19180KHA</t>
  </si>
  <si>
    <t>[NG19180NEG] Mochila National Geographic Legend Negro 13Lt</t>
  </si>
  <si>
    <t>NG19180NEG</t>
  </si>
  <si>
    <t>[NG19180ROJ] Mochila National Geographic Legend 13Lt</t>
  </si>
  <si>
    <t>NG19180ROJ</t>
  </si>
  <si>
    <t>[NG20901KHA] Banano NatGeo Ocean RPET Café</t>
  </si>
  <si>
    <t>NG20901KHA</t>
  </si>
  <si>
    <t>[NG20901NEG] Banano Rpet Natgeo Ocean</t>
  </si>
  <si>
    <t>NG20901NEG</t>
  </si>
  <si>
    <t>[NG22080KHA] Mochila Natgeo Rpet Slot Canyon 27 Lts</t>
  </si>
  <si>
    <t>NG22080KHA</t>
  </si>
  <si>
    <t>[NG22080NEG] Mochila Natgeo Rpet Slot Canyon 27 Negro Lts</t>
  </si>
  <si>
    <t>NG22080NEG</t>
  </si>
  <si>
    <t>[NG29282NEG] Mochila Natgeo 10 Lts Protect The Wonder</t>
  </si>
  <si>
    <t>NG29282NEG</t>
  </si>
  <si>
    <t>[NGMBALB] Maleta (M) Rpet 71 Lts National Geographic Blanco Balance</t>
  </si>
  <si>
    <t>NGMBALB</t>
  </si>
  <si>
    <t>[NGMBALN] Maleta (M) Rpet 71 Lts National Geographic Negro Balance</t>
  </si>
  <si>
    <t>NGMBALN</t>
  </si>
  <si>
    <t>[NGMBALV] Maleta (M) Rpet 71 Lts National Geographic Verde Balance</t>
  </si>
  <si>
    <t>NGMBALV</t>
  </si>
  <si>
    <t>[NGMCAVG] Maleta (M) 79Lt National Geographic Grey Cavern</t>
  </si>
  <si>
    <t>NGMCAVG</t>
  </si>
  <si>
    <t>[NGMCAVN] Maleta (M) 79Lt National Geographic Black Cavern</t>
  </si>
  <si>
    <t>NGMCAVN</t>
  </si>
  <si>
    <t>[NGMCAVS] Maleta (M) 79Lt National Geographic Beige Cavern</t>
  </si>
  <si>
    <t>NGMCAVS</t>
  </si>
  <si>
    <t>[NGMTRA] Maleta (M) 85Lt National Geographic  Blue Transit</t>
  </si>
  <si>
    <t>NGMTRA</t>
  </si>
  <si>
    <t>[NGMTRP] Maleta (M) 85Lt National Geographic  Silver Transit</t>
  </si>
  <si>
    <t>NGMTRP</t>
  </si>
  <si>
    <t>[NGSETTRN] Set De Maletas National Geographic Transit</t>
  </si>
  <si>
    <t>NGSETTRN</t>
  </si>
  <si>
    <t>[OW-013] Bolso Portabicicletas OnWheels Plegable</t>
  </si>
  <si>
    <t>OW-013</t>
  </si>
  <si>
    <t>[OW-933-CPK-M] Casco Sport Onwheels Celeste (Talla M)</t>
  </si>
  <si>
    <t>OW-933-CPK-M</t>
  </si>
  <si>
    <t>[P2348] Puños Vpg-bs01 Silicona Rojo VP Components</t>
  </si>
  <si>
    <t>P2348</t>
  </si>
  <si>
    <t>[PACKCNS22] Pack Fórmula Reafirmante Anti-Edad Caracol Natural</t>
  </si>
  <si>
    <t>PACKCNS22</t>
  </si>
  <si>
    <t>[PACKCNS25] Pack Control Total Del Ácne Caracol Natural</t>
  </si>
  <si>
    <t>PACKCNS25</t>
  </si>
  <si>
    <t>[PACKCNS26] Pack Piel Sensible Juventud Infinita Caracol Natural</t>
  </si>
  <si>
    <t>PACKCNS26</t>
  </si>
  <si>
    <t>[PCHUB005] Set de Cubiertos Happy Rosado Ezpz</t>
  </si>
  <si>
    <t>PCHUB005</t>
  </si>
  <si>
    <t>[PCHUP003] Set de Cubiertos Happy Azul Ezpz</t>
  </si>
  <si>
    <t>PCHUP003</t>
  </si>
  <si>
    <t>[PCHUS001] Set de Cubiertos Happy Verde Ezpz</t>
  </si>
  <si>
    <t>PCHUS001</t>
  </si>
  <si>
    <t>[PackCY18-FF] Pack Bolso Duffel 60 lts Navy + Banano impermeable Lhotse</t>
  </si>
  <si>
    <t>PackCY18-FF</t>
  </si>
  <si>
    <t>[RAM-34] Rami Juego de Construcción 34 Piezas</t>
  </si>
  <si>
    <t>RAM-34</t>
  </si>
  <si>
    <t>[RAM-66] Rami Juego de Construcción 66 Piezas</t>
  </si>
  <si>
    <t>RAM-66</t>
  </si>
  <si>
    <t>[RC-BIL23] Billetera Cuero Negro Yelco Hecha a Mano Raiquen</t>
  </si>
  <si>
    <t>RC-BIL23</t>
  </si>
  <si>
    <t>[RC-BIL42] Billetera Tarjetero Negro Icalma Hecha a mano Raiquen</t>
  </si>
  <si>
    <t>RC-BIL42</t>
  </si>
  <si>
    <t>[RC-CAC22] Juego Cachos Cuero Pelo Natural Raiquen</t>
  </si>
  <si>
    <t>RC-CAC22</t>
  </si>
  <si>
    <t>[RC-CAR11] Cartera Petty Cuero Hecho A Mano Raiquen</t>
  </si>
  <si>
    <t>RC-CAR11</t>
  </si>
  <si>
    <t>[RC-CBL22] Cinturón Cuero Bordado Pampa Verde Raiquen (L (90CM), Verde)</t>
  </si>
  <si>
    <t>RC-CBL22</t>
  </si>
  <si>
    <t>[RC-CBL33] Cinturón Cuero Bordado L Pampa Negro Raiquen</t>
  </si>
  <si>
    <t>RC-CBL33</t>
  </si>
  <si>
    <t>[RC-CBM11] Cinturón Cuero Bordado Pampa Talla M Café Raiquen</t>
  </si>
  <si>
    <t>RC-CBM11</t>
  </si>
  <si>
    <t>[RC-CBM22] Cinturón Cuero Bordado Pampa Verde Raiquen (M (90CM), Verde)</t>
  </si>
  <si>
    <t>RC-CBM22</t>
  </si>
  <si>
    <t>[RC-CBM33] Cinturón Cuero Bordado M Pampa Negro Raiquen</t>
  </si>
  <si>
    <t>RC-CBM33</t>
  </si>
  <si>
    <t>[RC-CBS11] Cinturón Cuero Bordado Pampa Café Talla S Raiquen</t>
  </si>
  <si>
    <t>RC-CBS11</t>
  </si>
  <si>
    <t>[RC-CBS22] Cinturón Cuero Bordado Pampa Verde Raiquen (S (90CM), Verde)</t>
  </si>
  <si>
    <t>RC-CBS22</t>
  </si>
  <si>
    <t>[RC-CBS33] Cinturón Cuero Bordado S Pampa Negro Raiquen</t>
  </si>
  <si>
    <t>RC-CBS33</t>
  </si>
  <si>
    <t>[RC-CBX33] Cinturón Cuero Bordado Xl Pampa Negro Raiquen</t>
  </si>
  <si>
    <t>RC-CBX33</t>
  </si>
  <si>
    <t>[RC-CBXL22] Cinturón Cuero Bordado Pampa Verde Raiquen (XL)</t>
  </si>
  <si>
    <t>[RC-CCL11] Cinturón Cuero Café L Costura Hecho a Mano Raiquen</t>
  </si>
  <si>
    <t>RC-CCL11</t>
  </si>
  <si>
    <t>[RC-CCM11] Cinturón Cuero Café M Costura Hecho a Mano Raiquen</t>
  </si>
  <si>
    <t>RC-CCM11</t>
  </si>
  <si>
    <t>[RC-CCX11] Cinturón Cuero Café XL Costura Hecho a Mano Raiquen</t>
  </si>
  <si>
    <t>RC-CCX11</t>
  </si>
  <si>
    <t>[RC-COW12] Tabaquera de Cuero Negro Cowboy Hecho a Mano Raiquen</t>
  </si>
  <si>
    <t>RC-COW12</t>
  </si>
  <si>
    <t>[RC-COW13] Tabaquera De Cuero Verde Cowboy Hecho A Mano Raiquen</t>
  </si>
  <si>
    <t>RC-COW13</t>
  </si>
  <si>
    <t>[RC-EST11] Estuche De Cuero Multiuso Tubo Hecho A Mano Raiquen</t>
  </si>
  <si>
    <t>RC-EST11</t>
  </si>
  <si>
    <t>[RC-EST22] Estuche Cuero Multiuso Tubo Negro Hecho a Mano Raiquen</t>
  </si>
  <si>
    <t>RC-EST22</t>
  </si>
  <si>
    <t>[RC-IDE22] Identificador Para Equipaje Cuero Negro Hecho a Mano Raiquen</t>
  </si>
  <si>
    <t>RC-IDE22</t>
  </si>
  <si>
    <t>[RC-MOS11] Porta Mosca Cuero Fly Fishing Hecho A Mano Raiquen</t>
  </si>
  <si>
    <t>RC-MOS11</t>
  </si>
  <si>
    <t>[RC-NAI11] Juego de Cartas Cuero Reno Raiquen</t>
  </si>
  <si>
    <t>RC-NAI11</t>
  </si>
  <si>
    <t>[RC-NEC22] Neceser Cuero Botiquín Hecho A Mano Raiquen</t>
  </si>
  <si>
    <t>RC-NEC22</t>
  </si>
  <si>
    <t>[RC-NEC33] Neceser Cuero Reno Grande Raiquen</t>
  </si>
  <si>
    <t>RC-NEC33</t>
  </si>
  <si>
    <t>[RC-NEC44] Neceser Viajero Cuero Graso Raiquen</t>
  </si>
  <si>
    <t>RC-NEC44</t>
  </si>
  <si>
    <t>[RC-NEC55] Neceser Cosmetiquero Hecho A Mano Raiquen</t>
  </si>
  <si>
    <t>RC-NEC55</t>
  </si>
  <si>
    <t>[RC-PAD11] Mousepad de Cuero Raiquen Hecho a Mano</t>
  </si>
  <si>
    <t>RC-PAD11</t>
  </si>
  <si>
    <t>[RC-PAS11] Porta documentos Aconcagua Raiquen Hecho a mano</t>
  </si>
  <si>
    <t>RC-PAS11</t>
  </si>
  <si>
    <t>[RC-PAS12] Porta Documento Negro Aconcagua Hecho a Mano Raiquen</t>
  </si>
  <si>
    <t>RC-PAS12</t>
  </si>
  <si>
    <t>[RC-PEC22] Pechera Asador Turmán Cuero Raiquen</t>
  </si>
  <si>
    <t>RC-PEC22</t>
  </si>
  <si>
    <t>[RC-PIG55] Cuchillo Piga Artesanal Hecho a Mano Raiquen</t>
  </si>
  <si>
    <t>RC-PIG55</t>
  </si>
  <si>
    <t>[RC-VER11] Llavero de Cuero Raiquen Hecho a Mano</t>
  </si>
  <si>
    <t>RC-VER11</t>
  </si>
  <si>
    <t>[SD00000040601] Cuchara Larga Melamina Talla S Naranja  Perro Mascan</t>
  </si>
  <si>
    <t>SD00000040601</t>
  </si>
  <si>
    <t>[SD00000040602] Cuchara Larga Melamina Talla S Azul Perro/gato Mascan</t>
  </si>
  <si>
    <t>SD00000040602</t>
  </si>
  <si>
    <t>[SD00000040701] Cuchara Larga Melamina Talla M Naranja Perro/gato</t>
  </si>
  <si>
    <t>SD00000040701</t>
  </si>
  <si>
    <t>[SD00000051507] Tapa De Silicona Para Latas Naranja Perro Mascan</t>
  </si>
  <si>
    <t>SD00000051507</t>
  </si>
  <si>
    <t>[SD00000051521] Tapa De Silicona Para Latas Fucsia Perro Mascan</t>
  </si>
  <si>
    <t>SD00000051521</t>
  </si>
  <si>
    <t>[SD00000091502] Bebedero Portátil Hoja Azul Perro Mascan</t>
  </si>
  <si>
    <t>SD00000091502</t>
  </si>
  <si>
    <t>[SD00000091510] Bebedero Portátil Hoja Verde Perro Mascan</t>
  </si>
  <si>
    <t>SD00000091510</t>
  </si>
  <si>
    <t>[SD06000030602] Plato Melamina Z Doble Azul Para Perro S Mascan</t>
  </si>
  <si>
    <t>SD06000030602</t>
  </si>
  <si>
    <t>[SD06000030608] Plato Melamina Doble Z Talla S Negro Perro Mascan</t>
  </si>
  <si>
    <t>SD06000030608</t>
  </si>
  <si>
    <t>[SD06000030612] Plato Melamina Doble Z Talla S Morado Perro Mascan</t>
  </si>
  <si>
    <t>SD06000030612</t>
  </si>
  <si>
    <t>[SD06000030621] Plato Melamina Doble Z Talla S Fucsia Perro Mascan</t>
  </si>
  <si>
    <t>SD06000030621</t>
  </si>
  <si>
    <t>[SD06000030702] Plato Melamina Doble Z Talla M Azul Perro Mascan</t>
  </si>
  <si>
    <t>SD06000030702</t>
  </si>
  <si>
    <t>[SD06000030708] Plato Melamina Doble Z Talla M Negro Perro Mascan</t>
  </si>
  <si>
    <t>SD06000030708</t>
  </si>
  <si>
    <t>[SD06000030712] Plato Melamina Doble Z Talla M Morado Perro Mascan</t>
  </si>
  <si>
    <t>SD06000030712</t>
  </si>
  <si>
    <t>[SD06000030721] Plato Melamina Doble Z Talla M Fucsia Perro Mascan</t>
  </si>
  <si>
    <t>SD06000030721</t>
  </si>
  <si>
    <t>[SD06000050607] Plato Melamina Anti-ahogo Talla S Naranjo Perro Mascan</t>
  </si>
  <si>
    <t>SD06000050607</t>
  </si>
  <si>
    <t>[SD06000050609] Plato Melamina Anti-ahogo Talla S Rojo Perro Mascan</t>
  </si>
  <si>
    <t>SD06000050609</t>
  </si>
  <si>
    <t>[SD06000050610] Plato Melamina Anti-ahogo Talla S Verde Perro Mascan</t>
  </si>
  <si>
    <t>SD06000050610</t>
  </si>
  <si>
    <t>[SD06000050707] Plato Melamina Anti-ahogo Talla M Naranjo Perro Mascan</t>
  </si>
  <si>
    <t>SD06000050707</t>
  </si>
  <si>
    <t>[SD06000050709] Plato Melamina Anti-ahogo Talla M Rojo Perro Mascan</t>
  </si>
  <si>
    <t>SD06000050709</t>
  </si>
  <si>
    <t>[SD06000050710] Plato Melamina Anti-ahogo Talla M Verde Perro Mascan</t>
  </si>
  <si>
    <t>SD06000050710</t>
  </si>
  <si>
    <t>[SD06000050807] Plato Melamina Anti-ahogo Talla L Naranjo Perro Mascan</t>
  </si>
  <si>
    <t>SD06000050807</t>
  </si>
  <si>
    <t>[SD06000050809] Plato Melamina Anti-ahogo Talla L Rojo Perro Mascan</t>
  </si>
  <si>
    <t>SD06000050809</t>
  </si>
  <si>
    <t>[SD06000050810] Plato Melamina Anti-ahogo Talla L Verde Perro Mascan</t>
  </si>
  <si>
    <t>SD06000050810</t>
  </si>
  <si>
    <t>[SD06000050907] Plato Melamina Anti-ahogo Talla Xl Naranjo Perro Mascan</t>
  </si>
  <si>
    <t>SD06000050907</t>
  </si>
  <si>
    <t>[SD06000060602] Plato Melamina Sólido Redondo Azul Talla S Perro Mascan</t>
  </si>
  <si>
    <t>SD06000060602</t>
  </si>
  <si>
    <t>[SD06000060608] Plato Melamina Sólido Redondo Negro Talla S Perro</t>
  </si>
  <si>
    <t>SD06000060608</t>
  </si>
  <si>
    <t>[SD06000060612] Plato Melamina Sólido Redondo Morado Talla S Perro</t>
  </si>
  <si>
    <t>SD06000060612</t>
  </si>
  <si>
    <t>[SD06000060621] Plato Melamina Sólido Redondo Fucsia Talla S Perro</t>
  </si>
  <si>
    <t>SD06000060621</t>
  </si>
  <si>
    <t>[SD06000060712] Plato Melamina Sólido Redondo Morado Talla M Perro</t>
  </si>
  <si>
    <t>SD06000060712</t>
  </si>
  <si>
    <t>[SD06000060721] Plato Melamina Sólido Redondo Fucsia Talla M Perro</t>
  </si>
  <si>
    <t>SD06000060721</t>
  </si>
  <si>
    <t>[SD06000060802] Plato Melamina Sólido Redondo Azul Talla L Perro Mascan</t>
  </si>
  <si>
    <t>SD06000060802</t>
  </si>
  <si>
    <t>[SD06000060808] Plato Melamina Sólido Redondo Negro Talla L Perro</t>
  </si>
  <si>
    <t>SD06000060808</t>
  </si>
  <si>
    <t>[SD06000060812] Plato Melamina Sólido Redondo Morado Talla L Perro</t>
  </si>
  <si>
    <t>SD06000060812</t>
  </si>
  <si>
    <t>[SD06000060821] Plato Melamina Sólido Redondo Fucsia Talla L Perro</t>
  </si>
  <si>
    <t>SD06000060821</t>
  </si>
  <si>
    <t>[SD06000060902] Plato Melamina Sólido Redondo Azul Talla Xl Perro</t>
  </si>
  <si>
    <t>SD06000060902</t>
  </si>
  <si>
    <t>[SD06000060908] Plato Melamina Sólido Redondo Negro Talla Xl Perro</t>
  </si>
  <si>
    <t>SD06000060908</t>
  </si>
  <si>
    <t>[SD06000060912] Plato Melamina Sólido Redondo Morado Para Perro XL Mascan</t>
  </si>
  <si>
    <t>SD06000060912</t>
  </si>
  <si>
    <t>[SD06000060921] Plato Melamina Sólido Redondo Fucsia Talla Xl Perro</t>
  </si>
  <si>
    <t>SD06000060921</t>
  </si>
  <si>
    <t>[SD06000080609] Plato Melamina Motivo Redondo Multicolor Talla S Perro</t>
  </si>
  <si>
    <t>SD06000080609</t>
  </si>
  <si>
    <t>[SD06000080612] Plato Melamina Motivo Redondo Para Perro S Mascan</t>
  </si>
  <si>
    <t>SD06000080612</t>
  </si>
  <si>
    <t>[SD06000080630] Plato Melamina Motivo Redondo Negro Talla S Perro Mascan</t>
  </si>
  <si>
    <t>SD06000080630</t>
  </si>
  <si>
    <t>[SD06000080712] Plato Melamina Motivo Redondo Morado Talla M Perro</t>
  </si>
  <si>
    <t>SD06000080712</t>
  </si>
  <si>
    <t>[SD06000080801] Plato Melamina Motivo Redondo Amarillo Talla L Perro</t>
  </si>
  <si>
    <t>SD06000080801</t>
  </si>
  <si>
    <t>[SD06000080809] Plato Melamina Motivo Redondo Multicolor Talla L Perro</t>
  </si>
  <si>
    <t>SD06000080809</t>
  </si>
  <si>
    <t>[SD06000080812] Plato Melamina Motivo Redondo Morado Talla L Perro</t>
  </si>
  <si>
    <t>SD06000080812</t>
  </si>
  <si>
    <t>[SD06000080830] Plato Melamina Motivo Redondo Para Perro L Mascan</t>
  </si>
  <si>
    <t>SD06000080830</t>
  </si>
  <si>
    <t>[SD06000100707] Plato Plegable Silicona Simple Naranja Para Perro M Mascan</t>
  </si>
  <si>
    <t>SD06000100707</t>
  </si>
  <si>
    <t>[SD06000100710] Plato Plegable Silicona Simple Verde Para Perro M Mascan</t>
  </si>
  <si>
    <t>SD06000100710</t>
  </si>
  <si>
    <t>[SD06000100807] Plato Plegable Silicona Simple Naranjo Talla L Perro</t>
  </si>
  <si>
    <t>SD06000100807</t>
  </si>
  <si>
    <t>[SD06000100810] Plato Plegable Silicona Simple Verde Talla L Perro</t>
  </si>
  <si>
    <t>SD06000100810</t>
  </si>
  <si>
    <t>[SD06000110607] Plato Plegable Silicona Doble Naranjo Talla S Perro</t>
  </si>
  <si>
    <t>SD06000110607</t>
  </si>
  <si>
    <t>[SD06000110610] Plato Plegable Silicona Doble Verde Talla S Perro</t>
  </si>
  <si>
    <t>SD06000110610</t>
  </si>
  <si>
    <t>[SD06000110707] Plato Plegable Silicona Doble Naranjo Talla M Perro</t>
  </si>
  <si>
    <t>SD06000110707</t>
  </si>
  <si>
    <t>[SD06000110710] Plato Plegable Silicona Doble Verde Talla M Perro.</t>
  </si>
  <si>
    <t>SD06000110710</t>
  </si>
  <si>
    <t>[SD06000120601] Plato Melamina Anti-Hormigas Amarillo Para Perro S Mascan</t>
  </si>
  <si>
    <t>SD06000120601</t>
  </si>
  <si>
    <t>[SD06000120609] Plato Melamina Anti-Hormigas Rojo Para Perro S Mascan</t>
  </si>
  <si>
    <t>SD06000120609</t>
  </si>
  <si>
    <t>[SD06000120701] Plato Melamina Anti-hormigas Amarillo Talla M Perro</t>
  </si>
  <si>
    <t>SD06000120701</t>
  </si>
  <si>
    <t>[SD06000120709] Plato Melamina Anti-hormigas Rojo Talla M Perro Mascan</t>
  </si>
  <si>
    <t>SD06000120709</t>
  </si>
  <si>
    <t>[SD06000120801] Plato Melamina Anti-hormigas Amarillo Talla L Perro</t>
  </si>
  <si>
    <t>SD06000120801</t>
  </si>
  <si>
    <t>[SD06000120809] Plato Melamina Anti-hormigas Rojo Talla L Perro Mascan</t>
  </si>
  <si>
    <t>SD06000120809</t>
  </si>
  <si>
    <t>[SD06000130709] Plato Comida Agua Rojo Para Perro M Mascan</t>
  </si>
  <si>
    <t>SD06000130709</t>
  </si>
  <si>
    <t>[SD06000130721] Plato Comida Agua Fucsia Para Perro M Mascan</t>
  </si>
  <si>
    <t>SD06000130721</t>
  </si>
  <si>
    <t>[SD06000130743] Plato Comida Agua Azul Marino Para Perro M Mascan</t>
  </si>
  <si>
    <t>SD06000130743</t>
  </si>
  <si>
    <t>[SD06000130809] Plato Comida Agua Rojo Para Perro L Mascan</t>
  </si>
  <si>
    <t>SD06000130809</t>
  </si>
  <si>
    <t>[SD06000130821] Plato Comida Agua Fucsia Para Perro L Mascan</t>
  </si>
  <si>
    <t>SD06000130821</t>
  </si>
  <si>
    <t>[SD06000130843] Plato Comida Agua Azul Marino Para Perro L Mascan</t>
  </si>
  <si>
    <t>SD06000130843</t>
  </si>
  <si>
    <t>[SD06000140619] Plato Huellitas Celeste Para Perro S Mascan</t>
  </si>
  <si>
    <t>SD06000140619</t>
  </si>
  <si>
    <t>[SD06000140625] Plato Huellitas Rosado Para Perro S Mascan</t>
  </si>
  <si>
    <t>SD06000140625</t>
  </si>
  <si>
    <t>[SD06000140703] Plato Huellitas Blanco Para Perro M Mascan</t>
  </si>
  <si>
    <t>SD06000140703</t>
  </si>
  <si>
    <t>[SD06000140719] Plato Huellitas Celeste Para Perro M Mascan</t>
  </si>
  <si>
    <t>SD06000140719</t>
  </si>
  <si>
    <t>[SD06000140725] Plato Huellitas Rosado Para Perro M Mascan</t>
  </si>
  <si>
    <t>SD06000140725</t>
  </si>
  <si>
    <t>[SD06000140803] Plato Huellitas Blanco Para Perro L Mascan</t>
  </si>
  <si>
    <t>SD06000140803</t>
  </si>
  <si>
    <t>[SD06000140819] Plato Huellitas Celeste Para Perro L Mascan</t>
  </si>
  <si>
    <t>SD06000140819</t>
  </si>
  <si>
    <t>[SD06000140825] Plato Huellitas Rosado Para Perro L Mascan</t>
  </si>
  <si>
    <t>SD06000140825</t>
  </si>
  <si>
    <t>[SD06500011508] Plato Gato Melamina Sólido Redondo Negro Mascan</t>
  </si>
  <si>
    <t>SD06500011508</t>
  </si>
  <si>
    <t>[SD06500011521] Plato Gato Melamina Sólido Redondo Fucsia Mascan</t>
  </si>
  <si>
    <t>SD06500011521</t>
  </si>
  <si>
    <t>[SD06500021508] Plato Gato Doble Melamina Sólido Redondo Negro Mascan</t>
  </si>
  <si>
    <t>SD06500021508</t>
  </si>
  <si>
    <t>[SD06500021521] Plato Gato Doble Melamina Sólido Redondo Fucsia Mascan</t>
  </si>
  <si>
    <t>SD06500021521</t>
  </si>
  <si>
    <t>[SD06500061502] Plato Gato Melamina Motivo Redondo Mascan</t>
  </si>
  <si>
    <t>SD06500061502</t>
  </si>
  <si>
    <t>[SD06500061525] Plato Gato Melamina Redondo Mascan</t>
  </si>
  <si>
    <t>SD06500061525</t>
  </si>
  <si>
    <t>[SD09000031507] Porta Bolsas Sanitarias Cilindro Naranjo Perro Mascan</t>
  </si>
  <si>
    <t>SD09000031507</t>
  </si>
  <si>
    <t>[SD09000031510] Porta Bolsas Sanitarias Cilindro Verde Perro Mascan</t>
  </si>
  <si>
    <t>SD09000031510</t>
  </si>
  <si>
    <t>[SD09000041508] Porta Bolsas Sanitarias Hueso Negro Perro Mascan</t>
  </si>
  <si>
    <t>SD09000041508</t>
  </si>
  <si>
    <t>[SD09000041521] Porta Bolsas Sanitarias Hueso Fucsia Perro Mascan</t>
  </si>
  <si>
    <t>SD09000041521</t>
  </si>
  <si>
    <t>[SD09500011503] Pala Sanitaria Melamina Para Gatos Blanco Mascan</t>
  </si>
  <si>
    <t>SD09500011503</t>
  </si>
  <si>
    <t>[SIMBACOHA-55] Basurero Cocina Handy 55lts Táctil Acero Inox Simplit</t>
  </si>
  <si>
    <t>[SIMBACOIR-40] Basurero Cocina Iron 40lts Pedal Acero Inox Simplit</t>
  </si>
  <si>
    <t>130.00</t>
  </si>
  <si>
    <t>266.00</t>
  </si>
  <si>
    <t>431.00</t>
  </si>
  <si>
    <t>52.00</t>
  </si>
  <si>
    <t>[SIMCAFFRCO] Cafetera Prensa Francesa Vidrio Cobre 600 ml Simplit</t>
  </si>
  <si>
    <t>[SIMCUMAR-BK] Set Cuchillos 5 pcs Paris Acero Inoxidable Simplit</t>
  </si>
  <si>
    <t>401.00</t>
  </si>
  <si>
    <t>218.00</t>
  </si>
  <si>
    <t>291.00</t>
  </si>
  <si>
    <t>[SIMDECCHA] Decantador Aireador Vino Chateau 1650ml</t>
  </si>
  <si>
    <t>[SIMDESSOM] Descorchador Abridor Vino Sommelier Simplit</t>
  </si>
  <si>
    <t>[SIMFUEAMA] Fuente Ovalada Aperitivo Cerámica 36 cm Amalfi Simplit</t>
  </si>
  <si>
    <t>232.00</t>
  </si>
  <si>
    <t>[SIMJARTER-BK] Jarra Termo Liquido Insulado 1 Lt Simplit (Negro)</t>
  </si>
  <si>
    <t>[SIMJARTER-GR] Jarra Termo Liquido Insulado 1 Lt Simplit (Gris)</t>
  </si>
  <si>
    <t>98.00</t>
  </si>
  <si>
    <t>[SIMJARTER-WH] Jarra Termo Liquido Insulado 1 Lt Simplit (Blanco)</t>
  </si>
  <si>
    <t>97.00</t>
  </si>
  <si>
    <t>69.00</t>
  </si>
  <si>
    <t>[SIMMANCC-BK] Mantequillero Cerámica Tapa Bamboo + Cuchillo 600 ml Simplit (-, Negro)</t>
  </si>
  <si>
    <t>297.00</t>
  </si>
  <si>
    <t>[SIMMANCC-BK] Mantequillero Cerámica Tapa Bamboo + Cuchillo 600 ml Simplit (-, Negro)  (2)</t>
  </si>
  <si>
    <t>565.00</t>
  </si>
  <si>
    <t>[SIMO18TOUL] Olla Salsa Antiadherente 18cm Toulouse Simplit</t>
  </si>
  <si>
    <t>497.00</t>
  </si>
  <si>
    <t>[SIMO24TOUL] Olla Antiadherente 24cm Toulouse Simplit</t>
  </si>
  <si>
    <t>521.00</t>
  </si>
  <si>
    <t>545.00</t>
  </si>
  <si>
    <t>151.00</t>
  </si>
  <si>
    <t>394.00</t>
  </si>
  <si>
    <t>82.00</t>
  </si>
  <si>
    <t>276.00</t>
  </si>
  <si>
    <t>[SOCA01] Soporte Celular para Vehiculos Uplift</t>
  </si>
  <si>
    <t>SOCA01</t>
  </si>
  <si>
    <t>[SPAN] Naipes Españoles Lingo</t>
  </si>
  <si>
    <t>SPAN</t>
  </si>
  <si>
    <t>[STEL1] Stellö, Juego De Mesa Estrategia Möbi</t>
  </si>
  <si>
    <t>STEL1</t>
  </si>
  <si>
    <t>[T-250] PINZAS DE SILICONA PARA ALIMENTOS</t>
  </si>
  <si>
    <t>T-250</t>
  </si>
  <si>
    <t>[T626] Te Funn Fx - Bmx Negra 50mm Funn</t>
  </si>
  <si>
    <t>T626</t>
  </si>
  <si>
    <t>[TAN-007] Tangram Creativo Imanix</t>
  </si>
  <si>
    <t>TAN-007</t>
  </si>
  <si>
    <t>[TD10000010708] Cama Impermeable Con Memory Foam Perro Mascan Talla M</t>
  </si>
  <si>
    <t>TD10000010708</t>
  </si>
  <si>
    <t>[TD10000020615] Cama Reversible Doble Color Perro Talla S Café Mascan</t>
  </si>
  <si>
    <t>TD10000020615</t>
  </si>
  <si>
    <t>[TD10000020715] Cama Reversible Doble Color Perro Talla M Café Mascan</t>
  </si>
  <si>
    <t>TD10000020715</t>
  </si>
  <si>
    <t>[TD10000020812] Cama Reversible Doble Color Perro Talla L Morado Mascan</t>
  </si>
  <si>
    <t>TD10000020812</t>
  </si>
  <si>
    <t>[TD10000020815] Cama Reversible Doble Color Perro Talla L Café Mascan</t>
  </si>
  <si>
    <t>TD10000020815</t>
  </si>
  <si>
    <t>[TD10000020912] Cama Reversible Doble Color Perro Talla Xl Morado</t>
  </si>
  <si>
    <t>TD10000020912</t>
  </si>
  <si>
    <t>[TL01500011502] Collar Doble Seguridad Azul Para Gato Mascan</t>
  </si>
  <si>
    <t>TL01500011502</t>
  </si>
  <si>
    <t>[TL01500011509] Collar Doble Seguridad Rojo Para Gato Mascan</t>
  </si>
  <si>
    <t>TL01500011509</t>
  </si>
  <si>
    <t>[TL01500021509] Collar Reflectante Rojo Para Gato Mascan</t>
  </si>
  <si>
    <t>TL01500021509</t>
  </si>
  <si>
    <t>[TL01500021521] Collar Reflectante Fucsia Para Gato Mascan</t>
  </si>
  <si>
    <t>TL01500021521</t>
  </si>
  <si>
    <t>[TL01500031502] Collar Acolchado Reflectante Azul Para Gato Mascan</t>
  </si>
  <si>
    <t>TL01500031502</t>
  </si>
  <si>
    <t>[TL01500031521] Collar Acolchado Reflectante Fucsia Para Gato Mascan</t>
  </si>
  <si>
    <t>TL01500031521</t>
  </si>
  <si>
    <t>[TL02000010508] Arnés Multiuso Negro Para Perro XS Mascan</t>
  </si>
  <si>
    <t>TL02000010508</t>
  </si>
  <si>
    <t>[TL02000010608] Arnés Multiuso Negro Para Perro S Mascan</t>
  </si>
  <si>
    <t>TL02000010608</t>
  </si>
  <si>
    <t>[TL02000010708] Arnés Multiuso Negro Para Perro M Mascan</t>
  </si>
  <si>
    <t>TL02000010708</t>
  </si>
  <si>
    <t>[TL02000010808] Arnés Multiuso L Perros Mascotas Negro Mascan</t>
  </si>
  <si>
    <t>TL02000010808</t>
  </si>
  <si>
    <t>[TL02000010908] Arnés Multiuso XL Perros Mascotas Negro Mascan</t>
  </si>
  <si>
    <t>TL02000010908</t>
  </si>
  <si>
    <t>[TL02500011502] Arnés Y Correa Gato Acolchado Reflectante Azul Mascan</t>
  </si>
  <si>
    <t>TL02500011502</t>
  </si>
  <si>
    <t>[TL03000010708] Correa Para Perro Doble Mascan</t>
  </si>
  <si>
    <t>TL03000010708</t>
  </si>
  <si>
    <t>[VINDECROUG] Decantador Vino Clásico - La Vinoteca</t>
  </si>
  <si>
    <t>VINDECROUG</t>
  </si>
  <si>
    <t>[VINFECAC] Set Cachos + caja y bolsa</t>
  </si>
  <si>
    <t>VINFECAC</t>
  </si>
  <si>
    <t>250.00</t>
  </si>
  <si>
    <t>[W000828WE] Destornillador Punta Intercambiable 6 En 1 Workpro</t>
  </si>
  <si>
    <t>W000828WE</t>
  </si>
  <si>
    <t>[W000848WE] Juego Set De Puntas de Destornillador 13 Piezas Workpro</t>
  </si>
  <si>
    <t>W000848WE</t>
  </si>
  <si>
    <t>[W016009WE] Arco Sierra Robusto 300mm Workpro</t>
  </si>
  <si>
    <t>W016009WE</t>
  </si>
  <si>
    <t>[W016031WE] Serrucho Mango Ergonomico 350mm Workpro</t>
  </si>
  <si>
    <t>W016031WE</t>
  </si>
  <si>
    <t>[W016036WE] Serrucho Mango Ergonomico 600mm Workpro</t>
  </si>
  <si>
    <t>W016036WE</t>
  </si>
  <si>
    <t>[W072016WE] Llave Extra Ancha 2 En 1 Ajustable 200mm Workpro</t>
  </si>
  <si>
    <t>W072016WE</t>
  </si>
  <si>
    <t>[WIG1] Wigloo, Juguete Sensorial, Mordedor Möbi</t>
  </si>
  <si>
    <t>WIG1</t>
  </si>
  <si>
    <t>[WTAUSS] Aussie Slang WT Jugando A Las Cartas Lingo</t>
  </si>
  <si>
    <t>WTAUSS</t>
  </si>
  <si>
    <t>[WTMAND] Naipes Mandaínes WT Lingo</t>
  </si>
  <si>
    <t>WTMAND</t>
  </si>
  <si>
    <t>[XRHYDLAV-OR] Hidrolavadora Eléctrica 1800W 120 Bar HydroX Xroad</t>
  </si>
  <si>
    <t>[XRPISUNIS-BK] Alfombra Piso de Goma para auto Universal 4 piezas Xroad</t>
  </si>
  <si>
    <t>[YB01000071008] Collar Perro Con Diamantes Eco Cuero 2Xl Negro Mascan</t>
  </si>
  <si>
    <t>YB01000071008</t>
  </si>
  <si>
    <t>[YB01000071015] Collar Perro Con Diamantes Eco Cuero 2Xl Café Mascan</t>
  </si>
  <si>
    <t>YB01000071015</t>
  </si>
  <si>
    <t>[YB01000071025] Collar Perro Con Diamantes Eco Cuero 2Xl Rosado Mascan</t>
  </si>
  <si>
    <t>YB01000071025</t>
  </si>
  <si>
    <t>[YB01000110921] Collar Perro Calavera Puntas Redondas Xl Fucsia Mascan</t>
  </si>
  <si>
    <t>YB01000110921</t>
  </si>
  <si>
    <t>[YB01000110926] Collar Perro Calavera Puntas Redondas  Xl Dorado Mascan</t>
  </si>
  <si>
    <t>YB01000110926</t>
  </si>
  <si>
    <t>[YB01000111021] Collar Perro Calavera Puntas Redondas 2Xl Fucsia Mascan</t>
  </si>
  <si>
    <t>YB01000111021</t>
  </si>
  <si>
    <t>[YB01000111026] Collar Perro Calavera Puntas Redondas 2Xl Dorado Mascan</t>
  </si>
  <si>
    <t>YB01000111026</t>
  </si>
  <si>
    <t>[YB01000111121] Collar Perro Calavera Puntas Redondas 3Xl Fucsia Mascan</t>
  </si>
  <si>
    <t>YB01000111121</t>
  </si>
  <si>
    <t>[YB01000111126] Collar Perro Calavera Puntas Redondas 3Xl Dorado Mascan</t>
  </si>
  <si>
    <t>YB01000111126</t>
  </si>
  <si>
    <t>[sc12] Plato Plegable Perro Para Preparar Comida Gris Mascan</t>
  </si>
  <si>
    <t>sc12</t>
  </si>
  <si>
    <t>[sc15] Juguete Dispensador Botella Verde Perro Mascan</t>
  </si>
  <si>
    <t>sc15</t>
  </si>
  <si>
    <t>[sc8] Mochila Desmontable Fashion Para Perro Azul XL Mascan</t>
  </si>
  <si>
    <t>sc8</t>
  </si>
  <si>
    <t>[sc9] Mochila Desmontable Fashion Para Perro Café XL Mascan</t>
  </si>
  <si>
    <t>sc9</t>
  </si>
  <si>
    <t>Jabón Líquido 500 ML - PASSION FIG (Terra)</t>
  </si>
  <si>
    <t>MLL Afeitadora portatil</t>
  </si>
  <si>
    <t>MK/Stock</t>
  </si>
  <si>
    <t>[67114507143511] Metalófono Cromatico 25 Notas Infantil Azul Klip Klap</t>
  </si>
  <si>
    <t>[68113450489367] Banda Smartband Lhotse KIDS R01 Purple</t>
  </si>
  <si>
    <t>[6902221386182] Estuche Box Pencil Classic Mint Rpet Bubba Bags</t>
  </si>
  <si>
    <t>[6902221386359] Lonchera Classic Onyx Rpet Bubba Bags</t>
  </si>
  <si>
    <t>[6902221386397] Lonchera Classic Mint Rpet Bubba Bags</t>
  </si>
  <si>
    <t>[LVPANTOTPUB-43] Pantalla Totem Publicitario 43" Touch Android Wifi Usb Levo</t>
  </si>
  <si>
    <t>[MLLLHPANTF] MUESTRA Pantuflas Lhotse</t>
  </si>
  <si>
    <t>MLLLHPANTF</t>
  </si>
  <si>
    <t>[MLLLVCNJC] MUESTRA Joystick Nintendo Switch Joy-Con</t>
  </si>
  <si>
    <t>MLLLVCNJC</t>
  </si>
  <si>
    <t>[MLLLVPRCL] Muestra Proyector YG341</t>
  </si>
  <si>
    <t>MLLLVPRCL</t>
  </si>
  <si>
    <t>[MLLMBMAI] MUESTRA Bombilla Metalica Acero Inoxidable</t>
  </si>
  <si>
    <t>MLLMBMAI</t>
  </si>
  <si>
    <t>[MLLPARBN] MUESTRA Parlante Impermeable Baño</t>
  </si>
  <si>
    <t>MLLPARBN</t>
  </si>
  <si>
    <t>[MLLSMCAFETELEC] Muestra Cafetera Eléctrica</t>
  </si>
  <si>
    <t>MLLSMCAFETELEC</t>
  </si>
  <si>
    <t>[MLLSMDESCVN] MUESTRA Descorchador de Vino 2</t>
  </si>
  <si>
    <t>MLLSMDESCVN</t>
  </si>
  <si>
    <t>POS/Stock</t>
  </si>
  <si>
    <t>1,186.00</t>
  </si>
  <si>
    <t>[1-MA-M] Bolsa Courier Compostable Materiactiva</t>
  </si>
  <si>
    <t>1-MA-M</t>
  </si>
  <si>
    <t>[10020020080107] Olla Multiuso Multicooker Fast Pot 7,6 Lt EasyWays</t>
  </si>
  <si>
    <t>[10080100240107] Set 3 accesorios de pasta para Batidora Hook Mixer EasyWays</t>
  </si>
  <si>
    <t>[1123001] Ukelele Soprano C/Binding Kala</t>
  </si>
  <si>
    <t>[16206] Cuatrimoto R/C Con Figura Spiderman</t>
  </si>
  <si>
    <t>[1650302277807] Barras Portaequipajes Parrilla Autos R13 Xroad</t>
  </si>
  <si>
    <t>[1660858118518-FF] Mantequillero Cerámica Tapa Bamboo + Cuchillo 600 ml Simplit</t>
  </si>
  <si>
    <t>1660858118518-FF</t>
  </si>
  <si>
    <t>[21408] Figura de Acción 5 cm Sonic</t>
  </si>
  <si>
    <t>[22130608872] Mochila Montreal Fancy Black Mini Bubba Bags</t>
  </si>
  <si>
    <t>[25803] Marco Messege Rec 10 Seg Balvi</t>
  </si>
  <si>
    <t>[26055] Marco Mignon X2 Balvi</t>
  </si>
  <si>
    <t>[26136] Figura de Acción 10 cm Dragon Ball</t>
  </si>
  <si>
    <t>[261740] Huevo Epico Smashers Dino Island Zuru</t>
  </si>
  <si>
    <t>[26808] Cojin Kitty Negro Balvi</t>
  </si>
  <si>
    <t>[269670] Pack 5 Figuras Sonic De 7 Cms</t>
  </si>
  <si>
    <t>[27027] Cojin Kitty Blanco Balvi</t>
  </si>
  <si>
    <t>[27722] Peluche Snackles De 35 cm De Zuru</t>
  </si>
  <si>
    <t>[32-100-C1] Termo Líquidos Mondial Verde 1Lt Thermos</t>
  </si>
  <si>
    <t>32-100-C1</t>
  </si>
  <si>
    <t>[33743] Peluche Basico Sonic De 23 cm Pelicula Sonic 3</t>
  </si>
  <si>
    <t>[632627814090] Anteojos Thom Tortoise Inztinto</t>
  </si>
  <si>
    <t>[632627814373] Anteojos Miró Tortoise Inztinto</t>
  </si>
  <si>
    <t>[67898303200803] Banda Smartband Lhotse Urban GT (Azul)</t>
  </si>
  <si>
    <t>[6902221385888] Billetera Classic Mint Regular Rpet Bubba Bags</t>
  </si>
  <si>
    <t>[6902221386205] Estuche Box Pencil Classic Onyx Black Rpet Bubba Bags</t>
  </si>
  <si>
    <t>[6902221386687] Banano Classic Onyx  Rpet Bubba Essentials</t>
  </si>
  <si>
    <t>[6902221396655] Mochila Montreal Mary Rose Mini Bubba Essentials</t>
  </si>
  <si>
    <t>[6902221405371] Botella Insulada Flamingo 26 Oz Bubba Essentials</t>
  </si>
  <si>
    <t>[6902221415752] Travel Backpack Cabin Lilac Bubba Essentials</t>
  </si>
  <si>
    <t>[6902221415769] Travel Backpack Cabin Sky Bubba Essentials</t>
  </si>
  <si>
    <t>[6902221419217] Porta Documentos Travel Lilac Bubba Essentials</t>
  </si>
  <si>
    <t>[6902221441188] Mochila Originals Classic Onyx Regular Bubba Essentials</t>
  </si>
  <si>
    <t>[6902221441287] Cartera Crossbag Matte Black Velvet Bubba Essentials</t>
  </si>
  <si>
    <t>[6902221441461] Banano Classic Onyx Bubba Essentials</t>
  </si>
  <si>
    <t>[80-41107] Shampoo Púrpura Sun Bum</t>
  </si>
  <si>
    <t>80-41107</t>
  </si>
  <si>
    <t>[80-41120] Potenciador de Tono Capilar Sun Bum</t>
  </si>
  <si>
    <t>80-41120</t>
  </si>
  <si>
    <t>[80-41330] Protector de Calor para el Cabello Sun Bum</t>
  </si>
  <si>
    <t>80-41330</t>
  </si>
  <si>
    <t>[80-41370] Anti Frizz Oil Mist 88 ml Sun Bum</t>
  </si>
  <si>
    <t>80-41370</t>
  </si>
  <si>
    <t>[Clak004] Silla de Comer Plegable Niño Salvia Clak</t>
  </si>
  <si>
    <t>Clak004</t>
  </si>
  <si>
    <t>[FA251-1] Innybin Juego De Encaje Y Descubrimiento FatBrain Toys</t>
  </si>
  <si>
    <t>FA251-1</t>
  </si>
  <si>
    <t>[GT360] Par De Candados Tsa Con Cable</t>
  </si>
  <si>
    <t>GT360</t>
  </si>
  <si>
    <t>[IMA-100] Imanix Juego de Construcción Magnético100 piezas</t>
  </si>
  <si>
    <t>IMA-100</t>
  </si>
  <si>
    <t>[MATE-450MORADO] Termo Mug Café/Mate Morado 400ml Thermos</t>
  </si>
  <si>
    <t>MATE-450MORADO</t>
  </si>
  <si>
    <t>[MATE-450ROJO] Termo Mug Café/Mate Rojo 400ml Thermos</t>
  </si>
  <si>
    <t>MATE-450ROJO</t>
  </si>
  <si>
    <t>[MCO001-1] Home Spray 500 Ml Passion Fig Ámbar Madison</t>
  </si>
  <si>
    <t>MCO001-1</t>
  </si>
  <si>
    <t>[MCO002-1] Home Spray 500 Ml Saint Sandal Ámbar Madison</t>
  </si>
  <si>
    <t>MCO002-1</t>
  </si>
  <si>
    <t>[MCO003-1] Home Spray 500 Ml Green Citrus Ámbar Madison</t>
  </si>
  <si>
    <t>MCO003-1</t>
  </si>
  <si>
    <t>[MCO003-2] Home Spray 500 Ml Green Citrus Negro Madison</t>
  </si>
  <si>
    <t>MCO003-2</t>
  </si>
  <si>
    <t>[MCO007] Jabón Líquido 500 Ml Green Citrus Transparente Madison</t>
  </si>
  <si>
    <t>MCO007</t>
  </si>
  <si>
    <t>[MCO015] Difusor Auto 8 Ml Wild Berries Madison</t>
  </si>
  <si>
    <t>MCO015</t>
  </si>
  <si>
    <t>[MCO020-2] Difusor Varitas 250 Ml Green Citrus Negro Madison</t>
  </si>
  <si>
    <t>MCO020-2</t>
  </si>
  <si>
    <t>[MCO038] Difusor Varitas 150 Ml Black Cedar Transparente Madison</t>
  </si>
  <si>
    <t>MCO038</t>
  </si>
  <si>
    <t>[MCO042] Mini Home Spray 120 Ml Ala Moana Transparente Madison</t>
  </si>
  <si>
    <t>MCO042</t>
  </si>
  <si>
    <t>[MCO073] Refill Difusor Varitas 500 ml Passion Fig Madison</t>
  </si>
  <si>
    <t>MCO073</t>
  </si>
  <si>
    <t>[MCO074] Refill Difusor Varitas 500 Ml Green Citrus Madison</t>
  </si>
  <si>
    <t>MCO074</t>
  </si>
  <si>
    <t>[MCO075] Refill Difusor Varitas 500 Ml Tropical Chic Madison</t>
  </si>
  <si>
    <t>MCO075</t>
  </si>
  <si>
    <t>[MCO077] Refill Difusor Varitas 500 Ml Summer Days Madison</t>
  </si>
  <si>
    <t>MCO077</t>
  </si>
  <si>
    <t>[MCO096-2] Difusor Varitas 250 Ml Saint Sandal Negro Madison</t>
  </si>
  <si>
    <t>MCO096-2</t>
  </si>
  <si>
    <t>[MCO097] Refill Difusor Varitas 500 ml Saint Sandal Madison</t>
  </si>
  <si>
    <t>MCO097</t>
  </si>
  <si>
    <t>[MCO160-2] Home Spray 500 Ml Summer Days Negro Madison</t>
  </si>
  <si>
    <t>MCO160-2</t>
  </si>
  <si>
    <t>[MCO164] Difusor Varitas 150 Ml Summer Days Transparente Madison</t>
  </si>
  <si>
    <t>MCO164</t>
  </si>
  <si>
    <t>[MCO242] Refill Home Spray 1 Lt Summer Days Madison</t>
  </si>
  <si>
    <t>MCO242</t>
  </si>
  <si>
    <t>[MS01] Hervidor Eléctrico con Control de Temperatura Negro Mouvair</t>
  </si>
  <si>
    <t>MS01</t>
  </si>
  <si>
    <t>[PACKCNS24] Pack Renovación Total Regenerador Caracol Natural</t>
  </si>
  <si>
    <t>PACKCNS24</t>
  </si>
  <si>
    <t>[RC-STR22] Strap Correa para Anteojos De Cuero Negro Raiquen</t>
  </si>
  <si>
    <t>RC-STR22</t>
  </si>
  <si>
    <t>[SD00000051502] Tapa De Silicona Para Latas Azul Perro Mascan</t>
  </si>
  <si>
    <t>SD00000051502</t>
  </si>
  <si>
    <t>[SE-067] Molde De Silicona 12 Muffins Cupcake Repostería Marble</t>
  </si>
  <si>
    <t>SE-067</t>
  </si>
  <si>
    <t>[SIMACCBANB-WH] Set Accesorios de Baño 6pcs Bambo Blanco Simplit</t>
  </si>
  <si>
    <t>[SIMTAZSIE-4] Set 4 Vasos Cerámica 270 ml Siena Simplit</t>
  </si>
  <si>
    <t>[TD10000010808] Cama Impermeable Con Memory Foam Perro Mascan Talla L</t>
  </si>
  <si>
    <t>TD10000010808</t>
  </si>
  <si>
    <t>[67933856404072] Set 6 Vasos Corto Vintage Charlotte 200ml Simplit  (2)</t>
  </si>
  <si>
    <t>[LHBOHY95-BK] Botella Térmica Insulada Lhotse Hydro 960ml Negro  (2)</t>
  </si>
  <si>
    <t>Total</t>
  </si>
  <si>
    <t>187,820.00</t>
  </si>
  <si>
    <t xml:space="preserve"> P Etiqueta</t>
  </si>
  <si>
    <t xml:space="preserve"> PVP</t>
  </si>
  <si>
    <t xml:space="preserve"> Costo Oferta</t>
  </si>
  <si>
    <t xml:space="preserve"> Costo MLL</t>
  </si>
  <si>
    <t>100+</t>
  </si>
  <si>
    <t>50 y 99</t>
  </si>
  <si>
    <t>10 y 49</t>
  </si>
  <si>
    <t xml:space="preserve">Total </t>
  </si>
  <si>
    <t>Total Levo</t>
  </si>
  <si>
    <t>Total Marca</t>
  </si>
  <si>
    <t>Suma total</t>
  </si>
  <si>
    <t>CLUSTER</t>
  </si>
  <si>
    <t>PVP Oferta Competitivo</t>
  </si>
  <si>
    <t>Caja Master</t>
  </si>
  <si>
    <t>A</t>
  </si>
  <si>
    <t>Atmosphera</t>
  </si>
  <si>
    <t>Alfombras</t>
  </si>
  <si>
    <t>Alfombra Yute redonda impresa malakite 118 cm</t>
  </si>
  <si>
    <t>168857Z</t>
  </si>
  <si>
    <t>Alfombra Yute Borde Blanco 120 x 170 cm</t>
  </si>
  <si>
    <t>Alfombra Yute de pasillo 80 cm x 200 cm</t>
  </si>
  <si>
    <t>Alfombra de exterior/interior Luka 120 cm x 170 cm</t>
  </si>
  <si>
    <t>Alfombra de exterior/interior Luka 160 cm x 230 cm</t>
  </si>
  <si>
    <t>Muebles deco</t>
  </si>
  <si>
    <t>Rack Tv 2 puertas Colva</t>
  </si>
  <si>
    <t>Respaldo Aoni Ratan 160 cm x 140 cm</t>
  </si>
  <si>
    <t>Respaldo Ronnie Ratan 160 cm x 100 cm</t>
  </si>
  <si>
    <t>Velador Yute 1 cajon Rayo</t>
  </si>
  <si>
    <t>Velador Ratan 1 cajon Aoni</t>
  </si>
  <si>
    <t>114516A</t>
  </si>
  <si>
    <t>Velador 1 cajon blanco Chrysa</t>
  </si>
  <si>
    <t>Comoda doble 6 cajones Rayo</t>
  </si>
  <si>
    <t>Comoda 12 cajones Ajay</t>
  </si>
  <si>
    <t>Lampara de pie tripode madera negra 145 cm Runo</t>
  </si>
  <si>
    <t>Lampara de pie arco bambu natural 173 cm Liby</t>
  </si>
  <si>
    <t>Lampra de pie arco metal 180 cm Rahe</t>
  </si>
  <si>
    <t>181024L</t>
  </si>
  <si>
    <t>Cojines</t>
  </si>
  <si>
    <t>Cojin reciclado etnico 45X45 cm</t>
  </si>
  <si>
    <t>Cojin flecos y lazoi 45X45 cm</t>
  </si>
  <si>
    <t>5Five</t>
  </si>
  <si>
    <t>Bandejas</t>
  </si>
  <si>
    <t>Bandeja Rectangular Angular 44X29 cm Bambú 5Five</t>
  </si>
  <si>
    <t>Espejos</t>
  </si>
  <si>
    <t>Joyero De Bambu Con Espejo 15X15X9 Cm 5Five</t>
  </si>
  <si>
    <t>Banca Madera Mix Café 105 X 34 X 50 cm 5 Five</t>
  </si>
  <si>
    <t>Cafetera Italiana acero 6 Tazas Negro 5Five</t>
  </si>
  <si>
    <t>Alfombra Natura De Yute Beige 160X230 cm Atmosphera</t>
  </si>
  <si>
    <t>Alfombra Yute Redonda 160 cm Atmosphera</t>
  </si>
  <si>
    <t>Alfombra Yute Natural 120X170 cm Atmosphera</t>
  </si>
  <si>
    <t>168857J</t>
  </si>
  <si>
    <t>Alfombra Yute Borde Negro 120X170 cm Atmosphera</t>
  </si>
  <si>
    <t>Alfombra Yute Redonda 120 cm Atmosphera</t>
  </si>
  <si>
    <t>Alfombra Yute Redonda Con Borde Negro 120 cm Atmosphera</t>
  </si>
  <si>
    <t>Cajas decorativas</t>
  </si>
  <si>
    <t>Costurero Oria 30 Cm De Largo Atmosphera</t>
  </si>
  <si>
    <t>Cojín Macrame 30X50 cm Atmosphera</t>
  </si>
  <si>
    <t>Cojin Algodón Y Polister Sand Cop 40X40 cm Atmosphera</t>
  </si>
  <si>
    <t>Cojin Inca Algodón Y Poliester 40X40 cm Terracota Atmosphera</t>
  </si>
  <si>
    <t>Espejo Redondo Alice 76 cm Con Borde Metal Dorado Atmosphera</t>
  </si>
  <si>
    <t>200200B</t>
  </si>
  <si>
    <t>Espejo Redondo Alice 38 cm Borde Metal Dorado Atmosphera</t>
  </si>
  <si>
    <t>Luces Decorativas</t>
  </si>
  <si>
    <t>Guirnalda Led 10 Bolas Blanco 165 cm Atmosphera</t>
  </si>
  <si>
    <t>Mesas de centro</t>
  </si>
  <si>
    <t>Mesa De Centro Solen 4 Cajones 110 X 60 X 47 cm Atmosphera</t>
  </si>
  <si>
    <t>Mesa De Centro Damian 4 Cajones 110 X 60 X 45 cm Atmosphera</t>
  </si>
  <si>
    <t>Mesa De Centro Edena 115 X 65 X 34 cm Atmosphera</t>
  </si>
  <si>
    <t>Arrimo Madera 2 Cajones Charme 110 X 40 X 85 cm Atmosphera</t>
  </si>
  <si>
    <t>Rack Tv Junco Rayo Atmosphera</t>
  </si>
  <si>
    <t>Arrimo Damian 110 X 40 X 85 cm Atmosphera</t>
  </si>
  <si>
    <t>Escalera Deco Dream Bambu Atmosphera</t>
  </si>
  <si>
    <t>Taburete De Madera Woody Natural Atmosphera</t>
  </si>
  <si>
    <t>Organizadores zapato</t>
  </si>
  <si>
    <t>Zapatero de Acero 64x50x18 Cm Atmosphera Negro</t>
  </si>
  <si>
    <t>Berghoff</t>
  </si>
  <si>
    <t>Tablas</t>
  </si>
  <si>
    <t>Tabla Bambú Leo Ranurada BERGHOFF</t>
  </si>
  <si>
    <t>Mortero Blanco Con Tapa BERGHOFF</t>
  </si>
  <si>
    <t>DAY</t>
  </si>
  <si>
    <t>Canasto Organizador Junco 34X24X17 cm DAY</t>
  </si>
  <si>
    <t>Caja De Organización Para Té De Bambú DAY</t>
  </si>
  <si>
    <t>Cajas Organizadoras</t>
  </si>
  <si>
    <t>Organizador Bambu DAY</t>
  </si>
  <si>
    <t>Caja De Almacenamiento Plegable 33X24,5X15 cm DAY</t>
  </si>
  <si>
    <t>Caja De Almacenamiento Plegable 33X24.5X15 cm DAY</t>
  </si>
  <si>
    <t>Caja De Almacenamiento Bambú 23X15 cm DAY</t>
  </si>
  <si>
    <t>Caja De Almacenamiento Plegable 33X24.5X15 cm Gris DAY</t>
  </si>
  <si>
    <t>Caja Almacenamiento Plegable 33X24,5X15 Blanco Day</t>
  </si>
  <si>
    <t>Set De 3 Contenedores De Vidrio Con Tapas Plasticas DAY</t>
  </si>
  <si>
    <t>Set Molinillo Sal Pimienta DAY</t>
  </si>
  <si>
    <t>Vela Led 7,5X15 cm DAY</t>
  </si>
  <si>
    <t>Máquinas de Pan</t>
  </si>
  <si>
    <t>Maquina De Pastas DAY</t>
  </si>
  <si>
    <t>Mesas</t>
  </si>
  <si>
    <t>Mesa Lateral Mdf Metal 70 X 35 cm DAY</t>
  </si>
  <si>
    <t>Mesa Lateral Mdf Y Metal 55X40 cm DAY</t>
  </si>
  <si>
    <t>Mesa Lateral Mdf Con Lamina De Pvc 55*45 cm DAY</t>
  </si>
  <si>
    <t>Mesa Lateral Mdf Con Lamina De Pvc 40*40 cm DAY</t>
  </si>
  <si>
    <t>Repisa 55X15X9 cm Metal Negro DAY</t>
  </si>
  <si>
    <t>Repisa Galeria Blanco 100X10X4.5 cm DAY</t>
  </si>
  <si>
    <t>Repisa Bambú 75X10X4.5 cm DAY</t>
  </si>
  <si>
    <t>Repisa Blanca 50X10X4.5 cm DAY</t>
  </si>
  <si>
    <t>Porta Zapatos 65x29x74 cm Metal con Plástico Negro DAY</t>
  </si>
  <si>
    <t>Set 3 Tablas De Cortar Bamboo Incluye Cuerda DAY</t>
  </si>
  <si>
    <t>Tabla Aperitivo 26X15X3Cm DAY</t>
  </si>
  <si>
    <t>Set 2 Tablas De Cortar 2 Tamaños 14 X 24cm - 25X 35cm DAY</t>
  </si>
  <si>
    <t>Te y Café</t>
  </si>
  <si>
    <t>Tetera De Vidrio 1Lt DAY</t>
  </si>
  <si>
    <t>SecretDeGourmet</t>
  </si>
  <si>
    <t>Accesorios vino</t>
  </si>
  <si>
    <t>Kit De Vino 4 Piezas Con Caja SecretDeGourmet</t>
  </si>
  <si>
    <t>Copas</t>
  </si>
  <si>
    <t>Copas De Gin 4 Unidades 700 ml SecretDeGourmet</t>
  </si>
  <si>
    <t>Hielera Acero Inox Con Tapa Madera SecretDeGourmet</t>
  </si>
  <si>
    <t>Hielera Con Tapa Acero Inoxidable 18x18 Cm SecretDeGourmet</t>
  </si>
  <si>
    <t>Set Tabla + 3 Posillos Aperitivo Black SecretDeGourmet</t>
  </si>
  <si>
    <t>Set Tabla + 3 Posillos Aperitivo Colores SecretDeGourmet</t>
  </si>
  <si>
    <t>194306B</t>
  </si>
  <si>
    <t>Alfombra Living Rug Out+in Gris 120xX170 CM Atmosphera</t>
  </si>
  <si>
    <t>Cojin Inca Algodon Y Poliester 40x40 Ocre Atmosphera</t>
  </si>
  <si>
    <t>Bandeja redonda kord 40 cm mimbre 5Five</t>
  </si>
  <si>
    <t>Funda Cojin Etnik 40x40 cm Atmosphera</t>
  </si>
  <si>
    <t>Secret de Gourmet</t>
  </si>
  <si>
    <t>Soporte Madera Con 6 Vasos De Chupito Secret de Gourmet</t>
  </si>
  <si>
    <t>188890A</t>
  </si>
  <si>
    <t>Set 4 Posa Vasos Mármol 10 cm Blanco Secret de Gourmet</t>
  </si>
  <si>
    <t>Cojin Sequin 30x50 Cm Marfl Atmosphera</t>
  </si>
  <si>
    <t>Mueble Bar con soporte para 25 botellas Aliaj 5Five</t>
  </si>
  <si>
    <t>Espejo Redondo Jane 76 Cm Con Borde Palillos Ratan Atmosphera</t>
  </si>
  <si>
    <t>Day</t>
  </si>
  <si>
    <t>Mesa 30X70Cm Metal Mdf Day</t>
  </si>
  <si>
    <t>Mesa 40X50Cm Metal Mdf Negro Day</t>
  </si>
  <si>
    <t>Bandeja redonda de 35 cm Jacynte mimbre 5Five</t>
  </si>
  <si>
    <t>Set de 6 Posasvasos Madera Bambú Secret de Gourmet</t>
  </si>
  <si>
    <t>Perchero de Pared 5 Ganchos Negro Day</t>
  </si>
  <si>
    <t>Escritorio Cierna 120x53x77 Cm 5Five</t>
  </si>
  <si>
    <t>Alfombra Yute Calada Redonda 120 cm Atmosphera</t>
  </si>
  <si>
    <t>Set de 4 Canastos Yute Emmet Atmosphera</t>
  </si>
  <si>
    <t>Espejo Joe Diametro 45 Cm Metal y MDF Atmosphera</t>
  </si>
  <si>
    <t>Bandeja cuadrada Kord 35cm beige mimbre 5Five</t>
  </si>
  <si>
    <t>Lámpara Exterior 20x24cm Negra a Pilas Day</t>
  </si>
  <si>
    <t>Canasto Yute Natural 38x34 cm Day</t>
  </si>
  <si>
    <t>Espejo Redondo Jane 58 Cm Con Borde Palillos Ratan Atmosphera</t>
  </si>
  <si>
    <t>Menaje Mesa</t>
  </si>
  <si>
    <t>SET ENSALADA ACERO INOXIDABLE NEGRO</t>
  </si>
  <si>
    <t>SOPORTE PARA TORTAS GIRATORIO VIDRIO</t>
  </si>
  <si>
    <t>SOPORTE PARA POSTRES 2 NIVELES BAMBU 25 CM</t>
  </si>
  <si>
    <t>Menaje Cocina</t>
  </si>
  <si>
    <t>SOPORTE CHOCLO 8PCS. NEGRO</t>
  </si>
  <si>
    <t>TABLA DE CORTAR BAMBU CON ANILLO DE SILICONA 28 X 20 CM</t>
  </si>
  <si>
    <t>EXPRIMIDOR RALLADOR 4 EN 1</t>
  </si>
  <si>
    <t>SET DE TIJERAS NEGRAS 3 PIEZAS</t>
  </si>
  <si>
    <t>ABRELATA SILVER PRECISION DE ACERO INOX</t>
  </si>
  <si>
    <t>DANGRILL</t>
  </si>
  <si>
    <t>Parrilla</t>
  </si>
  <si>
    <t>CEPILLO PARRILLA 20 CM</t>
  </si>
  <si>
    <t>INYECTOR MARINADO INOXIDABLE</t>
  </si>
  <si>
    <t>SET DE 3 TABLAS DE CORTAR DE BAMBU 37 X 28 / 29 X 21 / 19 X 14 CM</t>
  </si>
  <si>
    <t>TERMOMETRO DIGITAL ANALOGO ACERO INOXIDABLE</t>
  </si>
  <si>
    <t>Bar y Cocktail</t>
  </si>
  <si>
    <t>SET DE COCTELERIA 5 PIEZAS ACERO INOX</t>
  </si>
  <si>
    <t>SET COCTELERA ACERO INOX BLACK 4 PIEZAS</t>
  </si>
  <si>
    <t>BANDEJA PARA PARRILLA 30 CM METAL MANGO DESMONTABLE</t>
  </si>
  <si>
    <t>PINZA PARRILLA 30 CM ACERO INOXIDABLE</t>
  </si>
  <si>
    <t>PANERA OVALADA METAL Y LONA 30X18X11 CM</t>
  </si>
  <si>
    <t>BALANZA DIGITAL DE COCINA HASTA 5 KG BAMBU</t>
  </si>
  <si>
    <t>SET DE 2 TAZAS DE CAFE VIDRIO DOBLE PARED 80 CC</t>
  </si>
  <si>
    <t>SOPORTE PLEGABLE PARA ASAR TUTOS DE POLLO</t>
  </si>
  <si>
    <t>SOPORTE DE VIDRIO PARA POSTRES RENAISSANCE 3 NIVELES 29 CM</t>
  </si>
  <si>
    <t>MAT SILICONA PARA HORNEAR 50 X 30 CM</t>
  </si>
  <si>
    <t>HIELERA DOBLE PARED ACERO INOX CON PINZA 1,3L</t>
  </si>
  <si>
    <t>CEPILLO DE LIMPIEZA 3 EN 1 PLASTICO</t>
  </si>
  <si>
    <t>Funcionales</t>
  </si>
  <si>
    <t>LIMPIAPIES ANTIDESLIZANTE 40 X 60 CM</t>
  </si>
  <si>
    <t>SET DE VINO LUX 4 PIEZAS</t>
  </si>
  <si>
    <t>Decoración</t>
  </si>
  <si>
    <t>RELOJ BORIS 29 CM, MIX 3 MODELOS SURTIDO</t>
  </si>
  <si>
    <t>SET DE DOS BANDEJAS PARA ASAR. METAL ANTIADHERENTE. 24 X 20 X 4 CM Y 34 X 18 X 2 CM</t>
  </si>
  <si>
    <t>TABLA DE BAMBOO CON ASA 47 X 25 CM</t>
  </si>
  <si>
    <t>Baño</t>
  </si>
  <si>
    <t>SET DE BAÑO CERAMICA GRIS 3 PIEZAS</t>
  </si>
  <si>
    <t>Grouw</t>
  </si>
  <si>
    <t>Jardin</t>
  </si>
  <si>
    <t>PALA JARDINERA ACERO INOXIDABLE Y MANGO ANTIDESLIZANTE 33X 8X4 CM</t>
  </si>
  <si>
    <t>GUANTE CUERO DE ANTE PARA PARRILLA 33 CM HASTA 250 GRADOS</t>
  </si>
  <si>
    <t>SET 3 TAZAS CAFÉ VIDRIO Y METAL 110 CC</t>
  </si>
  <si>
    <t>Urban Products</t>
  </si>
  <si>
    <t>FW1008</t>
  </si>
  <si>
    <t>LIMPIAPIES PVC NATURAL CON DISEÑO MAT 40 X 75 CM</t>
  </si>
  <si>
    <t>BANDEJA ANTIDESLIZANTE GRIS 45 X 32 CM</t>
  </si>
  <si>
    <t>PANERA CUADRADA METAL Y LONA 25X25X10 CM</t>
  </si>
  <si>
    <t>SET 6 POSAVASOS DE PIEDRA PIZARRA CON SOPORTE DE BAMBU 10 CM</t>
  </si>
  <si>
    <t>JERINGA MARINADORA</t>
  </si>
  <si>
    <t>MORTERO MARMOL NEGRO 13 CM</t>
  </si>
  <si>
    <t>Muebles</t>
  </si>
  <si>
    <t>MESA METAL NEGRO D. 38 X 50 CM</t>
  </si>
  <si>
    <t>RELOJ ALEX D. 38 CM MIX 4 MODELOS SURTIDO</t>
  </si>
  <si>
    <t>ASPERSOR DE IMPULSOS / ROCIADOR</t>
  </si>
  <si>
    <t>PRENSA DE HAMBURGUESA PLASTICO</t>
  </si>
  <si>
    <t>COCTELERA VIDRIO 400CC</t>
  </si>
  <si>
    <t>SECADOR DE VERDURAS SPINNER</t>
  </si>
  <si>
    <t>DESMALEZADOR ACERO INOXIDABLE Y MANGO INTIDESLIZANTE 33 X 3 X 4 CM</t>
  </si>
  <si>
    <t>PERCHERO BAMBU CON 8 GANCHOS 175 CM</t>
  </si>
  <si>
    <t>PELADOR PAPAS CON 3 CUCHILLOS</t>
  </si>
  <si>
    <t>PERCHERO CON 8 GANCHOS DE NEGRO 175 CM</t>
  </si>
  <si>
    <t>BALANZA DE COCINA NEGRA HASTA 5KG</t>
  </si>
  <si>
    <t>BASURERO 3L ACERO INOXIDABLE BLANCO</t>
  </si>
  <si>
    <t>TETERA CON FILTRO PARA TE DE ACERO INOXIDABLE CON BOQUILLA 800 CC</t>
  </si>
  <si>
    <t>155686C</t>
  </si>
  <si>
    <t>JARRON AZUL 35 CM VIDRIO RECICLADO</t>
  </si>
  <si>
    <t>SET ALCUZA 4 PIEZAS</t>
  </si>
  <si>
    <t>155686F</t>
  </si>
  <si>
    <t>JARRON VERDE 35 CM VIDRIO RECICLADO</t>
  </si>
  <si>
    <t>AFILADOR CUCHILLOS 3 EN 1</t>
  </si>
  <si>
    <t>PALA JARDINERA CON MEDIDAS ACERO INOXIDABLE Y MANGO ANTIDESLIZANTE 31 X 8 X 4 CM</t>
  </si>
  <si>
    <t>REJILLA PARA ASAR 25 X 24 CM</t>
  </si>
  <si>
    <t>TABLA PARA CORTAR 45 X 15 X 2 CM</t>
  </si>
  <si>
    <t>SET DE CUCHILLOS ACERO INOXIDABLE COLOR MARMOL 5 PIEZAS</t>
  </si>
  <si>
    <t>140070A</t>
  </si>
  <si>
    <t>CANASTO DANILO DE CAÑA PLEGABLE 40 X 41 CM</t>
  </si>
  <si>
    <t>CAFETERA FRANCESA VIDRIO Y ACERO INOXIDABLE 600 CC</t>
  </si>
  <si>
    <t>160873A</t>
  </si>
  <si>
    <t>SET DE BAÑO DE 3 PIEZAS PROPILENO GRIS</t>
  </si>
  <si>
    <t>160873B</t>
  </si>
  <si>
    <t>SET DE BAÑO DE 3 PIEZAS PROPILENO BLANCO</t>
  </si>
  <si>
    <t>160102C</t>
  </si>
  <si>
    <t>FLORERO REDONDO DE VIDRIO RECICLADO AZUL 22 CM</t>
  </si>
  <si>
    <t>AFILADOR CUCHILLOS 4 FUNCIONES</t>
  </si>
  <si>
    <t>100145A</t>
  </si>
  <si>
    <t>SOPLETE COCINA A GAS</t>
  </si>
  <si>
    <t>TETERA CON FILTRO 1,25 LT COLORES DE VIDRIO Y POLIPROPILENO</t>
  </si>
  <si>
    <t>SET DE MOLINILLOS ELECTRICOS BLANCO Y NEGRO PILAS</t>
  </si>
  <si>
    <t>TIJERA CORTA RAMAS 60 CM</t>
  </si>
  <si>
    <t>SET 2 FUENTES BAMBU Y FIERRO FUNDIDO 10 X 10 X 6 CM</t>
  </si>
  <si>
    <t>INICIADOR DE FUEGO ACERO INOX 27 X 16 CM</t>
  </si>
  <si>
    <t>TABLA PRESENTACION DE ACACIA 30 X 20 CM</t>
  </si>
  <si>
    <t>MANGUERA EXTENSIBLE DE 8 A 22 MT, INCLUYE ACCESORIOS</t>
  </si>
  <si>
    <t>SET DE 3 CANASTOS DE YUTE JACKSON NATURAL Y BLANCO</t>
  </si>
  <si>
    <t>SET DE 3 CANASTOS DE YUTE JACKSON NATURAL Y NEGRO</t>
  </si>
  <si>
    <t>SET PARA CORTAR QUESOS BAMBU Y PIZARRA 4 PIEZAS</t>
  </si>
  <si>
    <t>SET DE APERITIVO DE BAMBU Y VIDRIO 7 PIEZAS</t>
  </si>
  <si>
    <t>SET DE APERITIVO DE BAMBU Y VIDRIO 4 PIEZAS</t>
  </si>
  <si>
    <t>SET DE APERITIVO DE BAMBU Y CARAMICA GRES 4 PIEZAS</t>
  </si>
  <si>
    <t>SET DE APERITIVO BAMBU Y VIDRIO 5 PIEZAS</t>
  </si>
  <si>
    <t>GUANTE SILICONA HASTA 350 GRADOS</t>
  </si>
  <si>
    <t>MINI PARRILLA CARBÓN 37CM</t>
  </si>
  <si>
    <t>TETERAS DE CERAMICA 1 LT COLORES</t>
  </si>
  <si>
    <t>PELADOR DE VERDURA EN Y</t>
  </si>
  <si>
    <t>SET DE 4 CANASTOS DE CAÑA EMMET NATURAL</t>
  </si>
  <si>
    <t>FUENTE HIERRO FUNDIDO CON BANDEJA BAMBU 20 X 30 CM</t>
  </si>
  <si>
    <t>137438D</t>
  </si>
  <si>
    <t>RELOJ COCINA LOLY COLOR PLATA 22 CM</t>
  </si>
  <si>
    <t>181028A</t>
  </si>
  <si>
    <t>COJIN MACRAME ALGODÓN MARFIL 30 X 50 CM</t>
  </si>
  <si>
    <t>TIJERA PODADORA CON BYPASS</t>
  </si>
  <si>
    <t>172462A</t>
  </si>
  <si>
    <t>COJIN INCA MARFIL 40 X 40 CM</t>
  </si>
  <si>
    <t>BALANZA DIGITAL MAX 5 KG ACERO INOX</t>
  </si>
  <si>
    <t>SET DE APERITIVO BAMBU Y CERAMICA GRES 5 PIEZAS</t>
  </si>
  <si>
    <t>FUENTE HIERRO FUNDIDO CON BANDEJA BAMBU 15 X 22 CM</t>
  </si>
  <si>
    <t>SET PISTOLA DE RIEGO 7 FUNCIONES 4 PIEZAS</t>
  </si>
  <si>
    <t>TIJERA DE COCINA</t>
  </si>
  <si>
    <t>RALLADOR DOBLE SENTIDO</t>
  </si>
  <si>
    <t>TRITURADOR DE PAPAS ACERO INOX 26 X 8 X 8 CM</t>
  </si>
  <si>
    <t>PELADOR DE VERDURA EN Y CON RALLADOR</t>
  </si>
  <si>
    <t>Outfit</t>
  </si>
  <si>
    <t>Terraza</t>
  </si>
  <si>
    <t>MESA TERRAZA REDONDA NEGRA D. 50 X 40 CM</t>
  </si>
  <si>
    <t>MACETERO METAL BLANCO 28 X 28 X 55 CM</t>
  </si>
  <si>
    <t>RALLADOR CON CAJA ACERO INOX COLORES 21 X 9 X 9 CM COLORES</t>
  </si>
  <si>
    <t>197625A</t>
  </si>
  <si>
    <t>ESPEJO SELENA CON MARCO DE METAL NEGRO 112 X 40 CM</t>
  </si>
  <si>
    <t>SET DE 3 CONTENEDORES DE VIDRIO CON TAPA PLASTICA CON CLIP 330, 800 Y 1730 CC</t>
  </si>
  <si>
    <t>SET COPA VINO 540 CC X 6 UNID</t>
  </si>
  <si>
    <t>146293C</t>
  </si>
  <si>
    <t>ALFROMBRA YUTE NATURAL 60 X 90 CM</t>
  </si>
  <si>
    <t>159869A</t>
  </si>
  <si>
    <t>MESA TERRAZA REDONDA METAL GRÁFITO D. 70 X 40 CM</t>
  </si>
  <si>
    <t>MESA TERRAZA REDONDA METAL NEGRA D. 70 X 35 CM</t>
  </si>
  <si>
    <t>ESPEJO OLAV REDONDO 52 CM CON MARCO DE MADERA</t>
  </si>
  <si>
    <t>MESA NEGRA METAL MDF D. 40 X 50 CM</t>
  </si>
  <si>
    <t>BANDEJA DE ALUMINIO 50 X 27 X 2 CM</t>
  </si>
  <si>
    <t>149201A</t>
  </si>
  <si>
    <t>MESA TERRAZA REDONDA METAL GRÁFITO D. 50 X 45 CM</t>
  </si>
  <si>
    <t>TIJERON EXTENSIBLE ALUMINIO 58 A 78 CM</t>
  </si>
  <si>
    <t>SET DE ALFOMBRAS YUTE 60 X 90 CM DISEÑOS</t>
  </si>
  <si>
    <t>RALLADOR 3 LADOS</t>
  </si>
  <si>
    <t>CAJA DE ALMACENAMIENTO PLEGABLE NATURAL 50 X 33 X 20 CM</t>
  </si>
  <si>
    <t>MAT SILICONA REPOSTERÍA 38 X 28 CC</t>
  </si>
  <si>
    <t>PRENSA PARA AJOS</t>
  </si>
  <si>
    <t>BANCO DE MADERA WOODY 70 X 27 CM</t>
  </si>
  <si>
    <t>Neka</t>
  </si>
  <si>
    <t>VENTILADOR MANUAL PARRILLA ACERO INOX. 25 CM</t>
  </si>
  <si>
    <t>RACK DE VINO DE BAMBÚ PARA 12 BOTELLAS</t>
  </si>
  <si>
    <t>PORTA MANGUERA PARA PARED 20M</t>
  </si>
  <si>
    <t>CARRO DE ALUMINIO CUBIERTA DE VIDRIO</t>
  </si>
  <si>
    <t>SET DE COCTELERIA 5 PIEZAS PREMIUM BLACK</t>
  </si>
  <si>
    <t>SET DE TERRAZA 4 PIEZAS METAL</t>
  </si>
  <si>
    <t>MANGA PASTELERA BOQUILLAS DE ACERO INOXIDABLE</t>
  </si>
  <si>
    <t>MACETERO 55X20X70CM METAL NEGRO</t>
  </si>
  <si>
    <t>NEKA</t>
  </si>
  <si>
    <t>ESTUCHE PARRILLERO 5 PIEZAS</t>
  </si>
  <si>
    <t>MACETERO 55X20X70CM METAL VERDE</t>
  </si>
  <si>
    <t>MACETERO METAL NEGRO 28 X 28 X 55 CM</t>
  </si>
  <si>
    <t>102216C</t>
  </si>
  <si>
    <t>ARRIMO CHARME 80 X 30 X 76 CM</t>
  </si>
  <si>
    <t>BANDEJA PARA ASAR 33X18CM</t>
  </si>
  <si>
    <t>TIJERA PODADORA PARA SETOS</t>
  </si>
  <si>
    <t>MACETERO 55X20X70CM METAL GRIS</t>
  </si>
  <si>
    <t>MESA TERRAZA ALUMINIO Y CUBIERTA DE POLYWOOD 150 X 90 X 70 CM</t>
  </si>
  <si>
    <t>MESA DE CENTRO GOTA 110 X 100 X 36 CM</t>
  </si>
  <si>
    <t>CARRO DE ALUMINIO Y CUBIERTA POLYWOOD 90 X 45 X 74 CM</t>
  </si>
  <si>
    <t>160479A</t>
  </si>
  <si>
    <t>BANCA MADERA MIX GRIS 105 X 50 X 34</t>
  </si>
  <si>
    <t>JARRON FLORERO DECO MARMOL 11X18CM</t>
  </si>
  <si>
    <t>ARRIMO SOLEN 111 CM</t>
  </si>
  <si>
    <t>MESA TERRAZA ALUMINIO Y CUBIERTA DE POLYWOOD 90 X 90 X 70 CM</t>
  </si>
  <si>
    <t>114515A</t>
  </si>
  <si>
    <t>ARRIMO CHRYSA BLANCO 87 X 34 X 78 CM</t>
  </si>
  <si>
    <t>ESCRITORIO JOSAN CON 1 CAJON 110 X 55 X 85 CM</t>
  </si>
  <si>
    <t>ARRIMO 2 CAJONES CHARME L110 CM</t>
  </si>
  <si>
    <t>MESA DE CENTRO DOBLE BASILE MADERA D. 56 X 51 CM</t>
  </si>
  <si>
    <t>MESA DE COMEDOR MADERA OLBIA 200 X 100 X 76 CM</t>
  </si>
  <si>
    <t>BUFFET JUNCO RAYO 79 X 100 X 40 CM</t>
  </si>
  <si>
    <t>SET DE BAÑO CERAMICA BLANCO 3 PIEZAS</t>
  </si>
  <si>
    <t>CAFETERA PRENSA FRANCESA PREMIUM BLACK VIDRIO CON BAMBU 600 CC</t>
  </si>
  <si>
    <t>CORTADOR DE PIZZA LEO</t>
  </si>
  <si>
    <t>MESA DE COMEDOR MADERA JILING 180 X 90 X 76 CM</t>
  </si>
  <si>
    <t>ARRIMO CIERNA METAL Y MADERA 148 X 51 X 85 CM</t>
  </si>
  <si>
    <t>RACK TV GOTA METAL NEGRO 120 CM</t>
  </si>
  <si>
    <t>114515B</t>
  </si>
  <si>
    <t>ARRIMO CHRYSA NEGRO 87 X 34 X 78 CM</t>
  </si>
  <si>
    <t>MARTILLO PARA CARNE</t>
  </si>
  <si>
    <t>TRITURADOR DE PAPAS</t>
  </si>
  <si>
    <t>FW1005</t>
  </si>
  <si>
    <t>LIMPIAPIES HSH FIBRA 40 X 60 CM</t>
  </si>
  <si>
    <t>FW1004</t>
  </si>
  <si>
    <t>LIMPIAPIES LINEA HOME FIBRA 40 X 60 CM</t>
  </si>
  <si>
    <t>146294NL</t>
  </si>
  <si>
    <t>146294BL</t>
  </si>
  <si>
    <t>146294B</t>
  </si>
  <si>
    <t>B</t>
  </si>
  <si>
    <t>ESPUMADOR DE LECHE 2 PILAS AA</t>
  </si>
  <si>
    <t>101770A</t>
  </si>
  <si>
    <t>CASEROLA CIRCULAR COLORES 10 CM</t>
  </si>
  <si>
    <t>DISPENSADOR DE JABON VIDRIO 400 CC</t>
  </si>
  <si>
    <t>JARRA VIDRIO 1 LT CON TAPA</t>
  </si>
  <si>
    <t>SET 6 BOMBILLAS ACERO INOXIDABLE Y CEPILLO LIMPIEZA</t>
  </si>
  <si>
    <t>PORTA TOALLA PAPEL BAMBU 32 X 13 CM</t>
  </si>
  <si>
    <t>SOPORTE TOALLA NOVA METAL NEGRO 32 CM</t>
  </si>
  <si>
    <t>CAFETERA PRENSA FRANCESA VIDRIO Y ACERO INOXIDABLE 1 LT</t>
  </si>
  <si>
    <t>115960A</t>
  </si>
  <si>
    <t>CACEROLA OVALADA 11 X 9 X 6 CM - COLORES</t>
  </si>
  <si>
    <t>JARRA CON 4 VASOS POLIPROPILENO 1,1L</t>
  </si>
  <si>
    <t>138013I</t>
  </si>
  <si>
    <t>DISPENSADOR DE JABÓN SILK, COLOR BLANCO</t>
  </si>
  <si>
    <t>PULVERIZADOR VIDRIO 450 CC COLOR AMBAR</t>
  </si>
  <si>
    <t>HIELERA SILICONA 6 HIELOS COLORES</t>
  </si>
  <si>
    <t>VASO DE VIDRIO BAÑO GRIS</t>
  </si>
  <si>
    <t>BASURERO 3L NEGRO CIERRE SUAVE</t>
  </si>
  <si>
    <t>PELADOR CON 3 CUCHILLOS</t>
  </si>
  <si>
    <t>ALCUZA 2 BOTELLAS ACEITE VINAGRE 160 CC</t>
  </si>
  <si>
    <t>DISPENSADOR DE JABON ESPUMA 340 CC COLORES</t>
  </si>
  <si>
    <t>MOLINILLO DE VIDRIO NEGRO</t>
  </si>
  <si>
    <t>SOPORTE PARA OLLAS DE METAL 20 CM</t>
  </si>
  <si>
    <t>SET DE 8 FIERRITOS PARA PARRILLA</t>
  </si>
  <si>
    <t>TABLA BAMBOO 61 X 16 CM</t>
  </si>
  <si>
    <t>PORTA TOALLA PAPEL SIMPLE ACERO INOX</t>
  </si>
  <si>
    <t>CAJA CON 24 CLIPS DE ALMACENAMIENTO COLORES</t>
  </si>
  <si>
    <t>138013J</t>
  </si>
  <si>
    <t>DISPENSADOR DE JABÓN DE GRES COLOR SILK NEGRO</t>
  </si>
  <si>
    <t>120075R</t>
  </si>
  <si>
    <t>CAFETERA PRENSA FRANCESA 800 CC VIDRIO Y POLIPROPILENO COLORES</t>
  </si>
  <si>
    <t>CAFETERA PRESNA FRANCESA 800 CC VIDRIO Y POLIPROPILENO Roja</t>
  </si>
  <si>
    <t>120075N</t>
  </si>
  <si>
    <t>CAFETERA PRESNA FRANCESA 800 CC VIDRIO Y POLIPROPILENO Negra</t>
  </si>
  <si>
    <t>120075G</t>
  </si>
  <si>
    <t>CAFETERA PRESNA FRANCESA 800 CC VIDRIO Y POLIPROPILENO Gris</t>
  </si>
  <si>
    <t>CUCHILLO CHEF ACERO INOX CON MANGO ACACIA 35 CM</t>
  </si>
  <si>
    <t>174528I</t>
  </si>
  <si>
    <t>BASURERO BAÑO METAL BLANCO CIERRE SUAVE 3LT</t>
  </si>
  <si>
    <t>SET DE 2 CAJAS DE ALMACENAMIENTO PLEGABLE BLANCAS 25 X 17 X10 CM BLANCAS</t>
  </si>
  <si>
    <t>188890B</t>
  </si>
  <si>
    <t>SET DE 4 POSAVASOS DE MARMOL NEGRO 10 CM</t>
  </si>
  <si>
    <t>SET ALCUZA 4 PIEZAS + SOPORTE</t>
  </si>
  <si>
    <t>EXPRIMIDOR MANUAL CON CONTENEDOR COLORES</t>
  </si>
  <si>
    <t>SOPORTE Y 6 TAZAS DE CAFE DE VIDRIO 100 CC</t>
  </si>
  <si>
    <t>MINI JOYERO CON ESPEJO 14 X 14 X 7 CM TAPA BAMBU</t>
  </si>
  <si>
    <t>SOPORTE TORTAS RENAISSANCE 29 CM</t>
  </si>
  <si>
    <t>SET DE 2 CAJAS DE ALMACENAMIENTO PLEGABLE 25 X17 X 10 CM NEGRAS</t>
  </si>
  <si>
    <t>DISPENSADOR DE JABON VIDRIO GRIS</t>
  </si>
  <si>
    <t>PRENSA PARA AJOS ACERO INOX</t>
  </si>
  <si>
    <t>CUCHARA DE HELADO DE ACERO INOXE "SILVER PRECISION"</t>
  </si>
  <si>
    <t>HIELERA DOBLE PARED SIN TAPA ACERO INOX 24 X 22 X 21 CM</t>
  </si>
  <si>
    <t>COJIN ETE MACRAME 40 X 40 CM</t>
  </si>
  <si>
    <t>TERMÓMETRO CARNE INALÁMBRICO DIGITAL</t>
  </si>
  <si>
    <t>137438G</t>
  </si>
  <si>
    <t>RELOJ COCINA LOLY 22 CM NEGRO</t>
  </si>
  <si>
    <t>CUCHILLO COCINA CHEF 33 CM</t>
  </si>
  <si>
    <t>SET DE PINZA Y ESPATULA PARA PARRILLA 2 PIEZAS</t>
  </si>
  <si>
    <t>CUCHILLO TRINCHADOR ACERO INOX Y ACACIA 35 CM</t>
  </si>
  <si>
    <t>CAFETERA ITALIANA ACERO DE 6 TAZAS</t>
  </si>
  <si>
    <t>TACO DE 11 CUCHILLOS CON AFILADOR Y TIJERA COCINA</t>
  </si>
  <si>
    <t>SET BOTELLAS PARA ACEITE Y VINAGRE CON SOPORTE DE BAMU DE 500 CC 3 PIEZAS</t>
  </si>
  <si>
    <t>MESA TERRAZA REDONDA METAL GRIS D. 50 X 40 CM</t>
  </si>
  <si>
    <t>MESA TERRAZA REDONDA METAL GRIS D. 70 X 35 CM</t>
  </si>
  <si>
    <t>PINZA ACERO INOXIDABLE 27 CM</t>
  </si>
  <si>
    <t>VASO BAÑO CERAMICA GRES</t>
  </si>
  <si>
    <t>TERMO NEGRO 1 LT</t>
  </si>
  <si>
    <t>179422A</t>
  </si>
  <si>
    <t>ESPEJO REDONDO ALICE 76 CM CON BORDE METAL NEGRO</t>
  </si>
  <si>
    <t>ESPEJO MAQUILLAJE BAMBÚ</t>
  </si>
  <si>
    <t>82285A</t>
  </si>
  <si>
    <t>TETERAS DE CERÁMICA 1 LT DAY</t>
  </si>
  <si>
    <t>C</t>
  </si>
  <si>
    <t>SET DE 3 JARROS MEDIDORES COLORES</t>
  </si>
  <si>
    <t>MANGA REPOSTERA 5 BOQUILLAS ACERO INOX COLORES</t>
  </si>
  <si>
    <t>SET DE REPOSTERIA 4 PCS COLORES</t>
  </si>
  <si>
    <t>SET 6 TAPAS HERMETICAS SILICONA DIFERENTES MEDIDAS ( 6 A 19 CM)</t>
  </si>
  <si>
    <t>HUEVO TIMER COLORES</t>
  </si>
  <si>
    <t>ESPECIERO METÁLICO PARA 5 TARROS DE ESPECIAS</t>
  </si>
  <si>
    <t>ACEITERA DE 15 CM Y 280 CC</t>
  </si>
  <si>
    <t>MALLA FIBRA DE VIDRIO REUTILIZABLE PARA PARRILLA 41 CM</t>
  </si>
  <si>
    <t>MALLA FIBRA VIDRIO REUTILIZABLE PARA PARRILLA 36 X 42 CM</t>
  </si>
  <si>
    <t>SET PITON DE 1/2 CON CONECTORES</t>
  </si>
  <si>
    <t>CULTIVADOR DE MANO ACERO INOXIDABLE Y MANGO ANTIDESLIZANTE 33 X 9 X 5 CM</t>
  </si>
  <si>
    <t>REGADOR ASPERSOR OSCILANTE 17 CHORROS, ALUMINIO Y PALSTICO</t>
  </si>
  <si>
    <t>TOMA OLLA DE SILICONA</t>
  </si>
  <si>
    <t>REGADOR PITON RIEGO DE 1/2</t>
  </si>
  <si>
    <t>SET 6 MOLDES SILICONA PARA RESPOSTERÍA</t>
  </si>
  <si>
    <t>SET 10 CORTADORES/MOLDES DE GALLETAS</t>
  </si>
  <si>
    <t>160102F</t>
  </si>
  <si>
    <t>FLORERO REDONDO DE VIDRIO RECICLADO VERDE 22 CM</t>
  </si>
  <si>
    <t>ESPEJO MAQUILLAJE LED 18 X 33 CM</t>
  </si>
  <si>
    <t>MACETERO METAL AZUL 55 X 20 X 70 CM</t>
  </si>
  <si>
    <t>CUCHILLO CARNICERO ACERO INOX Y MANGO ACACIA 24 CM</t>
  </si>
  <si>
    <t>PERCHERO CON 8 GANCHOS DE METAL NEGRO 171 CM</t>
  </si>
  <si>
    <t>157052A</t>
  </si>
  <si>
    <t>SET DE 3 MESAS LATERALES MILEO BLANCAS 60 X 60 X 45 CM</t>
  </si>
  <si>
    <t>D</t>
  </si>
  <si>
    <t>PINZA PARA SALCHICHAS DE BAMBU 28 CM</t>
  </si>
  <si>
    <t>TENAZA PARRILLA BAMBU 39 X 5 CM</t>
  </si>
  <si>
    <t>PRENSA PASTELERA ACERO INOX</t>
  </si>
  <si>
    <t>Iluminación</t>
  </si>
  <si>
    <t>LAMPARA LED BULB COLORES</t>
  </si>
  <si>
    <t>SET DE JARDÍN 4 PCS</t>
  </si>
  <si>
    <t>MUG DE CAFÉ 450 CC ACERO INOXIDABLE</t>
  </si>
  <si>
    <t>MOLDE REPOSTERIA REDONDO CON TAPA 26 CM</t>
  </si>
  <si>
    <t>CEPILLO HILOS DE COBRE PARA PARRILLA BAMBU 30 CM</t>
  </si>
  <si>
    <t>BOTELLA DE BEBIDA ACERO INOXIDABLE 750 CC</t>
  </si>
  <si>
    <t>ESPATULA PARA PARRILLA DE BAMBU 41CM</t>
  </si>
  <si>
    <t>TERMO SOFT TOUCH 500 CC</t>
  </si>
  <si>
    <t>SET DE 3 BOLSAS SNACK 22 X 18 CM</t>
  </si>
  <si>
    <t>SET DE DOS HERRAMIENTAS DE JARDIN</t>
  </si>
  <si>
    <t>PANERA METAL GRIS CLARO CON TAPA DE MADERA 30X22 CM</t>
  </si>
  <si>
    <t>SET DE DOS BOLSAS PARA SNACK 23X21CM</t>
  </si>
  <si>
    <t>PIMENTERO MADERA 42CM MOLINILLO CERAMICO AJUSTABLE</t>
  </si>
  <si>
    <t>SET DE CONECTORES MANGUERA DE 1/2</t>
  </si>
  <si>
    <t>ESPATULA COCINA NYLON 33 CM</t>
  </si>
  <si>
    <t>MOLDE REPOSTERO CON TAPA INCLUYE 3 ACCESORIOS. 24 X 35 X 4 CM</t>
  </si>
  <si>
    <t>SET DE CUCHILLOS 5 PIEZAS</t>
  </si>
  <si>
    <t>CAJA DE ALMACENAMIENTO PLEGABLE 33 X 25 X 15 CM ROSADA</t>
  </si>
  <si>
    <t>TERMO ACERO INOXIDABLE 500 CC</t>
  </si>
  <si>
    <t>ATRAPA INSECTOS USB</t>
  </si>
  <si>
    <t>ACOPLE DE MANGUERA DE 1/2</t>
  </si>
  <si>
    <t>TOPE PUERTA 1 KG. 9 X 7 CM</t>
  </si>
  <si>
    <t>TERMO ISOTÉRMICO DE ACERO INOX 500 CC</t>
  </si>
  <si>
    <t>BOTELLA DE AGUA 700 CC</t>
  </si>
  <si>
    <t>120200B</t>
  </si>
  <si>
    <t>MUG DE CAFE NEGRO ACERO INOXIDABLE 350 CC</t>
  </si>
  <si>
    <t>GUIRNALDA DE LUZ CON OPERA A PILA DE 10 LED 120 CM</t>
  </si>
  <si>
    <t>LAMAPRA LED 17 CM</t>
  </si>
  <si>
    <t>MOLINILLO CERAMICO ELECTRICO 5 X 21 CM PILAS AAA</t>
  </si>
  <si>
    <t>SOPORTE PLEGABLE PARA ASAR COSTILLAS ACERO</t>
  </si>
  <si>
    <t>CUCHILLO COCINERO CON CORTADOR DE HIERBAS 14 CM</t>
  </si>
  <si>
    <t>TABLA APERITIVO BAMBU + 3 POSILLOS CERAMICA GRES</t>
  </si>
  <si>
    <t>ACOPLE DE MANGUERA DE 3/4</t>
  </si>
  <si>
    <t>172462Q</t>
  </si>
  <si>
    <t>COJIN INCA ALGODON POLIESTER AZUL 40 X40 CM</t>
  </si>
  <si>
    <t>CONTENEDOR + 6 CLIPS SELLADORES</t>
  </si>
  <si>
    <t>SALERO Y PIMIENTERO BALANCE</t>
  </si>
  <si>
    <t>RACK REPISAS 3 NIVELES MDF Y SOPORTES DE METAL AZUL 60X15X54</t>
  </si>
  <si>
    <t>PORTA PIZZA HORNO CON SOPORTE 33 CM</t>
  </si>
  <si>
    <t>GUIRNALDA DE LUZ CON 20 MINI LED PILA</t>
  </si>
  <si>
    <t>SET DE POSILLOS DE CERAMICA 9 X 6 CM</t>
  </si>
  <si>
    <t>SET DE 3 CONTENEDORES DE 300 PALILLOS DE DIENTES DE BAMBU</t>
  </si>
  <si>
    <t>BANDEJA PARA ASAR 34 X 17 CM</t>
  </si>
  <si>
    <t>SET DE 4 CONTENEDORES PLASTICOS COLORES 20 X 14 CM</t>
  </si>
  <si>
    <t>RACK REPISAS 3 NIVELES MDF Y SOPORTES DE METAL GRIS 60 X 15 X 54 CM</t>
  </si>
  <si>
    <t>PINZAS COCINA NYLON 27 CM</t>
  </si>
  <si>
    <t>BATIDOR MANUAL 25 CM ACERO INOX COLORES</t>
  </si>
  <si>
    <t>77078V</t>
  </si>
  <si>
    <t>TERMO COMIDA CON CUCHARA COLORES</t>
  </si>
  <si>
    <t>77078R</t>
  </si>
  <si>
    <t>77078G</t>
  </si>
  <si>
    <t>SET DE 12 COPAS CERVEZA 530 CC</t>
  </si>
  <si>
    <t>TERMO COMIDA INSULADO 500 CC</t>
  </si>
  <si>
    <t>CUCHILLO SANTOKU GRIS 17CM</t>
  </si>
  <si>
    <t>CUCHARA PASTAS SOFT GRIP GRIS LEO 7 X 31CM</t>
  </si>
  <si>
    <t>SET DE 3 BATIDORES</t>
  </si>
  <si>
    <t>ESPATULA COCINA NYLON 26 CM</t>
  </si>
  <si>
    <t>SET DE 7 CONTENEDORES PLASTICOS COLORES 22 X 22 CM</t>
  </si>
  <si>
    <t>SET 4 VASOS DE CERVEZA 370 CC</t>
  </si>
  <si>
    <t>TERMO INSULADO ACERO INOXIDABLE 1 LT</t>
  </si>
  <si>
    <t>ESPATULA ESSENTIALS</t>
  </si>
  <si>
    <t>PRENSA PASTELERA INCLUYE 8 DISCOS DE GALLETAS Y 8 BOQUILLAS DE GLASEADO</t>
  </si>
  <si>
    <t>REPISA METAL NEGRA 57 X40 X 10CM</t>
  </si>
  <si>
    <t>SET DE 4 COPAS CERVEZA 370 CC</t>
  </si>
  <si>
    <t>CORTADOR DE PIZZA</t>
  </si>
  <si>
    <t>RACK REPISAS 2 NIVELES MDF NEGRO Y SOPORTES DE METAL NEGRO 60 X 15 X 33 CM</t>
  </si>
  <si>
    <t>CUCHILLO DE PAN LEGACY 20 CM</t>
  </si>
  <si>
    <t>SET DE TRES POSILLOS DE CERAMICA 10 X 6 CM</t>
  </si>
  <si>
    <t>MESA METAL NEGRO 35 X 35 X 35 CM</t>
  </si>
  <si>
    <t>POSA OLLAS LEO ROSADO</t>
  </si>
  <si>
    <t>RACK REPISAS 3 NIVELES VIDRIO Y SOPORTES DE METAL NEGRO 60 X 15 X 54 CM</t>
  </si>
  <si>
    <t>CONTENEDOR DE ALIMENTOS VIDRIO 1L</t>
  </si>
  <si>
    <t>SARTEN ALUMINIO NEGRO 32 CM</t>
  </si>
  <si>
    <t>FUENTE REDONDA 23 X 23 X 5 CM</t>
  </si>
  <si>
    <t>QUITA PELUSAS ELECTRICO PILAS AA COLORES</t>
  </si>
  <si>
    <t>SET DE CAJAS DE ALMACENAMIENTO 5 PIEZAS</t>
  </si>
  <si>
    <t>RACK REPISAS 2 NIVELES MDF Y SOPORTES DE METAL NEGRO 60 X 15 X 33 CM</t>
  </si>
  <si>
    <t>CAFETERA PRENSA FRANCESA VIDRIO Y ACERO INOXIDABLE 800 CC</t>
  </si>
  <si>
    <t>SET DE 4 COPAS DE 500 CC Y 4 VASOS DE 350 PARA VINO</t>
  </si>
  <si>
    <t>LAMAPARA CON PORTA VELA 35 CM</t>
  </si>
  <si>
    <t>SET DE MANGUERA DE 1/2 20 MTS CON CONECTORES</t>
  </si>
  <si>
    <t>MOLDE PARA HORNEAR 23X23X10</t>
  </si>
  <si>
    <t>TACO DE CUCHILLOS 6 PCS GRIS LEO</t>
  </si>
  <si>
    <t>SARTEN BALANCE MOONMIST 32 CM</t>
  </si>
  <si>
    <t>ZAPATERO DE BAMBU Y METAL 65 X 23 X 35 CM</t>
  </si>
  <si>
    <t>SET DE 4 CAJAS DE ALMACENAMIENTO BAMBU</t>
  </si>
  <si>
    <t>FUENTE REDONDA 28X28X5X3</t>
  </si>
  <si>
    <t>RACK REPISAS 5 NIVELES MDF Y SPORTES DE METAL NEGRO 59 X 15 X 116 CM</t>
  </si>
  <si>
    <t>SARTEN GRILL BALANCE MOONMIST 24 CM</t>
  </si>
  <si>
    <t>CUCHILLO DE PAN FORJADO</t>
  </si>
  <si>
    <t>REPISA CUBO BAMBU 30 X 20 X 30 CM</t>
  </si>
  <si>
    <t>CARRO PLEGABLE 30 KG</t>
  </si>
  <si>
    <t>TACO DE CUCHILLOS 6 PCS</t>
  </si>
  <si>
    <t>SARTEN BALANCE MOONMIST 24 CM</t>
  </si>
  <si>
    <t>TACO DE CUCHILLOS 6 PIEZAS ESSENTIAL</t>
  </si>
  <si>
    <t>CONTENEDOR DE PASTA DE VIDRIO 1L</t>
  </si>
  <si>
    <t>TENEDOR PARRILLERO 17 CM</t>
  </si>
  <si>
    <t>SARTEN BALANCE MOONMIST 20 CM</t>
  </si>
  <si>
    <t>TETERA DE VIDRIO 900 CC</t>
  </si>
  <si>
    <t>FUENTE ANTIADHERENTE 46X35</t>
  </si>
  <si>
    <t>SARTEN BALANCE MOONMIST 28 CM</t>
  </si>
  <si>
    <t>DISPENSADOR DE ACEITE VIDRIO 500 CC</t>
  </si>
  <si>
    <t>BANDEJA DE METAL MAYAJ</t>
  </si>
  <si>
    <t>MESA METAL VIDRIO NEGRA 49X49X35CM</t>
  </si>
  <si>
    <t>CAFETERA PRENSA FRANCESA VIDRIO Y ACERO INOXIDABLE 600CC</t>
  </si>
  <si>
    <t>SET DE CUBIERTOS ACERO MADERA 16 PIEZAS</t>
  </si>
  <si>
    <t>SET DE CUBIERTOS ACERO INOXIDABLE COLOR COBRE 16 PIEZAS</t>
  </si>
  <si>
    <t>SARTEN RECUBRIMIENTO DE MARMOL 28 CM</t>
  </si>
  <si>
    <t>FUENTE PARA HORNO RECTANGULAR 25X14X8</t>
  </si>
  <si>
    <t>SARTEN ALUMINIO NEGRO 28CM</t>
  </si>
  <si>
    <t>RALLADOR 4 LADOS</t>
  </si>
  <si>
    <t>SET DE 3 SARTENES NON-SITCK HELIX</t>
  </si>
  <si>
    <t>MESA METAL VIDRIO NEGRA 40X50CM</t>
  </si>
  <si>
    <t>SARTEN GRILL 24CM</t>
  </si>
  <si>
    <t>160572C</t>
  </si>
  <si>
    <t>TERMO DE ACERO INOXIDABLE DE 1,5L</t>
  </si>
  <si>
    <t>ESPUMADERO SOFT GRIP GRIS LEO</t>
  </si>
  <si>
    <t>ESPATULA ASADO (REL 1108003)</t>
  </si>
  <si>
    <t>OLLA LEO CON TAPA 24X11 CM</t>
  </si>
  <si>
    <t>OLLA LEO CON TAPA NON-SITCK STONE 24X11 CM</t>
  </si>
  <si>
    <t>MESA MDF Y METAL CIRCULAR D. 61 X 40 CM</t>
  </si>
  <si>
    <t>MORTERO CERAMICA GRES BLANCO MATE 17X5 CM</t>
  </si>
  <si>
    <t>RACK REPISA MDF NEGRO SOPORTES DE METAL 3 NIVELES 60 X 15 X 54 CM</t>
  </si>
  <si>
    <t>178585A</t>
  </si>
  <si>
    <t>ALFOMBRA POLIPROPILENO EXTERIOR Y INTERIOR ZOE GRIS MATE 160X230CM</t>
  </si>
  <si>
    <t>BATERIA COCINA META 10 PIEZAS</t>
  </si>
  <si>
    <t>OLLA A PRESIÓN VITA 6LT</t>
  </si>
  <si>
    <t>SARTEN PARA TORTILLAS 25CM</t>
  </si>
  <si>
    <t>CUCHILLO COCINERO GRIS 19CM</t>
  </si>
  <si>
    <t>BATERIA COCINA 7 PIEZAS HOTEL DOWNDRAFT</t>
  </si>
  <si>
    <t>MOLINILLO SAL Y PIMIENTA DUO</t>
  </si>
  <si>
    <t>CUCHILLO ACERO INOXIDABLE ESSENTIALS 38 CM</t>
  </si>
  <si>
    <t>PANQUEQUERA LEO SLATE 24 CM</t>
  </si>
  <si>
    <t>OLLA LEO CON TAPA NON-SITCK STONE 24X14 CM</t>
  </si>
  <si>
    <t>CACEROLA LEO CON TAPA NON-SITCK STONE 20 CM</t>
  </si>
  <si>
    <t>ESPATULA BBQ ESSENTIALS</t>
  </si>
  <si>
    <t>BATERIA COCINA 8 PIEZAS BOLT</t>
  </si>
  <si>
    <t>SARTEN LEO SLATE 28 CM</t>
  </si>
  <si>
    <t>SARTEN LEO SLATE 24 CM</t>
  </si>
  <si>
    <t>TRINCHADOR ASADO MADERA NEGRO RON 17CM</t>
  </si>
  <si>
    <t>BANCO ROJO 110X40X42CM</t>
  </si>
  <si>
    <t>CACEROLA LEO CON TAPA NON-SITCK STONE 18 CM</t>
  </si>
  <si>
    <t>CUCHILLO CON MANGO DE MADERA ESSENTIALS 38 CM</t>
  </si>
  <si>
    <t>BATERIA COCINA 7 PIEZAS DOWNDRAFT</t>
  </si>
  <si>
    <t>OLLA CON TAPA COMFORT 18 CM</t>
  </si>
  <si>
    <t>WOK LEO SLATE 28 CM</t>
  </si>
  <si>
    <t>SARTEN LEO SLATE 20 CM</t>
  </si>
  <si>
    <t>BUFFET CIERNA METAL Y MADERA 140 X 85 X 43 CM</t>
  </si>
  <si>
    <t>PINCEL BBQ ESSENTIALS</t>
  </si>
  <si>
    <t>PELADOR ROSADO</t>
  </si>
  <si>
    <t>TACO DE CUCHILLOS 1 PCS LEGACY</t>
  </si>
  <si>
    <t>OLLA CON TAPA 20CM COMFORT</t>
  </si>
  <si>
    <t>MOLINILLO PIMIENTA 27 CM</t>
  </si>
  <si>
    <t>CUCHARA DE HELADO COLOR MENTA</t>
  </si>
  <si>
    <t>PINZAS COCINA NYLON 34 CM</t>
  </si>
  <si>
    <t>Producto</t>
  </si>
  <si>
    <t>Categoría macro</t>
  </si>
  <si>
    <t>Categoría padre</t>
  </si>
  <si>
    <t>Categoría hijo</t>
  </si>
  <si>
    <t>Categoría comercial</t>
  </si>
  <si>
    <t>In/out</t>
  </si>
  <si>
    <t>Pack</t>
  </si>
  <si>
    <t>Estado marca</t>
  </si>
  <si>
    <t>Proveedor</t>
  </si>
  <si>
    <t>5 Surprise</t>
  </si>
  <si>
    <t>Bola 5 Sorpresas Serie My Mini Baby</t>
  </si>
  <si>
    <t>Kids</t>
  </si>
  <si>
    <t>Figuras y muñecos</t>
  </si>
  <si>
    <t>Nuevo</t>
  </si>
  <si>
    <t>out</t>
  </si>
  <si>
    <t>No</t>
  </si>
  <si>
    <t>Out</t>
  </si>
  <si>
    <t>Ansaldo</t>
  </si>
  <si>
    <t>120200A</t>
  </si>
  <si>
    <t>Mug De Café 350 Cc Gris - Acero Inoxidable</t>
  </si>
  <si>
    <t>Home</t>
  </si>
  <si>
    <t>In</t>
  </si>
  <si>
    <t>Urban</t>
  </si>
  <si>
    <t>Mug De Cafe Negro Acero Inoxidable 350 Cc</t>
  </si>
  <si>
    <t>Pulverizador Vidrio 450 Cc Color Ambar</t>
  </si>
  <si>
    <t>Deco</t>
  </si>
  <si>
    <t>Utensilios de aseo</t>
  </si>
  <si>
    <t>Exprimidor rallado en 4 en 1 5Five</t>
  </si>
  <si>
    <t>Bandeja Antideslizante Gris 45X32 Cm 5Five</t>
  </si>
  <si>
    <t>Bandeja cuadrada Kord 35cm beige mimbre</t>
  </si>
  <si>
    <t>Bandeja De Metal Mayaj</t>
  </si>
  <si>
    <t>Bandeja Rectangular Angular 44X29 cm Bambú</t>
  </si>
  <si>
    <t>in</t>
  </si>
  <si>
    <t>Bandeja redonda de 35 cm Jacynte mimbre</t>
  </si>
  <si>
    <t>Bandeja redonda kord 40 cm mimbre</t>
  </si>
  <si>
    <t>Joyero De Bambu Con Espejo 15X15X9 Cm</t>
  </si>
  <si>
    <t>Joyeros</t>
  </si>
  <si>
    <t>Set De 2 Tablas De Cortas Bambu 5Five</t>
  </si>
  <si>
    <t>Set De 3 Tablas De Cortar De Bambu Secret de Gourmet</t>
  </si>
  <si>
    <t>Botella Vidrio Con Diseños Y Tapa Acero Inox 500 Ml</t>
  </si>
  <si>
    <t>Botellas de Agua</t>
  </si>
  <si>
    <t>Cuchillo Carnicero Acero Inox Y Mango Acacia 24 Cm</t>
  </si>
  <si>
    <t>Cuchillo Chef Acero Inox Con Mango Acacia 35 Cm</t>
  </si>
  <si>
    <t>Cuchillo Cocina Chef 33 Cm</t>
  </si>
  <si>
    <t>Cuchillo Cocina Santoku 25 Cm</t>
  </si>
  <si>
    <t>Set De Cuchillos Marmol</t>
  </si>
  <si>
    <t>Taco De 11 Cuchillos Con Afilador Y Tijera Cocina</t>
  </si>
  <si>
    <t>Abrelata Silver Precisión De Acero Inox 5Five</t>
  </si>
  <si>
    <t>Afilador Cuchillos 2 Funciones</t>
  </si>
  <si>
    <t>Afilador Cuchillos 4 Funciones</t>
  </si>
  <si>
    <t>Balanza Digital Max 5 Kg Acero Inox 5Five</t>
  </si>
  <si>
    <t>Cuchara de helado de acero inoxidable "Silver Precision"</t>
  </si>
  <si>
    <t>Pelador Con 3 Cuchillos</t>
  </si>
  <si>
    <t>Pelador Papas Con 3 Cuchillos</t>
  </si>
  <si>
    <t>Porta Toalla Papel Acero Inox 32 Cm</t>
  </si>
  <si>
    <t>Porta Toalla Papel Bambu 32 X 13 Cm</t>
  </si>
  <si>
    <t>Porta Toalla Papel Simple Acero Inox</t>
  </si>
  <si>
    <t>Prensa Para Ajos Acero Inox</t>
  </si>
  <si>
    <t>Secador de Verduras Spinner 5Five</t>
  </si>
  <si>
    <t>Set De Utensilios De Cocina Nylon 4 Piezas</t>
  </si>
  <si>
    <t>Soplete Cocina a Gas</t>
  </si>
  <si>
    <t>Toma Olla De Silicona</t>
  </si>
  <si>
    <t>Triturador De Papas Acero Inox 26 X 8 X 8 Cm</t>
  </si>
  <si>
    <t>Mat Silicona Repostería 38 X 28 Cc</t>
  </si>
  <si>
    <t>Utensilios repostería</t>
  </si>
  <si>
    <t>Set 10 Cortadores/Moldes De Galletas</t>
  </si>
  <si>
    <t>Set 6 Moldes Silicona Para Respostería</t>
  </si>
  <si>
    <t>Bancas</t>
  </si>
  <si>
    <t>Banca Madera Mix Gris 105 X 50 X 34</t>
  </si>
  <si>
    <t>Bares</t>
  </si>
  <si>
    <t>Escritorio Cierna 120x53x77 Cm</t>
  </si>
  <si>
    <t>Escritorios</t>
  </si>
  <si>
    <t>Escritorio Drawers 120 X 76 X 60 Cm</t>
  </si>
  <si>
    <t>Rack De Vino De Bambú Para 12 Botellas</t>
  </si>
  <si>
    <t>Repisas</t>
  </si>
  <si>
    <t>Cafetera Prensa Francesa 800 cc Vidrio 5Five</t>
  </si>
  <si>
    <t>Cafetera Presna Francesa 800 Cc Vidrio Y Polipropileno Colores</t>
  </si>
  <si>
    <t>Soporte Y 6 Tazas De Cafe De Vidrio 100 Cc</t>
  </si>
  <si>
    <t>Termo de Acero Inoxidable de 1,5L 5Five</t>
  </si>
  <si>
    <t>Termo Isotérmico De Acero Inox 500 Cc</t>
  </si>
  <si>
    <t>Dispensador De Jabón De Gres Color Silk Negro</t>
  </si>
  <si>
    <t>Dispensador De Jabón Silk, Color Blanco</t>
  </si>
  <si>
    <t>174712A</t>
  </si>
  <si>
    <t>Dispensador De Jabón Transparente 450 Cc</t>
  </si>
  <si>
    <t>Dispensador De Jabon Vidrio 400 Cc</t>
  </si>
  <si>
    <t>Set De Baño De 3 Piezas Propileno 5Five</t>
  </si>
  <si>
    <t>Basurero Baño Metal Blanco Cierre Suave 3Lt</t>
  </si>
  <si>
    <t>Basurero baño metal blanco-cierre suave 3 lt</t>
  </si>
  <si>
    <t>174528J</t>
  </si>
  <si>
    <t>Basurero deBaño Metal Negro con Cierre Suave 3L 5Five</t>
  </si>
  <si>
    <t>Panera Cuadrada 25X25X10 Cm 5Five</t>
  </si>
  <si>
    <t>Panera Ovalada 30x18x11 cm 5Five</t>
  </si>
  <si>
    <t>Set 4 Contenedores Plasticos Colores</t>
  </si>
  <si>
    <t>Set 7 Contenedores Plasticos Colores</t>
  </si>
  <si>
    <t>Set De 3 Contenedores De 300 Palillos De Dientes De Bambu</t>
  </si>
  <si>
    <t>Set De 3 Contenedores De Vidrio Tapa Plastica 5Five</t>
  </si>
  <si>
    <t>Set Especiero Metálico 5 Piezas 5Five</t>
  </si>
  <si>
    <t>Alcuza 2 Botellas Aceite Vinagre 160 Cc</t>
  </si>
  <si>
    <t>Set Alcuza 4 Piezas</t>
  </si>
  <si>
    <t>Set Alcuza 4 Piezas + Soporte</t>
  </si>
  <si>
    <t>Soporte Para Postres 2 Niveles Bambu 25 cm 5Five</t>
  </si>
  <si>
    <t>Ann Williams Group</t>
  </si>
  <si>
    <t>Hazlo Tu Mismo Amuletos Para El Pelo</t>
  </si>
  <si>
    <t>Bronce</t>
  </si>
  <si>
    <t>Aboc</t>
  </si>
  <si>
    <t>Hazlo Tu Mismo Crea Una Amiga Ciervo</t>
  </si>
  <si>
    <t>CT2156T</t>
  </si>
  <si>
    <t>Hazlo Tu Mismo Pulseras</t>
  </si>
  <si>
    <t>CT1853-6T</t>
  </si>
  <si>
    <t>Hazlo Tu Mismo Pulseras De Amuletos</t>
  </si>
  <si>
    <t>Kit De Proyectos Yo Amo Los Unicornios</t>
  </si>
  <si>
    <t>Stickers De Pared Casa Encantada</t>
  </si>
  <si>
    <t>Juguetes Didácticos</t>
  </si>
  <si>
    <t>Stickers</t>
  </si>
  <si>
    <t>Ansaldo Games</t>
  </si>
  <si>
    <t>Juego De Destreza Palabrea</t>
  </si>
  <si>
    <t>Juegos de mesa</t>
  </si>
  <si>
    <t>Ojo De Lince Travel</t>
  </si>
  <si>
    <t>Juegos de rapidez</t>
  </si>
  <si>
    <t>Costurero Oria 30 Cm De Largo</t>
  </si>
  <si>
    <t>Set 3 Canastos Yute Jackson Atmosphera</t>
  </si>
  <si>
    <t>Canastos</t>
  </si>
  <si>
    <t>Set 4 Canastos Emmet de Caña Artesanal (S a XL) Atmosphera</t>
  </si>
  <si>
    <t>Set de 4 Canastos Yute Emmet</t>
  </si>
  <si>
    <t>Espejo Joe Diametro 45 Cm Metal y MDF</t>
  </si>
  <si>
    <t>Espejo Redondo Alice 38 cm Borde Metal Dorado</t>
  </si>
  <si>
    <t>Espejo Redondo Alice 76 cm Con Borde Metal Dorado</t>
  </si>
  <si>
    <t>Espejo Redondo Alice 76 Cm Con Borde Metal Negro</t>
  </si>
  <si>
    <t>Espejo Redondo Olav 52 cm Marco de Madera Beige Atmosphera</t>
  </si>
  <si>
    <t>Espejo Selena 112 x 40 cm Marco Metal Negro Atmosphera</t>
  </si>
  <si>
    <t>Florero Redondo De Vidrio Reciclado Azul 22 Cm</t>
  </si>
  <si>
    <t>Floreros</t>
  </si>
  <si>
    <t>Florero Redondo De Vidrio Reciclado Verde 22 Cm</t>
  </si>
  <si>
    <t>Jarron Florero Deco Marmol 10X20 Cm</t>
  </si>
  <si>
    <t>Jarron Florero Deco Marmol 11X18Cm</t>
  </si>
  <si>
    <t>155686A</t>
  </si>
  <si>
    <t>Botella Vidrio Reciclado 35Cm</t>
  </si>
  <si>
    <t>Jarrones</t>
  </si>
  <si>
    <t>155688C</t>
  </si>
  <si>
    <t>Botella Vidrio Reciclado 73Cm Azul</t>
  </si>
  <si>
    <t>160102A</t>
  </si>
  <si>
    <t>Botella Vidrio Reciclado Redonda 23 Cm</t>
  </si>
  <si>
    <t>Jarron Azul 35 Cm Vidrio Reciclado</t>
  </si>
  <si>
    <t>Jarron Verde 35 Cm Vidrio Reciclado</t>
  </si>
  <si>
    <t>155687C</t>
  </si>
  <si>
    <t>Jarron Vidrio Reciclado 51 Cm Azul</t>
  </si>
  <si>
    <t>155687F</t>
  </si>
  <si>
    <t>Jarron Vidrio Reciclado 51 Cm Verde</t>
  </si>
  <si>
    <t>155687A</t>
  </si>
  <si>
    <t>Jarron Vidrio Reciclado Transparente 51 Cm Alto</t>
  </si>
  <si>
    <t>155688A</t>
  </si>
  <si>
    <t>Jarron Vidrio Reciclado Transparente, 73 Cm Alto</t>
  </si>
  <si>
    <t>155688F</t>
  </si>
  <si>
    <t>Jarron Vidrio Reciclado Verde 73 Cm Alto</t>
  </si>
  <si>
    <t>Perchero Bambu Con 8 Ganchos 175 Cm</t>
  </si>
  <si>
    <t>Percheros</t>
  </si>
  <si>
    <t>Perchero Con 8 Ganchos De Metal Negro 171 Cm</t>
  </si>
  <si>
    <t>Perchero Con 8 Ganchos De Negro 175 Cm</t>
  </si>
  <si>
    <t>Suculentas Con Maceta Cemento 10 Cm De Alto</t>
  </si>
  <si>
    <t>Plantas artificiales</t>
  </si>
  <si>
    <t>Poster Vivien Auto 30 X 40 Cm</t>
  </si>
  <si>
    <t>Poster</t>
  </si>
  <si>
    <t>Poster Vivien Surf 30 X 40 Cm</t>
  </si>
  <si>
    <t>158120B</t>
  </si>
  <si>
    <t>Reloj Alex 38 Cm Atmosphera</t>
  </si>
  <si>
    <t>Relojes de pared</t>
  </si>
  <si>
    <t>158120A</t>
  </si>
  <si>
    <t>158120M</t>
  </si>
  <si>
    <t>158120N</t>
  </si>
  <si>
    <t>Reloj Alex D. 38 Cm Mix 4 Modelos Surtido</t>
  </si>
  <si>
    <t>Reloj Boris 29 Cm, Mix 3 Modelos Surtido</t>
  </si>
  <si>
    <t>126505M</t>
  </si>
  <si>
    <t>Reloj Boris Surtidos 29 cm Atmosphera</t>
  </si>
  <si>
    <t>126505C</t>
  </si>
  <si>
    <t>126505CH</t>
  </si>
  <si>
    <t>Reloj Cocina Loly 22 Cm Negro</t>
  </si>
  <si>
    <t>Reloj Cocina Loly Color Plata 22 Cm</t>
  </si>
  <si>
    <t>Lámpara de Pie Arco Liby Bambú Natural 173 cm</t>
  </si>
  <si>
    <t>Lámparas</t>
  </si>
  <si>
    <t>Lámpara de Pie Arco Raahe Metal Natural 180 cm</t>
  </si>
  <si>
    <t>Lámpara de Pie Trípode Rodo Madera Negra 145 cm</t>
  </si>
  <si>
    <t>Guirnalda Led 10 Bolas Blanco 165 cm</t>
  </si>
  <si>
    <t>Arrimo 2 Cajones Ajmal 133 Cm</t>
  </si>
  <si>
    <t>Arrimos</t>
  </si>
  <si>
    <t>Arrimo 2 Cajones Charme L110 Cm</t>
  </si>
  <si>
    <t>Arrimo Charme 80 X 30 X 76 Cm</t>
  </si>
  <si>
    <t>Arrimo Chrysa Blanco 87 X 34 X 78 Cm</t>
  </si>
  <si>
    <t>Arrimo Chrysa Negro 87 X 34 X 78 Cm</t>
  </si>
  <si>
    <t>Arrimo Cierna Metal Y Madera 148 X 51 X 85 Cm</t>
  </si>
  <si>
    <t>Arrimo Damian 110 X 40 X 85 cm</t>
  </si>
  <si>
    <t>Arrimo Madera 2 Cajones Charme 110 X 40 X 85 cm</t>
  </si>
  <si>
    <t>Arrimo Solen 111 Cm</t>
  </si>
  <si>
    <t>Banco De Madera Woody 70 X 27 Cm</t>
  </si>
  <si>
    <t>Buffet Cierna 140 x 85 x 43 cm Atmosphera</t>
  </si>
  <si>
    <t>Buffets</t>
  </si>
  <si>
    <t>Buffet Junco Rayo 79 X 100 X 40 Cm</t>
  </si>
  <si>
    <t>Escalera Deco Dream Bambu</t>
  </si>
  <si>
    <t>Escaleras</t>
  </si>
  <si>
    <t>Escritorio Josan Con 1 Cajon 110 X 55 X 85 Cm</t>
  </si>
  <si>
    <t>Mesa De Centro Damian 4 Cajones 110 X 60 X 45 cm</t>
  </si>
  <si>
    <t>Mesa De Centro Doble Basile Madera D. 56 X 51 Cm</t>
  </si>
  <si>
    <t>Mesa De Centro Edena 115 X 65 X 34 cm</t>
  </si>
  <si>
    <t>Mesa De Centro Gota 110 X 100 X 36 Cm</t>
  </si>
  <si>
    <t>157058A</t>
  </si>
  <si>
    <t>Mesa De Centro Mileo Blanca 60 X 45 Cm</t>
  </si>
  <si>
    <t>Mesa De Centro Simon</t>
  </si>
  <si>
    <t>Mesa De Centro Solen 4 Cajones 110 X 60 X 47 cm</t>
  </si>
  <si>
    <t>Mesa De Comedor Madera Jiling 180 X 90 X 76 Cm</t>
  </si>
  <si>
    <t>Mesa De Comedor Madera Olbia 200 X 100 X 76 Cm</t>
  </si>
  <si>
    <t>Mesa Terraza Redonda Metal Gráfito D. 50 X 45 Cm</t>
  </si>
  <si>
    <t>Mesa Terraza Redonda Metal Gráfito D. 70 X 40 Cm</t>
  </si>
  <si>
    <t>Set De 3 Mesas Laterales Mileo Blancas 60 X 60 X 45 Cm</t>
  </si>
  <si>
    <t>157052B</t>
  </si>
  <si>
    <t>Set De 3 Mesas Laterales Mileo Gris 60 X 60 X 45 Cm</t>
  </si>
  <si>
    <t>140247A</t>
  </si>
  <si>
    <t>Taburete Auxiliar Suzette Canalé Beige</t>
  </si>
  <si>
    <t>Pisos</t>
  </si>
  <si>
    <t>Taburete De Madera Woody Natural</t>
  </si>
  <si>
    <t>Rack 2 Cajones Con Tapa Abatible Arty 140x50x40cm Atmosphera</t>
  </si>
  <si>
    <t>Rack tv</t>
  </si>
  <si>
    <t>Rack Tv Gota Metal Negro 120 Cm</t>
  </si>
  <si>
    <t>Rack Tv Junco Rayo</t>
  </si>
  <si>
    <t>Rack Tv Madera Colva 2 Puertas 140x40x46 cm Atmosphera</t>
  </si>
  <si>
    <t>Respaldo de Cama Ratán Aoni 2 Plazas 160x140 cm Atmosphera</t>
  </si>
  <si>
    <t>Respaldo de cama</t>
  </si>
  <si>
    <t>Respaldo de Cama Ratán Ronnie 2 Plazas 160x100 cm Atmosphera</t>
  </si>
  <si>
    <t>Pack476</t>
  </si>
  <si>
    <t>Set Respaldo 2 Plazas + Veladores Bambú Ratán Atmosphera</t>
  </si>
  <si>
    <t>Set dormitorio</t>
  </si>
  <si>
    <t>Si</t>
  </si>
  <si>
    <t>Pack477</t>
  </si>
  <si>
    <t>Set Respaldo 2 Plazas + Veladores Madera Ratán Atmosphera</t>
  </si>
  <si>
    <t>Silla Bar Sumar Teak Fierro Madera 75x38 cm Atmosphera</t>
  </si>
  <si>
    <t>Sillas</t>
  </si>
  <si>
    <t>179169A</t>
  </si>
  <si>
    <t>Silla Madera Isabel</t>
  </si>
  <si>
    <t>179169C</t>
  </si>
  <si>
    <t>Silla Madera Isabel Blanca</t>
  </si>
  <si>
    <t>179169B</t>
  </si>
  <si>
    <t>Silla Madera Isabel Negro</t>
  </si>
  <si>
    <t>140295A</t>
  </si>
  <si>
    <t>Silla Roka Gris Atmosphera</t>
  </si>
  <si>
    <t>131255A</t>
  </si>
  <si>
    <t>Silla Tyka Gris Atmosphera</t>
  </si>
  <si>
    <t>Cómoda 12 Cajones Madera tallada 127x40x94,5 cm</t>
  </si>
  <si>
    <t>Veladores</t>
  </si>
  <si>
    <t>Comoda Doble Ratán 6 Cajones 120x40x74,5 cm Atmosphera</t>
  </si>
  <si>
    <t>Velador Con Cajón Bambú Ratán 45x30x60 cm Atmosphera</t>
  </si>
  <si>
    <t>Velador Con Cajon Chysa Blanco 47 X 30 X 66 Cm</t>
  </si>
  <si>
    <t>Velador Con Cajón Madera Ratán 45x35x55 cm Atmosphera</t>
  </si>
  <si>
    <t>Zapatero de Acero 64x50x18 Cm Negro</t>
  </si>
  <si>
    <t>Alfombra de Yute Rectangular Borde Blanco 170x120 cm Atmosphera</t>
  </si>
  <si>
    <t>Textil</t>
  </si>
  <si>
    <t>Alfombra de Yute Rectangular Pasillo 200x80 cm Atmosphera</t>
  </si>
  <si>
    <t>Alfombra de Yute Redonda Borde Negro Verde 118 cm Atmosphera</t>
  </si>
  <si>
    <t>172476.0</t>
  </si>
  <si>
    <t>Alfombra Decorativa de Yute Natura 160x230 cm Atmosphera</t>
  </si>
  <si>
    <t>Alfombra Exterior/Interior Rectangular 170x120 cm Atmosphera</t>
  </si>
  <si>
    <t>Alfombra Exterior/Interior Rectangular 230x160 cm Atmosphera</t>
  </si>
  <si>
    <t>164005E</t>
  </si>
  <si>
    <t>Alfombra Mosaiq 100X150 Cm</t>
  </si>
  <si>
    <t>Alfombra Natura De Yute Beige 160X230 cm</t>
  </si>
  <si>
    <t>178585B</t>
  </si>
  <si>
    <t>Alfombra Polipropileno Exterior Y Interior Beige Mate 160 X 230 Cm</t>
  </si>
  <si>
    <t>Alfombra Polipropileno Exterior Y Interior Zoe Gris Mate 160X230Cm</t>
  </si>
  <si>
    <t>Alfombra Yute Borde Negro 120X170 cm</t>
  </si>
  <si>
    <t>Alfombra Yute Natural 120X170 cm</t>
  </si>
  <si>
    <t>Alfombra Yute Redonda 120 cm</t>
  </si>
  <si>
    <t>Alfombra Yute Redonda 160 cm</t>
  </si>
  <si>
    <t>Alfombra Yute Redonda Con Borde Negro 120 cm</t>
  </si>
  <si>
    <t>Alfombras Yute 60 X 90 cm Atmosphera</t>
  </si>
  <si>
    <t>146294LZ</t>
  </si>
  <si>
    <t>Set De Alfombras Yute 60 X 90 Cm Diseños</t>
  </si>
  <si>
    <t>Canasto Danilo de Caña Plegable Atmosphera</t>
  </si>
  <si>
    <t>Set De 4 Canastos Yute Emmet Color Natural</t>
  </si>
  <si>
    <t>157101A</t>
  </si>
  <si>
    <t>Set De 4 Canastos Yute Emmet Diseños</t>
  </si>
  <si>
    <t>172496L</t>
  </si>
  <si>
    <t>Cojin Algodón Sand 40 X 40 cm Lineas Atmosphera</t>
  </si>
  <si>
    <t>Cojín Algodón Y Polister Sand Cop 40X40 cm</t>
  </si>
  <si>
    <t>Cojín Decorativo Boho Chic Lazo 45x45 cm Atmosphera</t>
  </si>
  <si>
    <t>Cojín Decorativo Etnico 45x45 cm</t>
  </si>
  <si>
    <t>Cojin Ete Macrame 40 X 40 Cm</t>
  </si>
  <si>
    <t>Cojin Inca Algodon Poliester Azul 40 X40 Cm</t>
  </si>
  <si>
    <t>Cojín Inca Algodón Y Poliester 40X40 cm Terracota</t>
  </si>
  <si>
    <t>Cojin Inca Algodon Y Poliester 40x40 Ocre</t>
  </si>
  <si>
    <t>Cojin Inca Marfil 40 X 40 Cm</t>
  </si>
  <si>
    <t>Cojín Macrame 30X50 cm</t>
  </si>
  <si>
    <t>Cojin Macrame Algodón Marfil 30 X 50 Cm</t>
  </si>
  <si>
    <t>Cojin Sequin 30x50 Cm Marfl</t>
  </si>
  <si>
    <t>Funda Cojin Etnik 40x40 cm</t>
  </si>
  <si>
    <t>Babycorns</t>
  </si>
  <si>
    <t>Esfera Sorpresa Peluche Babycorns Zuru</t>
  </si>
  <si>
    <t>Bakü</t>
  </si>
  <si>
    <t>LI-4595-1771</t>
  </si>
  <si>
    <t>Alfombra Chindi Yute Colores</t>
  </si>
  <si>
    <t>Ledzone</t>
  </si>
  <si>
    <t>LI-URE1-1772</t>
  </si>
  <si>
    <t>Alfombra Chindi Yute Flecos</t>
  </si>
  <si>
    <t>LI-URE2-1773</t>
  </si>
  <si>
    <t>Alfombra Chindi Yute Ovalada</t>
  </si>
  <si>
    <t>Balvi</t>
  </si>
  <si>
    <t>Bota Calienta Pies Pingu Blanco y Negro</t>
  </si>
  <si>
    <t>Fashion</t>
  </si>
  <si>
    <t>Calienta pies</t>
  </si>
  <si>
    <t>4Trade</t>
  </si>
  <si>
    <t>Bota Calienta Pies Woof Marrion</t>
  </si>
  <si>
    <t>Frutero Multi Form Cobre Vintage</t>
  </si>
  <si>
    <t>Frutero Multi Form Dorado Vintage</t>
  </si>
  <si>
    <t>Frutero Multi Form Negro Ajustable</t>
  </si>
  <si>
    <t>Estuche para Joyas Bureau Madera</t>
  </si>
  <si>
    <t>Estuches</t>
  </si>
  <si>
    <t>Estuche para Joyas Haus Madera</t>
  </si>
  <si>
    <t>Estuche para Joyas Precious Metal</t>
  </si>
  <si>
    <t>Mantequillero Vidrio Butter</t>
  </si>
  <si>
    <t>Timer Y Reloj Digital</t>
  </si>
  <si>
    <t>Timer</t>
  </si>
  <si>
    <t>Bota Calienta Pies Kitty Gris</t>
  </si>
  <si>
    <t>Descorchador Sacacorchos Electrico Wini Minnim Blanco</t>
  </si>
  <si>
    <t>Hielera Vidrio L`Hédoniste</t>
  </si>
  <si>
    <t>Pack Gintonic Dry Collection</t>
  </si>
  <si>
    <t>Masajeador de Cabeza Aluminio 1/ Aa</t>
  </si>
  <si>
    <t>Beauty</t>
  </si>
  <si>
    <t>Cuidado Piel</t>
  </si>
  <si>
    <t>Masajes</t>
  </si>
  <si>
    <t>Colgador de Pared Mountain Dorado</t>
  </si>
  <si>
    <t>Colgadores</t>
  </si>
  <si>
    <t>Colgador de Pared Mountain Plateado</t>
  </si>
  <si>
    <t>Colgador de Pared Musik Negro</t>
  </si>
  <si>
    <t>Colgador de Pared The Bear Gris</t>
  </si>
  <si>
    <t>Colgador de Pared The Cat Gris</t>
  </si>
  <si>
    <t>Colgador Llaves Musik</t>
  </si>
  <si>
    <t>Espejo de Pared Cat Negro 48Cm</t>
  </si>
  <si>
    <t>Alcancia Oink Cerámica</t>
  </si>
  <si>
    <t>Figuras</t>
  </si>
  <si>
    <t>Globo Terráqueo Magic 360º</t>
  </si>
  <si>
    <t>Marco Foto Magic X6 Blanco</t>
  </si>
  <si>
    <t>Marcos foto</t>
  </si>
  <si>
    <t>Marco Foto Magic X8 Negro</t>
  </si>
  <si>
    <t>Marco Foto Tratto 3D X4</t>
  </si>
  <si>
    <t>Marco Foto Tratto 3D X7</t>
  </si>
  <si>
    <t>Marco Foto Tratto 3D X9</t>
  </si>
  <si>
    <t>Marco Kube 10X10 1/Aa</t>
  </si>
  <si>
    <t>Marco Messege Rec 10 Seg</t>
  </si>
  <si>
    <t>Marco Mignon X2</t>
  </si>
  <si>
    <t>Marco Mignon X4</t>
  </si>
  <si>
    <t>Porta Foto Iman X3 Metal Madera</t>
  </si>
  <si>
    <t>Organizador Sofá Negro</t>
  </si>
  <si>
    <t>Organizadores sofa</t>
  </si>
  <si>
    <t>Organizador De Zapatos 4 Niveles</t>
  </si>
  <si>
    <t>26021A</t>
  </si>
  <si>
    <t>Organizador De Zapatos Doble X2</t>
  </si>
  <si>
    <t>26021B</t>
  </si>
  <si>
    <t>Organizador De Zapatos Doble X4</t>
  </si>
  <si>
    <t>Papelera Basketball Polipropileno</t>
  </si>
  <si>
    <t>Papeleras</t>
  </si>
  <si>
    <t>Papelera Globe Lata</t>
  </si>
  <si>
    <t>Papelera Letters Blanco</t>
  </si>
  <si>
    <t>Papelera Letters Gris</t>
  </si>
  <si>
    <t>Papelera Letters Negro</t>
  </si>
  <si>
    <t>Papelera Sharpener Negro</t>
  </si>
  <si>
    <t>Papelera Sharpener Rojo</t>
  </si>
  <si>
    <t>Papelera Sharpener Rosado</t>
  </si>
  <si>
    <t>Papelera Sharpener Turquesa</t>
  </si>
  <si>
    <t>Perchero Alaska Metal Madera</t>
  </si>
  <si>
    <t>Perchero Birdie Metal Blanco</t>
  </si>
  <si>
    <t>Oro</t>
  </si>
  <si>
    <t>Perchero Galan Noche Blanco</t>
  </si>
  <si>
    <t>Perchero Galan Noche Negro</t>
  </si>
  <si>
    <t>Perchero Shiitake Acero Blanco</t>
  </si>
  <si>
    <t>Diamante</t>
  </si>
  <si>
    <t>Perchero Shiitake Acero Negro</t>
  </si>
  <si>
    <t>Perchero Shiitake Madera Blanco</t>
  </si>
  <si>
    <t>Perchero Shiitake Madera Negro</t>
  </si>
  <si>
    <t>Portalapices The Head Blanco</t>
  </si>
  <si>
    <t>Portalápices</t>
  </si>
  <si>
    <t>Portalapices The Head Gris</t>
  </si>
  <si>
    <t>Portalapices The Head Negro</t>
  </si>
  <si>
    <t>Candelabro Metal Haus</t>
  </si>
  <si>
    <t>Portavelas</t>
  </si>
  <si>
    <t>Puff L´Élephant Polipiel</t>
  </si>
  <si>
    <t>Puffs</t>
  </si>
  <si>
    <t>Puff La Vache Marrón Polipiel</t>
  </si>
  <si>
    <t>Puff La Vache Negra Polipiel</t>
  </si>
  <si>
    <t>Puff La Vache Vaca Blanca/Negro Polipiel</t>
  </si>
  <si>
    <t>Puff Le Carlin Café</t>
  </si>
  <si>
    <t>Puff Le Minou Gris/Blanco</t>
  </si>
  <si>
    <t>Puff Le Minou Negro/Blanco</t>
  </si>
  <si>
    <t>Reloj de Pared Milk Metal</t>
  </si>
  <si>
    <t>Reloj de Pared Oslo Metal</t>
  </si>
  <si>
    <t>Revistero Cat Blanco</t>
  </si>
  <si>
    <t>Revisteros</t>
  </si>
  <si>
    <t>Revistero Haus Blanco</t>
  </si>
  <si>
    <t>Revistero Haus Negro</t>
  </si>
  <si>
    <t>Revistero News Blanco</t>
  </si>
  <si>
    <t>Revistero News Negro</t>
  </si>
  <si>
    <t>Tablero Letras y Fotos Memories Verde</t>
  </si>
  <si>
    <t>Tableros</t>
  </si>
  <si>
    <t>Tablero Madisson Magneticos X6</t>
  </si>
  <si>
    <t>Tablero Multiusos Peg Wall</t>
  </si>
  <si>
    <t>Banano Táctil Deportivo Run &amp; Touch Amarillo</t>
  </si>
  <si>
    <t>Banano Táctil Deportivo Run &amp; Touch Rosa</t>
  </si>
  <si>
    <t>Lámpara de Mesa Moon</t>
  </si>
  <si>
    <t>Lámpara de Mesa Tic Tic Blanca</t>
  </si>
  <si>
    <t>Lámpara de Mesa Tic Tic Negra</t>
  </si>
  <si>
    <t>Lámpara Mesa Bulb</t>
  </si>
  <si>
    <t>Lámpara Mesa On Off</t>
  </si>
  <si>
    <t>Lámpara Sensor Lucciola</t>
  </si>
  <si>
    <t>Lámpara Usb Clamp Verde</t>
  </si>
  <si>
    <t>Lámpara Usb/3Aa 34Cm</t>
  </si>
  <si>
    <t>Lámpara Usb/4Aa 43Cm</t>
  </si>
  <si>
    <t>Mesa de Centro Cosmos Azul/Negro</t>
  </si>
  <si>
    <t>Mesa de Centro Moon Blanco/Negro</t>
  </si>
  <si>
    <t>Termo Acero Temperatura Digital 1.0 Lt Blanco</t>
  </si>
  <si>
    <t>Caja Organizador Capsulas</t>
  </si>
  <si>
    <t>Caja Organizadora Rectangular</t>
  </si>
  <si>
    <t>Caja Organizadora Ropa</t>
  </si>
  <si>
    <t>Organizador De Zapatos Doble</t>
  </si>
  <si>
    <t>Molinillo Pimienta Acrílico</t>
  </si>
  <si>
    <t>Soporte Nordik Mdf Pappers Blanco</t>
  </si>
  <si>
    <t>Tecno</t>
  </si>
  <si>
    <t>Periféricos de Computación</t>
  </si>
  <si>
    <t>Bases notebook</t>
  </si>
  <si>
    <t>Soporte Nordik Mdf Pappers Negro</t>
  </si>
  <si>
    <t>Soporte Nordik Mdf Pattern Café</t>
  </si>
  <si>
    <t>Soporte Nordik Mdf Pattern Negro</t>
  </si>
  <si>
    <t>Alfombra Cocina Caramel</t>
  </si>
  <si>
    <t>Alfombra Cocina Sardines</t>
  </si>
  <si>
    <t>Cojin Kitty Blanco</t>
  </si>
  <si>
    <t>Cojin Kitty Gris</t>
  </si>
  <si>
    <t>Cojin Kitty Negro</t>
  </si>
  <si>
    <t>Cojin Kitty Rosado</t>
  </si>
  <si>
    <t>Cojin Magic Negro/Dorado</t>
  </si>
  <si>
    <t>Cojín Magic Negro/Plateado</t>
  </si>
  <si>
    <t>Cojín Magic Negro/Rosa</t>
  </si>
  <si>
    <t>Pack x 2 Cojín Magic Plateado/Dorado</t>
  </si>
  <si>
    <t>Pack x 2 Cojín Magic Plateado/Rosado</t>
  </si>
  <si>
    <t>Aceitera 500Ml Borosilicato</t>
  </si>
  <si>
    <t>Bandai</t>
  </si>
  <si>
    <t>Figura 13 cm Demon Slayer Bandai</t>
  </si>
  <si>
    <t>Figura 30 cm Legendaria Anime Heroes Naruto De Bandai</t>
  </si>
  <si>
    <t>Figura Naruto 13 cm Bandai</t>
  </si>
  <si>
    <t>Baby</t>
  </si>
  <si>
    <t>Accesorios de Bebé</t>
  </si>
  <si>
    <t>Plata</t>
  </si>
  <si>
    <t>Casa De Muñecas Clásica Rosada Con Accesorios</t>
  </si>
  <si>
    <t>Set Juego Tazas De Té 16pcs</t>
  </si>
  <si>
    <t>Andador Correpasillos Bebe Didáctico Madera Rosado Bandú</t>
  </si>
  <si>
    <t>Andador Correpasillos Bebe Didáctico Madera Verde Bandú</t>
  </si>
  <si>
    <t>Beauty Jar</t>
  </si>
  <si>
    <t>Shampoo Blonde With Brains 150Gr</t>
  </si>
  <si>
    <t>Cuidado Capilar</t>
  </si>
  <si>
    <t>Shampoos y Acondicionadores</t>
  </si>
  <si>
    <t>Beauty Plus</t>
  </si>
  <si>
    <t>Shampoo Blonde With Brains 250Ml</t>
  </si>
  <si>
    <t>Shampoo Bravocado 250Ml</t>
  </si>
  <si>
    <t>Shampoo No Stress 150Gr</t>
  </si>
  <si>
    <t>EXFOLIANTE CUERO CABELLUDO BRAINSTORM 100GR</t>
  </si>
  <si>
    <t>Tratamientos y Mascarillas</t>
  </si>
  <si>
    <t>##############</t>
  </si>
  <si>
    <t>Exfoliante Cuero Cabelludo Mintallica 100Gr</t>
  </si>
  <si>
    <t>EXFOLIANTE CUERO CABELLUDO MINTALLICA 100GR</t>
  </si>
  <si>
    <t>Exfoliante Facial y Labios Very Berry Spa 120Gr</t>
  </si>
  <si>
    <t>Cuidado facial</t>
  </si>
  <si>
    <t>Liquid Eye Patches Cool Eyes</t>
  </si>
  <si>
    <t>LIQUID EYE PATCHES COOL EYES</t>
  </si>
  <si>
    <t>Night Eye Balm Sleeping Beauty</t>
  </si>
  <si>
    <t>BODY SCRUB CELLULITE KILLER 150GR</t>
  </si>
  <si>
    <t>Cuidado piel</t>
  </si>
  <si>
    <t>Exfoliante Corporal Aloha, Hawaii 200Gr</t>
  </si>
  <si>
    <t>Exfoliantes</t>
  </si>
  <si>
    <t>Exfoliante Corporal Cellulite Killer 150Gr</t>
  </si>
  <si>
    <t>Exfoliante Corporal Fitness Nuts 200Gr</t>
  </si>
  <si>
    <t>Exfoliante Corporal Solido Anticelulítico 100Gr</t>
  </si>
  <si>
    <t>Exfoliante Corporal Sugar Lady 180Gr</t>
  </si>
  <si>
    <t>Exfoliante Piernas Ready, Set, Scrub! 135Gr</t>
  </si>
  <si>
    <t>Manteca Limpiadora Facial Korean Beauty</t>
  </si>
  <si>
    <t>Limpieza facial</t>
  </si>
  <si>
    <t>Exfoliante Facial Under Control 120Gr</t>
  </si>
  <si>
    <t>Mascarillas faciales</t>
  </si>
  <si>
    <t>Face And Lips Peeling Very Berry Spa 120Gr</t>
  </si>
  <si>
    <t>FACE MASK CRAZY DETOX 20GR</t>
  </si>
  <si>
    <t>FACE MASK O, H2O! 120GR</t>
  </si>
  <si>
    <t>FACE MASK TOO GLAM TO GIVE A DAMN 120GR</t>
  </si>
  <si>
    <t>Mascarilla Facial Face Yoga 20Gr</t>
  </si>
  <si>
    <t>Mascarilla Facial Skin Yum 120Gr</t>
  </si>
  <si>
    <t>Mascarilla Facial White Magic 140Gr</t>
  </si>
  <si>
    <t>Mascarilla Business Woman 150Gr</t>
  </si>
  <si>
    <t>Quédate en casa</t>
  </si>
  <si>
    <t>Mascarillas con diseño</t>
  </si>
  <si>
    <t>Mascarilla Colorful 150Gr</t>
  </si>
  <si>
    <t>Cacerola Leo Con Tapa Non-Sitck Stone 18 Cm</t>
  </si>
  <si>
    <t>Ollas</t>
  </si>
  <si>
    <t>Cacerola Leo Con Tapa Non-Sitck Stone 20 Cm</t>
  </si>
  <si>
    <t>Olla Con Tapa 20Cm Comfort</t>
  </si>
  <si>
    <t>Olla Con Tapa Comfort 18 Cm</t>
  </si>
  <si>
    <t>Olla Leo Con Tapa 24X11 Cm</t>
  </si>
  <si>
    <t>Olla Leo Con Tapa Non-Sitck Stone 24X11 Cm</t>
  </si>
  <si>
    <t>Olla Leo Con Tapa Non-Sitck Stone 24X14 Cm</t>
  </si>
  <si>
    <t>Olla A Presión Vita 6Lt</t>
  </si>
  <si>
    <t>Ollas a presión</t>
  </si>
  <si>
    <t>Panquequera Leo Slate 24 Cm</t>
  </si>
  <si>
    <t>Sartenes y woks</t>
  </si>
  <si>
    <t>Sarten Balance Moonmist 20 Cm</t>
  </si>
  <si>
    <t>Sarten Balance Moonmist 24 Cm</t>
  </si>
  <si>
    <t>Sarten Balance Moonmist 28 Cm</t>
  </si>
  <si>
    <t>Sarten Balance Moonmist 32 Cm</t>
  </si>
  <si>
    <t>Sarten Grill 24Cm</t>
  </si>
  <si>
    <t>Sarten Grill Balance Moonmist 24 Cm</t>
  </si>
  <si>
    <t>Sarten Leo Slate 20 Cm</t>
  </si>
  <si>
    <t>Sarten Leo Slate 24 Cm</t>
  </si>
  <si>
    <t>Sarten Leo Slate 28 Cm</t>
  </si>
  <si>
    <t>Sarten Para Tortillas 25Cm</t>
  </si>
  <si>
    <t>Set De 3 Sartenes Non-Sitck Helix</t>
  </si>
  <si>
    <t>Wok Leo Slate 28 Cm</t>
  </si>
  <si>
    <t>BERGHOFF</t>
  </si>
  <si>
    <t>Bateria Cocina 7 Piezas Downdraft</t>
  </si>
  <si>
    <t>Bateria Cocina 7 Piezas Hotel Downdraft</t>
  </si>
  <si>
    <t>Bateria Cocina 8 Piezas Bolt</t>
  </si>
  <si>
    <t>Bateria Cocina Meta 10 Piezas</t>
  </si>
  <si>
    <t>Cuchillo Acero Inoxidable Essentials 38 Cm</t>
  </si>
  <si>
    <t>Cuchillo Cocinero Con Cortador De Hierbas 14Cm</t>
  </si>
  <si>
    <t>Cuchillo Cocinero Forjado</t>
  </si>
  <si>
    <t>Cuchillo Cocinero Gris 19Cm</t>
  </si>
  <si>
    <t>Cuchillo Con Mango De Madera Essentials 38 Cm</t>
  </si>
  <si>
    <t>Cuchillo De Pan Forjado</t>
  </si>
  <si>
    <t>Cuchillo De Pan Legacy 20 Cm</t>
  </si>
  <si>
    <t>Cuchillo Santoku Gris 17Cm</t>
  </si>
  <si>
    <t>Taco De Cuchillos 1 Pcs Legacy</t>
  </si>
  <si>
    <t>Taco De Cuchillos 6 Pcs</t>
  </si>
  <si>
    <t>Taco De Cuchillos 6 Pcs Gris Leo Berghoff</t>
  </si>
  <si>
    <t>Taco De Cuchillos 6 Piezas Essential Berghoff</t>
  </si>
  <si>
    <t>Tenedor Parrillero 17 Cm</t>
  </si>
  <si>
    <t>Termo Comida Insulado 500 cc Berghoff</t>
  </si>
  <si>
    <t>Afilador Cuchillos 3 En 1 Berghoff</t>
  </si>
  <si>
    <t>Cortador De Pizza</t>
  </si>
  <si>
    <t>Cortador De Pizza Leo</t>
  </si>
  <si>
    <t>Cuchara De Helado Color Menta</t>
  </si>
  <si>
    <t>Cuchara Pastas Soft Grip Gris Leo 7 X 31Cm</t>
  </si>
  <si>
    <t>Espatula Asado (Rel 1108003)</t>
  </si>
  <si>
    <t>Espatula Bbq Essentials</t>
  </si>
  <si>
    <t>Espatula Cocina Nylon 26 Cm</t>
  </si>
  <si>
    <t>Espatula Cocina Nylon 33 Cm</t>
  </si>
  <si>
    <t>Espatula Essentials</t>
  </si>
  <si>
    <t>Espumadero Soft Grip Gris Leo</t>
  </si>
  <si>
    <t>Martillo Para Carne</t>
  </si>
  <si>
    <t>Mortero Ceramica Gres Blanco Mate 17X5 Cm</t>
  </si>
  <si>
    <t>Pelador De Verdura En Y</t>
  </si>
  <si>
    <t>Pelador De Verdura En Y Con Rallador BERGHOFF</t>
  </si>
  <si>
    <t>Pelador Rosado</t>
  </si>
  <si>
    <t>Pincel Bbq Essentials</t>
  </si>
  <si>
    <t>Pinzas Cocina Nylon 27 Cm</t>
  </si>
  <si>
    <t>Pinzas Cocina Nylon 34 Cm</t>
  </si>
  <si>
    <t>Posa Ollas Leo Rosado</t>
  </si>
  <si>
    <t>Prensa Para Ajos</t>
  </si>
  <si>
    <t>Rallador 3 Lados Gris Berghoff</t>
  </si>
  <si>
    <t>Rallador 4 Lados</t>
  </si>
  <si>
    <t>Rallador Doble Sentido Azul Berghoff</t>
  </si>
  <si>
    <t>Tijera De Cocina</t>
  </si>
  <si>
    <t>Trinchador Asado Madera Negro Ron 17Cm</t>
  </si>
  <si>
    <t>Triturador De Papas</t>
  </si>
  <si>
    <t>Molde Para Hornear 23X23X10</t>
  </si>
  <si>
    <t>Cafetera Prensa Francesa Vidrio Y Acero Inoxidable 600Cc</t>
  </si>
  <si>
    <t>Cafetera Prensa Francesa Vidrio Y Acero Inoxidable 800 Cc</t>
  </si>
  <si>
    <t>Tetera De Vidrio 900 Cc</t>
  </si>
  <si>
    <t>Teteras</t>
  </si>
  <si>
    <t>Contenedor De Alimentos Vidrio 1L</t>
  </si>
  <si>
    <t>Contenedor De Pasta De Vidrio 1L</t>
  </si>
  <si>
    <t>Molinillo Pimienta 27 Cm</t>
  </si>
  <si>
    <t>Molinillo Sal Y Pimienta Duo</t>
  </si>
  <si>
    <t>Pimentero Madera 42Cm Molinillo Ceramico Ajustable</t>
  </si>
  <si>
    <t>Salero Y Pimientero Balance Berghoff</t>
  </si>
  <si>
    <t>Dispensador De Aceite 500 Ml</t>
  </si>
  <si>
    <t>Fuente Antiadherente 46X35</t>
  </si>
  <si>
    <t>Fuente Para Horno Rectangular 25X14X8</t>
  </si>
  <si>
    <t>Fuente Redonda 23 X 23 X 5 Cm</t>
  </si>
  <si>
    <t>Fuente Redonda 28X28X5X3</t>
  </si>
  <si>
    <t>Set De Posillos De Ceramica 9 X 6 Cm</t>
  </si>
  <si>
    <t>Set De Tres Posillos De Ceramica 10 X 6 Cm</t>
  </si>
  <si>
    <t>Bergner</t>
  </si>
  <si>
    <t>BGMP-1555</t>
  </si>
  <si>
    <t>Olla Acero Inoxidable 16cm Gravity</t>
  </si>
  <si>
    <t>KW Chile</t>
  </si>
  <si>
    <t>BGIC-3500</t>
  </si>
  <si>
    <t>Olla Acero Inoxidable 16cm Infinity Chef's</t>
  </si>
  <si>
    <t>BGMP-1581</t>
  </si>
  <si>
    <t>Olla Acero Inoxidable 20cm Gravity</t>
  </si>
  <si>
    <t>BGIC-3501</t>
  </si>
  <si>
    <t>Olla Acero Inoxidable 20cm Infinity Chef's</t>
  </si>
  <si>
    <t>BGMP-1582</t>
  </si>
  <si>
    <t>Olla Acero Inoxidable 24cm Gravity</t>
  </si>
  <si>
    <t>BGIC-3502</t>
  </si>
  <si>
    <t>Olla Acero Inoxidable 24cm Infinity Chef's</t>
  </si>
  <si>
    <t>BGIC-3506</t>
  </si>
  <si>
    <t>Olla Acero Inoxidable 28cm Infinity Chef's</t>
  </si>
  <si>
    <t>BGIC-3503</t>
  </si>
  <si>
    <t>Olla Baja Acero Inoxidable 28cm Infinity Chef's</t>
  </si>
  <si>
    <t>BGMP-1585</t>
  </si>
  <si>
    <t>Olla Con Tapa Acero Inoxidable 28 cm Gravity</t>
  </si>
  <si>
    <t>SG-1535</t>
  </si>
  <si>
    <t>Olla a Presión Acero Inoxidable 6 litros Capri</t>
  </si>
  <si>
    <t>Plancha Aluminio Fundido 36cm Gravity</t>
  </si>
  <si>
    <t>Planchas Grill</t>
  </si>
  <si>
    <t>BGMP-3304</t>
  </si>
  <si>
    <t>Plancha Grill Aluminio Forjado 28cm Gravity</t>
  </si>
  <si>
    <t>BGIC-1004</t>
  </si>
  <si>
    <t>Plancha Grill Aluminio Forjado 28cm Infinity Chef's</t>
  </si>
  <si>
    <t>BG-8520-MBG</t>
  </si>
  <si>
    <t>Plancha Grill Aluminio Forjado 28cm Orion</t>
  </si>
  <si>
    <t>BGIC-1000</t>
  </si>
  <si>
    <t>Sartén Aluminio Forjado 16cm Infinity Chef's</t>
  </si>
  <si>
    <t>BGIC-1001</t>
  </si>
  <si>
    <t>Sartén Aluminio Forjado 20cm Infinity Chef's</t>
  </si>
  <si>
    <t>Sartén Aluminio Forjado 24cm Gravity</t>
  </si>
  <si>
    <t>Sartén Aluminio Forjado 24cm Infinity Chef's</t>
  </si>
  <si>
    <t>BG-8509-MBG</t>
  </si>
  <si>
    <t>Sartén Aluminio Forjado 24cm Orion</t>
  </si>
  <si>
    <t>BGMP-3303</t>
  </si>
  <si>
    <t>Sartén Aluminio Forjado 28cm Gravity</t>
  </si>
  <si>
    <t>BGIC-1003</t>
  </si>
  <si>
    <t>Sartén Aluminio Forjado 28cm Infinity Chef's</t>
  </si>
  <si>
    <t>BG-7058-CP</t>
  </si>
  <si>
    <t>Sartén Freidora Cuadrada Con Tapa 28 cm Copper</t>
  </si>
  <si>
    <t>Sartén Orion 28 cm De Aluminio Forjado</t>
  </si>
  <si>
    <t>Wok 28 cm Aluminio Forjado Gravity</t>
  </si>
  <si>
    <t>BGIC-1005</t>
  </si>
  <si>
    <t>Wok Aluminio Forjado 28cm Infinity Chef's</t>
  </si>
  <si>
    <t>BG-8521-MBG</t>
  </si>
  <si>
    <t>Wok Aluminio Forjado 28cm Orion</t>
  </si>
  <si>
    <t>BGMP-5111</t>
  </si>
  <si>
    <t>Enfriador de Vino PVC Expert</t>
  </si>
  <si>
    <t>BGMP-9121</t>
  </si>
  <si>
    <t>Preservador Automático de Vino Expert</t>
  </si>
  <si>
    <t>Set Descorchador de Vino 5pcs Alloy Moulis</t>
  </si>
  <si>
    <t>BG-8528MBG</t>
  </si>
  <si>
    <t>Batería De Cocina Orion 5 Piezas</t>
  </si>
  <si>
    <t>Batería De Cocina Pandora 6 Piezas</t>
  </si>
  <si>
    <t>BG-5244</t>
  </si>
  <si>
    <t>Cuchillería 24pcs Acero Inoxidable Berlín</t>
  </si>
  <si>
    <t>BG-5245</t>
  </si>
  <si>
    <t>Cuchillería 24pcs Acero Inoxidable Munich</t>
  </si>
  <si>
    <t>BG-4225-MM</t>
  </si>
  <si>
    <t>Cuchillo Chef Acero Inoxidable 20cm Harley</t>
  </si>
  <si>
    <t>BG-4229-MM</t>
  </si>
  <si>
    <t>Cuchillo Mondador Acero Inoxidable 9cm Harley</t>
  </si>
  <si>
    <t>BG-4228-MM</t>
  </si>
  <si>
    <t>Cuchillo Multiuso Acero Inoxidable 12cm Harley</t>
  </si>
  <si>
    <t>BG-4230-MM</t>
  </si>
  <si>
    <t>Cuchillo Santoku Acero Inoxidable 17cm Harley</t>
  </si>
  <si>
    <t>BG-4227-MM</t>
  </si>
  <si>
    <t>Cuchillo Trinchador Acero Inoxidable 20cm Harley</t>
  </si>
  <si>
    <t>BG-4221-MM</t>
  </si>
  <si>
    <t>Set 5 Cuchillos Acero Inoxidable Harley</t>
  </si>
  <si>
    <t>BGMP-5500</t>
  </si>
  <si>
    <t>Picador Rallador De Verduras Mandolina 5 En 1</t>
  </si>
  <si>
    <t>BGMP-5100</t>
  </si>
  <si>
    <t>Soplete Zinc Alu Foodi</t>
  </si>
  <si>
    <t>BG-2708</t>
  </si>
  <si>
    <t>Tapa Universal De Vidrio Con Borde De Silicona 16-18-20 Cm</t>
  </si>
  <si>
    <t>BG-2709</t>
  </si>
  <si>
    <t>Tapa Universal De Vidrio Con Borde De Silicona 24-26-28 Cm</t>
  </si>
  <si>
    <t>SG-3518</t>
  </si>
  <si>
    <t>Cafetera Italiana Aluminio 12 Tazas Tetera Negra</t>
  </si>
  <si>
    <t>SG-3517</t>
  </si>
  <si>
    <t>Cafetera Italiana Aluminio 9 Tazas Tetera Negra</t>
  </si>
  <si>
    <t>BG Berlin</t>
  </si>
  <si>
    <t>BGSODSAZU</t>
  </si>
  <si>
    <t>Maleta Cabina Soda 38 Lt Bg Berlin (azul)</t>
  </si>
  <si>
    <t>Pilgrim</t>
  </si>
  <si>
    <t>BGSODSNEG</t>
  </si>
  <si>
    <t>Maleta Cabina Soda 38 Lt Bg Berlin (negro)</t>
  </si>
  <si>
    <t>BGTEDSBEI</t>
  </si>
  <si>
    <t>Maleta Cabina Ted 35 Lt Bg Berlin (beige)</t>
  </si>
  <si>
    <t>BGTEDSNEG</t>
  </si>
  <si>
    <t>Maleta Cabina Ted 35 Lt Bg Berlin (negro)</t>
  </si>
  <si>
    <t>Bg Berlin</t>
  </si>
  <si>
    <t>Maleta de cabina BG Berlin ZIP² 35 Lt</t>
  </si>
  <si>
    <t>BGZIPSNE</t>
  </si>
  <si>
    <t>Maleta Grande BG Berlin ZIP² 125 Lt</t>
  </si>
  <si>
    <t>BGZIPLVER</t>
  </si>
  <si>
    <t>BGSODLAZU</t>
  </si>
  <si>
    <t>Maleta Grande Soda 103 Lt Bg Berlin (azul)</t>
  </si>
  <si>
    <t>BGSODLNEG</t>
  </si>
  <si>
    <t>Maleta Grande Soda 103 Lt Bg Berlin (negro)</t>
  </si>
  <si>
    <t>BGSODMAZU</t>
  </si>
  <si>
    <t>Maleta Mediana Soda 68 Lts Bg Berlin (azul)</t>
  </si>
  <si>
    <t>BGSODMNEG</t>
  </si>
  <si>
    <t>Maleta Mediana Soda 68 Lts Bg Berlin (negro)</t>
  </si>
  <si>
    <t>BGTEDLBEI</t>
  </si>
  <si>
    <t>Maleta Ted Grande 125 Lt Bg Berlin (beige)</t>
  </si>
  <si>
    <t>BGTEDLNEG</t>
  </si>
  <si>
    <t>Maleta Ted Grande 125 Lt Bg Berlin (negro)</t>
  </si>
  <si>
    <t>BGTEDMBEI</t>
  </si>
  <si>
    <t>Maleta Ted Mediana 80 Lt Bg Berlin (beige)</t>
  </si>
  <si>
    <t>BGTEDMNEG</t>
  </si>
  <si>
    <t>Maleta Ted Mediana 80 Lt Bg Berlin (negro)</t>
  </si>
  <si>
    <t>BGENDROJ</t>
  </si>
  <si>
    <t>Maletas Pack Maletas Rojo (L+Cabina)</t>
  </si>
  <si>
    <t>BGENDVER</t>
  </si>
  <si>
    <t>Maletas Pack Maletas Verde (L+Cabina)</t>
  </si>
  <si>
    <t>BGENDAZU</t>
  </si>
  <si>
    <t>Pack Maletas Azul (L+Cabina)</t>
  </si>
  <si>
    <t>BGENDBUR</t>
  </si>
  <si>
    <t>Pack Maletas Fucsia Grape (L+Cabina)</t>
  </si>
  <si>
    <t>BGENDGRI</t>
  </si>
  <si>
    <t>Pack Maletas Gris Titanium (L+Cabina)</t>
  </si>
  <si>
    <t>BGENDLAV</t>
  </si>
  <si>
    <t>Pack Maletas Lavanda (L+Cabina)</t>
  </si>
  <si>
    <t>BGENDMEN</t>
  </si>
  <si>
    <t>Pack Maletas Menta (L+Cabina)</t>
  </si>
  <si>
    <t>BGSET3TEDBEI</t>
  </si>
  <si>
    <t>Set De 3 Maletas (Cabina+ Mediana+ Grande) Bg Berlin Ted</t>
  </si>
  <si>
    <t>BGSET3TEDNEG</t>
  </si>
  <si>
    <t>BGSET3SODAZU</t>
  </si>
  <si>
    <t>Set De 3 Maletas (Cabina+Mediana+Grande) Bg Berlin Soda</t>
  </si>
  <si>
    <t>BGSET3SODNEG</t>
  </si>
  <si>
    <t>BGMOBIGRI</t>
  </si>
  <si>
    <t>Mobibag Mochila Viral 24 Lts Bg Berlin (gris)</t>
  </si>
  <si>
    <t>BGMOBINEG</t>
  </si>
  <si>
    <t>Mobibag Mochila Viral 24 Lts Bg Berlin (negro)</t>
  </si>
  <si>
    <t>BGMOBIROS</t>
  </si>
  <si>
    <t>Mobibag Mochila Viral 24 Lts Bg Berlin (rosa)</t>
  </si>
  <si>
    <t>Bibs</t>
  </si>
  <si>
    <t>Chupete Boheme X2 Talla 1 Gris / Rosado</t>
  </si>
  <si>
    <t>Chupetes</t>
  </si>
  <si>
    <t>Roda Corp</t>
  </si>
  <si>
    <t>Chupete Boheme X2 Talla 1 Marfil / Rosado</t>
  </si>
  <si>
    <t>Chupete Boheme X2 Talla 1 Marfil / Salvia</t>
  </si>
  <si>
    <t>Chupete Boheme X2 Talla 1 Rosa / Lila</t>
  </si>
  <si>
    <t>Chupete Boheme X2 Talla 2 Marfil / Rosa</t>
  </si>
  <si>
    <t>Chupete Boheme X2 Talla 2 Marfil /Salvia</t>
  </si>
  <si>
    <t>Chupete Boheme X2 Talla 2 Rosa / Lila</t>
  </si>
  <si>
    <t>Chupete Colour X2 Talla 1 Dusky Lilac/Heather</t>
  </si>
  <si>
    <t>Chupete Colour X2 Talla 3 Salvia / Gris</t>
  </si>
  <si>
    <t>Chupete X2 Talla 1 Amarillo /Violeta</t>
  </si>
  <si>
    <t>Chupete X2 Talla 1 Azul / Pistacho</t>
  </si>
  <si>
    <t>Chupete X2 Talla 1 Azul Cielo / Azul</t>
  </si>
  <si>
    <t>Chupete X2 Talla 1 Blanco /Menta</t>
  </si>
  <si>
    <t>Chupete X2 Talla 1 Gris / Rosa</t>
  </si>
  <si>
    <t>Chupete X2 Talla 1 Lavanda / Rosado</t>
  </si>
  <si>
    <t>Chupete X2 Talla 1 Menta / Gris</t>
  </si>
  <si>
    <t>Chupete X2 Talla 1 Negro / Azul</t>
  </si>
  <si>
    <t>Chupete X2 Talla 1 Papaya / Violeta</t>
  </si>
  <si>
    <t>Chupete X2 Talla 1 Rosa / Beige</t>
  </si>
  <si>
    <t>Chupete X2 Talla 1 Rosado / Marfil</t>
  </si>
  <si>
    <t>Chupete X2 Talla 1 Rosado / Rojo</t>
  </si>
  <si>
    <t>Chupete X2 Talla 1 Salvia / Marfil</t>
  </si>
  <si>
    <t>Chupete X2 Talla 1 Salvia / Nube</t>
  </si>
  <si>
    <t>Chupete X2 Talla 1 Verde / Menta</t>
  </si>
  <si>
    <t>Chupete X2 Talla 2 Blanco / Menta</t>
  </si>
  <si>
    <t>Chupete X2 Talla 2 Amarillo /Violeta</t>
  </si>
  <si>
    <t>Chupete X2 Talla 2 Azul Cielo / Azul</t>
  </si>
  <si>
    <t>Chupete X2 Talla 2 Azul/Pistacho</t>
  </si>
  <si>
    <t>Chupete X2 Talla 2 Gris / Rosado</t>
  </si>
  <si>
    <t>Chupete X2 Talla 2 Lila / Morado</t>
  </si>
  <si>
    <t>Chupete X2 Talla 2 Menta / Gris</t>
  </si>
  <si>
    <t>Chupete X2 Talla 2 Menta / Verde</t>
  </si>
  <si>
    <t>Chupete X2 Talla 2 Negro / Azul</t>
  </si>
  <si>
    <t>Chupete X2 Talla 2 Papaya / Violeta</t>
  </si>
  <si>
    <t>Chupete X2 Talla 2 Rosado / Marfil</t>
  </si>
  <si>
    <t>Chupete X2 Talla 2 Rosado / Rojo</t>
  </si>
  <si>
    <t>Chupete X2 Talla 2 Rosado / Rosa</t>
  </si>
  <si>
    <t>Chupete X2 Talla 3 Negro / Azul</t>
  </si>
  <si>
    <t>Chupete X2 Talla 3 Rosado / Marfil</t>
  </si>
  <si>
    <t>Chupete X2 Talla 3 Rosado / Rosa</t>
  </si>
  <si>
    <t>Chupete X2 Talla 3 Salvia / Marfil</t>
  </si>
  <si>
    <t>Pack Repuesto Chupete Biberon Medium Flow</t>
  </si>
  <si>
    <t>Mamaderas</t>
  </si>
  <si>
    <t>Set Mamadera 110Ml Marfil</t>
  </si>
  <si>
    <t>Set Mamadera 110Ml Rosado</t>
  </si>
  <si>
    <t>Set Mamadera 110Ml Verde</t>
  </si>
  <si>
    <t>Set Mamadera 225Ml Marfil</t>
  </si>
  <si>
    <t>Set Mamadera 225Ml Rosado</t>
  </si>
  <si>
    <t>Set Mamadera 225Ml Verde</t>
  </si>
  <si>
    <t>Bklyn</t>
  </si>
  <si>
    <t>BUC-106</t>
  </si>
  <si>
    <t>Tabla Multiuso Fibra de Madera</t>
  </si>
  <si>
    <t>BUC-107</t>
  </si>
  <si>
    <t>Tabla Parrillera Fibra de Madera</t>
  </si>
  <si>
    <t>BUC-108</t>
  </si>
  <si>
    <t>BUC-101</t>
  </si>
  <si>
    <t>Pack Pinzas Cocina Acero Inoxidable 34 y 27Cm</t>
  </si>
  <si>
    <t>BUC-103</t>
  </si>
  <si>
    <t>Pinzas Cocina Acero Inoxidable 30Cm</t>
  </si>
  <si>
    <t>Pinzas Cocina Acero Inoxidable 40Cm</t>
  </si>
  <si>
    <t>BUC-105</t>
  </si>
  <si>
    <t>Soplete Profesional + Gas Butano Incluido</t>
  </si>
  <si>
    <t>Black Bubba</t>
  </si>
  <si>
    <t>Cartera Grande Negro Raffia</t>
  </si>
  <si>
    <t>Carteras</t>
  </si>
  <si>
    <t>Bubba</t>
  </si>
  <si>
    <t>Cartera Negro Holly</t>
  </si>
  <si>
    <t>Cartera Negro Pescadora Raffia</t>
  </si>
  <si>
    <t>Estuche Multi Negro Beast</t>
  </si>
  <si>
    <t>Pantuflas Black</t>
  </si>
  <si>
    <t>Gorro Jockey Twill Negro</t>
  </si>
  <si>
    <t>Jockey Army Black</t>
  </si>
  <si>
    <t>Jockey Classic Black</t>
  </si>
  <si>
    <t>Jockey Classic Green</t>
  </si>
  <si>
    <t>Jockey Label Black</t>
  </si>
  <si>
    <t>Tarjetero Cábala Negro</t>
  </si>
  <si>
    <t>Accesorios de viaje</t>
  </si>
  <si>
    <t>Funda de Notebook 14" Kabbalah</t>
  </si>
  <si>
    <t>Accesorios notebook</t>
  </si>
  <si>
    <t>Banano Basic Black</t>
  </si>
  <si>
    <t>Banano Moss Básico</t>
  </si>
  <si>
    <t>Billetera Clásica Alazan Pesto</t>
  </si>
  <si>
    <t>Billeteras</t>
  </si>
  <si>
    <t>Billetera Clásica Beast</t>
  </si>
  <si>
    <t>Bolso Deportivo Duffle M</t>
  </si>
  <si>
    <t>Bolso Deportivo Duffle XL</t>
  </si>
  <si>
    <t>Bolso Depotivo Camo M</t>
  </si>
  <si>
    <t>Bolso Depotivo Camo XL</t>
  </si>
  <si>
    <t>Lonchera Negra Beast</t>
  </si>
  <si>
    <t>Loncheras</t>
  </si>
  <si>
    <t>Lonchera Verde Beast</t>
  </si>
  <si>
    <t>Maleta Boss Negra L</t>
  </si>
  <si>
    <t>Maleta Boss Negra M</t>
  </si>
  <si>
    <t>Maleta Boss Negra S</t>
  </si>
  <si>
    <t>Maleta Negra Rolling 4 Ruedas M</t>
  </si>
  <si>
    <t>Maleta Negra Rolling 4 Ruedas S</t>
  </si>
  <si>
    <t>Mochila Alazán Negra Pesto</t>
  </si>
  <si>
    <t>Mochila Alazan Velvet</t>
  </si>
  <si>
    <t>Mochila Beast</t>
  </si>
  <si>
    <t>Mochila Beast Verde</t>
  </si>
  <si>
    <t>Mochila Big Boss Negra Carbón</t>
  </si>
  <si>
    <t>Mochila Boss Green</t>
  </si>
  <si>
    <t>Mochila Kabbalah</t>
  </si>
  <si>
    <t>Mochila Lewis Negra</t>
  </si>
  <si>
    <t>Mochila Mini Beast</t>
  </si>
  <si>
    <t>Mochila Mini Beast Camo Black Bubba</t>
  </si>
  <si>
    <t>Mochila Mini Beast Verde</t>
  </si>
  <si>
    <t>Mochila Negra Sublime Camuflaje</t>
  </si>
  <si>
    <t>Mochila Soho Military</t>
  </si>
  <si>
    <t>Mochila Soho Yellow</t>
  </si>
  <si>
    <t>Neceser Básico Negro</t>
  </si>
  <si>
    <t>Neceser Camo Kabbalah</t>
  </si>
  <si>
    <t>Neceser Camuflaje Beast</t>
  </si>
  <si>
    <t>Neceser Negro Austin</t>
  </si>
  <si>
    <t>Neceser Verde Beast</t>
  </si>
  <si>
    <t>Tabaquera Vegan Leather</t>
  </si>
  <si>
    <t>Tabaqueras</t>
  </si>
  <si>
    <t>Botella Aislada Indigo 26 Oz</t>
  </si>
  <si>
    <t>Botella Aislada Indigo 34 Oz</t>
  </si>
  <si>
    <t>Botella Insulada Camo Black</t>
  </si>
  <si>
    <t>Botella Insulada Navy Black</t>
  </si>
  <si>
    <t>Funda Notebook Black</t>
  </si>
  <si>
    <t>Funda Notebook Negro 16" Kabbalah</t>
  </si>
  <si>
    <t>Funda Notebook Verde 13" Beast</t>
  </si>
  <si>
    <t>Mug Insulado</t>
  </si>
  <si>
    <t>Termo Mate</t>
  </si>
  <si>
    <t>Black Velvet Studio</t>
  </si>
  <si>
    <t>B0314</t>
  </si>
  <si>
    <t>Maceta Ios Alto Grabado Blanco</t>
  </si>
  <si>
    <t>Maceteros</t>
  </si>
  <si>
    <t>B0313</t>
  </si>
  <si>
    <t>Maceta Ios Bajo Grabado Blanco</t>
  </si>
  <si>
    <t>B0308</t>
  </si>
  <si>
    <t>Maceta Kos Alto Textura Gris Blanqueado</t>
  </si>
  <si>
    <t>B0301</t>
  </si>
  <si>
    <t>Maceta Myconos Copa Blanco Roto</t>
  </si>
  <si>
    <t>B0315</t>
  </si>
  <si>
    <t>Maceta Santorini Alto Rayas Blanco</t>
  </si>
  <si>
    <t>B0332</t>
  </si>
  <si>
    <t>Pie Para Maceta Mr White Metal Blanco</t>
  </si>
  <si>
    <t>B0289</t>
  </si>
  <si>
    <t>Set 2 Salvamanteles Cork Hexagonal Blanco Negro</t>
  </si>
  <si>
    <t>Manteles</t>
  </si>
  <si>
    <t>B0239</t>
  </si>
  <si>
    <t>Bandeja Agra Hexagonal Natural Blanco</t>
  </si>
  <si>
    <t>B0237</t>
  </si>
  <si>
    <t>Bandeja Oslo Cuadrada Natural/Blanco</t>
  </si>
  <si>
    <t>B0241</t>
  </si>
  <si>
    <t>Bandeja Oulu Cuadrada Blanco Negro</t>
  </si>
  <si>
    <t>B0371</t>
  </si>
  <si>
    <t>Botellero Vino Wine For 8 8 Botellas Natural</t>
  </si>
  <si>
    <t>Botelleros</t>
  </si>
  <si>
    <t>B0511</t>
  </si>
  <si>
    <t>Caja Deco Ananas M Cerámica Blanco/Dorado</t>
  </si>
  <si>
    <t>Caja Deco Metal Dorado 2 Huecos</t>
  </si>
  <si>
    <t>B0342</t>
  </si>
  <si>
    <t>Caja Deco Pineapple Metal Dorado</t>
  </si>
  <si>
    <t>B0601</t>
  </si>
  <si>
    <t>Caja Deco Retro Tapa Dorado</t>
  </si>
  <si>
    <t>B0403</t>
  </si>
  <si>
    <t>Caja Deco Retro Transparente Dorado</t>
  </si>
  <si>
    <t>B0404</t>
  </si>
  <si>
    <t>Caja Deco Retro Casa Dorado</t>
  </si>
  <si>
    <t>Caja Deco Retro Dorado Vidrio</t>
  </si>
  <si>
    <t>Espejo 3D Metal Dorado</t>
  </si>
  <si>
    <t>B0622</t>
  </si>
  <si>
    <t>Espejo Amaui Redonda Mimbre Natural</t>
  </si>
  <si>
    <t>B0733</t>
  </si>
  <si>
    <t>Espejo Andros Redondo Natural</t>
  </si>
  <si>
    <t>B0346</t>
  </si>
  <si>
    <t>Espejo Bubble Metal Dorado</t>
  </si>
  <si>
    <t>B0527</t>
  </si>
  <si>
    <t>Espejo Gold Cuadrada Dorado</t>
  </si>
  <si>
    <t>Espejo Kahala L Redonda Natural</t>
  </si>
  <si>
    <t>B0623</t>
  </si>
  <si>
    <t>Espejo Leilani Redondo Mimbre Natural</t>
  </si>
  <si>
    <t>Espejo Mele Flor Natural</t>
  </si>
  <si>
    <t>Espejo Pared Arrow Redondo Dorado</t>
  </si>
  <si>
    <t>Espejo Pared Art Deco Redondo Dorado</t>
  </si>
  <si>
    <t>B0756</t>
  </si>
  <si>
    <t>Espejo Pared Flor S Metal Dorado</t>
  </si>
  <si>
    <t>B0762</t>
  </si>
  <si>
    <t>Espejo Pared Spark Redondo Dorado</t>
  </si>
  <si>
    <t>Espejo Pared Star S Metal Dorado</t>
  </si>
  <si>
    <t>B0734</t>
  </si>
  <si>
    <t>Espejo Paros Redondo Natural</t>
  </si>
  <si>
    <t>B0344</t>
  </si>
  <si>
    <t>Espejo Ra Redonda Rayas Negro</t>
  </si>
  <si>
    <t>B0348</t>
  </si>
  <si>
    <t>Espejo Ring Metal Rayas Dorado</t>
  </si>
  <si>
    <t>B0726</t>
  </si>
  <si>
    <t>Espejo Serifos Redondo Espiral Natural</t>
  </si>
  <si>
    <t>B0618</t>
  </si>
  <si>
    <t>Espejo Spider Metal Dorado</t>
  </si>
  <si>
    <t>B0442</t>
  </si>
  <si>
    <t>Espejo Ubud Redondo Bambu</t>
  </si>
  <si>
    <t>B0505</t>
  </si>
  <si>
    <t>Figura Mr Kaktus L Cerámica Blanco</t>
  </si>
  <si>
    <t>B0507</t>
  </si>
  <si>
    <t>Figura Mrs Kaktus L Cerámica Blanco</t>
  </si>
  <si>
    <t>B0374</t>
  </si>
  <si>
    <t>Jarrón Brown Bottle Mitad Pintado Marrón</t>
  </si>
  <si>
    <t>B0375</t>
  </si>
  <si>
    <t>Jarrón Brown Vase Mitad Pintado Marrón</t>
  </si>
  <si>
    <t>B0752</t>
  </si>
  <si>
    <t>Jarrón Icy Grey Mate Gris</t>
  </si>
  <si>
    <t>B0751</t>
  </si>
  <si>
    <t>Jarrón Icy Pink Mate Rosa</t>
  </si>
  <si>
    <t>B0377</t>
  </si>
  <si>
    <t>Jarrón Tendence 19X14 Transparente/Dorado</t>
  </si>
  <si>
    <t>B0380</t>
  </si>
  <si>
    <t>Jarrón Tendence Grabado 20X13 Gris/Dorado</t>
  </si>
  <si>
    <t>B0379</t>
  </si>
  <si>
    <t>Jarrón Tendence Grabado 29X15 Gris/Dorado</t>
  </si>
  <si>
    <t>B0723</t>
  </si>
  <si>
    <t>Manta Bikaner Rombos Y Flecos 125X150 Gris/Blanco</t>
  </si>
  <si>
    <t>Mantas</t>
  </si>
  <si>
    <t>B0023</t>
  </si>
  <si>
    <t>Manta Jaipur Rayas Borlas Beige/Negro</t>
  </si>
  <si>
    <t>B0031</t>
  </si>
  <si>
    <t>Sujeta Fotos Clip Redonda Varillas Dorado</t>
  </si>
  <si>
    <t>B0319</t>
  </si>
  <si>
    <t>Portavelas Ra Redonda Metal Dorado</t>
  </si>
  <si>
    <t>B0716</t>
  </si>
  <si>
    <t>Silla Kane Patas Metal Ribete Rosa</t>
  </si>
  <si>
    <t>B0350</t>
  </si>
  <si>
    <t>Tabla De Cortar Bali Horizontal Natural/Marró</t>
  </si>
  <si>
    <t>B0368</t>
  </si>
  <si>
    <t>Tabla De Cortar Copper Redonda Natural/Cobre</t>
  </si>
  <si>
    <t>B0365</t>
  </si>
  <si>
    <t>Tabla De Cortar Cut L Rectang Natural/Marrón</t>
  </si>
  <si>
    <t>B0366</t>
  </si>
  <si>
    <t>Tabla De Cortar Cut M Rectang Natural/Marrón</t>
  </si>
  <si>
    <t>B0367</t>
  </si>
  <si>
    <t>Tabla De Cortar Cut S Rectang Natural/Marrón</t>
  </si>
  <si>
    <t>Tabla De Cortar Indonesia Rectang Natural/Mar</t>
  </si>
  <si>
    <t>B0320</t>
  </si>
  <si>
    <t>Farolillo Goldy Con Asa Metal Dorado</t>
  </si>
  <si>
    <t>Farolillos</t>
  </si>
  <si>
    <t>B0408</t>
  </si>
  <si>
    <t>Farolillo Retro L Transparente/Dorado</t>
  </si>
  <si>
    <t>Set Farolillo Retro M Y L Dorado</t>
  </si>
  <si>
    <t>Luces decorativas</t>
  </si>
  <si>
    <t>B0710</t>
  </si>
  <si>
    <t>Organizador Maquillaje Retro Makeup Trans/Dor</t>
  </si>
  <si>
    <t>Maquillaje</t>
  </si>
  <si>
    <t>Accesorios maquillaje</t>
  </si>
  <si>
    <t>Set 4 Cubiertos Chic Table Minimal Cobre</t>
  </si>
  <si>
    <t>B0412</t>
  </si>
  <si>
    <t>Set 4 Cubiertos Chic Table Minimal Dorado</t>
  </si>
  <si>
    <t>Set 4 Cubiertos Chic Table Minimal Negro</t>
  </si>
  <si>
    <t>B0410</t>
  </si>
  <si>
    <t>Set 4 Cubiertos Chic Table Minimal Plateado X6</t>
  </si>
  <si>
    <t>Set 4 Cubiertos Must Cobre Blanco</t>
  </si>
  <si>
    <t>B0696</t>
  </si>
  <si>
    <t>Set 4 Cubiertos Must Dorado Blanco</t>
  </si>
  <si>
    <t>B0697</t>
  </si>
  <si>
    <t>Set 4 Cubiertos Must Dorado Negro</t>
  </si>
  <si>
    <t>B0686</t>
  </si>
  <si>
    <t>Set 4 Cubiertos Viking Cobre</t>
  </si>
  <si>
    <t>Set 4 Cubiertos Viking Dorado</t>
  </si>
  <si>
    <t>B0699</t>
  </si>
  <si>
    <t>Set 4 Cubiertos Viking Negro</t>
  </si>
  <si>
    <t>B0600</t>
  </si>
  <si>
    <t>Estantería Retro Hexagon Dorado</t>
  </si>
  <si>
    <t>Estanterías</t>
  </si>
  <si>
    <t>B0598</t>
  </si>
  <si>
    <t>Estantería Retro Multi Hexagon Dorado</t>
  </si>
  <si>
    <t>B0599</t>
  </si>
  <si>
    <t>Estantería Retro Square Dorado</t>
  </si>
  <si>
    <t>B0178</t>
  </si>
  <si>
    <t>Set 3 Cestos Ankara Calado Blanco</t>
  </si>
  <si>
    <t>B0015</t>
  </si>
  <si>
    <t>Alfombra Bombai L Degradé Flecos Negro/Beige</t>
  </si>
  <si>
    <t>B0247</t>
  </si>
  <si>
    <t>Cojín Elegance 45X45 Piel Gris Jaspeado</t>
  </si>
  <si>
    <t>B0258</t>
  </si>
  <si>
    <t>Cojin Glamour</t>
  </si>
  <si>
    <t>B0262</t>
  </si>
  <si>
    <t>Cojín Kenya 45X45 Falso Pelo Gris Oscur</t>
  </si>
  <si>
    <t>B0263</t>
  </si>
  <si>
    <t>Cojín Mandala 50X50 Bordado Gris/Blanco</t>
  </si>
  <si>
    <t>B0253</t>
  </si>
  <si>
    <t>Cojín Triangle Pespuntes Verde</t>
  </si>
  <si>
    <t>B0259</t>
  </si>
  <si>
    <t>Cojín Zig Zag 50X50 Bordado Rosa/Blanco</t>
  </si>
  <si>
    <t>B0275</t>
  </si>
  <si>
    <t>Funda Cojín Nordic Cruces Negro/Blanco</t>
  </si>
  <si>
    <t>B0250</t>
  </si>
  <si>
    <t>Funda Cojín Oslo Espigas Gris Blanco</t>
  </si>
  <si>
    <t>B0273</t>
  </si>
  <si>
    <t>Funda Cojín Silver Espigas Plateado Gris</t>
  </si>
  <si>
    <t>B0255</t>
  </si>
  <si>
    <t>Funda Cojín Triangle Pespuntes Azul</t>
  </si>
  <si>
    <t>B0252</t>
  </si>
  <si>
    <t>Funda Cojín Triangle Pespuntes Gris</t>
  </si>
  <si>
    <t>B0254</t>
  </si>
  <si>
    <t>Funda Cojín Triangle Pespuntes Gris Claro</t>
  </si>
  <si>
    <t>B0292</t>
  </si>
  <si>
    <t>Set 2 Individuales Circle Circular Blanco Rot</t>
  </si>
  <si>
    <t>Individuales</t>
  </si>
  <si>
    <t>Set 2 Individuales Gold Fantasía Dorado</t>
  </si>
  <si>
    <t>Set 2 Individuales Leaf Hoja Dorado</t>
  </si>
  <si>
    <t>B0295</t>
  </si>
  <si>
    <t>Set 2 Individuales Leaf Rectang Hojas Gris</t>
  </si>
  <si>
    <t>B0298</t>
  </si>
  <si>
    <t>Set 2 Individuales Nuit con Espigas Gris Azul</t>
  </si>
  <si>
    <t>B0299</t>
  </si>
  <si>
    <t>Set 2 Individuales Patagallo Pvc Blanco Negro</t>
  </si>
  <si>
    <t>Set 2 Individuales Red Circular Rojo</t>
  </si>
  <si>
    <t>B0297</t>
  </si>
  <si>
    <t>Set 2 Individuales Summer Circular Marrón/Bla</t>
  </si>
  <si>
    <t>B0294</t>
  </si>
  <si>
    <t>Set 2 Individuales Tahití Circular Blanco/Neg</t>
  </si>
  <si>
    <t>Set 2 Individuales Tahití Circular Negro/Blan</t>
  </si>
  <si>
    <t>B0300</t>
  </si>
  <si>
    <t>Set 2 Individuales Garden Pvc Blanco Hueso</t>
  </si>
  <si>
    <t>B0417</t>
  </si>
  <si>
    <t>Set Vajilla Completo 16 Piezas Avignon Grabad Blan</t>
  </si>
  <si>
    <t>B0418</t>
  </si>
  <si>
    <t>Set Vajilla Completo 16 Piezas Provenza Graba Blan</t>
  </si>
  <si>
    <t>Blackburn</t>
  </si>
  <si>
    <t>BBN-7097804</t>
  </si>
  <si>
    <t>Bolso Multi Herramientas Wayside Blackburn</t>
  </si>
  <si>
    <t>Sport</t>
  </si>
  <si>
    <t>Repuestos bicicleta</t>
  </si>
  <si>
    <t>Trail Sports</t>
  </si>
  <si>
    <t>BBN-7085527</t>
  </si>
  <si>
    <t>Kit Tripas reparación tubular</t>
  </si>
  <si>
    <t>BBN-2000460</t>
  </si>
  <si>
    <t>Porta Caramayola Bicicleta Comp Aluminum Gris Blackburn</t>
  </si>
  <si>
    <t>Bluecare</t>
  </si>
  <si>
    <t>Dispensador y Purificador de agua Ozono</t>
  </si>
  <si>
    <t>Máquinas desinfectantes</t>
  </si>
  <si>
    <t>Braintoys</t>
  </si>
  <si>
    <t>Accesorios Pista Columna 6 Piezas Imanix</t>
  </si>
  <si>
    <t>Accesorios Pista Cuarto De Curva 4 Piezas Imanix</t>
  </si>
  <si>
    <t>Accesorios Pista Rampa Imanix</t>
  </si>
  <si>
    <t>IMA-ASWC1B</t>
  </si>
  <si>
    <t>Auto de juguete, Repuesto Pista Azul Imanix</t>
  </si>
  <si>
    <t>IMA-ASWC1R</t>
  </si>
  <si>
    <t>Auto de juguete, Repuesto Pista Rojo Imanix</t>
  </si>
  <si>
    <t>IMA-CP</t>
  </si>
  <si>
    <t>Imanix Auto Repuesta Pista</t>
  </si>
  <si>
    <t>IMA-PI22</t>
  </si>
  <si>
    <t>Imanix Pista de Carrera 22 piezas</t>
  </si>
  <si>
    <t>Imanix Pista de Carreras 105 Piezas Magnéticas</t>
  </si>
  <si>
    <t>Imanix Pista de Carreras 50 Piezas Magnéticas</t>
  </si>
  <si>
    <t>IMA-CARPISTA</t>
  </si>
  <si>
    <t>Imanix Set 2 Carros Pista de Carreras</t>
  </si>
  <si>
    <t>Imanix Train Electronics Cars 38 Piezas</t>
  </si>
  <si>
    <t>PP-30</t>
  </si>
  <si>
    <t>Rompecabezas Pueblos Originarios Pipa Flor (sin )</t>
  </si>
  <si>
    <t>Puzzles</t>
  </si>
  <si>
    <t>IMA-016SE</t>
  </si>
  <si>
    <t>Imanix Juego 16 Piezas Magnéticas Square Edition</t>
  </si>
  <si>
    <t>Accesorios Tobogán Tubo</t>
  </si>
  <si>
    <t>Bolsa Sorpresa Braintoys</t>
  </si>
  <si>
    <t>CU-X50</t>
  </si>
  <si>
    <t>Cubix Juego Magnético 50 Piezas</t>
  </si>
  <si>
    <t>Imabars 24 piezas</t>
  </si>
  <si>
    <t>Imabars 60 Piezas</t>
  </si>
  <si>
    <t>BAR-040</t>
  </si>
  <si>
    <t>Imabars Juego Magnético 40 Piezas</t>
  </si>
  <si>
    <t>IMA-BDS</t>
  </si>
  <si>
    <t>Imabrick Imanix Doble Cara 8 Piezas</t>
  </si>
  <si>
    <t>IMA-B16</t>
  </si>
  <si>
    <t>Imabrick Juego 16 Piezas Magnéticas</t>
  </si>
  <si>
    <t>IMA-B8</t>
  </si>
  <si>
    <t>Imabrick Juego 8 Piezas Magnéticas</t>
  </si>
  <si>
    <t>CLI-032</t>
  </si>
  <si>
    <t>Imaclick Juego Magnético 32 Piezas</t>
  </si>
  <si>
    <t>CU-B7</t>
  </si>
  <si>
    <t>Imacube Juego Magnético 7 Piezas</t>
  </si>
  <si>
    <t>CUP-024</t>
  </si>
  <si>
    <t>Imacups 24 piezas</t>
  </si>
  <si>
    <t>DOT-030AZ</t>
  </si>
  <si>
    <t>Imadots Azul</t>
  </si>
  <si>
    <t>Imadots Juego Magnético</t>
  </si>
  <si>
    <t>Imadots Mini Juego Magnético</t>
  </si>
  <si>
    <t>DOT-020AZ</t>
  </si>
  <si>
    <t>Imadots Mini Tablero Magnético Azul</t>
  </si>
  <si>
    <t>DOT-020RO</t>
  </si>
  <si>
    <t>Imadots Mini Tablero Magnético Rojo</t>
  </si>
  <si>
    <t>GRA-024</t>
  </si>
  <si>
    <t>Imagram Juego Magnético 24 Piezas</t>
  </si>
  <si>
    <t>IMA-100SE</t>
  </si>
  <si>
    <t>Imanix 100 Square Edition 2022</t>
  </si>
  <si>
    <t>IMA-032N</t>
  </si>
  <si>
    <t>Imanix 32 Piezas</t>
  </si>
  <si>
    <t>IMA-D32</t>
  </si>
  <si>
    <t>Imanix 32 Piezas Magnéticas Diamond Edition</t>
  </si>
  <si>
    <t>Imanix Accesorios Curvos 8 Piezas</t>
  </si>
  <si>
    <t>Imanix Accesorios Tobogán 6 Piezas</t>
  </si>
  <si>
    <t>IMA-B01</t>
  </si>
  <si>
    <t>Imanix Base Magnética</t>
  </si>
  <si>
    <t>IMA-B01V</t>
  </si>
  <si>
    <t>Imanix Base Magnética Verde</t>
  </si>
  <si>
    <t>Imanix Clear 20 Piezas</t>
  </si>
  <si>
    <t>Imanix Clicks 140 Piezas</t>
  </si>
  <si>
    <t>IMA-DC130</t>
  </si>
  <si>
    <t>Imanix Clicks Juego 130 Piezas Magnéticas</t>
  </si>
  <si>
    <t>IMA-AC16</t>
  </si>
  <si>
    <t>Imanix Curved Juego 16 Piezas Magnéticas</t>
  </si>
  <si>
    <t>IMA-F5C</t>
  </si>
  <si>
    <t>Imanix Friends Cool 5 Personajes</t>
  </si>
  <si>
    <t>IMA-F5F</t>
  </si>
  <si>
    <t>Imanix Friends Fun 5 personajes</t>
  </si>
  <si>
    <t>Imanix Imaboard Magnética Blanco</t>
  </si>
  <si>
    <t>IMA-WSN</t>
  </si>
  <si>
    <t>Imanix Imaboard Magnética Negro</t>
  </si>
  <si>
    <t>Imanix Imanimals Jungla Salvaje 5 Piezas</t>
  </si>
  <si>
    <t>IMA-ANI2</t>
  </si>
  <si>
    <t>Imanix Imanimals Sabana Salvaje 5 piezas</t>
  </si>
  <si>
    <t>IMA-D100</t>
  </si>
  <si>
    <t>Imanix Juego 100 Piezas Magnéticas Diamond Edition</t>
  </si>
  <si>
    <t>IMA-R100</t>
  </si>
  <si>
    <t>Imanix Juego 100 Piezas Magnéticas Reflex Edition</t>
  </si>
  <si>
    <t>IMA-SCN</t>
  </si>
  <si>
    <t>Imanix Juego 100 Style Cards Números del 1 al 100</t>
  </si>
  <si>
    <t>IMA-SCM</t>
  </si>
  <si>
    <t>Imanix Juego 100 Style Cards Representación Numérica</t>
  </si>
  <si>
    <t>Imanix Juego 110 Piezas Magnéticas</t>
  </si>
  <si>
    <t>IMA-GLI</t>
  </si>
  <si>
    <t>Imanix Juego 12 Piezas Magnéticas Glitter Edition</t>
  </si>
  <si>
    <t>IMA-F15</t>
  </si>
  <si>
    <t>Imanix Juego 15 Personajes Magnéticos Friends</t>
  </si>
  <si>
    <t>IMA-150N</t>
  </si>
  <si>
    <t>Imanix Juego 150 Piezas Magnéticas</t>
  </si>
  <si>
    <t>Imanix Juego 16 Piezas Magnéticas</t>
  </si>
  <si>
    <t>IMA-CP16</t>
  </si>
  <si>
    <t>Imanix Juego 16 Piezas Magnéticas Complementary Edition</t>
  </si>
  <si>
    <t>IMA-GID</t>
  </si>
  <si>
    <t>Imanix Juego 16 Piezas Magnéticas Glow In The Dark Edition</t>
  </si>
  <si>
    <t>Imanix Juego 16 Piezas Magnéticas Puertas y Ventanas</t>
  </si>
  <si>
    <t>IMA-VP16-FF</t>
  </si>
  <si>
    <t>IMA-R16</t>
  </si>
  <si>
    <t>Imanix Juego 16 Piezas Magnéticas Reflex Edition</t>
  </si>
  <si>
    <t>IMA-44</t>
  </si>
  <si>
    <t>Imanix Juego 20 Piezas Magnéticas Cool Windows</t>
  </si>
  <si>
    <t>IMA-SCB</t>
  </si>
  <si>
    <t>Imanix Juego 24 Style Cards en Blanco</t>
  </si>
  <si>
    <t>IMA-D30</t>
  </si>
  <si>
    <t>Imanix Juego 30 Piezas Magnéticas Expert Edition</t>
  </si>
  <si>
    <t>Imanix Juego 32 Piezas Magnéticas</t>
  </si>
  <si>
    <t>IMA-032-FF</t>
  </si>
  <si>
    <t>IMA-CP32</t>
  </si>
  <si>
    <t>Imanix Juego 32 Piezas Magnéticas Complementary Edition</t>
  </si>
  <si>
    <t>IMA-R32</t>
  </si>
  <si>
    <t>Imanix Juego 32 Piezas Magnéticas Reflex Edition</t>
  </si>
  <si>
    <t>IMA-32SE</t>
  </si>
  <si>
    <t>Imanix Juego 32 Piezas Magnéticas Square Edition</t>
  </si>
  <si>
    <t>Imanix Juego 60 Piezas Magnéticas</t>
  </si>
  <si>
    <t>IMA-060-FF</t>
  </si>
  <si>
    <t>IMA-R60</t>
  </si>
  <si>
    <t>Imanix Juego 60 Piezas Magnéticas Reflex Edition</t>
  </si>
  <si>
    <t>IMA-60SE</t>
  </si>
  <si>
    <t>Imanix Juego 60 Piezas Magnéticas Square Edition</t>
  </si>
  <si>
    <t>Imanix Juego de Construcción Magnético 12 piezas</t>
  </si>
  <si>
    <t>Imanix Juego de Construcción Magnético100 piezas</t>
  </si>
  <si>
    <t>IMA-CW44</t>
  </si>
  <si>
    <t>Imanix Juego de Contrucción Cool Windows</t>
  </si>
  <si>
    <t>Imanix Jungle 30 Piezas Mágneticas</t>
  </si>
  <si>
    <t>IMA-TM100</t>
  </si>
  <si>
    <t>Imanix Mini Juego 100 Piezas Mágneticas</t>
  </si>
  <si>
    <t>Imanix Pastel Juego de Construcción 36 Piezas</t>
  </si>
  <si>
    <t>IMA-016VP</t>
  </si>
  <si>
    <t>Imanix Puertas y Ventanas 16 Piezas</t>
  </si>
  <si>
    <t>IMA-12RSE</t>
  </si>
  <si>
    <t>Imanix Rampas y Escaleras de 12 piezas</t>
  </si>
  <si>
    <t>Imanix Rocket Castle 64 Piezas Mágneticas</t>
  </si>
  <si>
    <t>Imanix Rompecabezas Speed Eye 28</t>
  </si>
  <si>
    <t>Imanix Set de 2 Carros Magnéticos</t>
  </si>
  <si>
    <t>IMA-A02-FF</t>
  </si>
  <si>
    <t>IMA-CG5</t>
  </si>
  <si>
    <t>Imanix Set de 5 Cuadrados Grandes</t>
  </si>
  <si>
    <t>Imanix Set de Trenes 50 Piezas Magnéticas</t>
  </si>
  <si>
    <t>Imanix Set Imaballs Led 4 Piezas</t>
  </si>
  <si>
    <t>IMA-032SE</t>
  </si>
  <si>
    <t>Imanix Square Edition 32 piezas</t>
  </si>
  <si>
    <t>Imanix Star 32 Pzs para Construcciones Geométricas 2D y 3D</t>
  </si>
  <si>
    <t>IMA-S36</t>
  </si>
  <si>
    <t>Imanix Star Juego de Imanes 36 piezas</t>
  </si>
  <si>
    <t>IMA-SKR</t>
  </si>
  <si>
    <t>Imanix Stickers Reutilizables</t>
  </si>
  <si>
    <t>Imanix Tobogán 134 Piezas Magnéticas</t>
  </si>
  <si>
    <t>Imanix Tobogan 50 piezas</t>
  </si>
  <si>
    <t>Imanix Tobogán 70 Piezas Magnéticas</t>
  </si>
  <si>
    <t>PAD-DLMM</t>
  </si>
  <si>
    <t>Imapad Juego Duo Letras Mayúsculas y Minúsculas</t>
  </si>
  <si>
    <t>Imapad Juego Duo Letras y Números</t>
  </si>
  <si>
    <t>Imapad Juego Magnético Negro</t>
  </si>
  <si>
    <t>PAD-001RO</t>
  </si>
  <si>
    <t>Imapad Juego Magnético Rojo</t>
  </si>
  <si>
    <t>PAD-002 NE</t>
  </si>
  <si>
    <t>Imapad Mini Juego Mágnético Negro</t>
  </si>
  <si>
    <t>PAD-002 ROJ</t>
  </si>
  <si>
    <t>Imapad Mini Juego Mágnético Rojo</t>
  </si>
  <si>
    <t>PAD-002NE</t>
  </si>
  <si>
    <t>Imapad Mini Negra con lápiz magnético</t>
  </si>
  <si>
    <t>PAD-002ROJ</t>
  </si>
  <si>
    <t>Imapad Mini Rojo con Lápiz Magnético</t>
  </si>
  <si>
    <t>Imapad Pocket Manzana Rojo</t>
  </si>
  <si>
    <t>PAD-001ROJ</t>
  </si>
  <si>
    <t>Imapad Rojo con lápiz magnético</t>
  </si>
  <si>
    <t>STA-0036</t>
  </si>
  <si>
    <t>Juego de Agudeza Visual Imastack 36 Imanix</t>
  </si>
  <si>
    <t>Juego de Memoria Cube it! - Artists Imanix</t>
  </si>
  <si>
    <t>Juego de Memoria Rostros de Artistas Cube it! Imanix</t>
  </si>
  <si>
    <t>ART-PA09</t>
  </si>
  <si>
    <t>Juego de Memoria Tradiciones y Trabajos Cube it! Imanix</t>
  </si>
  <si>
    <t>IMA-DI30</t>
  </si>
  <si>
    <t>Juego Magnético de Construcción Dino 30 Imanix</t>
  </si>
  <si>
    <t>Juego Magnético Imacube Baby - Savannah</t>
  </si>
  <si>
    <t>MagneMath Juego Combinaciones Numéricas</t>
  </si>
  <si>
    <t>MG-MT</t>
  </si>
  <si>
    <t>Magnemath, Braintoys Juego de cálculo matemático magnético</t>
  </si>
  <si>
    <t>PEN-P04</t>
  </si>
  <si>
    <t>Marcadores de Colores Imarker por 4 unidades Imanix</t>
  </si>
  <si>
    <t>IMA-MIA</t>
  </si>
  <si>
    <t>Memorice de Animales Chilenos 20 Piezas Imanix</t>
  </si>
  <si>
    <t>OA-45</t>
  </si>
  <si>
    <t>Ojo de Águila de Animales por Cata Mekis (sin Imanix)</t>
  </si>
  <si>
    <t>IMA-OAI</t>
  </si>
  <si>
    <t>Ojo de Águila de Animales por Cata Mekis Imanix</t>
  </si>
  <si>
    <t>Pizarra Magnética Imadots Black</t>
  </si>
  <si>
    <t>Pizarra Magnética Imadots Mini Black</t>
  </si>
  <si>
    <t>PAD-PKTAM</t>
  </si>
  <si>
    <t>Pocket imapad amarillo</t>
  </si>
  <si>
    <t>Pocket Imapad Juego Magnético Negro</t>
  </si>
  <si>
    <t>Pocket Imapad Juego Magnético Rojo</t>
  </si>
  <si>
    <t>RAM- 66</t>
  </si>
  <si>
    <t>Rami Juego 66 Piezas Imanix</t>
  </si>
  <si>
    <t>Rami Juego de Construcción 34 Piezas</t>
  </si>
  <si>
    <t>Rami Juego de Construcción 66 Piezas</t>
  </si>
  <si>
    <t>DOT-L02</t>
  </si>
  <si>
    <t>Set de 2 Lápices Imadots</t>
  </si>
  <si>
    <t>Set de 2 Lápices Imapad</t>
  </si>
  <si>
    <t>Stickers Reutilizable Imanix</t>
  </si>
  <si>
    <t>IMA-SCE150</t>
  </si>
  <si>
    <t>Style Cards Educacion 150 Piezas</t>
  </si>
  <si>
    <t>Tangram Creativo Imanix</t>
  </si>
  <si>
    <t>TOY-SK</t>
  </si>
  <si>
    <t>Toyi Starter Kit Juego Creativo</t>
  </si>
  <si>
    <t>Brando</t>
  </si>
  <si>
    <t>Aro de Luz Led 26cm</t>
  </si>
  <si>
    <t>Aros de luz</t>
  </si>
  <si>
    <t>Tripode Atril Para Aro de Luz</t>
  </si>
  <si>
    <t>Bolsas Silicona L Olive</t>
  </si>
  <si>
    <t>Bolsas de silicona</t>
  </si>
  <si>
    <t>Bolsas Silicona S Azure</t>
  </si>
  <si>
    <t>Bolsa de Algodón Azure</t>
  </si>
  <si>
    <t>Bolsas reutilizables</t>
  </si>
  <si>
    <t>Bolsa de Algodón Olive</t>
  </si>
  <si>
    <t>Bolsa de Algodón Rose</t>
  </si>
  <si>
    <t>Bolso Mochila Casual Style Notebook Negra</t>
  </si>
  <si>
    <t>Bolsos notebook</t>
  </si>
  <si>
    <t>Bombilla Mate Grey</t>
  </si>
  <si>
    <t>Bombillas mate</t>
  </si>
  <si>
    <t>Bombilla Para Mate Con Filtro Gris</t>
  </si>
  <si>
    <t>Bombilla Para Mate Con Filtro Rosa</t>
  </si>
  <si>
    <t>Bombilla Para Mate Con Filtro Verde</t>
  </si>
  <si>
    <t>Canasto Metálico Mango Bamboo L</t>
  </si>
  <si>
    <t>Canastos Ropa</t>
  </si>
  <si>
    <t>Canasto Metálico Mango Bamboo M</t>
  </si>
  <si>
    <t>Canasto Ropa 27L Rose</t>
  </si>
  <si>
    <t>Bowl 0,48L Azure</t>
  </si>
  <si>
    <t>Bowl 1.3L Rose</t>
  </si>
  <si>
    <t>Bowl Metálico 16cm</t>
  </si>
  <si>
    <t>Bowl Metálico 18cm</t>
  </si>
  <si>
    <t>Bowl Porcelana</t>
  </si>
  <si>
    <t>Bowl Silicona Azure</t>
  </si>
  <si>
    <t>Bowl Silicona Rose</t>
  </si>
  <si>
    <t>Caja Organizadora</t>
  </si>
  <si>
    <t>Organizador de Té</t>
  </si>
  <si>
    <t>Cortina de Baño Prime Arena</t>
  </si>
  <si>
    <t>Cortinas de Baño</t>
  </si>
  <si>
    <t>Cortina de Baño Prime Gris</t>
  </si>
  <si>
    <t>Cubeta de Hielo Silicona Olive</t>
  </si>
  <si>
    <t>Cubeta de Hielo Silicona Rose</t>
  </si>
  <si>
    <t>Disco Tapa Madera Iron Cast</t>
  </si>
  <si>
    <t>Discos</t>
  </si>
  <si>
    <t>Especiero 6 unidades</t>
  </si>
  <si>
    <t>Set Saleros de Vidrio</t>
  </si>
  <si>
    <t>Estuche Doble Cierre Azul</t>
  </si>
  <si>
    <t>Estuche Doble Cierre Negro</t>
  </si>
  <si>
    <t>Estuche Multiuso Classic Style Con Correa Gris</t>
  </si>
  <si>
    <t>Estuche Multiuso Classic Style Con Correa Negro</t>
  </si>
  <si>
    <t>Estuche Multiuso Classic Style Con Correa Rosa</t>
  </si>
  <si>
    <t>Peluche Fauna Chilena-Maqui</t>
  </si>
  <si>
    <t>Juguetes</t>
  </si>
  <si>
    <t>Balde De Jardín Y Decoración Metálico</t>
  </si>
  <si>
    <t>Balde Macetero Decorativo Metálico</t>
  </si>
  <si>
    <t>Balde Macetero Decorativo Metálico Con Asas</t>
  </si>
  <si>
    <t>Balde Macetero Metálico Con Asas</t>
  </si>
  <si>
    <t>Set 2 Baldes Decorativos Blanco</t>
  </si>
  <si>
    <t>Mantel Canvas Mediano Rosa</t>
  </si>
  <si>
    <t>Mantel Grande Color Azul</t>
  </si>
  <si>
    <t>Mantel Redondo Color Gris</t>
  </si>
  <si>
    <t>Cacerola 20cm Mármol</t>
  </si>
  <si>
    <t>Cacerola 20cm Wood</t>
  </si>
  <si>
    <t>Cacerola 24cm Mármol</t>
  </si>
  <si>
    <t>Cacerola 24cm Wood</t>
  </si>
  <si>
    <t>Cacerola 28cm Mármol</t>
  </si>
  <si>
    <t>Cacerola 28cm Wood</t>
  </si>
  <si>
    <t>PACK60</t>
  </si>
  <si>
    <t>Kit Olla Granite Aluminio 28cm + Sartén Granite 24cm</t>
  </si>
  <si>
    <t>Mini Olla Iron Cast</t>
  </si>
  <si>
    <t>Olla Granite Aluminio Forjado 24 cm Verde</t>
  </si>
  <si>
    <t>Olla Granite Aluminio Forjado 28 cm Rose</t>
  </si>
  <si>
    <t>Peluche Fauna Chilena-Avellana</t>
  </si>
  <si>
    <t>Peluches</t>
  </si>
  <si>
    <t>Peluche Fauna Chilena-Manzanilla</t>
  </si>
  <si>
    <t>Peluche Fauna Chilena-Raulí</t>
  </si>
  <si>
    <t>Mancuernas 2 Kg</t>
  </si>
  <si>
    <t>Pesas</t>
  </si>
  <si>
    <t>Pesa Rusa Hierro 10kg</t>
  </si>
  <si>
    <t>Pesa Rusa Hierro 12kg</t>
  </si>
  <si>
    <t>Pizarra Magica Tablet Dibujo Lcd</t>
  </si>
  <si>
    <t>Pizarras mágicas</t>
  </si>
  <si>
    <t>Plancha Grill Iron Cast</t>
  </si>
  <si>
    <t>Planchas grill</t>
  </si>
  <si>
    <t>Prensa para Hamburguesas 250g Gris</t>
  </si>
  <si>
    <t>Prensas hamburguesas</t>
  </si>
  <si>
    <t>Sartén Aluminio 20 cm Verde</t>
  </si>
  <si>
    <t>Sartén Base Madera Iron Cast</t>
  </si>
  <si>
    <t>Sartén Cuadrado Iron Cast</t>
  </si>
  <si>
    <t>Sartén Granite 24 cm Rosa</t>
  </si>
  <si>
    <t>Sartén Granite Aluminio 20 cm Verde</t>
  </si>
  <si>
    <t>Sartén Premium Mármol 20cm</t>
  </si>
  <si>
    <t>Sartén Premium Mármol 24cm</t>
  </si>
  <si>
    <t>Sartén Premium Mármol 28cm</t>
  </si>
  <si>
    <t>Sartén Premium Wood 20cm</t>
  </si>
  <si>
    <t>Sartén Premium Wood 24cm</t>
  </si>
  <si>
    <t>Sartén Premium Wood 28cm</t>
  </si>
  <si>
    <t>Sartén Redondo Iron Cast</t>
  </si>
  <si>
    <t>Wok 32cm Tapa de Madera Iron Cast</t>
  </si>
  <si>
    <t>Wok Premium Mármol 28cm</t>
  </si>
  <si>
    <t>Mug Copper Termico 16Oz</t>
  </si>
  <si>
    <t>Mug Infusor de Vidrio</t>
  </si>
  <si>
    <t>Mug Mango Olium</t>
  </si>
  <si>
    <t>Mug On The Go Olium</t>
  </si>
  <si>
    <t>Guantes Para Baño Mascotas</t>
  </si>
  <si>
    <t>Recipiente de Mano 16L Azure</t>
  </si>
  <si>
    <t>Recipiente de Mano 16L Olive</t>
  </si>
  <si>
    <t>Rociador Atomizador Rose</t>
  </si>
  <si>
    <t>Gorro Jockey Animal Collection Bulldog Negro</t>
  </si>
  <si>
    <t>Gorro Jockey Animal Collection Gallo Azul</t>
  </si>
  <si>
    <t>Gorro Jockey Animal Collection Lobo Negro</t>
  </si>
  <si>
    <t>Gorro Jockey Animal Collection Oso Verde</t>
  </si>
  <si>
    <t>Lámina Mica Protectora De Vidrio Templado Iphone 7</t>
  </si>
  <si>
    <t>Accesorios celular</t>
  </si>
  <si>
    <t>Palo Selfie Stick</t>
  </si>
  <si>
    <t>Protector De Celular Contra Agua</t>
  </si>
  <si>
    <t>Soporte Celular de Escritorio</t>
  </si>
  <si>
    <t>Trípode Para Selfie</t>
  </si>
  <si>
    <t>Babero Silicona Azure</t>
  </si>
  <si>
    <t>Alimentación bebé</t>
  </si>
  <si>
    <t>Babero Silicona Rose</t>
  </si>
  <si>
    <t>Set Plato y Cuchara Para Bebe Oliva</t>
  </si>
  <si>
    <t>Set Plato y Cuchara Para Bebe Rojo</t>
  </si>
  <si>
    <t>Cuadernillo Notas Rojo</t>
  </si>
  <si>
    <t>Artículos de Oficina</t>
  </si>
  <si>
    <t>Cuadernos</t>
  </si>
  <si>
    <t>Cuaderno Universitario Espiral Con Diseño Flamenco</t>
  </si>
  <si>
    <t>Cuaderno Universitario Espiral Con Diseño Piñas</t>
  </si>
  <si>
    <t>Cuaderno Universitario Espiral Con Diseño Plateado</t>
  </si>
  <si>
    <t>Set 3 Cuadernos A6</t>
  </si>
  <si>
    <t>Set Cuaderno + Libreta Celeste</t>
  </si>
  <si>
    <t>Set Cuaderno + Libreta Rosa</t>
  </si>
  <si>
    <t>Set 4 Destacadores Mini</t>
  </si>
  <si>
    <t>Destacadores</t>
  </si>
  <si>
    <t>Set 4 Marcadores</t>
  </si>
  <si>
    <t>Set Marcadores Tinta Metálica</t>
  </si>
  <si>
    <t>PACK22</t>
  </si>
  <si>
    <t>Kit Set 12 Lápices Punta Fina + Libreta Premium</t>
  </si>
  <si>
    <t>Lápices</t>
  </si>
  <si>
    <t>Lapicera Chapo Black</t>
  </si>
  <si>
    <t>Lapicera Jack Gray</t>
  </si>
  <si>
    <t>Lapicera Jackson Gold</t>
  </si>
  <si>
    <t>Lapicera Lenon Rose</t>
  </si>
  <si>
    <t>Lapiz Bolígrafo Terminación Glitter</t>
  </si>
  <si>
    <t>Lápiz Con Luz Led Herramienta Multiuso 8 En 1</t>
  </si>
  <si>
    <t>Lápiz De Silicona Diseño De Sirena Celeste</t>
  </si>
  <si>
    <t>Lápiz De Silicona Diseño De Unicornio Rosa</t>
  </si>
  <si>
    <t>Set 12 Bolígrafos</t>
  </si>
  <si>
    <t>Set 12 Lápices Punta Fina</t>
  </si>
  <si>
    <t>Set 4 Lápices Tinta Negra</t>
  </si>
  <si>
    <t>Set 6 Destacadores De Colores</t>
  </si>
  <si>
    <t>Set 6 Lápices Mina</t>
  </si>
  <si>
    <t>Set 6 Lápiz Grafito Glitter</t>
  </si>
  <si>
    <t>Set 6 Lápiz Grafito Glitter Silver</t>
  </si>
  <si>
    <t>Set De 6 Marcadores De Plantas</t>
  </si>
  <si>
    <t>Set Lápices 2 en 1 Punta Fina</t>
  </si>
  <si>
    <t>Archivador Pequeño</t>
  </si>
  <si>
    <t>Librería</t>
  </si>
  <si>
    <t>Blinder Clip Metálico Para Carpeta Con Diseño</t>
  </si>
  <si>
    <t>Clip Diseño Diamante Rose Gold 15 U</t>
  </si>
  <si>
    <t>Clip Metálico Punta Redonda Rose Gold</t>
  </si>
  <si>
    <t>Koala Clip</t>
  </si>
  <si>
    <t>Penguin Clip</t>
  </si>
  <si>
    <t>Regla De Aluminio 30 cm</t>
  </si>
  <si>
    <t>Set 3 Cintas Adhesivas Decorativas</t>
  </si>
  <si>
    <t>Set 3 Cintas Adhesivas Glitter</t>
  </si>
  <si>
    <t>Set 3 Goma Blanca</t>
  </si>
  <si>
    <t>Set Clip Doble Carpeta</t>
  </si>
  <si>
    <t>Set Clip Doble Carpeta Rose Gold</t>
  </si>
  <si>
    <t>Set Gomas De Borrar</t>
  </si>
  <si>
    <t>Soporte Para Cinta Adhesiva Cobre</t>
  </si>
  <si>
    <t>Libreta Agenda Premium Diseño Mármol</t>
  </si>
  <si>
    <t>Libretas</t>
  </si>
  <si>
    <t>Libreta Agenda Premium Diseño Puntos Oro/Lineas Oro</t>
  </si>
  <si>
    <t>Set 3 Libretas De Colores</t>
  </si>
  <si>
    <t>Banderitas Marcadoras 8 Colores</t>
  </si>
  <si>
    <t>Notas adhesivas</t>
  </si>
  <si>
    <t>Etiquetas Marcadoras 5 Colores</t>
  </si>
  <si>
    <t>Notas Adhesivas 4 Colores</t>
  </si>
  <si>
    <t>Bolsa De Papel Con Diseño M</t>
  </si>
  <si>
    <t>Papelería</t>
  </si>
  <si>
    <t>Bolsa De Papel Con Diseño S</t>
  </si>
  <si>
    <t>PACK23</t>
  </si>
  <si>
    <t>Kit Set Notas + Libreta + Set Destacadores + Cintas</t>
  </si>
  <si>
    <t>Porta Papeles A4 Cobre</t>
  </si>
  <si>
    <t>Portapapeles Plástico A4</t>
  </si>
  <si>
    <t>Set 6 Imanes De Escritorio</t>
  </si>
  <si>
    <t>Set Notas Adhesivas</t>
  </si>
  <si>
    <t>Sticker Art</t>
  </si>
  <si>
    <t>Stickers Cactus</t>
  </si>
  <si>
    <t>Stickers Emoji</t>
  </si>
  <si>
    <t>Taco de Notas Mas Lápiz</t>
  </si>
  <si>
    <t>Taco de Notas Rosa</t>
  </si>
  <si>
    <t>Cuaderno Planificador de Semana Rosa</t>
  </si>
  <si>
    <t>Planificadores</t>
  </si>
  <si>
    <t>Cuaderno Planificador Diario Rosa</t>
  </si>
  <si>
    <t>Cuaderno Planificador Diario Verde</t>
  </si>
  <si>
    <t>Cuaderno Planificador Semanal Salmon</t>
  </si>
  <si>
    <t>Cuaderno Planificador Semanal Verde</t>
  </si>
  <si>
    <t>Set de Arte 168 Piezas Lápices Para Pintar y Acuarela</t>
  </si>
  <si>
    <t>Sets de Arte</t>
  </si>
  <si>
    <t>Audífonos Inalámbricos</t>
  </si>
  <si>
    <t>Linterna + Luz De Clip Con Imán</t>
  </si>
  <si>
    <t>Linterna De Bolsillo Led Con Imán Y Clip</t>
  </si>
  <si>
    <t>Linterna Led Cob Frontal Cintillo Cabeza 3 Funciones</t>
  </si>
  <si>
    <t>Linterna Led Con Correa Fluorescente</t>
  </si>
  <si>
    <t>Linterna Portátil Deporte Enganche Elástico</t>
  </si>
  <si>
    <t>Linterna Táctica De Mano Metálica Negra</t>
  </si>
  <si>
    <t>Linterna Foco Delantero Led Con Elástico Ajustable</t>
  </si>
  <si>
    <t>Ciclismo</t>
  </si>
  <si>
    <t>Focos bicicleta</t>
  </si>
  <si>
    <t>Linterna Led Frontal Recargable 3 Funciones</t>
  </si>
  <si>
    <t>Coctelera Copper Vidrio</t>
  </si>
  <si>
    <t>Exprimidor Saca Jugo Manual Con Medidor Rosa</t>
  </si>
  <si>
    <t>Set Kit Descorchador de Vinos</t>
  </si>
  <si>
    <t>Set 3 Copones Cerveceros</t>
  </si>
  <si>
    <t>Set 4 Copas Vidrio Líneas</t>
  </si>
  <si>
    <t>Set 6 Copas de Espumante 235ml</t>
  </si>
  <si>
    <t>Set 6 Copas de Vino 685ml</t>
  </si>
  <si>
    <t>Set 2 Copones Cerveceros</t>
  </si>
  <si>
    <t>Set 2 Vasos Cerveceros</t>
  </si>
  <si>
    <t>Set 4 Vasos Espumante</t>
  </si>
  <si>
    <t>Set 4 Vasos Europe Collection</t>
  </si>
  <si>
    <t>Set 4 Vasos Vidrio Línea</t>
  </si>
  <si>
    <t>Set 6 Vasos Altos de Vidrio 500ml</t>
  </si>
  <si>
    <t>Set 6 Vasos Copa Colores</t>
  </si>
  <si>
    <t>Set 6 Vasos de Colores</t>
  </si>
  <si>
    <t>Set 6 Vasos Vidrio Antiderrame</t>
  </si>
  <si>
    <t>Vaso 0,65L Azure</t>
  </si>
  <si>
    <t>Vaso 0,65L Olive</t>
  </si>
  <si>
    <t>Vaso 0,65L Rose</t>
  </si>
  <si>
    <t>Vaso Antiderrame Azure</t>
  </si>
  <si>
    <t>Vaso Antiderrame Rose</t>
  </si>
  <si>
    <t>Vaso Cerámica Azure</t>
  </si>
  <si>
    <t>Vaso Cerámica Stone</t>
  </si>
  <si>
    <t>Vaso Cerveza Shop de Vidrio 500ml</t>
  </si>
  <si>
    <t>Set 4 Collet De Colores</t>
  </si>
  <si>
    <t>Set de cuidado capilar</t>
  </si>
  <si>
    <t>Set 56 Collet para Pelo</t>
  </si>
  <si>
    <t>Antifaz para Dormir Gris</t>
  </si>
  <si>
    <t>Antifaces</t>
  </si>
  <si>
    <t>Antifaz para Dormir Rosa</t>
  </si>
  <si>
    <t>Bomba De Baño 150G Coconut Dream</t>
  </si>
  <si>
    <t>Bombas de Baño</t>
  </si>
  <si>
    <t>Bomba De Baño Con Forma De Diamante</t>
  </si>
  <si>
    <t>Kit Extractor de Puntos Negros 4 Piezas</t>
  </si>
  <si>
    <t>Lima De Uñas Profesional 6 Pasos Curva Manicure</t>
  </si>
  <si>
    <t>Cuidado manos y pies</t>
  </si>
  <si>
    <t>Limador de Pies Azure</t>
  </si>
  <si>
    <t>Limador de Pies Olive</t>
  </si>
  <si>
    <t>Limador de Pies Rose</t>
  </si>
  <si>
    <t>Set 2 Corta Uñas</t>
  </si>
  <si>
    <t>Tijeras Manicure Azure</t>
  </si>
  <si>
    <t>Tijeras Manicure Olive</t>
  </si>
  <si>
    <t>Tijeras Manicure Rose</t>
  </si>
  <si>
    <t>Masajeador Madera</t>
  </si>
  <si>
    <t>Rodillo Masajeador Foam Roller</t>
  </si>
  <si>
    <t>Tabla De Madera Acacia para Asado 40 cm Café</t>
  </si>
  <si>
    <t>Tabla de Quesos Madera Con Cuchillos</t>
  </si>
  <si>
    <t>Tabla Para Aperitivo</t>
  </si>
  <si>
    <t>Tabla Para Picar Wheat Fiber + Cuchillo Chef</t>
  </si>
  <si>
    <t>Tabla Pizza</t>
  </si>
  <si>
    <t>Tabla Rectangular Mangos</t>
  </si>
  <si>
    <t>Tabla Redonda Mangos</t>
  </si>
  <si>
    <t>Banda Deportiva Reflectante Fit</t>
  </si>
  <si>
    <t>Banda Elástica de Resistencia Media Verde</t>
  </si>
  <si>
    <t>Banda Elástica de Resistencia S</t>
  </si>
  <si>
    <t>Banda Elástica De Resistencia Suave Naranja</t>
  </si>
  <si>
    <t>Banda Elástica De Resistencia Tela Loop Talla L</t>
  </si>
  <si>
    <t>Banda Elástica Doble Resistencia 1m</t>
  </si>
  <si>
    <t>Banda Elástica Gris Super Strong</t>
  </si>
  <si>
    <t>Barras De Flexiones Push Up Antideslizante Fit</t>
  </si>
  <si>
    <t>Cono Lenteja De Entrenamiento Agilidad 20Pcs Rack Fit</t>
  </si>
  <si>
    <t>Cuerda De Saltar Velocidad Cardio Y Entrenamiento Fit</t>
  </si>
  <si>
    <t>Kit Correas de Suspensión</t>
  </si>
  <si>
    <t>Mancuerna 3kg</t>
  </si>
  <si>
    <t>Mat de Neopreno 6mm Negro</t>
  </si>
  <si>
    <t>Mat De Yoga Celeste Colchoneta 6mm Fit</t>
  </si>
  <si>
    <t>Mini Bosu Disco de Equilibrio</t>
  </si>
  <si>
    <t>Pelota De Yoga Fitness Ball</t>
  </si>
  <si>
    <t>Pesa Rusa Gris y Naranja 8kg</t>
  </si>
  <si>
    <t>Pesa Rusa Kettlebell Entrenamiento Gris 4kg Fit</t>
  </si>
  <si>
    <t>Set 2 Mancuernas 1Kg Rosa</t>
  </si>
  <si>
    <t>Tabla Abs</t>
  </si>
  <si>
    <t>Toalla De Microfibra Deporte Secado Rápido Celeste</t>
  </si>
  <si>
    <t>Toalla Microfibra Azul</t>
  </si>
  <si>
    <t>Ventilador</t>
  </si>
  <si>
    <t>Ventiladores</t>
  </si>
  <si>
    <t>Adaptador Universal De Viaje</t>
  </si>
  <si>
    <t>Almohada De Viaje Memory Foam</t>
  </si>
  <si>
    <t>Almohada De Viaje Ultra Suave</t>
  </si>
  <si>
    <t>Correa De Seguridad Para Maleta Cinta Equipaje</t>
  </si>
  <si>
    <t>Organizador De Equipaje Para Viajes Pequeño Azul</t>
  </si>
  <si>
    <t>Set 4 Botellas de Viaje</t>
  </si>
  <si>
    <t>Set De Contenedores De Viaje</t>
  </si>
  <si>
    <t>Set Organizadores Equipaje Small</t>
  </si>
  <si>
    <t>Set Seguridad De Viaje</t>
  </si>
  <si>
    <t>Banano Casual Style Gris</t>
  </si>
  <si>
    <t>Banano Casual Style Negro</t>
  </si>
  <si>
    <t>Banano Casual Style Rosa</t>
  </si>
  <si>
    <t>Banano De Seguridad</t>
  </si>
  <si>
    <t>Lonchera Azul</t>
  </si>
  <si>
    <t>Lonchera Negra</t>
  </si>
  <si>
    <t>Lonchera Térmica Para Almuerzo Negro</t>
  </si>
  <si>
    <t>Lonchera Térmica Para Almuerzo Rosa</t>
  </si>
  <si>
    <t>Mochila Casual Style Notebook Gris</t>
  </si>
  <si>
    <t>Mochila Clásica Azul</t>
  </si>
  <si>
    <t>Mochila Clásica Negro</t>
  </si>
  <si>
    <t>Mochila On The Go Azul</t>
  </si>
  <si>
    <t>Mochila Urbana Azul</t>
  </si>
  <si>
    <t>Mochila Urbana Negro</t>
  </si>
  <si>
    <t>Cosmetiquero</t>
  </si>
  <si>
    <t>Luz De Emergencia Con Regulador De Intensidad</t>
  </si>
  <si>
    <t>Tools</t>
  </si>
  <si>
    <t>Linternas</t>
  </si>
  <si>
    <t>Sensor De Luz</t>
  </si>
  <si>
    <t>Sensores de luz</t>
  </si>
  <si>
    <t>Set Mini Alicates 11 En 1</t>
  </si>
  <si>
    <t>Herramientas Manuales</t>
  </si>
  <si>
    <t>Alicates</t>
  </si>
  <si>
    <t>Atornillador 10 Puntas Intercambiables Mango De Goma</t>
  </si>
  <si>
    <t>Atornilladores</t>
  </si>
  <si>
    <t>Atornillador 7 Puntas Intercambiables Mango De Goma</t>
  </si>
  <si>
    <t>Herramienta Atornillador Multiuso 33 En 1</t>
  </si>
  <si>
    <t>Candado Tsa 3 Combinaciones Numéricas</t>
  </si>
  <si>
    <t>Candados</t>
  </si>
  <si>
    <t>Juego 8 Llaves Hexagonales</t>
  </si>
  <si>
    <t>Dados y Llaves</t>
  </si>
  <si>
    <t>Set 6 Destornilladores De Precisión Amarillos</t>
  </si>
  <si>
    <t>Destornilladores</t>
  </si>
  <si>
    <t>Huincha De Medir 5 Metros Diseño Compacto</t>
  </si>
  <si>
    <t>Huinchas</t>
  </si>
  <si>
    <t>Botella 1 Litro Azul</t>
  </si>
  <si>
    <t>Botella 1 Litro Negro</t>
  </si>
  <si>
    <t>Botella 1 Litro Salmón</t>
  </si>
  <si>
    <t>Botella 1 Litro Verde</t>
  </si>
  <si>
    <t>Botella Con Bombilla Azure</t>
  </si>
  <si>
    <t>Botella Con Bombilla Rose</t>
  </si>
  <si>
    <t>Botella Copper Termica</t>
  </si>
  <si>
    <t>Botella de Agua con Botón Azul</t>
  </si>
  <si>
    <t>Botella de Agua con Botón Rosa</t>
  </si>
  <si>
    <t>Botella De Agua Metálica 600 Ml Rosa</t>
  </si>
  <si>
    <t>Botella De Agua Metálica 600 Ml Verde</t>
  </si>
  <si>
    <t>Botella De Agua Metálica 600Ml Gris</t>
  </si>
  <si>
    <t>Botella De Agua Reutilizable Bpa Free 1 Litro Gris</t>
  </si>
  <si>
    <t>Botella De Agua Reutilizable Bpa Free 1 Litro Rosa</t>
  </si>
  <si>
    <t>Botella De Agua Reutilizable Bpa Free 1 Litro Verde</t>
  </si>
  <si>
    <t>Botella De Agua Vidrio Bpa Free 510Ml Gris</t>
  </si>
  <si>
    <t>Botella De Agua Vidrio Bpa Free 510Ml Rosa</t>
  </si>
  <si>
    <t>Botella De Agua Vidrio Bpa Free 510Ml Verde</t>
  </si>
  <si>
    <t>Botella De Vidrio Con Infusión 410Ml Gris</t>
  </si>
  <si>
    <t>Botella De Vidrio Con Infusión 410Ml Rosa</t>
  </si>
  <si>
    <t>Botella De Vidrio Con Infusión 410Ml Verde</t>
  </si>
  <si>
    <t>Botella Diseño Líneas Azure</t>
  </si>
  <si>
    <t>Botella Diseño Líneas Rose</t>
  </si>
  <si>
    <t>Botella Metálica 335ml Azure</t>
  </si>
  <si>
    <t>Botella Metálica 335ml Rose</t>
  </si>
  <si>
    <t>Botella Outdoor 530 ml Negro</t>
  </si>
  <si>
    <t>Botella Outdoor 530 ml Rosado</t>
  </si>
  <si>
    <t>Botella Shaker 700ml Olium</t>
  </si>
  <si>
    <t>Botella Shaker Azul 700ml</t>
  </si>
  <si>
    <t>Botella Shaker Negro 700 ml</t>
  </si>
  <si>
    <t>Botella Shaker Salmón 700 ml</t>
  </si>
  <si>
    <t>Botella Sport Shaker 700Ml Bpa Free Gris</t>
  </si>
  <si>
    <t>Botella Sport Shaker 700Ml Bpa Free Rosa</t>
  </si>
  <si>
    <t>Botella Sport Shaker 700Ml Bpa Free Verde</t>
  </si>
  <si>
    <t>Botella Vidrio Infusora Olium 410ml</t>
  </si>
  <si>
    <t>Botella De Agua Insulada 660Ml Gris</t>
  </si>
  <si>
    <t>Botella De Agua Insulada 660Ml Rosa</t>
  </si>
  <si>
    <t>Botella De Agua Insulada 660Ml Verde</t>
  </si>
  <si>
    <t>Botella De Agua Térmica 500Ml Gris</t>
  </si>
  <si>
    <t>Botella De Agua Térmica 500Ml Rosa</t>
  </si>
  <si>
    <t>Botella De Agua Térmica 500Ml Verde</t>
  </si>
  <si>
    <t>Botella de Agua Térmica Azul 500 ml</t>
  </si>
  <si>
    <t>Botella de Agua Térmica Damaskus 500 ml</t>
  </si>
  <si>
    <t>Christmas Guirnalda</t>
  </si>
  <si>
    <t>Guantes De Jardinería Protectores Anti Pinchazos</t>
  </si>
  <si>
    <t>Jardín</t>
  </si>
  <si>
    <t>Jardinería</t>
  </si>
  <si>
    <t>Huerta Kit De Cultivo Ají Macetero</t>
  </si>
  <si>
    <t>Kit De Cultivo Frutilla Macetero</t>
  </si>
  <si>
    <t>Kit De Cultivo Hierbas Aromáticas</t>
  </si>
  <si>
    <t>Set Herramientas Jardinería Madera</t>
  </si>
  <si>
    <t>Set Mini Herramientas Jardin Grey</t>
  </si>
  <si>
    <t>Set Mini Herramientas Jardinería Madera</t>
  </si>
  <si>
    <t>Tijera De Podar Para Flores Jardín Verde</t>
  </si>
  <si>
    <t>Tijera De Podar Para Plantas Jardín Verde</t>
  </si>
  <si>
    <t>Dominó de Madera Patterns</t>
  </si>
  <si>
    <t>Juego De Mesa Portátil Backgammon</t>
  </si>
  <si>
    <t>Juego De Mesa Portátil Bingo</t>
  </si>
  <si>
    <t>Juego De Mesa Portátil Cachos</t>
  </si>
  <si>
    <t>Juego De Mesa Portátil Dominó</t>
  </si>
  <si>
    <t>Juego De Mesa Portátil Ludo</t>
  </si>
  <si>
    <t>Juego De Mesa Portátil Poker Texas</t>
  </si>
  <si>
    <t>Juego De Mesa Portátil Solitario</t>
  </si>
  <si>
    <t>Juego Madera Yenga Torre de Equilibrio</t>
  </si>
  <si>
    <t>Rompecabezas de Madera Animales</t>
  </si>
  <si>
    <t>Rompecabezas Luminoso 24 Piezas</t>
  </si>
  <si>
    <t>Animal Set Búho</t>
  </si>
  <si>
    <t>Animal Set Erizo</t>
  </si>
  <si>
    <t>Learning Set</t>
  </si>
  <si>
    <t>Memorice de Madera 16 Pcs</t>
  </si>
  <si>
    <t>Mundo de Fantasía</t>
  </si>
  <si>
    <t>Set 10 Cubos Apilables</t>
  </si>
  <si>
    <t>Títere de Mano Cat</t>
  </si>
  <si>
    <t>Títere de Mano Cocodrile</t>
  </si>
  <si>
    <t>Cepillo De Pelo Ovalado</t>
  </si>
  <si>
    <t>Cepillo De Pelo Rectangular</t>
  </si>
  <si>
    <t>Cepillo Pedicure 3 En 1</t>
  </si>
  <si>
    <t>Cintillo Toalla Black</t>
  </si>
  <si>
    <t>Cintillo Toalla Grey</t>
  </si>
  <si>
    <t>Cintillo Toalla White</t>
  </si>
  <si>
    <t>Contenedor de Pétalos de Algodón Transparente</t>
  </si>
  <si>
    <t>Encrespador De Pestañas Profesional</t>
  </si>
  <si>
    <t>Espejo De Baño</t>
  </si>
  <si>
    <t>Espejo De Bolsillo Portátil Azure</t>
  </si>
  <si>
    <t>Esponja De Maquillaje Make Up Rosa</t>
  </si>
  <si>
    <t>Limpia Brocha Azure</t>
  </si>
  <si>
    <t>Limpia Brocha Olive</t>
  </si>
  <si>
    <t>Limpia Brocha Rose</t>
  </si>
  <si>
    <t>Peineta de Pelo Azure</t>
  </si>
  <si>
    <t>Peineta de Pelo Olive</t>
  </si>
  <si>
    <t>Peineta de Pelo Rose</t>
  </si>
  <si>
    <t>Pinza Acero Profesional De Alta Precisión Roja</t>
  </si>
  <si>
    <t>Pinza Metalica Rose</t>
  </si>
  <si>
    <t>Set 12 Brochas de Maquillaje</t>
  </si>
  <si>
    <t>Set 2 Pétalos Desmaquillantes</t>
  </si>
  <si>
    <t>Set 3 Brochas de Maquillaje</t>
  </si>
  <si>
    <t>Set 3 Brochas De Maquillaje</t>
  </si>
  <si>
    <t>Set 350 Cotonitos</t>
  </si>
  <si>
    <t>Set 80 Pétalos de Algodón</t>
  </si>
  <si>
    <t>Set Esponjas de Maquillaje Gris</t>
  </si>
  <si>
    <t>Set Esponjas de Maquillaje Rosa</t>
  </si>
  <si>
    <t>Set Esponjas de Maquillaje Verde</t>
  </si>
  <si>
    <t>Collet Elástico Para Perro Pelo Pets Rock</t>
  </si>
  <si>
    <t>Pets</t>
  </si>
  <si>
    <t>Mascota</t>
  </si>
  <si>
    <t>Accesorios perro</t>
  </si>
  <si>
    <t>Delantal Pechera Gourmet Para Asado BBQ Negro</t>
  </si>
  <si>
    <t>Menaje cocina</t>
  </si>
  <si>
    <t>Utensilios parrilla</t>
  </si>
  <si>
    <t>Garra De Oso Para Parrilla Con Mango De Madera</t>
  </si>
  <si>
    <t>Guante De Parrilla Cocina Para Altas Temperaturas</t>
  </si>
  <si>
    <t>Individual Asado BBQ Negro</t>
  </si>
  <si>
    <t>Paño De Parrilla Para Asado BBQ Negro</t>
  </si>
  <si>
    <t>Pinzas De Asado Cocina Acero Inoxidable 35Cm</t>
  </si>
  <si>
    <t>Set Parrillero Tenedor y Cuchillo Acero Inoxidable</t>
  </si>
  <si>
    <t>Set Salsero Y Brocha Acero Inoxidable Negro</t>
  </si>
  <si>
    <t>Bateria 7 Piezas Granite Rose</t>
  </si>
  <si>
    <t>Batería 7 Piezas Rose</t>
  </si>
  <si>
    <t>Batería de Cocina 7 Piezas Gris</t>
  </si>
  <si>
    <t>Batería de Cocina 7 Piezas Olive</t>
  </si>
  <si>
    <t>Cuchillo Acero Inoxidable Con Funda Cocina Chef 8"</t>
  </si>
  <si>
    <t>Cuchillo Acero Inoxidable Con Funda Multiuso 3,5"</t>
  </si>
  <si>
    <t>Cuchillo Acero Inoxidable Con Funda Verduras 5"</t>
  </si>
  <si>
    <t>Cuchillo Acero Inoxidable Con Mango Madera Acacia</t>
  </si>
  <si>
    <t>Cuchillo Acero Inoxidable Funda Afiladora Multiuso</t>
  </si>
  <si>
    <t>Cuchillo Cerámica Chef 6" Olive</t>
  </si>
  <si>
    <t>Cuchillo Cerámica Multiuso 4" Azure</t>
  </si>
  <si>
    <t>Cuchillo Cerámica Pelador 3" Rose</t>
  </si>
  <si>
    <t>Cuchillo Corta Pizza BBQ</t>
  </si>
  <si>
    <t>Cuchillo Santoku Con Mango De Madera</t>
  </si>
  <si>
    <t>Cuchillo Santoku Funda Afiladora</t>
  </si>
  <si>
    <t>Set 4 Cuchillos Prime Hoja De Acero Inoxidable</t>
  </si>
  <si>
    <t>Set 5 Cuchillos Cocina</t>
  </si>
  <si>
    <t>Set 6 Cuchillos De Cocina</t>
  </si>
  <si>
    <t>Set Cubiertos Copper 16PCS</t>
  </si>
  <si>
    <t>Set Cubiertos Nordic 16PCS</t>
  </si>
  <si>
    <t>Set Cuchillos Esenciales</t>
  </si>
  <si>
    <t>Sartén Aluminio 24 cm Gris</t>
  </si>
  <si>
    <t>Sartén Aluminio 28 cm Rosa</t>
  </si>
  <si>
    <t>Sartén Granite 28 cm Gris</t>
  </si>
  <si>
    <t>Termo Comida Damaskus 450 ml</t>
  </si>
  <si>
    <t>Termo Comida Negro 450 ml</t>
  </si>
  <si>
    <t>Abrelatas Gris</t>
  </si>
  <si>
    <t>Afilador Ergonómico Para Todo Tipo De Cuchillos</t>
  </si>
  <si>
    <t>Barra Magnética Imán Para Cuchillos</t>
  </si>
  <si>
    <t>Colador Cuadrado Azure (L)</t>
  </si>
  <si>
    <t>Colador Cuadrado Olive (M)</t>
  </si>
  <si>
    <t>Colador Plegable De Silicona Para Cocina Circular</t>
  </si>
  <si>
    <t>Corta Pizza</t>
  </si>
  <si>
    <t>Cuchara Madera Azure</t>
  </si>
  <si>
    <t>Cuchara Madera Rose</t>
  </si>
  <si>
    <t>Espátula De Cocina Mango Madera 27Cm</t>
  </si>
  <si>
    <t>Guante de Cocina Azure</t>
  </si>
  <si>
    <t>Guante de Cocina Rose</t>
  </si>
  <si>
    <t>Individual Lado Azul</t>
  </si>
  <si>
    <t>Individual Lado Gris</t>
  </si>
  <si>
    <t>Individual Lado Rosa</t>
  </si>
  <si>
    <t>Pelador De Verduras Frutas Multiuso Cocina Verde</t>
  </si>
  <si>
    <t>Pincho para Choclos</t>
  </si>
  <si>
    <t>Rallador Frutas Y Verduras Con Mango Suave Rosa</t>
  </si>
  <si>
    <t>Rallador Metálico Azure</t>
  </si>
  <si>
    <t>Set 2 Paños de Cocina</t>
  </si>
  <si>
    <t>Set Cucharas Azure</t>
  </si>
  <si>
    <t>Set Utensilios De Cocina Gris Rosa 4pcs</t>
  </si>
  <si>
    <t>Set Utensilios De Cocina Gris Verde 4pcs</t>
  </si>
  <si>
    <t>Tijera Cocina Azure</t>
  </si>
  <si>
    <t>Alfombrilla Para Hornear Baking Mat de Silicona Rojo</t>
  </si>
  <si>
    <t>Molde Fuente Cuadrado Para Horno Antiadherente Rosa</t>
  </si>
  <si>
    <t>Molde Fuente Rectangular Horno Antiadherente Verde</t>
  </si>
  <si>
    <t>Molde Repostería Redondo Queque Antiadherente Gris</t>
  </si>
  <si>
    <t>Funda Notebook Azul</t>
  </si>
  <si>
    <t>Funda Notebook Negro</t>
  </si>
  <si>
    <t>Mesa Redonda Cobre</t>
  </si>
  <si>
    <t>Mesa Redonda Metálica</t>
  </si>
  <si>
    <t>Mesa Revistero</t>
  </si>
  <si>
    <t>Repisa Espejo Redondo Black</t>
  </si>
  <si>
    <t>Repisa Muro Black</t>
  </si>
  <si>
    <t>Repisa Redonda Espejo Copper</t>
  </si>
  <si>
    <t>Repisa Tripe Gold</t>
  </si>
  <si>
    <t>Set 2 Repisas Cuadradas Black</t>
  </si>
  <si>
    <t>Prensa Francesa Copper</t>
  </si>
  <si>
    <t>Set Kit 2 Tazas Espresso 90ml</t>
  </si>
  <si>
    <t>Taza 12oz Porcelana</t>
  </si>
  <si>
    <t>Taza de Vidrio Doble Pared 470ml</t>
  </si>
  <si>
    <t>Tazón 14oz Porcelana Azure</t>
  </si>
  <si>
    <t>Tazón 14oz Porcelana Olive</t>
  </si>
  <si>
    <t>Tazón 14oz Porcelana Rose</t>
  </si>
  <si>
    <t>Matera Acero Olium</t>
  </si>
  <si>
    <t>Matero Con Bombilla Para Mate Gris</t>
  </si>
  <si>
    <t>Matero Con Bombilla Para Mate Rosa</t>
  </si>
  <si>
    <t>Matero Con Bombilla Para Mate Verde</t>
  </si>
  <si>
    <t>Termo Bala 0.5L Olium</t>
  </si>
  <si>
    <t>Termo Bala 1.0L Olium</t>
  </si>
  <si>
    <t>Termo Bala Para Agua Con Dosificador 0,5Lt Negro</t>
  </si>
  <si>
    <t>Termo Bala Para Agua Con Dosificador 0,5Lt Rosa</t>
  </si>
  <si>
    <t>Termo Bala Para Agua Con Dosificador 0,5Lt Verde</t>
  </si>
  <si>
    <t>Termo Bala Para Agua Con Dosificador 1Lt Negro</t>
  </si>
  <si>
    <t>Termo Bala Para Agua Con Dosificador 1Lt Rosa</t>
  </si>
  <si>
    <t>Termo Bala Para Agua Con Dosificador 1Lt Verde</t>
  </si>
  <si>
    <t>Termo Líquidos Outdoor 1,8lt</t>
  </si>
  <si>
    <t>Termo Mate Olium 400 Ml</t>
  </si>
  <si>
    <t>Termo Matero Con Bombilla Para Mate Gris</t>
  </si>
  <si>
    <t>Termo Matero Con Bombilla Para Mate Rosa</t>
  </si>
  <si>
    <t>Termo Matero Con Bombilla Para Mate Verde</t>
  </si>
  <si>
    <t>Termo Mug Antiderrame Insulado 400ml Gris</t>
  </si>
  <si>
    <t>Termo Mug Antiderrame Insulado 400ml Rosa</t>
  </si>
  <si>
    <t>Termo Mug Antiderrame Insulado 400Ml Verde</t>
  </si>
  <si>
    <t>Termo Mug Antiderrame Insulado Con Mango Gris</t>
  </si>
  <si>
    <t>Termo Mug Antiderrame Insulado Con Mango Rosa</t>
  </si>
  <si>
    <t>Termo Mug Antiderrame Insulado Con Mango Verde</t>
  </si>
  <si>
    <t>Termo Mug Botón Dispensador Antiderrame 450ml Gris</t>
  </si>
  <si>
    <t>Termo Mug Botón Dispensador Antiderrame 450ml Negro</t>
  </si>
  <si>
    <t>Termo Mug Botón Dispensador Antiderrame 450ml Rosa</t>
  </si>
  <si>
    <t>Termo Mug Botón Dispensador Antiderrame 450ml Verde</t>
  </si>
  <si>
    <t>Termo De Acero Con Sifón Dispensador Gris 1,9Lt</t>
  </si>
  <si>
    <t>Termos sifón</t>
  </si>
  <si>
    <t>Tetera de Vidrio con Infusor</t>
  </si>
  <si>
    <t>Cepillo Escobilla Inodoro Rose</t>
  </si>
  <si>
    <t>Dispensador Cerámica Azure</t>
  </si>
  <si>
    <t>Dispensador Cerámica Stone</t>
  </si>
  <si>
    <t>Dispensador Con Soporte Olium</t>
  </si>
  <si>
    <t>Dispensador de Jabón Desmontable Con Soporte Verde</t>
  </si>
  <si>
    <t>Guante de Baño Rosa</t>
  </si>
  <si>
    <t>Basurero Cobre</t>
  </si>
  <si>
    <t>Caja Organizadora 14L Azure</t>
  </si>
  <si>
    <t>Caja Organizadora Tapa Bamboo L</t>
  </si>
  <si>
    <t>Caja Organizadora Tapa Bamboo M</t>
  </si>
  <si>
    <t>Canister Contenedor Hermético 1100ml</t>
  </si>
  <si>
    <t>Canister Contenedor Hermético 1700ml</t>
  </si>
  <si>
    <t>Canister Contenedor Hermético 450ml</t>
  </si>
  <si>
    <t>Canister Contenedor Hermético 700ml</t>
  </si>
  <si>
    <t>Contenedor De Sal Vidrio Tapa Bamboo</t>
  </si>
  <si>
    <t>Contenedor Palta</t>
  </si>
  <si>
    <t>Organizador de Refrigerador Versátil</t>
  </si>
  <si>
    <t>Porta Hojas Vertical</t>
  </si>
  <si>
    <t>Set 3 Bowls Para Aperitivo Cerámica Negro</t>
  </si>
  <si>
    <t>Set 4 Herméticos Azure</t>
  </si>
  <si>
    <t>Set Cajas De Madera Blancas</t>
  </si>
  <si>
    <t>Taper Tupper De Vidrio Hermético Comida 1480Ml Verde</t>
  </si>
  <si>
    <t>Taper Tupper De Vidrio Hermético Comida 300Ml Rosa</t>
  </si>
  <si>
    <t>Taper Tupper De Vidrio Hermético Comida 800Ml Gris</t>
  </si>
  <si>
    <t>Taper Tupper Hermético 1000ml Rectangular</t>
  </si>
  <si>
    <t>Taper Tupper Hermético 1400ml Cuadrado</t>
  </si>
  <si>
    <t>Taper Tupper Hermético 2300ml Rectangular</t>
  </si>
  <si>
    <t>Taper Tupper Hermético 400ml Rectangular</t>
  </si>
  <si>
    <t>Taper Tupper Hermético 600ml Cuadrado</t>
  </si>
  <si>
    <t>Vaso De Yogurt Cereal 500ml Gris</t>
  </si>
  <si>
    <t>Contenedores colación</t>
  </si>
  <si>
    <t>Vaso De Yogurt Cereal 500ml Rosa</t>
  </si>
  <si>
    <t>Vaso De Yogurt Cereal 500ml Verde</t>
  </si>
  <si>
    <t>Vaso Snack Azure</t>
  </si>
  <si>
    <t>Vaso Snack Rose</t>
  </si>
  <si>
    <t>Molinillo Moledor Sal Pimienta Rosa</t>
  </si>
  <si>
    <t>Molinillo Moledor Sal Pimienta Verde</t>
  </si>
  <si>
    <t>PACK44</t>
  </si>
  <si>
    <t>Kit Organizador de Refrigerador + Organizador Latas</t>
  </si>
  <si>
    <t>Organizadores refigerador</t>
  </si>
  <si>
    <t>Organizador de Refrigerador 12 Huevos</t>
  </si>
  <si>
    <t>Organizador de Refrigerador Latas</t>
  </si>
  <si>
    <t>Organizador de Refrigerador Rectangular XL</t>
  </si>
  <si>
    <t>Set Kit 3 Organizadores de Refrigerador</t>
  </si>
  <si>
    <t>Contenedor Cartas Cobre</t>
  </si>
  <si>
    <t>Contenedor Metálico</t>
  </si>
  <si>
    <t>Piso de Eva Interlock Negro</t>
  </si>
  <si>
    <t>Individual Negro</t>
  </si>
  <si>
    <t>Individual PVC Azure</t>
  </si>
  <si>
    <t>Individual PVC Grey</t>
  </si>
  <si>
    <t>Individual PVC Rose</t>
  </si>
  <si>
    <t>Alcuza de Vidrio 250ml</t>
  </si>
  <si>
    <t>Set Kit 2 Alcuza de Vidrio 250ml</t>
  </si>
  <si>
    <t>Fuente Cerámica Grande Azure</t>
  </si>
  <si>
    <t>Fuente Cerámica Mediana Rose</t>
  </si>
  <si>
    <t>Fuente Cerámica Small Olive</t>
  </si>
  <si>
    <t>Set Fuentes De Vidrio Para Horno</t>
  </si>
  <si>
    <t>Set 16PCS Porcelana</t>
  </si>
  <si>
    <t>Plato Acompañamiento Cerámica Rústica</t>
  </si>
  <si>
    <t>Plato Bamboo</t>
  </si>
  <si>
    <t>Plato Baño Cerámica Azure</t>
  </si>
  <si>
    <t>Plato Baño Cerámica Stone</t>
  </si>
  <si>
    <t>Plato Comida Cerámica Rústica</t>
  </si>
  <si>
    <t>Plato Porcelana Comida</t>
  </si>
  <si>
    <t>Plato Sopa Cerámica Rústica</t>
  </si>
  <si>
    <t>Briko Toys</t>
  </si>
  <si>
    <t>BRIK01</t>
  </si>
  <si>
    <t>The Big Set Explorador 34 Piezas Goma Eva Briko Toys</t>
  </si>
  <si>
    <t>Pisos de goma</t>
  </si>
  <si>
    <t>Bubba Bags</t>
  </si>
  <si>
    <t>Bolso Maternal Blue Joy</t>
  </si>
  <si>
    <t>Bolsos maternales</t>
  </si>
  <si>
    <t>Bolso Maternal Merlot</t>
  </si>
  <si>
    <t>Mochila Maternal Black Wild</t>
  </si>
  <si>
    <t>Mochila Maternal Blu Savage</t>
  </si>
  <si>
    <t>Mochila Maternal Pink Dots</t>
  </si>
  <si>
    <t>Mochila Maternal Ulala</t>
  </si>
  <si>
    <t>Mochila Mom Matte Black Velvet Regular Rpet</t>
  </si>
  <si>
    <t>Calcetines Fish/Skull/Camo 3 Pares Blvck Bubba</t>
  </si>
  <si>
    <t>Pack Calcetines Chaz/Dots/Rock 3 Pares Blvck Bubba</t>
  </si>
  <si>
    <t>Carcasa Bubba Case Cute Mint</t>
  </si>
  <si>
    <t>Carcasas celular</t>
  </si>
  <si>
    <t>Carcasa Bubba Case Cute Mint Iphone XR</t>
  </si>
  <si>
    <t>Carcasa Bubba Case Cute Mint Iphone XS</t>
  </si>
  <si>
    <t>Carcasa Bubba Case Sweet Rose</t>
  </si>
  <si>
    <t>Carcasa Bubba Case Sweet Rose Iphone XR</t>
  </si>
  <si>
    <t>Carcasa Bubba Case Velvet Negro</t>
  </si>
  <si>
    <t>Carcasa Bubba Case Velvet Negro Bubba</t>
  </si>
  <si>
    <t>Carcasa Bubba Case Velvet Negro Iphone 11 Blvck Bubba</t>
  </si>
  <si>
    <t>Case Blvck Velvet Iphone Xs</t>
  </si>
  <si>
    <t>Bolso de Mano Victoria Frank</t>
  </si>
  <si>
    <t>Bolso De Mano Victoria Musgo</t>
  </si>
  <si>
    <t>Bolso De Mano Victoria Tasty Azul</t>
  </si>
  <si>
    <t>Bolso De Mano Victoria Tasty Negro</t>
  </si>
  <si>
    <t>Bolso Totte Victoria Olive</t>
  </si>
  <si>
    <t>Bolso Victoria Jade</t>
  </si>
  <si>
    <t>Bolso Victoria Lotus</t>
  </si>
  <si>
    <t>Bolso Victoria Negra</t>
  </si>
  <si>
    <t>Cartera Charlotte Doble Check Black</t>
  </si>
  <si>
    <t>Cartera Charlotte Doble Check Green</t>
  </si>
  <si>
    <t>Cartera Charlotte Doble Check Lilac</t>
  </si>
  <si>
    <t>Cartera Charlotte Negra</t>
  </si>
  <si>
    <t>Cartera Classic Mint Rpet</t>
  </si>
  <si>
    <t>Cartera Classic Onyx Rpet</t>
  </si>
  <si>
    <t>Cartera Crossbag Rock Negro</t>
  </si>
  <si>
    <t>Cartera Emma Beige</t>
  </si>
  <si>
    <t>Cartera Emma Negro</t>
  </si>
  <si>
    <t>Cartera Juliet Butter</t>
  </si>
  <si>
    <t>Cartera Juliet Pesto</t>
  </si>
  <si>
    <t>Cartera Juliet Stone Gris</t>
  </si>
  <si>
    <t>Cartera Juliet Tasty Negro Bubba Bag</t>
  </si>
  <si>
    <t>Cartera Marie Berry</t>
  </si>
  <si>
    <t>Cartera Marie Clay Roja</t>
  </si>
  <si>
    <t>Cartera Marie Pesto Beige</t>
  </si>
  <si>
    <t>Cartera Mini Charlotte Negro</t>
  </si>
  <si>
    <t>Cartera Mini Metalizado Azabache</t>
  </si>
  <si>
    <t>Cartera Mini Metalizado Stone</t>
  </si>
  <si>
    <t>Cartera Originals Classic Onyx</t>
  </si>
  <si>
    <t>Cartera Originals Matte Black Velvet</t>
  </si>
  <si>
    <t>Cartera Porta Celular Bags</t>
  </si>
  <si>
    <t>Cartera Porta Celular Mint</t>
  </si>
  <si>
    <t>Cartera Tote Charlotte Doble Check Black</t>
  </si>
  <si>
    <t>Cartera Tote Charlotte Doble Check Green</t>
  </si>
  <si>
    <t>Cartera Tote Charlotte Doble Check Lilac</t>
  </si>
  <si>
    <t>Cartera Tote Originals Matte Black Velvet</t>
  </si>
  <si>
    <t>Cartera Velvet Negro</t>
  </si>
  <si>
    <t>Cartera Victoria Gris</t>
  </si>
  <si>
    <t>Cartera Victoria Jade</t>
  </si>
  <si>
    <t>Cartera Victoria Lotus</t>
  </si>
  <si>
    <t>Cartera Victoria Negro</t>
  </si>
  <si>
    <t>Cartera Victoria Rose</t>
  </si>
  <si>
    <t>Cartera Victoria Sky</t>
  </si>
  <si>
    <t>Crossbag Classic Mint Rpet</t>
  </si>
  <si>
    <t>Hand Bag Victoria Black</t>
  </si>
  <si>
    <t>Mini Cartera Black Metallic</t>
  </si>
  <si>
    <t>Mini Cartera Charlotte Doble Check Black</t>
  </si>
  <si>
    <t>Mini Cartera Charlotte Doble Check Green</t>
  </si>
  <si>
    <t>Mini Cartera Charlotte Doble Check Lilac</t>
  </si>
  <si>
    <t>Mini Cartera Victoria Black</t>
  </si>
  <si>
    <t>Estuche Box Pencil Classic Mint Rpet</t>
  </si>
  <si>
    <t>Estuche Box Pencil Classic Mirabella Rpet</t>
  </si>
  <si>
    <t>Estuche Box Pencil Originals Matte Aqua</t>
  </si>
  <si>
    <t>Estuche Box Pencil Originals Matte Azure</t>
  </si>
  <si>
    <t>Estuche Box Pencil Originals Matte Lima</t>
  </si>
  <si>
    <t>Estuche Box Pencil Originals Matte Ruby Red</t>
  </si>
  <si>
    <t>Estuche Box Pencil Originals Matte Sunrise</t>
  </si>
  <si>
    <t>Estuche Case Classic Mint</t>
  </si>
  <si>
    <t>Estuche Case Classic Mirabella</t>
  </si>
  <si>
    <t>Estuche Case Classic Onyx</t>
  </si>
  <si>
    <t>Estuche Clásico Peyton Mint</t>
  </si>
  <si>
    <t>Estuche Clásico Peyton Mirabella</t>
  </si>
  <si>
    <t>Estuche Clásico Peyton Negro</t>
  </si>
  <si>
    <t>Estuche Classic Mint</t>
  </si>
  <si>
    <t>Estuche Classic Mirabella</t>
  </si>
  <si>
    <t>Estuche Classic Onyx Bags</t>
  </si>
  <si>
    <t>Estuche Classic Onyx Essentials</t>
  </si>
  <si>
    <t>Estuche Columbia Menta</t>
  </si>
  <si>
    <t>Estuche Columbia Mimosa</t>
  </si>
  <si>
    <t>Estuche Columbia Negro</t>
  </si>
  <si>
    <t>Estuche Columbia Rosado</t>
  </si>
  <si>
    <t>Estuche Matte Peyton Light Azul</t>
  </si>
  <si>
    <t>Estuche Matte Peyton Morango</t>
  </si>
  <si>
    <t>Estuche Matte Peyton Onyx</t>
  </si>
  <si>
    <t>Estuche Ottawa Blue Joy</t>
  </si>
  <si>
    <t>Estuche Ottawa Blue Sun</t>
  </si>
  <si>
    <t>Estuche Ottawa Dark Olive</t>
  </si>
  <si>
    <t>Estuche Ottawa Military</t>
  </si>
  <si>
    <t>Estuche Peyton Azul Mate</t>
  </si>
  <si>
    <t>Estuche Peyton Azul Menta</t>
  </si>
  <si>
    <t>Estuche Peyton Mirabella Rosado</t>
  </si>
  <si>
    <t>Estuche Peyton Negro Mate</t>
  </si>
  <si>
    <t>Estuche Peyton Negro Velvet</t>
  </si>
  <si>
    <t>Estuche Peyton Rosa</t>
  </si>
  <si>
    <t>Estuche Peyton Rosa Mate</t>
  </si>
  <si>
    <t>Estuche Winnipeg Mint</t>
  </si>
  <si>
    <t>Estuche Winnipeg Mirabella</t>
  </si>
  <si>
    <t>Estuche Winnipeg Negro</t>
  </si>
  <si>
    <t>Estuche Winnipeg Raspberry</t>
  </si>
  <si>
    <t>Bolso Matero Amarillo</t>
  </si>
  <si>
    <t>Materas</t>
  </si>
  <si>
    <t>Bolso Matero Negro</t>
  </si>
  <si>
    <t>Bolso Matero Verde Militar</t>
  </si>
  <si>
    <t>Mug Insulado Flamingo</t>
  </si>
  <si>
    <t>Mug Insulado Lotus</t>
  </si>
  <si>
    <t>Mug Insulado Minty</t>
  </si>
  <si>
    <t>Mug Insulado Sunshine</t>
  </si>
  <si>
    <t>Toalla Acid Lime</t>
  </si>
  <si>
    <t>Toallas</t>
  </si>
  <si>
    <t>Toalla Cool Grey</t>
  </si>
  <si>
    <t>Toalla Pink Power</t>
  </si>
  <si>
    <t>Cartera Crossbag Matte Black Velvet</t>
  </si>
  <si>
    <t>Cartera Tote Originals Classic Onyx</t>
  </si>
  <si>
    <t>Cinturón Azure 115 cm Blvck Bubba</t>
  </si>
  <si>
    <t>Cinturones</t>
  </si>
  <si>
    <t>Cinturón Granada 115 cm Blvck Bubba</t>
  </si>
  <si>
    <t>Cinturón Mimosa 110 cm Blvck</t>
  </si>
  <si>
    <t>Cinturón Onyx 115 cm Blvck Bubba</t>
  </si>
  <si>
    <t>Cinturón Verde Militar 115 cm Blvck Bubba</t>
  </si>
  <si>
    <t>Gorro Jockey Black Label Blue Stone</t>
  </si>
  <si>
    <t>Gorro Jockey Blvck Army Green</t>
  </si>
  <si>
    <t>Gorro Jockey Classic 3D Mint</t>
  </si>
  <si>
    <t>Gorro Jockey Classic 3D Pixie Orange</t>
  </si>
  <si>
    <t>Gorro Jockey Classic 3D Tasty Bags</t>
  </si>
  <si>
    <t>Gorro Jockey Classic Black Velvet</t>
  </si>
  <si>
    <t>Gorro Jockey Classic Cotton Sky</t>
  </si>
  <si>
    <t>Gorro Jockey Classic Pixie Orange</t>
  </si>
  <si>
    <t>Lentes Ópticos 1,0 Cherry</t>
  </si>
  <si>
    <t>Lentes</t>
  </si>
  <si>
    <t>Lentes Ópticos 1,0 Cloudy</t>
  </si>
  <si>
    <t>Lentes Ópticos 1,0 Ginger</t>
  </si>
  <si>
    <t>Lentes Ópticos 1,0 Mimosa</t>
  </si>
  <si>
    <t>Lentes Ópticos 1,0 Onyx</t>
  </si>
  <si>
    <t>Lentes Ópticos 1,0 Serenity</t>
  </si>
  <si>
    <t>Lentes Ópticos 1,5 Cherry</t>
  </si>
  <si>
    <t>Lentes Ópticos 1,5 Cloudy</t>
  </si>
  <si>
    <t>Lentes Ópticos 1,5 Ginger</t>
  </si>
  <si>
    <t>Lentes Ópticos 1,5 Mimosa</t>
  </si>
  <si>
    <t>Lentes Ópticos 1,5 Serenity</t>
  </si>
  <si>
    <t>Correa De Hombro Shoulder Straps Camo</t>
  </si>
  <si>
    <t>Straps</t>
  </si>
  <si>
    <t>Strap Cartera Logo</t>
  </si>
  <si>
    <t>Tirantes Shoulder Strap Cherry</t>
  </si>
  <si>
    <t>Tirantes Shoulder Strap Moss</t>
  </si>
  <si>
    <t>Tirantes Shoulder Strap Nude</t>
  </si>
  <si>
    <t>Cuaderno A5 Mimosa</t>
  </si>
  <si>
    <t>Cuaderno A5 Mint</t>
  </si>
  <si>
    <t>Cuaderno A5 Nice Grey</t>
  </si>
  <si>
    <t>Cuaderno A5 Ocean</t>
  </si>
  <si>
    <t>Cuaderno A5 Raspberry Pink</t>
  </si>
  <si>
    <t>PACK26</t>
  </si>
  <si>
    <t>Kit Cuaderno + Set 6 Lápiz + Set de Gomas</t>
  </si>
  <si>
    <t>Lapiz Bubba Pen Coral</t>
  </si>
  <si>
    <t>Lapiz Bubba Pen Mustard</t>
  </si>
  <si>
    <t>Lapiz Bubba Pen Negro</t>
  </si>
  <si>
    <t>Lapiz Bubba Pen Peppermint</t>
  </si>
  <si>
    <t>Porta Documentos Passport Holder Black</t>
  </si>
  <si>
    <t>Porta Documentos Passport Holder Lilac</t>
  </si>
  <si>
    <t>Porta Documentos Passport Holder Sky</t>
  </si>
  <si>
    <t>Porta Documentos Travel Sky</t>
  </si>
  <si>
    <t>Porta Documentos Travel Black</t>
  </si>
  <si>
    <t>Porta Documentos Travel Lilac</t>
  </si>
  <si>
    <t>Banano Azabache</t>
  </si>
  <si>
    <t>Banano Bubbita Lovely</t>
  </si>
  <si>
    <t>Banano Classic Blush</t>
  </si>
  <si>
    <t>Banano Classic Onyx</t>
  </si>
  <si>
    <t>Banano Classic Onyx Rpet</t>
  </si>
  <si>
    <t>Banano Columbia Black Velvet</t>
  </si>
  <si>
    <t>Banano Dark Animal Negro</t>
  </si>
  <si>
    <t>Banano Matte Black Velvet</t>
  </si>
  <si>
    <t>Banano Matte Olive</t>
  </si>
  <si>
    <t>Banano Metalizado Stone</t>
  </si>
  <si>
    <t>Banano Onyx Bags</t>
  </si>
  <si>
    <t>Banano Originals Matte Black Velvet</t>
  </si>
  <si>
    <t>Banano Ottawa Azul</t>
  </si>
  <si>
    <t>Banano Pocket Mint</t>
  </si>
  <si>
    <t>Banano Pocket Mirabella</t>
  </si>
  <si>
    <t>Banano Pocket Onyx Negro</t>
  </si>
  <si>
    <t>Banano Pocket Verde</t>
  </si>
  <si>
    <t>Banano Rock Negro</t>
  </si>
  <si>
    <t>Banano Silver</t>
  </si>
  <si>
    <t>Banano Sophie Camel</t>
  </si>
  <si>
    <t>Banano Sophie Negro</t>
  </si>
  <si>
    <t>Banano Victoria Mint</t>
  </si>
  <si>
    <t>Banano Victoria Mirabella</t>
  </si>
  <si>
    <t>Banano Victoria Negro</t>
  </si>
  <si>
    <t>Banano Victoria Pattern</t>
  </si>
  <si>
    <t>Bubba Banano Belly Bag Chita</t>
  </si>
  <si>
    <t>Bubba Banano Belly Bag Cool Chita</t>
  </si>
  <si>
    <t>Bubba Banano Matte Negro Velvet Rpet</t>
  </si>
  <si>
    <t>Billetera Black Velvet Blvck Bubba</t>
  </si>
  <si>
    <t>Billetera Black Velvet Mini Rpet</t>
  </si>
  <si>
    <t>Billetera Camel Blvck Bubba</t>
  </si>
  <si>
    <t>Billetera Charlotte Doble Check Black Mini</t>
  </si>
  <si>
    <t>Billetera Charlotte Doble Check Green Mini</t>
  </si>
  <si>
    <t>Billetera Charlotte Doble Check Lilac Mini</t>
  </si>
  <si>
    <t>Billetera Charol Mint</t>
  </si>
  <si>
    <t>Billetera Charol Pixie Orange</t>
  </si>
  <si>
    <t>Billetera Charol Shine</t>
  </si>
  <si>
    <t>Billetera Classic Blush Mini</t>
  </si>
  <si>
    <t>Billetera Classic Blush Regular</t>
  </si>
  <si>
    <t>Billetera Classic Mint Mini</t>
  </si>
  <si>
    <t>Billetera Classic Mint Mini Rpet</t>
  </si>
  <si>
    <t>Billetera Classic Mint Regular Rpet</t>
  </si>
  <si>
    <t>Billetera Classic Mirabella Mini</t>
  </si>
  <si>
    <t>Billetera Classic Mirabella Regular</t>
  </si>
  <si>
    <t>Billetera Classic Onyx Black Mini</t>
  </si>
  <si>
    <t>Billetera Classic Onyx Black Regular</t>
  </si>
  <si>
    <t>Billetera Classic Onyx Negro Regular</t>
  </si>
  <si>
    <t>Billetera Classic Raspberry Pink Mini</t>
  </si>
  <si>
    <t>Billetera Classic Raspberry Pink Regular</t>
  </si>
  <si>
    <t>Billetera Matte Black Olive</t>
  </si>
  <si>
    <t>Billetera Matte Black Olive Mini</t>
  </si>
  <si>
    <t>Billetera Matte Black Velvet</t>
  </si>
  <si>
    <t>Billetera Matte Black Velvet Mini</t>
  </si>
  <si>
    <t>Billetera Matte Black Velvet Regular Rpet</t>
  </si>
  <si>
    <t>Billetera Matte Crystal Rose</t>
  </si>
  <si>
    <t>Billetera Matte Crystal Rose Mini Rpet</t>
  </si>
  <si>
    <t>Billetera Matte Crystal Rose Regular Rpet</t>
  </si>
  <si>
    <t>Billetera Matte Light Mint Mini</t>
  </si>
  <si>
    <t>Billetera Matte Light Mint Regular</t>
  </si>
  <si>
    <t>Billetera Monedero Holly Jolly</t>
  </si>
  <si>
    <t>Billetera Monedero Neon Onyx</t>
  </si>
  <si>
    <t>Billetera Originals Matte Aqua Mini</t>
  </si>
  <si>
    <t>Billetera Originals Matte Aqua Regular</t>
  </si>
  <si>
    <t>Billetera Originals Matte Azure Mini</t>
  </si>
  <si>
    <t>Billetera Originals Matte Blossom Mini</t>
  </si>
  <si>
    <t>Billetera Originals Matte Blossom Regular</t>
  </si>
  <si>
    <t>Billetera Originals Matte Lima Mini</t>
  </si>
  <si>
    <t>Billetera Originals Matte Sunrise Mini</t>
  </si>
  <si>
    <t>Billetera Originals Matte Sunrise Regular</t>
  </si>
  <si>
    <t>Billetera Para Pasaporte Negro Blvck Bubba</t>
  </si>
  <si>
    <t>Billetera Para Pasaporte Travell Wallet Mirabella</t>
  </si>
  <si>
    <t>Billetera Pasaporte Travell Wallet Onyx Bags</t>
  </si>
  <si>
    <t>Billetera Travell Wallet Mint</t>
  </si>
  <si>
    <t>Monedero Neon Electric</t>
  </si>
  <si>
    <t>Monedero Neon Pinky</t>
  </si>
  <si>
    <t>Monedero Victoria Watermelon</t>
  </si>
  <si>
    <t>Set Billetera + Gancho Black Velvet Blvck Bubba</t>
  </si>
  <si>
    <t>Set Billetera + Gancho Camel Blvck Bubba</t>
  </si>
  <si>
    <t>Tarjetero Negro Blvck Bubba</t>
  </si>
  <si>
    <t>WALLET MATTE BLACK VELVET REGULAR</t>
  </si>
  <si>
    <t>Bolso Deportivo Camo</t>
  </si>
  <si>
    <t>Bolso Deportivo Classic Mint</t>
  </si>
  <si>
    <t>Bolso Deportivo Classic Onyx Bags</t>
  </si>
  <si>
    <t>Bolso Deportivo Classic Pink Power</t>
  </si>
  <si>
    <t>Bolso Deportivo Duffel Bag Negro Blvck Bubba</t>
  </si>
  <si>
    <t>Bolso Deportivo Duffel Bag Shadow Blvck Bubba</t>
  </si>
  <si>
    <t>Bolso Duffel Bag Blvck Mimosa</t>
  </si>
  <si>
    <t>Bolso Duffel Bag Blvck Ocean</t>
  </si>
  <si>
    <t>Bolso Duffel Bag Blvck Onyx</t>
  </si>
  <si>
    <t>Bolso Sporty Bag Originals Classic Onyx</t>
  </si>
  <si>
    <t>Bolso Sporty Bag Originals Matte Azure</t>
  </si>
  <si>
    <t>Bolso Sporty Bag Originals Matte Blossom</t>
  </si>
  <si>
    <t>Bolso Sporty Bag Originals Matte Lima</t>
  </si>
  <si>
    <t>Bolso Sporty Matte Negro Rpet</t>
  </si>
  <si>
    <t>Mochila Mom Waves Black</t>
  </si>
  <si>
    <t>Estuche Box Pencil Classic Onyx Black Rpet</t>
  </si>
  <si>
    <t>Estuche Box Pencil Matte Black Velvet</t>
  </si>
  <si>
    <t>Estuche Box Pencil Originals Matte Blossom</t>
  </si>
  <si>
    <t>Estuche Classic Onyx Black Rpet</t>
  </si>
  <si>
    <t>Lonchera Bubbita Moranga</t>
  </si>
  <si>
    <t>Lonchera Bubbita Pacific</t>
  </si>
  <si>
    <t>Lonchera Bungalow Azul</t>
  </si>
  <si>
    <t>Lonchera Bungalow Lilac</t>
  </si>
  <si>
    <t>Lonchera Clásica Peyton Mint</t>
  </si>
  <si>
    <t>Lonchera Clásica Peyton Mirabella</t>
  </si>
  <si>
    <t>Lonchera Clásica Peyton Negro</t>
  </si>
  <si>
    <t>Lonchera Classic Hot Pink Rpet</t>
  </si>
  <si>
    <t>Lonchera Classic Mint Rpet</t>
  </si>
  <si>
    <t>Lonchera Classic Mirabella Rpet</t>
  </si>
  <si>
    <t>Lonchera Classic Onyx Rpet</t>
  </si>
  <si>
    <t>Lonchera Grape Bubbita</t>
  </si>
  <si>
    <t>Lonchera Kiwi Bubbita</t>
  </si>
  <si>
    <t>Lonchera Mandarin Bubbita</t>
  </si>
  <si>
    <t>Lonchera Matte Black Velvet Rpet</t>
  </si>
  <si>
    <t>Lonchera Matte Crystal Rose Rpet</t>
  </si>
  <si>
    <t>Lonchera Matte Light Mint Rpet</t>
  </si>
  <si>
    <t>Lonchera Montreal Mary Rose</t>
  </si>
  <si>
    <t>Lonchera Originals Matte Aqua</t>
  </si>
  <si>
    <t>Lonchera Originals Matte Azure</t>
  </si>
  <si>
    <t>Lonchera Originals Matte Ruby Red</t>
  </si>
  <si>
    <t>Lonchera Originals Matte Sunrise</t>
  </si>
  <si>
    <t>Lonchera Ottawa Mint</t>
  </si>
  <si>
    <t>Lonchera Ottawa Negro</t>
  </si>
  <si>
    <t>Lonchera Ottawa Sandy Hill</t>
  </si>
  <si>
    <t>Lonchera Peyton Azul Mate</t>
  </si>
  <si>
    <t>Lonchera Peyton Negro Mate</t>
  </si>
  <si>
    <t>Lonchera Peyton Negro Velvet</t>
  </si>
  <si>
    <t>Lonchera Peyton Rosa Mate</t>
  </si>
  <si>
    <t>Lonchera Peyton Rosado Crystal</t>
  </si>
  <si>
    <t>Lonchera Snack Bag Bubbita Grape</t>
  </si>
  <si>
    <t>Lonchera Snack Bag Bubbita Kiwi</t>
  </si>
  <si>
    <t>Lonchera Snack Bag Bubbita Mandarin</t>
  </si>
  <si>
    <t>Lonchera Snack Bag Bubbita Moon</t>
  </si>
  <si>
    <t>Lonchera Winnipeg Mint</t>
  </si>
  <si>
    <t>Lonchera Winnipeg Negro</t>
  </si>
  <si>
    <t>Maleta Boss Negra Blvck Bubba</t>
  </si>
  <si>
    <t>Maleta Classic Mint Large</t>
  </si>
  <si>
    <t>Maleta Classic Mint Medium</t>
  </si>
  <si>
    <t>Maleta Foldable Black</t>
  </si>
  <si>
    <t>Maleta Foldable Mint</t>
  </si>
  <si>
    <t>Maleta Foldable Peach</t>
  </si>
  <si>
    <t>Maleta Foldable Pink</t>
  </si>
  <si>
    <t>Maleta Lightweight Camo Talla S</t>
  </si>
  <si>
    <t>Maleta Matte Blue Mint Small</t>
  </si>
  <si>
    <t>Maleta Matte Crystal Rose Small</t>
  </si>
  <si>
    <t>Maleta Matte Light Grey Large</t>
  </si>
  <si>
    <t>Maleta Matte Light Grey Medium</t>
  </si>
  <si>
    <t>Maleta Matte Light Grey Small</t>
  </si>
  <si>
    <t>Maleta Matte Onyx Black Small</t>
  </si>
  <si>
    <t>Maleta Matte Onyx Negro Talla L Blvck Bubba</t>
  </si>
  <si>
    <t>Maleta Matte Tentation Large</t>
  </si>
  <si>
    <t>Maleta Matte Tentation Medium</t>
  </si>
  <si>
    <t>Maleta Storm Bags</t>
  </si>
  <si>
    <t>Maleta Storm Black (L)</t>
  </si>
  <si>
    <t>Maleta Storm Black Large</t>
  </si>
  <si>
    <t>Maleta Storm Black Medium</t>
  </si>
  <si>
    <t>Maleta Storm Lilac Medium</t>
  </si>
  <si>
    <t>Maleta Storm Lilac Small</t>
  </si>
  <si>
    <t>Maleta Storm Mint Medium</t>
  </si>
  <si>
    <t>Maleta Storm Mint Small</t>
  </si>
  <si>
    <t>Maleta Storm Minty Medium</t>
  </si>
  <si>
    <t>Maleta Storm Raspberry Pink Large</t>
  </si>
  <si>
    <t>Maleta Storm Raspberry Pink Medium</t>
  </si>
  <si>
    <t>Maleta Storm Raspberry Pink Small</t>
  </si>
  <si>
    <t>Maleta Toronto Black Velvet Large</t>
  </si>
  <si>
    <t>Maleta Toronto Black Velvet Small</t>
  </si>
  <si>
    <t>Maleta Toronto Lava Red Large</t>
  </si>
  <si>
    <t>Maleta Toronto Lava Red Small</t>
  </si>
  <si>
    <t>Maleta Toronto Lava Red Talla M</t>
  </si>
  <si>
    <t>Maleta Travel Black (S)</t>
  </si>
  <si>
    <t>Maleta Travel Lila (S)</t>
  </si>
  <si>
    <t>Maleta Travel Nude (S)</t>
  </si>
  <si>
    <t>Bubba Crossbag Clásica Onyx Rpet</t>
  </si>
  <si>
    <t>Bubba Mochila Clásica Celeste Mini Rpet</t>
  </si>
  <si>
    <t>Bubba Mochila Clásica Mirabella Mini Rpet</t>
  </si>
  <si>
    <t>Bubba Mochila Clásica Mirabella Regular Rpet</t>
  </si>
  <si>
    <t>Bubba Mochila Matte Negro Velvet Regular Rpet</t>
  </si>
  <si>
    <t>Bubba Mochila Matte Rosado Crystal Mini Rpet</t>
  </si>
  <si>
    <t>Bubba Mochila Matte Rosado Crystal Regular Rpet</t>
  </si>
  <si>
    <t>Bubba Mochila Matte Verde Claro Mini Rpet</t>
  </si>
  <si>
    <t>Bubba Mochila Matte Verde Claro Regular Rpet</t>
  </si>
  <si>
    <t>Cartera Charlotte Moss Verde</t>
  </si>
  <si>
    <t>Mochila Alazan Velvet Blvck Bubba</t>
  </si>
  <si>
    <t>Mochila Boss Azul Blvck Bubba</t>
  </si>
  <si>
    <t>Mochila Boss Negro Blvck Bubba</t>
  </si>
  <si>
    <t>Mochila Bubbita Darky</t>
  </si>
  <si>
    <t>Mochila Bubbita Forever Summer</t>
  </si>
  <si>
    <t>Mochila Bubbita Lovely</t>
  </si>
  <si>
    <t>Mochila Bubbita Moranga</t>
  </si>
  <si>
    <t>Mochila Bubbita Paradisus</t>
  </si>
  <si>
    <t>Mochila Bubbita Sharky</t>
  </si>
  <si>
    <t>Mochila Calgary Moss Negro</t>
  </si>
  <si>
    <t>Mochila Cartera Sophie Bags</t>
  </si>
  <si>
    <t>Mochila Cartera Sophie Black Mini</t>
  </si>
  <si>
    <t>Mochila Cartera Sophie Camel</t>
  </si>
  <si>
    <t>Mochila Cartera Sophie Camel Mini</t>
  </si>
  <si>
    <t>Mochila Charlotte Chili</t>
  </si>
  <si>
    <t>Mochila Charlotte Daily Negro</t>
  </si>
  <si>
    <t>Mochila Charlotte Daily Verde</t>
  </si>
  <si>
    <t>Mochila Charlotte Dark Animal Negro</t>
  </si>
  <si>
    <t>Mochila Charlotte Doble Check Black</t>
  </si>
  <si>
    <t>Mochila Charlotte Doble Check Green</t>
  </si>
  <si>
    <t>Mochila Charlotte Doble Check Lilac</t>
  </si>
  <si>
    <t>Mochila Charlotte Green Pepper</t>
  </si>
  <si>
    <t>Mochila Charlotte Panther</t>
  </si>
  <si>
    <t>Mochila Charlotte Rock Negro Regular</t>
  </si>
  <si>
    <t>Mochila Clásica Miel Mini Rpet</t>
  </si>
  <si>
    <t>Mochila Clásica Onix Regular Rpet</t>
  </si>
  <si>
    <t>Mochila Clásica Peyton Mint</t>
  </si>
  <si>
    <t>Mochila Clásica Peyton Mirabella</t>
  </si>
  <si>
    <t>Mochila Clásica Peyton Negro</t>
  </si>
  <si>
    <t>Mochila Classic Azure Regular</t>
  </si>
  <si>
    <t>Mochila Classic Blush Mini</t>
  </si>
  <si>
    <t>Mochila Classic Blush Regular</t>
  </si>
  <si>
    <t>Mochila Classic Malice Regular</t>
  </si>
  <si>
    <t>Mochila Classic Mint Mini</t>
  </si>
  <si>
    <t>Mochila Classic Mint Mini '21</t>
  </si>
  <si>
    <t>Mochila Classic Mint Regular</t>
  </si>
  <si>
    <t>Mochila Classic Mint Regular '21</t>
  </si>
  <si>
    <t>Mochila Classic Mint Regular Rpet</t>
  </si>
  <si>
    <t>Mochila Classic Mirabella Mini</t>
  </si>
  <si>
    <t>Mochila Classic Mirabella Mini '21</t>
  </si>
  <si>
    <t>Mochila Classic Mirabella Regular</t>
  </si>
  <si>
    <t>Mochila Classic Mirabella Regular '21</t>
  </si>
  <si>
    <t>Mochila Classic Onyx Black Mini</t>
  </si>
  <si>
    <t>Mochila Classic Onyx Black Regular</t>
  </si>
  <si>
    <t>Mochila Classic Onyx Mini Rpet</t>
  </si>
  <si>
    <t>Mochila Classic Onyx Negro Mini '21</t>
  </si>
  <si>
    <t>Mochila Classic Onyx Negro Regular '21</t>
  </si>
  <si>
    <t>Mochila Classic Pink Power Regular</t>
  </si>
  <si>
    <t>Mochila Classic Pistachio Regular</t>
  </si>
  <si>
    <t>Mochila Classic Rasberry Pink Mini</t>
  </si>
  <si>
    <t>Mochila Classic Raspberry Pink</t>
  </si>
  <si>
    <t>Mochila Columbia Bags</t>
  </si>
  <si>
    <t>Mochila Columbia Black Velvet</t>
  </si>
  <si>
    <t>Mochila Columbia Clay</t>
  </si>
  <si>
    <t>Mochila Columbia Mint Mini</t>
  </si>
  <si>
    <t>Mochila Columbia Mirabella Mini</t>
  </si>
  <si>
    <t>Mochila Columbia Olive</t>
  </si>
  <si>
    <t>Mochila Columbia Pink</t>
  </si>
  <si>
    <t>Mochila Columbia Shine Mini</t>
  </si>
  <si>
    <t>Mochila Columbia Tasty Black Mini</t>
  </si>
  <si>
    <t>Mochila Escolar Con Rueditas Ottawa Clay</t>
  </si>
  <si>
    <t>Mochila Escolar Con Rueditas Ottawa Mint</t>
  </si>
  <si>
    <t>Mochila Escolar Con Rueditas Ottawa Negro</t>
  </si>
  <si>
    <t>Mochila Fancy Bag Alazan Blond</t>
  </si>
  <si>
    <t>Mochila Fancy Bag Alazan Negro</t>
  </si>
  <si>
    <t>Mochila Fancy Bag Alazan Pesto</t>
  </si>
  <si>
    <t>Mochila Fancy Bag Alazan Pesto Regular</t>
  </si>
  <si>
    <t>Mochila Glam Fancy Bags</t>
  </si>
  <si>
    <t>Mochila Glam Fancy Moka</t>
  </si>
  <si>
    <t>Mochila Glam Ink Regular</t>
  </si>
  <si>
    <t>Mochila Glam Merlot Regular</t>
  </si>
  <si>
    <t>Mochila Laptop Alazan Pesto</t>
  </si>
  <si>
    <t>Mochila Laptop Mini Alazan Negro</t>
  </si>
  <si>
    <t>Mochila Le Apache Mini</t>
  </si>
  <si>
    <t>Mochila Matte Cool Gray</t>
  </si>
  <si>
    <t>Mochila Matte Coral</t>
  </si>
  <si>
    <t>Mochila Matte Crystal Rose</t>
  </si>
  <si>
    <t>Mochila Matte Crystal Rose Mini '21</t>
  </si>
  <si>
    <t>Mochila Matte Crystal Rose Regular '21</t>
  </si>
  <si>
    <t>Mochila Matte Neo Mint</t>
  </si>
  <si>
    <t>Mochila Matte Shine</t>
  </si>
  <si>
    <t>Mochila Matte Unique Black Velvet</t>
  </si>
  <si>
    <t>Mochila Matte Unique Black Velvet Mini Rpet</t>
  </si>
  <si>
    <t>Mochila Matte Unique Negro Velvet Mini '21</t>
  </si>
  <si>
    <t>Mochila Matte Unique Negro Velvet Regular '21</t>
  </si>
  <si>
    <t>Mochila Matte Water Mint</t>
  </si>
  <si>
    <t>Mochila Matte Water Mint Mini '21</t>
  </si>
  <si>
    <t>Mochila Matte Water Mint Regular '21</t>
  </si>
  <si>
    <t>Mochila Mila Regular Nude</t>
  </si>
  <si>
    <t>Mochila Mila Regular Smokey</t>
  </si>
  <si>
    <t>Mochila Mom Classic Onyx</t>
  </si>
  <si>
    <t>Mochila Mom Crystal Rose Regular Rpet</t>
  </si>
  <si>
    <t>Mochila Montreal Azabache Mini</t>
  </si>
  <si>
    <t>Mochila Montreal Blackhood Regular</t>
  </si>
  <si>
    <t>Mochila Montreal Charcoal Regular</t>
  </si>
  <si>
    <t>Mochila Montreal Crismon Regular</t>
  </si>
  <si>
    <t>Mochila Montreal Fancy Black Mini</t>
  </si>
  <si>
    <t>Mochila Montreal Fancy Black Regular</t>
  </si>
  <si>
    <t>Mochila Montreal Gardenia Mini</t>
  </si>
  <si>
    <t>Mochila Montreal Grease Black Mini</t>
  </si>
  <si>
    <t>Mochila Montreal Kalamata Mini</t>
  </si>
  <si>
    <t>Mochila Montreal Mary Rose Mini</t>
  </si>
  <si>
    <t>Mochila Montreal Mary Rose Regular</t>
  </si>
  <si>
    <t>Mochila Montreal Volcanic Mini</t>
  </si>
  <si>
    <t>Mochila Originals Classic Onyx Mini</t>
  </si>
  <si>
    <t>Mochila Originals Classic Onyx Regular</t>
  </si>
  <si>
    <t>Mochila Originals Matte Aqua Mini</t>
  </si>
  <si>
    <t>Mochila Originals Matte Aqua Regular</t>
  </si>
  <si>
    <t>Mochila Originals Matte Azure Mini</t>
  </si>
  <si>
    <t>Mochila Originals Matte Azure Regular</t>
  </si>
  <si>
    <t>Mochila Originals Matte Black Velvet Mini</t>
  </si>
  <si>
    <t>Mochila Originals Matte Blossom Regular</t>
  </si>
  <si>
    <t>Mochila Originals Matte Ruby Red Mini</t>
  </si>
  <si>
    <t>Mochila Originals Matte Sunrise Mini</t>
  </si>
  <si>
    <t>Mochila Originals Matte Sunrise Regular</t>
  </si>
  <si>
    <t>Mochila Ottawa Blue Joy</t>
  </si>
  <si>
    <t>Mochila Ottawa Mint</t>
  </si>
  <si>
    <t>Mochila Ottawa Mirabella</t>
  </si>
  <si>
    <t>Mochila Ottawa Negra</t>
  </si>
  <si>
    <t>Mochila Pañalera Mamá Negro</t>
  </si>
  <si>
    <t>Mochila Peyton Azul Mate</t>
  </si>
  <si>
    <t>Mochila Peyton Black Velvet</t>
  </si>
  <si>
    <t>Mochila Peyton Crystal Rose</t>
  </si>
  <si>
    <t>Mochila Peyton Negro Mate</t>
  </si>
  <si>
    <t>Mochila Peyton Rosa Mate</t>
  </si>
  <si>
    <t>Mochila Quebec Azul Regular</t>
  </si>
  <si>
    <t>Mochila Quebec Caramel Regular</t>
  </si>
  <si>
    <t>Mochila Quebec Gris Regular</t>
  </si>
  <si>
    <t>Mochila Quebec Rojo Regular</t>
  </si>
  <si>
    <t>Mochila Soho Azul Blvck Bubba</t>
  </si>
  <si>
    <t>Mochila Soho Negro Blvck Bubba</t>
  </si>
  <si>
    <t>Mochila Storm Lotus Regular</t>
  </si>
  <si>
    <t>Mochila Suede Glam Black</t>
  </si>
  <si>
    <t>Mochila Suede Glam Pesto</t>
  </si>
  <si>
    <t>Mochila Summer Fancy Lime</t>
  </si>
  <si>
    <t>Mochila Summer Fancy Mint</t>
  </si>
  <si>
    <t>Mochila Summer Fancy Pink</t>
  </si>
  <si>
    <t>Mochila Toronto Military Blvck Bubba</t>
  </si>
  <si>
    <t>Mochila Toronto Negro Blvck Bubba</t>
  </si>
  <si>
    <t>Mochila Urban Admiral Blvck Bubba</t>
  </si>
  <si>
    <t>Mochila Urban Camo Blvck Bubba</t>
  </si>
  <si>
    <t>Mochila Urban Charlotte Moss Verde</t>
  </si>
  <si>
    <t>Mochila Urban Charlotte Negro</t>
  </si>
  <si>
    <t>Mochila Urban Lava Red Blvck Bubba</t>
  </si>
  <si>
    <t>Mochila Urban Olive Blvck Bubba</t>
  </si>
  <si>
    <t>Mochila Vagabundo Blvck Bubba</t>
  </si>
  <si>
    <t>Mochila Velvet Shadow Blvck Bubba</t>
  </si>
  <si>
    <t>Mochila Victoria Black</t>
  </si>
  <si>
    <t>Mochila Victoria Frank</t>
  </si>
  <si>
    <t>Mochila Victoria Gris</t>
  </si>
  <si>
    <t>Mochila Victoria Jade</t>
  </si>
  <si>
    <t>Mochila Victoria Lotus</t>
  </si>
  <si>
    <t>Mochila Victoria Moss</t>
  </si>
  <si>
    <t>Mochila Victoria Negro</t>
  </si>
  <si>
    <t>Mochila Victoria Negro Regular</t>
  </si>
  <si>
    <t>Mochila Victoria Nice Stone</t>
  </si>
  <si>
    <t>Mochila Victoria Tangerine Regular</t>
  </si>
  <si>
    <t>Mochila Victoria Tasty Negro</t>
  </si>
  <si>
    <t>Mochila Winnipeg Mint</t>
  </si>
  <si>
    <t>Mochila Winnipeg Mirabella</t>
  </si>
  <si>
    <t>Mochila Winnipeg Negro</t>
  </si>
  <si>
    <t>Mochila Winnipeg Raspberry</t>
  </si>
  <si>
    <t>Mochila Travel Lilac</t>
  </si>
  <si>
    <t>Mochilas viaje</t>
  </si>
  <si>
    <t>Mochila Travel Mint</t>
  </si>
  <si>
    <t>Mochila Travel Rose</t>
  </si>
  <si>
    <t>Travel Backpack Cabin Black</t>
  </si>
  <si>
    <t>Travel Backpack Cabin Lilac</t>
  </si>
  <si>
    <t>Travel Backpack Cabin Sky</t>
  </si>
  <si>
    <t>Cosmetiquero Classic Onyx Bags</t>
  </si>
  <si>
    <t>Cosmetiquero Classic Raspberry Pink</t>
  </si>
  <si>
    <t>Cosmetiquero Matte Black Velvet (L)</t>
  </si>
  <si>
    <t>Cosmetiquero Matte Black Velvet (M)</t>
  </si>
  <si>
    <t>Cosmetiquero Matte Black Velvet Rpet</t>
  </si>
  <si>
    <t>Cosmetiquero Matte Crystal Rose Rpet</t>
  </si>
  <si>
    <t>Cosmetiquero Neceser Charol Mint</t>
  </si>
  <si>
    <t>Cosmetiquero Neceser Charol Pixie Orange</t>
  </si>
  <si>
    <t>Cosmetiquero Neceser Charol Shine</t>
  </si>
  <si>
    <t>Cosmetiquero Neceser Classic Blush</t>
  </si>
  <si>
    <t>Cosmetiquero Neceser Classic Mint</t>
  </si>
  <si>
    <t>Cosmetiquero Neceser Classic Mirabella</t>
  </si>
  <si>
    <t>Cosmetiquero Neceser Duo Azul</t>
  </si>
  <si>
    <t>Cosmetiquero Neceser Duo Lila</t>
  </si>
  <si>
    <t>Cosmetiquero Neceser Duo Naranja</t>
  </si>
  <si>
    <t>Cosmetiquero Neceser Duo Rosado</t>
  </si>
  <si>
    <t>Cosmetiquero Neceser Holly Jolly</t>
  </si>
  <si>
    <t>Cosmetiquero Neceser Matte Black Velvet</t>
  </si>
  <si>
    <t>Cosmetiquero Neceser Matte Chili Pepper</t>
  </si>
  <si>
    <t>Cosmetiquero Neceser Matte Crystal Rose</t>
  </si>
  <si>
    <t>Cosmetiquero Neceser Matte Water Mint</t>
  </si>
  <si>
    <t>Cosmetiquero Neceser Neon Rosa</t>
  </si>
  <si>
    <t>Cosmetiquero Neceser Victoria Dream Violet</t>
  </si>
  <si>
    <t>Cosmetiquero Neceser Victoria Ink</t>
  </si>
  <si>
    <t>Cosmetiquero Neceser Victoria Ink XL</t>
  </si>
  <si>
    <t>Cosmetiquero Neceser Victoria Pesto</t>
  </si>
  <si>
    <t>Cosmetiquero Neceser Victoria Pesto XL</t>
  </si>
  <si>
    <t>Cosmetiquero Neceser Victoria Violeta XL</t>
  </si>
  <si>
    <t>Cosmetiquero Neceser Victoria Watermelon</t>
  </si>
  <si>
    <t>Cosmetiquero Neceser Victoria Watermelon XL</t>
  </si>
  <si>
    <t>Cosmetiquero Originals Matte Blossom (L)</t>
  </si>
  <si>
    <t>Cosmetiquero Originals Matte Blossom (M)</t>
  </si>
  <si>
    <t>Cosmetiquero Originals Matte Lima (M)</t>
  </si>
  <si>
    <t>Cosmetiquero Originals Matte Sunrise (L)</t>
  </si>
  <si>
    <t>Cosmetiquero Originals Matte Sunrise (M)</t>
  </si>
  <si>
    <t>Estuche Cosmetiquero Crystal Rose</t>
  </si>
  <si>
    <t>Estuche Cosmetiquero Light Mint</t>
  </si>
  <si>
    <t>Estuche Cosmetiquero Onyx</t>
  </si>
  <si>
    <t>Estuche Cosmetiquero To Go Onyx</t>
  </si>
  <si>
    <t>Estuche Originals Matte Aqua</t>
  </si>
  <si>
    <t>Estuche Originals Matte Azure</t>
  </si>
  <si>
    <t>Estuche Originals Matte Black Velvet</t>
  </si>
  <si>
    <t>Estuche Originals Matte Blossom</t>
  </si>
  <si>
    <t>Estuche Originals Matte Ruby Red</t>
  </si>
  <si>
    <t>Estuche Originals Matte Sunrise</t>
  </si>
  <si>
    <t>Neceser Beauty Lila</t>
  </si>
  <si>
    <t>Neceser Beauty Mint</t>
  </si>
  <si>
    <t>Neceser Beauty Pink</t>
  </si>
  <si>
    <t>Neceser Black Velvet Blvck Bubba</t>
  </si>
  <si>
    <t>Neceser Camel Blvck Bubba</t>
  </si>
  <si>
    <t>Neceser Cosmetiquero Large Neon Onyx</t>
  </si>
  <si>
    <t>Neceser Cosmetiquero Large Neon Pinky</t>
  </si>
  <si>
    <t>Neceser Cosmetiquero Small Neon Onyx</t>
  </si>
  <si>
    <t>Neceser Matte Black Velvet Rpet</t>
  </si>
  <si>
    <t>Neceser Matte Crystal Rose Rpet</t>
  </si>
  <si>
    <t>Neceser Matte Ligth Mint Rpet</t>
  </si>
  <si>
    <t>Neceser Originals Classic Onyx (L)</t>
  </si>
  <si>
    <t>Neceser Originals Classic Onyx (M)</t>
  </si>
  <si>
    <t>Neceser Originals Matte Aqua (L)</t>
  </si>
  <si>
    <t>Neceser Originals Matte Aqua (M)</t>
  </si>
  <si>
    <t>Neceser Originals Matte Azure (L)</t>
  </si>
  <si>
    <t>Neceser Originals Matte Azure (M)</t>
  </si>
  <si>
    <t>Neceser Originals Matte Black Velvet (L)</t>
  </si>
  <si>
    <t>Neceser Originals Matte Black Velvet (M)</t>
  </si>
  <si>
    <t>Neceser Originals Matte Blossom (L)</t>
  </si>
  <si>
    <t>Neceser Originals Matte Blossom (M)</t>
  </si>
  <si>
    <t>Neceser Originals Matte Lima (L)</t>
  </si>
  <si>
    <t>Neceser Originals Matte Lima (M)</t>
  </si>
  <si>
    <t>Neceser Originals Matte Ruby Red (L)</t>
  </si>
  <si>
    <t>Neceser Originals Matte Ruby Red (M)</t>
  </si>
  <si>
    <t>Neceser Originals Matte Sunrise (L)</t>
  </si>
  <si>
    <t>Neceser Originals Matte Sunrise (M)</t>
  </si>
  <si>
    <t>Botella Insulada Arctic 20 Oz</t>
  </si>
  <si>
    <t>Botella Insulada Arctic 26 Oz</t>
  </si>
  <si>
    <t>Botella Insulada Bubbita Grape</t>
  </si>
  <si>
    <t>Botella Insulada Bubbita Kiwi</t>
  </si>
  <si>
    <t>Botella Insulada Bubbita Moon</t>
  </si>
  <si>
    <t>Botella Insulada Bubbita Moon.</t>
  </si>
  <si>
    <t>Botella Insulada Bubbita Rosso</t>
  </si>
  <si>
    <t>Botella Insulada Emerald 20 Oz</t>
  </si>
  <si>
    <t>Botella Insulada Emerald 26 Oz</t>
  </si>
  <si>
    <t>Botella Insulada Flamingo 20 Oz</t>
  </si>
  <si>
    <t>Botella Insulada Flamingo 26 Oz</t>
  </si>
  <si>
    <t>Botella Insulada Mango 20 Oz</t>
  </si>
  <si>
    <t>Botella Insulada Mango 26 Oz</t>
  </si>
  <si>
    <t>Botella Insulada Negra 960 ml Blvck Bubba</t>
  </si>
  <si>
    <t>Botella Insulada Onyx 20 Oz</t>
  </si>
  <si>
    <t>Botella Insulada Onyx 26 Oz</t>
  </si>
  <si>
    <t>Botella Insulada Strap Bone</t>
  </si>
  <si>
    <t>Botella Insulada Strap Lilac</t>
  </si>
  <si>
    <t>Botella Insulada Strap Mint</t>
  </si>
  <si>
    <t>Botella Metálica Insulada Mint 600 Ml</t>
  </si>
  <si>
    <t>Botella Metálica Insulada Mirabella 600 ml</t>
  </si>
  <si>
    <t>Botella Metálica Insulada Onyx 600 ml</t>
  </si>
  <si>
    <t>Botella Metálica Insulada Raspberry Pink 600 ml</t>
  </si>
  <si>
    <t>Botella Térmica Negra 1 Litro Blvck Bubba</t>
  </si>
  <si>
    <t>Termo Insulado Negro 500 ml Blvck Bubba</t>
  </si>
  <si>
    <t>Funda De Notebook 13" Classic Onyx Bags</t>
  </si>
  <si>
    <t>Funda Laptop Classic Onyx 13"</t>
  </si>
  <si>
    <t>Funda Laptop Classic Onyx 15"</t>
  </si>
  <si>
    <t>Funda Laptop Matte Black Velvet 13"</t>
  </si>
  <si>
    <t>Funda Laptop Matte Black Velvet 15"</t>
  </si>
  <si>
    <t>Funda Notebook Classic Mint Rpet</t>
  </si>
  <si>
    <t>Funda Notebook Classic Mirabella</t>
  </si>
  <si>
    <t>Funda Notebook Matte Black Velvet Rpet</t>
  </si>
  <si>
    <t>Termo Mug Insulado Negro 590 ml Blvck Bubba</t>
  </si>
  <si>
    <t>Termo Mug Insulado Negro 890 ml Blvck Bubba</t>
  </si>
  <si>
    <t>Termo Negro 1 Litro Blvck Bubba</t>
  </si>
  <si>
    <t>Perfume Boheme 33 By</t>
  </si>
  <si>
    <t>Perfumes</t>
  </si>
  <si>
    <t>Lentes Africa Leo Luz Azul</t>
  </si>
  <si>
    <t>Lentes Filtro Azul</t>
  </si>
  <si>
    <t>Lentes Africa Luz Azul</t>
  </si>
  <si>
    <t>Lentes Jumbo Luz Azul Leo</t>
  </si>
  <si>
    <t>Lentes Jumbo Luz Azul Rosado</t>
  </si>
  <si>
    <t>Lentes Luz Azul Marina</t>
  </si>
  <si>
    <t>Lentes Luz Azul Negro Velvet</t>
  </si>
  <si>
    <t>Lentes Luz Azul Smoke</t>
  </si>
  <si>
    <t>Lentes Niño Bubbita Luz Azul Leo</t>
  </si>
  <si>
    <t>Lentes Niño Luz Azul Azul</t>
  </si>
  <si>
    <t>Lentes Niño Luz Azul Mint</t>
  </si>
  <si>
    <t>Lentes Niño Luz Azul Mirabella</t>
  </si>
  <si>
    <t>Lentes Niño Luz Azul Onyx</t>
  </si>
  <si>
    <t>Lentes Niño Luz Azul Shine</t>
  </si>
  <si>
    <t>Lentes Urbano Cherry Luz Azul</t>
  </si>
  <si>
    <t>Lentes Urbano Luz Azul Animal</t>
  </si>
  <si>
    <t>Lentes Urbano Luz Azul Negro</t>
  </si>
  <si>
    <t>Bubba Kids Kn95 Animal</t>
  </si>
  <si>
    <t>Bubba Kids Kn95 Camo</t>
  </si>
  <si>
    <t>Bubba Kids Kn95 Colors</t>
  </si>
  <si>
    <t>Bubba Kids Kn95 Solid</t>
  </si>
  <si>
    <t>Bubba Pack Mask Ultralight Sunny</t>
  </si>
  <si>
    <t>Bubba Pack Mask Ultralight Sunny Small</t>
  </si>
  <si>
    <t>Bubba Pack Mask Ultralight Wave Small</t>
  </si>
  <si>
    <t>Bubba Set 4 Pcs Kn95 Blust</t>
  </si>
  <si>
    <t>Bubba Set 4 Pcs Kn95 Dejay</t>
  </si>
  <si>
    <t>BUBBA SUMMER MASK FESTIVAL</t>
  </si>
  <si>
    <t>Mascarilla BLVCK Summer Mask Camo Talla S/M</t>
  </si>
  <si>
    <t>Mascarilla BLVCK Summer Mask Índigo Talla S/M</t>
  </si>
  <si>
    <t>Mascarilla BLVCK Summer Mask Light Camo Talla S/M</t>
  </si>
  <si>
    <t>Mascarilla Bubba Camo Mask (Kids)</t>
  </si>
  <si>
    <t>Mascarilla Bubba Mask Apache</t>
  </si>
  <si>
    <t>Mascarilla Bubba Mask Apache S/M</t>
  </si>
  <si>
    <t>Mascarilla Bubba Mask Chita</t>
  </si>
  <si>
    <t>Mascarilla Bubba Mask Chita S/M</t>
  </si>
  <si>
    <t>Mascarilla Bubba Mask Onyx S/M</t>
  </si>
  <si>
    <t>Mascarilla Bubba Mask Piton</t>
  </si>
  <si>
    <t>Mascarilla Bubba Mask Piton S/M</t>
  </si>
  <si>
    <t>Mascarilla Bubba Mask Ultra Light Azulino Talla S</t>
  </si>
  <si>
    <t>Mascarilla Bubba Mask Ultra Light Berry Regular</t>
  </si>
  <si>
    <t>Mascarilla Bubba Mask Ultra Light Cherry Regular</t>
  </si>
  <si>
    <t>Mascarilla Bubba Mask Ultra Light Clay Talla S</t>
  </si>
  <si>
    <t>Mascarilla Bubba Mask Ultra Light Coral</t>
  </si>
  <si>
    <t>Mascarilla Bubba Mask Ultra Light Dots Talla S</t>
  </si>
  <si>
    <t>Mascarilla Bubba Mask Ultra Light Mimosa Talla S</t>
  </si>
  <si>
    <t>Mascarilla Bubba Mask Ultra Light Mint Talla S</t>
  </si>
  <si>
    <t>Mascarilla Bubba Mask Ultra Light Minty Regular</t>
  </si>
  <si>
    <t>Mascarilla Bubba Mask Ultra Light Moss</t>
  </si>
  <si>
    <t>Mascarilla Bubba Mask Ultra Light Moss Talla S</t>
  </si>
  <si>
    <t>Mascarilla Bubba Mask Ultra Light Navy</t>
  </si>
  <si>
    <t>Mascarilla Bubba Mask Ultra Light Navy Talla S</t>
  </si>
  <si>
    <t>Mascarilla Bubba Mask Ultra Light Negro Talla S</t>
  </si>
  <si>
    <t>Mascarilla Bubba Mask Ultra Light Neomint Regular</t>
  </si>
  <si>
    <t>Mascarilla Bubba Mask Ultra Light Ocean</t>
  </si>
  <si>
    <t>Mascarilla Bubba Mask Ultra Light Ocean Talla S</t>
  </si>
  <si>
    <t>Mascarilla Bubba Mask Ultra Light Sunset</t>
  </si>
  <si>
    <t>Mascarilla Bubba Mask Ultra Light Sunset Talla S</t>
  </si>
  <si>
    <t>Mascarilla Bubba Mask Ultra Light Sweet Cotton</t>
  </si>
  <si>
    <t>Mascarilla Bubba Mask Ultralight Lemonade Regular</t>
  </si>
  <si>
    <t>Mascarilla Bubba Mask Ultralight Talla S Lemonade Bags</t>
  </si>
  <si>
    <t>Mascarilla Bubba Mask Wild Chita S/M</t>
  </si>
  <si>
    <t>Mascarilla Bubba Onyx Mask (Kids)</t>
  </si>
  <si>
    <t>Mascarilla Bubba Set 4 Piezas KN95 Animals</t>
  </si>
  <si>
    <t>Mascarilla Bubba Summer Mask Bluecam Kids</t>
  </si>
  <si>
    <t>Mascarilla Bubba Summer Mask Camberry Kids</t>
  </si>
  <si>
    <t>Mascarilla Bubba Summer Mask Wild Yellow S/M</t>
  </si>
  <si>
    <t>Mascarilla De Verano Bluecam</t>
  </si>
  <si>
    <t>Mascarilla De Verano Wild Pink</t>
  </si>
  <si>
    <t>Mascarilla Summer Mask Bluecam Talla S</t>
  </si>
  <si>
    <t>Mascarilla Summer Mask Camberry Talla S</t>
  </si>
  <si>
    <t>Mascarilla Summer Mask Coral Kids</t>
  </si>
  <si>
    <t>Mascarilla Summer Mask Coral Talla S</t>
  </si>
  <si>
    <t>Mascarilla Summer Mask Neo Mint Kids</t>
  </si>
  <si>
    <t>Mascarilla Summer Mask Neo Mint Talla S</t>
  </si>
  <si>
    <t>Mascarilla Ultra Light Minty Animals Kids</t>
  </si>
  <si>
    <t>Mascarilla Ultra Light Pinky Animals Kids</t>
  </si>
  <si>
    <t>Mascarilla Ultra Light Strawberry Regular</t>
  </si>
  <si>
    <t>Mascarilla Ultra Light Strawberry Talla S</t>
  </si>
  <si>
    <t>Mascarilla Ultra Light Sweet Cotton Talla S</t>
  </si>
  <si>
    <t>Mochila Summer Fancy Ink Negro</t>
  </si>
  <si>
    <t>Pack 3 Mascarillas Ultra Light Honolulu Kids</t>
  </si>
  <si>
    <t>Pack 3 Mascarillas Ultra Light Kapalua Kids</t>
  </si>
  <si>
    <t>Pack 3 Mascarillas Ultralight Citric</t>
  </si>
  <si>
    <t>Pack 3 Mascarillas Ultralight Citric Kids</t>
  </si>
  <si>
    <t>Pack 3 Mascarillas Ultralight Citric Talla S</t>
  </si>
  <si>
    <t>Pack 3 Mascarillas Ultralight Marine Kids</t>
  </si>
  <si>
    <t>Pack 3 Mascarillas Ultralight Paradise</t>
  </si>
  <si>
    <t>Pack 3 Mascarillas Ultralight Paradise Talla S</t>
  </si>
  <si>
    <t>Pack 3 Mascarillas Ultralight Wave</t>
  </si>
  <si>
    <t>Buenavista</t>
  </si>
  <si>
    <t>Mochila Buenavista Big Roll Negra - Laptop Bag</t>
  </si>
  <si>
    <t>Mochila para Laptop Big Bike Buenavista</t>
  </si>
  <si>
    <t>Mochila para Laptop Bike Buenavista</t>
  </si>
  <si>
    <t>Mochila para Laptop Camp Buenavista</t>
  </si>
  <si>
    <t>Mochila para Laptop Roll Buenavista</t>
  </si>
  <si>
    <t>Mochila para Laptop Square Buenavista</t>
  </si>
  <si>
    <t>Caracol Natural</t>
  </si>
  <si>
    <t>Crema Contorno de Ojos 20 ml</t>
  </si>
  <si>
    <t>Cremas</t>
  </si>
  <si>
    <t>Crema Corporal Intensiva 250 ml Caracol Natural</t>
  </si>
  <si>
    <t>CNS1720</t>
  </si>
  <si>
    <t>Crema Gel 20 Ml Travel Size</t>
  </si>
  <si>
    <t>Crema Gel Anti Pigmento Antimanchas 50 ml</t>
  </si>
  <si>
    <t>Crema Gel de Regeneración Facial 50 ml</t>
  </si>
  <si>
    <t>Crema Hidratante Antiedad Antiarrugas 50 ml</t>
  </si>
  <si>
    <t>Crema Reafirmante Restauradora Facial 50 ml</t>
  </si>
  <si>
    <t>CNS975</t>
  </si>
  <si>
    <t>Crema Rehidratante de Manos 75 ml</t>
  </si>
  <si>
    <t>Crema Unificante 20 Ml Travel Size</t>
  </si>
  <si>
    <t>PACK16</t>
  </si>
  <si>
    <t>Kit Crema Antiedad 50 ml + Espuma Limpieza Facial Skincare</t>
  </si>
  <si>
    <t>PACK55</t>
  </si>
  <si>
    <t>Kit Crema Hidratante Antiedad + Crema de Manos Caracol</t>
  </si>
  <si>
    <t>Mega Regenerador Hidratación Profunda</t>
  </si>
  <si>
    <t>PACKCNS2</t>
  </si>
  <si>
    <t>Pack Anti Manchas</t>
  </si>
  <si>
    <t>Pack Antimanchas Hidratante</t>
  </si>
  <si>
    <t>Pack Fórmula Reafirmante Anti-Edad</t>
  </si>
  <si>
    <t>Pack Piel Sensible Juventud Infinita</t>
  </si>
  <si>
    <t>Pack Renovación Total Regenerador</t>
  </si>
  <si>
    <t>Gel Limpiador Desmaquillante Oleoso 100ml Caracol Natural</t>
  </si>
  <si>
    <t>Pack Control Total Del Ácne</t>
  </si>
  <si>
    <t>CNS28</t>
  </si>
  <si>
    <t>Pack Hombre - Age Reset</t>
  </si>
  <si>
    <t>CNS27</t>
  </si>
  <si>
    <t>Pack Hombre - Mega Pack 360</t>
  </si>
  <si>
    <t>CNS29</t>
  </si>
  <si>
    <t>Pack Hombre - Refresh Skin</t>
  </si>
  <si>
    <t>Tónico Hidratante Facial 200 ml</t>
  </si>
  <si>
    <t>Espuma Mousse de Limpieza Facial 150 ml</t>
  </si>
  <si>
    <t>Pack Power Duo Limpieza Profunda</t>
  </si>
  <si>
    <t>PACK54</t>
  </si>
  <si>
    <t>Kit Crema + Serum Rellenador + Tónico Facial+ Espuma Caracol</t>
  </si>
  <si>
    <t>Serums</t>
  </si>
  <si>
    <t>PACKCNS3</t>
  </si>
  <si>
    <t>Pack Humectante Anti Age</t>
  </si>
  <si>
    <t>PACKCNS1</t>
  </si>
  <si>
    <t>Pack Rejuvenecedor Humectante Intenso</t>
  </si>
  <si>
    <t>CNS630-FF</t>
  </si>
  <si>
    <t>Serum Rellenador Regenerador Facial 30 ml</t>
  </si>
  <si>
    <t>Casa Ideas</t>
  </si>
  <si>
    <t>CAJA COLACION DOS PISOS</t>
  </si>
  <si>
    <t>Otro proveedor</t>
  </si>
  <si>
    <t>S/2 CORT BARR VELO JACQUAR, BLANCO</t>
  </si>
  <si>
    <t>Cortinas</t>
  </si>
  <si>
    <t>Set Cubos de Hielo Reutilizable Frutas</t>
  </si>
  <si>
    <t>Set 4 mini letreros pizarra diseño</t>
  </si>
  <si>
    <t>Letreros</t>
  </si>
  <si>
    <t>Piedras decorativas 350g</t>
  </si>
  <si>
    <t>Piedras</t>
  </si>
  <si>
    <t>CINTA GIMNASIA</t>
  </si>
  <si>
    <t>luces decorativas acrilico</t>
  </si>
  <si>
    <t>set 12 unidades cortador de galletas</t>
  </si>
  <si>
    <t>Lentes de natación</t>
  </si>
  <si>
    <t>Natación</t>
  </si>
  <si>
    <t>Cortina para baño, gfrro blanco medio</t>
  </si>
  <si>
    <t>ESCOBILLA + BASE</t>
  </si>
  <si>
    <t>Vaso acrílico Gris</t>
  </si>
  <si>
    <t>Vaso para Baño Vintage</t>
  </si>
  <si>
    <t>set 6 individuales eva 0158</t>
  </si>
  <si>
    <t>set 6 individuales eva 0159</t>
  </si>
  <si>
    <t>set 6 individuales eva 0160</t>
  </si>
  <si>
    <t>Aceite vidrio tapa metal</t>
  </si>
  <si>
    <t>set 6 platos pan raya roja</t>
  </si>
  <si>
    <t>Cat</t>
  </si>
  <si>
    <t>Auto de Juguete Construccion Junior Crew CAT</t>
  </si>
  <si>
    <t>Juguetes autos</t>
  </si>
  <si>
    <t>PlayFun</t>
  </si>
  <si>
    <t>Excavadora Juguete Control Remoto Junior Crew CAT</t>
  </si>
  <si>
    <t>Juguete Camión Reparador Phillip CAT</t>
  </si>
  <si>
    <t>Pack 3 Autos Metálicos Construcción CAT</t>
  </si>
  <si>
    <t>Set 5 Autos Mini Machines Colección CAT</t>
  </si>
  <si>
    <t>Set Construcción Infantil Surtido CAT</t>
  </si>
  <si>
    <t>Set Creativo de Construcción con Múltiples Combinaciones CAT</t>
  </si>
  <si>
    <t>Set de Construcción Didáctico CAT</t>
  </si>
  <si>
    <t>Set Pista y Vehículos Interactivos Power Tracks CAT</t>
  </si>
  <si>
    <t>Vehículos de Construcción Junior CAT</t>
  </si>
  <si>
    <t>Vehículos Todoterreno 15" Surtidos CAT</t>
  </si>
  <si>
    <t>Character</t>
  </si>
  <si>
    <t>Vaso Para Hacer Granizados Chillfactor Disney</t>
  </si>
  <si>
    <t>Chillafish</t>
  </si>
  <si>
    <t>CPSC01BLU</t>
  </si>
  <si>
    <t>Scooter Monopatin Niños Scotti</t>
  </si>
  <si>
    <t>Scooters</t>
  </si>
  <si>
    <t>Trade29</t>
  </si>
  <si>
    <t>CPSC01PIN</t>
  </si>
  <si>
    <t>CPSC01RED</t>
  </si>
  <si>
    <t>CPSC02BLU</t>
  </si>
  <si>
    <t>Scooter Monopatin Niños Scotti Glow Ruedas Led</t>
  </si>
  <si>
    <t>CPSC02RED</t>
  </si>
  <si>
    <t>CPSC02PIN</t>
  </si>
  <si>
    <t>CPIB01BLU</t>
  </si>
  <si>
    <t>Correpasillo Itsibitsi Azul</t>
  </si>
  <si>
    <t>CPIB02YLB</t>
  </si>
  <si>
    <t>Correpasillo Itsibitsi Blocks Amarillo Celeste</t>
  </si>
  <si>
    <t>CPIB02BLU</t>
  </si>
  <si>
    <t>Correpasillo Itsibitsi Blocks Azul</t>
  </si>
  <si>
    <t>CPIB02LBO</t>
  </si>
  <si>
    <t>Correpasillo Itsibitsi Blocks Celeste Naranjo</t>
  </si>
  <si>
    <t>CPIB01PIN</t>
  </si>
  <si>
    <t>Correpasillo Itsibitsi Rosado</t>
  </si>
  <si>
    <t>CPQD01GRE</t>
  </si>
  <si>
    <t>Correpasillo Quadie Gris</t>
  </si>
  <si>
    <t>CPQD01PEA</t>
  </si>
  <si>
    <t>Correpasillo Quadie Naranja</t>
  </si>
  <si>
    <t>CPMX02LIM</t>
  </si>
  <si>
    <t>Bicicleta Aprendizaje Bmxie 02 Lima</t>
  </si>
  <si>
    <t>Bicicletas Aprendizaje</t>
  </si>
  <si>
    <t>CPQD01PIN</t>
  </si>
  <si>
    <t>Bicicleta Aprendizaje Bmxie QUADIE Rosado</t>
  </si>
  <si>
    <t>CPCH01BLA</t>
  </si>
  <si>
    <t>Bicicleta Aprendizaje Niño Charlie Negro</t>
  </si>
  <si>
    <t>CPCH01SIL</t>
  </si>
  <si>
    <t>Bicicleta Aprendizaje Niño Charlie Plateado</t>
  </si>
  <si>
    <t>CPCH01PIN</t>
  </si>
  <si>
    <t>Bicicleta Aprendizaje Niño Charlie Rosa Amarillo</t>
  </si>
  <si>
    <t>CPCH01PIB</t>
  </si>
  <si>
    <t>Bicicleta Aprendizaje Niño Charlie Rosa Negro</t>
  </si>
  <si>
    <t>CPQT01BLU</t>
  </si>
  <si>
    <t>Bicicleta Aprendizaje QUADIE + TRAILIE Azul</t>
  </si>
  <si>
    <t>CPCH01BLU</t>
  </si>
  <si>
    <t>Bicicleta De Aprendizaje Charlie Azul</t>
  </si>
  <si>
    <t>CPQT01PIN</t>
  </si>
  <si>
    <t>Bicicleta De Aprendizaje Con Carro Rosado</t>
  </si>
  <si>
    <t>CPCH01RED</t>
  </si>
  <si>
    <t>Bicicleta De Aprendizaje Niño Charlie Red</t>
  </si>
  <si>
    <t>CPMX03PIN</t>
  </si>
  <si>
    <t>Bicicleta De Aprendizaje Niños Bmxie Moto</t>
  </si>
  <si>
    <t>CPMX03BLU</t>
  </si>
  <si>
    <t>CPMX03RED</t>
  </si>
  <si>
    <t>CPQD01BLU</t>
  </si>
  <si>
    <t>Bicicleta De Equilibrio Niños Cuatriciclo Azul</t>
  </si>
  <si>
    <t>CPQD01LIM</t>
  </si>
  <si>
    <t>Bicicleta De Equilibrio Niños Cuatriciclo Verde</t>
  </si>
  <si>
    <t>CPMX02BLU</t>
  </si>
  <si>
    <t>Bicicleta De Equilibro Bmxie 02 Blue</t>
  </si>
  <si>
    <t>CPMX02PIN</t>
  </si>
  <si>
    <t>Bicicleta De Equilibro Bmxie 02 Pink</t>
  </si>
  <si>
    <t>Clak</t>
  </si>
  <si>
    <t>Silla de Comer Plegable Niño Azul</t>
  </si>
  <si>
    <t>Sillas de comer</t>
  </si>
  <si>
    <t>Silla de Comer Plegable Niño Roja</t>
  </si>
  <si>
    <t>Silla de Comer Plegable Niño Salvia</t>
  </si>
  <si>
    <t>Silla de Comer Plegable Niño Turquesa</t>
  </si>
  <si>
    <t>Creatto</t>
  </si>
  <si>
    <t>Rompecabezas Con Iluminacion 3D Grande Tiburon Creatto</t>
  </si>
  <si>
    <t>Rompecabezas Con Iluminacion 3D Grande Unicornio Creatto</t>
  </si>
  <si>
    <t>Rompecabezas Con Iluminacion 3D Mediano Gato Creatto</t>
  </si>
  <si>
    <t>Rompecabezas Con Iluminacion 3D Pequeño Alce Creatto</t>
  </si>
  <si>
    <t>Rompecabezas Con Iluminacion 3D Pequeño Elefante Creatto</t>
  </si>
  <si>
    <t>Cruz</t>
  </si>
  <si>
    <t>Portabicicletas Pivot Cruz</t>
  </si>
  <si>
    <t>Automotive</t>
  </si>
  <si>
    <t>Portabicicletas</t>
  </si>
  <si>
    <t>Portabicicletas Pivot eBike Cruz</t>
  </si>
  <si>
    <t>Cushcore</t>
  </si>
  <si>
    <t>P2198</t>
  </si>
  <si>
    <t>Proteccion Neumatico Tubular Cushcore 29</t>
  </si>
  <si>
    <t>MKR</t>
  </si>
  <si>
    <t>Dangrill</t>
  </si>
  <si>
    <t>Bandeja De Aluminio 50x27x3 Cm Negra Dangrill</t>
  </si>
  <si>
    <t>Bandeja Para Asar 33x18Cm Dangrill</t>
  </si>
  <si>
    <t>Bandeja Para Asar 34 X 17 Cm</t>
  </si>
  <si>
    <t>Bandeja Para Parrilla 30 cm Mango Desmontable Dangrill</t>
  </si>
  <si>
    <t>Cepillo Hilos De Cobre Para Parrilla Bambu 30 Cm</t>
  </si>
  <si>
    <t>Cepillo para Limpieza de Parrilla 3 en 1 Dangrill</t>
  </si>
  <si>
    <t>Cepillo Parrilla 20 cm DANGRILL</t>
  </si>
  <si>
    <t>Espatula Para Parrilla De Bambu 41Cm</t>
  </si>
  <si>
    <t>Fuente Hierro Fundido Con Bandeja Bambú 20x30 Cm Dangrill</t>
  </si>
  <si>
    <t>Fuente Hierro Fundido Con Bandeja Bambú 28x16 Cm Dangrill</t>
  </si>
  <si>
    <t>Guante Cuero De Ante Para Parrilla 33 Cm Hasta 250 Grados</t>
  </si>
  <si>
    <t>Guante Silicona Hasta 350 Grados</t>
  </si>
  <si>
    <t>Iniciador de Fuego Acero Inoxidable Dangrill</t>
  </si>
  <si>
    <t>Inyector Marinado Inoxidable Dangrill</t>
  </si>
  <si>
    <t>Jeringa Marinador Dangrill</t>
  </si>
  <si>
    <t>Malla Fibra De Vidrio Reutilizable Para Parrilla 41 Cm</t>
  </si>
  <si>
    <t>Malla Fibra Vidrio Reutilizable Para Parrilla 36 X 42 Cm</t>
  </si>
  <si>
    <t>Mini Parrilla a Carbon 37x40 cm negra Dangrill</t>
  </si>
  <si>
    <t>Pack Bandeja Para Asar Metal 24x20x4 y 34x18x2 cm Dangrill</t>
  </si>
  <si>
    <t>Pinza Para Salchichas De Bambu 28 Cm</t>
  </si>
  <si>
    <t>Pinza Parrilla 30 Cm Acero Inoxidable</t>
  </si>
  <si>
    <t>Prensa de Hamburguesa de plástico 11 cm Dangrill</t>
  </si>
  <si>
    <t>Rejilla Para Asar 25x24 Cm Acero inoxidable Dangrill</t>
  </si>
  <si>
    <t>Set de 2 Fuentes de Fierro Fundido + Tabla de Bambú Dangrill</t>
  </si>
  <si>
    <t>Set De Pinza Y Espatula Para Parrilla 2 Piezas</t>
  </si>
  <si>
    <t>Soporte Plegable Para Asar Costillas Acero</t>
  </si>
  <si>
    <t>Soporte Plegable Para Asar Dangrill</t>
  </si>
  <si>
    <t>Tenaza Parrilla Bambu 39 X 5 Cm</t>
  </si>
  <si>
    <t>Termómetro Carne Inalámbrico Digital</t>
  </si>
  <si>
    <t>Carro Plegable 30 Kg</t>
  </si>
  <si>
    <t>Set De 3 Batidores</t>
  </si>
  <si>
    <t>Tope Puerta 1 Kg. 9 X 7 Cm</t>
  </si>
  <si>
    <t>Cesta De Lavandería Bambú Madera / Blanco</t>
  </si>
  <si>
    <t>Macetero 55x20x70CM Metal Verde DAY</t>
  </si>
  <si>
    <t>Macetero Metal Blanco 28X28X55 DAY</t>
  </si>
  <si>
    <t>Sarten Aluminio Negro 28Cm</t>
  </si>
  <si>
    <t>Sarten Aluminio Negro 32 Cm</t>
  </si>
  <si>
    <t>Sarten Recubrimiento De Marmol 28 Cm</t>
  </si>
  <si>
    <t>Mug De Café 450 Cc Acero Inoxidable</t>
  </si>
  <si>
    <t>Quita Pelusas Electrico Pilas Aa Colores</t>
  </si>
  <si>
    <t>Coctelera Vidrio 400Cc</t>
  </si>
  <si>
    <t>Exprimidor Manual Con Contenedor Colores</t>
  </si>
  <si>
    <t>Hielera Acero Inoxidable Con Pinzas 1,3 L Day</t>
  </si>
  <si>
    <t>Hielera Silicona 6 Hielos Colores</t>
  </si>
  <si>
    <t>Set Coctelera Acero Inoxidable Black 4 Piezas Day</t>
  </si>
  <si>
    <t>Copas Gin 8 Piezas</t>
  </si>
  <si>
    <t>Set De 12 Copas Cerveza 530 Cc</t>
  </si>
  <si>
    <t>Set De 4 Copas De 500 Cc Y 4 Vasos De 350 Para Vino</t>
  </si>
  <si>
    <t>Jarra Con 4 Vasos Polipropileno 1,1L</t>
  </si>
  <si>
    <t>Jarra Vidrio 1 Lt Con Tapa</t>
  </si>
  <si>
    <t>Set 6 Bombillas Acero Inoxidable Y Cepillo Limpieza</t>
  </si>
  <si>
    <t>Caja De Organización Para Té De Bambú</t>
  </si>
  <si>
    <t>Canasto Organizador Junco 34X24X17 cm</t>
  </si>
  <si>
    <t>Canasto Yute Natural 38x34 cm</t>
  </si>
  <si>
    <t>Set De 3 Jarros Medidores</t>
  </si>
  <si>
    <t>Mini Joyero Con Espejo 14 X 14 X 7 Cm Tapa Bambu</t>
  </si>
  <si>
    <t>Limpiapies Antideslizante 40 X 60 Cm</t>
  </si>
  <si>
    <t>Limpiapies</t>
  </si>
  <si>
    <t>Zapatero De Bambu Y Metal 65 X 23 X 35 Cm</t>
  </si>
  <si>
    <t>Perchero de Pared 5 Ganchos Negro</t>
  </si>
  <si>
    <t>Ficcus Artificial 80 Cms</t>
  </si>
  <si>
    <t>Filodendro Artificial 50 Cms</t>
  </si>
  <si>
    <t>Set 2 Tablas De Cortar 2 Tamaños 14 X 24cm - 25X 35cm</t>
  </si>
  <si>
    <t>10844GC</t>
  </si>
  <si>
    <t>Set 2 Tablas De Cortar Dos Tamaños DAY</t>
  </si>
  <si>
    <t>10844GO</t>
  </si>
  <si>
    <t>10844N</t>
  </si>
  <si>
    <t>Set 3 Tablas De Cortar Bamboo Incluye Cuerda</t>
  </si>
  <si>
    <t>Tabla Aperitivo 26X15X3Cm</t>
  </si>
  <si>
    <t>Tabla Aperitivo Bambu + 3 Posillos Ceramica Gres</t>
  </si>
  <si>
    <t>Tabla Bamboo 61 X 16 Cm</t>
  </si>
  <si>
    <t>Tabla De Cortar Bambu Con Anillo De Silicona 28 X 20 cm DAY</t>
  </si>
  <si>
    <t>Tabla de de Aperitivo Bamboo Con Asa 47X25 Cm Day</t>
  </si>
  <si>
    <t>Tabla Para Cortar 45x15x1,5 cm Day</t>
  </si>
  <si>
    <t>Espumador De Leche 2 Pilas Aa</t>
  </si>
  <si>
    <t>Maquina De Pastas</t>
  </si>
  <si>
    <t>Botella de agua 500 ml con strap colores</t>
  </si>
  <si>
    <t>Botella De Agua 700 Ml</t>
  </si>
  <si>
    <t>Botella De Bebida Acero Inoxidable 750 Cc</t>
  </si>
  <si>
    <t>Botella De Bebida Plastico 650 Cc</t>
  </si>
  <si>
    <t>Lamapara Con Porta Vela 35 Cm</t>
  </si>
  <si>
    <t>Lámpara Exterior 20x24cm Negra a Pilas</t>
  </si>
  <si>
    <t>Lámpara Led 17 cm DAY</t>
  </si>
  <si>
    <t>Lampara Led Bulb Colores</t>
  </si>
  <si>
    <t>Guirnalda De Luz Con 20 Mini Led Pila</t>
  </si>
  <si>
    <t>Guirnalda De Luz Con Opera A Pila De 10 Led 120 Cm</t>
  </si>
  <si>
    <t>Vela Led 7,5X15 cm</t>
  </si>
  <si>
    <t>Atrapa Insectos Usb Day</t>
  </si>
  <si>
    <t>Carro Para Manguera 1/2 45 Mts</t>
  </si>
  <si>
    <t>Carro Para Terraza Negro 90x45x74 Cm DAY</t>
  </si>
  <si>
    <t>Set De Dos Bolsas Para Snack 23X21Cm</t>
  </si>
  <si>
    <t>Macetero 55x20x70CM Metal Gris DAY</t>
  </si>
  <si>
    <t>Macetero 55X20X70CM Metal Negro DAY</t>
  </si>
  <si>
    <t>Macetero Metal Negro 28X28X55 DAY</t>
  </si>
  <si>
    <t>Espejo Maquillaje Bambú</t>
  </si>
  <si>
    <t>Espejo Maquillaje Led 18 X 33 Cm</t>
  </si>
  <si>
    <t>Set De Terraza 4 Piezas Metal DAY</t>
  </si>
  <si>
    <t>Termómetro Carne Acero Inox Digital</t>
  </si>
  <si>
    <t>Set De Cubiertos Acero Inoxidable 16 Piezas</t>
  </si>
  <si>
    <t>Set De Cubiertos Acero Inoxidable Color Cobre 16 Piezas</t>
  </si>
  <si>
    <t>Set De Cubiertos Acero Madera 16 Piezas</t>
  </si>
  <si>
    <t>Set De Cuchillos 5 Piezas</t>
  </si>
  <si>
    <t>Set De Cuchillos 5 Piezas DAY</t>
  </si>
  <si>
    <t>Termo Comida Con Cuchara Colores</t>
  </si>
  <si>
    <t>Termo Comida con cuchara DAY</t>
  </si>
  <si>
    <t>Balanza De Cocina Negra 5Kg</t>
  </si>
  <si>
    <t>Balanza Digital De Cocina Hasta 5 Kg Bambu DAY</t>
  </si>
  <si>
    <t>Batidor Manual 25 Cm Acero Inox Colores</t>
  </si>
  <si>
    <t>Huevo Timer Colores</t>
  </si>
  <si>
    <t>Huevos Timer Colores</t>
  </si>
  <si>
    <t>Mortero Marmol Negro 13 cm DAY</t>
  </si>
  <si>
    <t>Pinza Acero Inoxidable 27 Cm</t>
  </si>
  <si>
    <t>10802A</t>
  </si>
  <si>
    <t>Rallador Con Caja Acero Inox 21 X 9 X 9 cm</t>
  </si>
  <si>
    <t>10802N</t>
  </si>
  <si>
    <t>10802V</t>
  </si>
  <si>
    <t>Rallador Con Caja Acero Inox Colores 21X9X9 Cm</t>
  </si>
  <si>
    <t>Set 2 Coladores Acero Inoxidable</t>
  </si>
  <si>
    <t>Set Balanza Cocina Y Timer 2 Piezas</t>
  </si>
  <si>
    <t>Set De 6 Tapas Herméticas Silicona DAY</t>
  </si>
  <si>
    <t>Set De Tijeras Negras 3 Piezas</t>
  </si>
  <si>
    <t>Soporte Choclo 8Pcs. Negro</t>
  </si>
  <si>
    <t>Manga Pastelera Boquillas De Acero Inoxidable</t>
  </si>
  <si>
    <t>Manga Repostera 5 Boquillas Acero Inox Colores</t>
  </si>
  <si>
    <t>Mat Silicona Para Hornear 50 X 30 Cm</t>
  </si>
  <si>
    <t>72749A</t>
  </si>
  <si>
    <t>Mat Silicona Para Hornear 50 X 30 cm DAY</t>
  </si>
  <si>
    <t>72749N</t>
  </si>
  <si>
    <t>72749V</t>
  </si>
  <si>
    <t>Molde Reposteria Redondo Con Tapa 26 Cm</t>
  </si>
  <si>
    <t>Molde Repostero Tapa y 3 Accesorios 24x35x4 cm DAY</t>
  </si>
  <si>
    <t>Prensa Pastelera Acero Inox</t>
  </si>
  <si>
    <t>Prensa Pastelera Incluye 8 Discos De Galletas Y 8 Boquillas De Glaseado</t>
  </si>
  <si>
    <t>Set De Reposteria 4 Pcs</t>
  </si>
  <si>
    <t>Adara2</t>
  </si>
  <si>
    <t>Banco de Recibidor Rojo de Terciopelo Moderno Day</t>
  </si>
  <si>
    <t>Banco Rojo 110x40x42cm DAY</t>
  </si>
  <si>
    <t>Carro De Aluminio Cubierta De Vidrio</t>
  </si>
  <si>
    <t>Mesa 30X70Cm Metal Mdf</t>
  </si>
  <si>
    <t>Mesa 40X50Cm Metal Mdf Negro</t>
  </si>
  <si>
    <t>Mesa de Exterior Metálica Jardín Gris 50x40 cm DAY</t>
  </si>
  <si>
    <t>Mesa Jardin Redonda 50x40 Metal Negra DAY</t>
  </si>
  <si>
    <t>Mesa Lateral Azul Patas De Madera</t>
  </si>
  <si>
    <t>Mesa Lateral Mdf Con Lamina De Pvc 40*40 cm</t>
  </si>
  <si>
    <t>Mesa Lateral Mdf Con Lamina De Pvc 55*45 cm</t>
  </si>
  <si>
    <t>Mesa Lateral Mdf Metal 70 X 35 cm</t>
  </si>
  <si>
    <t>Mesa Lateral Mdf Y Metal 55X40 cm</t>
  </si>
  <si>
    <t>Mesa Mdf Y Metal Circular D. 61 X 40 Cm</t>
  </si>
  <si>
    <t>Mesa Mdf/Metal Redonda D. 46 X 50 Cm</t>
  </si>
  <si>
    <t>Mesa Metal Negro 35 x 35 x 35 cm DAY</t>
  </si>
  <si>
    <t>Mesa Metal Negro D. 38 X 50 Cm</t>
  </si>
  <si>
    <t>Mesa Metal Vidrio Negra 40X50Cm</t>
  </si>
  <si>
    <t>Mesa Metal Vidrio Negra 49X49X35Cm</t>
  </si>
  <si>
    <t>Mesa Metálica de Jardin Gris 70x35 Cm DAY</t>
  </si>
  <si>
    <t>Mesa Negra Metal Mdf D. 40 X 50 Cm</t>
  </si>
  <si>
    <t>Mesa Redonda Metal Negro D. 40 X 50 Cm</t>
  </si>
  <si>
    <t>Taburete Poliester Terciopelo Rojo 36X40 Cm</t>
  </si>
  <si>
    <t>Rack Repisa Mdf Negro Soportes De Metal 3 Niveles 60 X 15 X 54 Cm</t>
  </si>
  <si>
    <t>Rack Repisas 2 Niveles Mdf Negro Y Soportes De Metal Negro 60 X 15 X 33 Cm</t>
  </si>
  <si>
    <t>Rack Repisas 2 Niveles Mdf Y Soportes De Metal Negro 60 X 15 X 33 Cm</t>
  </si>
  <si>
    <t>Rack Repisas 3 Niveles Mdf Y Soportes De Metal Azul 60X15X54</t>
  </si>
  <si>
    <t>Rack Repisas 3 Niveles Mdf Y Soportes De Metal Gris 60 X 15 X 54 Cm</t>
  </si>
  <si>
    <t>Rack Repisas 3 Niveles Mdf Y Soportes De Metal Verde 60 X 15 X 54 Cm</t>
  </si>
  <si>
    <t>Rack Repisas 3 Niveles Vidrio Y Soportes De Metal Negro 60 X 15 X 54 Cm</t>
  </si>
  <si>
    <t>Rack Repisas 5 Niveles Mdf Y Sportes De Metal Negro 59 X 15 X 116 Cm</t>
  </si>
  <si>
    <t>Repisa 55X15X9 cm Metal Negro</t>
  </si>
  <si>
    <t>Repisa Bambú 75X10X4.5 cm</t>
  </si>
  <si>
    <t>Repisa Blanca 50X10X4.5 cm</t>
  </si>
  <si>
    <t>Repisa Cubo Bambu 30 X 20 X 30 Cm</t>
  </si>
  <si>
    <t>Repisa Galeria Blanco 100X10X4.5 cm</t>
  </si>
  <si>
    <t>Repisa Metal Negra 57 X40 X 10Cm</t>
  </si>
  <si>
    <t>Cafetera Prensa Francesa Vidrio Y Acero Inoxidable 1 Lt</t>
  </si>
  <si>
    <t>Mug de café 350 ml exterior corcho</t>
  </si>
  <si>
    <t>Termo Acero Inoxidable 500 Cc</t>
  </si>
  <si>
    <t>Termo Insulado Acero Inoxidable 1 Lt</t>
  </si>
  <si>
    <t>Termo Negro 1 Lt</t>
  </si>
  <si>
    <t>Termo Soft Touch 500 cc DAY</t>
  </si>
  <si>
    <t>Tetera De Vidrio 1Lt</t>
  </si>
  <si>
    <t>82285N</t>
  </si>
  <si>
    <t>Teteras De Cerámica 1 Lt</t>
  </si>
  <si>
    <t>82285M</t>
  </si>
  <si>
    <t>Teteras De Ceramica 1 Lt Colores</t>
  </si>
  <si>
    <t>Teteras De Cerámica 1 Lt DAY</t>
  </si>
  <si>
    <t>Bajada De Ducha 50X80Cm</t>
  </si>
  <si>
    <t>Dispensador De Jabon Espuma 340 Cc Colores</t>
  </si>
  <si>
    <t>Dispensador De Jabon Vidrio Gris</t>
  </si>
  <si>
    <t>Set De Baño Ceramica Blanco 3 Piezas</t>
  </si>
  <si>
    <t>Set De Baño Ceramica Gris 3 Piezas</t>
  </si>
  <si>
    <t>Vaso De Vidrio Baño Gris</t>
  </si>
  <si>
    <t>Basurero 3L Negro Cierre Suave</t>
  </si>
  <si>
    <t>Basurero de Baño Acero Inoxidable Blanco 3L DAY</t>
  </si>
  <si>
    <t>Caja De Almacenamiento 15X15 Cm</t>
  </si>
  <si>
    <t>Caja De Almacenamiento Plegable 33 X 25 X 15 Cm Rosada</t>
  </si>
  <si>
    <t>Caja De Almacenamiento Plegable Natural 50 X 33 X 20 Cm</t>
  </si>
  <si>
    <t>Set 4 De Cajas De Almacenamiento Plegables</t>
  </si>
  <si>
    <t>Set De 4 Cajas De Almacenamiento Bambu</t>
  </si>
  <si>
    <t>Set De Cajas De Almacenamiento 5 Piezas</t>
  </si>
  <si>
    <t>Caja Almacenamiento Plegable 33X24,5X15 Blanco</t>
  </si>
  <si>
    <t>Caja Con 24 Clips De Almacenamiento Colores</t>
  </si>
  <si>
    <t>Caja De Almacenamiento Bambú 23X15 cm</t>
  </si>
  <si>
    <t>Caja De Almacenamiento Plegable 33X24,5X15 cm</t>
  </si>
  <si>
    <t>Caja De Almacenamiento Plegable 33X24.5X15 cm</t>
  </si>
  <si>
    <t>Caja De Almacenamiento Plegable 33X24.5X15 cm Gris</t>
  </si>
  <si>
    <t>Contenedor + 6 Clips Selladores</t>
  </si>
  <si>
    <t>Organizador Bambu</t>
  </si>
  <si>
    <t>Panera Metal Gris Claro Con Tapa De Madera 30x22 cm DAY</t>
  </si>
  <si>
    <t>Porta Zapatos 65x29x74 cm Metal con Plástico Negro</t>
  </si>
  <si>
    <t>Set De 2 Cajas De Almacenamiento Plegable 25 X17 X 10 Cm Negras</t>
  </si>
  <si>
    <t>Set De 2 Cajas De Almacenamiento Plegable Blancas 25 X 17 X10 Cm Blancas</t>
  </si>
  <si>
    <t>Set De 3 Bolsas Snack 22 X 18 Cm</t>
  </si>
  <si>
    <t>Set De 3 Contenedores De Vidrio Con Tapas Plasticas</t>
  </si>
  <si>
    <t>Set Ensalada Acero Inoxidable Negro DAY</t>
  </si>
  <si>
    <t>Molinillo Ceramico Electrico 5 X 21 Cm Pilas Aaa</t>
  </si>
  <si>
    <t>Molinillo De Vidrio Negro</t>
  </si>
  <si>
    <t>Set De Molinillos Electricos Blanco Y Negro Pilas</t>
  </si>
  <si>
    <t>Set Molinillo Sal Pimienta</t>
  </si>
  <si>
    <t>Aceitera De 15 Cm Y 280 Cc</t>
  </si>
  <si>
    <t>Porta Pizza Horno Con Soporte 33 Cm</t>
  </si>
  <si>
    <t>Soporte Toalla Nova Metal Negro 32 Cm</t>
  </si>
  <si>
    <t>Vaso Baño Ceramica Gres</t>
  </si>
  <si>
    <t>Dëna</t>
  </si>
  <si>
    <t>Arcoiris De Colores Pastel 12Pcs</t>
  </si>
  <si>
    <t>Juguetes sensoriales</t>
  </si>
  <si>
    <t>Arcoiris Nature 6Pcs</t>
  </si>
  <si>
    <t>Set De Auto Y Persona Color Azul</t>
  </si>
  <si>
    <t>Animales Nature 4Pcs</t>
  </si>
  <si>
    <t>Arcoiris De Colores 12Pcs</t>
  </si>
  <si>
    <t>Arcoiris De Colores 6Pcs</t>
  </si>
  <si>
    <t>Arcoiris De Colores Pastel 6Pcs</t>
  </si>
  <si>
    <t>Arcoiris Nature 12Pcs</t>
  </si>
  <si>
    <t>Set De 6 Personas Y 6 Casas De Colores</t>
  </si>
  <si>
    <t>Set De Persona Y Casa Color Verde Pastel</t>
  </si>
  <si>
    <t>Despachos</t>
  </si>
  <si>
    <t>dispatch</t>
  </si>
  <si>
    <t>Envios</t>
  </si>
  <si>
    <t>Logistic</t>
  </si>
  <si>
    <t>No aplica</t>
  </si>
  <si>
    <t>NA</t>
  </si>
  <si>
    <t>Delivery_007</t>
  </si>
  <si>
    <t>Diramix</t>
  </si>
  <si>
    <t>Figura Strech De Goma 15 cm Que Se Estira Monster Flex</t>
  </si>
  <si>
    <t>Dr. Markers</t>
  </si>
  <si>
    <t>Caja Marcadores Acrilicos 12 colores Dr. Markers</t>
  </si>
  <si>
    <t>Dragon Ball</t>
  </si>
  <si>
    <t>Figura 13 cm Articulada Dragon Ball De Bandai</t>
  </si>
  <si>
    <t>Figura 17 Cms Legendaria Dragon Ball Z De Bandai</t>
  </si>
  <si>
    <t>Figura 30 cm Dragon Ball Z</t>
  </si>
  <si>
    <t>Figura de Acción 10 cm Dragon Ball</t>
  </si>
  <si>
    <t>Dynamo TL</t>
  </si>
  <si>
    <t>Hidrolavadora eléctrica WP 1800w 130bar 220/240V 60Hz Dynamo</t>
  </si>
  <si>
    <t>Kit Taladro Destornillador Inalámbrico 21v 2 Baterías + Acc Dynamo</t>
  </si>
  <si>
    <t>Kit Taladro Destornillador Inalámbrico 21V 2 Baterías Dynamo</t>
  </si>
  <si>
    <t>Llave de Impacto Inalámbrica 21V 2 Baterias + Acss Dynamo</t>
  </si>
  <si>
    <t>Taladro Inalámbrico Percutor 21v 2 Baterías + Accs Dynamo</t>
  </si>
  <si>
    <t>Taladro Inalámbrico Percutor Rotomartillo 2 Baterías + Accs Dynamo</t>
  </si>
  <si>
    <t>E. Thirteen</t>
  </si>
  <si>
    <t>L905</t>
  </si>
  <si>
    <t>Llanta E.13 Lg1 Al Enduro 29x30mm 32h</t>
  </si>
  <si>
    <t>Easyways</t>
  </si>
  <si>
    <t>Batidora de Pedestal Art Mixer Blanco</t>
  </si>
  <si>
    <t>Batidoras</t>
  </si>
  <si>
    <t>Batidora de Pedestal Art Mixer Negro</t>
  </si>
  <si>
    <t>Batidora de Pedestal Art Mixer Rojo</t>
  </si>
  <si>
    <t>Batidora de Pedestal Mixer Blanco</t>
  </si>
  <si>
    <t>Batidora de Pedestal Mixer Plateada</t>
  </si>
  <si>
    <t>Batidora de Pedestal Mixer Rojo</t>
  </si>
  <si>
    <t>Batidora Mixer Blanco + Pasta Maker</t>
  </si>
  <si>
    <t>Batidora Mixer Rojo + Pasta Maker</t>
  </si>
  <si>
    <t>Batidora Mixer Silver + Pasta Maker</t>
  </si>
  <si>
    <t>Set 3 accesorios de pasta para Batidora Mixer</t>
  </si>
  <si>
    <t>Cafetera de filtro Sicilia Coffee 12 tazas</t>
  </si>
  <si>
    <t>Cafeteras eléctricas</t>
  </si>
  <si>
    <t>Cafetera Expresso Milano Coffee 3 en 1 Gris</t>
  </si>
  <si>
    <t>Cafetera Expresso Milano Coffee 3 en 1 Roja</t>
  </si>
  <si>
    <t>Cafetera Expresso Torino Coffee</t>
  </si>
  <si>
    <t>Cafetera Milano Coffee Gris + Espumador Leche</t>
  </si>
  <si>
    <t>Cafetera Milano Coffee Rojo + Espumador Leche</t>
  </si>
  <si>
    <t>Cafetera Verona Coffee 4 en 1</t>
  </si>
  <si>
    <t>Espumador de Leche Milano Milk</t>
  </si>
  <si>
    <t>Espumador de Leche Milano Milk Easyways</t>
  </si>
  <si>
    <t>Extractor De Jugo En Frío Slow Juicier Pro</t>
  </si>
  <si>
    <t>Extractores de Jugo</t>
  </si>
  <si>
    <t>Cutter Kitchen Grand Connect Easyways</t>
  </si>
  <si>
    <t>Freidoras de aire</t>
  </si>
  <si>
    <t>Freidora de aire Air Fryer Chic 5,5 L</t>
  </si>
  <si>
    <t>Freidora de Aire Air Fryer Chic Prime 5 L con Visor Easyways</t>
  </si>
  <si>
    <t>Freidora de Aire Air fryer Crunch 15 L</t>
  </si>
  <si>
    <t>Freidora de Aire Air Fryer Fast 1,8 L</t>
  </si>
  <si>
    <t>Freidora de Aire Air Fryer Full 10 L</t>
  </si>
  <si>
    <t>EasyWays</t>
  </si>
  <si>
    <t>Freidora de Aire Air Fryer Lite 12 L</t>
  </si>
  <si>
    <t>Freidora de Aire Air Fryer MultiTouch</t>
  </si>
  <si>
    <t>Freidora De Aire Air Fryer Plus 11,6 Lt</t>
  </si>
  <si>
    <t>Freidora de Aire Air Fryer Prime 12 L</t>
  </si>
  <si>
    <t>Freidora de Aire Air Fryer XL 6,2L</t>
  </si>
  <si>
    <t>Horno Freidora de Aire Air Fryer Gourmet</t>
  </si>
  <si>
    <t>Parrilla Freidora de Aire Air Fryer Grill</t>
  </si>
  <si>
    <t>Hervidor Black 1</t>
  </si>
  <si>
    <t>Hervidores</t>
  </si>
  <si>
    <t>Hervidor Design Negro 1,7 L</t>
  </si>
  <si>
    <t>Hervidor Design Rojo 1,7 L</t>
  </si>
  <si>
    <t>Hervidor Heat Control Blanco 1,7 Lt</t>
  </si>
  <si>
    <t>Hervidor Heat Control Negro 1,7 Lt</t>
  </si>
  <si>
    <t>Hervidor Perfect Heat 1,7 L</t>
  </si>
  <si>
    <t>Hervidor Termo Heat Max 3 L</t>
  </si>
  <si>
    <t>Horno eléctrico Oven Master 100 L + Convección y Spiedo</t>
  </si>
  <si>
    <t>Hornos eléctricos</t>
  </si>
  <si>
    <t>Horno Eléctrico Oven Master 23 L</t>
  </si>
  <si>
    <t>Horno Eléctrico Oven Master 45 L Convección</t>
  </si>
  <si>
    <t>Horno Eléctrico Oven Master 60 L Convección</t>
  </si>
  <si>
    <t>Horno Freidora de Aire Air Fryer Gourmet Pro 20 L</t>
  </si>
  <si>
    <t>Horno Para Pizza Eléctrico Pizza Oven</t>
  </si>
  <si>
    <t>Hornos pizzas</t>
  </si>
  <si>
    <t>Batidora de Inmersión Minipimer Black</t>
  </si>
  <si>
    <t>Licuadoras</t>
  </si>
  <si>
    <t>Licuadora Crush n' roll Negra 1,5 Litros</t>
  </si>
  <si>
    <t>Licuadora Crush n' roll Silver 1,5 Litros</t>
  </si>
  <si>
    <t>Licuadora de Inmersión Minipimer Full</t>
  </si>
  <si>
    <t>Licuadora Personal Nutriblender</t>
  </si>
  <si>
    <t>Licuadora Personal NutriBlender Go dos vasos 600 ml</t>
  </si>
  <si>
    <t>Licuadora Ultra Roja 2,2L + Vaso to go</t>
  </si>
  <si>
    <t>Licuadora Ultra Silver 2,2L + Vaso to go</t>
  </si>
  <si>
    <t>Máquina Para Leches Vegetales Good Milk 6 en 1</t>
  </si>
  <si>
    <t>Máquinas de Leche</t>
  </si>
  <si>
    <t>Máquina De Pan Multibread</t>
  </si>
  <si>
    <t>Microondas 25 Litros MaxPower</t>
  </si>
  <si>
    <t>Microondas</t>
  </si>
  <si>
    <t>Olla de Cocción Lenta Multicooker 5 en 1</t>
  </si>
  <si>
    <t>Ollas de cocción lenta</t>
  </si>
  <si>
    <t>Olla de Cocción Lenta Slow Pot Design 5,5 Lt</t>
  </si>
  <si>
    <t>Olla de Cocción Lenta Slow Pot Mini 3,8 Lt</t>
  </si>
  <si>
    <t>Olla de Cocción Fast Pot 5,7 L</t>
  </si>
  <si>
    <t>Ollas Multiuso</t>
  </si>
  <si>
    <t>Olla de Cocción MultiCooker Pro 5,5 L</t>
  </si>
  <si>
    <t>Olla Multiuso Multicooker Fast Pot 7,6 Lt</t>
  </si>
  <si>
    <t>Parrilla Eléctrica Pitceramic con cerámica</t>
  </si>
  <si>
    <t>Parrillas eléctricas</t>
  </si>
  <si>
    <t>Parrilla Eléctrica Pitmaster</t>
  </si>
  <si>
    <t>Parrilla Electrica Smokeless Grill Master</t>
  </si>
  <si>
    <t>Picadora Power Cutter 1,2 L</t>
  </si>
  <si>
    <t>Picadora</t>
  </si>
  <si>
    <t>Tostador Toast Master 2 rebanadas Negro</t>
  </si>
  <si>
    <t>Tostadores</t>
  </si>
  <si>
    <t>Plancha Waffles Let´s Grill 3 en 1</t>
  </si>
  <si>
    <t>Wafleras</t>
  </si>
  <si>
    <t>Robot de Cocina Kitchen Connect</t>
  </si>
  <si>
    <t>Robots de cocina</t>
  </si>
  <si>
    <t>Robot de Cocina Kitchen Grand Connect</t>
  </si>
  <si>
    <t>Robot de Cocina Kitchen Master</t>
  </si>
  <si>
    <t>Robot de Cocina Kitchen Pro</t>
  </si>
  <si>
    <t>Robot de Cocina Kitchen Super Conect 2 L</t>
  </si>
  <si>
    <t>Elhee</t>
  </si>
  <si>
    <t>BB1000UM</t>
  </si>
  <si>
    <t>Chupete Medium Flow Elhee</t>
  </si>
  <si>
    <t>BB1000UL</t>
  </si>
  <si>
    <t>Mamadera 150 Ml Arena Elhee</t>
  </si>
  <si>
    <t>BB15009P</t>
  </si>
  <si>
    <t>Mamadera 150 Ml Curry Elhee</t>
  </si>
  <si>
    <t>BB15007P</t>
  </si>
  <si>
    <t>Mamadera 150 Ml Verde Hiedra Elhee</t>
  </si>
  <si>
    <t>BB15004P</t>
  </si>
  <si>
    <t>BB1000US</t>
  </si>
  <si>
    <t>Mamadera 240 Ml Arena Elhee</t>
  </si>
  <si>
    <t>BB15006P</t>
  </si>
  <si>
    <t>Mamadera 240 Ml Gris Azulado Elhee</t>
  </si>
  <si>
    <t>BB15005P</t>
  </si>
  <si>
    <t>Mamadera 240 Ml Kaki Elhee</t>
  </si>
  <si>
    <t>BB24002P</t>
  </si>
  <si>
    <t>Mamadera 240 Ml Nude Elhee</t>
  </si>
  <si>
    <t>BB24007P</t>
  </si>
  <si>
    <t>Mamadera 240 Ml Rosado Claro Elhee</t>
  </si>
  <si>
    <t>BB24004P</t>
  </si>
  <si>
    <t>Mamadera 240 Ml Verde Hiedra Elhee</t>
  </si>
  <si>
    <t>BB24006P</t>
  </si>
  <si>
    <t>Mamadera 330 Ml Arena Elhee</t>
  </si>
  <si>
    <t>BB24005P</t>
  </si>
  <si>
    <t>Mamadera 330 Ml Gris Azulado Elhee</t>
  </si>
  <si>
    <t>BB240010P</t>
  </si>
  <si>
    <t>Mamadera 330 Ml Rosado Claro Elhee</t>
  </si>
  <si>
    <t>BB33010P</t>
  </si>
  <si>
    <t>BB150010P</t>
  </si>
  <si>
    <t>Mamadera 330 Ml Verde Hiedra Elhee</t>
  </si>
  <si>
    <t>BB33004P</t>
  </si>
  <si>
    <t>BB15002P</t>
  </si>
  <si>
    <t>Mamadera Bibrond Nude 150 Ml Elhee</t>
  </si>
  <si>
    <t>BB33002P</t>
  </si>
  <si>
    <t>Mamadera Bibrond Nude 330 Ml Elhee</t>
  </si>
  <si>
    <t>BB33007P</t>
  </si>
  <si>
    <t>Mamadera Small Flow Elhee</t>
  </si>
  <si>
    <t>Mamadera 150 Ml Kaki Elhee</t>
  </si>
  <si>
    <t>EZ</t>
  </si>
  <si>
    <t>SR03958</t>
  </si>
  <si>
    <t>Accesorio</t>
  </si>
  <si>
    <t>A1235</t>
  </si>
  <si>
    <t>Adaptador Xon Flat A Flat Mount Ruta XON Components</t>
  </si>
  <si>
    <t>Convertidor A2z Is A Post Mount Mantiene Disc A2Z</t>
  </si>
  <si>
    <t>SR04002</t>
  </si>
  <si>
    <t>Corona Volante Truvativ Bcd 104 36t SRAM</t>
  </si>
  <si>
    <t>E005</t>
  </si>
  <si>
    <t>Extensor De Cambio Sun Race Aluminio Sun Race</t>
  </si>
  <si>
    <t>K053</t>
  </si>
  <si>
    <t>Kit De Reparación Con Tripa Slime</t>
  </si>
  <si>
    <t>SR02347</t>
  </si>
  <si>
    <t>Kit Rs Reten yari Dual Position A1 50h RockShox</t>
  </si>
  <si>
    <t>M1769</t>
  </si>
  <si>
    <t>Manubrio Renthal Fatbar Alu 800x35mm Rise30bk</t>
  </si>
  <si>
    <t>M1679</t>
  </si>
  <si>
    <t>Marco Dirt Aluminio Viking Tuff Azul/naranjo Viking</t>
  </si>
  <si>
    <t>M1853</t>
  </si>
  <si>
    <t>Motor Vp Pressfit Rr-bbr-pf24 ,od 46mm VP Components</t>
  </si>
  <si>
    <t>Puños Vpg-bs01 Silicona Rojo VP Components</t>
  </si>
  <si>
    <t>R009</t>
  </si>
  <si>
    <t>Rayos 27,0 Cms, Triciclo , (12g)</t>
  </si>
  <si>
    <t>R541</t>
  </si>
  <si>
    <t>Retenes Horquilla Suntour Epicon-axon ( Par Suntour</t>
  </si>
  <si>
    <t>R706</t>
  </si>
  <si>
    <t>Rueda Delantera Low Rider Aro 20</t>
  </si>
  <si>
    <t>R707</t>
  </si>
  <si>
    <t>Rueda Trasera Low Rider Aro 20</t>
  </si>
  <si>
    <t>S608</t>
  </si>
  <si>
    <t>Soporte On Guard Candadlo U Lock On Guard</t>
  </si>
  <si>
    <t>T003</t>
  </si>
  <si>
    <t>Tapabarros Ajustable Mtb Taiwan Taiwan</t>
  </si>
  <si>
    <t>Te Funn Fx - Bmx Negra 50mm Funn</t>
  </si>
  <si>
    <t>B2579</t>
  </si>
  <si>
    <t>Bota Leatt 4.5 Us10 29cm Wht</t>
  </si>
  <si>
    <t>Equipo MTB</t>
  </si>
  <si>
    <t>B2717</t>
  </si>
  <si>
    <t>Bota Leatt 4.5 Us11/eu45.5/cm29.5 Wht</t>
  </si>
  <si>
    <t>C5131</t>
  </si>
  <si>
    <t>Casco Leatt Mtb Enduro 2.0 V23 Stealth L 59-63cm</t>
  </si>
  <si>
    <t>C5135</t>
  </si>
  <si>
    <t>Casco Leatt Mtb Enduro 2.0 V23 Suede M 55-59cm</t>
  </si>
  <si>
    <t>C5140</t>
  </si>
  <si>
    <t>Casco Leatt Mtb Enduro 2.0 V23 Titanium S 51-55cm</t>
  </si>
  <si>
    <t>G2103</t>
  </si>
  <si>
    <t>Guante De Moto Leatt 1.5 Gripr L/us10 Red</t>
  </si>
  <si>
    <t>G2111</t>
  </si>
  <si>
    <t>Guante De Moto Leatt 1.5 Gripr M/us9 Stealth</t>
  </si>
  <si>
    <t>G2123</t>
  </si>
  <si>
    <t>Guante De Moto Leatt 1.5 Gripr Xl/us11 Stealth</t>
  </si>
  <si>
    <t>G2129</t>
  </si>
  <si>
    <t>Guante De Moto Leatt 2.5 X-flow S/us8 Blk</t>
  </si>
  <si>
    <t>Jersey Mtb Radical Mountain Negro/azul M Radical Mountain</t>
  </si>
  <si>
    <t>S954</t>
  </si>
  <si>
    <t>Sellador Slime Para Tubular 1 Galon</t>
  </si>
  <si>
    <t>V645</t>
  </si>
  <si>
    <t>Valvula Tubular Cushcore 44mm Francesa Turquesa</t>
  </si>
  <si>
    <t>C3311</t>
  </si>
  <si>
    <t>Casco Ridge Mtb Ridge Rf6 Azul 58-63</t>
  </si>
  <si>
    <t>Protección personal</t>
  </si>
  <si>
    <t>Cascos</t>
  </si>
  <si>
    <t>Ezpz</t>
  </si>
  <si>
    <t>PCSSP003</t>
  </si>
  <si>
    <t>Cucharas Tiny Azul</t>
  </si>
  <si>
    <t>PCSSB005</t>
  </si>
  <si>
    <t>Cucharas Tiny Rosado</t>
  </si>
  <si>
    <t>PCSSS001</t>
  </si>
  <si>
    <t>Cucharas Tiny Verde</t>
  </si>
  <si>
    <t>PKHMP003</t>
  </si>
  <si>
    <t>Individual + Plato Happy Mat Azul</t>
  </si>
  <si>
    <t>PKHMB005</t>
  </si>
  <si>
    <t>Individual + Plato Happy Mat Rosado</t>
  </si>
  <si>
    <t>PKHMS001</t>
  </si>
  <si>
    <t>Individual + Plato Happy Mat Verde</t>
  </si>
  <si>
    <t>PCMMP003</t>
  </si>
  <si>
    <t>Individual + Plato Mini Mat Azul</t>
  </si>
  <si>
    <t>PCMMB005</t>
  </si>
  <si>
    <t>Individual + Plato Mini Mat Rosado</t>
  </si>
  <si>
    <t>PCMMS001</t>
  </si>
  <si>
    <t>Individual + Plato Mini Mat Verde</t>
  </si>
  <si>
    <t>PKMFB005</t>
  </si>
  <si>
    <t>Set de Alimentación Rosado</t>
  </si>
  <si>
    <t>PKMFS001</t>
  </si>
  <si>
    <t>Set de Alimentación Verde</t>
  </si>
  <si>
    <t>Set de Cubiertos Happy Azul</t>
  </si>
  <si>
    <t>Set de Cubiertos Happy Rosado</t>
  </si>
  <si>
    <t>Set de Cubiertos Happy Verde</t>
  </si>
  <si>
    <t>PCFFB005</t>
  </si>
  <si>
    <t>Vajilla Para Bebés Rosado</t>
  </si>
  <si>
    <t>PCFFS001</t>
  </si>
  <si>
    <t>Vajilla Para Bebés Verde</t>
  </si>
  <si>
    <t>PKSTP003</t>
  </si>
  <si>
    <t>Vaso + Bombilla Mini Azul</t>
  </si>
  <si>
    <t>PKSTB005</t>
  </si>
  <si>
    <t>Vaso + Bombilla Rosado</t>
  </si>
  <si>
    <t>PKSTS001</t>
  </si>
  <si>
    <t>Vaso + Bombilla Verde</t>
  </si>
  <si>
    <t>PCTSP003</t>
  </si>
  <si>
    <t>Vaso Tiny Azul</t>
  </si>
  <si>
    <t>PCTSB005</t>
  </si>
  <si>
    <t>Vaso Tiny Rosado</t>
  </si>
  <si>
    <t>PCTSS001</t>
  </si>
  <si>
    <t>Vaso Tiny Verde</t>
  </si>
  <si>
    <t>FatBrain Toys</t>
  </si>
  <si>
    <t>Fruit Friends, Sonajero, Puzzle</t>
  </si>
  <si>
    <t>Jixelz Puzzle 1500 Pc Set, Bajo El Mar</t>
  </si>
  <si>
    <t>Jixelz Puzzle 700 Pc Set, Amigos Del Mar</t>
  </si>
  <si>
    <t>Jixelz Puzzle De Pixeles 700 Pc Set, Mascotas</t>
  </si>
  <si>
    <t>Jixelz Puzzle De Pixeles 700 Pc Set, Robots</t>
  </si>
  <si>
    <t>Jixezl Puzzle De Pixeles 1500 Pc Set</t>
  </si>
  <si>
    <t>FA268-1</t>
  </si>
  <si>
    <t>Jixezl Puzzle De Pixeles 3000 Pc Set, Creator</t>
  </si>
  <si>
    <t>Bugzzle, Juego De Ingenio Para Pequeños</t>
  </si>
  <si>
    <t>Coggy, Juego De Ingenio</t>
  </si>
  <si>
    <t>Crankity, Juego De Ingenio</t>
  </si>
  <si>
    <t>FA223-1</t>
  </si>
  <si>
    <t>Hiding Hedgehogs, Apilar Y Anidar</t>
  </si>
  <si>
    <t>Inchimals, Juego Para Aprender Matemáticas</t>
  </si>
  <si>
    <t>FA056-1</t>
  </si>
  <si>
    <t>Ivan'S Hinge, Juego De Ingenio</t>
  </si>
  <si>
    <t>HPCBTR</t>
  </si>
  <si>
    <t>Juego de Ingenio The Brain Train</t>
  </si>
  <si>
    <t>One In A Chameleon Juego De Ingenio</t>
  </si>
  <si>
    <t>FA088-2</t>
  </si>
  <si>
    <t>Squigz Deluxe Set, Juego De Creatividad</t>
  </si>
  <si>
    <t>FA055-1</t>
  </si>
  <si>
    <t>Acuity, Juego De Habilidades</t>
  </si>
  <si>
    <t>Box N Balls, Juego De Creatividad</t>
  </si>
  <si>
    <t>Dimpl Billow &amp; Bright Juego Sensorial</t>
  </si>
  <si>
    <t>Dimpl Clutch Juego Sensorial</t>
  </si>
  <si>
    <t>FA275-1</t>
  </si>
  <si>
    <t>Dimpl Digits, Juego Sensorial</t>
  </si>
  <si>
    <t>Dimpl Dúo, Juego Sensorial</t>
  </si>
  <si>
    <t>FA192-1</t>
  </si>
  <si>
    <t>Dimpl Juego Sensorial, Para Manos Inquietas</t>
  </si>
  <si>
    <t>Dimpl Pops Deluxe Juego Sensorial</t>
  </si>
  <si>
    <t>FA335-1</t>
  </si>
  <si>
    <t>Dimpl Pops Juego Sensorial</t>
  </si>
  <si>
    <t>Dizzy Bees Mordedor Apilable Con Iman</t>
  </si>
  <si>
    <t>FA195-1</t>
  </si>
  <si>
    <t>Door Pong Ping Pong Colgante</t>
  </si>
  <si>
    <t>FA304-1</t>
  </si>
  <si>
    <t>Drop Shop Juego De Destreza</t>
  </si>
  <si>
    <t>Innybin Juego De Encaje Y Descubrimiento</t>
  </si>
  <si>
    <t>Minispinny Juguete Sensorial</t>
  </si>
  <si>
    <t>Oombeeball, Pelotas Sensoriales Anidables</t>
  </si>
  <si>
    <t>Oombeecube, Cubo De Encaje Bebé</t>
  </si>
  <si>
    <t>FA093-1</t>
  </si>
  <si>
    <t>Peek-A-Doodle Doo, Memorice</t>
  </si>
  <si>
    <t>Pipsquigz Loops Celeste Mordedores Sensoriales</t>
  </si>
  <si>
    <t>FA165-1</t>
  </si>
  <si>
    <t>Pipsquigz Loops Naranjo Mordedores Sensoriales</t>
  </si>
  <si>
    <t>FA250-1</t>
  </si>
  <si>
    <t>Pipsquigz Ringlets Anillos, Mordedores</t>
  </si>
  <si>
    <t>FA089-1</t>
  </si>
  <si>
    <t>Pipsquigz, Mordedores, Sonajeros Sensoriales</t>
  </si>
  <si>
    <t>Plugzy Juego De Encaje</t>
  </si>
  <si>
    <t>Sensory Rollers, Pelotas Sensoriales</t>
  </si>
  <si>
    <t>Simpl Dimpl Llavero Colores Surtidos</t>
  </si>
  <si>
    <t>FA110-1</t>
  </si>
  <si>
    <t>Spinagain Juego De Construccion Y Estimulación</t>
  </si>
  <si>
    <t>FA248-1</t>
  </si>
  <si>
    <t>Spinnypins Palitroques Encaje Con Sonido</t>
  </si>
  <si>
    <t>FA318-1</t>
  </si>
  <si>
    <t>Spiroku Juego De Apilar</t>
  </si>
  <si>
    <t>Spoolz, Juego De Construccion Y Equilibrio</t>
  </si>
  <si>
    <t>FA088-1</t>
  </si>
  <si>
    <t>Squigz Starter Set, Juego De Creatividad</t>
  </si>
  <si>
    <t>Suction Kupz, Vasos De Construcción</t>
  </si>
  <si>
    <t>FA095-2</t>
  </si>
  <si>
    <t>Teeter Popper, Juego De Habilidades Motoras</t>
  </si>
  <si>
    <t>Tinker Rings, Anillos Imanes Y Texturas</t>
  </si>
  <si>
    <t>FA070-1</t>
  </si>
  <si>
    <t>Tobbles Neo, Juego De Apilar</t>
  </si>
  <si>
    <t>FA313-2</t>
  </si>
  <si>
    <t>Trestle Tracks Pista Para Bolitas</t>
  </si>
  <si>
    <t>Tugl Cube, Cubo Sensorial Y Fidget</t>
  </si>
  <si>
    <t>Tumbleroos, Juego De Anidar Y Balancear</t>
  </si>
  <si>
    <t>FA210-1</t>
  </si>
  <si>
    <t>Whirly Squigz, Spinners Para Bebes Y Niños</t>
  </si>
  <si>
    <t>Wimzle, Juguete Sensorial</t>
  </si>
  <si>
    <t>Cafetera Italiana acero 6 Tazas Negro</t>
  </si>
  <si>
    <t>FJALL RAVEN</t>
  </si>
  <si>
    <t>Accesorio Bolso Cámara Kanken Photo Insert</t>
  </si>
  <si>
    <t>Bolsos cámara</t>
  </si>
  <si>
    <t>Volkanica</t>
  </si>
  <si>
    <t>Bolso Cartera Pocket Acorn</t>
  </si>
  <si>
    <t>Bolso Cartera Pocket Black</t>
  </si>
  <si>
    <t>Bolso Cartera Pocket Dark Grey</t>
  </si>
  <si>
    <t>Bolso Cartera Pocket Green</t>
  </si>
  <si>
    <t>Bolso Cartera Pocket Navy</t>
  </si>
  <si>
    <t>Accesorio Kanken Pen Case Negro</t>
  </si>
  <si>
    <t>Accesorio Kanken Travel Wallet.</t>
  </si>
  <si>
    <t>Bolso Estuche Gear Pocket Autumn Leaf</t>
  </si>
  <si>
    <t>Bolso Estuche Gear Pocket Dark Grey</t>
  </si>
  <si>
    <t>Bolso Estuche Gear Pocket Green</t>
  </si>
  <si>
    <t>Bolso Estuche Kanken Gear Bag Black 2L</t>
  </si>
  <si>
    <t>Bolso Estuche Kanken Gear Bag Ox Red 2L</t>
  </si>
  <si>
    <t>Estuche Kanken Art Birch Forest</t>
  </si>
  <si>
    <t>Estuche Kanken Gear Pocket Frost Green</t>
  </si>
  <si>
    <t>Estuche Kanken Gear Pocket True Red</t>
  </si>
  <si>
    <t>Estuche Kanken Pen Case Acorn</t>
  </si>
  <si>
    <t>Estuche Kanken Pen Case Black</t>
  </si>
  <si>
    <t>Estuche Kanken Pen Case Peach Pink</t>
  </si>
  <si>
    <t>Llavero Kanken Keyring Acorn</t>
  </si>
  <si>
    <t>Llaveros</t>
  </si>
  <si>
    <t>Llavero Kanken Keyring Air Blue</t>
  </si>
  <si>
    <t>Llavero Kanken Keyring Black</t>
  </si>
  <si>
    <t>Llavero Kanken Keyring Green</t>
  </si>
  <si>
    <t>Llavero Kanken Keyring Peach Pink</t>
  </si>
  <si>
    <t>Llavero Kanken Keyring Purple</t>
  </si>
  <si>
    <t>Llavero Kanken Keyring True Red</t>
  </si>
  <si>
    <t>Llavero Kanken Rainbow Keyring</t>
  </si>
  <si>
    <t>Accesorio Hombreras Kanken Black</t>
  </si>
  <si>
    <t>Accesorios Mochilas</t>
  </si>
  <si>
    <t>Accesorio Hombreras Kanken Frost Green</t>
  </si>
  <si>
    <t>Accesorio Hombreras Kanken Navy</t>
  </si>
  <si>
    <t>Accesorio Hombreras Kanken Ox Red</t>
  </si>
  <si>
    <t>Accesorio Hombreras Kanken Peach Pink</t>
  </si>
  <si>
    <t>Accesorio Hombreras Kanken Super Grey</t>
  </si>
  <si>
    <t>Cera para prendas en tejido Greenland Wax</t>
  </si>
  <si>
    <t>Banano Kanken Hip Pack Black</t>
  </si>
  <si>
    <t>Banano Kanken Hip Pack Fog</t>
  </si>
  <si>
    <t>Banano Kanken Hip Pack Navy</t>
  </si>
  <si>
    <t>Banano Kanken Hip Pack Ochre</t>
  </si>
  <si>
    <t>Banano Kanken Hip Pack Pink</t>
  </si>
  <si>
    <t>Banano Ulvo Hip Pack Medium Negro.</t>
  </si>
  <si>
    <t>Billetera Porta Pasaporte Dark Grey</t>
  </si>
  <si>
    <t>Billetera Porta Pasaporte Green</t>
  </si>
  <si>
    <t>Billetera Porta Pasaporte Navy</t>
  </si>
  <si>
    <t>Billetera Porta Pasaporte Wallet</t>
  </si>
  <si>
    <t>Billetera Zip Wallet</t>
  </si>
  <si>
    <t>Bolso Lonchera Kanken Mini Cooler Black</t>
  </si>
  <si>
    <t>Bolso Lonchera Kanken Mini Cooler Frost Green</t>
  </si>
  <si>
    <t>Bolso Lonchera Kanken Mini Cooler Ox Red</t>
  </si>
  <si>
    <t>Bolso Lonchera Kanken Mini Cooler Peach Pink</t>
  </si>
  <si>
    <t>Bolso Lonchera Kanken Mini Cooler True Red</t>
  </si>
  <si>
    <t>Bolso Mochila Kanken Totepak Clay 14 L</t>
  </si>
  <si>
    <t>Bolso Mochila Totepack #1 Deep Red 14 L</t>
  </si>
  <si>
    <t>Bolso Mochila Totepack #1 Acorn 14 L</t>
  </si>
  <si>
    <t>Bolso Mochila Totepack #1 Black 14 L</t>
  </si>
  <si>
    <t>Bolso Mochila Totepack #1 Dusk 14 L</t>
  </si>
  <si>
    <t>Bolso Mochila Totepack #1 Glacier Green 14 L</t>
  </si>
  <si>
    <t>Bolso Mochila Totepack #1 Green 14 L</t>
  </si>
  <si>
    <t>Bolso Mochila Totepack #1 Super Grey 14 L</t>
  </si>
  <si>
    <t>Mochila Kanken #2 Black</t>
  </si>
  <si>
    <t>Mochila Kanken #2 Dark Olive.</t>
  </si>
  <si>
    <t>Mochila Kanken #2 Deep Red.</t>
  </si>
  <si>
    <t>Mochila Kanken #2 Green.</t>
  </si>
  <si>
    <t>Mochila Kanken #2 Laptop 15" Acorn 18 L</t>
  </si>
  <si>
    <t>Mochila Kanken #2 Navy.</t>
  </si>
  <si>
    <t>Mochila Kanken #2 Super Grey 16 L</t>
  </si>
  <si>
    <t>Mochila Kanken 15 Acorn</t>
  </si>
  <si>
    <t>Mochila Kanken 15 Black</t>
  </si>
  <si>
    <t>Mochila Kanken 15 Deep Red-Random.</t>
  </si>
  <si>
    <t>Mochila Kanken 15 Frost Green-Chess Pattern</t>
  </si>
  <si>
    <t>Mochila Kanken 15 Graphite</t>
  </si>
  <si>
    <t>Mochila Kanken 15 Ox Red</t>
  </si>
  <si>
    <t>Mochila Kanken 15" Blue Ridge</t>
  </si>
  <si>
    <t>Mochila Kanken Art Mini Blue Fable.</t>
  </si>
  <si>
    <t>Mochila Kanken Art Mini Green Fable.</t>
  </si>
  <si>
    <t>Mochila Kanken Art Spring Landscape.</t>
  </si>
  <si>
    <t>Mochila Kanken Black-Rainbow Pattern 16 L</t>
  </si>
  <si>
    <t>Mochila Kanken Burnt Orange-Rainbow Pattern</t>
  </si>
  <si>
    <t>Mochila Kanken Classic Acorn</t>
  </si>
  <si>
    <t>Mochila Kanken Classic Acorn Ox Red</t>
  </si>
  <si>
    <t>Mochila Kanken Classic Air Blue.</t>
  </si>
  <si>
    <t>Mochila Kanken Classic Air Blue-Striped.</t>
  </si>
  <si>
    <t>Mochila Kanken Classic Black</t>
  </si>
  <si>
    <t>Mochila Kanken Classic Black-Ox Red</t>
  </si>
  <si>
    <t>Mochila Kanken Classic Blue Ridge.</t>
  </si>
  <si>
    <t>Mochila Kanken Classic Brick</t>
  </si>
  <si>
    <t>Mochila Kanken Classic Dahlia</t>
  </si>
  <si>
    <t>Mochila Kanken Classic Deep Blue.</t>
  </si>
  <si>
    <t>Mochila Kanken Classic Deep Forest</t>
  </si>
  <si>
    <t>Mochila Kanken Classic Deep Forest Acorn</t>
  </si>
  <si>
    <t>Mochila Kanken Classic Deep Red</t>
  </si>
  <si>
    <t>Mochila Kanken Classic Deep Red-Random Blocked.</t>
  </si>
  <si>
    <t>Mochila Kanken Classic Fog</t>
  </si>
  <si>
    <t>Mochila Kanken Classic Fog-Striped</t>
  </si>
  <si>
    <t>Mochila Kanken Classic Forest Green</t>
  </si>
  <si>
    <t>Mochila Kanken Classic Frost Green- Chess Pattern</t>
  </si>
  <si>
    <t>Mochila Kanken Classic Frost Green.</t>
  </si>
  <si>
    <t>Mochila Kanken Classic Frost Green-Peach Pink</t>
  </si>
  <si>
    <t>Mochila Kanken Classic Graphite</t>
  </si>
  <si>
    <t>Mochila Kanken Classic Green ­Folk Pattern.</t>
  </si>
  <si>
    <t>Mochila Kanken Classic Green.</t>
  </si>
  <si>
    <t>Mochila Kanken Classic Navy</t>
  </si>
  <si>
    <t>Mochila Kanken Classic Ochre</t>
  </si>
  <si>
    <t>Mochila Kanken Classic Ox Red</t>
  </si>
  <si>
    <t>Mochila Kanken Classic Peach Pink 16 L</t>
  </si>
  <si>
    <t>Mochila Kanken Classic Plum</t>
  </si>
  <si>
    <t>Mochila Kanken Classic Royal Blue</t>
  </si>
  <si>
    <t>Mochila Kanken Classic Sky Blue</t>
  </si>
  <si>
    <t>Mochila Kanken Classic Un Blue.</t>
  </si>
  <si>
    <t>Mochila Kanken Clay 16 L</t>
  </si>
  <si>
    <t>Mochila Kanken Deep Turquoise 16 L</t>
  </si>
  <si>
    <t>Mochila Kanken Green-Folk Pattern.</t>
  </si>
  <si>
    <t>Mochila Kanken Laptop 15" Fog</t>
  </si>
  <si>
    <t>Mochila Kanken Mini Acorn-Ox Red</t>
  </si>
  <si>
    <t>Mochila Kanken Mini Air Blue.</t>
  </si>
  <si>
    <t>Mochila Kanken Mini Air Blue-Rainbow Pattern 16 L</t>
  </si>
  <si>
    <t>Mochila Kanken Mini Air Blue-Striped.</t>
  </si>
  <si>
    <t>Mochila Kanken Mini Black</t>
  </si>
  <si>
    <t>Mochila Kanken Mini Black-Ox Red</t>
  </si>
  <si>
    <t>Mochila Kanken Mini Black-Rainbow Pattern 16 L</t>
  </si>
  <si>
    <t>Mochila Kanken Mini Black-Striped</t>
  </si>
  <si>
    <t>Mochila Kanken Mini Blue-Flamingo Pink</t>
  </si>
  <si>
    <t>Mochila Kanken Mini Brick</t>
  </si>
  <si>
    <t>Mochila Kanken Mini Deep Forest-Acorn</t>
  </si>
  <si>
    <t>Mochila Kanken Mini Deep Red-Random Blocked.</t>
  </si>
  <si>
    <t>Mochila Kanken Mini Fog-Striped.</t>
  </si>
  <si>
    <t>Mochila Kanken Mini Frost Green</t>
  </si>
  <si>
    <t>Mochila Kanken Mini Frost Green-Chess Pattern.</t>
  </si>
  <si>
    <t>Mochila Kanken Mini Frost Green-Peach Pink</t>
  </si>
  <si>
    <t>Mochila Kanken Mini Graphite</t>
  </si>
  <si>
    <t>Mochila Kanken Mini Green.</t>
  </si>
  <si>
    <t>Mochila Kanken Mini Navy</t>
  </si>
  <si>
    <t>Mochila Kanken Mini Navy-Long Stripes</t>
  </si>
  <si>
    <t>Mochila Kanken Mini Ochre</t>
  </si>
  <si>
    <t>Mochila Kanken Mini Ox Red</t>
  </si>
  <si>
    <t>Mochila Kanken Mini Ox Red-Goose Eye</t>
  </si>
  <si>
    <t>Mochila Kanken Mini Peach Pink</t>
  </si>
  <si>
    <t>Mochila Kanken Mini Spicy Orange</t>
  </si>
  <si>
    <t>Mochila Kanken Mini Spruce Green-Clay</t>
  </si>
  <si>
    <t>Mochila Kanken Mini Warm Yellow</t>
  </si>
  <si>
    <t>Mochila Kanken Mint Green-Cool White 16 L</t>
  </si>
  <si>
    <t>Mochila Kanken Navy-Long Stripes 16 L</t>
  </si>
  <si>
    <t>Mochila Kanken No.2 Laptop 15" Black</t>
  </si>
  <si>
    <t>Mochila Kanken No.2 Laptop 15" Navy 18 L</t>
  </si>
  <si>
    <t>Mochila Kanken No.2 Mini Black</t>
  </si>
  <si>
    <t>Mochila Kanken Ox Red-Goose Eye 16 L</t>
  </si>
  <si>
    <t>Mochila Kanken Pastel Lavender-Cool White 16 L</t>
  </si>
  <si>
    <t>Mochila Kanken Rowan Red 16 L</t>
  </si>
  <si>
    <t>Mochila Kanken Royal Blue-Goose Eye</t>
  </si>
  <si>
    <t>Mochila Kanken Sling Corn 16 L</t>
  </si>
  <si>
    <t>Mochila Kanken Sling Graphite</t>
  </si>
  <si>
    <t>Mochila Kanken Sling Navy</t>
  </si>
  <si>
    <t>Mochila Kanken Spruce Green-Clay 16 L</t>
  </si>
  <si>
    <t>Mochila Kanken Warm Yellow-Rainbow Pattern 16 L</t>
  </si>
  <si>
    <t>Funda Notebook 15" Kanken Black</t>
  </si>
  <si>
    <t>Funda Notebook 15" Kanken Frost Green</t>
  </si>
  <si>
    <t>Funda Notebook 15" Kanken Navy</t>
  </si>
  <si>
    <t>Mochila Kanken Ochre-Chess Pattern 16 L</t>
  </si>
  <si>
    <t>Mochila Kanken Pastel Lavender 16 L</t>
  </si>
  <si>
    <t>Mochila Kanken Pink 16 L</t>
  </si>
  <si>
    <t>Mochila Kanken Royal Blue-Flamingo Pink 16 L</t>
  </si>
  <si>
    <t>Mochila Kanken Spruce Green 16 L</t>
  </si>
  <si>
    <t>Mochila Kanken Warm Yellow 16 L</t>
  </si>
  <si>
    <t>Pantalón Vidda Pro Reg Dark Grey</t>
  </si>
  <si>
    <t>FOX</t>
  </si>
  <si>
    <t>15694-001-OS</t>
  </si>
  <si>
    <t>Pad Porta 6 Bicicletas Surf Camionetas Large Tailgate</t>
  </si>
  <si>
    <t>24609-122-OS</t>
  </si>
  <si>
    <t>Bolso Moto 180 Duffle Linc Rojo</t>
  </si>
  <si>
    <t>23973-130-L</t>
  </si>
  <si>
    <t>Casco Moto V2 Hayl Amarillo 2020 Fox</t>
  </si>
  <si>
    <t>Fox</t>
  </si>
  <si>
    <t>23227-014-M</t>
  </si>
  <si>
    <t>CODERAS ENDURO NEGRO/GRIS</t>
  </si>
  <si>
    <t>23227-014-S</t>
  </si>
  <si>
    <t>27381-167-S</t>
  </si>
  <si>
    <t>GUANTES MUJER DEFEND VERDE</t>
  </si>
  <si>
    <t>24623-007-XL</t>
  </si>
  <si>
    <t>Polera Moto Niño 180 Fyce Azul</t>
  </si>
  <si>
    <t>14625-021-XL</t>
  </si>
  <si>
    <t>POLERON CANGURO LEGACY FOXHEAD NEGRO</t>
  </si>
  <si>
    <t>23228-001-L</t>
  </si>
  <si>
    <t>Rodilleras Bicicleta Enduro Knee Sleeve Negro</t>
  </si>
  <si>
    <t>06192-001-OS</t>
  </si>
  <si>
    <t>Rodilleras Moto Titan Pro Negro</t>
  </si>
  <si>
    <t>22979-054-L</t>
  </si>
  <si>
    <t>Visera Moto Mx19 V1 Motif Rojo/Blanco Trail Sports</t>
  </si>
  <si>
    <t>WD40-39001</t>
  </si>
  <si>
    <t>LUBRICANTE DE CADENA SECO</t>
  </si>
  <si>
    <t>Limpiadores de Cadena</t>
  </si>
  <si>
    <t>Casco Bicicleta Rampage Pro Carbon Negro Matte Fox</t>
  </si>
  <si>
    <t>Fuzzikins</t>
  </si>
  <si>
    <t>FF103C</t>
  </si>
  <si>
    <t>Bebé Hamster</t>
  </si>
  <si>
    <t>Bebé Mono</t>
  </si>
  <si>
    <t>Bebé Oveja</t>
  </si>
  <si>
    <t>Familia De Conejos</t>
  </si>
  <si>
    <t>FF001C</t>
  </si>
  <si>
    <t>Familia De Gatos</t>
  </si>
  <si>
    <t>FF002C</t>
  </si>
  <si>
    <t>Familia De Perros</t>
  </si>
  <si>
    <t>Go Travel</t>
  </si>
  <si>
    <t>Adaptador De Corriente Universal + 1 Puerto Usb</t>
  </si>
  <si>
    <t>Adaptador Enchufe Universal Con Tierra Tres Clavijas + 2 Usb</t>
  </si>
  <si>
    <t>Adaptador Universal Con 3 Puertos Usb-A 2.4A</t>
  </si>
  <si>
    <t>Adaptador Universal Usb-A Y Usb-C Carga Rapida</t>
  </si>
  <si>
    <t>Almohada De Viaje Inflable</t>
  </si>
  <si>
    <t>Almohada Fusion Inflable Dual</t>
  </si>
  <si>
    <t>Almohada Memoria American Zzz Naranjo</t>
  </si>
  <si>
    <t>Antifaz Suave Y Comodo Zzz Naranjo</t>
  </si>
  <si>
    <t>Antifaz Y Tapones De Oido</t>
  </si>
  <si>
    <t>Billetera Rfid Clip Seguro</t>
  </si>
  <si>
    <t>Bolso Plegable Tote Bag Light 24Lts</t>
  </si>
  <si>
    <t>GT361</t>
  </si>
  <si>
    <t>Candado Con Cable Retráctil</t>
  </si>
  <si>
    <t>Candado Tsa Bronce Con Llave</t>
  </si>
  <si>
    <t>Candado Tsa Con Clave</t>
  </si>
  <si>
    <t>Candado TSA con Clave Morado</t>
  </si>
  <si>
    <t>Clip Sujetador De Equipaje Ajustable</t>
  </si>
  <si>
    <t>Conector Retractil 3 En 1</t>
  </si>
  <si>
    <t>Descansa Pies Inflable Fusion</t>
  </si>
  <si>
    <t>Dos Capas De Agua + Bolsito Naranjo</t>
  </si>
  <si>
    <t>Frazada De Viaje 127X152Cm</t>
  </si>
  <si>
    <t>Frazada Tipo Poncho + Almohada Multiuso</t>
  </si>
  <si>
    <t>GT684GRI</t>
  </si>
  <si>
    <t>Micro Billetera Con Bloqueo Rfid</t>
  </si>
  <si>
    <t>GT674</t>
  </si>
  <si>
    <t>Organizador De Documentos Con Bloqueo Rfid</t>
  </si>
  <si>
    <t>Organizador De Equipaje 2 Piezas Cubos</t>
  </si>
  <si>
    <t>GT286</t>
  </si>
  <si>
    <t>Organizador De Equipaje 3 Piezas Cubos</t>
  </si>
  <si>
    <t>Par De Candados Tsa Con Cable</t>
  </si>
  <si>
    <t>Pesa Digital De Equipaje 50 Kgs</t>
  </si>
  <si>
    <t>Pesa Digital De Equipaje Pro 50 Kgs</t>
  </si>
  <si>
    <t>Porta Dinero Con Bloqueo Rfid</t>
  </si>
  <si>
    <t>GT673BEI</t>
  </si>
  <si>
    <t>Porta Pasaporte Beige con Bloqueo Rfid</t>
  </si>
  <si>
    <t>Porta Pasaporte con Bloqueo Rfid</t>
  </si>
  <si>
    <t>Set 2 Botellitas Para Cabina Silicona 100Ml</t>
  </si>
  <si>
    <t>Set 3 Botellitas Para Cabina Silicona 60 ml</t>
  </si>
  <si>
    <t>Tapones de oídos adultos Earplanes</t>
  </si>
  <si>
    <t>Tapones de oídos niños Earplanes</t>
  </si>
  <si>
    <t>Tapones de oídos Z Zone</t>
  </si>
  <si>
    <t>GT2006</t>
  </si>
  <si>
    <t>Pesa Maleta Digital</t>
  </si>
  <si>
    <t>Goliath</t>
  </si>
  <si>
    <t>Juego Sequence Goliath</t>
  </si>
  <si>
    <t>Juego Mandibulas Goliath</t>
  </si>
  <si>
    <t>Goya</t>
  </si>
  <si>
    <t>Aromatizador Home Spray 500ml GOYA (Citron Verveine)</t>
  </si>
  <si>
    <t>Aromatizadores casa</t>
  </si>
  <si>
    <t>Aromatizador Home Spray 500ml GOYA (Fig Marie)</t>
  </si>
  <si>
    <t>Aromatizador Home Spray 500ml GOYA (Santal Wood)</t>
  </si>
  <si>
    <t>Aromatizador Home Spray 500ml GOYA (Vanilla Soleil)</t>
  </si>
  <si>
    <t>Aromatizador Home Spray Ambar 500ml GOYA (Fig Marie)</t>
  </si>
  <si>
    <t>Aromatizador Home Spray Ambar 500ml GOYA (Santal Wood)</t>
  </si>
  <si>
    <t>Aromatizador Home Spray Transparente 500ml GOYA (Citron Verveine)</t>
  </si>
  <si>
    <t>Aromatizador Home Spray Transparente 500ml GOYA (Vanilla Soleil)</t>
  </si>
  <si>
    <t>PRUEBAGOYA-1</t>
  </si>
  <si>
    <t>Difusor Ambiental Varitas Sandal Wood 150ml GOYA</t>
  </si>
  <si>
    <t>Aromatizadores varitas</t>
  </si>
  <si>
    <t>GOYADIVA-CV</t>
  </si>
  <si>
    <t>Difusor Varillas Citron Verveine 150ml GOYA</t>
  </si>
  <si>
    <t>Difusor Varillas Sandal Wood 150ml GOYA</t>
  </si>
  <si>
    <t>GOYADIVA-VS</t>
  </si>
  <si>
    <t>Difusor Varillas Vanilla Soleil 150ml GOYA</t>
  </si>
  <si>
    <t>Pack453-FM</t>
  </si>
  <si>
    <t>Difusor Varitas 150ml + Home Spray 500ml Fig Marie GOYA</t>
  </si>
  <si>
    <t>Pack453-CV</t>
  </si>
  <si>
    <t>Difusor Varitas 150ml + Homespray 500ml Citron Verveine GOYA</t>
  </si>
  <si>
    <t>PackCITVER</t>
  </si>
  <si>
    <t>Pack453-SW</t>
  </si>
  <si>
    <t>Difusor Varitas 150ml + Homespray 500ml Sandal Wood GOYA</t>
  </si>
  <si>
    <t>Pack453-VS</t>
  </si>
  <si>
    <t>Difusor Varitas 150ml + Homespray 500ml Vanilla Soleil GOYA</t>
  </si>
  <si>
    <t>Difusor Varitas 150ml GOYA (Fig Marie)</t>
  </si>
  <si>
    <t>Difusor Varitas Ambar 150ml GOYA (Fig Marie)</t>
  </si>
  <si>
    <t>Difusor Varitas Ambar 150ml GOYA (Santal Wood)</t>
  </si>
  <si>
    <t>Difusor Varitas Transparente 150ml GOYA (Citron Verveine)</t>
  </si>
  <si>
    <t>Difusor Varitas Transparente 150ml GOYA (Vanilla Soleil)</t>
  </si>
  <si>
    <t>PackFIGMAR</t>
  </si>
  <si>
    <t>Pack Home Spray + Difusor Varillas Fig Marie GOYA</t>
  </si>
  <si>
    <t>PackSANWOO</t>
  </si>
  <si>
    <t>Pack Home Spray + Difusor Varillas Sandal Wood GOYA</t>
  </si>
  <si>
    <t>PackVANSOL</t>
  </si>
  <si>
    <t>Pack Home Spray + Difusor Varillas Vanilla Soleil GOYA</t>
  </si>
  <si>
    <t>Set De 6 Cactus Artificiales 8 X 8 X 11 Cm</t>
  </si>
  <si>
    <t>Acople De Manguera De 1/2</t>
  </si>
  <si>
    <t>Acople De Manguera De 3/4</t>
  </si>
  <si>
    <t>Apoya Rodilla Jardín</t>
  </si>
  <si>
    <t>Aspersor De Impulsos / Rociador</t>
  </si>
  <si>
    <t>Cultivador De Mano Acero Inoxidable Y Mango Antideslizante 33 X 9 X 5 Cm</t>
  </si>
  <si>
    <t>Desmalezador de Acero Inoxidable con Mango Antideslizante Grouw</t>
  </si>
  <si>
    <t>Manguera Extensible 7,5-22,4 MT, Incluye Accesorios Grouw</t>
  </si>
  <si>
    <t>Pala Jardinera Acero Inoxidable Y Mango Antideslizante Grouw</t>
  </si>
  <si>
    <t>Pala Jardinera Con Medidas Acero Inoxidable Y Mango Grouw</t>
  </si>
  <si>
    <t>Papiro 95 Cms Grouw</t>
  </si>
  <si>
    <t>Porta Manguera Colgante Con Almacenamiento</t>
  </si>
  <si>
    <t>Porta Manguera para Pared 20m Grouw</t>
  </si>
  <si>
    <t>Regador Aspersor Oscilante 17 Chorros Aluminio/Plástico Grouw</t>
  </si>
  <si>
    <t>Regador Piton Riego De 1/2</t>
  </si>
  <si>
    <t>Set De Conectores Manguera De 1/2</t>
  </si>
  <si>
    <t>Set De Dos Herramientas De Jardin</t>
  </si>
  <si>
    <t>Set De Jardín 4 Pcs Grouw</t>
  </si>
  <si>
    <t>Set De Manguera De 1/2 20 Mts Con Conectores</t>
  </si>
  <si>
    <t>Set de Regadores para Manguera de Riego Grouw</t>
  </si>
  <si>
    <t>Set Pistola De Riego 8 Funciones 4 Piezas</t>
  </si>
  <si>
    <t>Set Piton De 1/2 Con Conectores</t>
  </si>
  <si>
    <t>Tijera Corta ramas 60 cm Grouw</t>
  </si>
  <si>
    <t>Tijera Podadora Con Bypass Grouw</t>
  </si>
  <si>
    <t>Tijera Podadora Ergonómica (Rel Sku 97512)</t>
  </si>
  <si>
    <t>Tijera Podadora para Setos Grouw</t>
  </si>
  <si>
    <t>Tijera Podadora Rosada (Rel Sku 95688)</t>
  </si>
  <si>
    <t>Tijeron Extensible Telescópica de Aluminio 58-78 Cm Grouw</t>
  </si>
  <si>
    <t>Macetero Metal Azul 55 X 20 X 70 Cm Grouw</t>
  </si>
  <si>
    <t>Harry Potter</t>
  </si>
  <si>
    <t>Ojo De Lince De Harry Potter</t>
  </si>
  <si>
    <t>HOOK</t>
  </si>
  <si>
    <t>HK-320C-B-L</t>
  </si>
  <si>
    <t>Proteccion 320C Black L</t>
  </si>
  <si>
    <t>Protecciones patines</t>
  </si>
  <si>
    <t>Set De Protección 320C Pink S</t>
  </si>
  <si>
    <t>HK-320C-B-XL</t>
  </si>
  <si>
    <t>Set de Protecciones Black</t>
  </si>
  <si>
    <t>HK-320C-B-M</t>
  </si>
  <si>
    <t>Set de Protecciones Black M</t>
  </si>
  <si>
    <t>HK-320C-B-S</t>
  </si>
  <si>
    <t>Set de Protecciones Black S</t>
  </si>
  <si>
    <t>HK-911P</t>
  </si>
  <si>
    <t>Set Proteccion Niña Casco Incluye Muñequera</t>
  </si>
  <si>
    <t>HK-911B</t>
  </si>
  <si>
    <t>Set Proteccion Niño Casco Incluye Muñequera</t>
  </si>
  <si>
    <t>Hook</t>
  </si>
  <si>
    <t>PACK51</t>
  </si>
  <si>
    <t>Scooter Monopatin + Set Protección Incluye Muñequera</t>
  </si>
  <si>
    <t>PACK50</t>
  </si>
  <si>
    <t>Scooter Monopatin + Set Protección Niña con Muñequera</t>
  </si>
  <si>
    <t>Scooter Monopatin Niños Fold</t>
  </si>
  <si>
    <t>Scooter Monopatin Niños FW</t>
  </si>
  <si>
    <t>Scooter Monopatin Niños HK 203</t>
  </si>
  <si>
    <t>Scooter Monopatin Niños Maxi</t>
  </si>
  <si>
    <t>Scooter Monopatin Niños Maxi Pro</t>
  </si>
  <si>
    <t>Bicicleta Rutera 700C Modelo Gia 2 Talla L 20" Negra</t>
  </si>
  <si>
    <t>Bicicletas ruteras</t>
  </si>
  <si>
    <t>Bicicleta Rutera 700C Modelo Gia 2 Talla M 18" Gris</t>
  </si>
  <si>
    <t>Bicicleta Rutera 700C Modelo Monse 2 Talla M 18" Negra</t>
  </si>
  <si>
    <t>B-PW-172 WHITE</t>
  </si>
  <si>
    <t>FRENO B-PW-172 WHITE (set dos unidades)</t>
  </si>
  <si>
    <t>Patinaje y Scooter</t>
  </si>
  <si>
    <t>Frenos Patines</t>
  </si>
  <si>
    <t>HK-B-172PRO</t>
  </si>
  <si>
    <t>Freno HK-B-172Pro</t>
  </si>
  <si>
    <t>Patin 4 Ruedas Artistico Blanco-Rosa 28</t>
  </si>
  <si>
    <t>Patines 4 ruedas</t>
  </si>
  <si>
    <t>HK-170WP 29</t>
  </si>
  <si>
    <t>Patin 4 Ruedas Artistico Blanco-Rosa 29</t>
  </si>
  <si>
    <t>HK-170WP 33</t>
  </si>
  <si>
    <t>Patin 4 Ruedas Artistico Blanco-Rosa 33</t>
  </si>
  <si>
    <t>HK-170WP 30</t>
  </si>
  <si>
    <t>Patines 4 Ruedas 170 Blanco Rosa Talla 30</t>
  </si>
  <si>
    <t>HK-170WP 31</t>
  </si>
  <si>
    <t>Patines 4 Ruedas 170 Blanco Rosa Talla 31</t>
  </si>
  <si>
    <t>HK-170WP 32</t>
  </si>
  <si>
    <t>Patines 4 Ruedas 170 Blanco Rosa Talla 32</t>
  </si>
  <si>
    <t>HK-170WP 35</t>
  </si>
  <si>
    <t>Patines 4 Ruedas 170 Blanco Rosa Talla 35</t>
  </si>
  <si>
    <t>HK-170WP 36</t>
  </si>
  <si>
    <t>Patines 4 Ruedas 170 Blanco Rosa Talla 36</t>
  </si>
  <si>
    <t>HK-172PRO 33</t>
  </si>
  <si>
    <t>Patines 4 Ruedas 172 Pro Blanco Talla 33</t>
  </si>
  <si>
    <t>HK-172PRO 34</t>
  </si>
  <si>
    <t>Patines 4 Ruedas 172 Pro Blanco Talla 34</t>
  </si>
  <si>
    <t>HK-172PRO 35</t>
  </si>
  <si>
    <t>Patines 4 Ruedas 172 Pro Blanco Talla 35</t>
  </si>
  <si>
    <t>HK-172PRO 36</t>
  </si>
  <si>
    <t>Patines 4 Ruedas 172 Pro Blanco Talla 36</t>
  </si>
  <si>
    <t>HK-172PRO 37</t>
  </si>
  <si>
    <t>Patines 4 Ruedas 172 Pro Blanco Talla 37</t>
  </si>
  <si>
    <t>HK-172PRO 38</t>
  </si>
  <si>
    <t>Patines 4 Ruedas 172 Pro Blanco Talla 38</t>
  </si>
  <si>
    <t>HK-172PRO 39</t>
  </si>
  <si>
    <t>Patines 4 Ruedas 172 Pro Blanco Talla 39</t>
  </si>
  <si>
    <t>HK-172PRO 40</t>
  </si>
  <si>
    <t>Patines 4 Ruedas 172 Pro Blanco Talla 40</t>
  </si>
  <si>
    <t>HK-172PRO 41</t>
  </si>
  <si>
    <t>Patines 4 Ruedas 172 Pro Blanco Talla 41</t>
  </si>
  <si>
    <t>HK-170WP-28</t>
  </si>
  <si>
    <t>Patin 170 White-Pink 28</t>
  </si>
  <si>
    <t>Patines en línea</t>
  </si>
  <si>
    <t>HK-170WP-32</t>
  </si>
  <si>
    <t>Patin 170 White-Pink 32</t>
  </si>
  <si>
    <t>HK-170WP-34</t>
  </si>
  <si>
    <t>Patin 170 White-Pink 34</t>
  </si>
  <si>
    <t>HK-129B PRO-XL</t>
  </si>
  <si>
    <t>Patín En Línea Fitness Pro Adulto Negro XL (43-46)</t>
  </si>
  <si>
    <t>HK-129B-PRO-L</t>
  </si>
  <si>
    <t>Patin Inline Roller Fitness Pro Adulto Negro</t>
  </si>
  <si>
    <t>HK-129B-PRO-S</t>
  </si>
  <si>
    <t>HK-129B-PRO-XL</t>
  </si>
  <si>
    <t>HK-129B-PRO-M</t>
  </si>
  <si>
    <t>Patin Inline Roller Fitness Pro Adulto Negro Talla L</t>
  </si>
  <si>
    <t>HK-129B PRO-S</t>
  </si>
  <si>
    <t>Patín Roller Inline Fitness Adulto Negro Talla S</t>
  </si>
  <si>
    <t>Patin Roller Inline Fitness Pro Adulto Negro Talla M</t>
  </si>
  <si>
    <t>HK-129BPRO-S</t>
  </si>
  <si>
    <t>Patin Roller Inline Fitness Pro Adulto Negro Talla S</t>
  </si>
  <si>
    <t>Patin Roller Triskate Adulto Talla L</t>
  </si>
  <si>
    <t>HK-153BG-M</t>
  </si>
  <si>
    <t>Patin Roller Triskate Adulto Talla M</t>
  </si>
  <si>
    <t>HK-170WP 34</t>
  </si>
  <si>
    <t>Patines 4 Ruedas 170 Blanco Rosa Talla 34</t>
  </si>
  <si>
    <t>Patines en Linea Fitness Negro S (33-36)</t>
  </si>
  <si>
    <t>PATINES EN LINEA FITNESS NEGRO XS(29-32)</t>
  </si>
  <si>
    <t>HK-132B-L</t>
  </si>
  <si>
    <t>Patines En Linea Fitness Power 132B</t>
  </si>
  <si>
    <t>HK-132B-M</t>
  </si>
  <si>
    <t>Patines Inline Fitness Morado Talla M</t>
  </si>
  <si>
    <t>HK-150GP 37</t>
  </si>
  <si>
    <t>Patines Roller 150G Morado Talla 37</t>
  </si>
  <si>
    <t>HK-150GP 38</t>
  </si>
  <si>
    <t>Patines Roller 150G Morado Talla 38</t>
  </si>
  <si>
    <t>HK-150GP 39</t>
  </si>
  <si>
    <t>Patines Roller 150G Morado Talla 39</t>
  </si>
  <si>
    <t>HK-150GP 40</t>
  </si>
  <si>
    <t>Patines Roller 150G Morado Talla 40</t>
  </si>
  <si>
    <t>HK-150GP 41</t>
  </si>
  <si>
    <t>Patines Roller 150G Morado Talla 41</t>
  </si>
  <si>
    <t>HK-150GP 42</t>
  </si>
  <si>
    <t>Patines Roller 150G Morado Talla 42</t>
  </si>
  <si>
    <t>Patines Roller Fitness Power Talla S (31-34)</t>
  </si>
  <si>
    <t>Patines Roller Fitness Power Talla XS (27-30)</t>
  </si>
  <si>
    <t>HK-A65-39</t>
  </si>
  <si>
    <t>Patines Roller Freeskate Rock Skate Talla 39</t>
  </si>
  <si>
    <t>HK-A65-40</t>
  </si>
  <si>
    <t>Patines Roller Freeskate Rock Skate Talla 40</t>
  </si>
  <si>
    <t>HK-A65-41</t>
  </si>
  <si>
    <t>Patines Roller Freeskate Rock Skate Talla 41</t>
  </si>
  <si>
    <t>HK-A65-42</t>
  </si>
  <si>
    <t>Patines Roller Freeskate Rock Skate Talla 42</t>
  </si>
  <si>
    <t>HK-A65-43</t>
  </si>
  <si>
    <t>Patines Roller Freeskate Rock Skate Talla 43</t>
  </si>
  <si>
    <t>HK-A65-44</t>
  </si>
  <si>
    <t>Patines Roller Freeskate Rock Skate Talla 44</t>
  </si>
  <si>
    <t>HK-A65-45</t>
  </si>
  <si>
    <t>Patines Roller Freeskate Rock Skate Talla 45</t>
  </si>
  <si>
    <t>HK-A65-46</t>
  </si>
  <si>
    <t>Patines Roller Freeskate Rock Skate Talla 46</t>
  </si>
  <si>
    <t>HK-A65-47</t>
  </si>
  <si>
    <t>Patines Roller Freeskate Rock Skate Talla 47</t>
  </si>
  <si>
    <t>Patines Roller Hit Gold Talla 43</t>
  </si>
  <si>
    <t>Patines Roller Hit Gold Talla 44</t>
  </si>
  <si>
    <t>Patines Roller Hit Gold Talla 45</t>
  </si>
  <si>
    <t>Patines Roller Hit Gold Talla 46</t>
  </si>
  <si>
    <t>HK-126C-PP-S</t>
  </si>
  <si>
    <t>Patines Roller Inline Fitness Morado Talla S</t>
  </si>
  <si>
    <t>Patines Roller Inline Fitness Morado Talla Xs</t>
  </si>
  <si>
    <t>Patines Roller Inline Fitness Negro Talla M</t>
  </si>
  <si>
    <t>Patines Roller Inline Fitness Negro Talla S</t>
  </si>
  <si>
    <t>ABEC-5</t>
  </si>
  <si>
    <t>RODAMIENTO ABEC-5</t>
  </si>
  <si>
    <t>Rodamientos Patines</t>
  </si>
  <si>
    <t>ABEC-7</t>
  </si>
  <si>
    <t>RODAMIENTO ABEC-7</t>
  </si>
  <si>
    <t>ABEC-9</t>
  </si>
  <si>
    <t>RODAMIENTO ABEC-9</t>
  </si>
  <si>
    <t>HK-FW-BLUE</t>
  </si>
  <si>
    <t>SCOOTER FW BLUE</t>
  </si>
  <si>
    <t>Scooters adultos</t>
  </si>
  <si>
    <t>HN002</t>
  </si>
  <si>
    <t>Tirante Patines Rojo</t>
  </si>
  <si>
    <t>Tirantes Patines</t>
  </si>
  <si>
    <t>Casco 907b Negro L</t>
  </si>
  <si>
    <t>Casco 907b Negro M</t>
  </si>
  <si>
    <t>HK-907PPM</t>
  </si>
  <si>
    <t>Casco Urbano Con Luz Morado M</t>
  </si>
  <si>
    <t>HK-907PPL</t>
  </si>
  <si>
    <t>Casco Urbano Morado L</t>
  </si>
  <si>
    <t>Ilko</t>
  </si>
  <si>
    <t>Bateria de Ollas Antiadherente 7 piezas</t>
  </si>
  <si>
    <t>Cuchillo Cocina 18cm Profesional Negro</t>
  </si>
  <si>
    <t>Cuchillo Cocina 20Cm Profesional</t>
  </si>
  <si>
    <t>Cuchillo Multiuso 13Cm Profesional</t>
  </si>
  <si>
    <t>Cuchillo Pelador 9Cm Profesional</t>
  </si>
  <si>
    <t>Inztinto</t>
  </si>
  <si>
    <t>Anteojos Akira Cheetah Brown</t>
  </si>
  <si>
    <t>Anteojos Akira Cheetah Green</t>
  </si>
  <si>
    <t>Anteojos Audrey Black 1.0</t>
  </si>
  <si>
    <t>Anteojos Audrey Black 1.5</t>
  </si>
  <si>
    <t>Anteojos Audrey Black 2.0</t>
  </si>
  <si>
    <t>Anteojos Audrey Black 2.5</t>
  </si>
  <si>
    <t>Anteojos Audrey Black 3.0</t>
  </si>
  <si>
    <t>Anteojos Audrey Green 1.0</t>
  </si>
  <si>
    <t>Anteojos Audrey Green 1.5</t>
  </si>
  <si>
    <t>Anteojos Audrey Green 2.0</t>
  </si>
  <si>
    <t>Anteojos Audrey Green 2.5</t>
  </si>
  <si>
    <t>Anteojos Audrey Green 3.0</t>
  </si>
  <si>
    <t>Anteojos Audrey Skyblue 1.0</t>
  </si>
  <si>
    <t>Anteojos Audrey Skyblue 1.5</t>
  </si>
  <si>
    <t>Anteojos Audrey Skyblue 2.0</t>
  </si>
  <si>
    <t>Anteojos Audrey Skyblue 2.5</t>
  </si>
  <si>
    <t>Anteojos Audrey Skyblue 3.0</t>
  </si>
  <si>
    <t>Anteojos Audrey Tortoise 1.0</t>
  </si>
  <si>
    <t>Anteojos Audrey Tortoise 1.5</t>
  </si>
  <si>
    <t>Anteojos Audrey Tortoise 2.0</t>
  </si>
  <si>
    <t>Anteojos Audrey Tortoise 2.5</t>
  </si>
  <si>
    <t>Anteojos Audrey Tortoise 3.0</t>
  </si>
  <si>
    <t>Anteojos Audrey Winered 1.0</t>
  </si>
  <si>
    <t>Anteojos Audrey Winered 1.5</t>
  </si>
  <si>
    <t>Anteojos Audrey Winered 2.0</t>
  </si>
  <si>
    <t>Anteojos Audrey Winered 2.5</t>
  </si>
  <si>
    <t>Anteojos Audrey Winered 3.0</t>
  </si>
  <si>
    <t>Anteojos Audrey Yellow 1.0</t>
  </si>
  <si>
    <t>Anteojos Audrey Yellow 1.5</t>
  </si>
  <si>
    <t>Anteojos Audrey Yellow 2.0</t>
  </si>
  <si>
    <t>Anteojos Audrey Yellow 2.5</t>
  </si>
  <si>
    <t>Anteojos Audrey Yellow 3.0</t>
  </si>
  <si>
    <t>Anteojos Billie Black</t>
  </si>
  <si>
    <t>Anteojos Billie Tortoise</t>
  </si>
  <si>
    <t>Anteojos Celine Black</t>
  </si>
  <si>
    <t>Anteojos Celine Cheetah</t>
  </si>
  <si>
    <t>Anteojos Celine Tortoise</t>
  </si>
  <si>
    <t>Anteojos Celine Yellow</t>
  </si>
  <si>
    <t>Anteojos Clint Black</t>
  </si>
  <si>
    <t>Anteojos Clint Dark Tortoise</t>
  </si>
  <si>
    <t>Anteojos Clint Grey</t>
  </si>
  <si>
    <t>Anteojos Clint Tortoise</t>
  </si>
  <si>
    <t>Anteojos Cohen Black</t>
  </si>
  <si>
    <t>Anteojos Cohen Blue</t>
  </si>
  <si>
    <t>Anteojos Cohen Brown</t>
  </si>
  <si>
    <t>Anteojos Cohen Grey</t>
  </si>
  <si>
    <t>Anteojos Coppola Black</t>
  </si>
  <si>
    <t>Anteojos Coppola Tortoise</t>
  </si>
  <si>
    <t>Anteojos Dylan Black</t>
  </si>
  <si>
    <t>Anteojos Dylan Cheetah</t>
  </si>
  <si>
    <t>Anteojos Dylan Grey</t>
  </si>
  <si>
    <t>Anteojos Dylan Tortoise</t>
  </si>
  <si>
    <t>Anteojos George Black</t>
  </si>
  <si>
    <t>Anteojos George Brown</t>
  </si>
  <si>
    <t>Anteojos George Orange</t>
  </si>
  <si>
    <t>Anteojos George Tortoise</t>
  </si>
  <si>
    <t>Anteojos Jane Brown</t>
  </si>
  <si>
    <t>Anteojos Jane Grey</t>
  </si>
  <si>
    <t>Anteojos Jane Tortoise</t>
  </si>
  <si>
    <t>Anteojos Lennon Black</t>
  </si>
  <si>
    <t>Anteojos Lennon Tortoise</t>
  </si>
  <si>
    <t>Anteojos Lennon Winered</t>
  </si>
  <si>
    <t>Anteojos Lennon Yellow</t>
  </si>
  <si>
    <t>Anteojos Liam Black</t>
  </si>
  <si>
    <t>Anteojos Liam Cheetah</t>
  </si>
  <si>
    <t>Anteojos Liam Green</t>
  </si>
  <si>
    <t>Anteojos Liam Skyblue</t>
  </si>
  <si>
    <t>Anteojos Liam Tortoise</t>
  </si>
  <si>
    <t>Anteojos Liam Winered</t>
  </si>
  <si>
    <t>Anteojos Liam Yellow</t>
  </si>
  <si>
    <t>Anteojos Lynch Black</t>
  </si>
  <si>
    <t>Anteojos Lynch Cheetah</t>
  </si>
  <si>
    <t>Anteojos Lynch Tortoise</t>
  </si>
  <si>
    <t>Anteojos Miró Black</t>
  </si>
  <si>
    <t>Anteojos Miró Tortoise</t>
  </si>
  <si>
    <t>Anteojos Mondrian Black</t>
  </si>
  <si>
    <t>Anteojos Mondrian Orange</t>
  </si>
  <si>
    <t>Anteojos Mondrian Tortoise</t>
  </si>
  <si>
    <t>Anteojos Nick Black</t>
  </si>
  <si>
    <t>Anteojos Nick Cheetah</t>
  </si>
  <si>
    <t>Anteojos Nick Tortoise</t>
  </si>
  <si>
    <t>Anteojos Nolan Black</t>
  </si>
  <si>
    <t>Anteojos Nolan Tortoise</t>
  </si>
  <si>
    <t>Anteojos Stanley Cheetah</t>
  </si>
  <si>
    <t>Anteojos Thom Black</t>
  </si>
  <si>
    <t>Anteojos Thom Tortoise</t>
  </si>
  <si>
    <t>Anteojos Thom Winered</t>
  </si>
  <si>
    <t>Anteojos Thom Yellow</t>
  </si>
  <si>
    <t>Anteojos Wes Black</t>
  </si>
  <si>
    <t>Anteojos Wes Brown</t>
  </si>
  <si>
    <t>ITEK</t>
  </si>
  <si>
    <t>Freaky Mommy Azul</t>
  </si>
  <si>
    <t>Freaky Mommy Lila</t>
  </si>
  <si>
    <t>Freaky Mommy Negra</t>
  </si>
  <si>
    <t>Cámara Camtek Dvr Hd 1080p Autos Gt300 Nocturna Negra</t>
  </si>
  <si>
    <t>Cámaras de auto</t>
  </si>
  <si>
    <t>Cámara Domo de Seguridad HD 1080p</t>
  </si>
  <si>
    <t>Cámara Seguridad Wifi HIP316</t>
  </si>
  <si>
    <t>MC-10381</t>
  </si>
  <si>
    <t>Maquina Detector Billetes Falsos Luz Ultravioleta</t>
  </si>
  <si>
    <t>Detectores</t>
  </si>
  <si>
    <t>Manos Libre Intercomunicador Bluetooth Cascos Motos</t>
  </si>
  <si>
    <t>Intercomunicador</t>
  </si>
  <si>
    <t>Juguete Ufo Mágico Platillo Volador Plateado Acción</t>
  </si>
  <si>
    <t>Ufo 360º Negro Rojo Hoverblade Spinner Volador Control</t>
  </si>
  <si>
    <t>Parrilla Portátil Plateada Asado Maletín Carbón</t>
  </si>
  <si>
    <t>Pendrive Memoria Externa Idrive 32gb Para iPhone</t>
  </si>
  <si>
    <t>Pendrives</t>
  </si>
  <si>
    <t>AIR FLOW</t>
  </si>
  <si>
    <t>Remadoras</t>
  </si>
  <si>
    <t>Paragua Quitasol Sunshaders Playa Con Porta Botellas</t>
  </si>
  <si>
    <t>Sombrillas</t>
  </si>
  <si>
    <t>Placa Cobre Celular Cu+Safe</t>
  </si>
  <si>
    <t>Soporte Celular Magnetico Rejilla Magnetic Mount</t>
  </si>
  <si>
    <t>Ampolleta Auto Halógena Biolight 9007 65/55w White 12v</t>
  </si>
  <si>
    <t>Ampolletas auto</t>
  </si>
  <si>
    <t>Ampolleta Auto Halógena Dual H13 60/55w Super White12v</t>
  </si>
  <si>
    <t>Ampolleta Auto Halógena Dual Light H4 100/90 W Super</t>
  </si>
  <si>
    <t>Ampolleta Auto Halógena Singlelight H7 55w Cristal</t>
  </si>
  <si>
    <t>Ampolleta Halógena 9004 12v 65/45 W Blanca Bioligh</t>
  </si>
  <si>
    <t>Cooler Box V15 Outdoor</t>
  </si>
  <si>
    <t>Coolers</t>
  </si>
  <si>
    <t>Cooler V10 Con Parlante Bluetooth</t>
  </si>
  <si>
    <t>BANANO PARA CELULAR PANEL TOUCH Celeste</t>
  </si>
  <si>
    <t>BANANO PARA CELULAR PANEL TOUCH Negro</t>
  </si>
  <si>
    <t>Freaky Mommy Roja</t>
  </si>
  <si>
    <t>Freaky Mommy Verde</t>
  </si>
  <si>
    <t>Itek</t>
  </si>
  <si>
    <t>Industrial</t>
  </si>
  <si>
    <t>INNCAMINSH3-100</t>
  </si>
  <si>
    <t>Cámara de Inspección Baroscopio con Sonda 100 Mts H3</t>
  </si>
  <si>
    <t>Cámara de Inspección Baroscopio con Sonda 20 Mts H6</t>
  </si>
  <si>
    <t>Cámara de Inspección Baroscopio con Sonda 20 Mts TP9607F</t>
  </si>
  <si>
    <t>CAMH1INS</t>
  </si>
  <si>
    <t>Endoscopio Industrial H1</t>
  </si>
  <si>
    <t>INNCAMINS-960</t>
  </si>
  <si>
    <t>Endoscopio Industrial TP9600 AJU</t>
  </si>
  <si>
    <t>TP 3900 Sistema de cámara de inspección de tuberías</t>
  </si>
  <si>
    <t>TP9400C Sistema de cámara de inspección de tuberías de 10 pulgadas</t>
  </si>
  <si>
    <t>Botella De Agua De Aluminio Negra De 450 Ml</t>
  </si>
  <si>
    <t>In/Out</t>
  </si>
  <si>
    <t>Mundos En Colisión Caja De Inicio Para 2 Jugadores Keyforge</t>
  </si>
  <si>
    <t>Estrategia</t>
  </si>
  <si>
    <t>Mundos En Colisión Mazo De Arconte Keyforge</t>
  </si>
  <si>
    <t>CORCH01ML</t>
  </si>
  <si>
    <t>Juego Base Cortex Challenge</t>
  </si>
  <si>
    <t>G123427</t>
  </si>
  <si>
    <t>Juego BrainBox Érase una vez</t>
  </si>
  <si>
    <t>Juego de Mesa Catan</t>
  </si>
  <si>
    <t>DOBB04ESPT</t>
  </si>
  <si>
    <t>Juego de Mesa Dobble Blister (Eco)</t>
  </si>
  <si>
    <t>USATEL01CL</t>
  </si>
  <si>
    <t>Juego de Mesa Telestrations</t>
  </si>
  <si>
    <t>Ajedrez</t>
  </si>
  <si>
    <t>Monkey Toy Interactivo Azul</t>
  </si>
  <si>
    <t>Set Parrillero Asado Metal 3 Piezas</t>
  </si>
  <si>
    <t>Mochila Legend Antirrobo USB M1810 Negra y Gris</t>
  </si>
  <si>
    <t>Organizador De Llaves Mykeys Azul Para 10 Llaves</t>
  </si>
  <si>
    <t>Organizador llaves</t>
  </si>
  <si>
    <t>Organizador De Llaves Mykeys Plateado</t>
  </si>
  <si>
    <t>Organizador De Llaves Mykeys Rojo 12 Llaves</t>
  </si>
  <si>
    <t>Control Vr Box</t>
  </si>
  <si>
    <t>Vr Box amarillo</t>
  </si>
  <si>
    <t>Esterilizador Luz Uv De Bolsillo Sk8 Rojo Innovate-k</t>
  </si>
  <si>
    <t>Esterilizador Luz Uv De Bolsillo Sk8 Uvpocket Blanco</t>
  </si>
  <si>
    <t>Esterilizador Luz Uv De Bolsillo Sk8 Uvpocket Negro</t>
  </si>
  <si>
    <t>Android Tv Box Mxq Pro 4K</t>
  </si>
  <si>
    <t>Android Tv</t>
  </si>
  <si>
    <t>Correa Silicona Para Apple Watch 42/44mm Fucsia</t>
  </si>
  <si>
    <t>Weareables</t>
  </si>
  <si>
    <t>Accesorios Smartwatch</t>
  </si>
  <si>
    <t>AWS44-MORADA</t>
  </si>
  <si>
    <t>Correa Silicona Para Apple Watch 42/44mm Morada</t>
  </si>
  <si>
    <t>AWS44-VERDE</t>
  </si>
  <si>
    <t>Correa Silicona Para Apple Watch 42/44mm Verde</t>
  </si>
  <si>
    <t>Correa Silicona Para AWatch 38/40mm Morada</t>
  </si>
  <si>
    <t>AWS40-NEGRA</t>
  </si>
  <si>
    <t>Correa Silicona Para AWatch 38/40mm Negra</t>
  </si>
  <si>
    <t>AWS44-GRIS</t>
  </si>
  <si>
    <t>Correa Silicona Para AWatch 42/44mm GRIS</t>
  </si>
  <si>
    <t>AWS44-NEGRA</t>
  </si>
  <si>
    <t>Correa Silicona Para AWatch 42/44mm Negra</t>
  </si>
  <si>
    <t>AWS44-ROSADA</t>
  </si>
  <si>
    <t>Correa Silicona Para AWatch 42/44mm ROSADA</t>
  </si>
  <si>
    <t>It's Skin</t>
  </si>
  <si>
    <t>Crema En Capsula Power 10 Formula Gf One A 7Un</t>
  </si>
  <si>
    <t>Crema En Capsula Power 10 Formula Q10 7Un</t>
  </si>
  <si>
    <t>Crema En Capsula Power 10 Formula Vc One A 7Un</t>
  </si>
  <si>
    <t>Crema En Capsula Power 10 Formula Ye One A 7Un</t>
  </si>
  <si>
    <t>Power 10 Formula Gf Starter Kit</t>
  </si>
  <si>
    <t>Power 10 Formula Vc Starter Kit</t>
  </si>
  <si>
    <t>Gel Exfoliante Mangowhite 120Ml</t>
  </si>
  <si>
    <t>Desmaquillante Green Tea Calming 125Ml</t>
  </si>
  <si>
    <t>Espuma Limpiadora Citron 150Ml</t>
  </si>
  <si>
    <t>Espuma Limpiadora Green Tea Calming 150Ml</t>
  </si>
  <si>
    <t>Espuma Limpiadora Have A Banana 150Ml</t>
  </si>
  <si>
    <t>Espuma Limpiadora Have A Greengrape 150Ml</t>
  </si>
  <si>
    <t>Espuma Limpiadora Have A Orange 150Ml</t>
  </si>
  <si>
    <t>Espuma Limpiadora Have A Pomegranate 150Ml</t>
  </si>
  <si>
    <t>Espuma Limpiadora Mangowhite 150Ml</t>
  </si>
  <si>
    <t>Peeling Limpiador Citron 120Ml</t>
  </si>
  <si>
    <t>Face Mask It´S Skin The Fresh Pomegrante</t>
  </si>
  <si>
    <t>FACE MASK THE FRESH BAMBOO</t>
  </si>
  <si>
    <t>FACE MASK THE FRESH COCONUT</t>
  </si>
  <si>
    <t>FACE MASK THE FRESH LEMON</t>
  </si>
  <si>
    <t>Mascarilla Facial Power 10 Formula Gf</t>
  </si>
  <si>
    <t>Mascarilla Facial Power 10 Formula Vb</t>
  </si>
  <si>
    <t>Mascarilla Facial Power 10 Formula Vc</t>
  </si>
  <si>
    <t>Mascarilla Facial Power 10 Formula Ve</t>
  </si>
  <si>
    <t>Mascarilla Facial The Fresh Bamboo</t>
  </si>
  <si>
    <t>Mascarilla Facial The Fresh Carrot</t>
  </si>
  <si>
    <t>Mascarilla Facial The Fresh Honey</t>
  </si>
  <si>
    <t>Mascarilla Facial The Fresh Lemon</t>
  </si>
  <si>
    <t>Mascarilla Facial The Fresh Olive</t>
  </si>
  <si>
    <t>Mascarilla Facial The Fresh Pomegrante</t>
  </si>
  <si>
    <t>Mascarilla Facial The Fresh Rose</t>
  </si>
  <si>
    <t>Mascarilla Facial The Fresh Tomato</t>
  </si>
  <si>
    <t>Serum It´S Skin Power10 Formula Vc 30Ml</t>
  </si>
  <si>
    <t>Serum Power10 Formula Co 30Ml</t>
  </si>
  <si>
    <t>Serum Power10 Formula Propolis 30Ml</t>
  </si>
  <si>
    <t>Serum Power10 Formula Vc 30Ml</t>
  </si>
  <si>
    <t>SERUM POWER10 FORMULA WR 30ML</t>
  </si>
  <si>
    <t>Serum Power10 Formula Wr 30Ml</t>
  </si>
  <si>
    <t>Jada</t>
  </si>
  <si>
    <t>Mini Set 20 Figuras Minecraft 4 cm Jada</t>
  </si>
  <si>
    <t>Pack 4 Figuras Coleccionable Minecraft 9cm Jada</t>
  </si>
  <si>
    <t>Set 18 Figuras Minecraft Caves 4 cm Jada</t>
  </si>
  <si>
    <t>Set 20 Figuras Minecraft Dungeons 4 cm Jada</t>
  </si>
  <si>
    <t>Set 20 Figuras Minecraft Series 12 de 4 cm Jada</t>
  </si>
  <si>
    <t>Set 20 Mini Figuras Minecraft 4 cm Jada</t>
  </si>
  <si>
    <t>Jurassic World</t>
  </si>
  <si>
    <t>Dinosaurio Squish De 13 cm Jurassic World</t>
  </si>
  <si>
    <t>K6</t>
  </si>
  <si>
    <t>K6/67113</t>
  </si>
  <si>
    <t>Banda Elástica Ejercicios De Resistencia Roja K6</t>
  </si>
  <si>
    <t>Sporting Brands</t>
  </si>
  <si>
    <t>K6/66511</t>
  </si>
  <si>
    <t>Barra Ejercicio Multifuncional Flexiones Puerta K6</t>
  </si>
  <si>
    <t>K6/67090</t>
  </si>
  <si>
    <t>Doble Rueda Ejercicos Abdominal K6</t>
  </si>
  <si>
    <t>K6/66947</t>
  </si>
  <si>
    <t>Par de Handgrip Fitness K6</t>
  </si>
  <si>
    <t>K6/66235</t>
  </si>
  <si>
    <t>Porta Celular Ajustable Deporte Brazo Brazalete K6</t>
  </si>
  <si>
    <t>Karun</t>
  </si>
  <si>
    <t>Anteojos de Sol Puelo Polarizado Negro Ambrer Karün</t>
  </si>
  <si>
    <t>Karun World</t>
  </si>
  <si>
    <t>Kaos0091</t>
  </si>
  <si>
    <t>Lentes de Sol Outdoor Negro Calbuco by</t>
  </si>
  <si>
    <t>Kaos0111</t>
  </si>
  <si>
    <t>Lentes de Sol Outdoor Negro Octay by</t>
  </si>
  <si>
    <t>Kaos0101</t>
  </si>
  <si>
    <t>Lentes de Sol Outdoor Negro Osorno by</t>
  </si>
  <si>
    <t>KAOS0043</t>
  </si>
  <si>
    <t>Lentes de Sol Polarizado Azul Reloncaví by</t>
  </si>
  <si>
    <t>Kats0021</t>
  </si>
  <si>
    <t>Lentes de Sol Sports Polarizado Negro Domo by</t>
  </si>
  <si>
    <t>Kats0031</t>
  </si>
  <si>
    <t>Lentes de Sol Sports Polarizado Negro Mapu by</t>
  </si>
  <si>
    <t>Kats0041</t>
  </si>
  <si>
    <t>Lentes de Sol Sports Polarizado Negro Toki by</t>
  </si>
  <si>
    <t>Kats0023</t>
  </si>
  <si>
    <t>Lentes de Sol Sports Polarizado Rojo Domo by</t>
  </si>
  <si>
    <t>Kaus0093</t>
  </si>
  <si>
    <t>Lentes de Sol Urban Bronce Huemul by</t>
  </si>
  <si>
    <t>Kaus0021</t>
  </si>
  <si>
    <t>Lentes de Sol Urban Negro Franca by</t>
  </si>
  <si>
    <t>Kaus0035</t>
  </si>
  <si>
    <t>Lentes de Sol Urban Polarizado Negro Coipo by</t>
  </si>
  <si>
    <t>Kensington</t>
  </si>
  <si>
    <t>Bolso Maletin Associate 15.6" 15 Lts.</t>
  </si>
  <si>
    <t>Acco</t>
  </si>
  <si>
    <t>Bolso Maletin Sp40 15.6" 24 Lts.</t>
  </si>
  <si>
    <t>Maletín Contour 2.0 Notebook De 14"</t>
  </si>
  <si>
    <t>Mochila Contour Backpack 17" 33 Lts.</t>
  </si>
  <si>
    <t>Mochila Notebook Contour 2.0 Hasta 14"</t>
  </si>
  <si>
    <t>Adaptador Usb 4.0 Bluetooth</t>
  </si>
  <si>
    <t>Periféricos PC</t>
  </si>
  <si>
    <t>Cable Displayport 1.4 A Displayport 1.4</t>
  </si>
  <si>
    <t>Adaptador Hub Pockethub Usb 3.0 4 Puertos</t>
  </si>
  <si>
    <t>Apoya Muñecas Wrist Pillow Negro</t>
  </si>
  <si>
    <t>Accesorios ergonométricos</t>
  </si>
  <si>
    <t>Apoya Pies Easy Foot Rest 2.0 Smartfit</t>
  </si>
  <si>
    <t>Apoya Pies Solemassage Smartfit (5 Posiciones)</t>
  </si>
  <si>
    <t>Apoya Pies Solemate Plus 2.0 Smartfit</t>
  </si>
  <si>
    <t>Apoya Pies Solesaver (3 Posiciones)</t>
  </si>
  <si>
    <t>Apoya Pies Space Saving</t>
  </si>
  <si>
    <t>Cojín Asiento Memory Foam 2.0</t>
  </si>
  <si>
    <t>Cojín Asiento Premium Coolgel 2.0</t>
  </si>
  <si>
    <t>Base Monitor Organización Space Saving Hasta 27"</t>
  </si>
  <si>
    <t>Base Monitor Stand Plus Smartfit Hasta 24"</t>
  </si>
  <si>
    <t>Base Notebook &amp; Tablet Easy Riser Negra</t>
  </si>
  <si>
    <t>Base Notebook Easy Riser Go Smartfit Negra 17"</t>
  </si>
  <si>
    <t>Base Notebook Easy Riser Smartfit Hasta 17"</t>
  </si>
  <si>
    <t>Audífono Con Microfono Hifi Conector Jack</t>
  </si>
  <si>
    <t>Audífono Con Microfono Hifi Conector Usb</t>
  </si>
  <si>
    <t>Mouse Inalámbrico Ergonómico Pro Fit Blanco</t>
  </si>
  <si>
    <t>Mouse Inalámbrico Pro Fit Usb</t>
  </si>
  <si>
    <t>Mouse Pad Comfort Foam Negro</t>
  </si>
  <si>
    <t>Mouse Vertical Profit Negro Inalámbrico</t>
  </si>
  <si>
    <t>Presentador Inalambrico Expert 45 Mts Mouse</t>
  </si>
  <si>
    <t>Presentador Inalámbrico Expert Pro 50Mts</t>
  </si>
  <si>
    <t>Presentador Virtual Powerpointer</t>
  </si>
  <si>
    <t>Teclado Pro Fit Ergonómico Inalámbrico Negro</t>
  </si>
  <si>
    <t>Kitchen-It</t>
  </si>
  <si>
    <t>Cafetera Arezzo 4 en 1</t>
  </si>
  <si>
    <t>Kitchenit</t>
  </si>
  <si>
    <t>Kitchen-it</t>
  </si>
  <si>
    <t>CB5EN1</t>
  </si>
  <si>
    <t>Cafetera Espresso Bari 5 en 1</t>
  </si>
  <si>
    <t>ELAF41</t>
  </si>
  <si>
    <t>Espumador de Leche Aerofoam 4 en 1</t>
  </si>
  <si>
    <t>Freidora de Aire Chef Edition 4L</t>
  </si>
  <si>
    <t>Freidora de Aire Dual Edition 9L</t>
  </si>
  <si>
    <t>Freidora de Aire Family Edition 7L</t>
  </si>
  <si>
    <t>FALE8L</t>
  </si>
  <si>
    <t>Freidora de aire Luxe Edition 8L Kitchen-it</t>
  </si>
  <si>
    <t>Freidora de Aire Max Edition 12L</t>
  </si>
  <si>
    <t>Freidora de Aire Plus Edition 5L</t>
  </si>
  <si>
    <t>HFFE15L</t>
  </si>
  <si>
    <t>Horno Freidora de Aire Full Edition 24 en 1 - 15L</t>
  </si>
  <si>
    <t>Hervidor Big Edition 2,5 litros</t>
  </si>
  <si>
    <t>HGE18L</t>
  </si>
  <si>
    <t>Hervidor Glass Edition 1,8l</t>
  </si>
  <si>
    <t>HSC17L</t>
  </si>
  <si>
    <t>Hervidor Smart Control 1,7l</t>
  </si>
  <si>
    <t>HESS100L</t>
  </si>
  <si>
    <t>Horno Eléctrico Silver Series 100L Kitchen-It</t>
  </si>
  <si>
    <t>Horno Eléctrico Silver Series 45L</t>
  </si>
  <si>
    <t>Horno Eléctrico Silver Series 60L</t>
  </si>
  <si>
    <t>HFSE25L</t>
  </si>
  <si>
    <t>Horno Freidora Smart Editon 25L</t>
  </si>
  <si>
    <t>Horno Pizza a la Piedra - Black Edition</t>
  </si>
  <si>
    <t>LPP800W</t>
  </si>
  <si>
    <t>Licuadora Power Pro 800W</t>
  </si>
  <si>
    <t>Licuadora Professional Series 850W</t>
  </si>
  <si>
    <t>LSS1200W</t>
  </si>
  <si>
    <t>Licuadora Smart System 1200W</t>
  </si>
  <si>
    <t>MPL600W41</t>
  </si>
  <si>
    <t>Minipimer Lite 600W 4 en 1</t>
  </si>
  <si>
    <t>MPP1000W51</t>
  </si>
  <si>
    <t>Minipimer Pro 1000W 5 en 1</t>
  </si>
  <si>
    <t>PPPMXL</t>
  </si>
  <si>
    <t>Plancha Panini Pro Max XL</t>
  </si>
  <si>
    <t>Sandwicheras</t>
  </si>
  <si>
    <t>Sandwichera y Plancha Panini Master Series</t>
  </si>
  <si>
    <t>TST4PKI</t>
  </si>
  <si>
    <t>Tostador Digital Smart Toast 100% Automático Kitchen-It</t>
  </si>
  <si>
    <t>TV4PKI</t>
  </si>
  <si>
    <t>Tostador Vienna 4 panes</t>
  </si>
  <si>
    <t>Aspiradora Inalámbrica Vertical KT-12PRO</t>
  </si>
  <si>
    <t>Kitchenware</t>
  </si>
  <si>
    <t>SG-7003</t>
  </si>
  <si>
    <t>SET 2PC SALERO Y PIMENTERO MADERA ORDESA</t>
  </si>
  <si>
    <t>PACK47</t>
  </si>
  <si>
    <t>Kit Olla Soho 20cm + Sartén Soho 24cm Kitchenware</t>
  </si>
  <si>
    <t>BF1220B-CH</t>
  </si>
  <si>
    <t>Olla Soho Cherry 20cm Con Tapa</t>
  </si>
  <si>
    <t>Olla Soho Mint 20cm Con Tapa</t>
  </si>
  <si>
    <t>Sarten Ceramica Simply Cook 20 Cm Rojo Cocina</t>
  </si>
  <si>
    <t>KW-24CALIPSO</t>
  </si>
  <si>
    <t>Sarten Ceramica Simply Cook 24cm Calipso</t>
  </si>
  <si>
    <t>Sarten Ceramica Simply Cook 24cm Rojo</t>
  </si>
  <si>
    <t>Sarten Ceramica Simply Cook 28cm Rojo</t>
  </si>
  <si>
    <t>KW-28VERDE</t>
  </si>
  <si>
    <t>Sarten Ceramica Simply Cook 28cm Verde</t>
  </si>
  <si>
    <t>BF2420B-CH</t>
  </si>
  <si>
    <t>Sarten Soho 20 cm Cherry</t>
  </si>
  <si>
    <t>BF2420B-MI</t>
  </si>
  <si>
    <t>Sarten Soho 20 cm Mint</t>
  </si>
  <si>
    <t>BF2424B-CH</t>
  </si>
  <si>
    <t>Sartén Soho 24cm Cherry</t>
  </si>
  <si>
    <t>BF2424B-MI</t>
  </si>
  <si>
    <t>Sartén Soho 24cm Mint</t>
  </si>
  <si>
    <t>Sartén Stone 20 Cm Cherry</t>
  </si>
  <si>
    <t>BF52218B</t>
  </si>
  <si>
    <t>Set Sartén 18 Cm + Wok 22 Cm Forjado Camden Kitchenware</t>
  </si>
  <si>
    <t>BF5222B</t>
  </si>
  <si>
    <t>Wok Aluminio Forjado 22 Cm Camden Kitchenware</t>
  </si>
  <si>
    <t>WOK SOHO 28CM MINT</t>
  </si>
  <si>
    <t>M-775</t>
  </si>
  <si>
    <t>Tabla de Cortar de dos lados + 2 Cuchillo Woody</t>
  </si>
  <si>
    <t>CK22</t>
  </si>
  <si>
    <t>BATERIA 7 PZA ACERO INOX STIRLING</t>
  </si>
  <si>
    <t>Bateria de Cocina 7 Piezas Soho Cherry</t>
  </si>
  <si>
    <t>Bateria de Cocina 7 Piezas Soho Mint</t>
  </si>
  <si>
    <t>BF248PR</t>
  </si>
  <si>
    <t>Bateria De Cocina 8 Piezas Camden Roja</t>
  </si>
  <si>
    <t>Bateria de Cocina 9 Piezas Berries</t>
  </si>
  <si>
    <t>Bateria De Cocina 9 Piezas Chelsea</t>
  </si>
  <si>
    <t>Bateria De Cocina 9 Piezas Chelsea Mixta</t>
  </si>
  <si>
    <t>BF248PA</t>
  </si>
  <si>
    <t>Batería De Cocina Camden Kitchenware 8 Piezas Antiadherente</t>
  </si>
  <si>
    <t>Batería de Cocina Ollas 10 Piezas Cerámica Berries</t>
  </si>
  <si>
    <t>Batería De Cocina Ollas 10 Piezas Cerámica Simply Red</t>
  </si>
  <si>
    <t>LB-1008S</t>
  </si>
  <si>
    <t>Batería De Cocina Ollas 10 Piezas Cerámica Sky</t>
  </si>
  <si>
    <t>FCH-1008</t>
  </si>
  <si>
    <t>Batería de Cocina Ollas 8 Piezas Soho Cherry</t>
  </si>
  <si>
    <t>FAG-1008</t>
  </si>
  <si>
    <t>Batería De Cocina Soho Mint Antiadherente 8 Piezas</t>
  </si>
  <si>
    <t>FAA-1008</t>
  </si>
  <si>
    <t>Batería De Ollas Marble Soho Antiadherente 8 Piezas</t>
  </si>
  <si>
    <t>BF1224B-CH</t>
  </si>
  <si>
    <t>Olla Soho Cherry 24cm Con Tapa</t>
  </si>
  <si>
    <t>BF1224B-MI</t>
  </si>
  <si>
    <t>Olla Soho Mint 24cm Con Tapa</t>
  </si>
  <si>
    <t>KW-20CALIPSO</t>
  </si>
  <si>
    <t>Sarten Ceramica Simply Cook 20 Cm Calipso Cocina</t>
  </si>
  <si>
    <t>Sarten Ceramica Simply Cook 28cm Calipso Cocina</t>
  </si>
  <si>
    <t>Sartén Grill Doble Antiadherente 28 Cm</t>
  </si>
  <si>
    <t>Sartén Soho 28cm Cherry</t>
  </si>
  <si>
    <t>Sartén Soho 28cm Mint</t>
  </si>
  <si>
    <t>Sartén Stone 20 Cm</t>
  </si>
  <si>
    <t>CER-2224CHERRY</t>
  </si>
  <si>
    <t>Sartén Stone 24 Cm</t>
  </si>
  <si>
    <t>Sartén Stone 24 Cm Rojo</t>
  </si>
  <si>
    <t>Sartén Stone 28 Cm</t>
  </si>
  <si>
    <t>Sartén Stone Rojo 28 Cm</t>
  </si>
  <si>
    <t>WOK SOHO 28CM CHERRY</t>
  </si>
  <si>
    <t>KW-1870</t>
  </si>
  <si>
    <t>Abridor de Botellas Woody</t>
  </si>
  <si>
    <t>PINZAS DE SILICONA PARA ALIMENTOS</t>
  </si>
  <si>
    <t>SE-065</t>
  </si>
  <si>
    <t>Mat De Silicona Antiadherente Para Hornear Marble</t>
  </si>
  <si>
    <t>Molde De Silicona 12 Muffins Cupcake Repostería Marble</t>
  </si>
  <si>
    <t>SE-739</t>
  </si>
  <si>
    <t>Molde De Silicona Rectangular Desmontable 24 Cm Marble</t>
  </si>
  <si>
    <t>Molde De Silicona Redondo Desmontable 24 Cm Marble</t>
  </si>
  <si>
    <t>SE-925</t>
  </si>
  <si>
    <t>Set De Repostería Decoración 14 Piezas Marble</t>
  </si>
  <si>
    <t>M-809</t>
  </si>
  <si>
    <t>Set De Repostería Preparación 11 Piezas Marble</t>
  </si>
  <si>
    <t>Mochila Maternal Negra</t>
  </si>
  <si>
    <t>Metalófono 25 Notas Amarillo</t>
  </si>
  <si>
    <t>Music</t>
  </si>
  <si>
    <t>Metalófonos</t>
  </si>
  <si>
    <t>Metalófono 25 Notas Azul</t>
  </si>
  <si>
    <t>Metalófono 25 Notas Rojo</t>
  </si>
  <si>
    <t>Metalófono 25 Notas Rosado</t>
  </si>
  <si>
    <t>67114505814137-FF</t>
  </si>
  <si>
    <t>KMZ</t>
  </si>
  <si>
    <t>MX-1501608-001-M</t>
  </si>
  <si>
    <t>Guantes Moto Calle Raptor II Negro KMZ</t>
  </si>
  <si>
    <t>MX-1503802-151-L</t>
  </si>
  <si>
    <t>Traje De Lluvia Moto Calle Grey Negro/Neón</t>
  </si>
  <si>
    <t>MX-1503802-151-M</t>
  </si>
  <si>
    <t>La granja de Zenon</t>
  </si>
  <si>
    <t>Peluche Musical 20 Cm La Granja De Zenon - Surtido 2</t>
  </si>
  <si>
    <t>Peluche Musical 35 Cm. La Granja De Zenon</t>
  </si>
  <si>
    <t>La Puzzlera</t>
  </si>
  <si>
    <t>C1PICLC001</t>
  </si>
  <si>
    <t>La Puzzlera LAGO CHUNGARA 1000 Piezas</t>
  </si>
  <si>
    <t>Puzzle Costa Constitución 500 Piezas</t>
  </si>
  <si>
    <t>C1PICGG013</t>
  </si>
  <si>
    <t>Puzzle Glaciar Grey 1000 Piezas</t>
  </si>
  <si>
    <t>Le creuset</t>
  </si>
  <si>
    <t>Cocotte Redonda 22 Volcánico Le creuset</t>
  </si>
  <si>
    <t>Le Creuset</t>
  </si>
  <si>
    <t>Cocotte Redonda 24 Cereza Le creuset</t>
  </si>
  <si>
    <t>Mini Cocotte Redonda 10 Le creuset</t>
  </si>
  <si>
    <t>Set de 3 Mini Cocotte 10Sunflower Le creuset</t>
  </si>
  <si>
    <t>Bomba Vacio Cereza + 3 Tapones Le creuset</t>
  </si>
  <si>
    <t>Funda Enfriadora Le creuset</t>
  </si>
  <si>
    <t>Sommelier 2 tiempos Negro (b) Le creuset</t>
  </si>
  <si>
    <t>Tapon Cava Clasico Le creuset</t>
  </si>
  <si>
    <t>Set 4 Mini Cocotte Verde/Azul10 Le creuset</t>
  </si>
  <si>
    <t>Cafetera 1 Ltrs Con Prensa Le creuset</t>
  </si>
  <si>
    <t>Taza de 200ml Le creuset</t>
  </si>
  <si>
    <t>Set de 6 Tazas 200ml Rainbow Le creuset</t>
  </si>
  <si>
    <t>Set de Molinillos S&amp;P 11Negro Le creuset</t>
  </si>
  <si>
    <t>Set de Molinillos S&amp;P 21 Negro y Blanco Le creuset</t>
  </si>
  <si>
    <t>Set de Molinillos S&amp;P Cereza Le creuset</t>
  </si>
  <si>
    <t>Set Lechero + Azucarero Le creuset</t>
  </si>
  <si>
    <t>Bote Bbq con Espátula Le creuset</t>
  </si>
  <si>
    <t>Bote Mermelada Con Espátula Le creuset</t>
  </si>
  <si>
    <t>Set 6 Mini Ramekines 100ml Rainbow Le creuset</t>
  </si>
  <si>
    <t>AMPOAZUL</t>
  </si>
  <si>
    <t>Ampolleta A60 Azul Led E27 6W</t>
  </si>
  <si>
    <t>Ampolletas</t>
  </si>
  <si>
    <t>LZFA60E276WB</t>
  </si>
  <si>
    <t>LZFA604WBLA</t>
  </si>
  <si>
    <t>Ampolleta A60 Filamento Led 4W</t>
  </si>
  <si>
    <t>AMPOROJA</t>
  </si>
  <si>
    <t>Ampolleta A60 Rojo Led E27 6W</t>
  </si>
  <si>
    <t>LZFA60E276WR</t>
  </si>
  <si>
    <t>AMPOROSA</t>
  </si>
  <si>
    <t>Ampolleta A60 Rosado Led E27 6W</t>
  </si>
  <si>
    <t>LZFA60E276WP</t>
  </si>
  <si>
    <t>AMPOVERDE</t>
  </si>
  <si>
    <t>Ampolleta A60 Verde Led E27 6W</t>
  </si>
  <si>
    <t>LZFA60E276WG</t>
  </si>
  <si>
    <t>AMPBOLAFILA</t>
  </si>
  <si>
    <t>Ampolleta Bola Vintage Filamento 4w E27</t>
  </si>
  <si>
    <t>AMPDIAMANTEAMBAR</t>
  </si>
  <si>
    <t>Ampolleta Deco Diamante Ambar Led</t>
  </si>
  <si>
    <t>AMPDIAMANTEHUMO</t>
  </si>
  <si>
    <t>Ampolleta Deco Diamante Humo Led</t>
  </si>
  <si>
    <t>DISCORGB</t>
  </si>
  <si>
    <t>Ampolleta Disco Rgb Led E27 3W</t>
  </si>
  <si>
    <t>LZDISCOE273W</t>
  </si>
  <si>
    <t>AMPOESPIG80E275W</t>
  </si>
  <si>
    <t>Ampolleta Espiral G80 Vintage Led E27 5W</t>
  </si>
  <si>
    <t>LZFG80SE275WA</t>
  </si>
  <si>
    <t>AMPOG125E276W</t>
  </si>
  <si>
    <t>Ampolleta G125 Vintage Led E27 6W</t>
  </si>
  <si>
    <t>LZFG125E276WA</t>
  </si>
  <si>
    <t>AMPOG80E276W</t>
  </si>
  <si>
    <t>Ampolleta G80 Vintage Led E27 6W</t>
  </si>
  <si>
    <t>LZFG80E276WA</t>
  </si>
  <si>
    <t>LZG95E275WA</t>
  </si>
  <si>
    <t>Ampolleta Globo E27 Vintage Led 5W</t>
  </si>
  <si>
    <t>AMPGLOBOE27</t>
  </si>
  <si>
    <t>Ampolleta Globo Vintage E27 4W</t>
  </si>
  <si>
    <t>POWER20W</t>
  </si>
  <si>
    <t>Ampolleta High Power E27 20W Led</t>
  </si>
  <si>
    <t>LZ-G10T80E2720W</t>
  </si>
  <si>
    <t>POWER40W</t>
  </si>
  <si>
    <t>Ampolleta High Power E27 40W Led</t>
  </si>
  <si>
    <t>LZ-G10T120E2740W</t>
  </si>
  <si>
    <t>POWER30W</t>
  </si>
  <si>
    <t>Ampolleta High Power Led E27 30W</t>
  </si>
  <si>
    <t>LZ-G10T100E2730W</t>
  </si>
  <si>
    <t>LZCOBG9</t>
  </si>
  <si>
    <t>Ampolleta Led G9 3W</t>
  </si>
  <si>
    <t>AMPOG9</t>
  </si>
  <si>
    <t>Ampolleta Led G9-3W</t>
  </si>
  <si>
    <t>LZG45E144WA</t>
  </si>
  <si>
    <t>Ampolleta Mini Globo E14 4W</t>
  </si>
  <si>
    <t>LZG45E274WA</t>
  </si>
  <si>
    <t>Ampolleta Mini Globo E27 4W</t>
  </si>
  <si>
    <t>MINIEE14</t>
  </si>
  <si>
    <t>Ampolleta Mini Globo Led E14-4W</t>
  </si>
  <si>
    <t>MINIEE27</t>
  </si>
  <si>
    <t>Ampolleta Mini Globo Led E27-4W</t>
  </si>
  <si>
    <t>LZLBSG45E14</t>
  </si>
  <si>
    <t>Ampolleta Mini Globo Transparente Led E14 4W</t>
  </si>
  <si>
    <t>LZLBSG45E27</t>
  </si>
  <si>
    <t>Ampolleta Mini Globo Transparente Led E27 4W</t>
  </si>
  <si>
    <t>AMPMINIGLOBOE14</t>
  </si>
  <si>
    <t>Ampolleta Mini Globo Vintage E14 Led 4W</t>
  </si>
  <si>
    <t>Ampolleta Mini Globo Vintage E27 Led 4W</t>
  </si>
  <si>
    <t>LZMINIE14</t>
  </si>
  <si>
    <t>Ampolleta Mini Led E14 2W</t>
  </si>
  <si>
    <t>AMPOE142W</t>
  </si>
  <si>
    <t>Ampolleta Mini Led E14-2W</t>
  </si>
  <si>
    <t>LZFST4WBLA</t>
  </si>
  <si>
    <t>Ampolleta Pera Filamento Led 4W</t>
  </si>
  <si>
    <t>AMPPERAFILA</t>
  </si>
  <si>
    <t>Ampolleta Pera Vintage Filamento 4w E27</t>
  </si>
  <si>
    <t>LZFCB4WBLA</t>
  </si>
  <si>
    <t>Ampolleta Vela Filamento Led 4W</t>
  </si>
  <si>
    <t>AMPOVELAE14</t>
  </si>
  <si>
    <t>Ampolleta Vela Led E14-4W</t>
  </si>
  <si>
    <t>AMPOVELAE27</t>
  </si>
  <si>
    <t>Ampolleta Vela Led E27-4W</t>
  </si>
  <si>
    <t>LZLBC37E27</t>
  </si>
  <si>
    <t>AMPOLLETA VELA LED E27-4W Ampolleta Vintage</t>
  </si>
  <si>
    <t>LZLBC37E14</t>
  </si>
  <si>
    <t>Ampolleta Vela Transparente Led E14 4W</t>
  </si>
  <si>
    <t>AMPVELAFILA</t>
  </si>
  <si>
    <t>Ampolleta Vela Vintage Filamento 4w E14</t>
  </si>
  <si>
    <t>LZ-FA60E274WX2-A</t>
  </si>
  <si>
    <t>Box 2 Ampolletas A60 Vintage Led E27 4W</t>
  </si>
  <si>
    <t>LZ-FST64E274WX2-A</t>
  </si>
  <si>
    <t>Box 2 Ampolletas Pera Vintage Led E27 4W A</t>
  </si>
  <si>
    <t>LZFC35E144WX2A</t>
  </si>
  <si>
    <t>Box 2 Ampolletas Vela Vintage Led E14 4W</t>
  </si>
  <si>
    <t>LZFA60E276WT</t>
  </si>
  <si>
    <t>Box Ampolleta A60 Filamento Led E27 6W Ampolleta Vintage</t>
  </si>
  <si>
    <t>LZFST64E276WT</t>
  </si>
  <si>
    <t>Box Ampolleta Pera Filamento Led E27 6W</t>
  </si>
  <si>
    <t>2XAMPOPERAE274W</t>
  </si>
  <si>
    <t>Pack 2 Ampolletas Pera Vintage Led E27 4W</t>
  </si>
  <si>
    <t>2XAMPOVELAE144W</t>
  </si>
  <si>
    <t>Pack 2 Ampolletas Vela Vintage Led E14 4W</t>
  </si>
  <si>
    <t>AMPOE276W</t>
  </si>
  <si>
    <t>Pack Ampolleta A60 Filamento Led E27 6W</t>
  </si>
  <si>
    <t>AMPOPERAE276W</t>
  </si>
  <si>
    <t>Pack Ampolleta Pera Filamento Led E27 6W</t>
  </si>
  <si>
    <t>CINTALED10MBLAN</t>
  </si>
  <si>
    <t>Cinta Led 10M IP65 Luz Cálida</t>
  </si>
  <si>
    <t>Cintas Led</t>
  </si>
  <si>
    <t>CINTALED5MBLAN</t>
  </si>
  <si>
    <t>Cinta Led 5m Ip65 Blanco Luz Cálida</t>
  </si>
  <si>
    <t>LD2835A5M</t>
  </si>
  <si>
    <t>Cinta Led Azul 5M</t>
  </si>
  <si>
    <t>CINTALED10M</t>
  </si>
  <si>
    <t>Cinta Led Blanco Cálido 10M</t>
  </si>
  <si>
    <t>LD283510M</t>
  </si>
  <si>
    <t>LD-2835-2M</t>
  </si>
  <si>
    <t>Cinta Led Blanco Cálido 2M</t>
  </si>
  <si>
    <t>LD-2835-5M</t>
  </si>
  <si>
    <t>Cinta Led Blanco Cálido 5M</t>
  </si>
  <si>
    <t>CINTALED2M</t>
  </si>
  <si>
    <t>Cinta Luz Led 2m Ip65 Blanco Luz Cálida</t>
  </si>
  <si>
    <t>CINTALED5MAZUL</t>
  </si>
  <si>
    <t>Cinta Luz Led 5m Ip65 Azul Cálida</t>
  </si>
  <si>
    <t>CINTARGBCR</t>
  </si>
  <si>
    <t>Luces LED Multicolor Control Remoto 5M</t>
  </si>
  <si>
    <t>CINTARGBWIFI</t>
  </si>
  <si>
    <t>Luces LED Multicolor por Wifi 5M</t>
  </si>
  <si>
    <t>NEON21</t>
  </si>
  <si>
    <t>Kit Lamparas Neon Led-10</t>
  </si>
  <si>
    <t>Focos led</t>
  </si>
  <si>
    <t>SUMER2</t>
  </si>
  <si>
    <t>Pack 2 Foco Led Rgb Sumergible Cr</t>
  </si>
  <si>
    <t>GLZSRGBX2</t>
  </si>
  <si>
    <t>Pack 2 Focos Led Rgb Sumergible Multicolor</t>
  </si>
  <si>
    <t>LZ ESP9923F</t>
  </si>
  <si>
    <t>Lámpara Espantacuco Led Fantasma</t>
  </si>
  <si>
    <t>LZ ESP9923L</t>
  </si>
  <si>
    <t>Lampara Espantacuco Led Luna</t>
  </si>
  <si>
    <t>LZ ESP9923N</t>
  </si>
  <si>
    <t>Lámpara Espantacuco Led Nube</t>
  </si>
  <si>
    <t>LZ-BT7020A-1</t>
  </si>
  <si>
    <t>Lámpara Mesa E14 Bergen Blanca</t>
  </si>
  <si>
    <t>LZ-BT7020A-2</t>
  </si>
  <si>
    <t>Lámpara Mesa E14 Bergen Gris</t>
  </si>
  <si>
    <t>LZ-BT7020A-BD</t>
  </si>
  <si>
    <t>Lámpara Mesa E14 Flam Blanca</t>
  </si>
  <si>
    <t>LZ-BT7020A-NC</t>
  </si>
  <si>
    <t>Lámpara Mesa E14 Flam Negra</t>
  </si>
  <si>
    <t>LZ-BR0742-BD</t>
  </si>
  <si>
    <t>Lámpara Pie E27 Ribe Blanca</t>
  </si>
  <si>
    <t>LZBR0742NC</t>
  </si>
  <si>
    <t>Lámpara Pie E27 Ribe Negra</t>
  </si>
  <si>
    <t>LZ-BC00300-2</t>
  </si>
  <si>
    <t>Lámpara Pinza E14 Porto Azul</t>
  </si>
  <si>
    <t>LZ-BC00300-1</t>
  </si>
  <si>
    <t>Lámpara Pinza E14 Porto Blanca</t>
  </si>
  <si>
    <t>LZ-BC00300-4</t>
  </si>
  <si>
    <t>Lámpara Pinza E14 Porto Menta</t>
  </si>
  <si>
    <t>LZ-BC00300</t>
  </si>
  <si>
    <t>Lámpara Pinza E14 Porto Negra</t>
  </si>
  <si>
    <t>LZ-BC00300-3</t>
  </si>
  <si>
    <t>Lámpara Pinza E14 Porto Rosada</t>
  </si>
  <si>
    <t>LD-12VRGB-5M-CR</t>
  </si>
  <si>
    <t>Cinta Rgb Multicolor Control Remoto 5M</t>
  </si>
  <si>
    <t>LD-12VRGB-5M-WF</t>
  </si>
  <si>
    <t>Cinta Rgb Multicolor Wifi 5M</t>
  </si>
  <si>
    <t>LZNCE020</t>
  </si>
  <si>
    <t>Figura Neón Led Luna</t>
  </si>
  <si>
    <t>LZNCE008</t>
  </si>
  <si>
    <t>Figura Neón Led Palmera</t>
  </si>
  <si>
    <t>LZNCE010</t>
  </si>
  <si>
    <t>Figura Neón Led Rayo</t>
  </si>
  <si>
    <t>GUIRBLANCATRANS</t>
  </si>
  <si>
    <t>Guirnalda Blanca Transparente 10 Luces Led</t>
  </si>
  <si>
    <t>GUIRDECOBOLAPEQ</t>
  </si>
  <si>
    <t>Guirnalda Bola Algodón 20 Luces Led 3,15 mts</t>
  </si>
  <si>
    <t>GUIRDECODISCO</t>
  </si>
  <si>
    <t>Guirnalda Bola Disco 10 Luces Led 1,65 Mt Pilas</t>
  </si>
  <si>
    <t>GUIRDECOCOBRE</t>
  </si>
  <si>
    <t>Guirnalda Cobre 10 Luces Led 1,65 Mts Pilas</t>
  </si>
  <si>
    <t>GUIRCOLORTRANS</t>
  </si>
  <si>
    <t>Guirnalda Colores Transparente 10 Led Pilas</t>
  </si>
  <si>
    <t>GUIRAZUL</t>
  </si>
  <si>
    <t>Guirnalda Deco 100 Led Azul</t>
  </si>
  <si>
    <t>GUIRBLANCO</t>
  </si>
  <si>
    <t>Guirnalda Deco 100 Led Blanco Cálido</t>
  </si>
  <si>
    <t>LZ-NCS6001-BC</t>
  </si>
  <si>
    <t>Guirnalda Deco 100 Puntos De Luz</t>
  </si>
  <si>
    <t>LZNCS6001A</t>
  </si>
  <si>
    <t>Guirnalda Deco 100 Puntos De Luz Azul</t>
  </si>
  <si>
    <t>NC181002AV</t>
  </si>
  <si>
    <t>Guirnalda Deco 220V Bola Algodón</t>
  </si>
  <si>
    <t>NC181021V</t>
  </si>
  <si>
    <t>Guirnalda Deco 220V Bola Cobre</t>
  </si>
  <si>
    <t>NC181023V</t>
  </si>
  <si>
    <t>Guirnalda Deco 220V Estrella</t>
  </si>
  <si>
    <t>NC181018-copperV</t>
  </si>
  <si>
    <t>Guirnalda Deco 220V Marina Cobre</t>
  </si>
  <si>
    <t>NC181004V</t>
  </si>
  <si>
    <t>Guirnalda Deco 220V Ovillo Blanco</t>
  </si>
  <si>
    <t>NC181027V</t>
  </si>
  <si>
    <t>Guirnalda Deco 220V Tejido Blanco</t>
  </si>
  <si>
    <t>NC181030V</t>
  </si>
  <si>
    <t>Guirnalda Deco 220V Transparente</t>
  </si>
  <si>
    <t>RVC111</t>
  </si>
  <si>
    <t>Guirnalda Deco Ampolleta</t>
  </si>
  <si>
    <t>RVC048</t>
  </si>
  <si>
    <t>Guirnalda Deco Cherry</t>
  </si>
  <si>
    <t>RVC115</t>
  </si>
  <si>
    <t>Guirnalda Deco Chinita</t>
  </si>
  <si>
    <t>RV20230</t>
  </si>
  <si>
    <t>Guirnalda Deco Clips</t>
  </si>
  <si>
    <t>RVC106</t>
  </si>
  <si>
    <t>Guirnalda Deco Corazón</t>
  </si>
  <si>
    <t>RVC131</t>
  </si>
  <si>
    <t>Guirnalda Deco Estrella Brillante</t>
  </si>
  <si>
    <t>G-LZ-S14G</t>
  </si>
  <si>
    <t>Guirnalda Deco Exterior</t>
  </si>
  <si>
    <t>RVC100</t>
  </si>
  <si>
    <t>Guirnalda Deco Mariposa</t>
  </si>
  <si>
    <t>RVC059</t>
  </si>
  <si>
    <t>Guirnalda Deco Panda</t>
  </si>
  <si>
    <t>NC181002A</t>
  </si>
  <si>
    <t>Guirnalda Decorativa A</t>
  </si>
  <si>
    <t>GUIRDECOA</t>
  </si>
  <si>
    <t>Guirnalda Decorativa Bola Algodón Led A</t>
  </si>
  <si>
    <t>GUIR220VBOLACOBRE</t>
  </si>
  <si>
    <t>Guirnalda Decorativa Bola Cobre Led 5</t>
  </si>
  <si>
    <t>NC181002C</t>
  </si>
  <si>
    <t>Guirnalda Decorativa C</t>
  </si>
  <si>
    <t>NC181003</t>
  </si>
  <si>
    <t>Guirnalda Decorativa Chic</t>
  </si>
  <si>
    <t>NC181008</t>
  </si>
  <si>
    <t>Guirnalda Decorativa Cobre</t>
  </si>
  <si>
    <t>NC181028</t>
  </si>
  <si>
    <t>Guirnalda Decorativa Libélula</t>
  </si>
  <si>
    <t>NC181018-Copper</t>
  </si>
  <si>
    <t>Guirnalda Decorativa Marine Cooper</t>
  </si>
  <si>
    <t>NC181009</t>
  </si>
  <si>
    <t>Guirnalda Decorativa Mimbre</t>
  </si>
  <si>
    <t>NC181004</t>
  </si>
  <si>
    <t>Guirnalda Decorativa Ovillo Blanco</t>
  </si>
  <si>
    <t>GUIR220VTRANSP</t>
  </si>
  <si>
    <t>Guirnalda Eléctrica Ampolleta 20 Luces Led</t>
  </si>
  <si>
    <t>GUIR220VBOLAALG</t>
  </si>
  <si>
    <t>Guirnalda Eléctrica Bola Algodón 20 Luces Led</t>
  </si>
  <si>
    <t>GUIR220VESTRELLA</t>
  </si>
  <si>
    <t>Guirnalda Eléctrica Estrella 20 Luces Led</t>
  </si>
  <si>
    <t>GUIR220VFRASVID</t>
  </si>
  <si>
    <t>Guirnalda Eléctrica Frasco Vidrio 20 Luces Led 6,8 mts</t>
  </si>
  <si>
    <t>Guirnalda Eléctrica Madeja Blanco 20 Luces Led</t>
  </si>
  <si>
    <t>GUIR220VMARINACOB</t>
  </si>
  <si>
    <t>Guirnalda Eléctrica Marine Cobre 20 Luces Led</t>
  </si>
  <si>
    <t>GUIR220VOVILLOB</t>
  </si>
  <si>
    <t>Guirnalda Eléctrica Ovillo Blanco 20 Luces Led</t>
  </si>
  <si>
    <t>GUIR220VPIÑA</t>
  </si>
  <si>
    <t>Guirnalda Eléctrica Piña 20 Luces Led 5,85 mts</t>
  </si>
  <si>
    <t>GUIR220VESTRELL</t>
  </si>
  <si>
    <t>Guirnalda estrellas</t>
  </si>
  <si>
    <t>GUIREXTNGX7BO</t>
  </si>
  <si>
    <t>Guirnalda Exterior 7 Luces + 7 Ampolletas Bola</t>
  </si>
  <si>
    <t>GUIREXTNG</t>
  </si>
  <si>
    <t>Guirnalda Exterior Impermeable Ip65 7 Luces</t>
  </si>
  <si>
    <t>GUIRFINAALPACA</t>
  </si>
  <si>
    <t>Guirnalda Fina Alpaca 20 Luces Led 2,1 Mts</t>
  </si>
  <si>
    <t>GUIRFINAAMPOLLETA</t>
  </si>
  <si>
    <t>Guirnalda Fina Ampolleta 20 Luces Led 2,1 Mts</t>
  </si>
  <si>
    <t>GUIRFINACHINITA</t>
  </si>
  <si>
    <t>Guirnalda Fina Chinita 20 Luces Led 2,1 Mts</t>
  </si>
  <si>
    <t>GUIRFINACLIPS</t>
  </si>
  <si>
    <t>Guirnalda Fina Clips Porta Foto 20 Luces Led</t>
  </si>
  <si>
    <t>GUIRFINACONEJO</t>
  </si>
  <si>
    <t>Guirnalda Fina Conejo 20 Luces Led 2,1 Mts</t>
  </si>
  <si>
    <t>GUIRFINAFANTASMA</t>
  </si>
  <si>
    <t>Guirnalda Fina Fantasma 20 Luces Led 2,1 Mts</t>
  </si>
  <si>
    <t>GUIRFINAMARIPOSA</t>
  </si>
  <si>
    <t>Guirnalda Fina Mariposa 20 Luces Led 2,1 Mts</t>
  </si>
  <si>
    <t>GUIREXTNGX7PE</t>
  </si>
  <si>
    <t>Guirnalda Impermeable 7 Luces + 7 Ampolletas Pera</t>
  </si>
  <si>
    <t>GUIRDECO-C</t>
  </si>
  <si>
    <t>Guirnalda Led Bola Grande C 1,65 Mts</t>
  </si>
  <si>
    <t>GUIRDECOLIBELU</t>
  </si>
  <si>
    <t>Guirnalda Libélula 10 Luces Led 1,65 mts</t>
  </si>
  <si>
    <t>GUIRDECOMACOOPER</t>
  </si>
  <si>
    <t>Guirnalda Marine Cobre 10 Luces Led Pilas</t>
  </si>
  <si>
    <t>GUIRDECOMIMBRE</t>
  </si>
  <si>
    <t>Guirnalda Mimbre 10 Luces Led 2,1 Mts Pilas</t>
  </si>
  <si>
    <t>GUIROVILLOBLAN</t>
  </si>
  <si>
    <t>Guirnalda Ovillo Blanco 10 Luces Led Pilas</t>
  </si>
  <si>
    <t>Guirnalda Tucan 10 Luces Led 1,65 Mts Pilas</t>
  </si>
  <si>
    <t>LAMPNEONCACT</t>
  </si>
  <si>
    <t>Lámpara Neón LED Cactus</t>
  </si>
  <si>
    <t>LAMPNEONESTR</t>
  </si>
  <si>
    <t>Lámpara Neón LED Estrella</t>
  </si>
  <si>
    <t>LAMPNEONPALM</t>
  </si>
  <si>
    <t>Lámpara Neón LED Palmera</t>
  </si>
  <si>
    <t>LAMPNEONPINA</t>
  </si>
  <si>
    <t>Lámpara Neón LED Piña</t>
  </si>
  <si>
    <t>LAMPNEONRAYO</t>
  </si>
  <si>
    <t>Lámpara Neón LED Rayo</t>
  </si>
  <si>
    <t>G-LZ-8023</t>
  </si>
  <si>
    <t>Luces Deco Blanca Transparente</t>
  </si>
  <si>
    <t>G-LZ-8026</t>
  </si>
  <si>
    <t>Luces Deco Color Transparente</t>
  </si>
  <si>
    <t>LZSP6430</t>
  </si>
  <si>
    <t>Estaca Solar 48 Led</t>
  </si>
  <si>
    <t>Luces Solares</t>
  </si>
  <si>
    <t>LZSP6432</t>
  </si>
  <si>
    <t>Estaca Solar 64 Led</t>
  </si>
  <si>
    <t>LZ-EC23310/20</t>
  </si>
  <si>
    <t>Estaca Solar Cuadrada Led Top</t>
  </si>
  <si>
    <t>ESTACLASICA</t>
  </si>
  <si>
    <t>Estaca Solar Farol Clásico Led</t>
  </si>
  <si>
    <t>LZ-EC23357/12</t>
  </si>
  <si>
    <t>LZEC2335712</t>
  </si>
  <si>
    <t>Estaca Solar Farol Clásico LED</t>
  </si>
  <si>
    <t>ESTACALED</t>
  </si>
  <si>
    <t>Estaca Solar Farol Led</t>
  </si>
  <si>
    <t>LZ-EC23402-RP36</t>
  </si>
  <si>
    <t>LZEC23402RP36</t>
  </si>
  <si>
    <t>Estaca Solar Farol LED</t>
  </si>
  <si>
    <t>ESTACASOLCUAD</t>
  </si>
  <si>
    <t>Estaca Solar Negra Cuadrada Led</t>
  </si>
  <si>
    <t>EC23351-20</t>
  </si>
  <si>
    <t>Estaca Solar Pequeña Negra</t>
  </si>
  <si>
    <t>EC11119-20</t>
  </si>
  <si>
    <t>Estaca Solar Pequeña Plateada</t>
  </si>
  <si>
    <t>NC181013</t>
  </si>
  <si>
    <t>Farol Solar Deco Geo</t>
  </si>
  <si>
    <t>NC181010</t>
  </si>
  <si>
    <t>Farol Solar Deco Grande</t>
  </si>
  <si>
    <t>FAROLSOLGEOM</t>
  </si>
  <si>
    <t>Farol Solar Decorativo Metal Geométrica</t>
  </si>
  <si>
    <t>FAROLSOLGRANDE</t>
  </si>
  <si>
    <t>Farol Solar Decorativo Metal Grande</t>
  </si>
  <si>
    <t>LZSP6450</t>
  </si>
  <si>
    <t>Foco Solar Cr 218 Led</t>
  </si>
  <si>
    <t>LZSP6556</t>
  </si>
  <si>
    <t>Foco Solar Exterior 32 Led</t>
  </si>
  <si>
    <t>LZSP6554</t>
  </si>
  <si>
    <t>Foco Solar Exterior 54 Led</t>
  </si>
  <si>
    <t>LZSP6448</t>
  </si>
  <si>
    <t>Foco Solar Triple 138 Led</t>
  </si>
  <si>
    <t>LZ-NCS2005</t>
  </si>
  <si>
    <t>Guirnalda Solar 100 Luces Led</t>
  </si>
  <si>
    <t>GUIRSOLAR100LUCES</t>
  </si>
  <si>
    <t>LZ-NCS2010</t>
  </si>
  <si>
    <t>Guirnalda Solar Bola Algodón</t>
  </si>
  <si>
    <t>GUIRSOLARBOLAALGODON</t>
  </si>
  <si>
    <t>Guirnalda Solar Bola Algodón 20 Luces Led</t>
  </si>
  <si>
    <t>GUIRSOLARBOLACOBRE</t>
  </si>
  <si>
    <t>Guirnalda Solar Bola Cobre 10 Luces Led</t>
  </si>
  <si>
    <t>GUIRESTRE</t>
  </si>
  <si>
    <t>Guirnalda Solar Estrellas Led 20 Luces</t>
  </si>
  <si>
    <t>LZ-NCS2019</t>
  </si>
  <si>
    <t>LZNCS2019</t>
  </si>
  <si>
    <t>Guirnalda Solar Estrellas LED 20 Luces</t>
  </si>
  <si>
    <t>GUIRFLOR</t>
  </si>
  <si>
    <t>Guirnalda Solar Flores Led 20 Luces</t>
  </si>
  <si>
    <t>LZ-NCS2017</t>
  </si>
  <si>
    <t>LZNCS2017</t>
  </si>
  <si>
    <t>Guirnalda Solar Flores led 20 luces</t>
  </si>
  <si>
    <t>GUIRSOLARINDIA</t>
  </si>
  <si>
    <t>Guirnalda Solar India 10 Luces Led</t>
  </si>
  <si>
    <t>LZ-NCS2024</t>
  </si>
  <si>
    <t>Guirnalda Solar India Led 10 Luces</t>
  </si>
  <si>
    <t>GUIRMULTI</t>
  </si>
  <si>
    <t>Guirnalda Solar Multicolor 20 Led</t>
  </si>
  <si>
    <t>LZNCS2103</t>
  </si>
  <si>
    <t>GUIRSOLAROVILLOBLANCO</t>
  </si>
  <si>
    <t>Guirnalda Solar Ovillo Blanco 10 Luces Led</t>
  </si>
  <si>
    <t>LZ-NCS2011</t>
  </si>
  <si>
    <t>Guirnalda Solar Ovillo Blanco Led 10 Luces</t>
  </si>
  <si>
    <t>GUIRTRANS</t>
  </si>
  <si>
    <t>Guirnalda Solar Transparente 10 Led</t>
  </si>
  <si>
    <t>LZ-NCS2026</t>
  </si>
  <si>
    <t>LZNCS2026</t>
  </si>
  <si>
    <t>Guirnalda Solar Transparente 10 LED</t>
  </si>
  <si>
    <t>PACKX2ESTPISO</t>
  </si>
  <si>
    <t>Pack 2 Estacas solares piso</t>
  </si>
  <si>
    <t>SS-6059/Pk2-12 LED</t>
  </si>
  <si>
    <t>Pack 2 Estacas Solares Piso</t>
  </si>
  <si>
    <t>ESTACASOL12LEDX2</t>
  </si>
  <si>
    <t>Pack 2 Estacas Solares Piso 12 Led</t>
  </si>
  <si>
    <t>PANEL30X120</t>
  </si>
  <si>
    <t>Panel Led 40w 30x120 Cm Luz Neutra</t>
  </si>
  <si>
    <t>Paneles led</t>
  </si>
  <si>
    <t>Panel Led 40w 60x60 Cm Luz Neutra</t>
  </si>
  <si>
    <t>PANEL18WLN</t>
  </si>
  <si>
    <t>Panel Led Circular Embutido Luz Neutra</t>
  </si>
  <si>
    <t>LZSP6426</t>
  </si>
  <si>
    <t>Panel Solar 100 Led</t>
  </si>
  <si>
    <t>LZSP6427</t>
  </si>
  <si>
    <t>Panel Solar 108 Led</t>
  </si>
  <si>
    <t>TUBOLED18WLF</t>
  </si>
  <si>
    <t>Tubo Led 18w 120cm Luz Fría</t>
  </si>
  <si>
    <t>Lenzi</t>
  </si>
  <si>
    <t>Anteojo de sol Bali Abedul Blanco</t>
  </si>
  <si>
    <t>Anteojo de sol Billy Roble Negro</t>
  </si>
  <si>
    <t>Anteojo de sol Charly Madera Nogal</t>
  </si>
  <si>
    <t>Anteojo de sol Drake Roble</t>
  </si>
  <si>
    <t>Anteojo de sol Fresno Madera Ebano</t>
  </si>
  <si>
    <t>Anteojo de sol Galapago Nogal</t>
  </si>
  <si>
    <t>Anteojo de sol Garda Nogal</t>
  </si>
  <si>
    <t>Anteojo de sol Gato Roble Café</t>
  </si>
  <si>
    <t>Anteojo de sol Gina Ebano Café</t>
  </si>
  <si>
    <t>Anteojo de sol Hana Sandalo Café</t>
  </si>
  <si>
    <t>Anteojo de sol Lanai Ebano Negro</t>
  </si>
  <si>
    <t>Anteojo de sol Louis Palo de Rosa</t>
  </si>
  <si>
    <t>Anteojo de sol Madagascar Café</t>
  </si>
  <si>
    <t>Anteojo de sol Maldivas Ebano Nacar</t>
  </si>
  <si>
    <t>Anteojo de sol Milan Nogal Café</t>
  </si>
  <si>
    <t>Anteojo de sol Molveno Sandalo Negro Acero</t>
  </si>
  <si>
    <t>Anteojo de sol Olivia Roble</t>
  </si>
  <si>
    <t>Anteojo de sol Pilot Ebano Metal Café</t>
  </si>
  <si>
    <t>Anteojo de sol Pilot Palo de Rosa Negro</t>
  </si>
  <si>
    <t>Anteojo de sol Rainbow Multimaderas</t>
  </si>
  <si>
    <t>Anteojo de sol Roble Molokai Café</t>
  </si>
  <si>
    <t>Anteojo de sol Rose Palo de Rosa</t>
  </si>
  <si>
    <t>Anteojo de sol Santorini Ebano</t>
  </si>
  <si>
    <t>Anteojo de sol Sequoia Nogal Café</t>
  </si>
  <si>
    <t>Anteojo de sol Sicilia Nogal</t>
  </si>
  <si>
    <t>Anteojo de sol Tahiti Nogal Café Nacar</t>
  </si>
  <si>
    <t>Anteojo de sol Tahiti Nogal Nacar</t>
  </si>
  <si>
    <t>Anteojo de sol Viena Roble Claro</t>
  </si>
  <si>
    <t>Anteojo de sol Walnut Madera Nogal</t>
  </si>
  <si>
    <t>Gift Card 10.000</t>
  </si>
  <si>
    <t>Giftcard</t>
  </si>
  <si>
    <t>Gift card 15.000</t>
  </si>
  <si>
    <t>Gift card 20.000</t>
  </si>
  <si>
    <t>Gift Card 35.000</t>
  </si>
  <si>
    <t>Gift Card 50.000</t>
  </si>
  <si>
    <t>GCBF1</t>
  </si>
  <si>
    <t>Gift Card Better Fly</t>
  </si>
  <si>
    <t>Estabilizador De Cámaras Universales Portátil</t>
  </si>
  <si>
    <t>Soporte Cargador Auto S5</t>
  </si>
  <si>
    <t>Pack445</t>
  </si>
  <si>
    <t>Cargador Super Rapido 25W + Cable Carga Lightning 1 Mt LEVO</t>
  </si>
  <si>
    <t>Pack443-B</t>
  </si>
  <si>
    <t>Cargador Super Rápido 25W + Cable De Carga Rápida 1Mt LEVO</t>
  </si>
  <si>
    <t>Pack443-N</t>
  </si>
  <si>
    <t>Pack444-B</t>
  </si>
  <si>
    <t>Cargador Ultra Rápido 45W + Cable De Carga Rápida 1Mt LEVO</t>
  </si>
  <si>
    <t>Pack444-N</t>
  </si>
  <si>
    <t>PACK7</t>
  </si>
  <si>
    <t>Kit Secador de Toallas 6 Niveles Itek+ Pesa Digital</t>
  </si>
  <si>
    <t>Secadores de toallas</t>
  </si>
  <si>
    <t>Tulogo</t>
  </si>
  <si>
    <t>Personalización con Logo</t>
  </si>
  <si>
    <t>Marketing</t>
  </si>
  <si>
    <t>Merchandising</t>
  </si>
  <si>
    <t>Logo</t>
  </si>
  <si>
    <t>Pack241</t>
  </si>
  <si>
    <t>Mochila con Puerto USB 15 + Funda Notebook Gris 15,6</t>
  </si>
  <si>
    <t>Pack243</t>
  </si>
  <si>
    <t>Mochila MANAGER Gris + Funda Notebook Gris</t>
  </si>
  <si>
    <t>Pack244</t>
  </si>
  <si>
    <t>Mochila MANAGER Gris 15,6"+ Funda Notebook Negro 15,6"</t>
  </si>
  <si>
    <t>Pack245</t>
  </si>
  <si>
    <t>Mochila MANAGER Negra 15,6"+ Funda Notebook Gris 15,6"</t>
  </si>
  <si>
    <t>Pack246</t>
  </si>
  <si>
    <t>Mochila MANAGER Negra 15,6"+ Funda Notebook Negro 15,6"</t>
  </si>
  <si>
    <t>Pack242</t>
  </si>
  <si>
    <t>Mochila Notebook + Funda Notebook Negro 15,6"</t>
  </si>
  <si>
    <t>1659999392257-FF</t>
  </si>
  <si>
    <t>Mochila para Notebook Gris</t>
  </si>
  <si>
    <t>1659999410637-FF</t>
  </si>
  <si>
    <t>Mochila para Notebook Negra</t>
  </si>
  <si>
    <t>Mochila Viaje Impermeable Porta Notebook 17.3" 30L Aerosuite Negra LEVO</t>
  </si>
  <si>
    <t>Pack247</t>
  </si>
  <si>
    <t>Mochila WOLF Negra 15,6" + Funda Notebook Gris 15,6"</t>
  </si>
  <si>
    <t>Pack248</t>
  </si>
  <si>
    <t>Mochila WOLF Negra 15,6" + Funda Notebook Negro 15,6"</t>
  </si>
  <si>
    <t>Audífono Gamer Thunder</t>
  </si>
  <si>
    <t>Control Gamer PC</t>
  </si>
  <si>
    <t>Control Nintendo Switch negro</t>
  </si>
  <si>
    <t>1659990788079-FF</t>
  </si>
  <si>
    <t>Control Nintendo Switch rojo</t>
  </si>
  <si>
    <t>Mouse Gamer</t>
  </si>
  <si>
    <t>1659971347046-FF</t>
  </si>
  <si>
    <t>LVMPADBML-BK</t>
  </si>
  <si>
    <t>Mousepad Battlemat L 45x40 cm Antideslizante Negro LEVO</t>
  </si>
  <si>
    <t>LVMPADOFS-BK</t>
  </si>
  <si>
    <t>Mousepad Officepad S 23x20 cm Antideslizante Negro LEVO</t>
  </si>
  <si>
    <t>Pack90</t>
  </si>
  <si>
    <t>Pack Gamer Teclado + Mouse + Audífono</t>
  </si>
  <si>
    <t>Pack450</t>
  </si>
  <si>
    <t>Teclado Gamer NovaBlade + Mouse Inalámbrico NovaStrike LEVO</t>
  </si>
  <si>
    <t>Teclado Gamer RGB Storm + Mouse Gamer</t>
  </si>
  <si>
    <t>Teclado Gamer Storm</t>
  </si>
  <si>
    <t>1659990725288-FF</t>
  </si>
  <si>
    <t>Vr Box Ultra + Audífonos Lentes de Realidad Virtual LEVO</t>
  </si>
  <si>
    <t>Pack329</t>
  </si>
  <si>
    <t>2 Sillas Escritorio Oficina Ejecutiva Comfort Negro LEVO</t>
  </si>
  <si>
    <t>Pack431</t>
  </si>
  <si>
    <t>2 Sillas Escritorio Oficina Ergonómica Ergotech LEVO</t>
  </si>
  <si>
    <t>LVESCRGLIFT-MD</t>
  </si>
  <si>
    <t>Escritorio Electrico Regulable en Altura con Cubierta</t>
  </si>
  <si>
    <t>Kit Teclado y Mouse Blanco</t>
  </si>
  <si>
    <t>Pack422</t>
  </si>
  <si>
    <t>Pack 2 Sillas Escritorio Aura Oficina Ergonomica Negra LEVO</t>
  </si>
  <si>
    <t>67898087132855-FF</t>
  </si>
  <si>
    <t>LVSILLARIA-BL</t>
  </si>
  <si>
    <t>Silla Escritorio Aria Negra</t>
  </si>
  <si>
    <t>LVSILLAURA-BL</t>
  </si>
  <si>
    <t>Silla Escritorio Aura Negra</t>
  </si>
  <si>
    <t>LVSILLBELA-BL</t>
  </si>
  <si>
    <t>Silla Escritorio Bela Negra</t>
  </si>
  <si>
    <t>LVSILLNEXA-BL</t>
  </si>
  <si>
    <t>Silla Escritorio Nexa Negra</t>
  </si>
  <si>
    <t>LVSILLOASI-BL</t>
  </si>
  <si>
    <t>Silla Escritorio Oasi Negra</t>
  </si>
  <si>
    <t>Silla Gamer Negra Roja</t>
  </si>
  <si>
    <t>Pack449</t>
  </si>
  <si>
    <t>Teclado Slim Cygna + Mouse Slim Velar Grafito LEVO</t>
  </si>
  <si>
    <t>1659989621591-FF</t>
  </si>
  <si>
    <t>1659990828178-FF</t>
  </si>
  <si>
    <t>Control Dualshock para PS4 negro</t>
  </si>
  <si>
    <t>1479750635184-FF</t>
  </si>
  <si>
    <t>Vr Box + Control</t>
  </si>
  <si>
    <t>1658329968514-FF</t>
  </si>
  <si>
    <t>Vr Box Ultra + Audífonos</t>
  </si>
  <si>
    <t>1075289653055-FF</t>
  </si>
  <si>
    <t>Cámara Webcam Full Hd 1080P con Micrófono</t>
  </si>
  <si>
    <t>Cubre Tapa Cámara Web Notebook</t>
  </si>
  <si>
    <t>PACK13</t>
  </si>
  <si>
    <t>Kit Silla Gamer + Mochila Antirrobo</t>
  </si>
  <si>
    <t>PACK25</t>
  </si>
  <si>
    <t>Kit Silla+ Apoya Pies + Reposamuñecast</t>
  </si>
  <si>
    <t>1627418329116-FF</t>
  </si>
  <si>
    <t>PACK52</t>
  </si>
  <si>
    <t>Kit Webcam 1080P + Kit Teclado y Mouse Inalambrico</t>
  </si>
  <si>
    <t>Pack240</t>
  </si>
  <si>
    <t>Pack Teclado y Mouse + Audífonos Rm7 Pro Blanco</t>
  </si>
  <si>
    <t>Cofias Para El Pelo Plisadas 100 Unidades (Azul)</t>
  </si>
  <si>
    <t>EPPs</t>
  </si>
  <si>
    <t>Cubre zapato desechable x100</t>
  </si>
  <si>
    <t>Guantes Latex Médico Blanco X100 Talla L</t>
  </si>
  <si>
    <t>Guantes Vinilo Azul X100 Talla L</t>
  </si>
  <si>
    <t>Guantes Vinilo Azul X100 Talla M</t>
  </si>
  <si>
    <t>Lentes Antiparras Transparentes Protección</t>
  </si>
  <si>
    <t>Manguilla Desechable Bolsa X100 Azul</t>
  </si>
  <si>
    <t>Manguilla Desechable Tela X100 Roja</t>
  </si>
  <si>
    <t>Mascarilla Desechable 3 Pliegues 50 Unidades</t>
  </si>
  <si>
    <t>Mascarilla Tapa Boca Antibacterias</t>
  </si>
  <si>
    <t>Mascarilla X2 Modelo S KN95 3D Reutilizable (Sobre 2 Unid)</t>
  </si>
  <si>
    <t>Alcohol Gel 5 litros</t>
  </si>
  <si>
    <t>Insumos aseo</t>
  </si>
  <si>
    <t>Amonio 5 lts</t>
  </si>
  <si>
    <t>Dispensandor electronico con medicion de temperatura.</t>
  </si>
  <si>
    <t>Termometros</t>
  </si>
  <si>
    <t>Termometro de pistola infrarrojo</t>
  </si>
  <si>
    <t>I Chroma Ii Test De Anticuerpos</t>
  </si>
  <si>
    <t>Test Anticuerpos</t>
  </si>
  <si>
    <t>1652825027456-FF</t>
  </si>
  <si>
    <t>Aspiradora Inalámbrica Portátil Xpira Negra</t>
  </si>
  <si>
    <t>Cámara Camtek Dvr Hd 1080P Autos Gt300 Nocturna Negra</t>
  </si>
  <si>
    <t>Cámara De Video Camtek R300 Dvr Hd Doble Auto Gps</t>
  </si>
  <si>
    <t>67327559384453-FF</t>
  </si>
  <si>
    <t>Cámara HD Auto D3 Frontal, Interior y Trasera</t>
  </si>
  <si>
    <t>PACK53</t>
  </si>
  <si>
    <t>Kit Cámara RD300 + Cámara Wifi + Soporte Celular Itek</t>
  </si>
  <si>
    <t>Pack66</t>
  </si>
  <si>
    <t>Pack Cámara de Auto GT300 1080P + SD 32 Gb</t>
  </si>
  <si>
    <t>Pack65</t>
  </si>
  <si>
    <t>Pack Cámara de Auto R300 DVR Doble + SD 32 Gb</t>
  </si>
  <si>
    <t>Repuesto cámara R300 Dvr Hd</t>
  </si>
  <si>
    <t>Cámara de Seguridad Interior Wifi 360º</t>
  </si>
  <si>
    <t>Cámara de Seguridad Wifi IP L1</t>
  </si>
  <si>
    <t>Cámara Seguimiento</t>
  </si>
  <si>
    <t>Cámara Seguridad Wifi Hip316</t>
  </si>
  <si>
    <t>Pack451</t>
  </si>
  <si>
    <t>Pack 2x Cámara Seguridad Wifi 5g 2MP Guardpro X5 Negro LEVO</t>
  </si>
  <si>
    <t>Pack452</t>
  </si>
  <si>
    <t>Pack 4x Cámara Seguridad Wifi 5G 2MP Guardpro X5 Negro LEVO</t>
  </si>
  <si>
    <t>Pack67</t>
  </si>
  <si>
    <t>Pack Cámara de Seguridad Wifi IP L1 + SD 128 Gb</t>
  </si>
  <si>
    <t>Pack68</t>
  </si>
  <si>
    <t>Pack Cámara Seguridad Interior 360º + SD 128 Gb</t>
  </si>
  <si>
    <t>Timbre Video Portero Citofono Monitor</t>
  </si>
  <si>
    <t>PACK61</t>
  </si>
  <si>
    <t>Kit Pesa Digital + Banda Deportiva Morada SM33</t>
  </si>
  <si>
    <t>PACK62</t>
  </si>
  <si>
    <t>Kit Pesa Digital + Banda Deportiva SM33</t>
  </si>
  <si>
    <t>1538141129434-FF</t>
  </si>
  <si>
    <t>Pesa Digital Baño Negra</t>
  </si>
  <si>
    <t>Tarjeta Sd 128 Gb Clase 10</t>
  </si>
  <si>
    <t>Tarjetas de memoria</t>
  </si>
  <si>
    <t>Tarjeta Sd 32 Gb Clase 10</t>
  </si>
  <si>
    <t>Tarjeta Sd 64 Gb Clase 10</t>
  </si>
  <si>
    <t>LVSOPBZPIV-BL</t>
  </si>
  <si>
    <t>Soporte Brazo para Monitor Pivot Black</t>
  </si>
  <si>
    <t>LVSOPBZPIV-SL</t>
  </si>
  <si>
    <t>Soporte Brazo para Monitor Pivot Silver</t>
  </si>
  <si>
    <t>PACK40</t>
  </si>
  <si>
    <t>Proyector 360 + Parlante Bluetooth</t>
  </si>
  <si>
    <t>Pack69</t>
  </si>
  <si>
    <t>Proyector 360 + SD 128 Gb</t>
  </si>
  <si>
    <t>Pack128</t>
  </si>
  <si>
    <t>Proyector 360 + Telón 100</t>
  </si>
  <si>
    <t>Pack128-FF</t>
  </si>
  <si>
    <t>Pack348</t>
  </si>
  <si>
    <t>Proyector 360 + Telón 100 Eléctrico</t>
  </si>
  <si>
    <t>Pack129</t>
  </si>
  <si>
    <t>Proyector 360 + Telón 60</t>
  </si>
  <si>
    <t>Pack228</t>
  </si>
  <si>
    <t>Proyector 360 + Telón 80</t>
  </si>
  <si>
    <t>Proyector 360 Home Cinema</t>
  </si>
  <si>
    <t>1634567034010-FF</t>
  </si>
  <si>
    <t>Pack115</t>
  </si>
  <si>
    <t>Proyector Focus + Telón 100</t>
  </si>
  <si>
    <t>Pack116</t>
  </si>
  <si>
    <t>Proyector Focus + Telón 60</t>
  </si>
  <si>
    <t>Pack227</t>
  </si>
  <si>
    <t>Proyector Focus + Telón 80</t>
  </si>
  <si>
    <t>Proyector Focus Mini</t>
  </si>
  <si>
    <t>Proyector Halo</t>
  </si>
  <si>
    <t>Pack111</t>
  </si>
  <si>
    <t>Proyector Infinity + Telón 100</t>
  </si>
  <si>
    <t>Pack111-FF</t>
  </si>
  <si>
    <t>Pack112</t>
  </si>
  <si>
    <t>Proyector Infinity + Telón 60</t>
  </si>
  <si>
    <t>Pack112-FF</t>
  </si>
  <si>
    <t>Pack226</t>
  </si>
  <si>
    <t>Proyector Infinity + Telón 80</t>
  </si>
  <si>
    <t>Pack226-FF</t>
  </si>
  <si>
    <t>Pack351</t>
  </si>
  <si>
    <t>Proyector Infinity + Telón Electrico 100</t>
  </si>
  <si>
    <t>Proyector Infinity Smart</t>
  </si>
  <si>
    <t>1658330471799-FF</t>
  </si>
  <si>
    <t>Proyector PL05</t>
  </si>
  <si>
    <t>Pack113</t>
  </si>
  <si>
    <t>Proyector PL05 + Telón 100</t>
  </si>
  <si>
    <t>Pack113-FF</t>
  </si>
  <si>
    <t>Pack114</t>
  </si>
  <si>
    <t>Proyector PL05 + Telón 60</t>
  </si>
  <si>
    <t>Pack114-FF</t>
  </si>
  <si>
    <t>Pack225</t>
  </si>
  <si>
    <t>Proyector PL05 + Telón 80</t>
  </si>
  <si>
    <t>Pack349</t>
  </si>
  <si>
    <t>Proyector Portátil Halo 9000lm + Telón Electrico 100" LEVO</t>
  </si>
  <si>
    <t>Pack428</t>
  </si>
  <si>
    <t>Proyector Portátil Halo 9000lm + Telón Electrico 60" LEVO</t>
  </si>
  <si>
    <t>Pack424</t>
  </si>
  <si>
    <t>Proyector Portátil Halo 9000lm + Telón Electrico 80" LEVO</t>
  </si>
  <si>
    <t>Pack353</t>
  </si>
  <si>
    <t>Proyector Portátil Halo 9000lm + Telón Manual 100" LEVO</t>
  </si>
  <si>
    <t>Pack354</t>
  </si>
  <si>
    <t>Proyector Portátil Halo 9000lm + Telón Manual 60" LEVO</t>
  </si>
  <si>
    <t>Pack352</t>
  </si>
  <si>
    <t>Proyector Portátil Halo 9000lm + Telón Manual 80" LEVO</t>
  </si>
  <si>
    <t>Pack461</t>
  </si>
  <si>
    <t>Proyector Portátil Hexa 8000lm + Telón 100" LEVO</t>
  </si>
  <si>
    <t>Pack465</t>
  </si>
  <si>
    <t>Proyector Portátil Hexa 8000lm + Telón 100" Negro LEVO</t>
  </si>
  <si>
    <t>Pack462</t>
  </si>
  <si>
    <t>Proyector Portátil Hexa 8000lm + Telón 60" LEVO</t>
  </si>
  <si>
    <t>Pack466</t>
  </si>
  <si>
    <t>Proyector Portátil Hexa 8000lm + Telón 60" Negro LEVO</t>
  </si>
  <si>
    <t>Pack460</t>
  </si>
  <si>
    <t>Proyector Portátil Hexa 8000lm + Telón 80" LEVO</t>
  </si>
  <si>
    <t>Pack464</t>
  </si>
  <si>
    <t>Proyector Portátil Hexa 8000lm + Telón 80" Negro LEVO</t>
  </si>
  <si>
    <t>Pack457</t>
  </si>
  <si>
    <t>Proyector Portátil Hexa 8000lm + Telón Eléctrico 100" LEVO</t>
  </si>
  <si>
    <t>Pack459</t>
  </si>
  <si>
    <t>Proyector Portátil Hexa 8000lm + Telón Electrico 60" LEVO</t>
  </si>
  <si>
    <t>Pack458</t>
  </si>
  <si>
    <t>Proyector Portatil Hexa 8000lm + Telón Electrico 80" LEVO</t>
  </si>
  <si>
    <t>Pack463</t>
  </si>
  <si>
    <t>Proyector Portatil Hexa 8000lm + Telón Elevacion 100" LEVO</t>
  </si>
  <si>
    <t>Pack356</t>
  </si>
  <si>
    <t>Proyector Portátil Lumix 9000lm + Telón 100" LEVO</t>
  </si>
  <si>
    <t>Pack470</t>
  </si>
  <si>
    <t>Proyector Portatil Lumix 9000lm + Telón 100" Negro LEVO</t>
  </si>
  <si>
    <t>Pack357</t>
  </si>
  <si>
    <t>Proyector Portátil Lumix 9000lm + Telón 60" LEVO</t>
  </si>
  <si>
    <t>Pack472</t>
  </si>
  <si>
    <t>Proyector Portatil Lumix 9000lm + Telón 60" Negro LEVO</t>
  </si>
  <si>
    <t>Pack355</t>
  </si>
  <si>
    <t>Proyector Portátil Lumix 9000lm + Telón 80" LEVO</t>
  </si>
  <si>
    <t>Pack471</t>
  </si>
  <si>
    <t>Proyector Portatil Lumix 9000lm + Telón 80" Negro LEVO</t>
  </si>
  <si>
    <t>Pack350</t>
  </si>
  <si>
    <t>Proyector Portátil Lumix 9000lm + Telón Eléctrico 100" LEVO</t>
  </si>
  <si>
    <t>Pack429</t>
  </si>
  <si>
    <t>Proyector Portátil Lumix 9000lm + Telón Electrico 60" LEVO</t>
  </si>
  <si>
    <t>Pack425</t>
  </si>
  <si>
    <t>Proyector Portátil Lumix 9000lm + Telón Eléctrico 80" LEVO</t>
  </si>
  <si>
    <t>Pack447</t>
  </si>
  <si>
    <t>Proyector Portátil Lumix 9000lm + Telón Elevacion 100" LEVO</t>
  </si>
  <si>
    <t>Pack368</t>
  </si>
  <si>
    <t>Proyector Portátil Nova 9000lm + Telón 100" LEVO</t>
  </si>
  <si>
    <t>Pack473</t>
  </si>
  <si>
    <t>Proyector Portatil Nova 9000lm + Telón 100" Negro LEVO</t>
  </si>
  <si>
    <t>Pack370</t>
  </si>
  <si>
    <t>Proyector Portátil Nova 9000lm + Telón 60" LEVO</t>
  </si>
  <si>
    <t>Pack475</t>
  </si>
  <si>
    <t>Proyector Portatil Nova 9000lm + Telón 60" Negro LEVO</t>
  </si>
  <si>
    <t>Pack371</t>
  </si>
  <si>
    <t>Proyector Portátil Nova 9000lm + Telón 80" LEVO</t>
  </si>
  <si>
    <t>Pack474</t>
  </si>
  <si>
    <t>Proyector Portatil Nova 9000lm + Telón 80" Negro LEVO</t>
  </si>
  <si>
    <t>Pack369</t>
  </si>
  <si>
    <t>Proyector Portátil Nova 9000lm + Telón Eléctrico 100" LEVO</t>
  </si>
  <si>
    <t>Pack427</t>
  </si>
  <si>
    <t>Proyector Portátil Nova 9000lm + Telón Eléctrico 60" LEVO</t>
  </si>
  <si>
    <t>Pack423</t>
  </si>
  <si>
    <t>Proyector Portátil Nova 9000lm + Telón Eléctrico 80" LEVO</t>
  </si>
  <si>
    <t>Pack448</t>
  </si>
  <si>
    <t>Proyector Portatil Nova 9000lm + Telón Elevacion 100" LEVO</t>
  </si>
  <si>
    <t>Pack364</t>
  </si>
  <si>
    <t>Proyector Portátil Orion 12000lm + Telón 100" LEVO</t>
  </si>
  <si>
    <t>Pack467</t>
  </si>
  <si>
    <t>Proyector Portatil Orion 12000lm + Telón 100" Negro LEVO</t>
  </si>
  <si>
    <t>Pack366</t>
  </si>
  <si>
    <t>Proyector Portátil Orion 12000lm + Telón 60" LEVO</t>
  </si>
  <si>
    <t>Pack469</t>
  </si>
  <si>
    <t>Proyector Portatil Orion 12000lm + Telón 60" Negro LEVO</t>
  </si>
  <si>
    <t>Pack367</t>
  </si>
  <si>
    <t>Proyector Portátil Orion 12000lm + Telón 80" LEVO</t>
  </si>
  <si>
    <t>Pack468</t>
  </si>
  <si>
    <t>Proyector Portatil Orion 12000lm + Telón 80" Negro LEVO</t>
  </si>
  <si>
    <t>Pack365</t>
  </si>
  <si>
    <t>Proyector Portátil Orion 12000lm + Telón Eléctrico 100" LEVO</t>
  </si>
  <si>
    <t>Pack430</t>
  </si>
  <si>
    <t>Proyector Portátil Orion 12000lm + Telón Eléctrico 60" LEVO</t>
  </si>
  <si>
    <t>Pack426</t>
  </si>
  <si>
    <t>Proyector Portátil Orion 12000lm + Telón Eléctrico 80" LEVO</t>
  </si>
  <si>
    <t>Pack446</t>
  </si>
  <si>
    <t>Proyector Portátil Orion 12000lm + Telón Elevacion 100" LEVO</t>
  </si>
  <si>
    <t>1659991971809-FF</t>
  </si>
  <si>
    <t>Telón 100 pulgadas</t>
  </si>
  <si>
    <t>Telones proyector</t>
  </si>
  <si>
    <t>LVTEL-80-FF</t>
  </si>
  <si>
    <t>Telón 80 pulgadas</t>
  </si>
  <si>
    <t>Camara 4k H1 Azul</t>
  </si>
  <si>
    <t>Camara 4k H1 Dorada</t>
  </si>
  <si>
    <t>Kit Accesorios Cámaras Deportivas Maletín</t>
  </si>
  <si>
    <t>Parlante Bluetooth Austral 40 Negro</t>
  </si>
  <si>
    <t>Parlante Bluetooth Boom 360 Silver</t>
  </si>
  <si>
    <t>Parlante bluetooth Portátil TX2 Azul</t>
  </si>
  <si>
    <t>Parlante Boom 360</t>
  </si>
  <si>
    <t>PACK3</t>
  </si>
  <si>
    <t>Kit Maquina Remadora + 3 Bandas Elásticas y TRX</t>
  </si>
  <si>
    <t>PACK42</t>
  </si>
  <si>
    <t>Kit Máquina Remadora de Aire + Smartwatch RD7</t>
  </si>
  <si>
    <t>Banda Deportiva Sm36 Azul</t>
  </si>
  <si>
    <t>Banda Deportiva Sm36 Morado</t>
  </si>
  <si>
    <t>Banda Deportiva SM36 Morado</t>
  </si>
  <si>
    <t>Banda Deportiva Sm36 Negro</t>
  </si>
  <si>
    <t>Banda Deportiva Sm36 Rojo</t>
  </si>
  <si>
    <t>PACK28</t>
  </si>
  <si>
    <t>Smartband + Arnés + Bebedero + Porta Bolsas</t>
  </si>
  <si>
    <t>LHSWFLOBK-FF</t>
  </si>
  <si>
    <t>Smartband Flow 3 Black</t>
  </si>
  <si>
    <t>LHSWFLOBL-FF</t>
  </si>
  <si>
    <t>Smartband Flow 3 Blue</t>
  </si>
  <si>
    <t>LHSWFLOPK-FF</t>
  </si>
  <si>
    <t>Smartband Flow 3 Pink</t>
  </si>
  <si>
    <t>PACK27</t>
  </si>
  <si>
    <t>Smartband Negra + Arnés + Bebedero + Porta Bolsas</t>
  </si>
  <si>
    <t>Smartband SM33 Azul</t>
  </si>
  <si>
    <t>Smartband SM33 Rojo</t>
  </si>
  <si>
    <t>Smartband SM36 Plus Azul</t>
  </si>
  <si>
    <t>Smartband SM36 Plus Roja</t>
  </si>
  <si>
    <t>Calcetin Deportivo Corte Bajo Running Vora L-XL Black Lhotse</t>
  </si>
  <si>
    <t>Calcetin Deportivo Corte Bajo Running Vora L-XL Gray Melange Lhotse</t>
  </si>
  <si>
    <t>Calcetin Deportivo Corte Bajo Running Vora L-XL White Lhotse</t>
  </si>
  <si>
    <t>Calcetin Deportivo Corte Bajo Running Vora S-M Black Lhotse</t>
  </si>
  <si>
    <t>Calcetin Deportivo Corte Bajo Running Vora S-M Gray Melange Lhotse</t>
  </si>
  <si>
    <t>Calcetin Deportivo Corte Bajo Running Vora S-M White Lhotse</t>
  </si>
  <si>
    <t>Calcetin Deportivo Corte Largo Trekking Andor Lhotse</t>
  </si>
  <si>
    <t>Calcetin Deportivo Corte Largo Trekking Andor L-XL Blue Lhotse</t>
  </si>
  <si>
    <t>Calcetin Deportivo Corte Largo Trekking Andor L-XL Earth Lhotse</t>
  </si>
  <si>
    <t>Calcetin Deportivo Corte Largo Trekking Andor L-XL Gray Melange Lhotse</t>
  </si>
  <si>
    <t>Calcetin Deportivo Corte Largo Trekking Andor S-M Blue Lhotse</t>
  </si>
  <si>
    <t>Calcetin Deportivo Corte Largo Trekking Andor S-M Earth Lhotse</t>
  </si>
  <si>
    <t>Calcetin Deportivo Corte Largo Trekking Andor S-M Gray Melange Lhotse</t>
  </si>
  <si>
    <t>Calcetin Deportivo Corte Medio Trail Numa L-XL Beige Lhotse</t>
  </si>
  <si>
    <t>Calcetin Deportivo Corte Medio Trail Numa L-XL Black Lhotse</t>
  </si>
  <si>
    <t>Calcetin Deportivo Corte Medio Trail Numa L-XL Green Lhotse</t>
  </si>
  <si>
    <t>Calcetin Deportivo Corte Medio Trail Numa S-M Beige Lhotse</t>
  </si>
  <si>
    <t>Calcetin Deportivo Corte Medio Trail Numa S-M Black Lhotse</t>
  </si>
  <si>
    <t>Calcetin Deportivo Corte Medio Trail Numa S-M Green Lhotse</t>
  </si>
  <si>
    <t>Pack480-M</t>
  </si>
  <si>
    <t>Calcetines Deportivos Corte Largo Andor 4 Pares Lhotse</t>
  </si>
  <si>
    <t>Pack480-L</t>
  </si>
  <si>
    <t>Pack481-M</t>
  </si>
  <si>
    <t>Calcetines Deportivos Corte Medio Numa 3 Pares Lhotse</t>
  </si>
  <si>
    <t>Pack481-L</t>
  </si>
  <si>
    <t>Pack482-M</t>
  </si>
  <si>
    <t>Calcetines Deportivos Corte Tobillo Vora 3 Pares Lhotse</t>
  </si>
  <si>
    <t>Pack482-L</t>
  </si>
  <si>
    <t>Jockey Algodon Unisex Hike Black Lhotse</t>
  </si>
  <si>
    <t>Jockey Algodon Unisex Hike Green/Beige Lhotse</t>
  </si>
  <si>
    <t>Jockey Algodon Unisex Ride Green Lhotse</t>
  </si>
  <si>
    <t>Jockey Algodon Unisex Ride Multicolor Lhotse</t>
  </si>
  <si>
    <t>Jockey Algodon Unisex Trekker Black Lhotse</t>
  </si>
  <si>
    <t>Jockey Algodon Unisex Trekker Green Lhotse</t>
  </si>
  <si>
    <t>Jockey Algodon Unisex Trekker Orange Lhotse</t>
  </si>
  <si>
    <t>Jockey Algodon Unisex Wave Black Lhotse</t>
  </si>
  <si>
    <t>Jockey Algodon Unisex Wave Green Lhotse</t>
  </si>
  <si>
    <t>Jockey Deportivo DryFit FlexFlow Blue Lhotse</t>
  </si>
  <si>
    <t>Jockey Deportivo DryFit FlexFlow Green Lhotse</t>
  </si>
  <si>
    <t>Jockey Deportivo FlexFlow DryFit</t>
  </si>
  <si>
    <t>Jockey Hike Algodón Green/Beige</t>
  </si>
  <si>
    <t>Jockey Ride Algodón Black/Green</t>
  </si>
  <si>
    <t>Pantuflas Térmicas Cloudfit Outdoor Suela WarmPath (Azul, 36-37)</t>
  </si>
  <si>
    <t>Pantuflas Térmicas Cloudfit Outdoor Suela WarmPath (Azul, 38-39)</t>
  </si>
  <si>
    <t>Pantuflas Térmicas Cloudfit Outdoor Suela WarmPath (Azul, 40-41)</t>
  </si>
  <si>
    <t>Pantuflas Térmicas Cloudfit Outdoor Suela WarmPath (Azul, 42-43)</t>
  </si>
  <si>
    <t>Pantuflas Térmicas Cloudfit Outdoor Suela WarmPath (Azul, 44-45)</t>
  </si>
  <si>
    <t>Pantuflas Térmicas Cloudfit Outdoor Suela WarmPath (Negro, 36-37)</t>
  </si>
  <si>
    <t>Pantuflas Térmicas Cloudfit Outdoor Suela WarmPath (Negro, 38-39)</t>
  </si>
  <si>
    <t>Pantuflas Térmicas Cloudfit Outdoor Suela WarmPath (Negro, 40-41)</t>
  </si>
  <si>
    <t>Pantuflas Térmicas Cloudfit Outdoor Suela WarmPath (Negro, 42-43)</t>
  </si>
  <si>
    <t>Pantuflas Térmicas Cloudfit Outdoor Suela WarmPath (Negro, 44-45)</t>
  </si>
  <si>
    <t>Pantuflas Térmicas Cloudfit Outdoor Suela WarmPath (Verde, 36-37)</t>
  </si>
  <si>
    <t>Pantuflas Térmicas Cloudfit Outdoor Suela WarmPath (Verde, 40-41)</t>
  </si>
  <si>
    <t>Pantuflas Térmicas Cloudfit Outdoor Suela WarmPath (Verde, 42-43)</t>
  </si>
  <si>
    <t>Pantuflas Térmicas Cloudfit Outdoor Suela WarmPath (Verde, 44-45)</t>
  </si>
  <si>
    <t>Pantuflas Termicas Outdoor Suela WarmPath Cloudfit 38-39 Green Lhotse</t>
  </si>
  <si>
    <t>Reloj Análogo Flame</t>
  </si>
  <si>
    <t>Relojes análogo</t>
  </si>
  <si>
    <t>Reloj Análogo Sky Watch Correa Metálica</t>
  </si>
  <si>
    <t>Toalla Microfibra Secado Rapido QuickTrek Blue Lhotse</t>
  </si>
  <si>
    <t>Toalla Microfibra Secado Rapido QuickTrek Lilac Lhotse</t>
  </si>
  <si>
    <t>Audifonos Bluetooth Inalambrico Deportivo ENC TuneAir Lhotse</t>
  </si>
  <si>
    <t>Audifonos Bluetooth Inalambrico Deportivo FitBuds Lhotse</t>
  </si>
  <si>
    <t>Audífonos Bluetooth Rm3 Blanco</t>
  </si>
  <si>
    <t>Audífonos Bluetooth Rm3 Negro</t>
  </si>
  <si>
    <t>Audífonos Bluetooth Sense F1 Negro</t>
  </si>
  <si>
    <t>Audífonos Bluetooth Up Sound 4</t>
  </si>
  <si>
    <t>Audífonos BT031 Azul Manos Libres</t>
  </si>
  <si>
    <t>Audífonos BT031 Blanco Manos Libres</t>
  </si>
  <si>
    <t>Audífonos Buds 5 Bluetooth Negro</t>
  </si>
  <si>
    <t>Audífonos Buds Jam Black</t>
  </si>
  <si>
    <t>Audífonos Buds Jam White</t>
  </si>
  <si>
    <t>Audifonos Deportivo Bluetooth RM5 Rojo</t>
  </si>
  <si>
    <t>1564150627423-FF</t>
  </si>
  <si>
    <t>Audífonos Rm12 Blanco</t>
  </si>
  <si>
    <t>1566335721736-FF</t>
  </si>
  <si>
    <t>Audífonos Rm12 Celeste</t>
  </si>
  <si>
    <t>1564150661249-FF</t>
  </si>
  <si>
    <t>Audífonos Rm12 Negro</t>
  </si>
  <si>
    <t>Audífonos Rm12 Rojo</t>
  </si>
  <si>
    <t>Audífonos Rm5</t>
  </si>
  <si>
    <t>1537889368850-FF</t>
  </si>
  <si>
    <t>1597086499840-FF</t>
  </si>
  <si>
    <t>Audífonos RM7 Blanco</t>
  </si>
  <si>
    <t>LHRM7TOPBL</t>
  </si>
  <si>
    <t>LHRM7TOPCE</t>
  </si>
  <si>
    <t>Audífonos RM7 Celeste</t>
  </si>
  <si>
    <t>1597098592591-FF</t>
  </si>
  <si>
    <t>Audífonos RM7 Negro</t>
  </si>
  <si>
    <t>LHRM7TOPNE</t>
  </si>
  <si>
    <t>Pack239</t>
  </si>
  <si>
    <t>Audífonos RM7 Pro Negro + Kit Teclado y Mouse</t>
  </si>
  <si>
    <t>68658866289861-FF</t>
  </si>
  <si>
    <t>Audífonos RM7 Rosado</t>
  </si>
  <si>
    <t>LHRM7TOPRO</t>
  </si>
  <si>
    <t>Caja de audífonos</t>
  </si>
  <si>
    <t>LHOTSE</t>
  </si>
  <si>
    <t>SENSE F1</t>
  </si>
  <si>
    <t>Parlante Bounce Blue</t>
  </si>
  <si>
    <t>Parlante Bounce Pink</t>
  </si>
  <si>
    <t>Parlante Bounce White</t>
  </si>
  <si>
    <t>Parlante Portatil Bluetooth Bounce Mini Black Lhotse</t>
  </si>
  <si>
    <t>Parlante Portatil Inalambrico Bluetooth Tune Up White Lhotse</t>
  </si>
  <si>
    <t>Parlante Teno J5</t>
  </si>
  <si>
    <t>Ducha Solar 20 Litros Outdoor</t>
  </si>
  <si>
    <t>Hamaca outdoor verde 270 Cm</t>
  </si>
  <si>
    <t>Lámpara Solar Inflable outdoor</t>
  </si>
  <si>
    <t>Luz de Bicicleta Power Up 2000</t>
  </si>
  <si>
    <t>PACK1</t>
  </si>
  <si>
    <t>Kit Pick-Up Pad 5 Bicicletas + Hamaca Camping</t>
  </si>
  <si>
    <t>1571423280815-FF</t>
  </si>
  <si>
    <t>Pick-up Pad Porta 5 Bicicletas</t>
  </si>
  <si>
    <t>Porta Bicicleta Pick-up Pad 2 Bicicletas Lhotse</t>
  </si>
  <si>
    <t>Porta Bicicleta Pick-up Pad 5 Bicicletas Lhotse</t>
  </si>
  <si>
    <t>Porta Bicicleta Pick-up Pad 6 Bicicletas Lhotse</t>
  </si>
  <si>
    <t>PACK11</t>
  </si>
  <si>
    <t>Kit Pick-up Pad + Cámara Deportiva 4K</t>
  </si>
  <si>
    <t>Pistola Masaje Muscular 4 Cabezales Fit</t>
  </si>
  <si>
    <t>Bandas de Suspensión TRX Amarillas</t>
  </si>
  <si>
    <t>Bandas de Suspensión TRX Rosadas</t>
  </si>
  <si>
    <t>Kettlebell Pesa Rusa Ajustable 18 Kg Fit</t>
  </si>
  <si>
    <t>PACK8</t>
  </si>
  <si>
    <t>Kit TRX Rosado + 3 Bandas Elásticas</t>
  </si>
  <si>
    <t>Mancuerna Ajustable 24 Kg Fit</t>
  </si>
  <si>
    <t>Pack 3 Bandas Elásticas Deporte y Resistencia</t>
  </si>
  <si>
    <t>Par Mancuernas Hexagonales 10 Kg Fit</t>
  </si>
  <si>
    <t>Pesa Rusa Kettlebell 10 Kg Azul Fit</t>
  </si>
  <si>
    <t>Rueda Abdominal Y Mat Para Rodillas</t>
  </si>
  <si>
    <t>Set Bandas Elásticas Resistencia 11 Piezas</t>
  </si>
  <si>
    <t>Set Deportivo 7 en 1 Rueda Abdominal Cuerda Fit Lhotse</t>
  </si>
  <si>
    <t>Set GYM Multi Lifting</t>
  </si>
  <si>
    <t>1623703942966-FF</t>
  </si>
  <si>
    <t>Banano Impermeable Urbano Negro</t>
  </si>
  <si>
    <t>Banano Outdoor Golight 1Lt Himalaya Black Lhotse</t>
  </si>
  <si>
    <t>Banano Outdoor Golight 1Lt Himalaya Blue Lhotse</t>
  </si>
  <si>
    <t>Banano Outdoor Golight 1Lt Himalaya Red Lhotse</t>
  </si>
  <si>
    <t>Banano Outdoor Impermeable 2L Black Lhotse</t>
  </si>
  <si>
    <t>Banano Outdoor Impermeable 2L K2 Black Lhotse</t>
  </si>
  <si>
    <t>1623703861303-FF</t>
  </si>
  <si>
    <t>Bolso Deportivo Duffel Bag Negro</t>
  </si>
  <si>
    <t>Bolso Deportivo Impermeable Duffel 30L Black Lhotse</t>
  </si>
  <si>
    <t>PackCY19-FF</t>
  </si>
  <si>
    <t>Bolso Duffel 30 lts Green + Banano impermeable</t>
  </si>
  <si>
    <t>PackCY19</t>
  </si>
  <si>
    <t>PackCY16</t>
  </si>
  <si>
    <t>Bolso Duffel 60 lts Black + Banano impermeable</t>
  </si>
  <si>
    <t>PackCY16-FF</t>
  </si>
  <si>
    <t>PackCY15</t>
  </si>
  <si>
    <t>Bolso Duffel 60 lts Green + Banano impermeable</t>
  </si>
  <si>
    <t>PackCY15-FF</t>
  </si>
  <si>
    <t>Bolso Duffel 70 lts Azul</t>
  </si>
  <si>
    <t>PackCY20</t>
  </si>
  <si>
    <t>Bolso Duffel 70 lts Black + Banano impermeable</t>
  </si>
  <si>
    <t>PackCY20-FF</t>
  </si>
  <si>
    <t>Bolso Duffel 70 lts Negro</t>
  </si>
  <si>
    <t>PACK21</t>
  </si>
  <si>
    <t>Kit Bolso Deportivo + Banano Impermeable</t>
  </si>
  <si>
    <t>PackCY17</t>
  </si>
  <si>
    <t>Pack Bolso Duffel 30 lts Navy + Banano impermeable</t>
  </si>
  <si>
    <t>PackCY17-FF</t>
  </si>
  <si>
    <t>PackCY18</t>
  </si>
  <si>
    <t>Pack Bolso Duffel 60 lts Navy + Banano impermeable</t>
  </si>
  <si>
    <t>PackCY21</t>
  </si>
  <si>
    <t>Pack Bolso Duffel 70 lts Azul + Banano impermeable</t>
  </si>
  <si>
    <t>PackCY21-FF</t>
  </si>
  <si>
    <t>PackCY29</t>
  </si>
  <si>
    <t>Pack Bolso Impermeable 30LT Green + Botella Coihue</t>
  </si>
  <si>
    <t>PackCY28</t>
  </si>
  <si>
    <t>Pack Bolso Impermeable 30LT Navy + Botella Coihue</t>
  </si>
  <si>
    <t>PackCY23</t>
  </si>
  <si>
    <t>Pack Bolso Impermeable 30LT Negro + Botella Coihue</t>
  </si>
  <si>
    <t>PackCY30</t>
  </si>
  <si>
    <t>PackCY27</t>
  </si>
  <si>
    <t>Pack Bolso Impermeable 60LT Black + Botella Coihue</t>
  </si>
  <si>
    <t>PackCY26</t>
  </si>
  <si>
    <t>Pack Bolso Impermeable 60LT Green + Botella Coihue</t>
  </si>
  <si>
    <t>PackCY25</t>
  </si>
  <si>
    <t>Pack Bolso Impermeable 60LT Navy+ Botella Coihue</t>
  </si>
  <si>
    <t>PackCY24</t>
  </si>
  <si>
    <t>Pack Bolso Maleta Roadtrip 70 lts + Botella</t>
  </si>
  <si>
    <t>PackCY22</t>
  </si>
  <si>
    <t>Pack Bolso Maleta Roadtrip 70 lts Azul + Banano</t>
  </si>
  <si>
    <t>PackCY22-FF</t>
  </si>
  <si>
    <t>Maleta Roadtrip 70lts Black</t>
  </si>
  <si>
    <t>Pack372</t>
  </si>
  <si>
    <t>Pack Duo Maleta Expedition Cabina 30 lts + L 70 lts Lhotse</t>
  </si>
  <si>
    <t>Pack373</t>
  </si>
  <si>
    <t>Pack Duo Maleta Expedition Cabina 30 lts + XL 90 lts Lhotse</t>
  </si>
  <si>
    <t>Pack398</t>
  </si>
  <si>
    <t>Pack Maleta Cabina 30lts + Neceser de viaje Khumbu</t>
  </si>
  <si>
    <t>PACK12</t>
  </si>
  <si>
    <t>Kit Mochila Outdoor + Termo Patagón Verde</t>
  </si>
  <si>
    <t>Mochila Antirrobo Impermeable 35lts Gray Lhotse</t>
  </si>
  <si>
    <t>Mochila Antirrobo MA147 Parche</t>
  </si>
  <si>
    <t>Pack327</t>
  </si>
  <si>
    <t>Mochila Himalaya 22L Black</t>
  </si>
  <si>
    <t>Mochila Himalaya 22Lts Black</t>
  </si>
  <si>
    <t>Mochila Himalaya 22Lts Blue</t>
  </si>
  <si>
    <t>Mochila HydroRoad Azul</t>
  </si>
  <si>
    <t>Pack231</t>
  </si>
  <si>
    <t>Mochila HydroRoad Gris</t>
  </si>
  <si>
    <t>Pack230</t>
  </si>
  <si>
    <t>Pack229</t>
  </si>
  <si>
    <t>Mochila HydroRoad Negra</t>
  </si>
  <si>
    <t>Mochila Street 20 Lt Negra</t>
  </si>
  <si>
    <t>Mochila Street 20 Lt Verde</t>
  </si>
  <si>
    <t>Mochila Urbana Roll Top Porta Notebook 19L Volcano Black Lhotse</t>
  </si>
  <si>
    <t>Mochila Urbana Roll Top Porta Notebook 19L Volcano Green Lhotse</t>
  </si>
  <si>
    <t>1661873799978-FF</t>
  </si>
  <si>
    <t>Mochila Volcano 19 Lt Negra</t>
  </si>
  <si>
    <t>PACK2</t>
  </si>
  <si>
    <t>Kit Mochila Outdoor + Termo Patagón Negro</t>
  </si>
  <si>
    <t>MOCHILA 3 ORANGE</t>
  </si>
  <si>
    <t>Pack328</t>
  </si>
  <si>
    <t>Mochila Himalaya 22L Blue</t>
  </si>
  <si>
    <t>LHMOBI001-BK-FF</t>
  </si>
  <si>
    <t>Mochila Trekking Plegable 35Lt Negra</t>
  </si>
  <si>
    <t>Neceser Estuche Viaje Waterproof 5L Khumbu Black Lhotse</t>
  </si>
  <si>
    <t>Neceser Estuche Viaje Waterproof 5L Khumbu Green Lhotse</t>
  </si>
  <si>
    <t>Neceser Estuche Viaje Waterproof 5L Travel Rimo Black Lhotse</t>
  </si>
  <si>
    <t>Botella 800ml coihue Blanca</t>
  </si>
  <si>
    <t>Botella Hydro 360ml Celeste</t>
  </si>
  <si>
    <t>Botella Hydro 360ml Lila</t>
  </si>
  <si>
    <t>Botella Hydro 360ml Negro</t>
  </si>
  <si>
    <t>Botella Hydro 360ml Rosado</t>
  </si>
  <si>
    <t>Botella Hydro 360ml Verde</t>
  </si>
  <si>
    <t>Botella Hydro 950ml Celeste</t>
  </si>
  <si>
    <t>Botella Hydro 950ml Negro</t>
  </si>
  <si>
    <t>Botella Hydro 950ml Verde</t>
  </si>
  <si>
    <t>Pack478</t>
  </si>
  <si>
    <t>Botella Térmica Acero Inox 3 Tapas HydroCore 1Lt Set X2 Lhotse</t>
  </si>
  <si>
    <t>Botella Térmica Coihue Azul 800 ml</t>
  </si>
  <si>
    <t>1659992503614-FF</t>
  </si>
  <si>
    <t>Botella Térmica Coihue Negra 800 ml</t>
  </si>
  <si>
    <t>1659992478281-FF</t>
  </si>
  <si>
    <t>Botella Térmica Coihue Pink 800 ml</t>
  </si>
  <si>
    <t>Pack313</t>
  </si>
  <si>
    <t>Botella Térmica Hydro Celeste 960ml + 3 Tapas</t>
  </si>
  <si>
    <t>Pack310</t>
  </si>
  <si>
    <t>Botella Térmica Hydro Lila 960ml + 3 Tapas</t>
  </si>
  <si>
    <t>Pack312</t>
  </si>
  <si>
    <t>Botella Térmica Hydro Negro 960ml + 3 Tapas</t>
  </si>
  <si>
    <t>Pack311</t>
  </si>
  <si>
    <t>Botella Térmica Hydro Rosado 960ml + 3 Tapas</t>
  </si>
  <si>
    <t>Pack309</t>
  </si>
  <si>
    <t>Botella Térmica Hydro Verde 960ml + 3 Tapas</t>
  </si>
  <si>
    <t>Botella Térmica Indo 800ml Blue</t>
  </si>
  <si>
    <t>Botella Térmica Indo 800ml Green</t>
  </si>
  <si>
    <t>Botella Térmica Indo 800ml Light Blue</t>
  </si>
  <si>
    <t>Botella Térmica Indo 800ml Pink</t>
  </si>
  <si>
    <t>Botella Térmica Indo 800ml White</t>
  </si>
  <si>
    <t>Botella Termica Insulada 960ml Hydro Pink Lhotse</t>
  </si>
  <si>
    <t>Pack317</t>
  </si>
  <si>
    <t>Botella Térmica Niño Hydro 360ml Celeste + 3 Tapas</t>
  </si>
  <si>
    <t>Pack316</t>
  </si>
  <si>
    <t>Botella Térmica Niño Hydro 360ml Lila + 3 Tapas</t>
  </si>
  <si>
    <t>Pack318</t>
  </si>
  <si>
    <t>Botella Térmica Niño Hydro 360ml Negro + 3 Tapas</t>
  </si>
  <si>
    <t>Pack314</t>
  </si>
  <si>
    <t>Botella Térmica Niño Hydro 360ml Rosado + 3 Tapas</t>
  </si>
  <si>
    <t>Pack315</t>
  </si>
  <si>
    <t>Botella Térmica Niño Hydro 360ml Verde + 3 Tapas</t>
  </si>
  <si>
    <t>PackDDM1</t>
  </si>
  <si>
    <t>Pack Madre e Hija Mug + Botella</t>
  </si>
  <si>
    <t>PackDDM2</t>
  </si>
  <si>
    <t>Pack Madre e Hija Mug 2 botellas 960ml</t>
  </si>
  <si>
    <t>PackDDM3</t>
  </si>
  <si>
    <t>Pack Madre e Hijo Mug 2 botellas 960ml</t>
  </si>
  <si>
    <t>Pack479</t>
  </si>
  <si>
    <t>Shaker Vaso Proteina Acero Inox NutriCore 500ml Set X2 Lhotse</t>
  </si>
  <si>
    <t>Tumbler 1118ml Black</t>
  </si>
  <si>
    <t>Tumbler 1118ml Light Green</t>
  </si>
  <si>
    <t>Tumbler 1180ml Lila</t>
  </si>
  <si>
    <t>Vaso Termico Tumbler Acero Inox 1180ml Arena Lhotse</t>
  </si>
  <si>
    <t>Vaso Termico Tumbler Acero Inox 1180ml Light Blue Lhotse</t>
  </si>
  <si>
    <t>Vaso Termico Tumbler Acero Inox 1180ml Pink Lhotse</t>
  </si>
  <si>
    <t>Matera Mate Acero Inox con Bombilla 236ml Black Lhotse</t>
  </si>
  <si>
    <t>Matera Mate Acero Inox con Bombilla 236ml Green Lhotse</t>
  </si>
  <si>
    <t>Matera Mate Acero Inox con Bombilla 236ml Light Pink Lhotse</t>
  </si>
  <si>
    <t>Matera Mate Acero Inox con Bombilla 236ml Pink Lhotse</t>
  </si>
  <si>
    <t>Matera Mate Acero Inox con Bombilla 236ml Red Lhotse</t>
  </si>
  <si>
    <t>Matera Mate Acero Inox con Bombilla 236ml White Lhotse</t>
  </si>
  <si>
    <t>Taza Termica Insulada Camping 350ml Black Lhotse</t>
  </si>
  <si>
    <t>Taza Termica Insulada Camping 350ml Blue Lhotse</t>
  </si>
  <si>
    <t>Taza Termica Insulada Camping 350ml Green Lhotse</t>
  </si>
  <si>
    <t>Taza Termica Insulada Camping 350ml White Lhotse</t>
  </si>
  <si>
    <t>Vaso Termico Insulado Camping 480ml Black Lhotse</t>
  </si>
  <si>
    <t>Vaso Térmico Insulado Camping 480ml Green</t>
  </si>
  <si>
    <t>Vaso Termico Insulado Camping 480ml Pink Lhotse</t>
  </si>
  <si>
    <t>Vaso Termico Insulado Camping 480ml Red Lhotse</t>
  </si>
  <si>
    <t>Vaso Termico Insulado Camping 480ml White Lhotse</t>
  </si>
  <si>
    <t>LHMAMU-LPK-FF</t>
  </si>
  <si>
    <t>Mate con Bombilla Light Pink</t>
  </si>
  <si>
    <t>Termo Classic 1,3 lts Light Green</t>
  </si>
  <si>
    <t>LHTHCLA-LGR-FF</t>
  </si>
  <si>
    <t>Termo Liquido Acero Inox 1.3L Classic Black Lhotse</t>
  </si>
  <si>
    <t>Termo Liquido Acero Inox 1.3L Classic Green Lhotse</t>
  </si>
  <si>
    <t>Termo Liquido Acero Inox 1.3L Classic Pink Lhotse</t>
  </si>
  <si>
    <t>Termo Liquido Acero Inox 1.3L Classic White Lhotse</t>
  </si>
  <si>
    <t>Pack305</t>
  </si>
  <si>
    <t>Termo Líquido Classic 1.3 lts + Mate Bombilla 230ml Black Lhotse</t>
  </si>
  <si>
    <t>Pack304</t>
  </si>
  <si>
    <t>Termo Líquido Classic 1.3 lts + Mate Bombilla 230ml Pink Lhotse</t>
  </si>
  <si>
    <t>Pack303</t>
  </si>
  <si>
    <t>Termo Líquido Classic 1.3 lts + Mate Bombilla 230ml White Lhotse</t>
  </si>
  <si>
    <t>Pack307</t>
  </si>
  <si>
    <t>Termo Líquido Classic 1.3 lts + Mate Bombilla Green Lhotse</t>
  </si>
  <si>
    <t>Pack306</t>
  </si>
  <si>
    <t>Termo Líquido Classic Black 1.3 lts + Mate Bombilla 230ml Red Lhotse</t>
  </si>
  <si>
    <t>Termo Patagón 1 Lt Negro</t>
  </si>
  <si>
    <t>1627424867043-FF</t>
  </si>
  <si>
    <t>Termo Patagón 1 Lt Verde</t>
  </si>
  <si>
    <t>LHBIGMU-PP-FF</t>
  </si>
  <si>
    <t>Maquina Remadora de Aire Fit</t>
  </si>
  <si>
    <t>Máquinas</t>
  </si>
  <si>
    <t>Bicicleta Estática Spinning Negra Fit</t>
  </si>
  <si>
    <t>Máquinas deporte</t>
  </si>
  <si>
    <t>Bicicletas spinning</t>
  </si>
  <si>
    <t>PACK4</t>
  </si>
  <si>
    <t>Kit Bicicleta Estatica + TRX Amarillo</t>
  </si>
  <si>
    <t>STICKER10K</t>
  </si>
  <si>
    <t>Sticker Maratón Santiago</t>
  </si>
  <si>
    <t>STICKER42</t>
  </si>
  <si>
    <t>STICKER21K</t>
  </si>
  <si>
    <t>STICKERLHOTSE</t>
  </si>
  <si>
    <t>Pack235</t>
  </si>
  <si>
    <t>Pack Teclado y Mouse + Audífonos Rm12 Blanco</t>
  </si>
  <si>
    <t>Pack236</t>
  </si>
  <si>
    <t>Pack Teclado y Mouse + Audífonos Rm12 Celeste</t>
  </si>
  <si>
    <t>Pack233</t>
  </si>
  <si>
    <t>Pack Teclado y Mouse + Audífonos Rm12 Negro</t>
  </si>
  <si>
    <t>Pack232</t>
  </si>
  <si>
    <t>Pack Teclado y Mouse + Audífonos Rm12 Rosado</t>
  </si>
  <si>
    <t>Pack238</t>
  </si>
  <si>
    <t>Pack Teclado y Mouse + Audífonos Rm7 Pro Celeste</t>
  </si>
  <si>
    <t>Pack237</t>
  </si>
  <si>
    <t>Pack Teclado y Mouse + Audífonos Rm7 Pro Rosado</t>
  </si>
  <si>
    <t>Web Camera Black 1080P</t>
  </si>
  <si>
    <t>CP-NEG11</t>
  </si>
  <si>
    <t>Casco plegable ultra liviano Scooter y Bicicleta</t>
  </si>
  <si>
    <t>Mascarilla Gris</t>
  </si>
  <si>
    <t>Mascarillas reutilizables</t>
  </si>
  <si>
    <t>Mascarilla Negra</t>
  </si>
  <si>
    <t>Correa Smartwatch SW88 20mm Negra</t>
  </si>
  <si>
    <t>Correa Smartwatch SW88 20mm Negra Roja</t>
  </si>
  <si>
    <t>Correa Smartwatch SW88 20mm Negra Verde Hebilla</t>
  </si>
  <si>
    <t>Correa Smartwatch SW88 20mm Rojo</t>
  </si>
  <si>
    <t>Correa Smartwatch SW88 20mm Sandía</t>
  </si>
  <si>
    <t>Banda Smartband Flow 3 Black Lhotse</t>
  </si>
  <si>
    <t>Banda Smartband Flow 3 Pink Lhotse</t>
  </si>
  <si>
    <t>Smartband SM33 Morado</t>
  </si>
  <si>
    <t>Smartband SM33 Negro</t>
  </si>
  <si>
    <t>Pack286</t>
  </si>
  <si>
    <t>BlackSmartwatch Live mini 206 + Mochila Outdoor</t>
  </si>
  <si>
    <t>PACK39</t>
  </si>
  <si>
    <t>Kit Smartwatch Live 206 + Audífonos Bluetooth</t>
  </si>
  <si>
    <t>PACK9</t>
  </si>
  <si>
    <t>Kit Smartwatch Live 206 + Pesa Digital</t>
  </si>
  <si>
    <t>Pack118</t>
  </si>
  <si>
    <t>Pack 2 Relojes Smartwatch Runner 219 Pink + Black</t>
  </si>
  <si>
    <t>Pack289</t>
  </si>
  <si>
    <t>Pack Black Smartwatch mini 206 + Audífonos RM7 Pro</t>
  </si>
  <si>
    <t>Pack416</t>
  </si>
  <si>
    <t>Pack Smartwatch Black Rhythm + Audífonos Black BeatMaster</t>
  </si>
  <si>
    <t>Pack415</t>
  </si>
  <si>
    <t>Pack Smartwatch Black Rhythm + Audífonos Black WavePro</t>
  </si>
  <si>
    <t>Pack412</t>
  </si>
  <si>
    <t>Pack Smartwatch Blue Rhythm + Audífonos Black BeatMaster</t>
  </si>
  <si>
    <t>Pack413</t>
  </si>
  <si>
    <t>Pack Smartwatch Blue Rhythm + Audífonos Cream BeatMaster</t>
  </si>
  <si>
    <t>Pack410</t>
  </si>
  <si>
    <t>Pack Smartwatch Blue Rhythm + Audífonos Cream WavePro</t>
  </si>
  <si>
    <t>Pack419</t>
  </si>
  <si>
    <t>Pack Smartwatch GPS MoveOn 7 Black + ENC Tuneair</t>
  </si>
  <si>
    <t>Pack418</t>
  </si>
  <si>
    <t>Pack Smartwatch GPS MoveOn 7 Black + FitBuds</t>
  </si>
  <si>
    <t>Pack420</t>
  </si>
  <si>
    <t>Pack Smartwatch GPS MoveOn 7 Pink + FitBuds</t>
  </si>
  <si>
    <t>Pack Smartwatch Live 206 Black + Audifono RM12</t>
  </si>
  <si>
    <t>Pack127</t>
  </si>
  <si>
    <t>Pack Smartwatch Live 206 Pink + Audifono RM12</t>
  </si>
  <si>
    <t>Pack408</t>
  </si>
  <si>
    <t>Pack Smartwatch Pink Rhythm + Audífonos Black BeatMaster</t>
  </si>
  <si>
    <t>Pack407</t>
  </si>
  <si>
    <t>Pack Smartwatch Pink Rhythm + Audífonos Black WavePro</t>
  </si>
  <si>
    <t>Pack409</t>
  </si>
  <si>
    <t>Pack Smartwatch Pink Rhythm + Audífonos Cream BeatMaster</t>
  </si>
  <si>
    <t>Pack406</t>
  </si>
  <si>
    <t>Pack Smartwatch Pink Rhythm + Audífonos Cream WavePro</t>
  </si>
  <si>
    <t>Reloj Smartwatch 40mm Live 206 Mini Black Lhotse</t>
  </si>
  <si>
    <t>Reloj Smartwatch 40mm Live 206 Mini Light Green Lhotse</t>
  </si>
  <si>
    <t>Reloj Smartwatch 40mm Live 206 Mini Pink Lhotse</t>
  </si>
  <si>
    <t>Reloj Smartwatch GPS 37mm MoveOn 7 Pink Lhotse</t>
  </si>
  <si>
    <t>Reloj Smartwatch GPS 42mm Vibe 05 Cream Lhotse</t>
  </si>
  <si>
    <t>Reloj Smartwatch GPS 45mm Vibe 05 Black Lhotse</t>
  </si>
  <si>
    <t>Reloj Smartwatch GPS 46mm Runner 219 Black Lhotse</t>
  </si>
  <si>
    <t>Reloj Smartwatch GPS Ultimate 217 Black Lhotse</t>
  </si>
  <si>
    <t>Reloj Smartwatch GPS Ultimate 217 Gray Lhotse</t>
  </si>
  <si>
    <t>Reloj Smartwatch GPS Ultimate 217 Pink Lhotse</t>
  </si>
  <si>
    <t>Reloj Smartwatch Music 41mm Rhythm X10 Black Lhotse</t>
  </si>
  <si>
    <t>Reloj Smartwatch Music 41mm Rhythm X10 Pink Lhotse</t>
  </si>
  <si>
    <t>PackCY10</t>
  </si>
  <si>
    <t>Smartwatch Connect S03 + Audífono RM7 Blanco</t>
  </si>
  <si>
    <t>PackCY5</t>
  </si>
  <si>
    <t>Smartwatch Connect S03 + Audífono RM7 Blue</t>
  </si>
  <si>
    <t>PackCY3</t>
  </si>
  <si>
    <t>Smartwatch Connect S03+ Audífono RM7 Pink</t>
  </si>
  <si>
    <t>Smartwatch Core 87 Gold</t>
  </si>
  <si>
    <t>Smartwatch Core 87 Negro</t>
  </si>
  <si>
    <t>Pack121</t>
  </si>
  <si>
    <t>Smartwatch Live 206 Mini Green + Audifono RM12</t>
  </si>
  <si>
    <t>Smartwatch Live 206 Mini White</t>
  </si>
  <si>
    <t>Smartwatch Runner 219 Pink</t>
  </si>
  <si>
    <t>Pack341</t>
  </si>
  <si>
    <t>Smartwatch Vibe 05 Black + Audífonos Blanco</t>
  </si>
  <si>
    <t>Pack338</t>
  </si>
  <si>
    <t>Smartwatch Vibe 05 Black + Audífonos Celeste</t>
  </si>
  <si>
    <t>Pack342</t>
  </si>
  <si>
    <t>Smartwatch Vibe 05 Black + Audífonos Deportivo</t>
  </si>
  <si>
    <t>Pack340</t>
  </si>
  <si>
    <t>Smartwatch Vibe 05 Black + Audífonos Negro</t>
  </si>
  <si>
    <t>Pack339</t>
  </si>
  <si>
    <t>Smartwatch Vibe 05 Black + Audífonos Rosado</t>
  </si>
  <si>
    <t>Pack332</t>
  </si>
  <si>
    <t>Smartwatch Vibe 05 Black + Parlante Azul</t>
  </si>
  <si>
    <t>Pack330</t>
  </si>
  <si>
    <t>Smartwatch Vibe 05 Black + Parlante Negro</t>
  </si>
  <si>
    <t>Pack331</t>
  </si>
  <si>
    <t>Smartwatch Vibe 05 Black + Parlante Rojo</t>
  </si>
  <si>
    <t>Pack346</t>
  </si>
  <si>
    <t>Smartwatch Vibe 05 Cream + Audífonos Blanco</t>
  </si>
  <si>
    <t>Pack347</t>
  </si>
  <si>
    <t>Smartwatch Vibe 05 Cream + Audífonos Deportivo</t>
  </si>
  <si>
    <t>Pack345</t>
  </si>
  <si>
    <t>Smartwatch Vibe 05 Cream + Audífonos Negro</t>
  </si>
  <si>
    <t>Pack344</t>
  </si>
  <si>
    <t>Smartwatch Vibe 05 Cream + Audífonos Rosado</t>
  </si>
  <si>
    <t>Pack336</t>
  </si>
  <si>
    <t>Smartwatch Vibe 05 Cream + Parlante Azul</t>
  </si>
  <si>
    <t>Pack334</t>
  </si>
  <si>
    <t>Smartwatch Vibe 05 Cream + Parlante Negro</t>
  </si>
  <si>
    <t>Pack335</t>
  </si>
  <si>
    <t>Smartwatch Vibe 05 Cream + Parlante Rojo</t>
  </si>
  <si>
    <t>Pack337</t>
  </si>
  <si>
    <t>Smartwatch Vibe 05 Cream + Parlante Verde</t>
  </si>
  <si>
    <t>Smartwatch Kids Safe K9 GPS Light Blue</t>
  </si>
  <si>
    <t>Calza Deportiva Mujer Legging Bergenia Talla L Black Lhotse</t>
  </si>
  <si>
    <t>Calza Deportiva Mujer Legging Bergenia Talla L Teal Lhotse</t>
  </si>
  <si>
    <t>Calza Deportiva Mujer Legging Bergenia Talla M Black Lhotse</t>
  </si>
  <si>
    <t>Calza Deportiva Mujer Legging Bergenia Talla M Teal Lhotse</t>
  </si>
  <si>
    <t>Calza Deportiva Mujer Legging Bergenia Talla S Black Lhotse</t>
  </si>
  <si>
    <t>Calza Deportiva Mujer Legging Bergenia Talla S Teal Lhotse</t>
  </si>
  <si>
    <t>Calza Deportiva Mujer Legging Bergenia Talla XL Black Lhotse</t>
  </si>
  <si>
    <t>Calza Deportiva Mujer Legging Bergenia Talla XL Teal Lhotse</t>
  </si>
  <si>
    <t>Peto Deportivo Mujer Middle Kalo Talla L Black Lhotse</t>
  </si>
  <si>
    <t>Peto Deportivo Mujer Middle Kalo Talla L Teal Lhotse</t>
  </si>
  <si>
    <t>Peto Deportivo Mujer Middle Kalo Talla M Black Lhotse</t>
  </si>
  <si>
    <t>Peto Deportivo Mujer Middle Kalo Talla M Teal Lhotse</t>
  </si>
  <si>
    <t>Peto Deportivo Mujer Middle Kalo Talla S Black Lhotse</t>
  </si>
  <si>
    <t>Peto Deportivo Mujer Middle Kalo Talla S Teal Lhotse</t>
  </si>
  <si>
    <t>Peto Deportivo Mujer Middle Kalo Talla XL Black Lhotse</t>
  </si>
  <si>
    <t>Peto Deportivo Mujer Middle Kalo Talla XL Teal Lhotse</t>
  </si>
  <si>
    <t>Calza Deportiva Mujer Biker Dhara Talla L Black Lhotse</t>
  </si>
  <si>
    <t>Calza Deportiva Mujer Biker Dhara Talla L Teal Lhotse</t>
  </si>
  <si>
    <t>Calza Deportiva Mujer Biker Dhara Talla M Black Lhotse</t>
  </si>
  <si>
    <t>Calza Deportiva Mujer Biker Dhara Talla M Teal Lhotse</t>
  </si>
  <si>
    <t>Calza Deportiva Mujer Biker Dhara Talla S Black Lhotse</t>
  </si>
  <si>
    <t>Calza Deportiva Mujer Biker Dhara Talla S Teal Lhotse</t>
  </si>
  <si>
    <t>Calza Deportiva Mujer Biker Dhara Talla XL Black Lhotse</t>
  </si>
  <si>
    <t>Calza Deportiva Mujer Biker Dhara Talla XL Teal Lhotse</t>
  </si>
  <si>
    <t>Pantalon Trekking Desmontable Mujer UV50+ Lukla-W Talla 38 Black Lhotse</t>
  </si>
  <si>
    <t>Pantalon Trekking Desmontable Mujer UV50+ Lukla-W Talla 38 Petrol Lhotse</t>
  </si>
  <si>
    <t>Pantalon Trekking Desmontable Mujer UV50+ Lukla-W Talla 40 Black Lhotse</t>
  </si>
  <si>
    <t>Pantalon Trekking Desmontable Mujer UV50+ Lukla-W Talla 40 Petrol Lhotse</t>
  </si>
  <si>
    <t>Pantalon Trekking Desmontable Mujer UV50+ Lukla-W Talla 42 Black Lhotse</t>
  </si>
  <si>
    <t>Pantalon Trekking Desmontable Mujer UV50+ Lukla-W Talla 42 Petrol Lhotse</t>
  </si>
  <si>
    <t>Pantalon Trekking Desmontable Mujer UV50+ Lukla-W Talla 44 Black Lhotse</t>
  </si>
  <si>
    <t>Pantalon Trekking Desmontable Mujer UV50+ Lukla-W Talla 44 Petrol Lhotse</t>
  </si>
  <si>
    <t>Pantalon Trekking Hombre Desmontable Lukla Talla 40 Gray Melange Lhotse</t>
  </si>
  <si>
    <t>Pantalon Trekking Hombre Desmontable Lukla Talla 40 Green Lhotse</t>
  </si>
  <si>
    <t>Pantalon Trekking Hombre Desmontable Lukla Talla 42 Gray Melange Lhotse</t>
  </si>
  <si>
    <t>Pantalon Trekking Hombre Desmontable Lukla Talla 42 Green Lhotse</t>
  </si>
  <si>
    <t>Pantalon Trekking Hombre Desmontable Lukla Talla 44 Gray Melange Lhotse</t>
  </si>
  <si>
    <t>Pantalon Trekking Hombre Desmontable Lukla Talla 44 Green Lhotse</t>
  </si>
  <si>
    <t>Pantalon Trekking Hombre Desmontable Lukla Talla 46 Green Lhotse</t>
  </si>
  <si>
    <t>Short Hombre Cargo Adventure UV50+ Barun Talla 40 Black Lhotse</t>
  </si>
  <si>
    <t>Short Hombre Cargo Adventure UV50+ Barun Talla 40 Gray Lhotse</t>
  </si>
  <si>
    <t>Short Hombre Cargo Adventure UV50+ Barun Talla 42 Black Lhotse</t>
  </si>
  <si>
    <t>Short Hombre Cargo Adventure UV50+ Barun Talla 42 Gray Lhotse</t>
  </si>
  <si>
    <t>Short Hombre Cargo Adventure UV50+ Barun Talla 44 Black Lhotse</t>
  </si>
  <si>
    <t>Short Hombre Cargo Adventure UV50+ Barun Talla 44 Gray Lhotse</t>
  </si>
  <si>
    <t>Short Hombre Cargo Adventure UV50+ Barun Talla 46 Black Lhotse</t>
  </si>
  <si>
    <t>Short Hombre Cargo Adventure UV50+ Barun Talla 46 Gray Lhotse</t>
  </si>
  <si>
    <t>Chaqueta Parka Hombre Nuptse Talla L Black Lhotse</t>
  </si>
  <si>
    <t>Chaqueta Parka Hombre Nuptse Talla L Gray Lhotse</t>
  </si>
  <si>
    <t>Chaqueta Parka Hombre Nuptse Talla M Black Lhotse</t>
  </si>
  <si>
    <t>Chaqueta Parka Hombre Nuptse Talla M Gray Lhotse</t>
  </si>
  <si>
    <t>Chaqueta Parka Hombre Nuptse Talla S Black Lhotse</t>
  </si>
  <si>
    <t>Chaqueta Parka Hombre Nuptse Talla S Gray Lhotse</t>
  </si>
  <si>
    <t>Chaqueta Parka Hombre Nuptse Talla XL Gray Lhotse</t>
  </si>
  <si>
    <t>Cortaviento Impermeable Gorak Shep Talla L Black Lhotse</t>
  </si>
  <si>
    <t>Cortaviento Impermeable Gorak Shep Talla L Blue Lhotse</t>
  </si>
  <si>
    <t>Cortaviento Impermeable Gorak Shep Talla M Black Lhotse</t>
  </si>
  <si>
    <t>Cortaviento Impermeable Gorak Shep Talla M Blue Lhotse</t>
  </si>
  <si>
    <t>Cortaviento Impermeable Gorak Shep Talla S Black Lhotse</t>
  </si>
  <si>
    <t>Cortaviento Impermeable Gorak Shep Talla S Blue Lhotse</t>
  </si>
  <si>
    <t>Parka Puffa Hombre Khumbu Talla L Black Lhotse</t>
  </si>
  <si>
    <t>Parka Puffa Hombre Khumbu Talla M Black Lhotse</t>
  </si>
  <si>
    <t>Parka Puffa Hombre Khumbu Talla S Black Lhotse</t>
  </si>
  <si>
    <t>Parka Puffa Hombre Khumbu Talla XL Black Lhotse</t>
  </si>
  <si>
    <t>Polar Hombre Chiporro Sherpa Termico Main Talla L Ecru Lhotse</t>
  </si>
  <si>
    <t>Polar Hombre Chiporro Sherpa Termico Main Talla L Green Lhotse</t>
  </si>
  <si>
    <t>Polar Hombre Chiporro Sherpa Termico Main Talla M Ecru Lhotse</t>
  </si>
  <si>
    <t>Polar Hombre Chiporro Sherpa Termico Main Talla M Green Lhotse</t>
  </si>
  <si>
    <t>Polar Hombre Chiporro Sherpa Termico Main Talla S Ecru Lhotse</t>
  </si>
  <si>
    <t>Polar Hombre Chiporro Sherpa Termico Main Talla S Green Lhotse</t>
  </si>
  <si>
    <t>Polar Hombre Chiporro Sherpa Termico Main Talla XL Ecru Lhotse</t>
  </si>
  <si>
    <t>Polar Hombre Chiporro Sherpa Termico Main Talla XL Green Lhotse</t>
  </si>
  <si>
    <t>Polar Hombre Half Zip Termico con Bolsillos Shar Talla L Black Lhotse</t>
  </si>
  <si>
    <t>Polar Hombre Half Zip Termico con Bolsillos Shar Talla L Blue Lhotse</t>
  </si>
  <si>
    <t>Polar Hombre Half Zip Termico con Bolsillos Shar Talla M Black Lhotse</t>
  </si>
  <si>
    <t>Polar Hombre Half Zip Termico con Bolsillos Shar Talla M Blue Lhotse</t>
  </si>
  <si>
    <t>Polar Hombre Half Zip Termico con Bolsillos Shar Talla S Black Lhotse</t>
  </si>
  <si>
    <t>Polar Hombre Half Zip Termico con Bolsillos Shar Talla S Blue Lhotse</t>
  </si>
  <si>
    <t>Polar Hombre Half Zip Termico con Bolsillos Shar Talla XL Black Lhotse</t>
  </si>
  <si>
    <t>Polar Hombre Half Zip Termico con Bolsillos Shar Talla XL Blue Lhotse</t>
  </si>
  <si>
    <t>Polar Hombre Tejido Termico Anti-peeling Middle Talla L Black Lhotse</t>
  </si>
  <si>
    <t>Polar Hombre Tejido Termico Anti-peeling Middle Talla L Blue Lhotse</t>
  </si>
  <si>
    <t>Polar Hombre Tejido Termico Anti-peeling Middle Talla M Black Lhotse</t>
  </si>
  <si>
    <t>Polar Hombre Tejido Termico Anti-peeling Middle Talla M Blue Lhotse</t>
  </si>
  <si>
    <t>Polar Hombre Tejido Termico Anti-peeling Middle Talla S Black Lhotse</t>
  </si>
  <si>
    <t>Polar Hombre Tejido Termico Anti-peeling Middle Talla S Blue Lhotse</t>
  </si>
  <si>
    <t>Polar Hombre Tejido Termico Anti-peeling Middle Talla XL Black Lhotse</t>
  </si>
  <si>
    <t>Polar Hombre Tejido Termico Anti-peeling Middle Talla XL Blue Lhotse</t>
  </si>
  <si>
    <t>Polar Segunda Capa Hombre Lobuche Talla L Black Lhotse</t>
  </si>
  <si>
    <t>Polar Segunda Capa Hombre Lobuche Talla L Gray Lhotse</t>
  </si>
  <si>
    <t>Polar Segunda Capa Hombre Lobuche Talla M Black Lhotse</t>
  </si>
  <si>
    <t>Polar Segunda Capa Hombre Lobuche Talla M Gray Lhotse</t>
  </si>
  <si>
    <t>Polar Segunda Capa Hombre Lobuche Talla S Black Lhotse</t>
  </si>
  <si>
    <t>Polar Segunda Capa Hombre Lobuche Talla S Gray Lhotse</t>
  </si>
  <si>
    <t>Polar Segunda Capa Hombre Lobuche Talla XL Gray Lhotse</t>
  </si>
  <si>
    <t>Polar Segunda Capa Mujer Lobuche Cap Talla L Black Lhotse</t>
  </si>
  <si>
    <t>Polar Segunda Capa Mujer Lobuche Cap Talla L Pink Lhotse</t>
  </si>
  <si>
    <t>Polar Segunda Capa Mujer Lobuche Cap Talla M Black Lhotse</t>
  </si>
  <si>
    <t>Polar Segunda Capa Mujer Lobuche Cap Talla M Pink Lhotse</t>
  </si>
  <si>
    <t>Polar Segunda Capa Mujer Lobuche Cap Talla S Black Lhotse</t>
  </si>
  <si>
    <t>Polar Segunda Capa Mujer Lobuche Cap Talla S Pink Lhotse</t>
  </si>
  <si>
    <t>Polar Segunda Capa Mujer Lobuche Cap Talla XL Black Lhotse</t>
  </si>
  <si>
    <t>Polar Segunda Capa Mujer Lobuche Cap Talla XL Pink Lhotse</t>
  </si>
  <si>
    <t>Poleron Hombre Hoodie Katmandu Talla L Gray Melange Lhotse</t>
  </si>
  <si>
    <t>Poleron Hombre Hoodie Katmandu Talla L Green Lhotse</t>
  </si>
  <si>
    <t>Poleron Hombre Hoodie Katmandu Talla M Gray Melange Lhotse</t>
  </si>
  <si>
    <t>Poleron Hombre Hoodie Katmandu Talla M Green Lhotse</t>
  </si>
  <si>
    <t>Poleron Hombre Hoodie Katmandu Talla S Gray Melange Lhotse</t>
  </si>
  <si>
    <t>Poleron Hombre Hoodie Katmandu Talla S Green Lhotse</t>
  </si>
  <si>
    <t>Poleron Hombre Hoodie Katmandu Talla XL Gray Melange Lhotse</t>
  </si>
  <si>
    <t>Poleron Hombre Hoodie Katmandu Talla XL Green Lhotse</t>
  </si>
  <si>
    <t>Poleron Unisex Sweatshirt Mycena Talla L Green Lhotse</t>
  </si>
  <si>
    <t>Poleron Unisex Sweatshirt Mycena Talla M Green Lhotse</t>
  </si>
  <si>
    <t>Poleron Unisex Sweatshirt Mycena Talla S Green Lhotse</t>
  </si>
  <si>
    <t>Poleron Unisex Sweatshirt Mycena Talla XL Green Lhotse</t>
  </si>
  <si>
    <t>Poleron Unisex Sweatshirt Origin Talla L Gray Lhotse</t>
  </si>
  <si>
    <t>Poleron Unisex Sweatshirt Origin Talla M Gray Lhotse</t>
  </si>
  <si>
    <t>Poleron Unisex Sweatshirt Origin Talla S Gray Lhotse</t>
  </si>
  <si>
    <t>Poleron Unisex Sweatshirt Origin Talla XL Gray Lhotse</t>
  </si>
  <si>
    <t>Polera Deportiva Hombre Manga Corta DryCool Boyak Talla L Black Lhotse</t>
  </si>
  <si>
    <t>Polera Deportiva Hombre Manga Corta DryCool Boyak Talla L Blue Lhotse</t>
  </si>
  <si>
    <t>Polera Deportiva Hombre Manga Corta DryCool Boyak Talla L Green Lhotse</t>
  </si>
  <si>
    <t>Polera Deportiva Hombre Manga Corta DryCool Boyak Talla M Black Lhotse</t>
  </si>
  <si>
    <t>Polera Deportiva Hombre Manga Corta DryCool Boyak Talla M Blue Lhotse</t>
  </si>
  <si>
    <t>Polera Deportiva Hombre Manga Corta DryCool Boyak Talla M Green Lhotse</t>
  </si>
  <si>
    <t>Polera Deportiva Hombre Manga Corta DryCool Boyak Talla S Black Lhotse</t>
  </si>
  <si>
    <t>Polera Deportiva Hombre Manga Corta DryCool Boyak Talla S Blue Lhotse</t>
  </si>
  <si>
    <t>Polera Deportiva Hombre Manga Corta DryCool Boyak Talla S Green Lhotse</t>
  </si>
  <si>
    <t>Polera Deportiva Hombre Manga Corta DryCool Boyak Talla XL Black Lhotse</t>
  </si>
  <si>
    <t>Polera Deportiva Hombre Manga Corta DryCool Boyak Talla XL Blue Lhotse</t>
  </si>
  <si>
    <t>Polera Deportiva Hombre Manga Corta DryCool Boyak Talla XL Green Lhotse</t>
  </si>
  <si>
    <t>Polera Hombre Manga Corta Nepal Talla L Beige Lhotse</t>
  </si>
  <si>
    <t>Polera Hombre Manga Corta Nepal Talla L Gray Lhotse</t>
  </si>
  <si>
    <t>Polera Hombre Manga Corta Nepal Talla L Green Lhotse</t>
  </si>
  <si>
    <t>Polera Hombre Manga Corta Nepal Talla M Beige Lhotse</t>
  </si>
  <si>
    <t>Polera Hombre Manga Corta Nepal Talla M Gray Lhotse</t>
  </si>
  <si>
    <t>Polera Hombre Manga Corta Nepal Talla M Green Lhotse</t>
  </si>
  <si>
    <t>Polera Hombre Manga Corta Nepal Talla S Beige Lhotse</t>
  </si>
  <si>
    <t>Polera Hombre Manga Corta Nepal Talla S Gray Lhotse</t>
  </si>
  <si>
    <t>Polera Hombre Manga Corta Nepal Talla S Green Lhotse</t>
  </si>
  <si>
    <t>Polera Hombre Manga Corta Nepal Talla XL Beige Lhotse</t>
  </si>
  <si>
    <t>Polera Hombre Manga Corta Nepal Talla XL Green Lhotse</t>
  </si>
  <si>
    <t>LTS26-POLTHETOPS-GR</t>
  </si>
  <si>
    <t>Polera Hombre Manga Corta Reino Fungi</t>
  </si>
  <si>
    <t>LTS26-POLTHETOPXL-GR</t>
  </si>
  <si>
    <t>LTS26-POLTHETOPM-GR</t>
  </si>
  <si>
    <t>LTS26-POLTHETOPL-GR</t>
  </si>
  <si>
    <t>LTS26-POLTHETOPS-GY</t>
  </si>
  <si>
    <t>LTS26-POLTHETOPXL-GY</t>
  </si>
  <si>
    <t>LTS26-POLTHETOPM-GY</t>
  </si>
  <si>
    <t>LTS26-POLTHETOPL-GY</t>
  </si>
  <si>
    <t>LTS26-POLTHETOPM-BK</t>
  </si>
  <si>
    <t>LTS26-POLTHETOPL-BK</t>
  </si>
  <si>
    <t>LTS26-POLTHETOPS-BK</t>
  </si>
  <si>
    <t>LTS26-POLTHETOPXL-BK</t>
  </si>
  <si>
    <t>LTS26-POLTHETOPS-PK</t>
  </si>
  <si>
    <t>LTS26-POLTHETOPXL-PK</t>
  </si>
  <si>
    <t>LTS26-POLTHETOPM-PK</t>
  </si>
  <si>
    <t>LTS26-POLTHETOPL-PK</t>
  </si>
  <si>
    <t>LTS26-POLTHETOPS-BG</t>
  </si>
  <si>
    <t>LTS26-POLTHETOPM-BG</t>
  </si>
  <si>
    <t>LTS26-POLTHETOPL-BG</t>
  </si>
  <si>
    <t>LTS26-POLTHETOPXL-BG</t>
  </si>
  <si>
    <t>Polera Manga Corta Hombre Amanita Muscaria Talla L Green Lhotse</t>
  </si>
  <si>
    <t>Polera Manga Corta Hombre Amanita Muscaria Talla M Green Lhotse</t>
  </si>
  <si>
    <t>Polera Manga Corta Hombre Amanita Muscaria Talla S Green Lhotse</t>
  </si>
  <si>
    <t>Polera Manga Corta Hombre Amanita Muscaria Talla XL Green Lhotse</t>
  </si>
  <si>
    <t>Polera Manga Corta Hombre Boletus Loyo Talla L Gray Lhotse</t>
  </si>
  <si>
    <t>Polera Manga Corta Hombre Boletus Loyo Talla M Gray Lhotse</t>
  </si>
  <si>
    <t>Polera Manga Corta Hombre Boletus Loyo Talla S Gray Lhotse</t>
  </si>
  <si>
    <t>Polera Manga Corta Hombre Boletus Loyo Talla XL Gray Lhotse</t>
  </si>
  <si>
    <t>Polera Manga Corta Hombre Diguene Talla L Black Lhotse</t>
  </si>
  <si>
    <t>Polera Manga Corta Hombre Diguene Talla M Black Lhotse</t>
  </si>
  <si>
    <t>Polera Manga Corta Hombre Diguene Talla S Black Lhotse</t>
  </si>
  <si>
    <t>Polera Manga Corta Hombre Diguene Talla XL Black Lhotse</t>
  </si>
  <si>
    <t>Polera Manga Corta Hombre Micelio Mycena Talla L Pink Lhotse</t>
  </si>
  <si>
    <t>Polera Manga Corta Hombre Micelio Mycena Talla M Pink Lhotse</t>
  </si>
  <si>
    <t>Polera Manga Corta Hombre Micelio Mycena Talla S Pink Lhotse</t>
  </si>
  <si>
    <t>Polera Manga Corta Hombre Micelio Mycena Talla XL Pink Lhotse</t>
  </si>
  <si>
    <t>Polera Manga Corta Hombre Morchella Esculenta Talla L Beige Lhotse</t>
  </si>
  <si>
    <t>Polera Manga Corta Hombre Morchella Esculenta Talla M Beige Lhotse</t>
  </si>
  <si>
    <t>Polera Manga Corta Hombre Morchella Esculenta Talla S Beige Lhotse</t>
  </si>
  <si>
    <t>Polera Manga Corta Hombre Morchella Esculenta Talla XL Beige Lhotse</t>
  </si>
  <si>
    <t>Primera Capa Termica Hombre Stay Warm Top Dugla Talla L Black Lhotse</t>
  </si>
  <si>
    <t>Primera Capa Termica Hombre Stay Warm Top Dugla Talla M Black Lhotse</t>
  </si>
  <si>
    <t>Primera Capa Termica Hombre Stay Warm Top Dugla Talla S Black Lhotse</t>
  </si>
  <si>
    <t>Primera Capa Termica Hombre Stay Warm Top Dugla Talla XL Black Lhotse</t>
  </si>
  <si>
    <t>Cámara de acción 5K 60ftp accesorios PeakPro</t>
  </si>
  <si>
    <t>Camara de Accion Doble Pantalla Deportiva 4K 30fps Xplore Lhotse</t>
  </si>
  <si>
    <t>Camara de Accion Doble Pantalla Deportiva 5K 30fps Summit Lhotse</t>
  </si>
  <si>
    <t>Cámara Deportiva 4K Ultra HD</t>
  </si>
  <si>
    <t>1640091153797-FF</t>
  </si>
  <si>
    <t>Cámara Deportiva H1 + accesorios</t>
  </si>
  <si>
    <t>Pack63</t>
  </si>
  <si>
    <t>Pack Cámara Deportiva 4K H1 + SD 64 Gb</t>
  </si>
  <si>
    <t>Pack64</t>
  </si>
  <si>
    <t>Pack Cámara Deportiva 4K Ultra HD + SD 64 Gb</t>
  </si>
  <si>
    <t>Cargador Banda deportiva Kid</t>
  </si>
  <si>
    <t>cargador core 87</t>
  </si>
  <si>
    <t>cargador de Smartwatch Track M7</t>
  </si>
  <si>
    <t>Cargador Gps 217</t>
  </si>
  <si>
    <t>Cargador live 206</t>
  </si>
  <si>
    <t>Cargador Live 206</t>
  </si>
  <si>
    <t>Cargador Move 88</t>
  </si>
  <si>
    <t>Cargador Reloj GPS 217</t>
  </si>
  <si>
    <t>Cargador Reloj live 206 mini</t>
  </si>
  <si>
    <t>Cargador Reloj M7</t>
  </si>
  <si>
    <t>Cargador Route M5 GPS</t>
  </si>
  <si>
    <t>Cargador runner 219</t>
  </si>
  <si>
    <t>Cargador Smartband SM35</t>
  </si>
  <si>
    <t>Cargador Smartwatch Core 87 Gold</t>
  </si>
  <si>
    <t>Cargador smartwatch Live 206</t>
  </si>
  <si>
    <t>Cargador Smartwatch RD7</t>
  </si>
  <si>
    <t>Cargador Smartwatch RD9</t>
  </si>
  <si>
    <t>Cargador Smartwatch SR11</t>
  </si>
  <si>
    <t>Cargador Smartwatch SW88</t>
  </si>
  <si>
    <t>Cargador SR11</t>
  </si>
  <si>
    <t>CARGADOR STONE M4</t>
  </si>
  <si>
    <t>Cargador SW60</t>
  </si>
  <si>
    <t>Cargador track m7</t>
  </si>
  <si>
    <t>Cargador track M7</t>
  </si>
  <si>
    <t>Cargador Ultimate GPS 217</t>
  </si>
  <si>
    <t>Correa Cuero Café Claro RD7</t>
  </si>
  <si>
    <t>Correa Cuero Café Oscuro RD7</t>
  </si>
  <si>
    <t>Correa M7 Negro-Amarilla</t>
  </si>
  <si>
    <t>Correa M7 Negro-Gris</t>
  </si>
  <si>
    <t>Correa move 88</t>
  </si>
  <si>
    <t>Correa RD7</t>
  </si>
  <si>
    <t>Correa RD9 Blanca</t>
  </si>
  <si>
    <t>Correa RD9 Cafe Cuero</t>
  </si>
  <si>
    <t>CORREA RD9 METALICA</t>
  </si>
  <si>
    <t>Correa RD9 Morada</t>
  </si>
  <si>
    <t>Correa RD9 Naranja</t>
  </si>
  <si>
    <t>Correa Silicona Verde RD7</t>
  </si>
  <si>
    <t>Correa smartwatch gps 217</t>
  </si>
  <si>
    <t>Correa Smartwatch RD7 22mm Azul</t>
  </si>
  <si>
    <t>Correa Smartwatch RD7 22mm Beige</t>
  </si>
  <si>
    <t>Correa Smartwatch RD7 22mm Negra</t>
  </si>
  <si>
    <t>Correa Smartwatch RD7 22mm Plateado Verde</t>
  </si>
  <si>
    <t>Correa Smartwatch RD9 22mm Calipso</t>
  </si>
  <si>
    <t>Correa Smartwatch RD9 22mm Negra</t>
  </si>
  <si>
    <t>Correa Smartwatch RD9 22mm Roja</t>
  </si>
  <si>
    <t>Correa Smartwatch RD9 22mm Verde</t>
  </si>
  <si>
    <t>Correa Smartwatch RD9 22mm Verde Limón</t>
  </si>
  <si>
    <t>Correa Smartwatch SW88 20mm Amarilla Hebilla</t>
  </si>
  <si>
    <t>Correa Smartwatch SW88 20mm Calipso</t>
  </si>
  <si>
    <t>Correa Smartwatch SW88 20mm Metálica</t>
  </si>
  <si>
    <t>Correa Smartwatch SW88 20mm Metálica Negra</t>
  </si>
  <si>
    <t>Correa Smartwatch SW88 20mm Morada</t>
  </si>
  <si>
    <t>Correa Smartwatch SW88 20mm Negro</t>
  </si>
  <si>
    <t>Correa Smartwatch SW88 20mm Negro Azul</t>
  </si>
  <si>
    <t>Correa Smartwatch SW88 20mm Verde</t>
  </si>
  <si>
    <t>Correa Smartwatch TW58 38/40mm Fucsia</t>
  </si>
  <si>
    <t>Correa SR11 gris</t>
  </si>
  <si>
    <t>Correa Sw88 Blanca/negra</t>
  </si>
  <si>
    <t>Correa SW88 Plateado Gris</t>
  </si>
  <si>
    <t>Correa SW88 ROSADA</t>
  </si>
  <si>
    <t>Pack276</t>
  </si>
  <si>
    <t>Black Smartwatch Live 206 + Audífonos Buds Jam</t>
  </si>
  <si>
    <t>Pack275</t>
  </si>
  <si>
    <t>Black Smartwatch Live 206 + Audífonos Sense F1</t>
  </si>
  <si>
    <t>Pack277</t>
  </si>
  <si>
    <t>Black Smartwatch Live 206 + Parlante Bluetooth Bounce</t>
  </si>
  <si>
    <t>Pack278</t>
  </si>
  <si>
    <t>Black Smartwatch Live 206 + Parlante Bluetooth Teno J5</t>
  </si>
  <si>
    <t>Pack279</t>
  </si>
  <si>
    <t>Black Smartwatch Live 206 + Parlante Bluetooth Tune Up</t>
  </si>
  <si>
    <t>Pack290</t>
  </si>
  <si>
    <t>Black Smartwatch Live mini 206 + Audífonos RM5</t>
  </si>
  <si>
    <t>Pack287</t>
  </si>
  <si>
    <t>Black Smartwatch Live mini 206 + Botella Coihue</t>
  </si>
  <si>
    <t>Pack284</t>
  </si>
  <si>
    <t>Black Smartwatch Live mini 206 + Mochila Volcano</t>
  </si>
  <si>
    <t>Pack293</t>
  </si>
  <si>
    <t>Black Smartwatch Live mini 206 + Parlante Bounce</t>
  </si>
  <si>
    <t>Pack294</t>
  </si>
  <si>
    <t>Black Smartwatch Live mini 206 + Parlante Teno J5</t>
  </si>
  <si>
    <t>Pack295</t>
  </si>
  <si>
    <t>Black Smartwatch Live mini 206 + Parlante Tune Up</t>
  </si>
  <si>
    <t>Pack288</t>
  </si>
  <si>
    <t>Black Smartwatch Live mini 206 + Termo Patagón</t>
  </si>
  <si>
    <t>Pack292</t>
  </si>
  <si>
    <t>Black Smartwatch mini 206 + Audífonos Buds Jam</t>
  </si>
  <si>
    <t>Pack291</t>
  </si>
  <si>
    <t>Black Smartwatch mini 206 + Audífonos Sense F1</t>
  </si>
  <si>
    <t>Pack270</t>
  </si>
  <si>
    <t>BlackSmartwatch Live 206 + Mochila Outdoor 25LT</t>
  </si>
  <si>
    <t>PACK30</t>
  </si>
  <si>
    <t>Kit Smartwatch + Audífonos Rm5 + Botella</t>
  </si>
  <si>
    <t>PACK6</t>
  </si>
  <si>
    <t>Kit Smartwatch GPS 217 + TRX Amarillo</t>
  </si>
  <si>
    <t>PACK5</t>
  </si>
  <si>
    <t>Kit Smartwatch GPS 217 + TRX Rosado</t>
  </si>
  <si>
    <t>PACK29</t>
  </si>
  <si>
    <t>Kit Smartwatch Runner + Audífonos Rm5 + Botella</t>
  </si>
  <si>
    <t>PACK41</t>
  </si>
  <si>
    <t>Kit Smartwatch Runner 219 + Audífonos Sense F1</t>
  </si>
  <si>
    <t>PACK10</t>
  </si>
  <si>
    <t>Kit Smartwatch Runner 219 + Pesa Digital</t>
  </si>
  <si>
    <t>PACK20</t>
  </si>
  <si>
    <t>Kit Smartwatch Ultimate GPS217+ Portabicicletas</t>
  </si>
  <si>
    <t>PACK31</t>
  </si>
  <si>
    <t>Kit Smartwatch+ Audífonos F1 + Botella Insulada Bubba</t>
  </si>
  <si>
    <t>LHOTSE Smartwatch Track M7 Negro Gris Naranjo</t>
  </si>
  <si>
    <t>Pack266</t>
  </si>
  <si>
    <t>Pack 2 Smartwatch Live 206 Black</t>
  </si>
  <si>
    <t>Pack267</t>
  </si>
  <si>
    <t>Pack 2 Smartwatch Live 206 Black+Light Green</t>
  </si>
  <si>
    <t>Pack282</t>
  </si>
  <si>
    <t>Pack 2 Smartwatch Live mini 206 Black</t>
  </si>
  <si>
    <t>Pack283</t>
  </si>
  <si>
    <t>Pack 2 Smartwatch Live mini 206 Black+Light Green</t>
  </si>
  <si>
    <t>Pack117</t>
  </si>
  <si>
    <t>Pack 2 Smartwatch Ultimate GPS 217 Black + Pink</t>
  </si>
  <si>
    <t>Pack274</t>
  </si>
  <si>
    <t>Pack Black Smartwatch Live 206 + Audífonos RM5</t>
  </si>
  <si>
    <t>Pack273</t>
  </si>
  <si>
    <t>Pack Black Smartwatch Live 206 + Audífonos RM7 Pro</t>
  </si>
  <si>
    <t>Pack271</t>
  </si>
  <si>
    <t>Pack Black Smartwatch Live 206 + Botella Coihue</t>
  </si>
  <si>
    <t>Pack268</t>
  </si>
  <si>
    <t>Pack Black Smartwatch Live 206 + Mochila Volcano</t>
  </si>
  <si>
    <t>Pack272</t>
  </si>
  <si>
    <t>Pack Black Smartwatch Live 206 + Termo Patagón 1L</t>
  </si>
  <si>
    <t>Pack285</t>
  </si>
  <si>
    <t>Pack Smartwatch 206 mini Black + Mochila Antirrobo</t>
  </si>
  <si>
    <t>Pack417</t>
  </si>
  <si>
    <t>Pack Smartwatch Black Rhythm + Audífonos Cream BeatMaster</t>
  </si>
  <si>
    <t>Pack414</t>
  </si>
  <si>
    <t>Pack Smartwatch Black Rhythm + Audífonos Cream WavePro</t>
  </si>
  <si>
    <t>Pack411</t>
  </si>
  <si>
    <t>Pack Smartwatch Blue Rhythm + Audífonos Black WavePro</t>
  </si>
  <si>
    <t>Pack130</t>
  </si>
  <si>
    <t>Pack Smartwatch GPS 217 Black + Audífonos Sense F1</t>
  </si>
  <si>
    <t>Pack133</t>
  </si>
  <si>
    <t>Pack Smartwatch GPS 217 Pink + Audífonos RM7 Pro</t>
  </si>
  <si>
    <t>Pack421</t>
  </si>
  <si>
    <t>Pack Smartwatch GPS MoveOn 7 Pink + ENC Tuneair</t>
  </si>
  <si>
    <t>Pack269</t>
  </si>
  <si>
    <t>Pack Smartwatch Live 206 Black + Mochila Antirrobo</t>
  </si>
  <si>
    <t>Pack126</t>
  </si>
  <si>
    <t>Pack Smartwatch Live 206 Green + Audifono RM12</t>
  </si>
  <si>
    <t>Pack122</t>
  </si>
  <si>
    <t>Pack Smartwatch Live 206 White + Audifono RM12</t>
  </si>
  <si>
    <t>Pack219</t>
  </si>
  <si>
    <t>Pack Smartwatch Runner 219 + Audífonos Rm12 Azul</t>
  </si>
  <si>
    <t>Pack217</t>
  </si>
  <si>
    <t>Pack Smartwatch Runner 219 + Audífonos Rm12 Blanco</t>
  </si>
  <si>
    <t>Pack216</t>
  </si>
  <si>
    <t>Pack Smartwatch Runner 219 + Audífonos Rm12 Negro</t>
  </si>
  <si>
    <t>Pack218</t>
  </si>
  <si>
    <t>Pack Smartwatch Runner 219 + Audífonos Rm12 Rosado</t>
  </si>
  <si>
    <t>PackCY14</t>
  </si>
  <si>
    <t>Pack Smartwatch Runner 219 Black + Audífono RM5</t>
  </si>
  <si>
    <t>PackCY14-FF</t>
  </si>
  <si>
    <t>Pack119</t>
  </si>
  <si>
    <t>Pack Smartwatch Runner 219 Pink + Audifono RM12</t>
  </si>
  <si>
    <t>PackCY13</t>
  </si>
  <si>
    <t>Pack Smartwatch Runner 219 Pink + Audífono RM5</t>
  </si>
  <si>
    <t>PackCY13-FF</t>
  </si>
  <si>
    <t>Pack132</t>
  </si>
  <si>
    <t>Pack Smartwatch Runner 219 Pink+ Audífonos RM7 Pro</t>
  </si>
  <si>
    <t>Pack221</t>
  </si>
  <si>
    <t>Pack Smartwatch Runner 219 Rosado + Audífonos Rm12</t>
  </si>
  <si>
    <t>Pack222</t>
  </si>
  <si>
    <t>Pack220</t>
  </si>
  <si>
    <t>Smartwatch Casual P10 Cámara Negro</t>
  </si>
  <si>
    <t>Smartwatch Casual P9 Blanco</t>
  </si>
  <si>
    <t>Smartwatch Casual P9 Negro</t>
  </si>
  <si>
    <t>PackCY10-FF</t>
  </si>
  <si>
    <t>PackCY5-FF</t>
  </si>
  <si>
    <t>PackCY7</t>
  </si>
  <si>
    <t>Smartwatch Connect S03 Black + Audífono RM7</t>
  </si>
  <si>
    <t>PackCY7-FF</t>
  </si>
  <si>
    <t>PackCY4-FF</t>
  </si>
  <si>
    <t>Smartwatch Connect S03 Black+ Audífono RM7 Blue</t>
  </si>
  <si>
    <t>PackCY4</t>
  </si>
  <si>
    <t>PackCY1-FF</t>
  </si>
  <si>
    <t>Smartwatch Connect S03 Black+ Audífono RM7 Pink</t>
  </si>
  <si>
    <t>PackCY1</t>
  </si>
  <si>
    <t>PackCY8</t>
  </si>
  <si>
    <t>Smartwatch Connect S03 Blue + Audífono RM7 Black</t>
  </si>
  <si>
    <t>PackCY8-FF</t>
  </si>
  <si>
    <t>PackCY11</t>
  </si>
  <si>
    <t>Smartwatch Connect S03 Blue + Audífono RM7 Blanco</t>
  </si>
  <si>
    <t>PackCY11-FF</t>
  </si>
  <si>
    <t>PackCY2</t>
  </si>
  <si>
    <t>Smartwatch Connect S03 Blue+ Audífono RM7 Pink</t>
  </si>
  <si>
    <t>PackCY2-FF</t>
  </si>
  <si>
    <t>LHCONS03PK-FF</t>
  </si>
  <si>
    <t>PackCY9-FF</t>
  </si>
  <si>
    <t>Smartwatch Connect S03 Pink + Audífono RM7 Black</t>
  </si>
  <si>
    <t>PackCY9</t>
  </si>
  <si>
    <t>PackCY12</t>
  </si>
  <si>
    <t>Smartwatch Connect S03 Pink + Audífono RM7 Blanco</t>
  </si>
  <si>
    <t>PackCY12-FF</t>
  </si>
  <si>
    <t>PackCY6-FF</t>
  </si>
  <si>
    <t>Smartwatch Connect S03 Pink + Audífono RM7 Blue</t>
  </si>
  <si>
    <t>PackCY6</t>
  </si>
  <si>
    <t>PackCY3-FF</t>
  </si>
  <si>
    <t>PACKCORREA1</t>
  </si>
  <si>
    <t>Smartwatch Live 206 Black + Correa Naranja</t>
  </si>
  <si>
    <t>Pack280</t>
  </si>
  <si>
    <t>Smartwatch Live 206 Black + Parlante Bounce Pink</t>
  </si>
  <si>
    <t>Pack281</t>
  </si>
  <si>
    <t>Smartwatch Live 206 Black + Parlante Bounce White</t>
  </si>
  <si>
    <t>PACKCORREA2</t>
  </si>
  <si>
    <t>Smartwatch Live 206 Light Green + Correa Negra</t>
  </si>
  <si>
    <t>PACKCORREA3</t>
  </si>
  <si>
    <t>Smartwatch Live 206 Pink + Correa Blanca</t>
  </si>
  <si>
    <t>Pack296</t>
  </si>
  <si>
    <t>Smartwatch Live mini 206 Black + Parlante Bounce Pink</t>
  </si>
  <si>
    <t>Pack297</t>
  </si>
  <si>
    <t>Smartwatch Live mini 206 Black + Parlante Bounce White</t>
  </si>
  <si>
    <t>Smartwatch Move 88 Naranjo</t>
  </si>
  <si>
    <t>Smartwatch Move 88 Negro Gris</t>
  </si>
  <si>
    <t>Smartwatch P10 Blanco</t>
  </si>
  <si>
    <t>Smartwatch RD7 Azul</t>
  </si>
  <si>
    <t>Smartwatch RD7 Cuero Café Claro</t>
  </si>
  <si>
    <t>Smartwatch RD7 Cuero Negro</t>
  </si>
  <si>
    <t>Smartwatch RD7 Cuero Negro Rojo</t>
  </si>
  <si>
    <t>Smartwatch RD7 Dark Silver Azul</t>
  </si>
  <si>
    <t>Smartwatch RD7 Dark Silver Beige</t>
  </si>
  <si>
    <t>Smartwatch RD7 Dark Silver Cuero Café Claro</t>
  </si>
  <si>
    <t>Smartwatch RD7 Dark Silver Cuero Negro</t>
  </si>
  <si>
    <t>Smartwatch RD7 Dark Silver Cuero Negro Rojo</t>
  </si>
  <si>
    <t>Smartwatch RD7 Dark Silver Negro</t>
  </si>
  <si>
    <t>Smartwatch RD7 Dark Silver Verde</t>
  </si>
  <si>
    <t>Smartwatch RD7 Negro</t>
  </si>
  <si>
    <t>Smartwatch RD7 Plateado Azul</t>
  </si>
  <si>
    <t>Smartwatch RD7 Plateado Beige</t>
  </si>
  <si>
    <t>Smartwatch RD7 Plateado Beige Silicona</t>
  </si>
  <si>
    <t>Smartwatch RD7 Plateado Cuero Café</t>
  </si>
  <si>
    <t>Smartwatch RD7 Plateado Cuero Café Claro</t>
  </si>
  <si>
    <t>Smartwatch RD7 Plateado Cuero Negro</t>
  </si>
  <si>
    <t>Smartwatch RD7 Plateado Cuero Negro Rojo</t>
  </si>
  <si>
    <t>Smartwatch RD7 Plateado Negro</t>
  </si>
  <si>
    <t>Smartwatch RD7 Plateado Verde</t>
  </si>
  <si>
    <t>Smartwatch RD7 Verde</t>
  </si>
  <si>
    <t>Smartwatch RD9 Correa Metálica</t>
  </si>
  <si>
    <t>Smartwatch RD9 Dark Silver Correa Metálica Negra</t>
  </si>
  <si>
    <t>Smartwatch RD9 Dark Silver Naranjo</t>
  </si>
  <si>
    <t>Smartwatch RD9 Dark Silver Negro</t>
  </si>
  <si>
    <t>Smartwatch RD9 Dark Silver Rojo</t>
  </si>
  <si>
    <t>Smartwatch RD9 Dark Silver Verde Limón</t>
  </si>
  <si>
    <t>Smartwatch RD9 Morado</t>
  </si>
  <si>
    <t>Smartwatch RD9 Naranjo</t>
  </si>
  <si>
    <t>Smartwatch RD9 Negro</t>
  </si>
  <si>
    <t>Smartwatch RD9 Negro Correa Cuero Negro</t>
  </si>
  <si>
    <t>Smartwatch RD9 Rojo</t>
  </si>
  <si>
    <t>Smartwatch RD9 Verde Limón</t>
  </si>
  <si>
    <t>PACKCORREA4</t>
  </si>
  <si>
    <t>Smartwatch Route M5 Black + Correa Roja</t>
  </si>
  <si>
    <t>PACKCORREA5</t>
  </si>
  <si>
    <t>Smartwatch Route M5 Black + Correa Verde</t>
  </si>
  <si>
    <t>Smartwatch Route M5 GPS Black</t>
  </si>
  <si>
    <t>Smartwatch Route M5 GPS Morado</t>
  </si>
  <si>
    <t>Smartwatch Route M5 GPS Naranjo</t>
  </si>
  <si>
    <t>Smartwatch Route M5 GPS Rojo</t>
  </si>
  <si>
    <t>Smartwatch Route M5 GPS Verde Limón</t>
  </si>
  <si>
    <t>PACKCORREA6</t>
  </si>
  <si>
    <t>Smartwatch Runner 219 Black + Correa Verde</t>
  </si>
  <si>
    <t>Pack131</t>
  </si>
  <si>
    <t>Smartwatch Runner 219 Black +Audífonos Sense F1</t>
  </si>
  <si>
    <t>Smartwatch Runner 219 Gray</t>
  </si>
  <si>
    <t>PACKCORREA7</t>
  </si>
  <si>
    <t>Smartwatch Runner 219 Gray + Correa Verde</t>
  </si>
  <si>
    <t>PACKCORREA8</t>
  </si>
  <si>
    <t>Smartwatch Runner 219 Pink + Correa Blanca</t>
  </si>
  <si>
    <t>Smartwatch SR11 Negro</t>
  </si>
  <si>
    <t>Smartwatch SR11 Plateado</t>
  </si>
  <si>
    <t>Smartwatch SR11 Rosado</t>
  </si>
  <si>
    <t>Smartwatch Stone M4 Negro GPS</t>
  </si>
  <si>
    <t>Smartwatch Stone M4 Negro Rojo GPS</t>
  </si>
  <si>
    <t>Smartwatch SW88 Amarillo</t>
  </si>
  <si>
    <t>Smartwatch SW88 Azul Negro</t>
  </si>
  <si>
    <t>Smartwatch SW88 Azul OSCURO Negro</t>
  </si>
  <si>
    <t>Smartwatch SW88 Azul/Calipso</t>
  </si>
  <si>
    <t>Smartwatch SW88 Blanco</t>
  </si>
  <si>
    <t>Smartwatch SW88 Calipso/Celeste</t>
  </si>
  <si>
    <t>Smartwatch SW88 Correa Rosada</t>
  </si>
  <si>
    <t>Smartwatch SW88 Dorado Correa Rosada Claro</t>
  </si>
  <si>
    <t>Smartwatch SW88 Gris</t>
  </si>
  <si>
    <t>Smartwatch SW88 Lila Silicon</t>
  </si>
  <si>
    <t>Smartwatch SW88 Morado</t>
  </si>
  <si>
    <t>Smartwatch SW88 Negro</t>
  </si>
  <si>
    <t>Smartwatch SW88 Negro Silicona</t>
  </si>
  <si>
    <t>Smartwatch SW88 Negro/Gris</t>
  </si>
  <si>
    <t>Smartwatch SW88 Plateado Correa Rosada</t>
  </si>
  <si>
    <t>Smartwatch SW88 Plateado Palo Rosa silicona</t>
  </si>
  <si>
    <t>Smartwatch SW88 Rojo</t>
  </si>
  <si>
    <t>Smartwatch SW88 Verde Fosforescente</t>
  </si>
  <si>
    <t>Smartwatch Track M7 GPS Negro Amarillo</t>
  </si>
  <si>
    <t>Smartwatch Track M7 GPS Negro Gris</t>
  </si>
  <si>
    <t>Smartwatch Track M7 Negro Amarillo Naranjo</t>
  </si>
  <si>
    <t>Smartwatch Track M7 Negro Amarillo Rojo</t>
  </si>
  <si>
    <t>Smartwatch Track M7 Negro Amarillo Verde Limon</t>
  </si>
  <si>
    <t>Smartwatch Track M7 Negro Gris Morado</t>
  </si>
  <si>
    <t>Smartwatch TW58 Black'n Black</t>
  </si>
  <si>
    <t>Smartwatch TW58 Gold/Pink con Temperatura</t>
  </si>
  <si>
    <t>Smartwatch TW58 Silver</t>
  </si>
  <si>
    <t>PACKCORREA9</t>
  </si>
  <si>
    <t>Smartwatch Ultimate 217 GPS Black + Correa Roja</t>
  </si>
  <si>
    <t>PACKCORREA10</t>
  </si>
  <si>
    <t>Smartwatch Ultimate 217 GPS Gray + Correa Negra</t>
  </si>
  <si>
    <t>PACKCORREA11</t>
  </si>
  <si>
    <t>Smartwatch Ultimate 217 GPS Pink + Correa Calipso</t>
  </si>
  <si>
    <t>Pack120</t>
  </si>
  <si>
    <t>Smartwatch Ultimate GPS 217 Black + Audifono RM12</t>
  </si>
  <si>
    <t>1639085755244-FF</t>
  </si>
  <si>
    <t>Smartwatch Ultimate GPS 217 Pink</t>
  </si>
  <si>
    <t>Pack333</t>
  </si>
  <si>
    <t>Smartwatch Vibe 05 Black + Parlante Verde</t>
  </si>
  <si>
    <t>Pack343</t>
  </si>
  <si>
    <t>Smartwatch Vibe 05 Cream + Audífonos Celeste</t>
  </si>
  <si>
    <t>LHSWVIBBK-FF</t>
  </si>
  <si>
    <t>Smartwatch Vibe 05 GPS Black</t>
  </si>
  <si>
    <t>LHSWVIBCR-FF</t>
  </si>
  <si>
    <t>Smartwatch Vibe 05 GPS Cream</t>
  </si>
  <si>
    <t>Smartwatch Kids Safe K9 GPS Pink</t>
  </si>
  <si>
    <t>LIBBEY</t>
  </si>
  <si>
    <t>ENSALADERA 30CM SELENE DE VIDRIO</t>
  </si>
  <si>
    <t>SHAKER/COCTELERA SET 3 PZAS</t>
  </si>
  <si>
    <t>Libbey</t>
  </si>
  <si>
    <t>PACK45</t>
  </si>
  <si>
    <t>Kit Set 6 Copas + Abridor de Botellas Kitchenware</t>
  </si>
  <si>
    <t>PACK46</t>
  </si>
  <si>
    <t>SET 4 COPAS DE VIDRIO COCKTAILS - MOJITO 407ML</t>
  </si>
  <si>
    <t>Set 4 Copas Expert C Champagne Sparkling 290Ml Kitchenware</t>
  </si>
  <si>
    <t>SET 4 COPAS EXPERT C WINE LIGHT &amp; FRESH 290ML</t>
  </si>
  <si>
    <t>SET 4 COPAS VINO BLANCO MODERN VINTAGE 260ML</t>
  </si>
  <si>
    <t>Set 6 Copas Cervecera Belgian Vidrio 436 Ml</t>
  </si>
  <si>
    <t>SET 6 COPAS DE VIDRIO ARBOR VINO 414 ML.</t>
  </si>
  <si>
    <t>Set 6 Copas De Vino Vina 547 Ml</t>
  </si>
  <si>
    <t>Set 6 Copas Espumante Flauta Vidrio 170ml</t>
  </si>
  <si>
    <t>1610S6A</t>
  </si>
  <si>
    <t>Set 6 Copas Vidrio Cerveceras Giant 665 Ml</t>
  </si>
  <si>
    <t>SET 6 COPAS VINA TRUMPET 192 ML.</t>
  </si>
  <si>
    <t>SET COPAS/VASOS DE VIDRIO 8 PZAS PASO DOBLE</t>
  </si>
  <si>
    <t>Jarra Cabos 1.6 Lts</t>
  </si>
  <si>
    <t>Jarra Pitcher 1,78Lt México</t>
  </si>
  <si>
    <t>Jarra Pitcher 2,2Lt Brisa</t>
  </si>
  <si>
    <t>PACK56</t>
  </si>
  <si>
    <t>Kit Set 6 Vasos Vibe Alto + Jarra Cabos 1.6 Lts</t>
  </si>
  <si>
    <t>Set 4 Vasos Cortos Hobstar 355ml</t>
  </si>
  <si>
    <t>SET 4 VASOS DE VIDRIO ARTISAN BELGIAN BEER 600ML</t>
  </si>
  <si>
    <t>SET 4 VASOS DE VIDRIO ARTISAN MUG 320ML</t>
  </si>
  <si>
    <t>SET 4 VASOS DE VIDRIO ARTISAN PILSNER 370ML</t>
  </si>
  <si>
    <t>Set 4 Vasos De Vidrio Cervecero Artisan Pilsner 370ml</t>
  </si>
  <si>
    <t>Set 4 Vasos Estrellas</t>
  </si>
  <si>
    <t>Set 4 Vasos Largos Hobstar 470ml</t>
  </si>
  <si>
    <t>Set 6 Vasos Cavana Altos 414ml</t>
  </si>
  <si>
    <t>Set 6 Vasos Cavanas Cortos 386ml</t>
  </si>
  <si>
    <t>Set 6 Vasos Heavy Sham HB 483ml</t>
  </si>
  <si>
    <t>Set 6 Vasos Koba 472 ml</t>
  </si>
  <si>
    <t>Set 6 Vasos Super Sham Vidrio 355 Ml</t>
  </si>
  <si>
    <t>2312-SET</t>
  </si>
  <si>
    <t>SET 6 VASOS VIBE ALTO 518 ML</t>
  </si>
  <si>
    <t>Set 6 Vasos Vibe Rock Vidrio Cortos 355 Ml</t>
  </si>
  <si>
    <t>Set 6 Vasos Vidrio Super Sham Rock 311 Ml</t>
  </si>
  <si>
    <t>PLATO TORTA DE VIDRIO C/PIE 31 CM.</t>
  </si>
  <si>
    <t>Ensaladera Helena 23cm Vidrio</t>
  </si>
  <si>
    <t>Ensaladera Juego 5 Piezas Tempo Vidrio</t>
  </si>
  <si>
    <t>Recipientes Bake Juego 14 Piezas Vidrio</t>
  </si>
  <si>
    <t>Fuente Frutera Vidrio 23cm</t>
  </si>
  <si>
    <t>JUEGO 5 PZAS DE VIDRIO TEMPO</t>
  </si>
  <si>
    <t>Libellud</t>
  </si>
  <si>
    <t>DIX05ML</t>
  </si>
  <si>
    <t>Expansión Dixit Journey</t>
  </si>
  <si>
    <t>SKYSHIP</t>
  </si>
  <si>
    <t>DIX09ML</t>
  </si>
  <si>
    <t>Expansión Dixit Revelations</t>
  </si>
  <si>
    <t>DIX10ML</t>
  </si>
  <si>
    <t>Extensión Dixit Harmonies</t>
  </si>
  <si>
    <t>DIX08ML</t>
  </si>
  <si>
    <t>Extensión Dixit Memories</t>
  </si>
  <si>
    <t>DIX06ML</t>
  </si>
  <si>
    <t>Extensión Dixit Origins</t>
  </si>
  <si>
    <t>DIX02ML</t>
  </si>
  <si>
    <t>Extensión Dixit Quest</t>
  </si>
  <si>
    <t>DIX07ML</t>
  </si>
  <si>
    <t>Extensión Dixitdreams</t>
  </si>
  <si>
    <t>Juego de Mesa Dixit Odyssey</t>
  </si>
  <si>
    <t>Juego de Mesa Dixit Original</t>
  </si>
  <si>
    <t>Lingo</t>
  </si>
  <si>
    <t>Aussie Slang Jugando A Las Cartas Lingo</t>
  </si>
  <si>
    <t>Aussie Slang WT Jugando A Las Cartas Lingo</t>
  </si>
  <si>
    <t>Jugando a las Cartas de Argot Británico Lingo</t>
  </si>
  <si>
    <t>WTBRIT</t>
  </si>
  <si>
    <t>Jugando a las Cartas de WT Argot Británico Lingo</t>
  </si>
  <si>
    <t>GERM</t>
  </si>
  <si>
    <t>Naipes Alemanes Lingo</t>
  </si>
  <si>
    <t>Naipes</t>
  </si>
  <si>
    <t>WTGERM</t>
  </si>
  <si>
    <t>Naipes Alemanes WT Lingo</t>
  </si>
  <si>
    <t>Naipes Españoles Lingo</t>
  </si>
  <si>
    <t>WTSPAN</t>
  </si>
  <si>
    <t>Naipes Españoles WT Lingo</t>
  </si>
  <si>
    <t>FR</t>
  </si>
  <si>
    <t>Naipes Franceses Lingo</t>
  </si>
  <si>
    <t>WTFR</t>
  </si>
  <si>
    <t>Naipes Franceses WT Lingo</t>
  </si>
  <si>
    <t>Naipes Italianos Lingo</t>
  </si>
  <si>
    <t>WTIT</t>
  </si>
  <si>
    <t>Naipes Italianos Wt Lingo</t>
  </si>
  <si>
    <t>JAP</t>
  </si>
  <si>
    <t>Naipes Japoneses Lingo</t>
  </si>
  <si>
    <t>WTJAP</t>
  </si>
  <si>
    <t>Naipes japoneses WT Lingo</t>
  </si>
  <si>
    <t>Naipes Mandaínes Lingo</t>
  </si>
  <si>
    <t>Naipes Mandaínes WT Lingo</t>
  </si>
  <si>
    <t>LIQUI MOLY</t>
  </si>
  <si>
    <t>Grasa Alta Presión Bicicleta LM 50 400g</t>
  </si>
  <si>
    <t>Grasa Sintética Para Cadena Bicicleta Motorbike 50ml</t>
  </si>
  <si>
    <t>Lubricante Cadena Bicicleta 400ml</t>
  </si>
  <si>
    <t>Lubricante Cadena Bicicleta Ambiente Húmedo 100ml</t>
  </si>
  <si>
    <t>Lubricante Cadena Bicicleta Ambiente Seco 100ml</t>
  </si>
  <si>
    <t>Lubricante Multiuso Spray Bicicleta Lm 40 50ml</t>
  </si>
  <si>
    <t>Madison</t>
  </si>
  <si>
    <t>Difusor Auto 8 Ml Limoncello</t>
  </si>
  <si>
    <t>Aromatizadores auto</t>
  </si>
  <si>
    <t>MCO014</t>
  </si>
  <si>
    <t>Difusor Auto 8 Ml Tahiti</t>
  </si>
  <si>
    <t>MCO017</t>
  </si>
  <si>
    <t>Difusor Auto 8 Ml Tropical Coco</t>
  </si>
  <si>
    <t>Difusor Auto 8 Ml Wild Berries</t>
  </si>
  <si>
    <t>Pack186</t>
  </si>
  <si>
    <t>Aceite 30 ml Ala Moana + Diffuser Blanca</t>
  </si>
  <si>
    <t>Pack196</t>
  </si>
  <si>
    <t>Aceite 30 ml Ala Moana + Diffuser Gris</t>
  </si>
  <si>
    <t>Pack191</t>
  </si>
  <si>
    <t>Aceite 30 ml Ala Moana + Diffuser Negro</t>
  </si>
  <si>
    <t>Pack185</t>
  </si>
  <si>
    <t>Aceite 30 ml Green Citrus + Diffuser Blanca</t>
  </si>
  <si>
    <t>Pack195</t>
  </si>
  <si>
    <t>Aceite 30 ml Green Citrus + Diffuser Gris</t>
  </si>
  <si>
    <t>Pack190</t>
  </si>
  <si>
    <t>Aceite 30 ml Green Citrus + Diffuser Negro</t>
  </si>
  <si>
    <t>Pack184</t>
  </si>
  <si>
    <t>Aceite 30 ml Passion Fig + Diffuser Blanca</t>
  </si>
  <si>
    <t>Pack194</t>
  </si>
  <si>
    <t>Aceite 30 ml Passion Fig + Diffuser Gris</t>
  </si>
  <si>
    <t>Pack189</t>
  </si>
  <si>
    <t>Aceite 30 ml Passion Fig + Diffuser Negro</t>
  </si>
  <si>
    <t>Pack188</t>
  </si>
  <si>
    <t>Aceite 30 ml Tahiti + Diffuser Blanca</t>
  </si>
  <si>
    <t>Pack198</t>
  </si>
  <si>
    <t>Aceite 30 ml Tahiti + Diffuser Gris</t>
  </si>
  <si>
    <t>Pack193</t>
  </si>
  <si>
    <t>Aceite 30 ml Tahiti + Diffuser Negro</t>
  </si>
  <si>
    <t>Pack187</t>
  </si>
  <si>
    <t>Aceite 30 ml Tropical Chic + Diffuser Blanca</t>
  </si>
  <si>
    <t>Pack197</t>
  </si>
  <si>
    <t>Aceite 30 ml Tropical Chic + Diffuser Gris</t>
  </si>
  <si>
    <t>Pack192</t>
  </si>
  <si>
    <t>Aceite 30 ml Tropical Chic + Diffuser Negro</t>
  </si>
  <si>
    <t>Aceite Home Diffuser 30 ml Ala Moana</t>
  </si>
  <si>
    <t>Aceite Home Diffuser 30 ml Green Citrus</t>
  </si>
  <si>
    <t>MCO151</t>
  </si>
  <si>
    <t>Aceite Home Diffuser 30 ml Passion Fig</t>
  </si>
  <si>
    <t>MCO153</t>
  </si>
  <si>
    <t>Aceite Home Diffuser 30 ml Saint Sandal</t>
  </si>
  <si>
    <t>MCO156</t>
  </si>
  <si>
    <t>Aceite Home Diffuser 30 ml Summers</t>
  </si>
  <si>
    <t>MCO157</t>
  </si>
  <si>
    <t>Aceite Home Diffuser 30 ml Tahiti</t>
  </si>
  <si>
    <t>Aceite Home Diffuser 30 ml Tropical Chic</t>
  </si>
  <si>
    <t>Home Diffuser Blanca</t>
  </si>
  <si>
    <t>Home Diffuser Gris</t>
  </si>
  <si>
    <t>Home Diffuser Negro</t>
  </si>
  <si>
    <t>MCO004-1</t>
  </si>
  <si>
    <t>Home Spray 500 Ml Ala Moana Ámbar</t>
  </si>
  <si>
    <t>Home Spray 500 Ml Ala Moana Negro</t>
  </si>
  <si>
    <t>Home Spray 500 Ml Ala Moana Transparente</t>
  </si>
  <si>
    <t>Home Spray 500 Ml Black Cedar Ámbar</t>
  </si>
  <si>
    <t>Home Spray 500 Ml Black Cedar Negro</t>
  </si>
  <si>
    <t>Home Spray 500 Ml Black Cedar Transparente</t>
  </si>
  <si>
    <t>Home Spray 500 Ml Green Citrus Ámbar</t>
  </si>
  <si>
    <t>Home Spray 500 Ml Green Citrus Negro</t>
  </si>
  <si>
    <t>Home Spray 500 Ml Green Citrus Transparente</t>
  </si>
  <si>
    <t>Home Spray 500 Ml Passion Fig Ámbar</t>
  </si>
  <si>
    <t>Home Spray 500 Ml Passion Fig Negro</t>
  </si>
  <si>
    <t>Home Spray 500 Ml Passion Fig Transparente</t>
  </si>
  <si>
    <t>Home Spray 500 Ml Saint Sandal Ámbar</t>
  </si>
  <si>
    <t>MCO002-2</t>
  </si>
  <si>
    <t>Home Spray 500 Ml Saint Sandal Negro</t>
  </si>
  <si>
    <t>MCO002</t>
  </si>
  <si>
    <t>Home Spray 500 Ml Saint Sandal Transparente</t>
  </si>
  <si>
    <t>MCO160-1</t>
  </si>
  <si>
    <t>Home Spray 500 Ml Summers Ámbar</t>
  </si>
  <si>
    <t>Home Spray 500 Ml Summers Negro</t>
  </si>
  <si>
    <t>Home Spray 500 Ml Summers Transparente</t>
  </si>
  <si>
    <t>Home Spray 500 Ml Tropical Chic Ámbar</t>
  </si>
  <si>
    <t>Home Spray 500 Ml Tropical Chic Negro</t>
  </si>
  <si>
    <t>Home Spray 500 Ml Tropical Chic Transparente</t>
  </si>
  <si>
    <t>Mini Home Spray 120 Ml Ala Moana Transparente</t>
  </si>
  <si>
    <t>MCO044</t>
  </si>
  <si>
    <t>Mini Home Spray 120 Ml Black Cedar Transparente</t>
  </si>
  <si>
    <t>MCO041</t>
  </si>
  <si>
    <t>Mini Home Spray 120 Ml Green Citrus Transparente</t>
  </si>
  <si>
    <t>MCO039</t>
  </si>
  <si>
    <t>Mini Home Spray 120 Ml Passion Fig Transparente</t>
  </si>
  <si>
    <t>MCO040</t>
  </si>
  <si>
    <t>Mini Home Spray 120 Ml Saint Sandal Transparente</t>
  </si>
  <si>
    <t>MCO161</t>
  </si>
  <si>
    <t>Mini Home Spray 120 Ml Summers Transparente</t>
  </si>
  <si>
    <t>MCO043</t>
  </si>
  <si>
    <t>Mini Home Spray 120 Ml Tropical Chic Transparente</t>
  </si>
  <si>
    <t>MCO010</t>
  </si>
  <si>
    <t>Refill Home Spray 1 Lt Ala Moana</t>
  </si>
  <si>
    <t>MCO056</t>
  </si>
  <si>
    <t>Refill Home Spray 1 Lt Black Cedar</t>
  </si>
  <si>
    <t>Refill Home Spray 1 Lt Green Citrus</t>
  </si>
  <si>
    <t>MCO023</t>
  </si>
  <si>
    <t>Refill Home Spray 1 Lt Passion Fig</t>
  </si>
  <si>
    <t>MCO009</t>
  </si>
  <si>
    <t>Refill Home Spray 1 Lt Saint Sandal</t>
  </si>
  <si>
    <t>Refill Home Spray 1 Lt Summers</t>
  </si>
  <si>
    <t>Refill Home Spray 1 Lt Tropical Chic</t>
  </si>
  <si>
    <t>Room Spray Ala Moana</t>
  </si>
  <si>
    <t>Room Spray Black Cedar</t>
  </si>
  <si>
    <t>MCO171</t>
  </si>
  <si>
    <t>Room Spray Green Citrus</t>
  </si>
  <si>
    <t>MCO170</t>
  </si>
  <si>
    <t>Room Spray Passion Fig</t>
  </si>
  <si>
    <t>Room Spray Saint Sandal</t>
  </si>
  <si>
    <t>Room Spray Summers</t>
  </si>
  <si>
    <t>MCO174</t>
  </si>
  <si>
    <t>Room Spray Tropical Chic</t>
  </si>
  <si>
    <t>Pack135</t>
  </si>
  <si>
    <t>Spray Ámbar 500 ML + Refill 1 Lt Ala Moana</t>
  </si>
  <si>
    <t>Pack140</t>
  </si>
  <si>
    <t>Spray Ámbar 500 ML + Refill 1 Lt Black Cedar</t>
  </si>
  <si>
    <t>Pack146</t>
  </si>
  <si>
    <t>Spray Ámbar 500 ML + Refill 1 Lt Summers</t>
  </si>
  <si>
    <t>Pack143</t>
  </si>
  <si>
    <t>Spray Ámbar 500 ML + Refill 1 Lt Tropical Chic</t>
  </si>
  <si>
    <t>Pack136</t>
  </si>
  <si>
    <t>Spray Negro 500 ML + Refill 1 Lt Ala Moana</t>
  </si>
  <si>
    <t>Pack141</t>
  </si>
  <si>
    <t>Spray Negro 500 ML + Refill 1 Lt Black Cedar</t>
  </si>
  <si>
    <t>Pack147</t>
  </si>
  <si>
    <t>Spray Negro 500 ML + Refill 1 Lt Summers</t>
  </si>
  <si>
    <t>Pack144</t>
  </si>
  <si>
    <t>Spray Negro 500 ML + Refill 1 Lt Tropical Chic</t>
  </si>
  <si>
    <t>Pack138</t>
  </si>
  <si>
    <t>Spray Negro 500 ML + Refill 1Lt Green Citrus</t>
  </si>
  <si>
    <t>Pack134</t>
  </si>
  <si>
    <t>Spray Transparente 500 ML + Refill 1 Lt Ala Moana</t>
  </si>
  <si>
    <t>Pack139</t>
  </si>
  <si>
    <t>Spray Transparente 500 ML + Refill 1 Lt Black Cedar</t>
  </si>
  <si>
    <t>Pack145</t>
  </si>
  <si>
    <t>Spray Transparente 500 ML + Refill 1 Lt Summers</t>
  </si>
  <si>
    <t>Pack137</t>
  </si>
  <si>
    <t>Spray Transparente 500 ML + Refill 1Lt Green Citrus</t>
  </si>
  <si>
    <t>Pack142</t>
  </si>
  <si>
    <t>Spray Transparente 500 ML + Refill 1Lt Tropical Chic</t>
  </si>
  <si>
    <t>Pack177</t>
  </si>
  <si>
    <t>Difusor Ámbar 150 Ml + Refill 500 Ml Black Cedar</t>
  </si>
  <si>
    <t>Pack171</t>
  </si>
  <si>
    <t>Difusor Ámbar 150 Ml + Refill 500 Ml Green Citrus</t>
  </si>
  <si>
    <t>Pack168</t>
  </si>
  <si>
    <t>Difusor Ambar 150 Ml + Refill 500 Ml Passion Fig</t>
  </si>
  <si>
    <t>Pack180</t>
  </si>
  <si>
    <t>Difusor Ámbar 150 Ml + Refill 500 Ml Saint Sandal</t>
  </si>
  <si>
    <t>Pack183</t>
  </si>
  <si>
    <t>Difusor Ámbar 150 Ml + Refill 500 Ml Summers</t>
  </si>
  <si>
    <t>Pack174</t>
  </si>
  <si>
    <t>Difusor Ámbar 150 Ml + Refill 500 Ml Tropical Chic</t>
  </si>
  <si>
    <t>Pack157</t>
  </si>
  <si>
    <t>Difusor Ámbar 250 ml + Refil 500 Ml Black Cedar</t>
  </si>
  <si>
    <t>Pack151</t>
  </si>
  <si>
    <t>Difusor Ámbar 250 ml + Refill 500 Ml Green Citrus</t>
  </si>
  <si>
    <t>Pack148</t>
  </si>
  <si>
    <t>Difusor Ámbar 250 ml + Refill 500 ml Passion Fig</t>
  </si>
  <si>
    <t>Pack163</t>
  </si>
  <si>
    <t>Difusor Ámbar 250 ml + Refill 500 ml Saint Sandal</t>
  </si>
  <si>
    <t>Pack161</t>
  </si>
  <si>
    <t>Difusor Ámbar 250 ml + Refill 500 Ml Summers</t>
  </si>
  <si>
    <t>Pack154</t>
  </si>
  <si>
    <t>Difusor Ámbar 250 ml + Refill 500 Ml Tropical Chic</t>
  </si>
  <si>
    <t>Pack176</t>
  </si>
  <si>
    <t>Difusor Negro 150 Ml + Refill 500 Ml Black Cedar</t>
  </si>
  <si>
    <t>Pack170</t>
  </si>
  <si>
    <t>Difusor Negro 150 Ml + Refill 500 Ml Green Citrus</t>
  </si>
  <si>
    <t>Pack167</t>
  </si>
  <si>
    <t>Difusor Negro 150 Ml + Refill 500 Ml Passion Fig</t>
  </si>
  <si>
    <t>Pack179</t>
  </si>
  <si>
    <t>Difusor Negro 150 Ml + Refill 500 Ml Saint Sandal</t>
  </si>
  <si>
    <t>Pack182</t>
  </si>
  <si>
    <t>Difusor Negro 150 Ml + Refill 500 Ml Summers</t>
  </si>
  <si>
    <t>Pack173</t>
  </si>
  <si>
    <t>Difusor Negro 150 Ml + Refill 500 Ml Tropical Chic</t>
  </si>
  <si>
    <t>Pack156</t>
  </si>
  <si>
    <t>Difusor Negro 250 m + Refill 500 Ml Tropical Chic</t>
  </si>
  <si>
    <t>Pack159</t>
  </si>
  <si>
    <t>Difusor Negro 250 ml + Refil 500 Ml Black Cedar</t>
  </si>
  <si>
    <t>Pack153</t>
  </si>
  <si>
    <t>Difusor Negro 250 ml + Refill 500 Ml Green Citrus</t>
  </si>
  <si>
    <t>Pack150</t>
  </si>
  <si>
    <t>Difusor Negro 250 ml + Refill 500 ml Passion Fig</t>
  </si>
  <si>
    <t>Pack165</t>
  </si>
  <si>
    <t>Difusor Negro 250 ml + Refill 500 ml Saint Sandal</t>
  </si>
  <si>
    <t>Pack162</t>
  </si>
  <si>
    <t>Difusor Negro 250 ml + Refill 500 Ml Summers</t>
  </si>
  <si>
    <t>Pack175</t>
  </si>
  <si>
    <t>Difusor Transparente 150 Ml + Refill 500 Ml Black</t>
  </si>
  <si>
    <t>Pack172</t>
  </si>
  <si>
    <t>Difusor Transparente 150 Ml + Refill 500 Ml Tropical</t>
  </si>
  <si>
    <t>Pack181</t>
  </si>
  <si>
    <t>Difusor Transparente 150Ml+ Refill 500Ml Summers</t>
  </si>
  <si>
    <t>Pack166</t>
  </si>
  <si>
    <t>Difusor Transparente 150Ml+Refill 500 Ml Passion Fig</t>
  </si>
  <si>
    <t>Pack169</t>
  </si>
  <si>
    <t>Difusor Transparente 150Ml+Refill 500Ml Green Citrus</t>
  </si>
  <si>
    <t>Pack178</t>
  </si>
  <si>
    <t>Difusor Transparente 150Ml+Refill 500Ml Saint Sandal</t>
  </si>
  <si>
    <t>Pack164</t>
  </si>
  <si>
    <t>Difusor Transparente 250 ml + Refill 500 ml Saint S</t>
  </si>
  <si>
    <t>Pack158</t>
  </si>
  <si>
    <t>Difusor Transparente 250 ml+Refil 500 Ml Black Cedar</t>
  </si>
  <si>
    <t>Pack149</t>
  </si>
  <si>
    <t>Difusor Transparente 250ml+Refill 500 ml Passion Fig</t>
  </si>
  <si>
    <t>Pack160</t>
  </si>
  <si>
    <t>Difusor Transparente 250ml+Refill 500 Ml Summers</t>
  </si>
  <si>
    <t>Pack155</t>
  </si>
  <si>
    <t>Difusor Transparente 250ml+Refill 500M Tropical Chic</t>
  </si>
  <si>
    <t>Pack152</t>
  </si>
  <si>
    <t>Difusor Transparente 250ml+Refill 500Ml Green Citrus</t>
  </si>
  <si>
    <t>MCO038-2</t>
  </si>
  <si>
    <t>Difusor Varitas 150 Ml Black Cedar Ámbar</t>
  </si>
  <si>
    <t>Difusor Varitas 150 Ml Black Cedar Negro</t>
  </si>
  <si>
    <t>Difusor Varitas 150 Ml Black Cedar Transparente</t>
  </si>
  <si>
    <t>MCO036-2</t>
  </si>
  <si>
    <t>Difusor Varitas 150 Ml Green Citrus Ámbar</t>
  </si>
  <si>
    <t>Difusor Varitas 150 Ml Green Citrus Negro</t>
  </si>
  <si>
    <t>Difusor Varitas 150 Ml Green Citrus Transparente</t>
  </si>
  <si>
    <t>MCO035-2</t>
  </si>
  <si>
    <t>Difusor Varitas 150 Ml Passion Fig Ámbar</t>
  </si>
  <si>
    <t>MCO035-1</t>
  </si>
  <si>
    <t>Difusor Varitas 150 Ml Passion Fig Negro</t>
  </si>
  <si>
    <t>MCO035</t>
  </si>
  <si>
    <t>Difusor Varitas 150 Ml Passion Fig Transparente</t>
  </si>
  <si>
    <t>Difusor Varitas 150 ml Saint Sandal Ámbar</t>
  </si>
  <si>
    <t>Difusor Varitas 150 Ml Saint Sandal Negro</t>
  </si>
  <si>
    <t>MCO095</t>
  </si>
  <si>
    <t>Difusor Varitas 150 Ml Saint Sandal Transparente</t>
  </si>
  <si>
    <t>MCO164-2</t>
  </si>
  <si>
    <t>Difusor Varitas 150 Ml Summers Ámbar</t>
  </si>
  <si>
    <t>MCO164-1</t>
  </si>
  <si>
    <t>Difusor Varitas 150 Ml Summers Negro</t>
  </si>
  <si>
    <t>Difusor Varitas 150 Ml Summers Transparente</t>
  </si>
  <si>
    <t>Difusor Varitas 150 Ml Tropical Chic Ámbar</t>
  </si>
  <si>
    <t>MCO037-1</t>
  </si>
  <si>
    <t>Difusor Varitas 150 Ml Tropical Chic Negro</t>
  </si>
  <si>
    <t>Difusor Varitas 150 Ml Tropical Chic Transparente</t>
  </si>
  <si>
    <t>MCO022</t>
  </si>
  <si>
    <t>Difusor Varitas 250 Ml Black Cedar Ámbar</t>
  </si>
  <si>
    <t>Difusor Varitas 250 Ml Black Cedar Negro</t>
  </si>
  <si>
    <t>MCO022-1</t>
  </si>
  <si>
    <t>Difusor Varitas 250 ml Black Cedar Transparente</t>
  </si>
  <si>
    <t>Difusor Varitas 250 Ml Green Citrus Ámbar</t>
  </si>
  <si>
    <t>Difusor Varitas 250 Ml Green Citrus Negro</t>
  </si>
  <si>
    <t>MCO020-1</t>
  </si>
  <si>
    <t>Difusor Varitas 250 Ml Green Citrus Transparente</t>
  </si>
  <si>
    <t>Difusor Varitas 250 ml Passion Fig Ámbar</t>
  </si>
  <si>
    <t>MCO019-2</t>
  </si>
  <si>
    <t>Difusor Varitas 250 Ml Passion Fig Negro</t>
  </si>
  <si>
    <t>Difusor Varitas 250 Ml Passion Fig Transparente</t>
  </si>
  <si>
    <t>MCO096</t>
  </si>
  <si>
    <t>Difusor Varitas 250 Ml Saint Sandal Ámbar</t>
  </si>
  <si>
    <t>Difusor Varitas 250 Ml Saint Sandal Negro</t>
  </si>
  <si>
    <t>MCO096-1</t>
  </si>
  <si>
    <t>Difusor Varitas 250 Ml Saint Sandal Transparente</t>
  </si>
  <si>
    <t>Difusor Varitas 250 Ml Summers Ámbar</t>
  </si>
  <si>
    <t>MCO163-2</t>
  </si>
  <si>
    <t>Difusor Varitas 250 Ml Summers Negro</t>
  </si>
  <si>
    <t>Difusor Varitas 250 Ml Summers Transparente</t>
  </si>
  <si>
    <t>Difusor Varitas 250 Ml Tropical Chic Ámbar</t>
  </si>
  <si>
    <t>Difusor Varitas 250 Ml Tropical Chic Negro</t>
  </si>
  <si>
    <t>MCO021-1</t>
  </si>
  <si>
    <t>Difusor Varitas 250 Ml Tropical Chic Transparente</t>
  </si>
  <si>
    <t>MCO076</t>
  </si>
  <si>
    <t>Refill Difusor Varitas 500 Ml Black Cedar</t>
  </si>
  <si>
    <t>Refill Difusor Varitas 500 Ml Green Citrus</t>
  </si>
  <si>
    <t>Refill Difusor Varitas 500 ml Passion Fig</t>
  </si>
  <si>
    <t>Refill Difusor Varitas 500 ml Saint Sandal</t>
  </si>
  <si>
    <t>Refill Difusor Varitas 500 Ml Summers</t>
  </si>
  <si>
    <t>Refill Difusor Varitas 500 Ml Tropical Chic</t>
  </si>
  <si>
    <t>Vela Soja Natural 250 Grms Ala Moana</t>
  </si>
  <si>
    <t>Velas</t>
  </si>
  <si>
    <t>MCO250</t>
  </si>
  <si>
    <t>Vela Soja Natural 250 Grms Passion Fig</t>
  </si>
  <si>
    <t>MCO251-1</t>
  </si>
  <si>
    <t>Vela Soja Natural 320 Grms Ámbar Ala Moana</t>
  </si>
  <si>
    <t>MCO253-1</t>
  </si>
  <si>
    <t>Vela Soja Natural 320 Grms Ámbar Bergamot Citrus</t>
  </si>
  <si>
    <t>MCO250-1</t>
  </si>
  <si>
    <t>Vela Soja Natural 320 Grms Ámbar Passion Fig</t>
  </si>
  <si>
    <t>MCO251-2</t>
  </si>
  <si>
    <t>Vela Soja Natural 320 Grms Negro Ala Moana</t>
  </si>
  <si>
    <t>MCO253-2</t>
  </si>
  <si>
    <t>Vela Soja Natural 320 Grms Negro Bergamot Citrus</t>
  </si>
  <si>
    <t>MCO250-2</t>
  </si>
  <si>
    <t>Vela Soja Natural 320 grms Negro Passion Fig</t>
  </si>
  <si>
    <t>MCO253</t>
  </si>
  <si>
    <t>Vela Soja Natural 320Gm Transparente Bergamot Citrus</t>
  </si>
  <si>
    <t>MCO104</t>
  </si>
  <si>
    <t>Libro Atmósfera</t>
  </si>
  <si>
    <t>Libro</t>
  </si>
  <si>
    <t>Crema Humectante 500 Ml Ala Moana Ámbar</t>
  </si>
  <si>
    <t>MCO122-2</t>
  </si>
  <si>
    <t>Crema Humectante 500 Ml Ala Moana Negro</t>
  </si>
  <si>
    <t>MCO122</t>
  </si>
  <si>
    <t>Crema Humectante 500 Ml Ala Moana Transparente</t>
  </si>
  <si>
    <t>Crema Humectante 500 Ml Black Cedar Ámbar</t>
  </si>
  <si>
    <t>Crema Humectante 500 Ml Black Cedar Negro</t>
  </si>
  <si>
    <t>Crema Humectante 500 Ml Black Cedar Transparente</t>
  </si>
  <si>
    <t>Crema Humectante 500 Ml Green Citrus Ámbar</t>
  </si>
  <si>
    <t>MCO121-2</t>
  </si>
  <si>
    <t>Crema Humectante 500 Ml Green Citrus Negro</t>
  </si>
  <si>
    <t>Crema Humectante 500 Ml Green Citrus Transparente</t>
  </si>
  <si>
    <t>Crema Humectante 500 Ml Passion Fig Ámbar</t>
  </si>
  <si>
    <t>MCO120-2</t>
  </si>
  <si>
    <t>Crema Humectante 500 Ml Passion Fig Negro</t>
  </si>
  <si>
    <t>Crema Humectante 500 Ml Passion Fig Transparente</t>
  </si>
  <si>
    <t>Crema Humectante 500 Ml Saint Sandal Ámbar</t>
  </si>
  <si>
    <t>MCO123-2</t>
  </si>
  <si>
    <t>Crema Humectante 500 Ml Saint Sandal Negro</t>
  </si>
  <si>
    <t>MCO123</t>
  </si>
  <si>
    <t>Crema Humectante 500 Ml Saint Sandal Transparente</t>
  </si>
  <si>
    <t>MCO126-1</t>
  </si>
  <si>
    <t>Crema Humectante 500 Ml Summers Ámbar</t>
  </si>
  <si>
    <t>MCO126-2</t>
  </si>
  <si>
    <t>Crema Humectante 500 Ml Summers Negro</t>
  </si>
  <si>
    <t>MCO126</t>
  </si>
  <si>
    <t>Crema Humectante 500 Ml Summers Transparente</t>
  </si>
  <si>
    <t>Crema Humectante 500 Ml Tropical Chic Ámbar</t>
  </si>
  <si>
    <t>Crema Humectante 500 Ml Tropical Chic Negro</t>
  </si>
  <si>
    <t>MCO124</t>
  </si>
  <si>
    <t>Crema Humectante 500 Ml Tropical Chic Transparente</t>
  </si>
  <si>
    <t>MCO424</t>
  </si>
  <si>
    <t>Jabón En barra 100 Grms Verde</t>
  </si>
  <si>
    <t>Jabones</t>
  </si>
  <si>
    <t>Jabón En Barra Beige</t>
  </si>
  <si>
    <t>Jabón En Barra Negro</t>
  </si>
  <si>
    <t>MCO006-2</t>
  </si>
  <si>
    <t>Jabón Líquido 500 ml Saint Sandal Negro</t>
  </si>
  <si>
    <t>MCO008-1</t>
  </si>
  <si>
    <t>Jabón Líquido 500 Ml Ala Moana Ámbar</t>
  </si>
  <si>
    <t>MCO008-2</t>
  </si>
  <si>
    <t>Jabón Líquido 500 Ml Ala Moana Negro</t>
  </si>
  <si>
    <t>MCO008</t>
  </si>
  <si>
    <t>Jabón Líquido 500 Ml Ala Moana Transparente</t>
  </si>
  <si>
    <t>MCO071-1</t>
  </si>
  <si>
    <t>Jabón Líquido 500 Ml Black Cedar Ámbar</t>
  </si>
  <si>
    <t>MCO071-2</t>
  </si>
  <si>
    <t>Jabón Líquido 500 Ml Black Cedar Negro</t>
  </si>
  <si>
    <t>MCO071</t>
  </si>
  <si>
    <t>Jabón Líquido 500 Ml Black Cedar Transparente</t>
  </si>
  <si>
    <t>MCO007-1</t>
  </si>
  <si>
    <t>Jabón Líquido 500 Ml Green Citrus Ámbar</t>
  </si>
  <si>
    <t>MCO007-2</t>
  </si>
  <si>
    <t>Jabón Líquido 500 Ml Green Citrus Negro</t>
  </si>
  <si>
    <t>Jabón Líquido 500 Ml Green Citrus Transparente</t>
  </si>
  <si>
    <t>MCO005-1</t>
  </si>
  <si>
    <t>Jabón Líquido 500 Ml Passion Fig Ámbar</t>
  </si>
  <si>
    <t>MCO005-2</t>
  </si>
  <si>
    <t>Jabón Líquido 500 Ml Passion Fig Negro</t>
  </si>
  <si>
    <t>MCO005</t>
  </si>
  <si>
    <t>Jabón Líquido 500 Ml Passion Fig Transparente</t>
  </si>
  <si>
    <t>MCO006-1</t>
  </si>
  <si>
    <t>Jabón Líquido 500 Ml Saint Sandal Ámbar</t>
  </si>
  <si>
    <t>MCO006</t>
  </si>
  <si>
    <t>Jabón Líquido 500 Ml Saint Sandal Transparente</t>
  </si>
  <si>
    <t>Jabón Líquido 500 Ml Summers Ámbar</t>
  </si>
  <si>
    <t>MCO162-2</t>
  </si>
  <si>
    <t>Jabón Líquido 500 Ml Summers Negro</t>
  </si>
  <si>
    <t>MCO162</t>
  </si>
  <si>
    <t>Jabón Líquido 500 Ml Summers Transparente</t>
  </si>
  <si>
    <t>MCO070-1</t>
  </si>
  <si>
    <t>Jabón Líquido 500 Ml Tropical Chic Ámbar</t>
  </si>
  <si>
    <t>MCO070-2</t>
  </si>
  <si>
    <t>Jabón Líquido 500 Ml Tropical Chic Negro</t>
  </si>
  <si>
    <t>MCO070</t>
  </si>
  <si>
    <t>Jabón Líquido 500 Ml Tropical Chic Transparente</t>
  </si>
  <si>
    <t>MCO050</t>
  </si>
  <si>
    <t>Tabla Mármol Carrara</t>
  </si>
  <si>
    <t>Majorette</t>
  </si>
  <si>
    <t>Autos Transporte 8 Modelos Surtidos Majorette</t>
  </si>
  <si>
    <t>Estación Policial y 1 Auto Creatix Majorette</t>
  </si>
  <si>
    <t>S4t 4 Autos Patrulla Force Majorette</t>
  </si>
  <si>
    <t>Set 3 Pieces Autos Colección Majorette S.O.S</t>
  </si>
  <si>
    <t>Set 4 Autos Logistica MAERSK Majorette</t>
  </si>
  <si>
    <t>Set 4 Vehiculos Construcción Volvo Majorette</t>
  </si>
  <si>
    <t>Set 5 Autos Anniversary Premiun Majorette</t>
  </si>
  <si>
    <t>Set 5 Autos Clásicos French Touch Majorette</t>
  </si>
  <si>
    <t>Set 5 Autos Clásicos Japan Series Majorette</t>
  </si>
  <si>
    <t>Set 5 Autos Clásicos Volkswagen Originals Majorette</t>
  </si>
  <si>
    <t>Set 5 Autos Colección Dream Cars Italy Majorette</t>
  </si>
  <si>
    <t>Set 5 Autos Colección Majorette</t>
  </si>
  <si>
    <t>Set 5 Autos Colección Track Racer Majorette</t>
  </si>
  <si>
    <t>Set 5 Autos Limited Edition Majorette</t>
  </si>
  <si>
    <t>Set 5 Autos Modernos Majorette Youngster</t>
  </si>
  <si>
    <t>Set 5 Autos Vintage Majorette</t>
  </si>
  <si>
    <t>Set 5 Mini Porshe Majorette</t>
  </si>
  <si>
    <t>Vehiculos Construcción Volvo Surtidos Majorette</t>
  </si>
  <si>
    <t>MARMOT</t>
  </si>
  <si>
    <t>BW38480_A9503</t>
  </si>
  <si>
    <t>SACO DE DORMIR KID'S BANZAI TRESTLES 35L MARMOT</t>
  </si>
  <si>
    <t>Komax</t>
  </si>
  <si>
    <t>BW24530_A3600</t>
  </si>
  <si>
    <t>MOCHILA CASUAL CALISTOGA AZUL</t>
  </si>
  <si>
    <t>BW38950_A3561</t>
  </si>
  <si>
    <t>MOCHILA KOMPRESSOR COMET AZUL MARMOT</t>
  </si>
  <si>
    <t>Mochilas outdoor</t>
  </si>
  <si>
    <t>BW38110_A001</t>
  </si>
  <si>
    <t>NECESER MINI HAULER-BLK NEGRO</t>
  </si>
  <si>
    <t>Mascan</t>
  </si>
  <si>
    <t>Cubre asiento trasero - STD - Negro</t>
  </si>
  <si>
    <t>Cubre maletero - STD - Negro</t>
  </si>
  <si>
    <t>Base para Pala Sanitaria - STD - Blanco</t>
  </si>
  <si>
    <t>Accesorios gato</t>
  </si>
  <si>
    <t>Pala sanitaria para gatos - STD - Blanco</t>
  </si>
  <si>
    <t>Banano de paseo - STD - Negro</t>
  </si>
  <si>
    <t>Tapa de silicona para latas - STD - Azul</t>
  </si>
  <si>
    <t>Tapa de silicona para latas - STD - Fucsia</t>
  </si>
  <si>
    <t>Tapa de silicona para latas - STD - Naranja</t>
  </si>
  <si>
    <t>Arnés Anti-pull - L - Negro</t>
  </si>
  <si>
    <t>Arneses</t>
  </si>
  <si>
    <t>Arnés Anti-pull - M - Negro</t>
  </si>
  <si>
    <t>Arnés Anti-pull - XL - Negro</t>
  </si>
  <si>
    <t>Arnés Cruzado Acolchado - L - Azul</t>
  </si>
  <si>
    <t>Arnés Cruzado Acolchado - L - Fucsia</t>
  </si>
  <si>
    <t>Arnés Cruzado Acolchado - L - Rojo</t>
  </si>
  <si>
    <t>Arnés Cruzado Acolchado - M - Azul</t>
  </si>
  <si>
    <t>Arnés Cruzado Acolchado - M - Fucsia</t>
  </si>
  <si>
    <t>Arnés Cruzado Acolchado - M - Rojo</t>
  </si>
  <si>
    <t>Arnés Cruzado Acolchado - S - Azul</t>
  </si>
  <si>
    <t>Arnés Cruzado Acolchado - S - Fucsia</t>
  </si>
  <si>
    <t>Arnés Cruzado Acolchado - S - Rojo</t>
  </si>
  <si>
    <t>Arnés Cruzado Acolchado - XS - Azul</t>
  </si>
  <si>
    <t>Arnés Cruzado Acolchado - XS - Fucsia</t>
  </si>
  <si>
    <t>Arnés Cruzado Acolchado - XS - Rojo</t>
  </si>
  <si>
    <t>Arnés Deportivo de Control - L - Fucsia</t>
  </si>
  <si>
    <t>Arnés Deportivo de Control - L - Naranja</t>
  </si>
  <si>
    <t>Arnés Deportivo de Control - L - Verde</t>
  </si>
  <si>
    <t>Arnés Deportivo de Control - M - Fucsia</t>
  </si>
  <si>
    <t>Arnés Deportivo de Control - M - Naranja</t>
  </si>
  <si>
    <t>Arnés Deportivo de Control - M - Verde</t>
  </si>
  <si>
    <t>Arnés Deportivo de Control - S - Fucsia</t>
  </si>
  <si>
    <t>Arnés Deportivo de Control - S - Naranja</t>
  </si>
  <si>
    <t>Arnés Deportivo de Control - S - Verde</t>
  </si>
  <si>
    <t>Arnés Deportivo de Control - XL - Fucsia</t>
  </si>
  <si>
    <t>Arnés Deportivo de Control - XL - Naranja</t>
  </si>
  <si>
    <t>Arnés Deportivo de Control - XL - Verde</t>
  </si>
  <si>
    <t>Arnés Multiuso - L - Negro</t>
  </si>
  <si>
    <t>Arnés Multiuso - M - Negro</t>
  </si>
  <si>
    <t>Arnés Multiuso - S - Negro</t>
  </si>
  <si>
    <t>Arnés Multiuso - XL - Negro</t>
  </si>
  <si>
    <t>Arnés Multiuso - XS - Negro</t>
  </si>
  <si>
    <t>Arnés Noruego Acolchado - 2XL - Negro</t>
  </si>
  <si>
    <t>Arnés Noruego Acolchado - L - Negro</t>
  </si>
  <si>
    <t>Arnés Noruego Acolchado - M - Negro</t>
  </si>
  <si>
    <t>Arnés Noruego Acolchado - XL - Negro</t>
  </si>
  <si>
    <t>Arnés y correa gato acolchado reflectante - STD - Azul</t>
  </si>
  <si>
    <t>Arnés y correa gato acolchado reflectante - STD - Fucsia</t>
  </si>
  <si>
    <t>Bebedero portátil hoja - STD - Azul</t>
  </si>
  <si>
    <t>Bebederos</t>
  </si>
  <si>
    <t>SD00000091521</t>
  </si>
  <si>
    <t>Bebedero portátil hoja - STD - Fucsia</t>
  </si>
  <si>
    <t>Bebedero portátil hoja - STD - Verde</t>
  </si>
  <si>
    <t>Fuente de agua Cascada - STD - Blanco</t>
  </si>
  <si>
    <t>Bolsas sanitarias biodeg. 6x20 - STD - Verde</t>
  </si>
  <si>
    <t>Bolsas sanitarias</t>
  </si>
  <si>
    <t>PACK57</t>
  </si>
  <si>
    <t>Kit Porta Bolsas Sanitarias + Bolsas Biodegradables</t>
  </si>
  <si>
    <t>Porta bolsas sanitarias cilindro - STD - Naranja</t>
  </si>
  <si>
    <t>Porta bolsas sanitarias cilindro - STD - Verde</t>
  </si>
  <si>
    <t>Porta bolsas sanitarias hueso - STD - Fucsia</t>
  </si>
  <si>
    <t>Porta bolsas sanitarias hueso - STD - Negro</t>
  </si>
  <si>
    <t>Cama impermeable con memory foam - L - Negro</t>
  </si>
  <si>
    <t>Camas para mascota</t>
  </si>
  <si>
    <t>Cama impermeable con memory foam - M - Negro</t>
  </si>
  <si>
    <t>Cama impermeable con memory foam - S - Negro</t>
  </si>
  <si>
    <t>Cama impermeable con memory foam - XL - Negro</t>
  </si>
  <si>
    <t>Cama Nido Plegable para Gatos - STD - Blanco</t>
  </si>
  <si>
    <t>Cama reversible doble color - L - Café</t>
  </si>
  <si>
    <t>Cama reversible doble color - L - Morado</t>
  </si>
  <si>
    <t>Cama reversible doble color - M - Café</t>
  </si>
  <si>
    <t>Cama reversible doble color - M - Morado</t>
  </si>
  <si>
    <t>Cama reversible doble color - S - Café</t>
  </si>
  <si>
    <t>Cama reversible doble color - S - Morado</t>
  </si>
  <si>
    <t>Cama reversible doble color - XL - Café</t>
  </si>
  <si>
    <t>Cama reversible doble color - XL - Morado</t>
  </si>
  <si>
    <t>Cinturón de seguridad - STD - Negro</t>
  </si>
  <si>
    <t>Cinturones perro</t>
  </si>
  <si>
    <t>Cabestro Anti-pull - XS - Negro</t>
  </si>
  <si>
    <t>Collares y cabestros</t>
  </si>
  <si>
    <t>Cabestro Nylon Anti-pull Negro Perro Talla 2xl (Negro/XL)</t>
  </si>
  <si>
    <t>Cabestro Nylon Anti-Pull Negro Perro Talla S</t>
  </si>
  <si>
    <t>Collar diagonal - L - Celeste</t>
  </si>
  <si>
    <t>Collar diagonal - L - Morado</t>
  </si>
  <si>
    <t>Collar diagonal - L - Verde</t>
  </si>
  <si>
    <t>Collar diagonal - M - Celeste</t>
  </si>
  <si>
    <t>Collar diagonal - M - Morado</t>
  </si>
  <si>
    <t>Collar diagonal - M - Verde</t>
  </si>
  <si>
    <t>Collar diagonal - S - Celeste</t>
  </si>
  <si>
    <t>Collar diagonal - S - Morado</t>
  </si>
  <si>
    <t>Collar diagonal - S - Verde</t>
  </si>
  <si>
    <t>Collar diagonal - XS - Celeste</t>
  </si>
  <si>
    <t>Collar diagonal - XS - Morado</t>
  </si>
  <si>
    <t>Collar diagonal - XS - Verde</t>
  </si>
  <si>
    <t>Collar Fluorescente Talla L Perro</t>
  </si>
  <si>
    <t>Collar gato acolchado reflectante - STD - Azul</t>
  </si>
  <si>
    <t>Collar gato acolchado reflectante - STD - Fucsia</t>
  </si>
  <si>
    <t>Collar gato doble seguridad - STD - Azul</t>
  </si>
  <si>
    <t>Collar gato doble seguridad - STD - Rojo</t>
  </si>
  <si>
    <t>Collar gato reflectante - STD - Fucsia</t>
  </si>
  <si>
    <t>Collar gato reflectante - STD - Rojo</t>
  </si>
  <si>
    <t>Collar grueso calavera - XL - Dorado</t>
  </si>
  <si>
    <t>Collar grueso calavera- 2XL - Dorado</t>
  </si>
  <si>
    <t>Collar grueso calavera- 2XL - Fucsia</t>
  </si>
  <si>
    <t>YB01000111008</t>
  </si>
  <si>
    <t>Collar grueso calavera- 2XL - Negro</t>
  </si>
  <si>
    <t>YB01000111009</t>
  </si>
  <si>
    <t>Collar grueso calavera- 2XL - Rojo</t>
  </si>
  <si>
    <t>Collar grueso calavera- 3XL - Dorado</t>
  </si>
  <si>
    <t>Collar grueso calavera- 3XL - Fucsia</t>
  </si>
  <si>
    <t>YB01000111109</t>
  </si>
  <si>
    <t>Collar grueso calavera- 3XL - Rojo</t>
  </si>
  <si>
    <t>Collar grueso calavera- XL - Fucsia</t>
  </si>
  <si>
    <t>Collar grueso diamantes eco cuero - 2XL - Café</t>
  </si>
  <si>
    <t>Collar grueso diamantes eco cuero - 2XL - Negro</t>
  </si>
  <si>
    <t>Collar grueso diamantes eco cuero - 2XL - Rosado</t>
  </si>
  <si>
    <t>YB01000070908</t>
  </si>
  <si>
    <t>Collar grueso diamantes eco cuero XL Negro COLL 00007</t>
  </si>
  <si>
    <t>YB01000051109</t>
  </si>
  <si>
    <t>Collar Grueso Puntas Redondas Rojo</t>
  </si>
  <si>
    <t>Collar huesos - L - Azul</t>
  </si>
  <si>
    <t>Collar huesos - L - Fucsia</t>
  </si>
  <si>
    <t>Collar huesos - L - Negro</t>
  </si>
  <si>
    <t>Collar huesos - M - Azul</t>
  </si>
  <si>
    <t>Collar huesos - M - Fucsia</t>
  </si>
  <si>
    <t>Collar huesos - M - Negro</t>
  </si>
  <si>
    <t>Collar huesos - S - Azul</t>
  </si>
  <si>
    <t>Collar huesos - S - Fucsia</t>
  </si>
  <si>
    <t>Collar huesos - S - Negro</t>
  </si>
  <si>
    <t>Collar huesos - XS - Azul</t>
  </si>
  <si>
    <t>Collar huesos - XS - Fucsia</t>
  </si>
  <si>
    <t>Collar huesos - XS - Negro</t>
  </si>
  <si>
    <t>COLLAR NYLON REFLECTANTE TALLA L AZUL</t>
  </si>
  <si>
    <t>YB01000070915</t>
  </si>
  <si>
    <t>Collar Perro Con Diamantes Eco Cuero Xl Café</t>
  </si>
  <si>
    <t>Collar puntitos - L - Amarillo</t>
  </si>
  <si>
    <t>Collar puntitos - L - Rojo</t>
  </si>
  <si>
    <t>Collar puntitos - L - Verde</t>
  </si>
  <si>
    <t>Collar puntitos - M - Amarillo</t>
  </si>
  <si>
    <t>Collar puntitos - M - Rojo</t>
  </si>
  <si>
    <t>Collar puntitos - M - Verde</t>
  </si>
  <si>
    <t>Collar puntitos - S - Amarillo</t>
  </si>
  <si>
    <t>Collar puntitos - S - Rojo</t>
  </si>
  <si>
    <t>Collar puntitos - S - Verde</t>
  </si>
  <si>
    <t>Collar puntitos - XS - Amarillo</t>
  </si>
  <si>
    <t>Collar puntitos - XS - Rojo</t>
  </si>
  <si>
    <t>Collar puntitos - XS - Verde</t>
  </si>
  <si>
    <t>Collar triángulo - L - Azul</t>
  </si>
  <si>
    <t>Collar triángulo - L - Fucsia</t>
  </si>
  <si>
    <t>Collar triángulo - L - Naranja</t>
  </si>
  <si>
    <t>Collar triángulo - M - Azul</t>
  </si>
  <si>
    <t>Collar triángulo - M - Fucsia</t>
  </si>
  <si>
    <t>Collar triángulo - M - Naranja</t>
  </si>
  <si>
    <t>Collar triángulo - S - Azul</t>
  </si>
  <si>
    <t>Collar triángulo - S - Fucsia</t>
  </si>
  <si>
    <t>Collar triángulo - S - Naranja</t>
  </si>
  <si>
    <t>Collar triángulo - XS - Azul</t>
  </si>
  <si>
    <t>Collar triángulo - XS - Fucsia</t>
  </si>
  <si>
    <t>Collar triángulo - XS - Naranja</t>
  </si>
  <si>
    <t>Correa acolchada reflectante 15mm - STD - Negro</t>
  </si>
  <si>
    <t>Correas paseo</t>
  </si>
  <si>
    <t>Correa acolchada reflectante 25mm - STD - Negro</t>
  </si>
  <si>
    <t>Correa Doble - M - Negro</t>
  </si>
  <si>
    <t>Correa Doble Agarre - L - Azul</t>
  </si>
  <si>
    <t>Correa Doble Agarre - L - Fucsia</t>
  </si>
  <si>
    <t>Correa Doble Agarre - M - Azul</t>
  </si>
  <si>
    <t>Correa Doble Agarre - M - Fucsia</t>
  </si>
  <si>
    <t>Correa Perro Nylon Reflectante Azul Talla L</t>
  </si>
  <si>
    <t>Correa Ramal Trenzado - L - Negro</t>
  </si>
  <si>
    <t>Correa Ramal Trenzado - L - Rojo</t>
  </si>
  <si>
    <t>Correa Ramal Trenzado - M - Negro</t>
  </si>
  <si>
    <t>Correa Ramal Trenzado - M - Rojo</t>
  </si>
  <si>
    <t>Cuchara larga melamina - M - Amarillo</t>
  </si>
  <si>
    <t>Cucharas perro/gato</t>
  </si>
  <si>
    <t>Cuchara larga melamina - S - Amarillo</t>
  </si>
  <si>
    <t>SD00000040703</t>
  </si>
  <si>
    <t>Cuchara Larga Melamina Talla M Blanco Perro/gato</t>
  </si>
  <si>
    <t>SD00000040721</t>
  </si>
  <si>
    <t>Cuchara Larga Melamina Talla M Fucsia Perro/gato</t>
  </si>
  <si>
    <t>Cuchara Larga Melamina Talla S Azul Perro/gato</t>
  </si>
  <si>
    <t>SD00000040603</t>
  </si>
  <si>
    <t>Cuchara Larga Melamina Talla S Blanco Perro/gato</t>
  </si>
  <si>
    <t>Cubo Túnel para Gatos - STD - Gris</t>
  </si>
  <si>
    <t>Juguetes gato</t>
  </si>
  <si>
    <t>Juguete dispensador para gatos - L - Azul</t>
  </si>
  <si>
    <t>Juguete dispensador para gatos - L - Fucsia</t>
  </si>
  <si>
    <t>Juguete dispensador para gatos - M - Azul</t>
  </si>
  <si>
    <t>Juguete dispensador para gatos - M - Fucsia</t>
  </si>
  <si>
    <t>Animal latex con cuerda - STD - Rojo</t>
  </si>
  <si>
    <t>Juguetes perro</t>
  </si>
  <si>
    <t>Animal latex con cuerda - STD - Verde</t>
  </si>
  <si>
    <t>MF07000061502</t>
  </si>
  <si>
    <t>Animal Látex Con Cuerda Azul Perro</t>
  </si>
  <si>
    <t>Animal plush con pelota - STD - Celeste</t>
  </si>
  <si>
    <t>Animal plush con pelota - STD - Verde</t>
  </si>
  <si>
    <t>Bouncer Ball - STD - Naranja</t>
  </si>
  <si>
    <t>Costillas de cerdo - M - Beige</t>
  </si>
  <si>
    <t>Costillas de cerdo - S - Beige</t>
  </si>
  <si>
    <t>MF07000171509</t>
  </si>
  <si>
    <t>Dinosaurio Latex/plush Con Sonido Para Perro</t>
  </si>
  <si>
    <t>Hueso curvo - L - Verde</t>
  </si>
  <si>
    <t>Hueso curvo - M - Verde</t>
  </si>
  <si>
    <t>Hueso curvo - S - Verde</t>
  </si>
  <si>
    <t>Hueso limpiadientes - L - Verde</t>
  </si>
  <si>
    <t>Hueso limpiadientes - M - Verde</t>
  </si>
  <si>
    <t>MF07000120810</t>
  </si>
  <si>
    <t>Hueso Símil Femur Talla L Perro</t>
  </si>
  <si>
    <t>MF07000120910</t>
  </si>
  <si>
    <t>Hueso Símil Femur Talla Xl Perro</t>
  </si>
  <si>
    <t>MF07000190818</t>
  </si>
  <si>
    <t>Hueso Sonido Rama Talla L Perro</t>
  </si>
  <si>
    <t>Juguete Dispensador Botella Verde Perro</t>
  </si>
  <si>
    <t>Juguete dispensador circular - STD - Verde</t>
  </si>
  <si>
    <t>Juguete dispensador egg - STD - Verde</t>
  </si>
  <si>
    <t>MF07000160710</t>
  </si>
  <si>
    <t>Juguete Pelota Cuerda para Perro Pequeño o Mediano</t>
  </si>
  <si>
    <t>PACK58</t>
  </si>
  <si>
    <t>Kit Hueso Curvo Talla L + Rama De Madera Perro</t>
  </si>
  <si>
    <t>Pelota con dientes - L - Verde</t>
  </si>
  <si>
    <t>Pelota con dientes - M - Verde</t>
  </si>
  <si>
    <t>MF07000090710</t>
  </si>
  <si>
    <t>Pelota Fluorescente - M - Verde</t>
  </si>
  <si>
    <t>Rama de Madera - L - Café</t>
  </si>
  <si>
    <t>Rama de Madera - M - Café</t>
  </si>
  <si>
    <t>Rama de Madera - S - Café</t>
  </si>
  <si>
    <t>Rama de Nylon - L - Café</t>
  </si>
  <si>
    <t>Rama de Nylon - M - Café</t>
  </si>
  <si>
    <t>MF07000200615</t>
  </si>
  <si>
    <t>Rama de Nylon - S - Café</t>
  </si>
  <si>
    <t>Varilla extensible con LED - STD - Azul</t>
  </si>
  <si>
    <t>Varilla extensible con LED - STD - Fucsia</t>
  </si>
  <si>
    <t>Cool Mat - L - Azul</t>
  </si>
  <si>
    <t>Mats</t>
  </si>
  <si>
    <t>Cool Mat - L - Fucsia</t>
  </si>
  <si>
    <t>Mochila desmontable fashion para perro - XL - Azul</t>
  </si>
  <si>
    <t>Mochilas perro</t>
  </si>
  <si>
    <t>Mochila desmontable fashion para perro - XL - Café</t>
  </si>
  <si>
    <t>sc4</t>
  </si>
  <si>
    <t>Mochila Desmontable Fashion Para Perro Café M</t>
  </si>
  <si>
    <t>sc7</t>
  </si>
  <si>
    <t>Mochila Desmontable Fashion Para Perro Rosado L</t>
  </si>
  <si>
    <t>Plato Gato doble sólido redondo - STD - Fucsia</t>
  </si>
  <si>
    <t>Platos gato</t>
  </si>
  <si>
    <t>Plato Gato doble sólido redondo - STD - Negro</t>
  </si>
  <si>
    <t>Plato Gato motivo redondo - STD - Azul</t>
  </si>
  <si>
    <t>Plato Gato motivo redondo - STD - Rosado</t>
  </si>
  <si>
    <t>Plato Gato sólido redondo - STD - Fucsia</t>
  </si>
  <si>
    <t>Plato Gato sólido redondo - STD - Negro</t>
  </si>
  <si>
    <t>Plato anti-ahogo - L - Naranja</t>
  </si>
  <si>
    <t>Platos perro</t>
  </si>
  <si>
    <t>Plato anti-ahogo - L - Rojo</t>
  </si>
  <si>
    <t>Plato anti-ahogo - L - Verde</t>
  </si>
  <si>
    <t>Plato anti-ahogo - M - Naranja</t>
  </si>
  <si>
    <t>Plato anti-ahogo - M - Rojo</t>
  </si>
  <si>
    <t>Plato anti-ahogo - M - Verde</t>
  </si>
  <si>
    <t>Plato anti-ahogo - S - Naranja</t>
  </si>
  <si>
    <t>Plato anti-ahogo - S - Rojo</t>
  </si>
  <si>
    <t>Plato anti-ahogo - S - Verde</t>
  </si>
  <si>
    <t>Plato anti-ahogo - XL - Naranja</t>
  </si>
  <si>
    <t>Plato anti-ahogo - XL - Rojo</t>
  </si>
  <si>
    <t>Plato anti-ahogo - XL - Verde</t>
  </si>
  <si>
    <t>Plato anti-hormigas - L - Amarillo</t>
  </si>
  <si>
    <t>Plato anti-hormigas - L - Rojo</t>
  </si>
  <si>
    <t>Plato anti-hormigas - M - Amarillo</t>
  </si>
  <si>
    <t>Plato anti-hormigas - M - Rojo</t>
  </si>
  <si>
    <t>Plato anti-hormigas - S - Amarillo</t>
  </si>
  <si>
    <t>Plato anti-hormigas - S - Rojo</t>
  </si>
  <si>
    <t>Plato comida agua - L - Azul Marino</t>
  </si>
  <si>
    <t>Plato comida agua - L - Fucsia</t>
  </si>
  <si>
    <t>Plato comida agua - L - Rojo</t>
  </si>
  <si>
    <t>Plato comida agua - M - Azul Marino</t>
  </si>
  <si>
    <t>Plato comida agua - M - Fucsia</t>
  </si>
  <si>
    <t>Plato comida agua - M - Rojo</t>
  </si>
  <si>
    <t>Plato huellitas - L - Blanco</t>
  </si>
  <si>
    <t>Plato huellitas - L - Celeste</t>
  </si>
  <si>
    <t>Plato huellitas - L - Rosado</t>
  </si>
  <si>
    <t>Plato huellitas - M - Blanco</t>
  </si>
  <si>
    <t>Plato huellitas - M - Celeste</t>
  </si>
  <si>
    <t>Plato huellitas - M - Rosado</t>
  </si>
  <si>
    <t>Plato huellitas - S - Blanco</t>
  </si>
  <si>
    <t>Plato huellitas - S - Celeste</t>
  </si>
  <si>
    <t>Plato huellitas - S - Rosado</t>
  </si>
  <si>
    <t>Plato motivo redondo - L - Amarillo</t>
  </si>
  <si>
    <t>Plato motivo redondo - L - Morado</t>
  </si>
  <si>
    <t>Plato motivo redondo - L - Multicolor</t>
  </si>
  <si>
    <t>Plato motivo redondo - L - Rojo</t>
  </si>
  <si>
    <t>Plato motivo redondo - M - Amarillo</t>
  </si>
  <si>
    <t>Plato motivo redondo - M - Morado</t>
  </si>
  <si>
    <t>Plato motivo redondo - M - Multicolor</t>
  </si>
  <si>
    <t>Plato motivo redondo - M - Rojo</t>
  </si>
  <si>
    <t>Plato motivo redondo - S - Amarillo</t>
  </si>
  <si>
    <t>Plato motivo redondo - S - Morado</t>
  </si>
  <si>
    <t>Plato motivo redondo - S - Multicolor</t>
  </si>
  <si>
    <t>Plato motivo redondo - S - Rojo</t>
  </si>
  <si>
    <t>SD06000080901</t>
  </si>
  <si>
    <t>Plato motivo redondo Amarillo XL</t>
  </si>
  <si>
    <t>Plato plegable de silicona doble - M - Naranja</t>
  </si>
  <si>
    <t>Plato plegable de silicona doble - M - Verde</t>
  </si>
  <si>
    <t>Plato plegable de silicona doble - S - Naranja</t>
  </si>
  <si>
    <t>Plato plegable de silicona doble - S - Verde</t>
  </si>
  <si>
    <t>Plato plegable de silicona simple - L - Naranja</t>
  </si>
  <si>
    <t>Plato plegable de silicona simple - L - Verde</t>
  </si>
  <si>
    <t>Plato plegable de silicona simple - M - Naranja</t>
  </si>
  <si>
    <t>Plato plegable de silicona simple - M - Verde</t>
  </si>
  <si>
    <t>sc13</t>
  </si>
  <si>
    <t>Plato Plegable Perro Para Preparar Comida Naranja</t>
  </si>
  <si>
    <t>Plato plegable/tabla para preparar comida - STD - Gris</t>
  </si>
  <si>
    <t>Plato sólido redondo - L - Azul</t>
  </si>
  <si>
    <t>Plato sólido redondo - L - Fucsia</t>
  </si>
  <si>
    <t>Plato sólido redondo - L - Morado</t>
  </si>
  <si>
    <t>Plato sólido redondo - L - Negro</t>
  </si>
  <si>
    <t>Plato sólido redondo - M - Azul</t>
  </si>
  <si>
    <t>Plato sólido redondo - M - Fucsia</t>
  </si>
  <si>
    <t>Plato sólido redondo - M - Morado</t>
  </si>
  <si>
    <t>Plato sólido redondo - M - Negro</t>
  </si>
  <si>
    <t>Plato sólido redondo - S - Azul</t>
  </si>
  <si>
    <t>Plato sólido redondo - S - Fucsia</t>
  </si>
  <si>
    <t>Plato sólido redondo - S - Morado</t>
  </si>
  <si>
    <t>Plato sólido redondo - S - Negro</t>
  </si>
  <si>
    <t>Plato sólido redondo - XL - Azul</t>
  </si>
  <si>
    <t>Plato sólido redondo - XL - Fucsia</t>
  </si>
  <si>
    <t>Plato sólido redondo - XL - Morado</t>
  </si>
  <si>
    <t>Plato sólido redondo - XL - Negro</t>
  </si>
  <si>
    <t>Plato Z doble - M - Azul</t>
  </si>
  <si>
    <t>Plato Z doble - M - Fucsia</t>
  </si>
  <si>
    <t>Plato Z doble - M - Morado</t>
  </si>
  <si>
    <t>Plato Z doble - M - Negro</t>
  </si>
  <si>
    <t>Plato Z doble - S - Azul</t>
  </si>
  <si>
    <t>Plato Z doble - S - Fucsia</t>
  </si>
  <si>
    <t>Plato Z doble - S - Morado</t>
  </si>
  <si>
    <t>Plato Z doble - S - Negro</t>
  </si>
  <si>
    <t>Materiactiva</t>
  </si>
  <si>
    <t>Bolsa Courier Compostable Materiactiva</t>
  </si>
  <si>
    <t>Packaging</t>
  </si>
  <si>
    <t>Bolsas curier</t>
  </si>
  <si>
    <t>Max</t>
  </si>
  <si>
    <t>Pack 15 Figuras Max</t>
  </si>
  <si>
    <t>Set 252 Bloques Max Dino Escape En Huevo De Zuru</t>
  </si>
  <si>
    <t>Set 253 Bloques Max En Balde</t>
  </si>
  <si>
    <t>Set 310 Bloques Max Dino Escape En Huevo De Zuru</t>
  </si>
  <si>
    <t>Set 321 Bloques Max Estacion De Policia</t>
  </si>
  <si>
    <t>Set 571 Bloques Mas Dini Escape En Caja De Zuru</t>
  </si>
  <si>
    <t>Set De 100 Bloques Max</t>
  </si>
  <si>
    <t>Metal Machines</t>
  </si>
  <si>
    <t>Playset Casco Speed Hero Metal Machines</t>
  </si>
  <si>
    <t>Michelin</t>
  </si>
  <si>
    <t>N868</t>
  </si>
  <si>
    <t>Neumatico Michelin 29x2.60 Force Am2 Comp</t>
  </si>
  <si>
    <t>Micro</t>
  </si>
  <si>
    <t>MMD088</t>
  </si>
  <si>
    <t>Scooter Maxi Deluxe PRO Gris-Aqua</t>
  </si>
  <si>
    <t>MMD100</t>
  </si>
  <si>
    <t>Scooter Maxi Niños Deluxe Plegable LED Morado</t>
  </si>
  <si>
    <t>MMD024</t>
  </si>
  <si>
    <t>Scooter Maxi Niños Deluxe Amarillo</t>
  </si>
  <si>
    <t>MMD072</t>
  </si>
  <si>
    <t>Scooter Maxi Niños Deluxe Azul Marino</t>
  </si>
  <si>
    <t>MMD122</t>
  </si>
  <si>
    <t>Scooter Maxi Niños Deluxe ECO Verde</t>
  </si>
  <si>
    <t>MMD060</t>
  </si>
  <si>
    <t>Scooter Maxi Niños Deluxe Gris Volcano</t>
  </si>
  <si>
    <t>MMD083</t>
  </si>
  <si>
    <t>Scooter Maxi Niños Deluxe LED Azul Marino</t>
  </si>
  <si>
    <t>MMD144</t>
  </si>
  <si>
    <t>Scooter Maxi Niños Deluxe LED Menta</t>
  </si>
  <si>
    <t>MMD066</t>
  </si>
  <si>
    <t>Scooter Maxi Niños Deluxe LED Morado</t>
  </si>
  <si>
    <t>MMD068</t>
  </si>
  <si>
    <t>Scooter Maxi Niños Deluxe LED Rojo</t>
  </si>
  <si>
    <t>MMD077</t>
  </si>
  <si>
    <t>Scooter Maxi Niños Deluxe LED Rosado</t>
  </si>
  <si>
    <t>MMD070</t>
  </si>
  <si>
    <t>Scooter Maxi Niños Deluxe Menta</t>
  </si>
  <si>
    <t>MMD025</t>
  </si>
  <si>
    <t>Scooter Maxi Niños Deluxe Morado</t>
  </si>
  <si>
    <t>MMD069</t>
  </si>
  <si>
    <t>Scooter Maxi Niños Deluxe Negro Gris</t>
  </si>
  <si>
    <t>MMD092</t>
  </si>
  <si>
    <t>Scooter Maxi Niños Deluxe Plegable LED Aqua</t>
  </si>
  <si>
    <t>MMD099</t>
  </si>
  <si>
    <t>Scooter Maxi Niños Deluxe Plegable LED Azul Marino</t>
  </si>
  <si>
    <t>MMD094</t>
  </si>
  <si>
    <t>Scooter Maxi Niños Deluxe Plegable LED Gris Volcano</t>
  </si>
  <si>
    <t>MMD098</t>
  </si>
  <si>
    <t>Scooter Maxi Niños Deluxe Plegable LED Rojo</t>
  </si>
  <si>
    <t>MMD096</t>
  </si>
  <si>
    <t>Scooter Maxi Niños Deluxe Plegable LED Shocking Pink</t>
  </si>
  <si>
    <t>MMD097</t>
  </si>
  <si>
    <t>Scooter Maxi Niños Deluxe Plegable LED Verde Petróleo</t>
  </si>
  <si>
    <t>MMD091</t>
  </si>
  <si>
    <t>Scooter Maxi Niños Deluxe PRO Morado</t>
  </si>
  <si>
    <t>MMD087</t>
  </si>
  <si>
    <t>Scooter Maxi Niños Deluxe PRO Negro</t>
  </si>
  <si>
    <t>MMD090</t>
  </si>
  <si>
    <t>Scooter Maxi Niños Deluxe PRO Rose</t>
  </si>
  <si>
    <t>MMD089</t>
  </si>
  <si>
    <t>Scooter Maxi Niños Deluxe PRO Verde-Gris</t>
  </si>
  <si>
    <t>MMD026</t>
  </si>
  <si>
    <t>Scooter Maxi Niños Deluxe Rojo</t>
  </si>
  <si>
    <t>MMD021</t>
  </si>
  <si>
    <t>Scooter Maxi Niños Deluxe Rosado</t>
  </si>
  <si>
    <t>MMD035</t>
  </si>
  <si>
    <t>Scooter Maxi Niños Deluxe Shocking Pink</t>
  </si>
  <si>
    <t>MMD022</t>
  </si>
  <si>
    <t>Scooter Maxi Niños Deluxe Verde</t>
  </si>
  <si>
    <t>MMD045</t>
  </si>
  <si>
    <t>Scooter Maxi Niños Deluxe Verde Petroleo</t>
  </si>
  <si>
    <t>MMD005</t>
  </si>
  <si>
    <t>Scooter Mini Niños Deluxe Amarillo</t>
  </si>
  <si>
    <t>MMD001</t>
  </si>
  <si>
    <t>Scooter Mini Niños Deluxe Aqua</t>
  </si>
  <si>
    <t>MMD006</t>
  </si>
  <si>
    <t>Scooter Mini Niños Deluxe Azul</t>
  </si>
  <si>
    <t>MMD119</t>
  </si>
  <si>
    <t>Scooter Mini Niños Deluxe ECO Verde</t>
  </si>
  <si>
    <t>MMD055</t>
  </si>
  <si>
    <t>Scooter Mini Niños Deluxe Ice Blue</t>
  </si>
  <si>
    <t>MMD037</t>
  </si>
  <si>
    <t>Scooter Mini Niños Deluxe Lavanda</t>
  </si>
  <si>
    <t>MMD053</t>
  </si>
  <si>
    <t>Scooter Mini Niños Deluxe LED Amarillo</t>
  </si>
  <si>
    <t>MMD076</t>
  </si>
  <si>
    <t>Scooter Mini Niños Deluxe LED Aqua</t>
  </si>
  <si>
    <t>MMD142</t>
  </si>
  <si>
    <t>Scooter Mini Niños Deluxe LED Azul</t>
  </si>
  <si>
    <t>MMD131</t>
  </si>
  <si>
    <t>Scooter Mini Niños Deluxe LED Magic Aqua</t>
  </si>
  <si>
    <t>MMD129</t>
  </si>
  <si>
    <t>Scooter Mini Niños Deluxe LED Magic Morado</t>
  </si>
  <si>
    <t>MMD130</t>
  </si>
  <si>
    <t>Scooter Mini Niños Deluxe LED Magic Rosado</t>
  </si>
  <si>
    <t>MMD141</t>
  </si>
  <si>
    <t>Scooter Mini Niños Deluxe LED Morado</t>
  </si>
  <si>
    <t>MMD052</t>
  </si>
  <si>
    <t>Scooter Mini Niños Deluxe LED Rojo</t>
  </si>
  <si>
    <t>MMD075</t>
  </si>
  <si>
    <t>Scooter Mini Niños Deluxe LED Rosado</t>
  </si>
  <si>
    <t>MMD004</t>
  </si>
  <si>
    <t>Scooter Mini Niños Deluxe Morado</t>
  </si>
  <si>
    <t>MMD002</t>
  </si>
  <si>
    <t>Scooter Mini Niños Deluxe Verde</t>
  </si>
  <si>
    <t>SA0177</t>
  </si>
  <si>
    <t>Scooter Niños Sprite Stripe Azul</t>
  </si>
  <si>
    <t>SA0137</t>
  </si>
  <si>
    <t>Scooter Niños Sprite Stripe Morado</t>
  </si>
  <si>
    <t>SA0190</t>
  </si>
  <si>
    <t>Scooter Freestyle Ramp Para Principiantes Negro</t>
  </si>
  <si>
    <t>SA0034</t>
  </si>
  <si>
    <t>Scooter para Adultos Black</t>
  </si>
  <si>
    <t>SA0211</t>
  </si>
  <si>
    <t>Scooter para Adultos Speed Deluxe CLAY</t>
  </si>
  <si>
    <t>SA0122</t>
  </si>
  <si>
    <t>Scooter para Adultos Speed+ Menta</t>
  </si>
  <si>
    <t>SA0142</t>
  </si>
  <si>
    <t>Scooter para Adultos Speed+ Pure Silver</t>
  </si>
  <si>
    <t>SA0156</t>
  </si>
  <si>
    <t>Scooter para Adultos Suspension</t>
  </si>
  <si>
    <t>MiDeer</t>
  </si>
  <si>
    <t>MD2094</t>
  </si>
  <si>
    <t>Juguemos Con Stickers Nivel 1</t>
  </si>
  <si>
    <t>MD2095</t>
  </si>
  <si>
    <t>Juguemos Con Stickers Nivel 2</t>
  </si>
  <si>
    <t>MD1048</t>
  </si>
  <si>
    <t>Adivinemos Que Es? Juego De Mesa</t>
  </si>
  <si>
    <t>CT7036</t>
  </si>
  <si>
    <t>Level Up Puzzle Nivel 5 Mundo De Cuentos De Hadas</t>
  </si>
  <si>
    <t>CT7018</t>
  </si>
  <si>
    <t>Level Up Puzzles Nivel 1 Animales 10 Puzzles</t>
  </si>
  <si>
    <t>CT7032</t>
  </si>
  <si>
    <t>Level Up Puzzles Nivel 1 Vehiculos 8 Puzzles</t>
  </si>
  <si>
    <t>CT7019</t>
  </si>
  <si>
    <t>Level Up Puzzles Nivel 2 Cuatro Estaciones 4 Puzzles</t>
  </si>
  <si>
    <t>CT7021</t>
  </si>
  <si>
    <t>Level Up Puzzles Nivel 3 Habitats Naturales 3 Puzzles</t>
  </si>
  <si>
    <t>CT7022</t>
  </si>
  <si>
    <t>Level Up Puzzles Nivel 4 Vehiculos 3 Puzzles</t>
  </si>
  <si>
    <t>MD3106</t>
  </si>
  <si>
    <t>Level Up Puzzles Nivel 5 Tour De Aventuras, 3 Puzzles</t>
  </si>
  <si>
    <t>CT7024</t>
  </si>
  <si>
    <t>Level Up Puzzles Nivel 6 Imaginación 2 Puzzles</t>
  </si>
  <si>
    <t>CT7025</t>
  </si>
  <si>
    <t>Level Up Puzzles Nivel 7 Geografía Humana 2 Puzzles</t>
  </si>
  <si>
    <t>MD3098</t>
  </si>
  <si>
    <t>Puzzle 104Pcs Maleta Cuentos</t>
  </si>
  <si>
    <t>MD3026</t>
  </si>
  <si>
    <t>Puzzle 104Pcs Maleta Dinosaurios</t>
  </si>
  <si>
    <t>CT7016</t>
  </si>
  <si>
    <t>Puzzle 150Pcs Redondo Animales Alrededor Del Mundo</t>
  </si>
  <si>
    <t>CT7014</t>
  </si>
  <si>
    <t>Puzzle 150Pcs Redondo Un Dia En El Bosque</t>
  </si>
  <si>
    <t>CT7015</t>
  </si>
  <si>
    <t>Puzzle 150Pcs Redondo Vagando En El Espacio</t>
  </si>
  <si>
    <t>MD0078-1</t>
  </si>
  <si>
    <t>Puzzle 25Pcs Mi Primer Puzzle Progresivo Animales</t>
  </si>
  <si>
    <t>Puzzle 25Pcs Mi Primer Puzzle Progresivo Vehículos</t>
  </si>
  <si>
    <t>Puzzle 280Pcs Con Forma, Dinosaurios</t>
  </si>
  <si>
    <t>Puzzle 280Pcs Con Forma, Sueño De Elefante</t>
  </si>
  <si>
    <t>MD3035</t>
  </si>
  <si>
    <t>Puzzle 30Pcs Redondo Profesiones</t>
  </si>
  <si>
    <t>MD3095</t>
  </si>
  <si>
    <t>Puzzle 500Pcs, Fiesta De Disfraces</t>
  </si>
  <si>
    <t>MD3125</t>
  </si>
  <si>
    <t>Puzzle Carnaval 528 Pcs</t>
  </si>
  <si>
    <t>Puzzle Con Forma Cohete Espacial</t>
  </si>
  <si>
    <t>Puzzle Con Forma Fabrica De Robot</t>
  </si>
  <si>
    <t>MD3078</t>
  </si>
  <si>
    <t>Puzzle Maleta Mi Garage 104Pcs</t>
  </si>
  <si>
    <t>MD3027</t>
  </si>
  <si>
    <t>Puzzle Maleta Mi Mundo 100Pcs</t>
  </si>
  <si>
    <t>MD3110</t>
  </si>
  <si>
    <t>Puzzle Maleta Oceano 104Pcs</t>
  </si>
  <si>
    <t>Puzzle Redondo Mi Viaje En El Tiempo 25Pcs</t>
  </si>
  <si>
    <t>MD2076</t>
  </si>
  <si>
    <t>Juego Construcción De Caminos</t>
  </si>
  <si>
    <t>MD1082</t>
  </si>
  <si>
    <t>Bloques Coloridos</t>
  </si>
  <si>
    <t>MD2086</t>
  </si>
  <si>
    <t>Juego Adivina El Animal</t>
  </si>
  <si>
    <t>CT2151</t>
  </si>
  <si>
    <t>Juego Conecta Los Puntos Nivel 2</t>
  </si>
  <si>
    <t>Juego De Enlace Animales</t>
  </si>
  <si>
    <t>Juego De Lógica Diversión De Monstruos</t>
  </si>
  <si>
    <t>MD1041</t>
  </si>
  <si>
    <t>Juego De Patrones E Imaginación Magnetico</t>
  </si>
  <si>
    <t>Juego De Transporte Magnético</t>
  </si>
  <si>
    <t>CT7026</t>
  </si>
  <si>
    <t>Linterna Proyector De Cuentos Y Estrellas</t>
  </si>
  <si>
    <t>Linterna Proyectora De Cuentos</t>
  </si>
  <si>
    <t>Scratch Art Card, Brilla Constelaciones</t>
  </si>
  <si>
    <t>MD4127</t>
  </si>
  <si>
    <t>Set De Washi Tape</t>
  </si>
  <si>
    <t>MD1032</t>
  </si>
  <si>
    <t>Tarjetas Abecedario Escribir Y Borrar</t>
  </si>
  <si>
    <t>Tarjetas Números, Escribir Y Borrar</t>
  </si>
  <si>
    <t>Tarjetas Sumas, Escribir Y Borrar</t>
  </si>
  <si>
    <t>MD1015</t>
  </si>
  <si>
    <t>Set Stickers Reutilizables Animales</t>
  </si>
  <si>
    <t>MD1016</t>
  </si>
  <si>
    <t>Set Stickers Reutilizables Medios De Transportes</t>
  </si>
  <si>
    <t>Set Stickers Reutilizables, La Vida Es Divertida</t>
  </si>
  <si>
    <t>MD4062</t>
  </si>
  <si>
    <t>Stickers Geometricos Animales</t>
  </si>
  <si>
    <t>Stickers Geometricos Oceano</t>
  </si>
  <si>
    <t>Mini Brands</t>
  </si>
  <si>
    <t>Bola Mini Brands Con 5 Sorpresas Disney Serie 3</t>
  </si>
  <si>
    <t>Bola Mini Brands Con 5 Sorpresas Master Chef</t>
  </si>
  <si>
    <t>Bola Mini Toys Con 5 Sorpresas De Zuru Serie 3</t>
  </si>
  <si>
    <t>Minnie Cosmeticos</t>
  </si>
  <si>
    <t>Cosmetiquero 2 Pisos Minnie</t>
  </si>
  <si>
    <t>Cosmetiquero 3D Expandible Minnie</t>
  </si>
  <si>
    <t>Set Circular Con Tres Pisos De Cosmeticos Y Espejo Minnie</t>
  </si>
  <si>
    <t>Antiparra Leatt
 Velocity 4.0 MTB Flame
 Clear 0,83</t>
  </si>
  <si>
    <t>Banano Evoc Hip
 Pouch Black</t>
  </si>
  <si>
    <t>Casco Leatt
 MTB Gravity 4.0 V23
 Stealth XL 61-62cm</t>
  </si>
  <si>
    <t>Jofa Leatt
 Protector Pechera 3.5
 Blanco XL</t>
  </si>
  <si>
    <t>Jofa Protector
 Leatt 3.5 Blk XXL</t>
  </si>
  <si>
    <t>Pantalon Leatt
 MTB Gravity 4.0- XXL /
 US 38 / EU 56 Blk</t>
  </si>
  <si>
    <t>Rodillera 3DF
 5.0 Wht/Blk #L/XL</t>
  </si>
  <si>
    <t>Shorts Leatt
 MTB Trail 2.0
 XXL/US38/EU56 Blk</t>
  </si>
  <si>
    <t>Tapabarros
 Topeak Delantero DFlash
 FS</t>
  </si>
  <si>
    <t>Möbi</t>
  </si>
  <si>
    <t>Stellö, Juego De Mesa Estrategia</t>
  </si>
  <si>
    <t>Möbi Kids Juego Para Aprender Números Y Operaciones</t>
  </si>
  <si>
    <t>Wigloo, Juguete Sensorial, Mordedor</t>
  </si>
  <si>
    <t>ZIP1</t>
  </si>
  <si>
    <t>Zippee Juguete Sensorial</t>
  </si>
  <si>
    <t>Monoi Tiki Tahiti</t>
  </si>
  <si>
    <t>ETOR</t>
  </si>
  <si>
    <t>Aceite Corporal Elixir Oro Tiaré</t>
  </si>
  <si>
    <t>Aceites corporales</t>
  </si>
  <si>
    <t>MHP120</t>
  </si>
  <si>
    <t>Aceite Corporal Hidratante Reparador Pitate 120ml</t>
  </si>
  <si>
    <t>GELDVA</t>
  </si>
  <si>
    <t>Gel De Ducha 250ml Vainilla</t>
  </si>
  <si>
    <t>MAAV</t>
  </si>
  <si>
    <t>Aceite Facial Regenerador Anti Edad</t>
  </si>
  <si>
    <t>Mouvair</t>
  </si>
  <si>
    <t>Freidora de Aire 6 L Negro Clear Fry</t>
  </si>
  <si>
    <t>Freidora de Aire 6 L Verde Fry</t>
  </si>
  <si>
    <t>Hervidor Eléctrico con Control de Temperatura Negro</t>
  </si>
  <si>
    <t>MS02</t>
  </si>
  <si>
    <t>Hervidor Eléctrico con Control de Temperatura Verde</t>
  </si>
  <si>
    <t>Mudpuppy</t>
  </si>
  <si>
    <t>Juego De Mesa Aventura De Un Pingüino En Un Iceberg</t>
  </si>
  <si>
    <t>Juego De Mesa Chomp Champ</t>
  </si>
  <si>
    <t>Juego De Mesa Encuentra A Los Amigos Del Bosque</t>
  </si>
  <si>
    <t>Juego De Mesa Fiesta De Monos En El Bosque</t>
  </si>
  <si>
    <t>Juego De Mesa Safari De Leones</t>
  </si>
  <si>
    <t>2 Puzzles Con Forma 650Pcs Queen Of The Stacks</t>
  </si>
  <si>
    <t>2 Puzzles Con Forma 850Pcs Christian Lacroix</t>
  </si>
  <si>
    <t>Puzzle 1000 Pcs Be Kind</t>
  </si>
  <si>
    <t>Puzzle 1000Pcs Astrologia Con Aluminio</t>
  </si>
  <si>
    <t>Puzzle 1000Pcs Houseplant Jungle</t>
  </si>
  <si>
    <t>Puzzle 1000Pcs Jazz</t>
  </si>
  <si>
    <t>Puzzle 1000Pcs Keep Going</t>
  </si>
  <si>
    <t>Puzzle 1000Pcs Lapices Vintage Con Aluminio</t>
  </si>
  <si>
    <t>Puzzle 1000Pcs Now House Jonathan A.</t>
  </si>
  <si>
    <t>Puzzle 1000Pcs Todos Son Bienvenidos</t>
  </si>
  <si>
    <t>Puzzle 1000Pcs Tu Mundo</t>
  </si>
  <si>
    <t>Puzzle 1000Pcs Vida Del Oceano</t>
  </si>
  <si>
    <t>Puzzle 1000Pcs, Club De Lectura</t>
  </si>
  <si>
    <t>Puzzle 100Pcs Brilla En La Oscuridad Bajo El Mar</t>
  </si>
  <si>
    <t>Puzzle 100Pcs Brilla En La Oscuridad Dinosaurios</t>
  </si>
  <si>
    <t>Puzzle 100Pcs Con Aluminio Tiburones</t>
  </si>
  <si>
    <t>Puzzle 100Pcs Doble Dinosaurios</t>
  </si>
  <si>
    <t>Puzzle 100Pcs Doble Mundo Animal</t>
  </si>
  <si>
    <t>Puzzle 100Pcs Doble Perros Y Gatos</t>
  </si>
  <si>
    <t>Puzzle 100Pcs Glitter Sirenas</t>
  </si>
  <si>
    <t>Puzzle 100Pcs Que Brilla En La Oscuridad, La Selva</t>
  </si>
  <si>
    <t>Puzzle 12Pcs En Estuche Animales Del Zoo</t>
  </si>
  <si>
    <t>Puzzle 12Pcs En Estuche Bailarinas</t>
  </si>
  <si>
    <t>Puzzle 12Pcs En Estuche Bajo El Mar</t>
  </si>
  <si>
    <t>Puzzle 12Pcs En Estuche Castillo De Princesas</t>
  </si>
  <si>
    <t>Puzzle 12Pcs En Estuche Espacio Exterior</t>
  </si>
  <si>
    <t>Puzzle 12Pcs En Estuche Parque Dinosaurio</t>
  </si>
  <si>
    <t>Puzzle 300Pcs Con Forma Bosque</t>
  </si>
  <si>
    <t>Puzzle 300Pcs Con Forma Dinosaurios</t>
  </si>
  <si>
    <t>Puzzle 300Pcs Con Forma Espacio Exterior</t>
  </si>
  <si>
    <t>Puzzle 300Pcs Con Forma Oceano</t>
  </si>
  <si>
    <t>Puzzle 300Pcs Con Forma Safari</t>
  </si>
  <si>
    <t>Puzzle 300Pcs Con Forma Selva</t>
  </si>
  <si>
    <t>Puzzle 300Pcs Elefante Asiático Peligro Extinción</t>
  </si>
  <si>
    <t>Puzzle 300Pcs Perezoso Pigmeo Peligro De Extinción</t>
  </si>
  <si>
    <t>Puzzle 36Pcs En Bolso Unicornios Mágicos</t>
  </si>
  <si>
    <t>Puzzle 42Pcs Con Dibujos Secretos Espacio Exterior</t>
  </si>
  <si>
    <t>Puzzle 42Pcs Dibujos Secretos Castillo Unicornio</t>
  </si>
  <si>
    <t>Puzzle 500Pcs Alcachofa Floral</t>
  </si>
  <si>
    <t>Puzzle 500Pcs Animales De La Selva</t>
  </si>
  <si>
    <t>Puzzle 500Pcs Doble, Monet</t>
  </si>
  <si>
    <t>Puzzle 500Pcs Escarabajos</t>
  </si>
  <si>
    <t>Puzzle 500Pcs Flores De Andy Warhol</t>
  </si>
  <si>
    <t>Puzzle 500Pcs Little Feminist</t>
  </si>
  <si>
    <t>Puzzle 500Pcs Mariposas</t>
  </si>
  <si>
    <t>Puzzle 500Pcs Ojos En El Jardin</t>
  </si>
  <si>
    <t>Puzzle 500Pcs Osos Perezosos</t>
  </si>
  <si>
    <t>Puzzle 500Pcs Paraiso De Papel</t>
  </si>
  <si>
    <t>Puzzle 500Pcs Que Brilla En La Oscuridad Oceano</t>
  </si>
  <si>
    <t>Puzzle 500Pcs Que Brilla En La Oscuridad Selva</t>
  </si>
  <si>
    <t>Puzzle 500Pcs Safari Pintado</t>
  </si>
  <si>
    <t>Puzzle 500Pcs Unicornio Leyendo</t>
  </si>
  <si>
    <t>Puzzle 60Pcs Rascar Y Oler Frutas Cosmicas</t>
  </si>
  <si>
    <t>Puzzle 60Pcs Rascar Y Oler Sueños De Unicornio</t>
  </si>
  <si>
    <t>Puzzle 70Pcs Geografia Sistema Solar</t>
  </si>
  <si>
    <t>Puzzle 75Pcs Lenticular Rugido De Dinosaurio</t>
  </si>
  <si>
    <t>Puzzle 75Pcs Lenticular Unicornio Magico</t>
  </si>
  <si>
    <t>Puzzle 78Pcs Geografia Mapa Del Mundo</t>
  </si>
  <si>
    <t>Puzzle 80Pcs Geografía Dinosaurios</t>
  </si>
  <si>
    <t>Tigre Siberiano 300 Pcs Peligro De Extincion</t>
  </si>
  <si>
    <t>Rollo De Actividades Animales De La Selva</t>
  </si>
  <si>
    <t>Rollo De Actividades Dinosaurios</t>
  </si>
  <si>
    <t>Almacenaje Gluky</t>
  </si>
  <si>
    <t>Almacenamiento</t>
  </si>
  <si>
    <t>Bodega Bsale Gluky</t>
  </si>
  <si>
    <t>Entrada Mercaderia Gluky</t>
  </si>
  <si>
    <t>Salida Mercaderia Gluky</t>
  </si>
  <si>
    <t>Naroo</t>
  </si>
  <si>
    <t>NE3M</t>
  </si>
  <si>
    <t>Máscara Bandana Respirable Protección Uv E3 - Militar</t>
  </si>
  <si>
    <t>Bandanas</t>
  </si>
  <si>
    <t>NX9RGY</t>
  </si>
  <si>
    <t>Máscara Frio Reversible X9 Rojo</t>
  </si>
  <si>
    <t>NX9BG</t>
  </si>
  <si>
    <t>Máscara Frio Reversible X9 Verde</t>
  </si>
  <si>
    <t>NX5BG</t>
  </si>
  <si>
    <t>Máscara Proteccion Bacterias Reversible Con Cuello X5 Gris</t>
  </si>
  <si>
    <t>NX3FB</t>
  </si>
  <si>
    <t>PASAMONTAÑAS BALACLAVA QUICK DRY X3F- NEGRO</t>
  </si>
  <si>
    <t>NX5SB</t>
  </si>
  <si>
    <t>Máscara Deportiva Slim-Fit Sin Cuello Reversible Negra</t>
  </si>
  <si>
    <t>Mascarillas entrenamiento</t>
  </si>
  <si>
    <t>NX5SBG</t>
  </si>
  <si>
    <t>Máscara Deportiva Slim-Fit Sin Cuello Reversible Negrogris</t>
  </si>
  <si>
    <t>NX5sBB</t>
  </si>
  <si>
    <t>Máscara Deportiva Slim-Fit Sin Cuello Reversible Negrozul</t>
  </si>
  <si>
    <t>NF5sB</t>
  </si>
  <si>
    <t>MASCARA Anti-Bacterias FILTRANTE LAVABLE F5S E7</t>
  </si>
  <si>
    <t>NFU+BSM</t>
  </si>
  <si>
    <t>Máscara Anti-Bacterias Filtrante Lavable Fu+ S/M</t>
  </si>
  <si>
    <t>NE3B</t>
  </si>
  <si>
    <t>Máscara BANDANA RESPIRABLE PROTECCIÓN UV E3 - NEGRO</t>
  </si>
  <si>
    <t>NFU+COPPER</t>
  </si>
  <si>
    <t>Máscara Filtrante Antimicrobiana Lavable Fu+Copper-Negro M/L</t>
  </si>
  <si>
    <t>NFU+COPPER-S</t>
  </si>
  <si>
    <t>Máscara Filtrante Antimicrobiana Lavable Fu+Copper-Negro S/M</t>
  </si>
  <si>
    <t>NFU+BML</t>
  </si>
  <si>
    <t>MASCARA FILTRANTE LAVABLE PEQUEÑA FU+ - NEGRA M/L</t>
  </si>
  <si>
    <t>NX9BGY</t>
  </si>
  <si>
    <t>MASCARA FRIO REVERSIBLE X9 NEGROGRIS</t>
  </si>
  <si>
    <t>NX5BGY</t>
  </si>
  <si>
    <t>MASCARA REVERSIBLE CON CUELLO X5 Negra/Gris</t>
  </si>
  <si>
    <t>NatGeo</t>
  </si>
  <si>
    <t>Banano Ocean RPET Café</t>
  </si>
  <si>
    <t>Banano Rpet Ocean</t>
  </si>
  <si>
    <t>NGLTRN</t>
  </si>
  <si>
    <t>Maleta (L) 120Lt Transit</t>
  </si>
  <si>
    <t>Maleta (M) 79Lt Beige Cavern</t>
  </si>
  <si>
    <t>Maleta (M) 79Lt Black Cavern</t>
  </si>
  <si>
    <t>Maleta (M) 79Lt Grey Cavern</t>
  </si>
  <si>
    <t>Maleta (M) 85Lt Blue Transit</t>
  </si>
  <si>
    <t>NGMTRO</t>
  </si>
  <si>
    <t>Maleta (M) 85Lt Gold Transit</t>
  </si>
  <si>
    <t>NGMTRN</t>
  </si>
  <si>
    <t>Maleta (M) 85Lt Negro Transit</t>
  </si>
  <si>
    <t>Maleta (M) 85Lt Silver Transit</t>
  </si>
  <si>
    <t>Maleta (M) Rpet 71 Lts Blanco Balance</t>
  </si>
  <si>
    <t>Maleta (M) Rpet 71 Lts Negro Balance</t>
  </si>
  <si>
    <t>Maleta (M) Rpet 71 Lts Verde Balance</t>
  </si>
  <si>
    <t>NGLTRO</t>
  </si>
  <si>
    <t>Maleta 120 Lt Gris</t>
  </si>
  <si>
    <t>NGSCAVS</t>
  </si>
  <si>
    <t>Maleta Cabina (S) 47Lt Beige Cavern</t>
  </si>
  <si>
    <t>NGSCAVN</t>
  </si>
  <si>
    <t>Maleta Cabina (S) 47Lt Black Cavern</t>
  </si>
  <si>
    <t>NGSCAVG</t>
  </si>
  <si>
    <t>Maleta Cabina (S) 47Lt Grey Cavern</t>
  </si>
  <si>
    <t>Set De Maletas Transit</t>
  </si>
  <si>
    <t>NGSETTRT</t>
  </si>
  <si>
    <t>Set Maletas Turquesa</t>
  </si>
  <si>
    <t>Bolso/Mochila Save The Planet Pet Reciclado 12Lt</t>
  </si>
  <si>
    <t>Mochila 10 Lts. Protect The Wonder</t>
  </si>
  <si>
    <t>NG16086NEG</t>
  </si>
  <si>
    <t>Mochila Destination 40 Lts Con Protector De Lluvia</t>
  </si>
  <si>
    <t>Mochila Legend 13Lt</t>
  </si>
  <si>
    <t>Mochila Legend Café 13Lt</t>
  </si>
  <si>
    <t>Mochila Legend Negro 13Lt</t>
  </si>
  <si>
    <t>Mochila Mutation Rpet Impermeable 22Lt</t>
  </si>
  <si>
    <t>Mochila Mutation Rpet Impermeable Negro 22Lt</t>
  </si>
  <si>
    <t>Mochila Rpet Slot Canyon 27 Lts</t>
  </si>
  <si>
    <t>Mochila Rpet Slot Canyon 27 Negro Lts</t>
  </si>
  <si>
    <t>NG21632NEG</t>
  </si>
  <si>
    <t>Neceser De Viaje Rpet Colgante Atlantic</t>
  </si>
  <si>
    <t>Neceser New Explorer</t>
  </si>
  <si>
    <t>Neceser Rpet Mutation</t>
  </si>
  <si>
    <t>Neceser Rpet Mutation Negro</t>
  </si>
  <si>
    <t>Nature Spell</t>
  </si>
  <si>
    <t>Aceite Argan 150Ml</t>
  </si>
  <si>
    <t>Aceite Castor 150Ml</t>
  </si>
  <si>
    <t>Aceite Go For Gold 100Ml</t>
  </si>
  <si>
    <t>ACEITE HEMP TREATMENT 150ML</t>
  </si>
  <si>
    <t>Aceite Moringa 150Ml</t>
  </si>
  <si>
    <t>Aceite Shea Nut 150Ml</t>
  </si>
  <si>
    <t>Aceite Vitamin E 150Ml</t>
  </si>
  <si>
    <t>Crema Facial 1% Bakuchiol Wakame</t>
  </si>
  <si>
    <t>Crema Facial Vitamin C + Pineapple</t>
  </si>
  <si>
    <t>Exfoliante Facial Brown Sugar &amp; Coffee 100Ml</t>
  </si>
  <si>
    <t>Mascarilla Facial Activated Charcoal 100Ml</t>
  </si>
  <si>
    <t>Mascarilla Facial Pink Clay and Rose Pore Perfection</t>
  </si>
  <si>
    <t>Serum Anti Edad Hyalauronic Acid 30Ml</t>
  </si>
  <si>
    <t>Serum Iluminador Vitamin C 30Ml</t>
  </si>
  <si>
    <t>Serum Ojos For Dark Circles</t>
  </si>
  <si>
    <t>Serum Suavizante Natural Aha 30Ml</t>
  </si>
  <si>
    <t>Cepillo Limpieza Parrilla 43 Cm</t>
  </si>
  <si>
    <t>Estuche Parrillero 5 Piezas Neka</t>
  </si>
  <si>
    <t>Set De 8 Fierritos Para Parrilla</t>
  </si>
  <si>
    <t>Ventilador Manual Parrilla Acero Inox. 25 Cm</t>
  </si>
  <si>
    <t>Nen</t>
  </si>
  <si>
    <t>NEN023</t>
  </si>
  <si>
    <t>Sandalias de Verado Rosado 29</t>
  </si>
  <si>
    <t>Sandalias</t>
  </si>
  <si>
    <t>NEN006</t>
  </si>
  <si>
    <t>Sandalias de Verano Arena 24</t>
  </si>
  <si>
    <t>NEN007</t>
  </si>
  <si>
    <t>Sandalias de Verano Arena 25</t>
  </si>
  <si>
    <t>NEN008</t>
  </si>
  <si>
    <t>Sandalias de Verano Arena 26</t>
  </si>
  <si>
    <t>NEN009</t>
  </si>
  <si>
    <t>Sandalias de Verano Arena 27</t>
  </si>
  <si>
    <t>NEN010</t>
  </si>
  <si>
    <t>Sandalias de Verano Arena 28</t>
  </si>
  <si>
    <t>NEN011</t>
  </si>
  <si>
    <t>Sandalias de Verano Arena 29</t>
  </si>
  <si>
    <t>NEN012</t>
  </si>
  <si>
    <t>Sandalias de Verano Gris 24</t>
  </si>
  <si>
    <t>NEN013</t>
  </si>
  <si>
    <t>Sandalias de Verano Gris 25</t>
  </si>
  <si>
    <t>NEN014</t>
  </si>
  <si>
    <t>Sandalias de Verano Gris 26</t>
  </si>
  <si>
    <t>NEN015</t>
  </si>
  <si>
    <t>Sandalias de Verano Gris 27</t>
  </si>
  <si>
    <t>NEN016</t>
  </si>
  <si>
    <t>Sandalias de Verano Gris 28</t>
  </si>
  <si>
    <t>NEN017</t>
  </si>
  <si>
    <t>Sandalias de Verano Gris 29</t>
  </si>
  <si>
    <t>NEN018</t>
  </si>
  <si>
    <t>Sandalias de Verano Rosado 24</t>
  </si>
  <si>
    <t>NEN019</t>
  </si>
  <si>
    <t>Sandalias de Verano Rosado 25</t>
  </si>
  <si>
    <t>NEN020</t>
  </si>
  <si>
    <t>Sandalias de Verano Rosado 26</t>
  </si>
  <si>
    <t>NEN021</t>
  </si>
  <si>
    <t>Sandalias de Verano Rosado 27</t>
  </si>
  <si>
    <t>NEN022</t>
  </si>
  <si>
    <t>Sandalias de Verano Rosado 28</t>
  </si>
  <si>
    <t>NEN024</t>
  </si>
  <si>
    <t>Poncho Toalla Gris Talla 1-3</t>
  </si>
  <si>
    <t>Toallas niños</t>
  </si>
  <si>
    <t>NEN025</t>
  </si>
  <si>
    <t>Poncho Toalla Gris Talla 4-6</t>
  </si>
  <si>
    <t>NEN026</t>
  </si>
  <si>
    <t>Poncho Toalla Rosado Talla 1-3</t>
  </si>
  <si>
    <t>NEN027</t>
  </si>
  <si>
    <t>Poncho Toalla Rosado Talla 4-6</t>
  </si>
  <si>
    <t>NEN004</t>
  </si>
  <si>
    <t>Pack Vajilla Azul</t>
  </si>
  <si>
    <t>NEN005</t>
  </si>
  <si>
    <t>Pack Vajilla Coral</t>
  </si>
  <si>
    <t>NEN002</t>
  </si>
  <si>
    <t>Alfombra De Goma Eva Beige/Naranjo</t>
  </si>
  <si>
    <t>Juegos Bebé</t>
  </si>
  <si>
    <t>Alfombras para bebés</t>
  </si>
  <si>
    <t>NEN001</t>
  </si>
  <si>
    <t>Alfombra De Goma Eva Rosado/Amarillo</t>
  </si>
  <si>
    <t>Nenuco</t>
  </si>
  <si>
    <t>Muñeca Nenuco 5 Funciones De 30 cm Modelos Surtidos</t>
  </si>
  <si>
    <t>Nenuco Cuidado Natural</t>
  </si>
  <si>
    <t>Nenuco Damos Un Paseo</t>
  </si>
  <si>
    <t>Noisy</t>
  </si>
  <si>
    <t>Kit Batería Para Niños 3Pcs Plateado</t>
  </si>
  <si>
    <t>Baterías</t>
  </si>
  <si>
    <t>Kit Batería Para Niños 3Pcs Rojo</t>
  </si>
  <si>
    <t>Kit Batería Para Niños 5Pcs Plateado</t>
  </si>
  <si>
    <t>Kit Batería Para Niños 5Pcs Rojo</t>
  </si>
  <si>
    <t>Batería Digital Kit NUX DM-1</t>
  </si>
  <si>
    <t>Baterías Digitales</t>
  </si>
  <si>
    <t>Batería Digital Kit NUX DM-1X</t>
  </si>
  <si>
    <t>Cajon Peruano Mini Tumbao - Zebra Natural</t>
  </si>
  <si>
    <t>Cajones Peruano</t>
  </si>
  <si>
    <t>Cajon Peruano Niño Tumbao - Azul</t>
  </si>
  <si>
    <t>Cajon Peruano Niño Tumbao - Verde Aqua</t>
  </si>
  <si>
    <t>Cajón Peruano Tumbao Mohogany Natural + Funda</t>
  </si>
  <si>
    <t>Cajón Peruano Tumbao Olive Wood Natural + Funda</t>
  </si>
  <si>
    <t>Cajón Peruano Tumbao Sapele Natural + Funda</t>
  </si>
  <si>
    <t>Cajón Peruano Tumbao Silkie Wood Natural 230 + Funda</t>
  </si>
  <si>
    <t>Cajón Peruano Tumbao Silkie Wood Natural 320 + Funda</t>
  </si>
  <si>
    <t>Cajón Peruano Tumbao Zebra Natural + Funda</t>
  </si>
  <si>
    <t>Cajón Peruano Tumbao Zebra Willow Natural + Funda</t>
  </si>
  <si>
    <t>Cajón Travel Tumbao Zebra Natural 50 Zebra</t>
  </si>
  <si>
    <t>Cajón Travel Tumbao Zebra Natural 60 Zebra</t>
  </si>
  <si>
    <t>Castañuela Travel Tumbao - Natural</t>
  </si>
  <si>
    <t>Castañuelas</t>
  </si>
  <si>
    <t>Guitarra Clásica 34'' Negra</t>
  </si>
  <si>
    <t>Guitarras</t>
  </si>
  <si>
    <t>Guitarra Clásica 36'' BK Bilbao</t>
  </si>
  <si>
    <t>Guitarra Clásica 39'' Bilbao</t>
  </si>
  <si>
    <t>Guitarra Clásica 39'' Nature 600 Bilbao</t>
  </si>
  <si>
    <t>Guitarra Clásica 39'' Nature Bilbao</t>
  </si>
  <si>
    <t>Guitarra Electroacústica Bilbao - Cuerpo Abeto Sólido</t>
  </si>
  <si>
    <t>Pedalera Procesador Guitarra NUX</t>
  </si>
  <si>
    <t>Metalófono 13 Notas Allegro - Aluminio</t>
  </si>
  <si>
    <t>Metalófono 13 Notas Allegro - Color</t>
  </si>
  <si>
    <t>Metalófono 15 Notas Allegro - Color</t>
  </si>
  <si>
    <t>Metalófono 22 Notas Allegro - Color</t>
  </si>
  <si>
    <t>Metalófono 25 Notas Allegro - Amarillo</t>
  </si>
  <si>
    <t>Metalófono 25 Notas Allegro - Azul</t>
  </si>
  <si>
    <t>Metalófono 25 Notas Allegro - Rosado</t>
  </si>
  <si>
    <t>Metalófono 25 Notas Deluxe Amarillo Allegro</t>
  </si>
  <si>
    <t>Metalófono 25 Notas Deluxe Azul Allegro</t>
  </si>
  <si>
    <t>Metalófono 25 Notas Deluxe Rosado Allegro</t>
  </si>
  <si>
    <t>Metalófono 29 Notas Allegro - Lira Cromático Aluminio</t>
  </si>
  <si>
    <t>Metalófono 8 Notas Allegro - Aluminio</t>
  </si>
  <si>
    <t>Metalófono 8 Notas Allegro - Color</t>
  </si>
  <si>
    <t>Metalófono 8 Notas Allegro - Curvo</t>
  </si>
  <si>
    <t>Metalófono 8 Notas Allegro - Steel</t>
  </si>
  <si>
    <t>Metalófono 8 Notas Allegro G- Aluminio</t>
  </si>
  <si>
    <t>Metalófono Cromático 25 Tonos Color Allegro</t>
  </si>
  <si>
    <t>Pandero Medialuna Allegro - Amarillo</t>
  </si>
  <si>
    <t>Panderos</t>
  </si>
  <si>
    <t>Pandero Medialuna Allegro - Azul</t>
  </si>
  <si>
    <t>Pandero Medialuna Allegro - Negro</t>
  </si>
  <si>
    <t>Pandero Medialuna Allegro - Rojo</t>
  </si>
  <si>
    <t>Pandero Medialuna Allegro - Verde</t>
  </si>
  <si>
    <t>Pandero Travel Tumbao - Madera Natural</t>
  </si>
  <si>
    <t>Pandero Travel Tumbao - Zebra Natural</t>
  </si>
  <si>
    <t>Piano Digital Negro NUX</t>
  </si>
  <si>
    <t>Pianos</t>
  </si>
  <si>
    <t>Piano Digital NUX Blanco</t>
  </si>
  <si>
    <t>Teclado 32 Notas Tonic</t>
  </si>
  <si>
    <t>Teclados</t>
  </si>
  <si>
    <t>Teclado 54 Notas Tonic</t>
  </si>
  <si>
    <t>Pack Ukelele Makala Concierto</t>
  </si>
  <si>
    <t>Ukeleles</t>
  </si>
  <si>
    <t>Pack Ukelele Makala Soprano</t>
  </si>
  <si>
    <t>Ukelele Concierto Caoba Kala</t>
  </si>
  <si>
    <t>Ukelele Hana Soprano Ukatrina</t>
  </si>
  <si>
    <t>Ukelele Kala Soprano</t>
  </si>
  <si>
    <t>Ukelele Soprano Blueink Kala</t>
  </si>
  <si>
    <t>Ukelele Soprano Blueyonder Kala</t>
  </si>
  <si>
    <t>Ukelele Soprano C/Binding Kala</t>
  </si>
  <si>
    <t>Ukelele Soprano Caoba Electroacústico Kala</t>
  </si>
  <si>
    <t>Ukelele Soprano Cherrybomb Kala</t>
  </si>
  <si>
    <t>Ukelele Soprano Dragonfruit Kala</t>
  </si>
  <si>
    <t>Ukelele Soprano Electroacústico Makala</t>
  </si>
  <si>
    <t>Ukelele Soprano Fluorescente Waterman</t>
  </si>
  <si>
    <t>Ukelele Soprano Frostbite Kala</t>
  </si>
  <si>
    <t>Ukelele Soprano Grasshopper Kala</t>
  </si>
  <si>
    <t>Ukelele Soprano Lochness Kala</t>
  </si>
  <si>
    <t>Ukelele Soprano Marmalade Kala</t>
  </si>
  <si>
    <t>Ukelele Soprano Pineapple Makala</t>
  </si>
  <si>
    <t>Ukelele Soprano Razdaz Kala</t>
  </si>
  <si>
    <t>Ukelele Soprano Taxicab Kala</t>
  </si>
  <si>
    <t>Ukelele Soprano Ultraviolet Kala</t>
  </si>
  <si>
    <t>Ukelele Tenor Electroacústico Kala</t>
  </si>
  <si>
    <t>Ukelele Waterman Concierto Negro</t>
  </si>
  <si>
    <t>Ukelele Waterman Soprano Aqua Verde</t>
  </si>
  <si>
    <t>Ukelele Waterman Soprano Matte Negro</t>
  </si>
  <si>
    <t>Ukelele Waterman Soprano Traslucent</t>
  </si>
  <si>
    <t>Nutcase</t>
  </si>
  <si>
    <t>Campanilla Bicicleta Baby Shark</t>
  </si>
  <si>
    <t>Campanillas</t>
  </si>
  <si>
    <t>Campanilla Bicicleta Brass</t>
  </si>
  <si>
    <t>Campanilla Bicicleta Captain</t>
  </si>
  <si>
    <t>Campanilla Bicicleta Defy Gravity</t>
  </si>
  <si>
    <t>Campanilla Bicicleta Fun flor All</t>
  </si>
  <si>
    <t>Campanilla Bicicleta Lightnin</t>
  </si>
  <si>
    <t>Campanilla Bicicleta Love Bug</t>
  </si>
  <si>
    <t>NBTH-1005</t>
  </si>
  <si>
    <t>Campanilla Bicicleta Niño Thumbdinger Silver Bling</t>
  </si>
  <si>
    <t>Campanilla Bicicleta Octoblossom</t>
  </si>
  <si>
    <t>Campanilla Bicicleta Silver</t>
  </si>
  <si>
    <t>Campanilla Bicicleta Sock Hop</t>
  </si>
  <si>
    <t>Campanilla Bicicleta Stars Are Born</t>
  </si>
  <si>
    <t>Campanilla Bicicleta Thumbdinge Brass</t>
  </si>
  <si>
    <t>Campanilla Bicicleta Thumbdinger Blackitty Black</t>
  </si>
  <si>
    <t>Campanilla Bicicleta Thumbdinger Blanco</t>
  </si>
  <si>
    <t>Campanilla Bicicleta Thumbdinger Dutch</t>
  </si>
  <si>
    <t>Campanilla Bicicleta Thumbdinger Silver</t>
  </si>
  <si>
    <t>Campanilla Bicicleta Thumbdinger Smoke</t>
  </si>
  <si>
    <t>Campanilla Bicicleta Tie Dye</t>
  </si>
  <si>
    <t>Campanilla Bicicleta Very Berry</t>
  </si>
  <si>
    <t>Casco Bicicleta Beach Life Gloss MIPS Talla M</t>
  </si>
  <si>
    <t>Cascos niños</t>
  </si>
  <si>
    <t>Casco Bicicleta Beach Life Gloss MIPS Talla S</t>
  </si>
  <si>
    <t>Casco Bicicleta City of Pearls Pearl MIPS Talla M</t>
  </si>
  <si>
    <t>Casco Bicicleta Dust for Prints Reflective MIPS Talla M</t>
  </si>
  <si>
    <t>Casco Bicicleta Fun Flor-All Gloss MIPS Talla M</t>
  </si>
  <si>
    <t>Casco Bicicleta Leather Bound Stripe Goss MIPS Talla M</t>
  </si>
  <si>
    <t>Casco Bicicleta Octoblossom Gloss MIPS Talla M</t>
  </si>
  <si>
    <t>Casco Bicicleta Polka Face Gloss MIPS Talla M</t>
  </si>
  <si>
    <t>Casco Bicicleta Street Onyx Solid Satin MIPS</t>
  </si>
  <si>
    <t>Casco Bicicleta Suit and Tie Matte Reflective MIPS Talla L</t>
  </si>
  <si>
    <t>Casco Bicicleta Suit and Tie Matte Reflective MIPS Talla M</t>
  </si>
  <si>
    <t>Casco Bicicleta Suit and Tie Matte Reflective MIPS Talla S</t>
  </si>
  <si>
    <t>Casco Bicicleta Sun Solid Gloss MIPS Talla M</t>
  </si>
  <si>
    <t>Casco Luces LED Vio Cabernet Matte MIPS Light Talla S/M</t>
  </si>
  <si>
    <t>Casco Luces LED Vio Kit Matte MIPS Light Talla L/XL</t>
  </si>
  <si>
    <t>Casco Luces LED Vio Kit Matte MIPS Light Talla S/M</t>
  </si>
  <si>
    <t>Casco Luces LED Vio Sky Matte MIPS Light Talla S/M</t>
  </si>
  <si>
    <t>OKO</t>
  </si>
  <si>
    <t>Botella C/Filtro 650 Ml Libre Bpa Rojo</t>
  </si>
  <si>
    <t>Bomba Filtración Survivor Proporciona Agua Limpia</t>
  </si>
  <si>
    <t>Filtros</t>
  </si>
  <si>
    <t>Filtro de Agua Nivel 2</t>
  </si>
  <si>
    <t>Filtro Nivel 1 Azul Proporciona Agua Limpia</t>
  </si>
  <si>
    <t>Filtro Nivel 1 Celeste Proporciona Agua Limpia</t>
  </si>
  <si>
    <t>Filtro Nivel 1, Naranjo. Proporciona Agua Limpia</t>
  </si>
  <si>
    <t>Filtro Nivel 1, Verde. Proporciona Agua Limpia</t>
  </si>
  <si>
    <t>Onson</t>
  </si>
  <si>
    <t>TCKOZESE</t>
  </si>
  <si>
    <t>Air Fryer Grill Ckozese 7L</t>
  </si>
  <si>
    <t>TCONSONGLA</t>
  </si>
  <si>
    <t>Freidora de Aire GLA-1006 12 Lts</t>
  </si>
  <si>
    <t>TCONSONJ30</t>
  </si>
  <si>
    <t>Aspiradora Robot J30 + WiFi</t>
  </si>
  <si>
    <t>Robots limpiadores</t>
  </si>
  <si>
    <t>TCONSONH5</t>
  </si>
  <si>
    <t>Robot Limpiavidrios H-05</t>
  </si>
  <si>
    <t>OnWheels</t>
  </si>
  <si>
    <t>OW-003</t>
  </si>
  <si>
    <t>Afirma Pantalon Amarillo</t>
  </si>
  <si>
    <t>Afirma pantalones</t>
  </si>
  <si>
    <t>OW-004</t>
  </si>
  <si>
    <t>Afirma Pantalon Blanco</t>
  </si>
  <si>
    <t>OW-001</t>
  </si>
  <si>
    <t>Afirma Pantalon Doble Amarillo</t>
  </si>
  <si>
    <t>OW-002</t>
  </si>
  <si>
    <t>Afirma Pantalon Doble Blanco</t>
  </si>
  <si>
    <t>OW-005</t>
  </si>
  <si>
    <t>Triangulo Reflectante Amarillo</t>
  </si>
  <si>
    <t>Reflectantes</t>
  </si>
  <si>
    <t>OW-006</t>
  </si>
  <si>
    <t>Triangulo Reflectante Blanco</t>
  </si>
  <si>
    <t>OW-026</t>
  </si>
  <si>
    <t>Triangulo Reflectante Naranjo</t>
  </si>
  <si>
    <t>OW-038</t>
  </si>
  <si>
    <t>Bolso Porta Celular para Bicicletas</t>
  </si>
  <si>
    <t>Accesorios bicicleta</t>
  </si>
  <si>
    <t>OW-031</t>
  </si>
  <si>
    <t>Bolso Porta celular para bicicletas New Z-CASE</t>
  </si>
  <si>
    <t>OWC-01</t>
  </si>
  <si>
    <t>Pulpo Malla Negro</t>
  </si>
  <si>
    <t>OW-6001</t>
  </si>
  <si>
    <t>Soporte Para Colgar BicicletaS con Ganchos</t>
  </si>
  <si>
    <t>OW-014</t>
  </si>
  <si>
    <t>Bolso Porta Bicicleta MTB</t>
  </si>
  <si>
    <t>Bolso Portabicicletas Plegable</t>
  </si>
  <si>
    <t>Alforja Bicicleta Ejecutiva Negra</t>
  </si>
  <si>
    <t>Alforjas</t>
  </si>
  <si>
    <t>OW-011</t>
  </si>
  <si>
    <t>Alforja Bicicleta On Wheels Notebook Negra 28 Litros</t>
  </si>
  <si>
    <t>OW-009</t>
  </si>
  <si>
    <t>Alforja Bicicleta Triple Negra</t>
  </si>
  <si>
    <t>OW-037Y</t>
  </si>
  <si>
    <t>Alforja Doble Bicicleta Impermeable Amarilla</t>
  </si>
  <si>
    <t>OW-037B</t>
  </si>
  <si>
    <t>Alforja Doble Bicicleta Impermeable Azul</t>
  </si>
  <si>
    <t>OW-037R</t>
  </si>
  <si>
    <t>Alforja Doble Bicicleta Impermeable Roja</t>
  </si>
  <si>
    <t>OW-010</t>
  </si>
  <si>
    <t>Alforja Doble Bicicleta Travesia Negra</t>
  </si>
  <si>
    <t>OW-008</t>
  </si>
  <si>
    <t>Bolso Alforja Bicicleta Doble Negra 40 Litros</t>
  </si>
  <si>
    <t>OWC-52R</t>
  </si>
  <si>
    <t>Bolso Impermeable Dos Posiciones Rojo</t>
  </si>
  <si>
    <t>OW-039B</t>
  </si>
  <si>
    <t>Bolso Triangulo Dos Posiciones</t>
  </si>
  <si>
    <t>OWC-52A</t>
  </si>
  <si>
    <t>Bolso Triangulo Impermeable Dos Posiciones Azul</t>
  </si>
  <si>
    <t>OW-016</t>
  </si>
  <si>
    <t>Bolso para SillÍn Bicicleta</t>
  </si>
  <si>
    <t>Bolsos Sillín</t>
  </si>
  <si>
    <t>OW-038Y</t>
  </si>
  <si>
    <t>Bolso para SillÍn Bicicleta Impermeable Amarillo</t>
  </si>
  <si>
    <t>OW-038B</t>
  </si>
  <si>
    <t>Bolso para SillÍn Bicicleta Impermeable Azul</t>
  </si>
  <si>
    <t>OW-038R</t>
  </si>
  <si>
    <t>Bolso para SillÍn Bicicleta Impermeable Rojo</t>
  </si>
  <si>
    <t>OW-037</t>
  </si>
  <si>
    <t>Bolso para SillÍn Bicicleta Wedege von Amarras</t>
  </si>
  <si>
    <t>OWC-51</t>
  </si>
  <si>
    <t>OW-25</t>
  </si>
  <si>
    <t>Cubre Mochila Impermeable</t>
  </si>
  <si>
    <t>OW-035B</t>
  </si>
  <si>
    <t>BOLSO PATIN NEGRO</t>
  </si>
  <si>
    <t>Bolsos Patin</t>
  </si>
  <si>
    <t>OW-035P</t>
  </si>
  <si>
    <t>BOLSO PATIN ROSADO</t>
  </si>
  <si>
    <t>OWC-52</t>
  </si>
  <si>
    <t>Bolso Delantero Scooter</t>
  </si>
  <si>
    <t>Bolsos Scooter</t>
  </si>
  <si>
    <t>OWC-50</t>
  </si>
  <si>
    <t>Bolso Para Scooter Electrico</t>
  </si>
  <si>
    <t>OW-902-253</t>
  </si>
  <si>
    <t>Casco Bicicleta Niña Luz Floreado Talla Xs</t>
  </si>
  <si>
    <t>OW-902-305</t>
  </si>
  <si>
    <t>Casco Bicicleta Niño Rojo Con Luz Talla Xs Onwheel</t>
  </si>
  <si>
    <t>OW-902P-S</t>
  </si>
  <si>
    <t>Casco Bicicleta Urbano Con Luz Morado Talla S</t>
  </si>
  <si>
    <t>OW-902A-L</t>
  </si>
  <si>
    <t>Casco Bicicleta Urbano Con Luz Negro Talla L</t>
  </si>
  <si>
    <t>OW-902A-M</t>
  </si>
  <si>
    <t>Casco Bicicleta Urbano Con Luz Negro Talla M</t>
  </si>
  <si>
    <t>OW-902A-S</t>
  </si>
  <si>
    <t>Casco Bicicleta Urbano Con Luz Negro Talla S</t>
  </si>
  <si>
    <t>Casco Bicicleta Urbano Luz Morado Talla M</t>
  </si>
  <si>
    <t>OW-902G-M</t>
  </si>
  <si>
    <t>Casco Celeste Talla M</t>
  </si>
  <si>
    <t>OW-902G-S</t>
  </si>
  <si>
    <t>Casco Celeste Talla S</t>
  </si>
  <si>
    <t>OW-612-HAWAII</t>
  </si>
  <si>
    <t>Casco Niño Niña Deportivo Hawaii Talla XS</t>
  </si>
  <si>
    <t>OW-912-GREEN</t>
  </si>
  <si>
    <t>Casco Niño Niña Deportivo Verde Talla XS</t>
  </si>
  <si>
    <t>Casco Sport Celeste</t>
  </si>
  <si>
    <t>OW-933-CPK-L</t>
  </si>
  <si>
    <t>OW-933-BL-L</t>
  </si>
  <si>
    <t>Casco Sport Negro Azul Talla L</t>
  </si>
  <si>
    <t>OW-933-BL-M</t>
  </si>
  <si>
    <t>Casco Sport Negro Azul Talla M</t>
  </si>
  <si>
    <t>OW-933-P-L</t>
  </si>
  <si>
    <t>Casco Sport Negro Morado Talla L</t>
  </si>
  <si>
    <t>OW-933-BO-L</t>
  </si>
  <si>
    <t>Casco Sport Negro Naranjo M (55-58Cm)</t>
  </si>
  <si>
    <t>OW-933-BO-M</t>
  </si>
  <si>
    <t>OW-933-BK-L</t>
  </si>
  <si>
    <t>Casco Sport Negro Talla L</t>
  </si>
  <si>
    <t>OW-933-BK-M</t>
  </si>
  <si>
    <t>Casco Sport Negro Talla M</t>
  </si>
  <si>
    <t>OW-933-P-M</t>
  </si>
  <si>
    <t>CascoSport Negro Morado Talla M</t>
  </si>
  <si>
    <t>OOU</t>
  </si>
  <si>
    <t>UC4027</t>
  </si>
  <si>
    <t>Tabla Madera Accacia 41X28 Oou</t>
  </si>
  <si>
    <t>UC3968</t>
  </si>
  <si>
    <t>Cuchillo 18Cm Black Series Oou</t>
  </si>
  <si>
    <t>UC4242</t>
  </si>
  <si>
    <t>Set Cuchillo 8 piezas Black Series Oou</t>
  </si>
  <si>
    <t>UC4026</t>
  </si>
  <si>
    <t>Afilador Cuchillo Oou</t>
  </si>
  <si>
    <t>OUN</t>
  </si>
  <si>
    <t>OUN-ZBB22</t>
  </si>
  <si>
    <t>Billetera OUN Zaina brown 100% cuero, 20x10,5 cm</t>
  </si>
  <si>
    <t>Outdoor Research</t>
  </si>
  <si>
    <t>BY242696_B0433</t>
  </si>
  <si>
    <t>Porta Botella De Agua Parka Roja</t>
  </si>
  <si>
    <t>Portas Botella</t>
  </si>
  <si>
    <t>BY244020_B1093</t>
  </si>
  <si>
    <t>Mochila Isolation LT 18 Lts Verde</t>
  </si>
  <si>
    <t>Silla Rattan Café</t>
  </si>
  <si>
    <t>Mesa Terraza Aluminio Y Cubierta De Polywood 150 X 90 X 70 Cm</t>
  </si>
  <si>
    <t>Mesa Terraza Aluminio Y Cubierta De Polywood 90 X 90 X 70 Cm</t>
  </si>
  <si>
    <t>Mesa Terraza Redonda Metal Negra D. 70 X 35 Cm</t>
  </si>
  <si>
    <t>Pajarito de Mimbre</t>
  </si>
  <si>
    <t>Bolsa De Pan Lona "Aves Chilenas"</t>
  </si>
  <si>
    <t>Estuche Lapicera Diseño Aves Chilenas</t>
  </si>
  <si>
    <t>Estuche Lapicera Diseño Ballena Jorobada</t>
  </si>
  <si>
    <t>Estuche Lapicera Diseño Flora Y Fauna</t>
  </si>
  <si>
    <t>Estuche Lapicera Diseño Mapa De Chile</t>
  </si>
  <si>
    <t>Estuche Lapicera Diseño Zorro Culpeo</t>
  </si>
  <si>
    <t>Banderin Aves De Chile</t>
  </si>
  <si>
    <t>Banderin Flora y Fauna Chilena</t>
  </si>
  <si>
    <t>Peluche Ballena Jorobada Hecha A Mano</t>
  </si>
  <si>
    <t>Peluche Diente Con Bolsillo</t>
  </si>
  <si>
    <t>Peluche Sirena Tela Hecha A Mano</t>
  </si>
  <si>
    <t>Calendario 2022 Aves</t>
  </si>
  <si>
    <t>Juego De Mesa Dominó Fauna Nativa</t>
  </si>
  <si>
    <t>Puzzle Ilustraciones Flora Fauna Chilena</t>
  </si>
  <si>
    <t>Bandera Mapa De Chile En Tela</t>
  </si>
  <si>
    <t>Juego Memorice Aves Chile</t>
  </si>
  <si>
    <t>Juego Memorice Chile</t>
  </si>
  <si>
    <t>Juego Memorice Pueblos Originario</t>
  </si>
  <si>
    <t>Peluche Mapuche Millaray</t>
  </si>
  <si>
    <t>Peluche Zorro Culpeo</t>
  </si>
  <si>
    <t>Bolso para Juguete Flora Y Fauna</t>
  </si>
  <si>
    <t>Organización bebés</t>
  </si>
  <si>
    <t>Penguin</t>
  </si>
  <si>
    <t>De Mayor Quiero Ser. Feliz</t>
  </si>
  <si>
    <t>Libros</t>
  </si>
  <si>
    <t>Pets Alive</t>
  </si>
  <si>
    <t>Hamster Caminador En Bola Pets Alive Zuru</t>
  </si>
  <si>
    <t>Mascota Real Pooping Puppies Pets Alive</t>
  </si>
  <si>
    <t>Peluche Gato Enamorado En Huevo Pets Alive</t>
  </si>
  <si>
    <t>Peluche Pájaro Loco en Huevo Pets Alive Zuru</t>
  </si>
  <si>
    <t>Pinypon</t>
  </si>
  <si>
    <t>Casita Con Muñeca y Accesorios Pinypon</t>
  </si>
  <si>
    <t>Muñeca 17 cm Para Decorar Pop &amp; Shine Pinypon</t>
  </si>
  <si>
    <t>Muñeca De 8 cm con Vehiculo Vamos De Pinypon</t>
  </si>
  <si>
    <t>Muñeca Expresiones Faciales con Accesorios De Pinypon</t>
  </si>
  <si>
    <t>Muñeca Profesiones Pinypon</t>
  </si>
  <si>
    <t>Pack 2 Muñecas Mejores Amigas Pinypon</t>
  </si>
  <si>
    <t>Pack 3 Muñecas En Tubo Pinypon</t>
  </si>
  <si>
    <t>Pip Games</t>
  </si>
  <si>
    <t>Travel Game Ansaldo Games</t>
  </si>
  <si>
    <t>Playfun</t>
  </si>
  <si>
    <t>707-31</t>
  </si>
  <si>
    <t>Juego Clásico Monos Saltarines Playfun</t>
  </si>
  <si>
    <t>Juego de Mesa Preguntados Diversión Didáctica Playfun</t>
  </si>
  <si>
    <t>14015F</t>
  </si>
  <si>
    <t>Juego de Mesa Preguntados Edición Familiar Playfun</t>
  </si>
  <si>
    <t>707-55</t>
  </si>
  <si>
    <t>Juego de Mesa Rapi Mente Clásico Playfun</t>
  </si>
  <si>
    <t>707-56</t>
  </si>
  <si>
    <t>Juego de Mesa Rapi Mente Familiar Playfun</t>
  </si>
  <si>
    <t>XDL901</t>
  </si>
  <si>
    <t>Juego de Mesa Rapi Tap Agilidad Mental y Visual Playfun</t>
  </si>
  <si>
    <t>Plim Plim</t>
  </si>
  <si>
    <t>Peluche Con Sonido 20 cm Plim Plim</t>
  </si>
  <si>
    <t>Possa</t>
  </si>
  <si>
    <t>RPOSSA03</t>
  </si>
  <si>
    <t>2 Sillas Reposeras Azul + Mesa Transportadora Possa</t>
  </si>
  <si>
    <t>Sillas reposeras</t>
  </si>
  <si>
    <t>RPOSSA05</t>
  </si>
  <si>
    <t>2 Sillas Reposeras Mix + Mesa Transportadora Possa</t>
  </si>
  <si>
    <t>RPOSSA04</t>
  </si>
  <si>
    <t>2 Sillas Reposeras Rojo + Mesa Transportadora Possa</t>
  </si>
  <si>
    <t>RPOSSA02</t>
  </si>
  <si>
    <t>Silla Reposera Lineas Azules Possa</t>
  </si>
  <si>
    <t>RPOSSA01</t>
  </si>
  <si>
    <t>Silla Reposera Lineas Rojas Possa</t>
  </si>
  <si>
    <t>PRIMUS</t>
  </si>
  <si>
    <t>COCINILLA MIMER STOVE</t>
  </si>
  <si>
    <t>Primus Set De Comida Meal Set Blue</t>
  </si>
  <si>
    <t>Set de Cubiertos Lightweight Trailcutkery Rojo</t>
  </si>
  <si>
    <t>TETERA LITECH COFFEE &amp; TEA KETTLE</t>
  </si>
  <si>
    <t>VASO TÉRMICO VACUUM TUMBLER 0.6 LT AZUL</t>
  </si>
  <si>
    <t>Que Dice Chile</t>
  </si>
  <si>
    <t>Juego De Mesa Que Dice Chile!</t>
  </si>
  <si>
    <t>Rainbocorns</t>
  </si>
  <si>
    <t>Eggzania Mini Rainbocorns</t>
  </si>
  <si>
    <t>Huevo Sorpresa Bunnycorn Rainbocorns De Zuru</t>
  </si>
  <si>
    <t>Huevo Sorpresa Kittycorn Rainbocorns Zuru Modelos Surtidos</t>
  </si>
  <si>
    <t>Huevo Sorpresa Puppycorn Rainbocorns De Zuru</t>
  </si>
  <si>
    <t>Raiquen</t>
  </si>
  <si>
    <t>RC-BOL11</t>
  </si>
  <si>
    <t>Bolso Cuero Carpincho</t>
  </si>
  <si>
    <t>Cartera Petty Cuero</t>
  </si>
  <si>
    <t>Cinturón Cuero Bordado L Pampa Negro</t>
  </si>
  <si>
    <t>Cinturón Cuero Bordado M Pampa Negro</t>
  </si>
  <si>
    <t>Cinturón Cuero Bordado Pampa L Café</t>
  </si>
  <si>
    <t>Cinturón Cuero Bordado Pampa L Verde</t>
  </si>
  <si>
    <t>Cinturón Cuero Bordado Pampa M Café</t>
  </si>
  <si>
    <t>Cinturón Cuero Bordado Pampa M Verde</t>
  </si>
  <si>
    <t>Cinturón Cuero Bordado Pampa S Café</t>
  </si>
  <si>
    <t>Cinturón Cuero Bordado Pampa S Verde</t>
  </si>
  <si>
    <t>Cinturón Cuero Bordado Pampa XL Café</t>
  </si>
  <si>
    <t>Cinturón Cuero Bordado Pampa XL Verde</t>
  </si>
  <si>
    <t>Cinturón Cuero Bordado S Pampa Negro</t>
  </si>
  <si>
    <t>Cinturón Cuero Bordado Xl Pampa Negro</t>
  </si>
  <si>
    <t>Cinturón Cuero Café L Costura</t>
  </si>
  <si>
    <t>Cinturón Cuero Café M Costura</t>
  </si>
  <si>
    <t>Cinturón Cuero Café S Costura</t>
  </si>
  <si>
    <t>Cinturón Cuero Café XL Costura</t>
  </si>
  <si>
    <t>PACK18</t>
  </si>
  <si>
    <t>Kit Cinturón Cuero Bordado + Tabaquera de Cuero</t>
  </si>
  <si>
    <t>RC-STR11</t>
  </si>
  <si>
    <t>Strap Anteojos Cuero Café</t>
  </si>
  <si>
    <t>RC-MAS11</t>
  </si>
  <si>
    <t>Strap Correa para Anteojos</t>
  </si>
  <si>
    <t>RC-STR33</t>
  </si>
  <si>
    <t>Strap Correa para Anteojos Café y Negro</t>
  </si>
  <si>
    <t>Strap Correa para Anteojos De Cuero Negro</t>
  </si>
  <si>
    <t>Llavero de Cuero</t>
  </si>
  <si>
    <t>RC-LLA11</t>
  </si>
  <si>
    <t>Llavero Organizador Café</t>
  </si>
  <si>
    <t>PACK49</t>
  </si>
  <si>
    <t>Kit Tabla Madera Rústica + Guante Cuero</t>
  </si>
  <si>
    <t>PACK17</t>
  </si>
  <si>
    <t>Kit Tabla Madera Rústica + Perchera Asador</t>
  </si>
  <si>
    <t>PACK15</t>
  </si>
  <si>
    <t>Kit Tabla Madera Rústica + Set Parrillero Innovatek</t>
  </si>
  <si>
    <t>Tabla madera rústica gourmet Conguillío de 80cm</t>
  </si>
  <si>
    <t>RC-TAB60</t>
  </si>
  <si>
    <t>Tabla madera rústica gourmet Corcovado de 60cm</t>
  </si>
  <si>
    <t>Tabla madera rústica gourmet Huerquehue de 50cm</t>
  </si>
  <si>
    <t>RC-TAB70</t>
  </si>
  <si>
    <t>Tabla madera rústica gourmet Tolhuaca de 70cm</t>
  </si>
  <si>
    <t>Identificador Para Equipaje Cuero Negro</t>
  </si>
  <si>
    <t>Identificador Para Equipaje De Cuero</t>
  </si>
  <si>
    <t>PACK19</t>
  </si>
  <si>
    <t>Kit Neceser Viajero Cuero + Porta documento</t>
  </si>
  <si>
    <t>Porta Documento Negro Aconcagua</t>
  </si>
  <si>
    <t>Porta Mosca Cuero Fly Fishing</t>
  </si>
  <si>
    <t>Accesorios pesca</t>
  </si>
  <si>
    <t>Billetera Cuero Clásica Puelo Con Pasador</t>
  </si>
  <si>
    <t>Billetera Cuero Negro Yelco</t>
  </si>
  <si>
    <t>Billetera Cuero Pehoé Con Pasador</t>
  </si>
  <si>
    <t>RC-BIL22</t>
  </si>
  <si>
    <t>Billetera Cuero Yelco</t>
  </si>
  <si>
    <t>Billetera de Cuero Clásica Puelo</t>
  </si>
  <si>
    <t>RC-BIL44</t>
  </si>
  <si>
    <t>Billetera Tarjetero Icalma</t>
  </si>
  <si>
    <t>Billetera Tarjetero Negro Icalma</t>
  </si>
  <si>
    <t>Porta pasaporte/documento Aconcagua</t>
  </si>
  <si>
    <t>Estuche De Cuero Multiuso Tubo</t>
  </si>
  <si>
    <t>Estuche Cuero Multiuso Tubo Negro</t>
  </si>
  <si>
    <t>Neceser Cosmetiquero</t>
  </si>
  <si>
    <t>Neceser Cuero Botiquín</t>
  </si>
  <si>
    <t>RC-NEC11</t>
  </si>
  <si>
    <t>Neceser Cuero Clásico</t>
  </si>
  <si>
    <t>Neceser Cuero Reno Grande</t>
  </si>
  <si>
    <t>Neceser Viajero Cuero Graso</t>
  </si>
  <si>
    <t>Tabaquera de Cuero Cowboy Raiquén</t>
  </si>
  <si>
    <t>Tabaquera De Cuero Negra Cowboy</t>
  </si>
  <si>
    <t>Tabaquera De Cuero Verde Cowboy</t>
  </si>
  <si>
    <t>Tabaquera Multifuncional Cuero Reno</t>
  </si>
  <si>
    <t>Juego Cachos 100% Cuero Legítimo</t>
  </si>
  <si>
    <t>Juego Cachos Cuero Pelo Natural</t>
  </si>
  <si>
    <t>Juego de Cartas Cuero Reno</t>
  </si>
  <si>
    <t>Guante Cuero Artesanal Asado</t>
  </si>
  <si>
    <t>RC-AYE18</t>
  </si>
  <si>
    <t>Juego Asador Ayelen</t>
  </si>
  <si>
    <t>RC-LIW17</t>
  </si>
  <si>
    <t>Juego Asador Liwen</t>
  </si>
  <si>
    <t>RC-LLA19</t>
  </si>
  <si>
    <t>Juego Asador LLanka</t>
  </si>
  <si>
    <t>PACK48</t>
  </si>
  <si>
    <t>Kit Pechera Asador Turmán + Tabla Madera</t>
  </si>
  <si>
    <t>Pechera Asador Turmán Cuero</t>
  </si>
  <si>
    <t>Pechera Asador Turmán Cuero Negro</t>
  </si>
  <si>
    <t>RC-PEC11</t>
  </si>
  <si>
    <t>Pechera para asado</t>
  </si>
  <si>
    <t>RC-CAN16</t>
  </si>
  <si>
    <t>Cuchillo Asado Canquen</t>
  </si>
  <si>
    <t>Cuchillos parrilleros</t>
  </si>
  <si>
    <t>RC-CHI13</t>
  </si>
  <si>
    <t>Cuchillo Asado Chiwai</t>
  </si>
  <si>
    <t>RC-LAF11</t>
  </si>
  <si>
    <t>Cuchillo Asado Lafken</t>
  </si>
  <si>
    <t>RC-LIK12</t>
  </si>
  <si>
    <t>Cuchillo Asado Likan</t>
  </si>
  <si>
    <t>RC-PAN14</t>
  </si>
  <si>
    <t>Cuchillo Asado Pangui</t>
  </si>
  <si>
    <t>RC-CON55</t>
  </si>
  <si>
    <t>Cuchillo Conchalí Artesanal</t>
  </si>
  <si>
    <t>RC-MAR55</t>
  </si>
  <si>
    <t>Cuchillo Marmolejo Artesanal</t>
  </si>
  <si>
    <t>RC-PAI55</t>
  </si>
  <si>
    <t>Cuchillo Paico Artesanal</t>
  </si>
  <si>
    <t>Cuchillo Piga Artesanal</t>
  </si>
  <si>
    <t>RC-NEW17</t>
  </si>
  <si>
    <t>Cuchillos artesanales Newen</t>
  </si>
  <si>
    <t>Mousepad de Cuero</t>
  </si>
  <si>
    <t>Robo Alive</t>
  </si>
  <si>
    <t>Huevo Esqueleto Dinosaurio Excavar y Armar Robo Alive Zuru</t>
  </si>
  <si>
    <t>Tiburón Robo Alive De Zuru</t>
  </si>
  <si>
    <t>Roda</t>
  </si>
  <si>
    <t>Casco Bicicleta S Amarillo</t>
  </si>
  <si>
    <t>Casco Bicicleta S Azul</t>
  </si>
  <si>
    <t>Casco Bicicleta S Rojo</t>
  </si>
  <si>
    <t>Casco Bicicleta S Rosado</t>
  </si>
  <si>
    <t>Casco Bicicleta S Verde</t>
  </si>
  <si>
    <t>Casco Bicicleta V2 Xs Amarillo</t>
  </si>
  <si>
    <t>Casco Bicicleta V2 Xs Azul</t>
  </si>
  <si>
    <t>Casco Bicicleta V2 Xs Rojo</t>
  </si>
  <si>
    <t>Casco Bicicleta V2 Xs Rosado</t>
  </si>
  <si>
    <t>Casco Bicicleta V2 Xs Verde</t>
  </si>
  <si>
    <t>Casco Bicicleta V2 Xxs Amarillo</t>
  </si>
  <si>
    <t>Casco Bicicleta V2 Xxs Azul</t>
  </si>
  <si>
    <t>Casco Bicicleta V2 Xxs Rojo</t>
  </si>
  <si>
    <t>Casco Bicicleta V2 Xxs Rosado</t>
  </si>
  <si>
    <t>Casco Bicicleta V2 Xxs Verde</t>
  </si>
  <si>
    <t>Mesa Para Picnic Natural</t>
  </si>
  <si>
    <t>Mesas exterior niños</t>
  </si>
  <si>
    <t>Andador Para Bebes V2 Amarillo</t>
  </si>
  <si>
    <t>Andador Para Bebes V2 Gris</t>
  </si>
  <si>
    <t>Andador Para Bebes V2 Rosado</t>
  </si>
  <si>
    <t>Andador Para Bebes V2 Verde</t>
  </si>
  <si>
    <t>Cuatriciclo Niños Gaston Jeans</t>
  </si>
  <si>
    <t>Cuatriciclo Niños Gaston Terra</t>
  </si>
  <si>
    <t>Cuatriciclo Niños Gaston Verde</t>
  </si>
  <si>
    <t>Bicicleta Niños Clasica Amarillo</t>
  </si>
  <si>
    <t>Bicicleta Niños Clasica Azul</t>
  </si>
  <si>
    <t>Bicicleta Niños Clasica Roja</t>
  </si>
  <si>
    <t>Bicicleta Niños Clasica Rosado</t>
  </si>
  <si>
    <t>Bicicleta Niños Clasica Verde</t>
  </si>
  <si>
    <t>Bicicleta Niños Magnesio Amarillo</t>
  </si>
  <si>
    <t>Bicicleta Niños Magnesio Rosado</t>
  </si>
  <si>
    <t>Bicicleta Niños Pro Matte Negro / Azul</t>
  </si>
  <si>
    <t>Bicicleta Niños Pro Matte Negro / Durazno</t>
  </si>
  <si>
    <t>Soporte Para Bicicleta en Madera</t>
  </si>
  <si>
    <t>ST001</t>
  </si>
  <si>
    <t>Sticker Personalizables</t>
  </si>
  <si>
    <t>Carro Lupe Para Juguetes Amarillo</t>
  </si>
  <si>
    <t>Rodados</t>
  </si>
  <si>
    <t>Carros</t>
  </si>
  <si>
    <t>Carro Lupe para juguetes Azul</t>
  </si>
  <si>
    <t>Carro Lupe Para Juguetes Natural</t>
  </si>
  <si>
    <t>Guantes Bicicleta Azul Petroleo</t>
  </si>
  <si>
    <t>Guantes</t>
  </si>
  <si>
    <t>Guantes Bicicleta Coral</t>
  </si>
  <si>
    <t>Guantes Bicicleta Gris Oscuro</t>
  </si>
  <si>
    <t>Guantes Bicicleta Naranja</t>
  </si>
  <si>
    <t>Kit De Protección Azul Petroleo</t>
  </si>
  <si>
    <t>Protecciones bicicletas</t>
  </si>
  <si>
    <t>Kit De Protección Coral</t>
  </si>
  <si>
    <t>Kit De Protección Gris Oscuro</t>
  </si>
  <si>
    <t>Kit De Protección Naranja</t>
  </si>
  <si>
    <t>Scooter Niños Amarillo Limón</t>
  </si>
  <si>
    <t>Scooter Niños Azul Cielo</t>
  </si>
  <si>
    <t>Scooter Niños Rosa</t>
  </si>
  <si>
    <t>Botas De Agua Azul 21</t>
  </si>
  <si>
    <t>Botas</t>
  </si>
  <si>
    <t>Botas De Agua Azul 22</t>
  </si>
  <si>
    <t>Botas De Agua Azul 23</t>
  </si>
  <si>
    <t>Botas De Agua Azul 24</t>
  </si>
  <si>
    <t>Botas De Agua Azul 25</t>
  </si>
  <si>
    <t>Botas De Agua Gris Beige 20</t>
  </si>
  <si>
    <t>Botas De Agua Gris Beige 21</t>
  </si>
  <si>
    <t>Botas De Agua Gris Beige 22</t>
  </si>
  <si>
    <t>Botas De Agua Gris Beige 23</t>
  </si>
  <si>
    <t>Botas De Agua Gris Beige 24</t>
  </si>
  <si>
    <t>Botas De Agua Gris Beige 25</t>
  </si>
  <si>
    <t>Botas De Agua Gris Beige 26</t>
  </si>
  <si>
    <t>Botas De Agua Gris Beige 27</t>
  </si>
  <si>
    <t>Botas De Agua Gris Beige 28</t>
  </si>
  <si>
    <t>Botas De Agua Gris Beige 29</t>
  </si>
  <si>
    <t>Botas De Agua Salmon 21</t>
  </si>
  <si>
    <t>Botas De Agua Salmon 22</t>
  </si>
  <si>
    <t>Botas De Agua Salmon 23</t>
  </si>
  <si>
    <t>Botas De Agua Salmon 24</t>
  </si>
  <si>
    <t>Botas De Agua Salmon 25</t>
  </si>
  <si>
    <t>Botas De Agua Salmon 26</t>
  </si>
  <si>
    <t>Botas De Agua Salmon 27</t>
  </si>
  <si>
    <t>Botas De Agua Salmon 28</t>
  </si>
  <si>
    <t>Botas De Agua Verde 21</t>
  </si>
  <si>
    <t>Botas De Agua Verde 22</t>
  </si>
  <si>
    <t>Botas De Agua Verde 23</t>
  </si>
  <si>
    <t>Botas De Agua Verde 24</t>
  </si>
  <si>
    <t>Botas De Agua Verde 25</t>
  </si>
  <si>
    <t>Botas De Agua Verde 26</t>
  </si>
  <si>
    <t>Botas De Agua Verde 27</t>
  </si>
  <si>
    <t>Cuello Niños Algodón Arena</t>
  </si>
  <si>
    <t>Ropa de invierno</t>
  </si>
  <si>
    <t>Cuello Niños Algodón Azul</t>
  </si>
  <si>
    <t>Cuello Niños Algodón Gris</t>
  </si>
  <si>
    <t>Gorro Niños Algodón Arena</t>
  </si>
  <si>
    <t>Gorro Niños Algodón Azul</t>
  </si>
  <si>
    <t>Gorro Niños Algodón Gris</t>
  </si>
  <si>
    <t>Impermeable Azul 44654</t>
  </si>
  <si>
    <t>Impermeable Azul 44717</t>
  </si>
  <si>
    <t>Impermeable Niños Azul 44593</t>
  </si>
  <si>
    <t>Impermeable Niños Salmon 44593</t>
  </si>
  <si>
    <t>Impermeable Niños Verde 44593</t>
  </si>
  <si>
    <t>Impermeable Salmon 44654</t>
  </si>
  <si>
    <t>Impermeable Salmon 44717</t>
  </si>
  <si>
    <t>Impermeable Verde 44654</t>
  </si>
  <si>
    <t>Impermeable Verde 44717</t>
  </si>
  <si>
    <t>Pantalón Impermeable Niño Azul 44593</t>
  </si>
  <si>
    <t>Pantalón Impermeable Niño Salmon 44593</t>
  </si>
  <si>
    <t>Pantalón Impermeable Niño Verde 44593</t>
  </si>
  <si>
    <t>Pantalon Impermeable Salmon 44654</t>
  </si>
  <si>
    <t>Pantalon Impermeable Salmon 44717</t>
  </si>
  <si>
    <t>Pantalon Impermeable Verde 44654</t>
  </si>
  <si>
    <t>Pantalon Impermeable Verde 44717</t>
  </si>
  <si>
    <t>Royal Baby</t>
  </si>
  <si>
    <t>B1507</t>
  </si>
  <si>
    <t>Bicicleta Chipmunkcorre Pasillo Rosa</t>
  </si>
  <si>
    <t>Saltoalviento</t>
  </si>
  <si>
    <t>Libreta Desde el mar mediana</t>
  </si>
  <si>
    <t>Libreta Desde el mar pequeña</t>
  </si>
  <si>
    <t>Libreta El vuelo del pajaro pequeña</t>
  </si>
  <si>
    <t>Libreta Libertad mediana</t>
  </si>
  <si>
    <t>Libreta Libertad pequeña</t>
  </si>
  <si>
    <t>Libreta Mujer azul mediana</t>
  </si>
  <si>
    <t>Libreta Mujer azul pequeña</t>
  </si>
  <si>
    <t>Scratch Europe</t>
  </si>
  <si>
    <t>Cubos Para Apilar La Granja 10Pcs</t>
  </si>
  <si>
    <t>Encuentra Un PJuego De Mesa</t>
  </si>
  <si>
    <t>Jungla Juego De Mesa</t>
  </si>
  <si>
    <t>Puzzle 100Pcs De Piso Ciudad</t>
  </si>
  <si>
    <t>Puzzle 150Pcs Mapa Del Mundo</t>
  </si>
  <si>
    <t>Puzzle 200Pcs Bajo El Mar</t>
  </si>
  <si>
    <t>Puzzle 200Pcs Jungla</t>
  </si>
  <si>
    <t>Puzzle 30Pcs Con Forma Dinosaurio</t>
  </si>
  <si>
    <t>Puzzle 30Pcs Con Forma Unicornio</t>
  </si>
  <si>
    <t>Puzzle 36Pcs De Piso Granja</t>
  </si>
  <si>
    <t>Puzzle 36Pcs De Piso, Safari</t>
  </si>
  <si>
    <t>Puzzle 39Pcs Doble Con Forma Buho</t>
  </si>
  <si>
    <t>Puzzle 40Pcs Con Forma Pavo Real</t>
  </si>
  <si>
    <t>Puzzle 40Pcs Dinosaurios</t>
  </si>
  <si>
    <t>Puzzle 45Pcs Con Forma Mundo</t>
  </si>
  <si>
    <t>Puzzle 59Pcs Con Forma Tigre</t>
  </si>
  <si>
    <t>Puzzle 60 Cs Ferry</t>
  </si>
  <si>
    <t>Puzzle 60Pcs Con Forma Ballena</t>
  </si>
  <si>
    <t>Puzzle 60Pcs Princesa</t>
  </si>
  <si>
    <t>Puzzle Progresivo Safari 5 Puzzles</t>
  </si>
  <si>
    <t>Puzzle Progresivo Vehiculos 5 Puzzles</t>
  </si>
  <si>
    <t>Balancio Juego De Ingenio</t>
  </si>
  <si>
    <t>Casa De Juegos Hospital</t>
  </si>
  <si>
    <t>Casa De Juegos La Casa</t>
  </si>
  <si>
    <t>Casa De Juegos La Tienda</t>
  </si>
  <si>
    <t>Koala Juego De Ingenio</t>
  </si>
  <si>
    <t>Pijama Party Juego De Ingenio</t>
  </si>
  <si>
    <t>Cubos Para Apilar Incluye Autos</t>
  </si>
  <si>
    <t>Cubos Para Apilar Animales 10Pcs</t>
  </si>
  <si>
    <t>Cubos Para Apilar La Granja Jumbo 5 Cubos</t>
  </si>
  <si>
    <t>Hielera Acero Inox Con Tapa Madera 15X15X19 Cm SecretDeGourmet</t>
  </si>
  <si>
    <t>Hielera Doble Pared Sin Tapa Acero Inox 24 X 22 X 21 Cm</t>
  </si>
  <si>
    <t>Kit De Vino 4 Piezas Lux</t>
  </si>
  <si>
    <t>Set Coctelería 5 Piezas Acero Inox</t>
  </si>
  <si>
    <t>Set Coctelería 5 Piezas Premium Black Secret De Gourmet</t>
  </si>
  <si>
    <t>Adara3</t>
  </si>
  <si>
    <t>Set de Coctelería 5 Piezas Black Premium Secret de Gourmet</t>
  </si>
  <si>
    <t>Set Copa Vino 540 Ml X 6 Unid</t>
  </si>
  <si>
    <t>Set De 4 Copas Cerveza 370 Cc</t>
  </si>
  <si>
    <t>Set De 4 Posavasos De Marmol Negro 10 Cm</t>
  </si>
  <si>
    <t>Set 4 Vasos De Cerveza 370 Cc</t>
  </si>
  <si>
    <t>Set de Tabla de Quesos Pizarra y Cuchillos Secret de Gourmet</t>
  </si>
  <si>
    <t>Set Tabla + 4 Posillos Aperitivo Black Ed Secret de Gourmet</t>
  </si>
  <si>
    <t>Tabla Aperitivo Bambú + Piedra Y Pocillos Gres</t>
  </si>
  <si>
    <t>Tabla Presentación Acasia 30 x 20 cm Secret de Gourmet</t>
  </si>
  <si>
    <t>Cuchillo Trinchador Acero Inox Y Acacia 35 Cm</t>
  </si>
  <si>
    <t>Cacerola Ovalada 11 X 9 X 6 Cm - Colores</t>
  </si>
  <si>
    <t>Caserola Circular Colores 10 Cm</t>
  </si>
  <si>
    <t>Soporte Para Ollas De Metal 20 Cm</t>
  </si>
  <si>
    <t>Cafetera Francesa 600 cc Secret de Gourmet</t>
  </si>
  <si>
    <t>Cafetera Italiana Acero De 6 Tazas</t>
  </si>
  <si>
    <t>Cafetera Prensa Francesa Premium Black Vidrio Con Bambu 600 Cc</t>
  </si>
  <si>
    <t>Set 3 Tazas Café Vidrio Y Metal 110 Cc</t>
  </si>
  <si>
    <t>Set De 2 Tazas De Cafe Vidrio Doble Pared 80 Cc</t>
  </si>
  <si>
    <t>Tetera Con Filtro 1,25 Lt Colores De Vidrio Y Polipropileno</t>
  </si>
  <si>
    <t>461722180N</t>
  </si>
  <si>
    <t>Tetera Con Filtro 1,25 Lt Vidrio</t>
  </si>
  <si>
    <t>461722180G</t>
  </si>
  <si>
    <t>461722180R</t>
  </si>
  <si>
    <t>Tetera Con Filtro 1,25 Lt Vidrio Secret de Gourmet</t>
  </si>
  <si>
    <t>Tetera Filtro con Boquilla 800 cc Secret de Gourmet</t>
  </si>
  <si>
    <t>Set Botellas Para Aceite Y Vinagre Con Soporte De Bamu De 500 Cc 3 Piezas</t>
  </si>
  <si>
    <t>Set Aperitivo 4 Pza Cerámica Bandeja Bambú Secret de Gourmet</t>
  </si>
  <si>
    <t>Set Aperitivo 4 Pza Vidrio y Base de Madera Secret de Gourmet</t>
  </si>
  <si>
    <t>Set Aperitivo 5 Pza Vidrio Bandeja Bambú Secret de Gourmet</t>
  </si>
  <si>
    <t>Set Aperitivo 7 Pza Vidrio Base Bambú Secret de Gourmet</t>
  </si>
  <si>
    <t>Set de 6 Posavasos de Piedra Soporte de Bambú 10 cm Secret De Gourmet</t>
  </si>
  <si>
    <t>Soporte de vidrio para postres</t>
  </si>
  <si>
    <t>Soporte Para Tortas Giratorio Vidrio Secret de Gourmet</t>
  </si>
  <si>
    <t>Soporte Postres Renaissance 3 Niveles Secret de Gourmet</t>
  </si>
  <si>
    <t>Soporte Tortas Renaissance 29 Cm</t>
  </si>
  <si>
    <t>Sei</t>
  </si>
  <si>
    <t>Bandolera Modelo 2926719</t>
  </si>
  <si>
    <t>Comcait</t>
  </si>
  <si>
    <t>Bandolera Modelo 2926737</t>
  </si>
  <si>
    <t>Bolso Modelo 2919246</t>
  </si>
  <si>
    <t>Bolso Modelo 2919257</t>
  </si>
  <si>
    <t>Bolso Modelo 2919278</t>
  </si>
  <si>
    <t>Bolso Modelo 2919407</t>
  </si>
  <si>
    <t>Bolso Modelo 2919409</t>
  </si>
  <si>
    <t>Bolso Modelo 2919417</t>
  </si>
  <si>
    <t>Bolso Modelo 2935157</t>
  </si>
  <si>
    <t>Bolso Modelo 2935158</t>
  </si>
  <si>
    <t>Bolso Modelo 2935198</t>
  </si>
  <si>
    <t>Bolso Modelo 2935957</t>
  </si>
  <si>
    <t>Bolso Modelo 2935958</t>
  </si>
  <si>
    <t>Bolso Modelo 2935998</t>
  </si>
  <si>
    <t>Bolso Modelo 2954207</t>
  </si>
  <si>
    <t>Bolso Modelo 2954217</t>
  </si>
  <si>
    <t>Bolso Modelo 2954219</t>
  </si>
  <si>
    <t>Bolso Modelo 2954290</t>
  </si>
  <si>
    <t>Bolso Patch Work Multi Color Beige 29268</t>
  </si>
  <si>
    <t>Bolso Sport Parche Frontal Negro 29148</t>
  </si>
  <si>
    <t>Cartera 29668 Blanco</t>
  </si>
  <si>
    <t>Cartera 29668 Negro</t>
  </si>
  <si>
    <t>Cartera 29668 Nude</t>
  </si>
  <si>
    <t>Cartera 29668 Peltre</t>
  </si>
  <si>
    <t>Cartera 29708 Blanco</t>
  </si>
  <si>
    <t>Cartera 29708 Negro</t>
  </si>
  <si>
    <t>Cartera 29708 Nude</t>
  </si>
  <si>
    <t>Cartera Aplicacion Ojetillos Multi Negro 27099</t>
  </si>
  <si>
    <t>Cartera Bolsillo Frontal Manilla Carey Negro 27444</t>
  </si>
  <si>
    <t>Cartera Con Manilla Carey Multi Taupe 27444</t>
  </si>
  <si>
    <t>Cartera Cortes En Textura Croco Negro 27126</t>
  </si>
  <si>
    <t>Cartera Croco Aplicacion Asas Metalica Negro 27092</t>
  </si>
  <si>
    <t>Cartera Croco Aplicacion Asas Metalica Rojo 27092</t>
  </si>
  <si>
    <t>Cartera Modelo 2937606</t>
  </si>
  <si>
    <t>Cartera Modelo 2937617</t>
  </si>
  <si>
    <t>Cartera Simil Cuero Tapa Accesorio Metalico Multi Nude 28364</t>
  </si>
  <si>
    <t>Cartera Simil Cuero Textura Croco Rojo 27128</t>
  </si>
  <si>
    <t>Cartera Textura Croco Y Cortes Laterales Burdeo 27133</t>
  </si>
  <si>
    <t>Cartera Textura Croco Y Cortes Laterales Negro 27133</t>
  </si>
  <si>
    <t>Cartera Textura Froral Con Tapa Y Cerrojo Negro 27148</t>
  </si>
  <si>
    <t>Cartera Textura Froral Marco Negro 27149</t>
  </si>
  <si>
    <t>Maletin Textura Croco En Bolsillo Negro 27183</t>
  </si>
  <si>
    <t>Mini Bandolera 29966 M-Negro</t>
  </si>
  <si>
    <t>Mini Bandolera 29966 M-Nude</t>
  </si>
  <si>
    <t>Mini Bandolera 29967 Blanco</t>
  </si>
  <si>
    <t>Mini Bandolera 29967 Lila</t>
  </si>
  <si>
    <t>Mini Bandolera 29967 Negro</t>
  </si>
  <si>
    <t>Mini Cartera Modelo 27641-10</t>
  </si>
  <si>
    <t>Mini Cartera Modelo 27641-11</t>
  </si>
  <si>
    <t>Mini Cartera Modelo 27641-12</t>
  </si>
  <si>
    <t>Mini Cartera Modelo 27642-21</t>
  </si>
  <si>
    <t>Mini Cartera Modelo 27642-22</t>
  </si>
  <si>
    <t>Mini Carteras Modelo 2859821</t>
  </si>
  <si>
    <t>Mini Carteras Modelo 2861221</t>
  </si>
  <si>
    <t>Mini Carteras Modelo 2861360</t>
  </si>
  <si>
    <t>Mini Carteras Modelo 2861362</t>
  </si>
  <si>
    <t>Bandolera Modelo 2926717</t>
  </si>
  <si>
    <t>Bandolera Modelo 2926721</t>
  </si>
  <si>
    <t>Bolso Modelo 2919419</t>
  </si>
  <si>
    <t>Cartera Clasic Tela Escoces Negro 27430</t>
  </si>
  <si>
    <t>Billetera Acordeon Croco Bolsillo Con Frontal Lila 29202</t>
  </si>
  <si>
    <t>Billetera Acordeon Croco Lazo Monedero Marco Petroleo 29244</t>
  </si>
  <si>
    <t>Billetera Acordeon Croco Metal Celeste 29251</t>
  </si>
  <si>
    <t>Billetera Acordeon Croco Monedero Petroleo 29245</t>
  </si>
  <si>
    <t>Billetera Acordeon Mediana Modelo 2923506</t>
  </si>
  <si>
    <t>Billetera Acordeon Mediana Modelo 2923539</t>
  </si>
  <si>
    <t>Billetera Acordeon Modelo 2923406</t>
  </si>
  <si>
    <t>Billetera Acordeon Modelo 2923439</t>
  </si>
  <si>
    <t>Billetera Acordeon Monedero Int. Negro 29251</t>
  </si>
  <si>
    <t>Billetera Chica Bolsillo Diagonal Nude 29253</t>
  </si>
  <si>
    <t>Billetera Chica Bolsillo Diagonal Y Trasero Amarillo 29253</t>
  </si>
  <si>
    <t>Billetera Chica Bolsillo Diagonal Y Trasero Burdeo 29253</t>
  </si>
  <si>
    <t>Billetera Chica Croco Petroleo 29246</t>
  </si>
  <si>
    <t>Billetera Chica Croco Porta Tarjetero Rosa 29246</t>
  </si>
  <si>
    <t>Mochila 29709 Blanco</t>
  </si>
  <si>
    <t>Mochila 29709 Negro</t>
  </si>
  <si>
    <t>Mochila 29709 Nude</t>
  </si>
  <si>
    <t>Mochila 29886 Lila</t>
  </si>
  <si>
    <t>Mochila 29886 Marfil</t>
  </si>
  <si>
    <t>Mochila 29886 Negro</t>
  </si>
  <si>
    <t>Mochila Aplicación frontal Oliva 29145</t>
  </si>
  <si>
    <t>Mochila Cortes Diagonales Bolsillo Frontal Azul 29159</t>
  </si>
  <si>
    <t>Mochila Cortes Diagonales Bolsillo Frontal Cafe 29159</t>
  </si>
  <si>
    <t>Mochila En Material Multi Nude 29145</t>
  </si>
  <si>
    <t>Mochila Modelo 2919146</t>
  </si>
  <si>
    <t>Mochila Modelo 2919178</t>
  </si>
  <si>
    <t>Mochila Modelo 2919307</t>
  </si>
  <si>
    <t>Mochila Modelo 2919309</t>
  </si>
  <si>
    <t>Mochila Modelo 2919317</t>
  </si>
  <si>
    <t>Mochila Modelo 2919319</t>
  </si>
  <si>
    <t>Mochila Modelo 2956157</t>
  </si>
  <si>
    <t>Mochila Modelo 2956158</t>
  </si>
  <si>
    <t>Mochila Modelo 2956179</t>
  </si>
  <si>
    <t>Mochila Modelo 2956198</t>
  </si>
  <si>
    <t>Sheet</t>
  </si>
  <si>
    <t>Acondicionador Anti Enredos + Vitaminas</t>
  </si>
  <si>
    <t>Acondicionador Desenredante</t>
  </si>
  <si>
    <t>Acondicionador Low Poo</t>
  </si>
  <si>
    <t>Anticaída Shampoo + Tónico + Acondicionador B5</t>
  </si>
  <si>
    <t>Pack Shampo Y Tonico 3% Baicapil Anticaida 1 Mes</t>
  </si>
  <si>
    <t>Pack Shampo Y Tonico 3% Baicapil Anticaida 3 Meses</t>
  </si>
  <si>
    <t>Pack Shampoo + Acondicionador Low Poo</t>
  </si>
  <si>
    <t>Pack Shampoo Acondicionador Low Poo Crema Uva Coco</t>
  </si>
  <si>
    <t>Pack Shampoo Detox Y Acondicionador Armony</t>
  </si>
  <si>
    <t>Shampoo Acondicionador Low Poo Crema Uva Argan</t>
  </si>
  <si>
    <t>Shampoo Acondicionador Low Poo Crema Uva Serum</t>
  </si>
  <si>
    <t>Shampoo Anticaída</t>
  </si>
  <si>
    <t>Shampoo Anticaída + Acondicionador Provitamina B5</t>
  </si>
  <si>
    <t>Shampoo Limpieza Profunda</t>
  </si>
  <si>
    <t>Shampoo Low Poo</t>
  </si>
  <si>
    <t>Shampoo Tonico Anticaida Gomitas Acondicionador</t>
  </si>
  <si>
    <t>Tratamiento Pelo Caótico Shampoo Acondicionador Crema</t>
  </si>
  <si>
    <t>Tratamiento Pelo Dañado Shampoo Acondicionador Crema</t>
  </si>
  <si>
    <t>Oveja Vitamins</t>
  </si>
  <si>
    <t>Suplementos</t>
  </si>
  <si>
    <t>Pack 3 Frascos De Gomitas De Biotina Para 3 Meses</t>
  </si>
  <si>
    <t>Suplemento Pelo</t>
  </si>
  <si>
    <t>Carrot Mask</t>
  </si>
  <si>
    <t>Grape Mask</t>
  </si>
  <si>
    <t>Pack 3 Serums De Coco, Zanahoria Y Argan</t>
  </si>
  <si>
    <t>Pack Dupla Intensiva Crema De Uva Y Serum De Argan</t>
  </si>
  <si>
    <t>Pack Dupla Intensiva Crema De Uva Y Serum De Coco</t>
  </si>
  <si>
    <t>Pack Mascarilla Capilar Y Serum De Zanahoria</t>
  </si>
  <si>
    <t>Pack Mascarillas Capilares De Uva Y Zanahorias</t>
  </si>
  <si>
    <t>Pack Serum Crecimiento Pestañas y Cejas + Refill</t>
  </si>
  <si>
    <t>Serum Argan</t>
  </si>
  <si>
    <t>Serum Crecimiento Pestañas Y Cejas</t>
  </si>
  <si>
    <t>757450528058-FF</t>
  </si>
  <si>
    <t>Serum Regenerador De Coco</t>
  </si>
  <si>
    <t>Serum Zanahoria</t>
  </si>
  <si>
    <t>Tónico Anticaída</t>
  </si>
  <si>
    <t>Tratamiento Anticaída 1 Mes + Biotina</t>
  </si>
  <si>
    <t>Tratamiento Anticaída Para 1 Mes + Vitaminas</t>
  </si>
  <si>
    <t>3 Mascarillas Rescue, Detox Y Radiance + Cintillo</t>
  </si>
  <si>
    <t>Mascarilla Facial Oveja Detox</t>
  </si>
  <si>
    <t>Mascarilla Facial Oveja Glow</t>
  </si>
  <si>
    <t>Mascarilla Facial Oveja Sos</t>
  </si>
  <si>
    <t>Pack 4 Mascarillas Faciales Detox + Cintillo</t>
  </si>
  <si>
    <t>Pack 4 Mascarillas Faciales Rescue + Cintillo</t>
  </si>
  <si>
    <t>Pack De 4 Mascarillas Faciales Radiance Y Cintillo</t>
  </si>
  <si>
    <t>Pack X10 Mascarillas Faciales Detox</t>
  </si>
  <si>
    <t>Pack X10 Mascarillas Faciales Radiance</t>
  </si>
  <si>
    <t>Pack X10 Mascarillas Faciales Rescue</t>
  </si>
  <si>
    <t>Suplemento Piel</t>
  </si>
  <si>
    <t>Cepillo</t>
  </si>
  <si>
    <t>Cintillo</t>
  </si>
  <si>
    <t>Cubeta de Hielo Silicona 160 Mini Hielos</t>
  </si>
  <si>
    <t>66800506435054-FF</t>
  </si>
  <si>
    <t>Cubeta Hielos Mini</t>
  </si>
  <si>
    <t>66800507665930-FF</t>
  </si>
  <si>
    <t>Cubeta Hielos Regulares</t>
  </si>
  <si>
    <t>Especiero Magnético Metálico 6 Frascos</t>
  </si>
  <si>
    <t>PACK32</t>
  </si>
  <si>
    <t>Kit Especiero+ Utensilios+ Vasos+ Jarra</t>
  </si>
  <si>
    <t>Mantequillero Cerámica Tapa Bamboo + Cuchillo 600 ml</t>
  </si>
  <si>
    <t>PACK14</t>
  </si>
  <si>
    <t>Kit Olla 28cm + Sartén 24cm Antiadherente</t>
  </si>
  <si>
    <t>Olla Antiadherente 28cm Cosmos</t>
  </si>
  <si>
    <t>Olla con tapa de 24 cm</t>
  </si>
  <si>
    <t>Olla con tapa de 28 cm</t>
  </si>
  <si>
    <t>Olla A Presión Baja Antiadherente 5 Litros</t>
  </si>
  <si>
    <t>PACK24</t>
  </si>
  <si>
    <t>Kit Parrilla + Set Parrillero + Delantal</t>
  </si>
  <si>
    <t>PACK43</t>
  </si>
  <si>
    <t>Kit Parrilla Carbón + Parlante Bluetooth</t>
  </si>
  <si>
    <t>PACK37</t>
  </si>
  <si>
    <t>Kit Parrilla Carbón Kettle + Especiero 16 Frascos</t>
  </si>
  <si>
    <t>PACK38</t>
  </si>
  <si>
    <t>Sartén Antiadherente 24cm Cosmos</t>
  </si>
  <si>
    <t>Sartén de 14 cm</t>
  </si>
  <si>
    <t>1635956592996-FF</t>
  </si>
  <si>
    <t>Sartén Tapa 28cm Copper</t>
  </si>
  <si>
    <t>68540051413139-FF</t>
  </si>
  <si>
    <t>Secaplatos Blanco 1 Nivel</t>
  </si>
  <si>
    <t>1660858356962-FF</t>
  </si>
  <si>
    <t>Secaplatos Blanco 2 Niveles</t>
  </si>
  <si>
    <t>Decantador Aireador Vino Chateau 1650ml Simplit</t>
  </si>
  <si>
    <t>Decantador Aireador Vino Rouge 1500ml Simplit</t>
  </si>
  <si>
    <t>Pack394</t>
  </si>
  <si>
    <t>Pack Hielera 3,8 lts + set 6 vasos Largos Chalotte</t>
  </si>
  <si>
    <t>Pack256</t>
  </si>
  <si>
    <t>Pack 2 Cubetas Silicona</t>
  </si>
  <si>
    <t>Pack390</t>
  </si>
  <si>
    <t>Pack 3 Cubeta de Hielo Silicona 160 Mini Hielos</t>
  </si>
  <si>
    <t>Pack391</t>
  </si>
  <si>
    <t>Pack 3 Cubeta de Hielo Silicona 6 Hielos Grandes</t>
  </si>
  <si>
    <t>Pack392</t>
  </si>
  <si>
    <t>Pack 3 Cubeta de Hielo Silicona 6 Hielos Redondos</t>
  </si>
  <si>
    <t>Pack389</t>
  </si>
  <si>
    <t>Pack 3 Cubetas de Hielo Silicona 15 Hielos</t>
  </si>
  <si>
    <t>Pack249</t>
  </si>
  <si>
    <t>Pack 3 Cubetas Silicona</t>
  </si>
  <si>
    <t>Pack 4 Vasos de Vidrio Estilo Japonés 320ml Simplit</t>
  </si>
  <si>
    <t>Pack377</t>
  </si>
  <si>
    <t>Pack 6 Vasos Largos Charlotte + Cubeta Hielo</t>
  </si>
  <si>
    <t>Pack378</t>
  </si>
  <si>
    <t>Pack 6 Vasos Redondos Virginia + Cubeta Hielo</t>
  </si>
  <si>
    <t>Pack379</t>
  </si>
  <si>
    <t>Pack 6 Vasos Redondos Virginia + Cubeta Hielos Redondos</t>
  </si>
  <si>
    <t>Pack380</t>
  </si>
  <si>
    <t>Pack 6 Vasos Whisky Kentucky + Cubeta Hielos Grandes</t>
  </si>
  <si>
    <t>Pack381</t>
  </si>
  <si>
    <t>Pack 6 Vasos Whisky Kentucky + Cubeta Hielos Redondos</t>
  </si>
  <si>
    <t>Pack71</t>
  </si>
  <si>
    <t>Pack Cafetera Francesa 600ml + Set 2 Vasos 550ml</t>
  </si>
  <si>
    <t>Pack302</t>
  </si>
  <si>
    <t>Set 2 Vasos de Espresso doble pared 80 ml</t>
  </si>
  <si>
    <t>Set 2 Vasos Moscow Mule Mug Cobre 500ml + Bombilla Simplit</t>
  </si>
  <si>
    <t>Set 2 Vasos Moscow Mule Mug Cobre 550ml + Bombilla Simplit</t>
  </si>
  <si>
    <t>1654207372101-FF</t>
  </si>
  <si>
    <t>Set 2 Vasos Vidrio Borosilicato 550ml Simplit</t>
  </si>
  <si>
    <t>Set 2 Vasos Vidrio Doble Pared 400ml Simplit</t>
  </si>
  <si>
    <t>Set 2 Vasos Vidrio Estilo Japonés 320ml Simplit</t>
  </si>
  <si>
    <t>1658269683485-FF</t>
  </si>
  <si>
    <t>Set 4 Vasos Moscow Mule</t>
  </si>
  <si>
    <t>Set 4 Vasos Moscow Mule Mojito Mug Cobre 500ml + Bombillas Simplit</t>
  </si>
  <si>
    <t>Set 4 Vasos Moscow Mule Mug Cobre 550ml + Bombillas Simplit</t>
  </si>
  <si>
    <t>Pack86</t>
  </si>
  <si>
    <t>Set 4 Vasos Vidrio Borosilicato 550ml Simplit</t>
  </si>
  <si>
    <t>Set 4 Vasos Vidrio Doble Pared 400 ml</t>
  </si>
  <si>
    <t>Set 6 Copas Espumante Cristal Monaco 200ml Simplit</t>
  </si>
  <si>
    <t>Set 6 Copas Gin Cristal London 650ml Simplit</t>
  </si>
  <si>
    <t>Set 6 Copas Vino Blanco Cristal Alsacia 400ml Simplit</t>
  </si>
  <si>
    <t>Set 6 Copas Vino Tinto Cristal Piamonte 540ml Simplit</t>
  </si>
  <si>
    <t>Pack300</t>
  </si>
  <si>
    <t>Set 6 Vasos de Vidrio Estilo Japonés 320 ml</t>
  </si>
  <si>
    <t>Pack301</t>
  </si>
  <si>
    <t>Set 6 Vasos Vidrio Borosilicato 550 ml</t>
  </si>
  <si>
    <t>Set 6 Vasos Vidrio Cerveza Portland 380ml Simplit</t>
  </si>
  <si>
    <t>Set 6 Vasos Vidrio Copa Cerveza Collins 420ml Simplit</t>
  </si>
  <si>
    <t>Set 6 Vasos Vidrio Corto Vintage Charlotte 200ml Simplit</t>
  </si>
  <si>
    <t>Set 6 Vasos Vidrio Cortos Ginebra 380ml Simplit</t>
  </si>
  <si>
    <t>Set 6 Vasos Vidrio Largo Vintage Charlotte 350ml Simplit</t>
  </si>
  <si>
    <t>Set 6 Vasos Vidrio Redondos Virginia 340ml Simplit</t>
  </si>
  <si>
    <t>Set 6 Vasos Vidrio Whisky Kentucky 270ml Simplit</t>
  </si>
  <si>
    <t>Set 6 Vasos Vidro Largos Ginebra 460ml Simplit</t>
  </si>
  <si>
    <t>67933856404072-FF</t>
  </si>
  <si>
    <t>Set 6 Vasos Vintage Charlotte 200ml</t>
  </si>
  <si>
    <t>Pack376</t>
  </si>
  <si>
    <t>Set 8 Vasos Cerámica 270 ml Amalfi</t>
  </si>
  <si>
    <t>Pack375</t>
  </si>
  <si>
    <t>Set 8 Vasos Cerámica 330ml Siena Simplit</t>
  </si>
  <si>
    <t>Pack258</t>
  </si>
  <si>
    <t>Cafetera Italiana 12 Tz +Espumador 4 en 1 Negro</t>
  </si>
  <si>
    <t>Pack258-FF</t>
  </si>
  <si>
    <t>Pack257</t>
  </si>
  <si>
    <t>Cafetera Italiana 4 Tz + Espumador 4 en 1 Negro</t>
  </si>
  <si>
    <t>68432930518995-FF</t>
  </si>
  <si>
    <t>Espumador Blanco</t>
  </si>
  <si>
    <t>1660859171584-FF</t>
  </si>
  <si>
    <t>Espumador Negro</t>
  </si>
  <si>
    <t>Pack260</t>
  </si>
  <si>
    <t>Pack Cafetera Francesa + Espumador 4 en 1 Blanco</t>
  </si>
  <si>
    <t>Pack259</t>
  </si>
  <si>
    <t>Pack Cafetera Francesa + Espumador 4 en 1 Negro</t>
  </si>
  <si>
    <t>Pack393</t>
  </si>
  <si>
    <t>Pack Espumador + Cafetera 12 tazas + 2 Tazas Palermo</t>
  </si>
  <si>
    <t>Pack384</t>
  </si>
  <si>
    <t>Pack Espumador de Leche + Cafetera Italiana 12 Tazas</t>
  </si>
  <si>
    <t>Pack385</t>
  </si>
  <si>
    <t>Pack Espumador de Leche + Cafetera Italiana 4 Tazas</t>
  </si>
  <si>
    <t>Pack386</t>
  </si>
  <si>
    <t>Pack Espumador de Leche + Cafetera Prensa Francesa 600 ml</t>
  </si>
  <si>
    <t>Pack387</t>
  </si>
  <si>
    <t>Pack Espumador Negro + Cafetera Francesa 600 ml</t>
  </si>
  <si>
    <t>Juego de 4 Cachos Eco Cuero Negro Simplit</t>
  </si>
  <si>
    <t>Pack358</t>
  </si>
  <si>
    <t>Batería Cocina Black Copper 7 Pzas + 12 Utensilios Negro Simplit</t>
  </si>
  <si>
    <t>Pack359</t>
  </si>
  <si>
    <t>Batería Cocina Black Copper 7 Pzas + Set 12 Utensilios Calipso Simplit</t>
  </si>
  <si>
    <t>Pack123</t>
  </si>
  <si>
    <t>Batería Cocina Classic 8 Pzas + Set 12 Utensilios Calipso Simplit</t>
  </si>
  <si>
    <t>PACK34</t>
  </si>
  <si>
    <t>Batería Cocina Classic 8 Pzas + Set 12 Utensilios Negro Simplit</t>
  </si>
  <si>
    <t>PACK35</t>
  </si>
  <si>
    <t>Batería Cocina Copper 7 Pzas + Set 12 Utensilios Negro Simplit</t>
  </si>
  <si>
    <t>Pack124</t>
  </si>
  <si>
    <t>Batería Cocina Copper 7Pzas + Set 12 Utensilios Calipso Simplit</t>
  </si>
  <si>
    <t>Pack223</t>
  </si>
  <si>
    <t>Batería Cocina Oregon 5 Pzas + Set 12 Utensilios Calipso Simplit</t>
  </si>
  <si>
    <t>Pack224</t>
  </si>
  <si>
    <t>Batería Cocina Oregon 5 Pzas + Set 12 Utensilios Negro Simplit</t>
  </si>
  <si>
    <t>Pack442</t>
  </si>
  <si>
    <t>Batería Cocina Oxford 15 Pzas + Set 12 Utensilios Calipso Simplit</t>
  </si>
  <si>
    <t>Pack441</t>
  </si>
  <si>
    <t>Batería Cocina Oxford 15 Pzas + Set 12 Utensilios Negro Simplit</t>
  </si>
  <si>
    <t>Pack361</t>
  </si>
  <si>
    <t>Batería Cocina Savannah 9 Pzas + Set 12 Utensilios Calipso Simplit</t>
  </si>
  <si>
    <t>Pack360</t>
  </si>
  <si>
    <t>Batería Cocina Savannah 9 Pzas + Set 12 Utensilios Negro Simplit</t>
  </si>
  <si>
    <t>Pack440</t>
  </si>
  <si>
    <t>Bateria Cocina Savannah 9 Pzas + Set Cuchillos Holz Simplit</t>
  </si>
  <si>
    <t>Pack362</t>
  </si>
  <si>
    <t>Batería Cocina Toulouse 7 Pzas + Set 12 Utensilios Calipso Simplit</t>
  </si>
  <si>
    <t>Pack363</t>
  </si>
  <si>
    <t>Batería Cocina Toulouse 7 Pzas + Set 12 Utensilios Negro Simplit</t>
  </si>
  <si>
    <t>Batería de Cocina Antiadherente Black Copper 7 Piezas Simplit</t>
  </si>
  <si>
    <t>Batería de Cocina Antiadherente Oxford Granito 15 Piezas Simplit</t>
  </si>
  <si>
    <t>Batería de Cocina Antiadherente Savannah 9 Piezas Simplit</t>
  </si>
  <si>
    <t>SMBATCOPBK-FF</t>
  </si>
  <si>
    <t>Batería de Cocina Black Copper</t>
  </si>
  <si>
    <t>1634845754276-FF</t>
  </si>
  <si>
    <t>Batería de Cocina Classic</t>
  </si>
  <si>
    <t>1635956574926-FF</t>
  </si>
  <si>
    <t>Batería de Cocina Copper</t>
  </si>
  <si>
    <t>Batería de Cocina Toulouse 7 Piezas + Accesorios Simplit</t>
  </si>
  <si>
    <t>PACK34-FF</t>
  </si>
  <si>
    <t>Kit Batería Cocina 8 Pza + Set 12 Utensilios</t>
  </si>
  <si>
    <t>Pack456</t>
  </si>
  <si>
    <t>Cuchillería 24 Pzas + Cubiertos Ensalada Versalle Simplit</t>
  </si>
  <si>
    <t>Set Cuchillos 5 Pzas Acero Inoxidable + Base Küche Simplit</t>
  </si>
  <si>
    <t>Set Cuchillos 5 Pzas Acero Inoxidable + Taco HolzSimplit</t>
  </si>
  <si>
    <t>Set Cuchillos 5 Pzas Acero Inoxidable + Taco Stahl Simplit</t>
  </si>
  <si>
    <t>Set Cuchillos 5 Pzas Acero Inoxidable Marsella Simplit</t>
  </si>
  <si>
    <t>Set Cuchillos 5 Pzas Acero Inoxidable Paris Simplit</t>
  </si>
  <si>
    <t>Set Cuchillos para Queso 4 Pzas Acero Inoxidable Provenza Simplit</t>
  </si>
  <si>
    <t>Set de Cucharas Ensalada Acero Inoxidable Versalle Simplit</t>
  </si>
  <si>
    <t>Set de Cuchillería 24 Pzas Cubiertos Acero Inoxidable Le Mans Simplit</t>
  </si>
  <si>
    <t>Set de Cuchillería 24 Pzas Cubiertos Acero Inoxidable Paris Simplit</t>
  </si>
  <si>
    <t>Set de Cuchillería 24 Pzas Cubiertos Acero Inoxidable Versalle Simplit</t>
  </si>
  <si>
    <t>Set de Cuchillería 30 Pzas Cubiertos Acero Inoxidable Puglia Simplit</t>
  </si>
  <si>
    <t>Set de Cuchillería 30 Pzas Cubiertos Acero Inoxidable Sicilia Simplit</t>
  </si>
  <si>
    <t>Pack405</t>
  </si>
  <si>
    <t>Set de Cuchillería 48 pcs Le Mans</t>
  </si>
  <si>
    <t>Pack404</t>
  </si>
  <si>
    <t>Set de Cuchillería 48 pcs Versalle</t>
  </si>
  <si>
    <t>Mantequillero + Cuchillo 600 ml</t>
  </si>
  <si>
    <t>Mantequillero Cerámica Tapa Bamboo 300ml Simplit</t>
  </si>
  <si>
    <t>Mantequillero Cerámica Tapa bamboo con cuchillo 600ml Blanco Simplit</t>
  </si>
  <si>
    <t>Mantequillero Cerámica Tapa bamboo con cuchillo 600ml Negro Simplit</t>
  </si>
  <si>
    <t>PACK36</t>
  </si>
  <si>
    <t>Kit Sartén Antiadherente Copper + Set 12 Utensilios</t>
  </si>
  <si>
    <t>Olla Antiadherente 24cm Toulouse</t>
  </si>
  <si>
    <t>Olla Salsa Antiadherente 18cm Toulouse</t>
  </si>
  <si>
    <t>Pack396</t>
  </si>
  <si>
    <t>Pack Olla 24cm + Olla Salsa 18cm + Sarten 24cm Toulouse</t>
  </si>
  <si>
    <t>Pack397</t>
  </si>
  <si>
    <t>Pack Olla 24cm + Olla Salsa 18cm Toulouse</t>
  </si>
  <si>
    <t>Pack395</t>
  </si>
  <si>
    <t>Pack Olla Cacerola 28cm + Sartén 24cm Toulouse</t>
  </si>
  <si>
    <t>Sarten Antiadherente Toulouse Serie 24 cm</t>
  </si>
  <si>
    <t>Pack88</t>
  </si>
  <si>
    <t>Set 2 Sarténes Copper Antiadherente 28cm Tapa + 24cm Simplit</t>
  </si>
  <si>
    <t>Pack 2 Termos de Comida 400ml Rosado y Azul</t>
  </si>
  <si>
    <t>Pack 2 Termos de Comida 750ml Rosado y Gris</t>
  </si>
  <si>
    <t>Pack 2 Termos de Comida 750ml Rosado y Negro</t>
  </si>
  <si>
    <t>Termo Comida 430 ml Azul</t>
  </si>
  <si>
    <t>66800472805184-FF</t>
  </si>
  <si>
    <t>Termo Comida 750 ml Gris</t>
  </si>
  <si>
    <t>66800471275549-FF</t>
  </si>
  <si>
    <t>Termo Comida 750 ml Negro</t>
  </si>
  <si>
    <t>Termo Comida Cuchara Acero Inox 400ml Negro Simplit</t>
  </si>
  <si>
    <t>6680046943795-FF</t>
  </si>
  <si>
    <t>Termo de Comida Insulado Acero Inox 750 ml Rosado</t>
  </si>
  <si>
    <t>Pack254</t>
  </si>
  <si>
    <t>Pack Bowl Multifuncional + Tabla de corte 3 en 1</t>
  </si>
  <si>
    <t>Set 12 Utensilios de cocina Calipso</t>
  </si>
  <si>
    <t>Set 12 Utensilios de cocina Negro</t>
  </si>
  <si>
    <t>1629726117626-FF</t>
  </si>
  <si>
    <t>Set 12 Utensilios de Cocina Silicona Calipso Simplit</t>
  </si>
  <si>
    <t>Set 12 Utensilios de Cocina Silicona Negro Simplit</t>
  </si>
  <si>
    <t>Tabla de Corte Plegable 3 en 1</t>
  </si>
  <si>
    <t>Tabla para Picar Cortar Madera 40x28cm Cutte Simplit</t>
  </si>
  <si>
    <t>PACK33</t>
  </si>
  <si>
    <t>Kit Pesa + Alfombrilla Hornear + Bowl</t>
  </si>
  <si>
    <t>Pack70</t>
  </si>
  <si>
    <t>Cafetera Francesa 600ml +Taza Doble Pared 300ml</t>
  </si>
  <si>
    <t>Pack73</t>
  </si>
  <si>
    <t>Cafetera Francesa 600ml +Taza Doble Pared 350ml</t>
  </si>
  <si>
    <t>1630369674271-FF</t>
  </si>
  <si>
    <t>Cafetera Francesa Negra</t>
  </si>
  <si>
    <t>Pack82</t>
  </si>
  <si>
    <t>Cafetera Italiana 12 Tazas + Set 2 Tazas Expreso 80 ml</t>
  </si>
  <si>
    <t>Pack80</t>
  </si>
  <si>
    <t>Cafetera Italiana 12 Tazas + Set 2 Vasos Doble Pared</t>
  </si>
  <si>
    <t>Pack79</t>
  </si>
  <si>
    <t>Cafetera Italiana 12 Tazas + Taza Doble Pared 300 ml</t>
  </si>
  <si>
    <t>Pack81</t>
  </si>
  <si>
    <t>Cafetera Italiana 12 Tazas + Taza Doble Pared 350 ml</t>
  </si>
  <si>
    <t>Cafetera Italiana 12 Tazas 600ml Granito Negra Simplit</t>
  </si>
  <si>
    <t>Pack78</t>
  </si>
  <si>
    <t>Cafetera Italiana 4 Tazas + Set 2 Tazas Expreso 80 ml</t>
  </si>
  <si>
    <t>Pack76</t>
  </si>
  <si>
    <t>Cafetera Italiana 4 Tazas + Set 2 Vasos Doble Pared</t>
  </si>
  <si>
    <t>Pack77</t>
  </si>
  <si>
    <t>Cafetera Italiana 4 Tazas + Taza Doble Pared 350 ml</t>
  </si>
  <si>
    <t>Cafetera Italiana 4 Tazas 300ml Granito Negra Simplit</t>
  </si>
  <si>
    <t>Cafetera Prensa Francesa 600ml Negra Simplit</t>
  </si>
  <si>
    <t>Cafetera Prensa Francesa Vidrio 600ml Cobre Simplit</t>
  </si>
  <si>
    <t>Pack321</t>
  </si>
  <si>
    <t>Pack Cafetera Francesa 600 ml + Set 2 Tazas 300 ml</t>
  </si>
  <si>
    <t>Pack Cafetera Francesa 600 ml + Set 2 Tazas 350 ml</t>
  </si>
  <si>
    <t>Pack323</t>
  </si>
  <si>
    <t>Pack Cafetera Francesa 600 ml + Set 2 Tazas 80 ml</t>
  </si>
  <si>
    <t>Pack326</t>
  </si>
  <si>
    <t>Pack Cafetera Francesa 600 ml + Set 2 Vasos 320 ml</t>
  </si>
  <si>
    <t>Pack319</t>
  </si>
  <si>
    <t>Pack Cafetera Francesa 600 ml + Set 2 Vasos 400 ml</t>
  </si>
  <si>
    <t>Pack322</t>
  </si>
  <si>
    <t>Pack Cafetera Francesa 600 ml + Set 2 Vasos 550 ml</t>
  </si>
  <si>
    <t>Pack324</t>
  </si>
  <si>
    <t>Pack Cafetera Francesa 600 ml + Taza Mug 300 ml</t>
  </si>
  <si>
    <t>Pack325</t>
  </si>
  <si>
    <t>Pack Cafetera Francesa 600 ml + Taza Vidrio 350ml</t>
  </si>
  <si>
    <t>Pack74</t>
  </si>
  <si>
    <t>Pack Cafetera Francesa 600ml + Set 2 Tazas 80ml</t>
  </si>
  <si>
    <t>Pack72</t>
  </si>
  <si>
    <t>Pack Cafetera Francesa 600ml + Set 2 Vasos 400 ml</t>
  </si>
  <si>
    <t>Pack75</t>
  </si>
  <si>
    <t>Pack Cafetera Italiana 4 Tazas + Taza Doble Pared</t>
  </si>
  <si>
    <t>Set 2 Tazas de Vidrio Doble Pared 350 ml</t>
  </si>
  <si>
    <t>Set 2 Tazas Mug de Vidrio Doble Pared 300ml Simplit</t>
  </si>
  <si>
    <t>Pack388</t>
  </si>
  <si>
    <t>Set 4 Tazas Cerámica 420ml Palermo Simplit</t>
  </si>
  <si>
    <t>Pack85</t>
  </si>
  <si>
    <t>Set 4 Tazas Vidrio Doble Pared 350ml Simplit</t>
  </si>
  <si>
    <t>Pack84</t>
  </si>
  <si>
    <t>Set 4 Tazas Vidrio Doble Pared Espresso 80ml Simplit</t>
  </si>
  <si>
    <t>Pack84-FF</t>
  </si>
  <si>
    <t>Set 4 Tazas Vidrio Doble Pared Expreso 80 ml</t>
  </si>
  <si>
    <t>Pack83</t>
  </si>
  <si>
    <t>Set 4 Tazas Vidrio Mug Doble Pared 300ml Simplit</t>
  </si>
  <si>
    <t>Taza Mug Vidrio Doble Pared 300 ml Simplit</t>
  </si>
  <si>
    <t>Taza Mug Vidrio Doble Pared 350 ml Simplit</t>
  </si>
  <si>
    <t>Jarra Termo Liquido Insulado 1 Lt Simplit (Blanco)</t>
  </si>
  <si>
    <t>Jarra Termo Liquido Insulado 1 Lt Simplit (Gris)</t>
  </si>
  <si>
    <t>Jarra Termo Liquido Insulado 1 Lt Simplit (Negro)</t>
  </si>
  <si>
    <t>Termo Jarra 1 Lt Gris</t>
  </si>
  <si>
    <t>67951423489593-FF</t>
  </si>
  <si>
    <t>Tumbler 750ml Morado</t>
  </si>
  <si>
    <t>67951425161311-FF</t>
  </si>
  <si>
    <t>Tumbler 750ml Negro</t>
  </si>
  <si>
    <t>Tumbler 750ml Rosado</t>
  </si>
  <si>
    <t>67951421434761-FF</t>
  </si>
  <si>
    <t>Vaso Térmico Tumbler Tapa y Bombilla 750ml Simplit</t>
  </si>
  <si>
    <t>Basurero Cocina 30lts Pedal Acero Inoxidable Urban Simplit</t>
  </si>
  <si>
    <t>Basurero Cocina 40lts Pedal Acero Inoxidable Iron Simplit</t>
  </si>
  <si>
    <t>Basurero Cocina 55lts Táctil Acero Inoxidable Handy Simplit</t>
  </si>
  <si>
    <t>Contenedor Plástico Hermético Bento Box Beige Simplit</t>
  </si>
  <si>
    <t>Contenedor Plástico Hermético Bento Box Celeste Simplit</t>
  </si>
  <si>
    <t>Contenedor Plástico Hermético Bento Box Rojo Simplit</t>
  </si>
  <si>
    <t>Contenedor Plástico Hermético Bento Box Verde Simplit</t>
  </si>
  <si>
    <t>Pack265</t>
  </si>
  <si>
    <t>Pack 10 Contenedores Herméticos Plástico Blanco</t>
  </si>
  <si>
    <t>Pack262-FF</t>
  </si>
  <si>
    <t>Pack 14 Contenedores Herméticos Plástico Blanco</t>
  </si>
  <si>
    <t>Pack262</t>
  </si>
  <si>
    <t>Pack 14 Contenedores Herméticos Plástico Blanco Simplit</t>
  </si>
  <si>
    <t>Pack261-FF</t>
  </si>
  <si>
    <t>Pack 14 Contenedores Herméticos Plástico Negro</t>
  </si>
  <si>
    <t>Pack261</t>
  </si>
  <si>
    <t>Pack 14 Contenedores Herméticos Plástico Negro Simplit</t>
  </si>
  <si>
    <t>PACK298</t>
  </si>
  <si>
    <t>Pack 2 Contenedores Cerámica Tapa Madera S Blanco</t>
  </si>
  <si>
    <t>PACK299</t>
  </si>
  <si>
    <t>Pack 2 Contenedores Cerámica Tapa Madera S Negro</t>
  </si>
  <si>
    <t>Pack263</t>
  </si>
  <si>
    <t>Pack 6 Contenedores Herméticos Cerámica Blanco</t>
  </si>
  <si>
    <t>Pack308</t>
  </si>
  <si>
    <t>Pack Contenedores Alimento Hermeticos Set 8</t>
  </si>
  <si>
    <t>Pack255</t>
  </si>
  <si>
    <t>Pack Mantequillero 300ml + Panera Metálica</t>
  </si>
  <si>
    <t>Pack253</t>
  </si>
  <si>
    <t>Pack Mantequillero+ Cuchillo+Panera Metálica</t>
  </si>
  <si>
    <t>Pack Organizador de Refrigerador Cesta M + L Simplit</t>
  </si>
  <si>
    <t>Pack Organizador Refrigerador Drenaje S + L Simplit</t>
  </si>
  <si>
    <t>1654207748340-FF</t>
  </si>
  <si>
    <t>Set 3 Bowls Acero con Tapa</t>
  </si>
  <si>
    <t>Set 3 Bowls Tapa Acero Inoxidable Antideslizante Simplit</t>
  </si>
  <si>
    <t>Set 3 Contenedores Cerámica Hermético Blanco Simplit</t>
  </si>
  <si>
    <t>Set 3 Contenedores Cerámica Hermético Negro Simplit</t>
  </si>
  <si>
    <t>Set 3 Contenedores Herméticos Plástico Blanco Simplit</t>
  </si>
  <si>
    <t>1627418212924-FF</t>
  </si>
  <si>
    <t>Set 7 Contenedores Blanco</t>
  </si>
  <si>
    <t>Set 7 Contenedores Herméticos Plástico Blanco Simplit</t>
  </si>
  <si>
    <t>Set 7 Contenedores Herméticos Plástico Negro Simplit</t>
  </si>
  <si>
    <t>67327712330533-FF</t>
  </si>
  <si>
    <t>Set 7 Contenedores Negro</t>
  </si>
  <si>
    <t>Set de 4 Contenedores redondos</t>
  </si>
  <si>
    <t>1627418180602-FF</t>
  </si>
  <si>
    <t>Especiero Giratorio Metálico</t>
  </si>
  <si>
    <t>SIMMPS</t>
  </si>
  <si>
    <t>Molinillo Pimienta y Sal</t>
  </si>
  <si>
    <t>Set Molinillos Sal y Pimienta Madera Verona Simplit</t>
  </si>
  <si>
    <t>Set Molinillos Sal y Pimienta Vidrio Simplit</t>
  </si>
  <si>
    <t>1658525816907-FF</t>
  </si>
  <si>
    <t>Pack Organizador Refrigerador Drenaje S + L</t>
  </si>
  <si>
    <t>Secaplatos Escurridor 2 Niveles Acero Inox Bilbao Blanco Simplit</t>
  </si>
  <si>
    <t>Secaplatos Escurridor 2 Niveles Acero Inox Bilbao Negro Simplit</t>
  </si>
  <si>
    <t>Secaplatos Escurridor 2 Niveles Acero Inox Valencia Blanco Simplit</t>
  </si>
  <si>
    <t>Secaplatos Escurridor 2 Niveles Acero Inox Valencia Negro Simplit</t>
  </si>
  <si>
    <t>68540048936286-FF</t>
  </si>
  <si>
    <t>Secaplatos Negro 1 Nivel</t>
  </si>
  <si>
    <t>1660858341796-FF</t>
  </si>
  <si>
    <t>Secaplatos Negro 2 Niveles</t>
  </si>
  <si>
    <t>Secaplatos Negro 2 Niveles armable</t>
  </si>
  <si>
    <t>1659991379695-FF</t>
  </si>
  <si>
    <t>Parrilla Portátil Negra</t>
  </si>
  <si>
    <t>Parrilla Portátil Roja</t>
  </si>
  <si>
    <t>Set Alcuza Cerámica Cuadrada 500 ml Simplit</t>
  </si>
  <si>
    <t>Set Alcuza Redonda 500 ml</t>
  </si>
  <si>
    <t>Fuente Ovalada Aperitivo Cerámica 36cm Amalfi</t>
  </si>
  <si>
    <t>Fuente Ovalada Aperitivo Cerámica 36cm Siena</t>
  </si>
  <si>
    <t>Fuente Ovalada Aperitivo Cerámica 36cm Vittoria</t>
  </si>
  <si>
    <t>Pack438</t>
  </si>
  <si>
    <t>Set 2 Fuentes de Cerámica para Horno Roja Simplit</t>
  </si>
  <si>
    <t>Pack374</t>
  </si>
  <si>
    <t>Set 3 Fuentes Ovaladas Aperitivo Cerámica 36cm</t>
  </si>
  <si>
    <t>Pack439</t>
  </si>
  <si>
    <t>Set 4 Fuentes de Cerámica para Horno Roja Simplit</t>
  </si>
  <si>
    <t>Juego de Loza Cerámica 12 pcs 4 personas Toscana Simplit</t>
  </si>
  <si>
    <t>Pack454</t>
  </si>
  <si>
    <t>Juego de Loza Cerámica 12 Pzas 4 personas Siena Simplit</t>
  </si>
  <si>
    <t>Juego de Loza Cerámica 16 pcs 4 personas Amalfi Simplit</t>
  </si>
  <si>
    <t>Juego de Loza Cerámica 24 pcs 6 personas Amalfi Simplit</t>
  </si>
  <si>
    <t>Pack383</t>
  </si>
  <si>
    <t>Juego de Loza Cerámica 24 Pzas 8 personas Toscana Simplit</t>
  </si>
  <si>
    <t>Juego de Loza Cerámica 30 pcs 6 personas Bruselas Simplit</t>
  </si>
  <si>
    <t>Juego de Loza Cerámica 30 pcs 6 personas Siena Simplit</t>
  </si>
  <si>
    <t>Pack382</t>
  </si>
  <si>
    <t>Juego de Loza Cerámica 32 Pzas 8 personas Amalfi Simplit</t>
  </si>
  <si>
    <t>Pack403</t>
  </si>
  <si>
    <t>Pack Doble Juego de Loza 12 pcs Toscana Cerámica Simplit</t>
  </si>
  <si>
    <t>Sin Toyo</t>
  </si>
  <si>
    <t>Barra Wow Peanut</t>
  </si>
  <si>
    <t>Foods</t>
  </si>
  <si>
    <t>Alimento</t>
  </si>
  <si>
    <t>Barras cereal</t>
  </si>
  <si>
    <t>Sin toyo</t>
  </si>
  <si>
    <t>Pack 5 Unidades Wow Peanut</t>
  </si>
  <si>
    <t>Skin Food</t>
  </si>
  <si>
    <t>Aceite Corporal Grape Seed 180Ml</t>
  </si>
  <si>
    <t>Contorno De Ojos Black Raspberry 25Ml</t>
  </si>
  <si>
    <t>Crema Corporal Grape Seed 335Ml</t>
  </si>
  <si>
    <t>Crema Corporal Lemon Verbena 335Ml</t>
  </si>
  <si>
    <t>Crema Facial Royal Honey Propolis 63Ml</t>
  </si>
  <si>
    <t>Crema Nocturna Royal Honey Propolis 80Ml</t>
  </si>
  <si>
    <t>Espuma Exfoliante Black Sugar 180Ml</t>
  </si>
  <si>
    <t>Tónico Avocado 160Ml</t>
  </si>
  <si>
    <t>Tónico Royal Honey Propolis 160Ml</t>
  </si>
  <si>
    <t>BODY WASH LEMON VERBENA 335ML</t>
  </si>
  <si>
    <t>Esencia Corporal Honey Rich 335Ml</t>
  </si>
  <si>
    <t>Jabón Corporal Grape Seed 335Ml</t>
  </si>
  <si>
    <t>Jabón Corporal Honey Rich 335Ml</t>
  </si>
  <si>
    <t>Jabón Corporal Lemon Verbena 335Ml</t>
  </si>
  <si>
    <t>Agua Limpiadora Rice Daily Brightening 300Ml</t>
  </si>
  <si>
    <t>Emulsión Facial Avocado 160Ml</t>
  </si>
  <si>
    <t>Emulsión Facial Royal Honey Propolis 160Ml</t>
  </si>
  <si>
    <t>Esencia Facial Avocado 50Ml</t>
  </si>
  <si>
    <t>Esencia Facial Royal Honey Propolis 50Ml</t>
  </si>
  <si>
    <t>Exfoliante Facial Black Sugar 210G</t>
  </si>
  <si>
    <t>Mascarilla Facial Asparagus</t>
  </si>
  <si>
    <t>Mascarilla Facial Broccoli</t>
  </si>
  <si>
    <t>Mascarilla Facial Cabbage</t>
  </si>
  <si>
    <t>Mascarilla Facial Eggplant</t>
  </si>
  <si>
    <t>Mascarilla Facial Kale</t>
  </si>
  <si>
    <t>Mascarilla Facial Lotus Root</t>
  </si>
  <si>
    <t>Mascarilla Facial Paprika</t>
  </si>
  <si>
    <t>Mascarilla Facial Pumpkin</t>
  </si>
  <si>
    <t>Mascarilla Facial Spinach</t>
  </si>
  <si>
    <t>Mascarilla Facial Tomato</t>
  </si>
  <si>
    <t>Mascarilla Facial Wash Off Black Sugar 100G</t>
  </si>
  <si>
    <t>Mascarilla Facial Wash Off Rice 100G</t>
  </si>
  <si>
    <t>Mascarilla Facial Wash Off Rice Daily Brightening 210G</t>
  </si>
  <si>
    <t>Mascarilla Facial Wash Off Skin Sugar Strawberry 100G</t>
  </si>
  <si>
    <t>Serum Black Sugar 120Ml</t>
  </si>
  <si>
    <t>Smashers</t>
  </si>
  <si>
    <t>Casa Del Terror Smashers De Zuru</t>
  </si>
  <si>
    <t>Huevo Dinosaurio Para Excavar Smashers Junior De Zuru</t>
  </si>
  <si>
    <t>Huevo Epico Smashers Dino Island Zuru</t>
  </si>
  <si>
    <t>Huevo Smashers Caceria Dino</t>
  </si>
  <si>
    <t>Mega Huevo Smashers Jurassic Con Luces</t>
  </si>
  <si>
    <t>Mini Huevo Mashers Dino Island Zuru</t>
  </si>
  <si>
    <t>Nano Huevo Smashers Dino Island Zuru</t>
  </si>
  <si>
    <t>Snackles</t>
  </si>
  <si>
    <t>Peluche Snackles De 12 cm De Zuru</t>
  </si>
  <si>
    <t>Peluche Snackles De 35 cm De Zuru</t>
  </si>
  <si>
    <t>Sonic</t>
  </si>
  <si>
    <t>Figura de Acción 5 cm Pelicula Sonic 3</t>
  </si>
  <si>
    <t>Figura de Acción 5 cm Sonic</t>
  </si>
  <si>
    <t>Figura Sonic 10 cm con Accesorio</t>
  </si>
  <si>
    <t>Figura Sonic 6 cm con Accesorio</t>
  </si>
  <si>
    <t>Figura Sonic De 13 cm Pelicula Sonic 3</t>
  </si>
  <si>
    <t>Pack 3 Figuras Sonic De 6 Cms Con Accesorios</t>
  </si>
  <si>
    <t>Pack 5 Figuras De 6 Cms Sonic</t>
  </si>
  <si>
    <t>Pack 5 Figuras Sonic De 7 Cms</t>
  </si>
  <si>
    <t>Peluche Basico Sonic De 23 cm Pelicula Sonic 3</t>
  </si>
  <si>
    <t>Peluche Mochila Sonic De 30 Cms</t>
  </si>
  <si>
    <t>Playset Pista De Carreras Stardust Con Figura Sonic 6 Cms</t>
  </si>
  <si>
    <t>South Bites</t>
  </si>
  <si>
    <t>Pack Snack 1 Bully sticks + 1 Meat sticks + 1 Premium Pipes</t>
  </si>
  <si>
    <t>Snack perro</t>
  </si>
  <si>
    <t>Pack Snack 1 Bully Sticks + 1 Protein cube + 1 Heart Chips</t>
  </si>
  <si>
    <t>Pack Snack 1Bully sticks+1Trenzas Colágeno+1Premium Pipes</t>
  </si>
  <si>
    <t>Pack Snack Perros 1 Bully sticks + 2 Meat sticks South Bites</t>
  </si>
  <si>
    <t>Pack Snack Perros 2 Heart Chips + 2 Protein Cubes</t>
  </si>
  <si>
    <t>Pack Snack Perros 3 Bully sticks South Bites</t>
  </si>
  <si>
    <t>Snack Para Perros Bully Bites</t>
  </si>
  <si>
    <t>Snack para Perros Bully Sticks</t>
  </si>
  <si>
    <t>Snack Para Perros Coral Bites</t>
  </si>
  <si>
    <t>Snack Para Perros Heart Chips</t>
  </si>
  <si>
    <t>Snack Para Perros Meat Bites</t>
  </si>
  <si>
    <t>Snack Para Perros Meat Sticks</t>
  </si>
  <si>
    <t>Snack Para Perros Premium Pipes</t>
  </si>
  <si>
    <t>Snack Para Perros Protein Cubes</t>
  </si>
  <si>
    <t>Snack Para Perros Trenzas Colágeno</t>
  </si>
  <si>
    <t>Sparkle Girlz</t>
  </si>
  <si>
    <t>Muñeca Princesa 27 cm con Caballo Unicornio Sparkle Girlz</t>
  </si>
  <si>
    <t>Muñeca Princesa 33 cm Sparkle Girlz De Zuru Modelos Surtidos</t>
  </si>
  <si>
    <t>Muñeca Princesa Unicornio Sparkle Girlz De Zuru</t>
  </si>
  <si>
    <t>Spiderman</t>
  </si>
  <si>
    <t>Cuatrimoto R/C Con Figura Spiderman</t>
  </si>
  <si>
    <t>Spot Essence</t>
  </si>
  <si>
    <t>Aromatizador de auto 8 ml Berries Blossom</t>
  </si>
  <si>
    <t>Aromatizador de Auto 8 ml Coco Lime</t>
  </si>
  <si>
    <t>Aromatizador de Auto 8 ml Green Tea</t>
  </si>
  <si>
    <t>Aromatizador de Auto 8 ml Hawaii</t>
  </si>
  <si>
    <t>Aromatizador de Auto 8 ml Ipanema</t>
  </si>
  <si>
    <t>Aromatizador de Auto 8ml Monoi</t>
  </si>
  <si>
    <t>Home Spray LH 500ml Ambar Berries Blossom</t>
  </si>
  <si>
    <t>Home Spray LH 500ml Ambar Coco Lime</t>
  </si>
  <si>
    <t>Home Spray LH 500ml Ambar Hawaii</t>
  </si>
  <si>
    <t>Home Spray LH 500ml Ambar Ipanema</t>
  </si>
  <si>
    <t>Home Spray LH 500ml Ambar Verbena Citrus</t>
  </si>
  <si>
    <t>Spray Home LH 500ml Ambar Sandalwood</t>
  </si>
  <si>
    <t>Difusor de Varillas 150 ml Sandalwood</t>
  </si>
  <si>
    <t>Difusor de Varillas 150ml Berries Blossom</t>
  </si>
  <si>
    <t>Difusor de Varillas 150ml Coco Lime</t>
  </si>
  <si>
    <t>Difusor de Varillas 150ml Fig Velvet</t>
  </si>
  <si>
    <t>Difusor de Varillas 150ml Hawaii</t>
  </si>
  <si>
    <t>Difusor de Varillas 150ml Ipanema</t>
  </si>
  <si>
    <t>Difusor de Varillas 150ml Teakwood</t>
  </si>
  <si>
    <t>Difusor de Varillas 150ml Verbena Citrus</t>
  </si>
  <si>
    <t>Refill Difusor de Varillas 250ml Coco Lime</t>
  </si>
  <si>
    <t>Refill Difusor de Varillas 250ml Fig Velvet</t>
  </si>
  <si>
    <t>Refill Difusor de Varillas 250ml Hawaii</t>
  </si>
  <si>
    <t>Refill Difusor de Varillas 250ml Ipanema</t>
  </si>
  <si>
    <t>Refill Difusor de Varillas 250ml Sandalwood</t>
  </si>
  <si>
    <t>Refill Difusor de Varillas 250ml Teakwood</t>
  </si>
  <si>
    <t>Refill Difusor de Varillas 250ml Verbena Citrus</t>
  </si>
  <si>
    <t>Refill Difusor Varillas 250ml Berries Blossom</t>
  </si>
  <si>
    <t>Stiga</t>
  </si>
  <si>
    <t>ST1110251006</t>
  </si>
  <si>
    <t>Pack 6 Pelotas Ping Pong Blancas 1 Estrella Stiga</t>
  </si>
  <si>
    <t>Ping pong</t>
  </si>
  <si>
    <t>ST1112231006</t>
  </si>
  <si>
    <t>Pack 6 Pelotas Ping Pong Blancas 2 Estrellas Stiga</t>
  </si>
  <si>
    <t>Stokke</t>
  </si>
  <si>
    <t>Arnés de Seguridad Bebé Silla</t>
  </si>
  <si>
    <t>Bandeja Almacenamiento Silla Bebé Blanco</t>
  </si>
  <si>
    <t>Bandeja Comedor Bebé Blanco</t>
  </si>
  <si>
    <t>Bandeja Comedor Bebé Gris</t>
  </si>
  <si>
    <t>Bandeja Comedor Bebé Negro</t>
  </si>
  <si>
    <t>Set Bebé Tripp Trapp Amarillo Girasol</t>
  </si>
  <si>
    <t>Set Bebé Tripp Trapp Blanco</t>
  </si>
  <si>
    <t>Set Bebé Tripp Trapp Gris</t>
  </si>
  <si>
    <t>Set Bebé Tripp Trapp Marrón Nogal</t>
  </si>
  <si>
    <t>Set Bebé Tripp Trapp Menta Suave</t>
  </si>
  <si>
    <t>Set Bebé Tripp Trapp Natural</t>
  </si>
  <si>
    <t>Set Bebé Tripp Trapp Rojo Cálido</t>
  </si>
  <si>
    <t>Set Bebé Tripp Trapp Verde</t>
  </si>
  <si>
    <t>Silla Recién Nacido Tripp Trapp Gris</t>
  </si>
  <si>
    <t>Silla Tripp Trapp Amarillo Girasol</t>
  </si>
  <si>
    <t>Silla Tripp Trapp Blanco</t>
  </si>
  <si>
    <t>Silla Tripp Trapp Crema</t>
  </si>
  <si>
    <t>Silla Tripp Trapp Gris</t>
  </si>
  <si>
    <t>Silla Tripp Trapp Gris Tormenta</t>
  </si>
  <si>
    <t>Silla Tripp Trapp Marrón Nogal</t>
  </si>
  <si>
    <t>Silla Tripp Trapp Menta Suave</t>
  </si>
  <si>
    <t>Silla Tripp Trapp Natural</t>
  </si>
  <si>
    <t>Silla Tripp Trapp Negro Roble</t>
  </si>
  <si>
    <t>Silla Tripp Trapp Rojo Cálido</t>
  </si>
  <si>
    <t>Silla Tripp Trapp Verde</t>
  </si>
  <si>
    <t>Soporte de Patas Tina de Baño</t>
  </si>
  <si>
    <t>Limpieza Bebé</t>
  </si>
  <si>
    <t>Bañeras para bebé</t>
  </si>
  <si>
    <t>Soporte de Tina Para Recien Nacidos</t>
  </si>
  <si>
    <t>Tina de Baño Flexible Blanco</t>
  </si>
  <si>
    <t>Tina de Baño Flexible Blanco / Amarillo</t>
  </si>
  <si>
    <t>Tina de Baño Flexible Blanco / Azul</t>
  </si>
  <si>
    <t>Tina de Baño Flexible Transparente / Rosado</t>
  </si>
  <si>
    <t>Tina de Baño Flexible Transparente / Verde</t>
  </si>
  <si>
    <t>Tina de Baño Flexible Transparente /Azul</t>
  </si>
  <si>
    <t>Tina de Baño Flexible XL Blanco</t>
  </si>
  <si>
    <t>Tina de Baño Flexible XL Transparente / Verde</t>
  </si>
  <si>
    <t>Street Runner</t>
  </si>
  <si>
    <t>YX-HF001MM</t>
  </si>
  <si>
    <t>Casco Multisport 001 Morado Talla M</t>
  </si>
  <si>
    <t>YX-HF099GM</t>
  </si>
  <si>
    <t>Casco Multisport 099 Gris Talla M</t>
  </si>
  <si>
    <t>Casco Multisport 099 Morado Talla M</t>
  </si>
  <si>
    <t>YX-HF099NM</t>
  </si>
  <si>
    <t>Casco Multisport 099 Naranjo Talla M</t>
  </si>
  <si>
    <t>YX-HF099BM</t>
  </si>
  <si>
    <t>Casco Multisport 099 Negro Talla M</t>
  </si>
  <si>
    <t>YX-HF099RM</t>
  </si>
  <si>
    <t>Casco Multisport 099 Rojo Talla M</t>
  </si>
  <si>
    <t>Stumble Guys</t>
  </si>
  <si>
    <t>Figura 12 Cms Con Accesorios Stumble Guys</t>
  </si>
  <si>
    <t>Figura 8 Cms Articulada Stumble Guys</t>
  </si>
  <si>
    <t>Figura de Acción 5 cm Stumble Guys</t>
  </si>
  <si>
    <t>Pack 2 Figuras 8 Cms Articuladas Stumble Guys</t>
  </si>
  <si>
    <t>Pack 3 Figuras 5 Cms Stumble Guys</t>
  </si>
  <si>
    <t>Pack 3 Figuras 8 Cms Articuladas Stumble Guys</t>
  </si>
  <si>
    <t>Pack 5 Figuras 5 Cms Stumble Guys</t>
  </si>
  <si>
    <t>Pack 8 Figuras 5 cm Stumble Guys</t>
  </si>
  <si>
    <t>Peluche 30 Cms Electronico Stumble Guys</t>
  </si>
  <si>
    <t>Sun Bum</t>
  </si>
  <si>
    <t>Aclarador Capilar Blonde Hair Lightener</t>
  </si>
  <si>
    <t>Playanieve</t>
  </si>
  <si>
    <t>80-41117</t>
  </si>
  <si>
    <t>Acondicionador Púrpura</t>
  </si>
  <si>
    <t>Acondicionador Revitalizante</t>
  </si>
  <si>
    <t>Coconut Argain Oil</t>
  </si>
  <si>
    <t>80-70325</t>
  </si>
  <si>
    <t>Kit de Viaje Para el Cuidado del Cabello</t>
  </si>
  <si>
    <t>Potenciador de Tono Capilar</t>
  </si>
  <si>
    <t>Shampoo Púrpura</t>
  </si>
  <si>
    <t>Shampoo Revitalizante</t>
  </si>
  <si>
    <t>Tratamiento 3 in 1 Leave In</t>
  </si>
  <si>
    <t>Aceite Revitalizante Protector y Reparar de Cabello Sum Bum</t>
  </si>
  <si>
    <t>Anti Frizz Oil Mist 88 ml</t>
  </si>
  <si>
    <t>Mascarilla Capilar Revitalizante</t>
  </si>
  <si>
    <t>Protector de Calor para el Cabello</t>
  </si>
  <si>
    <t>After Sun Cool Down Gel</t>
  </si>
  <si>
    <t>After Sun</t>
  </si>
  <si>
    <t>After Sun Cool Down Lotion</t>
  </si>
  <si>
    <t>20-48051</t>
  </si>
  <si>
    <t>Bálsamo Labial Con Color SPF 15 Bonfire</t>
  </si>
  <si>
    <t>Bálsamos labiales</t>
  </si>
  <si>
    <t>Bálsamo Labial Con Color SPF 15 Nude Beach</t>
  </si>
  <si>
    <t>Bálsamo Labial Con Color SPF 15 Raisin Hell</t>
  </si>
  <si>
    <t>20-48054</t>
  </si>
  <si>
    <t>Bálsamo Labial Con Color SPF 15 Sand Bar</t>
  </si>
  <si>
    <t>Bálsamo Labial Con Color Spf 15 Sunset Cove</t>
  </si>
  <si>
    <t>Bálsamo Labial Lip Balm SPF 30 Banana</t>
  </si>
  <si>
    <t>Bálsamo Labial Lip Balm SPF 30 Key Lime</t>
  </si>
  <si>
    <t>Bálsamo Labial Lip Balm SPF 30 Mango</t>
  </si>
  <si>
    <t>Bálsamo Labial Lip Balm SPF 30 Pineapple</t>
  </si>
  <si>
    <t>20-46028</t>
  </si>
  <si>
    <t>Bálsamo Labial Lip Balm SPF 30 Pomegranate</t>
  </si>
  <si>
    <t>20-46023</t>
  </si>
  <si>
    <t>Bálsamo Labial Lip Balm SPF 30 Watermelon</t>
  </si>
  <si>
    <t>20-46024</t>
  </si>
  <si>
    <t>Samo Labial Lip Balm SPF 30 Coco</t>
  </si>
  <si>
    <t>Signature Lip Balm SPF 30</t>
  </si>
  <si>
    <t>Signature Face Stick Tinted SPF 50</t>
  </si>
  <si>
    <t>Bronceador con Protección Solar SPF 15</t>
  </si>
  <si>
    <t>Protectores Solares</t>
  </si>
  <si>
    <t>Clear Zinc Pantalla Solar a Base de Mineral SPF 50</t>
  </si>
  <si>
    <t>Loción De Protección Solar Hidratante SPF 15</t>
  </si>
  <si>
    <t>Loción De Protección Solar Hidratante SPF 30</t>
  </si>
  <si>
    <t>Loción De Protección Solar Hidratante SPF 50</t>
  </si>
  <si>
    <t>20-45030</t>
  </si>
  <si>
    <t>Protector Solar Facial En Barra PF 30</t>
  </si>
  <si>
    <t>20-45092</t>
  </si>
  <si>
    <t>Protector Solar Facial SPF 50</t>
  </si>
  <si>
    <t>Protector Solar Mineral en Barra SPF 50</t>
  </si>
  <si>
    <t>Tamagotchi</t>
  </si>
  <si>
    <t>Mascota Virtual Tamagotchi Original De Bandai</t>
  </si>
  <si>
    <t>Secador de Pelo Multistyler 5 en 1 Lumina Beige T-Care</t>
  </si>
  <si>
    <t>Secador de Pelo Multistyler 5 en 1 Lumina Lilac T-Care</t>
  </si>
  <si>
    <t>Tere Gott</t>
  </si>
  <si>
    <t>Pack205</t>
  </si>
  <si>
    <t>Libro Cosmic + Oasis Tere Gott</t>
  </si>
  <si>
    <t>Libros para colorear</t>
  </si>
  <si>
    <t>TEGOLC1</t>
  </si>
  <si>
    <t>Libro Cosmic Tere Gott</t>
  </si>
  <si>
    <t>Pack207</t>
  </si>
  <si>
    <t>Libro Explora + Oasis Tere Gott</t>
  </si>
  <si>
    <t>Libro Explora Tere Gott</t>
  </si>
  <si>
    <t>TEGOLK1</t>
  </si>
  <si>
    <t>Libro Kidz Tere Gott</t>
  </si>
  <si>
    <t>TEGOLM1</t>
  </si>
  <si>
    <t>Libro Mamba Tere Gott</t>
  </si>
  <si>
    <t>TEGOLO1</t>
  </si>
  <si>
    <t>Libro Oasis Tere Gott</t>
  </si>
  <si>
    <t>Pack203</t>
  </si>
  <si>
    <t>Libros Cosmic + Explora Tere Gott</t>
  </si>
  <si>
    <t>Pack209</t>
  </si>
  <si>
    <t>Libros Mamba + Cosmic + Explora Tere Gott</t>
  </si>
  <si>
    <t>Pack199</t>
  </si>
  <si>
    <t>Libros Mamba + Cosmic Tere Gott</t>
  </si>
  <si>
    <t>Pack211</t>
  </si>
  <si>
    <t>Libros Mamba + Explora + Oasis Tere Gott</t>
  </si>
  <si>
    <t>Pack200</t>
  </si>
  <si>
    <t>Libros Mamba + Explora Tere Gott</t>
  </si>
  <si>
    <t>Pack202</t>
  </si>
  <si>
    <t>Libros Mamba + Oasis Tere Gott</t>
  </si>
  <si>
    <t>Pack208</t>
  </si>
  <si>
    <t>Libro Baby + Oasis Tere Gott</t>
  </si>
  <si>
    <t>TEGOLB1</t>
  </si>
  <si>
    <t>Libro Baby Tere Gott</t>
  </si>
  <si>
    <t>Pack206</t>
  </si>
  <si>
    <t>Libro Explora + Baby Tere Gott</t>
  </si>
  <si>
    <t>Pack214</t>
  </si>
  <si>
    <t>Libros Baby + Cosmic + Oasis Tere Got</t>
  </si>
  <si>
    <t>Pack204</t>
  </si>
  <si>
    <t>Libros Cosmic + Baby Tere Gott</t>
  </si>
  <si>
    <t>Pack210</t>
  </si>
  <si>
    <t>Libros Cosmic + Explora + Baby Tere Gott</t>
  </si>
  <si>
    <t>Pack213</t>
  </si>
  <si>
    <t>Libros Mamba + Baby + Oasis Tere Got</t>
  </si>
  <si>
    <t>Pack201</t>
  </si>
  <si>
    <t>Libros Mamba + Baby Tere Gott</t>
  </si>
  <si>
    <t>Pack212</t>
  </si>
  <si>
    <t>Libros Oasis + Baby + Explora Tere Gott</t>
  </si>
  <si>
    <t>The North Face</t>
  </si>
  <si>
    <t>NF0A3KUE_8YF</t>
  </si>
  <si>
    <t>Mochila Casual W Surge Morada</t>
  </si>
  <si>
    <t>NF0A3KV4_JK3</t>
  </si>
  <si>
    <t>MOCHILA W BOREALIS NORTH FACE</t>
  </si>
  <si>
    <t>NF0A3KV8_6JF</t>
  </si>
  <si>
    <t>MOCHILA W JESTER NORTH FACE</t>
  </si>
  <si>
    <t>NF0A3KVA_JK3</t>
  </si>
  <si>
    <t>MOCHILA W VAULT NORTH FACE</t>
  </si>
  <si>
    <t>Thermos</t>
  </si>
  <si>
    <t>DF5040-BL</t>
  </si>
  <si>
    <t>Mug Acero Insulado 400 ML Azul</t>
  </si>
  <si>
    <t>DF5040-RD</t>
  </si>
  <si>
    <t>Mug Acero Insulado 400 ML Rojo</t>
  </si>
  <si>
    <t>DF5040-GR</t>
  </si>
  <si>
    <t>Mug Acero Insulado 400 ML Verde</t>
  </si>
  <si>
    <t>DF-1010-DB</t>
  </si>
  <si>
    <t>Mug Doble Pared Interior Acero 350 ML Azul</t>
  </si>
  <si>
    <t>DF-1010-RD</t>
  </si>
  <si>
    <t>Mug Doble Pared Interior Acero 350 ML Rojo</t>
  </si>
  <si>
    <t>DF-1010-LP</t>
  </si>
  <si>
    <t>Mug Doble Pared Interior Acero 350 ML Rosado</t>
  </si>
  <si>
    <t>3910GM</t>
  </si>
  <si>
    <t>Travel Mug Work 590ml</t>
  </si>
  <si>
    <t>TP4500WH</t>
  </si>
  <si>
    <t>Botella Squeeze Blanca 710ml</t>
  </si>
  <si>
    <t>TS4020CH</t>
  </si>
  <si>
    <t>Botella Hidratación Acero Inox Color Carbón 710ml</t>
  </si>
  <si>
    <t>2520GM</t>
  </si>
  <si>
    <t>Botella Liquida Work Series 1.2lts</t>
  </si>
  <si>
    <t>TS4800BK</t>
  </si>
  <si>
    <t>Botella Térmica Hidratación SS Negra 940ml</t>
  </si>
  <si>
    <t>TS4800RD</t>
  </si>
  <si>
    <t>Botella Térmica Hidratación SS Roja 940ml</t>
  </si>
  <si>
    <t>MP075CZ</t>
  </si>
  <si>
    <t>Termo Acero Inoxidable Multiproposito 750Ml Thermos</t>
  </si>
  <si>
    <t>DDFJ-680</t>
  </si>
  <si>
    <t>Termo Comida Acc. 680 Ml</t>
  </si>
  <si>
    <t>GS3300</t>
  </si>
  <si>
    <t>Termo Comida Acero 300 ML</t>
  </si>
  <si>
    <t>GS3000</t>
  </si>
  <si>
    <t>Termo Comida Acero 500 ML</t>
  </si>
  <si>
    <t>JMF500</t>
  </si>
  <si>
    <t>Termo Comida Acero 500ml</t>
  </si>
  <si>
    <t>GS3300-BL2</t>
  </si>
  <si>
    <t>Termo Comida Acero Inoxidable Bs25 350Ml Thermos</t>
  </si>
  <si>
    <t>GS3300-GR</t>
  </si>
  <si>
    <t>GS3000-BL2</t>
  </si>
  <si>
    <t>Termo Comida Acero Inoxidable Bs25 500Ml Thermos</t>
  </si>
  <si>
    <t>GS3000-GR</t>
  </si>
  <si>
    <t>GS3000-OR</t>
  </si>
  <si>
    <t>Termo Comida King Acero Inox 710ml</t>
  </si>
  <si>
    <t>SK3020BK-FF</t>
  </si>
  <si>
    <t>Termo Comida King Acero Inox Negro 470 ml</t>
  </si>
  <si>
    <t>SK3000BK-FF</t>
  </si>
  <si>
    <t>Termo Comida King Acero Inox Rojo 470 ml</t>
  </si>
  <si>
    <t>TS3200TRI6</t>
  </si>
  <si>
    <t>Termo Comida Microondas 355ml</t>
  </si>
  <si>
    <t>2345GM</t>
  </si>
  <si>
    <t>Termo Comida SS Work 470ml</t>
  </si>
  <si>
    <t>Termo Multipropósito Acero 750ml</t>
  </si>
  <si>
    <t>Termo Multiuso Acero 1 Lt</t>
  </si>
  <si>
    <t>Jarra Acero 2 Litros</t>
  </si>
  <si>
    <t>GCA7102-1L</t>
  </si>
  <si>
    <t>Jarra Botella Vidrio 1Lt Thermos</t>
  </si>
  <si>
    <t>GCA7102-AQ</t>
  </si>
  <si>
    <t>GCA7102-SU</t>
  </si>
  <si>
    <t>Jarra Vidrio Blanca 1,5 Lt</t>
  </si>
  <si>
    <t>Jarra Vidrio Blanca 1Lt</t>
  </si>
  <si>
    <t>CM-290SD</t>
  </si>
  <si>
    <t>Matero Acero Inox 290 ml</t>
  </si>
  <si>
    <t>CM260SETGT</t>
  </si>
  <si>
    <t>Matero C/Bombilla Ac Inox 260 ml</t>
  </si>
  <si>
    <t>SM-400-RG</t>
  </si>
  <si>
    <t>Mug 400ML Acero Insulado Doble Pared Cobre</t>
  </si>
  <si>
    <t>SM-400-GO</t>
  </si>
  <si>
    <t>Mug 400ML Acero Insulado Doble Pared Dorado</t>
  </si>
  <si>
    <t>SM-400-MB</t>
  </si>
  <si>
    <t>Mug 400ML Acero Insulado Doble Pared Negro</t>
  </si>
  <si>
    <t>B350-PK</t>
  </si>
  <si>
    <t>Mug Acero Doble Pared 300 ML Rosado</t>
  </si>
  <si>
    <t>B350-GR</t>
  </si>
  <si>
    <t>Mug Acero Doble Pared 300 ML Verde</t>
  </si>
  <si>
    <t>DF1547-MW</t>
  </si>
  <si>
    <t>Mug Acero Inox 350Ml</t>
  </si>
  <si>
    <t>DF1547-RG</t>
  </si>
  <si>
    <t>DF1547-OB</t>
  </si>
  <si>
    <t>DF1547-MB</t>
  </si>
  <si>
    <t>DF1547-PK</t>
  </si>
  <si>
    <t>Mug Acero Inoxidable 420 ML Azul</t>
  </si>
  <si>
    <t>Mug Acero Inoxidable 420 ML Celeste</t>
  </si>
  <si>
    <t>Mug Acero Inoxidable 420 ML Rojo</t>
  </si>
  <si>
    <t>32-180-C5</t>
  </si>
  <si>
    <t>Termo 1.8Lt Mondial Oceano</t>
  </si>
  <si>
    <t>32-180-C4</t>
  </si>
  <si>
    <t>Termo 1.8Lt Mondial Pistacho</t>
  </si>
  <si>
    <t>34-180-C6</t>
  </si>
  <si>
    <t>Termo 1.8Lt New Pearl Matero</t>
  </si>
  <si>
    <t>Termo 1.8Lt New Stone Matero</t>
  </si>
  <si>
    <t>Termo 1Lt Mondial Oceano</t>
  </si>
  <si>
    <t>Termo 1Lt Mondial Pistacho</t>
  </si>
  <si>
    <t>Termo 1Lt New Stone Matero</t>
  </si>
  <si>
    <t>H21120R</t>
  </si>
  <si>
    <t>Termo Liq Acero Inox Escoces 120 Y 1.2 L</t>
  </si>
  <si>
    <t>H20120R</t>
  </si>
  <si>
    <t>Termo Liq Acero Inox Escoces 120Y 470 ml</t>
  </si>
  <si>
    <t>EN-1000CL6</t>
  </si>
  <si>
    <t>Termo Líquido Acero Inoxidable Everynight 1L Thermos</t>
  </si>
  <si>
    <t>EN-1000PR6</t>
  </si>
  <si>
    <t>EN-500CL6</t>
  </si>
  <si>
    <t>Termo Líquido Acero Inoxidable Everynight 500Ml Thermos</t>
  </si>
  <si>
    <t>EN-500PR6</t>
  </si>
  <si>
    <t>CM-1000SD</t>
  </si>
  <si>
    <t>Termo Liquido Matero Ac Inox 1L</t>
  </si>
  <si>
    <t>CM-1000PR</t>
  </si>
  <si>
    <t>Termo Liquido Matero Acero Inoxidable 1L Thermos</t>
  </si>
  <si>
    <t>CM-1200GT</t>
  </si>
  <si>
    <t>Termo Liquido Matero Inox 1,2L</t>
  </si>
  <si>
    <t>32-100-C6</t>
  </si>
  <si>
    <t>Termo Liquido Mondial 1 Lt Thermos</t>
  </si>
  <si>
    <t>32-100-C7</t>
  </si>
  <si>
    <t>32-180-C6</t>
  </si>
  <si>
    <t>Termo Liquido Mondial 1.8 Lt Thermos</t>
  </si>
  <si>
    <t>32-180-C7</t>
  </si>
  <si>
    <t>34-100-C8</t>
  </si>
  <si>
    <t>Termo Líquido New Matero 1 Lt Thermos</t>
  </si>
  <si>
    <t>34-180-C8</t>
  </si>
  <si>
    <t>Termo Liquido New Matero 1.8 Lt Thermos</t>
  </si>
  <si>
    <t>Termo Líquido Tapa Plana Acero Inoxidable 1 Lt</t>
  </si>
  <si>
    <t>EN-1000-GR</t>
  </si>
  <si>
    <t>Termo Líquido Tapa Plana Acero Inoxidable 500 ml</t>
  </si>
  <si>
    <t>EN-500-GR</t>
  </si>
  <si>
    <t>2510GM</t>
  </si>
  <si>
    <t>Termo Líquidos Acero Inox Rock 1lt</t>
  </si>
  <si>
    <t>Termo Líquidos King Acero Inox Negro 1.2lts</t>
  </si>
  <si>
    <t>Termo Líquidos King Acero Inox Negro 2lts</t>
  </si>
  <si>
    <t>Termo Líquidos King Acero Inox Negro 470ml</t>
  </si>
  <si>
    <t>Termo Líquidos King Acero Inox Rojo 470ml</t>
  </si>
  <si>
    <t>32-100-C3</t>
  </si>
  <si>
    <t>Termo Líquidos Mondial Petróleo 1Lt</t>
  </si>
  <si>
    <t>32-100-C2</t>
  </si>
  <si>
    <t>Termo Líquidos Mondial Rojo 1Lt</t>
  </si>
  <si>
    <t>32-180-C1</t>
  </si>
  <si>
    <t>Termo Líquidos Mondial Verde 1,8Lt</t>
  </si>
  <si>
    <t>Termo Líquidos Mondial Verde 1Lt</t>
  </si>
  <si>
    <t>34-100-C3</t>
  </si>
  <si>
    <t>Termo Líquidos New 1Lt Azul</t>
  </si>
  <si>
    <t>34-100-C1</t>
  </si>
  <si>
    <t>Termo Líquidos New 1Lt Beige</t>
  </si>
  <si>
    <t>34-100MORADO</t>
  </si>
  <si>
    <t>Termo Líquidos New 1Lt Morado</t>
  </si>
  <si>
    <t>Termo Líquidos New Azul 1,8Lt</t>
  </si>
  <si>
    <t>34-180-C3-FF</t>
  </si>
  <si>
    <t>34-180-C1</t>
  </si>
  <si>
    <t>Termo Líquidos New Beige 1,8Lt</t>
  </si>
  <si>
    <t>MATE450-AQ</t>
  </si>
  <si>
    <t>Termo Matero 400Ml Thermos</t>
  </si>
  <si>
    <t>MATE450-SU</t>
  </si>
  <si>
    <t>Termo Mug Acero Inox Negro 470ml</t>
  </si>
  <si>
    <t>Termo Mug Acero Inox Rojo 470ml</t>
  </si>
  <si>
    <t>Termo Mug Café/Mate Morado 400ml</t>
  </si>
  <si>
    <t>Termo Mug Café/Mate Rojo 400ml</t>
  </si>
  <si>
    <t>MATE-450VERDE</t>
  </si>
  <si>
    <t>Termo Mug Café/Mate Verde 400ml</t>
  </si>
  <si>
    <t>Termos Líquidos Mondial Petróleo 1,8Lt</t>
  </si>
  <si>
    <t>32-180-C2</t>
  </si>
  <si>
    <t>Termos Líquidos Mondial Rojo 1,8Lt</t>
  </si>
  <si>
    <t>Thermo 1.8Lt Líquido New Gris Matero</t>
  </si>
  <si>
    <t>34-100-C4</t>
  </si>
  <si>
    <t>Thermo Líquido 1Lt New Gris</t>
  </si>
  <si>
    <t>SVM2307-G</t>
  </si>
  <si>
    <t>Travel Mug Acero Inox Artic 1,2 L</t>
  </si>
  <si>
    <t>SVM2307-W</t>
  </si>
  <si>
    <t>SVM2307-B</t>
  </si>
  <si>
    <t>SVM2302B-M</t>
  </si>
  <si>
    <t>Travel Mug Straw Inox Wasabi 1.1 L Blue</t>
  </si>
  <si>
    <t>CLN-15AQ</t>
  </si>
  <si>
    <t>Sifon Acero Inoxidable 1.5Lt Thermos</t>
  </si>
  <si>
    <t>CLN-15SU</t>
  </si>
  <si>
    <t>CLN-19AQ</t>
  </si>
  <si>
    <t>Sifon Acero Inoxidable Vidrio 1.9 Lt Thermos</t>
  </si>
  <si>
    <t>CLN-19SU</t>
  </si>
  <si>
    <t>CLN-30AQ</t>
  </si>
  <si>
    <t>Sifon Botella Vidrio 3 Lt Thermos</t>
  </si>
  <si>
    <t>CLN-30SU</t>
  </si>
  <si>
    <t>ZPL-22WH</t>
  </si>
  <si>
    <t>Sifon Splash Free Vidrio 2.2L</t>
  </si>
  <si>
    <t>ZPL-22GR</t>
  </si>
  <si>
    <t>Termo Sifón Acero 1,5 Lt Metálico</t>
  </si>
  <si>
    <t>Termo Sifón Acero Inox 1.9 Lt</t>
  </si>
  <si>
    <t>Termo Sifón Acero Inoxidable 2,5 Lt</t>
  </si>
  <si>
    <t>PP3025TRI-FF</t>
  </si>
  <si>
    <t>Termo Sifón Vidrio 2,5 Lt</t>
  </si>
  <si>
    <t>184957-FF</t>
  </si>
  <si>
    <t>Thermos Termo Sifón Vidrio 2.5 Lt</t>
  </si>
  <si>
    <t>Topeak</t>
  </si>
  <si>
    <t>C314</t>
  </si>
  <si>
    <t>Canasto Topeak Desmontable W/mtx Sistem</t>
  </si>
  <si>
    <t>Trotties</t>
  </si>
  <si>
    <t>Muñeca Vestida Para Viajar Mini Trotties</t>
  </si>
  <si>
    <t>Ubbi</t>
  </si>
  <si>
    <t>UB10164</t>
  </si>
  <si>
    <t>Mudador Y Bolso Para Llevar Gris Ubbi</t>
  </si>
  <si>
    <t>UB10571</t>
  </si>
  <si>
    <t>Juego De Baño Bote Azul Aguamarina Ubbi</t>
  </si>
  <si>
    <t>UB10565</t>
  </si>
  <si>
    <t>Juego De Baño Estrella Azul Ubbi</t>
  </si>
  <si>
    <t>UB10385</t>
  </si>
  <si>
    <t>Rack escurridor de mamadera Vertical UBBI</t>
  </si>
  <si>
    <t>UB10124</t>
  </si>
  <si>
    <t>Escalera Y Piso Para Niños Gris Ubbi</t>
  </si>
  <si>
    <t>Artículos para Bebés</t>
  </si>
  <si>
    <t>UB10517</t>
  </si>
  <si>
    <t>Cojin Para Arrodillarse Gris Ubbi</t>
  </si>
  <si>
    <t>UB10511</t>
  </si>
  <si>
    <t>Jarro Para Lavar El Cabello Blanco Ubbi</t>
  </si>
  <si>
    <t>UB10508</t>
  </si>
  <si>
    <t>Alfombra De Baño Antideslizante Gris Ubbi</t>
  </si>
  <si>
    <t>UB10085</t>
  </si>
  <si>
    <t>Bolsas Plásticas 25 Unidades Ubbi</t>
  </si>
  <si>
    <t>UB10032</t>
  </si>
  <si>
    <t>Contenedor De Pañales Celeste Ubbi</t>
  </si>
  <si>
    <t>UB10007</t>
  </si>
  <si>
    <t>Contenedor De Pañales Crema Ubbi</t>
  </si>
  <si>
    <t>UB10000</t>
  </si>
  <si>
    <t>Contenedor De Pañales Ubbi Blanco</t>
  </si>
  <si>
    <t>UB10031</t>
  </si>
  <si>
    <t>Contenedor De Pañales Ubbi Rosado</t>
  </si>
  <si>
    <t>UB10178</t>
  </si>
  <si>
    <t>Dispensador Bolsas Portatil Blanco Ubbi</t>
  </si>
  <si>
    <t>UB10168</t>
  </si>
  <si>
    <t>Dispensador De Bolsas Para Llevar Gris Ubbi</t>
  </si>
  <si>
    <t>UB10144</t>
  </si>
  <si>
    <t>Dispensador De Toallitas Húmedas Blanco Ubbi</t>
  </si>
  <si>
    <t>UB10142</t>
  </si>
  <si>
    <t>Dispensador De Toallitas Húmedas Gris Ubbi</t>
  </si>
  <si>
    <t>UB10176</t>
  </si>
  <si>
    <t>Dispensador De Toallitas Humedas Portátil Blanco Ubbi</t>
  </si>
  <si>
    <t>UB10166</t>
  </si>
  <si>
    <t>Dispensador De Toallitas Húmedas Portátil Gris Ubbi</t>
  </si>
  <si>
    <t>UB10510</t>
  </si>
  <si>
    <t>Organizador De Juguetes Baño Gris Ubbi</t>
  </si>
  <si>
    <t>UB10169</t>
  </si>
  <si>
    <t>Recarga de Bolsas Para Llevar Gris Ubbi</t>
  </si>
  <si>
    <t>UB10112</t>
  </si>
  <si>
    <t>Asiento De Baño Infantil Gris Ubbi</t>
  </si>
  <si>
    <t>Viaje Bebé</t>
  </si>
  <si>
    <t>Uncieloencasa</t>
  </si>
  <si>
    <t>Libreta Florecer es agradecer mediana</t>
  </si>
  <si>
    <t>Libreta Florecer es agradecer pequeña</t>
  </si>
  <si>
    <t>Libreta Flores todo el año pequeña</t>
  </si>
  <si>
    <t>Libreta Por los cielos mediana</t>
  </si>
  <si>
    <t>Libreta Por los cielos pequeña</t>
  </si>
  <si>
    <t>Libreta Un cielo rosado mediana</t>
  </si>
  <si>
    <t>Libreta Un cielo rosado pequeña</t>
  </si>
  <si>
    <t>Uplift</t>
  </si>
  <si>
    <t>SOU201</t>
  </si>
  <si>
    <t>Cojin Soporte de Celular Multiuso U2</t>
  </si>
  <si>
    <t>UPLIFT</t>
  </si>
  <si>
    <t>Soporte Celular para auto</t>
  </si>
  <si>
    <t>SOC001</t>
  </si>
  <si>
    <t>Soporte Flexible para Celular Ivy</t>
  </si>
  <si>
    <t>SOCIS01</t>
  </si>
  <si>
    <t>Soporte Flexible para Celular y tablets Datura</t>
  </si>
  <si>
    <t>RM01</t>
  </si>
  <si>
    <t>Reposamuñecas para Teclado y Mouse Negros</t>
  </si>
  <si>
    <t>SONA01</t>
  </si>
  <si>
    <t>Soporte para Notebook de Aluminio</t>
  </si>
  <si>
    <t>ALA01</t>
  </si>
  <si>
    <t>Lentes de Descanso con Filtro Azul</t>
  </si>
  <si>
    <t>MEM001</t>
  </si>
  <si>
    <t>Mesa para Notebook Multiuso Grist</t>
  </si>
  <si>
    <t>Mesas para notebook</t>
  </si>
  <si>
    <t>MEMN001</t>
  </si>
  <si>
    <t>Mesa para Notebook Plegable Multifuncional Negrat</t>
  </si>
  <si>
    <t>TML01</t>
  </si>
  <si>
    <t>Kit Teclado y Mouse inalámbrico Logitech</t>
  </si>
  <si>
    <t>SILL001</t>
  </si>
  <si>
    <t>Silla de Escritorio Ejecutiva Negra</t>
  </si>
  <si>
    <t>Sillas escritorio</t>
  </si>
  <si>
    <t>SILL002</t>
  </si>
  <si>
    <t>Silla Ergonomica Premium Pack 2 Unidades</t>
  </si>
  <si>
    <t>FW1001</t>
  </si>
  <si>
    <t>Limpiapies Home Fibra 40X60 Cm</t>
  </si>
  <si>
    <t>Limpiapies Hsh Fibra 40 X 60 Cm</t>
  </si>
  <si>
    <t>Limpiapies Linea Home Fibra 40 X 60 Cm</t>
  </si>
  <si>
    <t>FW1003</t>
  </si>
  <si>
    <t>Limpiapies Lineas Fibra 40X60 Cm</t>
  </si>
  <si>
    <t>FW1006</t>
  </si>
  <si>
    <t>Limpiapies Liso Fibra 40X60 Cm</t>
  </si>
  <si>
    <t>FW1007</t>
  </si>
  <si>
    <t>Limpiapies Liso Fibra 45X75 Cm</t>
  </si>
  <si>
    <t>Limpiapies Pvc Natural Con Diseño Mat 40 X 75 Cm</t>
  </si>
  <si>
    <t>FW1002</t>
  </si>
  <si>
    <t>Limpiapies Welcome Fibra 40X60 Cm</t>
  </si>
  <si>
    <t>Vtech</t>
  </si>
  <si>
    <t>Toby Perrito Vtech</t>
  </si>
  <si>
    <t>Peque Phone Bilingue Vtech</t>
  </si>
  <si>
    <t>Sonajero Bosque El Zorro Vtech</t>
  </si>
  <si>
    <t>Wd-40</t>
  </si>
  <si>
    <t>WD40-39000</t>
  </si>
  <si>
    <t>Lubricante De Cadena Ambiente Húmedo</t>
  </si>
  <si>
    <t>2481306-000-OS</t>
  </si>
  <si>
    <t>Lubricante Peatys 1120 Ml All Weather Premium</t>
  </si>
  <si>
    <t>Weinmann</t>
  </si>
  <si>
    <t>L895</t>
  </si>
  <si>
    <t>Llanta Weinmann 29 U32 Tl Negra 28h Fv</t>
  </si>
  <si>
    <t>Workpro</t>
  </si>
  <si>
    <t>W031138WE</t>
  </si>
  <si>
    <t>Alicate Autoajustable Pico Loro 10 Pulgadas</t>
  </si>
  <si>
    <t>Thalos</t>
  </si>
  <si>
    <t>W031269WE</t>
  </si>
  <si>
    <t>Alicate Punta Larga Cr-V Profesional 8"</t>
  </si>
  <si>
    <t>W031273WE</t>
  </si>
  <si>
    <t>Alicate Universal Cr-V Profesional 8"</t>
  </si>
  <si>
    <t>W001302WE</t>
  </si>
  <si>
    <t>Kit Juego De Alicates 3 Piezas</t>
  </si>
  <si>
    <t>W013022WE</t>
  </si>
  <si>
    <t>Cuchillo Cartonero Auto-Retractil</t>
  </si>
  <si>
    <t>Cuchillos Cartonero</t>
  </si>
  <si>
    <t>W003069WE</t>
  </si>
  <si>
    <t>Kit Juego De Dados Con Llave Chicharra 47 Piezas</t>
  </si>
  <si>
    <t>W003079WE</t>
  </si>
  <si>
    <t>Kit Juego De Dados Llave Chicharra 1/4" 19 Piezas</t>
  </si>
  <si>
    <t>W003078WE</t>
  </si>
  <si>
    <t>Kit Juego De Dados y Llave Chicharra 19 Piezas</t>
  </si>
  <si>
    <t>W003306WE</t>
  </si>
  <si>
    <t>Kit Juego De Llaves Punta Corona 9 Piezas Cr-V</t>
  </si>
  <si>
    <t>Llave Extra Ancha 2 En 1 Ajustable 200mm</t>
  </si>
  <si>
    <t>W000832WE</t>
  </si>
  <si>
    <t>Kit Juego De Destornilladores Y Dados 45 Piezas</t>
  </si>
  <si>
    <t>W031094WE</t>
  </si>
  <si>
    <t>Alicate Caiman Boca Curva 170mm Ergonómico</t>
  </si>
  <si>
    <t>Kit herramentas</t>
  </si>
  <si>
    <t>Arco Sierra Robusto 300mm</t>
  </si>
  <si>
    <t>W041090WE</t>
  </si>
  <si>
    <t>Barra Martillo Demolición Multifunción 450mm</t>
  </si>
  <si>
    <t>W081002WE</t>
  </si>
  <si>
    <t>Bolso Para Herramientas 350mm</t>
  </si>
  <si>
    <t>W083004WE</t>
  </si>
  <si>
    <t>Caja De Herramientas 410mm</t>
  </si>
  <si>
    <t>W083017WE</t>
  </si>
  <si>
    <t>Caja De Herramientas 560mm</t>
  </si>
  <si>
    <t>W021174WE</t>
  </si>
  <si>
    <t>Destornillador 4 En 1 Con Luz Led</t>
  </si>
  <si>
    <t>Destornillador Punta Intercambiable 6 En 1</t>
  </si>
  <si>
    <t>W061002WE</t>
  </si>
  <si>
    <t>Huincha Cinta Métrica 3M</t>
  </si>
  <si>
    <t>Juego Set De Puntas de Destornillador 13 Piezas</t>
  </si>
  <si>
    <t>W124018WE</t>
  </si>
  <si>
    <t>Kit Juego Brocas y Accesorios Taladro 120 Piezas</t>
  </si>
  <si>
    <t>W000824WE</t>
  </si>
  <si>
    <t>Kit Juego De Destornilladores 6 Piezas Cr-V</t>
  </si>
  <si>
    <t>W009099WE</t>
  </si>
  <si>
    <t>Kit Juego De Herramientas 4 Piezas</t>
  </si>
  <si>
    <t>W009062WE</t>
  </si>
  <si>
    <t>Kit Juego De Herramientas Con Bolso Rosa 75 Piezas</t>
  </si>
  <si>
    <t>W009034WE</t>
  </si>
  <si>
    <t>Kit Juego De Herramientas Hogar 17 Piezas</t>
  </si>
  <si>
    <t>W009016WE</t>
  </si>
  <si>
    <t>Kit Juego De Herramientas Hogar 77 Piezas</t>
  </si>
  <si>
    <t>W009021WE</t>
  </si>
  <si>
    <t>Kit Juego De Herramientas Hogar Estuche 100 Piezas</t>
  </si>
  <si>
    <t>W003051WE</t>
  </si>
  <si>
    <t>Kit Juego De Herramientas Mecánicas 145 Piezas</t>
  </si>
  <si>
    <t>W009058WE</t>
  </si>
  <si>
    <t>Kit Juego De Herramientas Rosa Con Estuche 65 Piezas</t>
  </si>
  <si>
    <t>W009038WE</t>
  </si>
  <si>
    <t>Kit Juego Herramientas Mecánicas Maletín 183 Piezas</t>
  </si>
  <si>
    <t>W041061WE</t>
  </si>
  <si>
    <t>Martillo Carpintero Fibra de Vidrio 20Oz</t>
  </si>
  <si>
    <t>W041091WE</t>
  </si>
  <si>
    <t>Martillo Carpintero Fierro Forjado 20Oz</t>
  </si>
  <si>
    <t>W016040WE</t>
  </si>
  <si>
    <t>Serrucho Costilla Mango Ergonomico 400mm</t>
  </si>
  <si>
    <t>Serrucho Mango Ergonomico 350mm</t>
  </si>
  <si>
    <t>Serrucho Mango Ergonomico 600mm</t>
  </si>
  <si>
    <t>WTB</t>
  </si>
  <si>
    <t>N770</t>
  </si>
  <si>
    <t>Neumatico Wtb Verdict 29x2.5 Tcs Tough/tri</t>
  </si>
  <si>
    <t>Alfombra Piso de Goma para auto Universal 3 piezas Xroad</t>
  </si>
  <si>
    <t>1660859424566-FF</t>
  </si>
  <si>
    <t>Funda impermeable auto</t>
  </si>
  <si>
    <t>1656603353038-FF</t>
  </si>
  <si>
    <t>Protector Asiento Mascotas L</t>
  </si>
  <si>
    <t>Protector Asiento Mascotas S</t>
  </si>
  <si>
    <t>Barras portaequipaje parrilla auto</t>
  </si>
  <si>
    <t>Barras portaequipaje Xroof R13</t>
  </si>
  <si>
    <t>1650301031879-FF</t>
  </si>
  <si>
    <t>Pack401</t>
  </si>
  <si>
    <t>Pack Barras Portaequipaje + Cámara GPS auto</t>
  </si>
  <si>
    <t>Pack400</t>
  </si>
  <si>
    <t>Pack Barras portaequipaje + Toldo Para Camping</t>
  </si>
  <si>
    <t>Portaequipajes De Techo Blando TPT005</t>
  </si>
  <si>
    <t>Portaequipajes</t>
  </si>
  <si>
    <t>Portaequipajes De Techo Blando TPT006</t>
  </si>
  <si>
    <t>Carsen Sensor de Retroceso con alarma auto</t>
  </si>
  <si>
    <t>Rear sensor S17 in Black</t>
  </si>
  <si>
    <t>Corporativo</t>
  </si>
  <si>
    <t>Carpa de techo Auto 3 personas camping</t>
  </si>
  <si>
    <t>Carpa Lateral 270° Outdoor para Auto</t>
  </si>
  <si>
    <t>Baterias portátiles</t>
  </si>
  <si>
    <t>X-Shot</t>
  </si>
  <si>
    <t>Pack 36 Dardos X-Shot</t>
  </si>
  <si>
    <t>Lanzadores</t>
  </si>
  <si>
    <t>Lanza Dardos Dread Skins Con 12 Dardos X-Shot</t>
  </si>
  <si>
    <t>Lanza Dardos Flux Skins Con 8 Dardos X-Shot</t>
  </si>
  <si>
    <t>Lanza Dardos Flux Skins Sonic Con 8 Dardos X-Shot</t>
  </si>
  <si>
    <t>Lanza Dardos Menace Skins Con 8 Dardos X-Shot</t>
  </si>
  <si>
    <t>Lanzador De Bolitas Small Blaster Hidrogel Con 5000 Bolitas</t>
  </si>
  <si>
    <t>Lanzador De Bolitas X-Shot Pistol Hydrogel Con 3000 Bolitas</t>
  </si>
  <si>
    <t>Lanzador Fury 4 Lanza Dardos X-Shot</t>
  </si>
  <si>
    <t>Lanzador Hawk Eye Con 16 Dardos X-Shot</t>
  </si>
  <si>
    <t>Lanzador Reflex 6 Con 12 Dardos X-Shot</t>
  </si>
  <si>
    <t>Lanzador Skin Sonic Con 12 Dardos X-Shot</t>
  </si>
  <si>
    <t>Lanzador Turbo Fire Con 48 Dardos X-Shot</t>
  </si>
  <si>
    <t>Lanzador Xcess Tk12 Con 16 Dardos X-Shot</t>
  </si>
  <si>
    <t>Pack 2 Lanza Dardos Flux Skins Con 16 Dardos X-Shot</t>
  </si>
  <si>
    <t>Pistola Micro Lanza Dardos X-Shot</t>
  </si>
  <si>
    <t>X-Shot Agua</t>
  </si>
  <si>
    <t>Lanza Agua Pump Action 800ml con Sistema Fast Fill X-Shot</t>
  </si>
  <si>
    <t>Lanza Agua De 170 ml Con Sistema De Llenado Fast Fill X-Shot</t>
  </si>
  <si>
    <t>Lanza Agua Hyperload Skins 500 ml Llenado Fast Fill X-Shot</t>
  </si>
  <si>
    <t>Lanza Agua Nano 100 ml Sistema De Llenado Fast Fill X-Shot</t>
  </si>
  <si>
    <t>Lanza Agua Nano Skins 100 ml Llenado Fast Fill X-Shot</t>
  </si>
  <si>
    <t>Tubo Lanza Agua De 720 ml X-Shot</t>
  </si>
  <si>
    <t>Zola Outdoors</t>
  </si>
  <si>
    <t>BBZ-2000</t>
  </si>
  <si>
    <t>Botella Térmica Big Bear Negro 2L</t>
  </si>
  <si>
    <t>Zola</t>
  </si>
  <si>
    <t>BTZYS750</t>
  </si>
  <si>
    <t>Botella Térmica Clásica 750Ml Amarillo</t>
  </si>
  <si>
    <t>BTZBO752</t>
  </si>
  <si>
    <t>Botella Térmica Clásica 750Ml Azul</t>
  </si>
  <si>
    <t>BTZWP750</t>
  </si>
  <si>
    <t>Botella Térmica Clásica 750Ml Blanco</t>
  </si>
  <si>
    <t>BTZCL750</t>
  </si>
  <si>
    <t>Botella Térmica Clásica 750Ml Calypso</t>
  </si>
  <si>
    <t>Botella Térmica Clásica 750Ml Gris</t>
  </si>
  <si>
    <t>BTZGM750</t>
  </si>
  <si>
    <t>Botella Térmica Clásica 750Ml Menta</t>
  </si>
  <si>
    <t>Botella Térmica Clásica 750Ml Negro</t>
  </si>
  <si>
    <t>Botella Térmica Clásica 750Ml Rosado</t>
  </si>
  <si>
    <t>Botella Termica Clásica 750Ml Verde</t>
  </si>
  <si>
    <t>HBZ-963</t>
  </si>
  <si>
    <t>Botella Térmica Hikkers 1L Azul</t>
  </si>
  <si>
    <t>HBZ-961</t>
  </si>
  <si>
    <t>Botella Térmica Hikkers 1L Blanco</t>
  </si>
  <si>
    <t>HBZ-960</t>
  </si>
  <si>
    <t>Botella Térmica Hikkers 1L Negro</t>
  </si>
  <si>
    <t>HBZ-962</t>
  </si>
  <si>
    <t>Botella Térmica Hikkers Calypso 1L</t>
  </si>
  <si>
    <t>BZK-350</t>
  </si>
  <si>
    <t>Botella Térmica Kids 350Ml</t>
  </si>
  <si>
    <t>BZK-352</t>
  </si>
  <si>
    <t>BZK-351</t>
  </si>
  <si>
    <t>BMZ-1201</t>
  </si>
  <si>
    <t>Big Mug 1200Ml Aqua</t>
  </si>
  <si>
    <t>BMZ-1200</t>
  </si>
  <si>
    <t>Big Mug 1200Ml Gris</t>
  </si>
  <si>
    <t>CIBB502</t>
  </si>
  <si>
    <t>Can Insulator 350Ml Blanco</t>
  </si>
  <si>
    <t>CIBB503</t>
  </si>
  <si>
    <t>Can Insulator 350Ml Menta</t>
  </si>
  <si>
    <t>CIBB501</t>
  </si>
  <si>
    <t>Can Insulator 350Ml Negro</t>
  </si>
  <si>
    <t>MCZ-196</t>
  </si>
  <si>
    <t>Mate Térmico 200Ml Blanco</t>
  </si>
  <si>
    <t>Mate Térmico 200Ml Negro</t>
  </si>
  <si>
    <t>AMZ-350</t>
  </si>
  <si>
    <t>Mug Térmico Adventure 350Ml</t>
  </si>
  <si>
    <t>TMZBB590</t>
  </si>
  <si>
    <t>Mug Térmico Travel 590Ml Blanco</t>
  </si>
  <si>
    <t>TMZCL590</t>
  </si>
  <si>
    <t>Mug Térmico Travel 590Ml Calypso</t>
  </si>
  <si>
    <t>TMZGO590</t>
  </si>
  <si>
    <t>Mug Térmico Travel 590Ml Gris</t>
  </si>
  <si>
    <t>CMZ-351</t>
  </si>
  <si>
    <t>Taza Térmica Campers 350Ml Blanco</t>
  </si>
  <si>
    <t>CMZ-353</t>
  </si>
  <si>
    <t>Taza Térmica Campers 350Ml Gris</t>
  </si>
  <si>
    <t>CMZ-350</t>
  </si>
  <si>
    <t>Taza Térmica Campers 350Ml Negro</t>
  </si>
  <si>
    <t>CMZ-352</t>
  </si>
  <si>
    <t>Taza Térmica Campers 350Ml Turquesa</t>
  </si>
  <si>
    <t>CTZ-961</t>
  </si>
  <si>
    <t>Termo Clásico 1L Blanco</t>
  </si>
  <si>
    <t>CTZ-960</t>
  </si>
  <si>
    <t>Termo Clásico 1L Negro</t>
  </si>
  <si>
    <t>Zuru</t>
  </si>
  <si>
    <t>Pack 3 Boquillas Bombas De Agua Bunch O Balloons</t>
  </si>
  <si>
    <t>Peluche Sorpresa Coco Cones de Zuru</t>
  </si>
  <si>
    <t>Lanzador Bombas De Agua Con 3 Boquillas Bunch O Ballons</t>
  </si>
  <si>
    <t>Pack 3 Bombas De Agua Reutilizables Bunch O Ballons</t>
  </si>
  <si>
    <t>Pistola Lanza Burbujas Tamaño Chico Bunch O Bubbles</t>
  </si>
  <si>
    <t>Slime Sorpresa Potions Oosh Zuru</t>
  </si>
  <si>
    <t>Zuru Fugglers</t>
  </si>
  <si>
    <t>Peluche Fugglers De 23 Cms Bob Esponja De Zuru</t>
  </si>
  <si>
    <t>Peluche Fugglers De 23 Cms El Señor De Los Anillos De Zuru</t>
  </si>
  <si>
    <t>Peluche Fugglers De 23 Cms Laboratory Misfits De Zuru</t>
  </si>
  <si>
    <t>Peluche Llavero Fugglers De 13 Cms De Zuru</t>
  </si>
  <si>
    <t>Empresa</t>
  </si>
  <si>
    <t>Canal</t>
  </si>
  <si>
    <t>Cliente Bice</t>
  </si>
  <si>
    <t>Banco Bice</t>
  </si>
  <si>
    <t>Bravium Chile SPA</t>
  </si>
  <si>
    <t>Bravium</t>
  </si>
  <si>
    <t>COMERCIAL GIANNY GIOVANNY CAPONA PALACIOS</t>
  </si>
  <si>
    <t>Casa de la Carcasa</t>
  </si>
  <si>
    <t>Electrónica Casa Royal LTDA.</t>
  </si>
  <si>
    <t>Casa Royal</t>
  </si>
  <si>
    <t>Celmedia Fidelización SPA</t>
  </si>
  <si>
    <t>Celmedia</t>
  </si>
  <si>
    <t>Cliente Linio</t>
  </si>
  <si>
    <t>CMR</t>
  </si>
  <si>
    <t>AUTOBAHN S A</t>
  </si>
  <si>
    <t>Concesionarios autos</t>
  </si>
  <si>
    <t>Servicio Automotriz Automec Limitada</t>
  </si>
  <si>
    <t>Felicity 360 SpA</t>
  </si>
  <si>
    <t>VUELVO AL SUR SPA</t>
  </si>
  <si>
    <t>MW2 CHILE MARKETING SPA</t>
  </si>
  <si>
    <t>VINA SAN PEDRO TARAPAC   S. A.</t>
  </si>
  <si>
    <t>Talbot Hotels S.A</t>
  </si>
  <si>
    <t>Viña San Pedro Tarapacá S.A</t>
  </si>
  <si>
    <t>Cliente Dafiti</t>
  </si>
  <si>
    <t>Dafiti</t>
  </si>
  <si>
    <t>Comecializador 4 Design SPA</t>
  </si>
  <si>
    <t>Depto51</t>
  </si>
  <si>
    <t>COMERCIAL Q Y M LIMITADA</t>
  </si>
  <si>
    <t>Dimarsa</t>
  </si>
  <si>
    <t>COMERCIAL DITEN LIMITADA</t>
  </si>
  <si>
    <t>DISTRIBUIDORA IMPORTADORA DIMARSA LIMITADA</t>
  </si>
  <si>
    <t>COMERCIAL DIANCU LIMITADA</t>
  </si>
  <si>
    <t>MULTITIENDAS DIAYSEN LIMITADA</t>
  </si>
  <si>
    <t>COMERCIAL CALBUMAR LIMITADA</t>
  </si>
  <si>
    <t>Cliente Eattouch</t>
  </si>
  <si>
    <t>Eattouch</t>
  </si>
  <si>
    <t>Alejandro Valdes EatTouch</t>
  </si>
  <si>
    <t>Barbara Gonzalez EatTouch</t>
  </si>
  <si>
    <t>Eboxy SpA</t>
  </si>
  <si>
    <t>Cliente Entrekids</t>
  </si>
  <si>
    <t>Entrekids</t>
  </si>
  <si>
    <t>Cliente Falabella.com</t>
  </si>
  <si>
    <t>Falabella</t>
  </si>
  <si>
    <t>Falabella Retail</t>
  </si>
  <si>
    <t>Falabella tienda</t>
  </si>
  <si>
    <t>Cliente Fernanda Cox</t>
  </si>
  <si>
    <t>Friends</t>
  </si>
  <si>
    <t>Cliente Laura Farroñan</t>
  </si>
  <si>
    <t>Cliente Maria de La Cruz</t>
  </si>
  <si>
    <t>Cliente Gabriela Pastran</t>
  </si>
  <si>
    <t>Cliente Ender Perdomo</t>
  </si>
  <si>
    <t>Cliente Erich</t>
  </si>
  <si>
    <t>Comercial Innovatek SpA, Sebastián Guzmán Urzúa</t>
  </si>
  <si>
    <t>Sebastián Guzman</t>
  </si>
  <si>
    <t>Ramón Undurraga</t>
  </si>
  <si>
    <t>Erich Neuenschwander</t>
  </si>
  <si>
    <t>Andres Browne</t>
  </si>
  <si>
    <t>Florencia Molina</t>
  </si>
  <si>
    <t>Cliente Lenis Bravo</t>
  </si>
  <si>
    <t>Cliente Joselyn Barreto</t>
  </si>
  <si>
    <t>Cliente Javier Gonzalez</t>
  </si>
  <si>
    <t>Cliente David Urbina</t>
  </si>
  <si>
    <t>Cliente Clara Armstrong</t>
  </si>
  <si>
    <t>Cliente Interno</t>
  </si>
  <si>
    <t>Constanza Bustamante</t>
  </si>
  <si>
    <t>Cliente Danilo Colil</t>
  </si>
  <si>
    <t>Dina Salazar danglad</t>
  </si>
  <si>
    <t>fernanada cox</t>
  </si>
  <si>
    <t>Jorgelis Flores.</t>
  </si>
  <si>
    <t>Ignacio Sánchez</t>
  </si>
  <si>
    <t>David Urbina</t>
  </si>
  <si>
    <t>Global Reward Solutions</t>
  </si>
  <si>
    <t>Global Reward</t>
  </si>
  <si>
    <t>Gluky Group SPA</t>
  </si>
  <si>
    <t>Gluky</t>
  </si>
  <si>
    <t>Cliente Hites</t>
  </si>
  <si>
    <t>Hites</t>
  </si>
  <si>
    <t>Hites S.A.</t>
  </si>
  <si>
    <t>Hites tienda</t>
  </si>
  <si>
    <t>Incentivos y Promociones SPA</t>
  </si>
  <si>
    <t>Ipromo</t>
  </si>
  <si>
    <t>Cliente Kitchen Center</t>
  </si>
  <si>
    <t>Kitchen Center</t>
  </si>
  <si>
    <t>Empresas La Polar S.A.</t>
  </si>
  <si>
    <t>La Polar</t>
  </si>
  <si>
    <t>SOCIEDAD DE MARKETING Y FIDELIZACION SPA</t>
  </si>
  <si>
    <t>Lealtad</t>
  </si>
  <si>
    <t>Cliente Marketing</t>
  </si>
  <si>
    <t>Cliente MercadoLibre</t>
  </si>
  <si>
    <t>Mercado Libre</t>
  </si>
  <si>
    <t>Cliente Mercado Libre</t>
  </si>
  <si>
    <t>Cliente Mercado Libre no usar</t>
  </si>
  <si>
    <t>Vivosalud SPA</t>
  </si>
  <si>
    <t>Muvu</t>
  </si>
  <si>
    <t>Vivosalud SPA, Cliente MUVU</t>
  </si>
  <si>
    <t>Cliente Paris</t>
  </si>
  <si>
    <t>Paris</t>
  </si>
  <si>
    <t>Cencosud. Retail S.A</t>
  </si>
  <si>
    <t>Paris tienda</t>
  </si>
  <si>
    <t>Cencosud Retail S.A</t>
  </si>
  <si>
    <t>Relacional Consultoría Estratégica LTDA.</t>
  </si>
  <si>
    <t>Relacional</t>
  </si>
  <si>
    <t>Cliente Ripley</t>
  </si>
  <si>
    <t>Ripley</t>
  </si>
  <si>
    <t>Cliente Ripley FF</t>
  </si>
  <si>
    <t>Rokma Design</t>
  </si>
  <si>
    <t>Rokma</t>
  </si>
  <si>
    <t>Sawa SPA</t>
  </si>
  <si>
    <t>Sawa</t>
  </si>
  <si>
    <t>SILVESTRE SPA</t>
  </si>
  <si>
    <t>Silvestre (d)</t>
  </si>
  <si>
    <t>SODIMAC S.A.</t>
  </si>
  <si>
    <t>Sodimac corp</t>
  </si>
  <si>
    <t>Duty Free T C S A</t>
  </si>
  <si>
    <t>Travel Duty</t>
  </si>
  <si>
    <t>Cliente Walmart</t>
  </si>
  <si>
    <t>Walmart</t>
  </si>
  <si>
    <t>Walmart Chile Servicios Generales Limitada</t>
  </si>
  <si>
    <t>Walmart tienda</t>
  </si>
  <si>
    <t>WALMART CHILE COM. LTDA</t>
  </si>
  <si>
    <t>YOUMARKET SPA</t>
  </si>
  <si>
    <t>You Market</t>
  </si>
  <si>
    <t>Jooga Hogar Spa</t>
  </si>
  <si>
    <t>Jooga</t>
  </si>
  <si>
    <t>ALMACEN TECNOLOGICO LIMITADA</t>
  </si>
  <si>
    <t>Itshop</t>
  </si>
  <si>
    <t>Camila Bustos</t>
  </si>
  <si>
    <t>W travel chile spa</t>
  </si>
  <si>
    <t>Wolf Travel</t>
  </si>
  <si>
    <t>Comecializadora 4 Design SPA</t>
  </si>
  <si>
    <t>Simplit Shopify</t>
  </si>
  <si>
    <t>Simplit web</t>
  </si>
  <si>
    <t>Lhotse Outdoor .</t>
  </si>
  <si>
    <t>Lhotse web</t>
  </si>
  <si>
    <t>Cliente Iris Yori</t>
  </si>
  <si>
    <t>Cliente Martin Novoa</t>
  </si>
  <si>
    <t>Melollevo.cl.</t>
  </si>
  <si>
    <t>Melollevo web</t>
  </si>
  <si>
    <t>Importadora Los Peumos</t>
  </si>
  <si>
    <t>Cada cosa en su lugar</t>
  </si>
  <si>
    <t>Florencia Gehrung</t>
  </si>
  <si>
    <t>Empresa El Mercurio Sociedad Anónima Periodistica</t>
  </si>
  <si>
    <t>El Mercurio</t>
  </si>
  <si>
    <t>cliente falabella</t>
  </si>
  <si>
    <t>Cliente Lokal.cl</t>
  </si>
  <si>
    <t>Lokal</t>
  </si>
  <si>
    <t>Cliente Apprecio</t>
  </si>
  <si>
    <t>Apprecio</t>
  </si>
  <si>
    <t>Abc</t>
  </si>
  <si>
    <t>Cliente Shopify</t>
  </si>
  <si>
    <t>Web</t>
  </si>
  <si>
    <t>Mall Plaza Egaña</t>
  </si>
  <si>
    <t>Mall Plaza Norte</t>
  </si>
  <si>
    <t>Showtime SpA</t>
  </si>
  <si>
    <t>Cliente Gran Venta Garage</t>
  </si>
  <si>
    <t>Gran Venta Garage</t>
  </si>
  <si>
    <t>LA VINOTECA SPA</t>
  </si>
  <si>
    <t>Vinoteca</t>
  </si>
  <si>
    <t>Dinasty Partners</t>
  </si>
  <si>
    <t>Innovatek, Tamara Arredondo</t>
  </si>
  <si>
    <t>Bazar ED</t>
  </si>
  <si>
    <t>BazarED</t>
  </si>
  <si>
    <t>Jorgelis Flores</t>
  </si>
  <si>
    <t>CENCOSUD RETAIL S.A.</t>
  </si>
  <si>
    <t>Sanchez y compañia limitada</t>
  </si>
  <si>
    <t>Ferretería Higuerillas</t>
  </si>
  <si>
    <t>JOSE RIVERO LLAMAZALES Y COMPANIA LIMITADA</t>
  </si>
  <si>
    <t>El Volcan</t>
  </si>
  <si>
    <t>SOHO MARKET</t>
  </si>
  <si>
    <t>Soho Market</t>
  </si>
  <si>
    <t>Supermercado Valeria Giacobbe Dadal</t>
  </si>
  <si>
    <t>Super Valeria Zapallar</t>
  </si>
  <si>
    <t>Comercial Brisas SPA</t>
  </si>
  <si>
    <t>Comercial Brisas</t>
  </si>
  <si>
    <t>abc S.A.</t>
  </si>
  <si>
    <t>Falabella.com SPA, Cliente Falabella Fcom</t>
  </si>
  <si>
    <t>Cliente Lokal cl</t>
  </si>
  <si>
    <t>Mall Plaza Vespucio Sur</t>
  </si>
  <si>
    <t>Mall Plaza Vespucio</t>
  </si>
  <si>
    <t>mall vespucio</t>
  </si>
  <si>
    <t>Lokal SpA</t>
  </si>
  <si>
    <t>Casa Mila SpA</t>
  </si>
  <si>
    <t>Casa Mila</t>
  </si>
  <si>
    <t>Comercializadora SP Digital SPA</t>
  </si>
  <si>
    <t>Sp Digital</t>
  </si>
  <si>
    <t>Cliente Falabella Fcom</t>
  </si>
  <si>
    <t>Consumidor Final - Hites_Marketplace</t>
  </si>
  <si>
    <t>Celmedia Fidelizacion SPA</t>
  </si>
  <si>
    <t>Consumidor Final - Apprecio - Chile - Marketplace</t>
  </si>
  <si>
    <t>LOS BAGUALES DE LA HACIENDA SPA</t>
  </si>
  <si>
    <t>Los Baguales De La Hacienda Spa</t>
  </si>
  <si>
    <t>SUPERMERCADO PUCON ORIENTE</t>
  </si>
  <si>
    <t>Supermercado Pucón Oriente</t>
  </si>
  <si>
    <t>DOBLE R RETAIL LIMITADA</t>
  </si>
  <si>
    <t>Doble R Retail Limitada</t>
  </si>
  <si>
    <t>AZUL MARINO SA</t>
  </si>
  <si>
    <t>Azul Marino Sa</t>
  </si>
  <si>
    <t>Abasolo y Compañía ltda.</t>
  </si>
  <si>
    <t>Abasolo Y Compañía Ltda.</t>
  </si>
  <si>
    <t>COMERCIAL AMAR URIBE Y CIA. LTDA</t>
  </si>
  <si>
    <t>Comercial Amar Uribe Y Cia. Ltda</t>
  </si>
  <si>
    <t>COMERCIAL AMAR HERMANOS Y COMPANIA LIMITADA</t>
  </si>
  <si>
    <t>Comercial Amar Hermanos Y Compania Limitada</t>
  </si>
  <si>
    <t>Frigorífico de Osorno S.A.</t>
  </si>
  <si>
    <t>Frigorífico De Osorno S.A.</t>
  </si>
  <si>
    <t>Jaime Cid Becerra</t>
  </si>
  <si>
    <t>Inversiones tecnológicas sweet and gourmet Ltda.</t>
  </si>
  <si>
    <t>Inversiones Tecnológicas Sweet And Gourmet Ltda.</t>
  </si>
  <si>
    <t>Eliette Dufey</t>
  </si>
  <si>
    <t>Distribuidora Furet</t>
  </si>
  <si>
    <t>Tecnoventas ltda</t>
  </si>
  <si>
    <t>Tecnoventas Ltda</t>
  </si>
  <si>
    <t>MARIO EDUARDO BURZIO ONETO</t>
  </si>
  <si>
    <t>Mario Eduardo Burzio Oneto</t>
  </si>
  <si>
    <t>Albasini e Hijos Limitada</t>
  </si>
  <si>
    <t>Albasini E Hijos Limitada</t>
  </si>
  <si>
    <t>Comercial Buffalos Sport Spa</t>
  </si>
  <si>
    <t>Comercial ECCSA S A</t>
  </si>
  <si>
    <t>Ripley tienda</t>
  </si>
  <si>
    <t>SPEEDREAMS SPA</t>
  </si>
  <si>
    <t>Speedreams</t>
  </si>
  <si>
    <t>Sanchez y Cia.</t>
  </si>
  <si>
    <t>Tipo Negocio</t>
  </si>
  <si>
    <t>KAM</t>
  </si>
  <si>
    <t>Estado Canal</t>
  </si>
  <si>
    <t>Marketplace</t>
  </si>
  <si>
    <t>Trini</t>
  </si>
  <si>
    <t>Andesgear</t>
  </si>
  <si>
    <t>Fidelización</t>
  </si>
  <si>
    <t>Clau</t>
  </si>
  <si>
    <t>Banco Scotiabank</t>
  </si>
  <si>
    <t>Nicole</t>
  </si>
  <si>
    <t>Betterfly</t>
  </si>
  <si>
    <t>Bodega</t>
  </si>
  <si>
    <t>Distribución</t>
  </si>
  <si>
    <t>Cencosud</t>
  </si>
  <si>
    <t>Garantía extendida</t>
  </si>
  <si>
    <t>Cmr</t>
  </si>
  <si>
    <t>Nacha</t>
  </si>
  <si>
    <t>Concesionarios Autos</t>
  </si>
  <si>
    <t>Erich</t>
  </si>
  <si>
    <t>Nicolás</t>
  </si>
  <si>
    <t>Cuponatic</t>
  </si>
  <si>
    <t>Easy</t>
  </si>
  <si>
    <t>Entel Tienda</t>
  </si>
  <si>
    <t>Esquina Sur</t>
  </si>
  <si>
    <t>Exporunning</t>
  </si>
  <si>
    <t>Falabella Tienda</t>
  </si>
  <si>
    <t>Fidem Spa</t>
  </si>
  <si>
    <t>Lhotse Web</t>
  </si>
  <si>
    <t>Páginas propias</t>
  </si>
  <si>
    <t>Lifepro</t>
  </si>
  <si>
    <t>Linio</t>
  </si>
  <si>
    <t>Mall Plaza</t>
  </si>
  <si>
    <t>Miki</t>
  </si>
  <si>
    <t>UnionX Web</t>
  </si>
  <si>
    <t>Montenbaikcl</t>
  </si>
  <si>
    <t>Nomad</t>
  </si>
  <si>
    <t>Outlepp</t>
  </si>
  <si>
    <t>Outlet</t>
  </si>
  <si>
    <t>Paris Tienda</t>
  </si>
  <si>
    <t>Pedidos Ya</t>
  </si>
  <si>
    <t>Proveedores</t>
  </si>
  <si>
    <t>Ajuste costo</t>
  </si>
  <si>
    <t>ajuste</t>
  </si>
  <si>
    <t>Rideshop</t>
  </si>
  <si>
    <t>Shopee</t>
  </si>
  <si>
    <t>Silvestre (D)</t>
  </si>
  <si>
    <t>Simplit Web</t>
  </si>
  <si>
    <t>Sodimac</t>
  </si>
  <si>
    <t>Sodimac Corp</t>
  </si>
  <si>
    <t>Martin</t>
  </si>
  <si>
    <t>Tienda Bci</t>
  </si>
  <si>
    <t>Seba</t>
  </si>
  <si>
    <t>Walmart Tienda</t>
  </si>
  <si>
    <t>Allwen</t>
  </si>
  <si>
    <t>Dansel</t>
  </si>
  <si>
    <t>Paper Mill</t>
  </si>
  <si>
    <t>Streeter</t>
  </si>
  <si>
    <t>The Rack Store</t>
  </si>
  <si>
    <t>Smoke</t>
  </si>
  <si>
    <t>Hites Tienda</t>
  </si>
  <si>
    <t>Casa De La Carcasa</t>
  </si>
  <si>
    <t>BazarED Feria</t>
  </si>
  <si>
    <t>Cada Cosa En Su Lugar</t>
  </si>
  <si>
    <t>Kubi Market</t>
  </si>
  <si>
    <t>UnionX B2B</t>
  </si>
  <si>
    <t>Ripley Tienda</t>
  </si>
  <si>
    <t>Imex</t>
  </si>
  <si>
    <t>Gofest</t>
  </si>
  <si>
    <t>Supermercado Pucon Oriente</t>
  </si>
  <si>
    <t>Parque Arauco</t>
  </si>
  <si>
    <t>Happygift</t>
  </si>
  <si>
    <t>Azul Marino</t>
  </si>
  <si>
    <t>Postventa</t>
  </si>
  <si>
    <t>Elisa</t>
  </si>
  <si>
    <t>Zenlab</t>
  </si>
  <si>
    <t>Costo Neto</t>
  </si>
  <si>
    <t>154,165</t>
  </si>
  <si>
    <t>[10001374] Campanilla Bicicleta Nutcase Baby Shark</t>
  </si>
  <si>
    <t>[100135] Silla Tripp Trapp Menta Suave Stokke</t>
  </si>
  <si>
    <t>[10020020060102] Olla de Cocción Lenta Multicooker 5 en 1 EasyWays</t>
  </si>
  <si>
    <t>[10040010010201] Robot de Cocina Kitchen Connect EasyWays</t>
  </si>
  <si>
    <t>[10040010030101] Robot de Cocina Kitchen Master EasyWays</t>
  </si>
  <si>
    <t>[10080050240002] Freidora de aire Air Fryer Chic 5,5 L EasyWays</t>
  </si>
  <si>
    <t>[10080050330007] Horno Eléctrico Oven Master 45 L Convección EasyWays</t>
  </si>
  <si>
    <t>[10080100230102] Batidora de Pedestal Art Mixer Negro EasyWays</t>
  </si>
  <si>
    <t>[10080100230103] Batidora de Pedestal Art Mixer Rojo EasyWays</t>
  </si>
  <si>
    <t>[10100130360002] Parrilla Eléctrica Pitceramic con cerámica EasyWays</t>
  </si>
  <si>
    <t>[120312744419] Cartera Bolsillo Frontal Manilla Carey Negro 27444 Sei</t>
  </si>
  <si>
    <t>[121312914584] Mochila Aplicación frontal Oliva 29145 Sei</t>
  </si>
  <si>
    <t>[121312919278] Bolso Modelo 2919278 Sei</t>
  </si>
  <si>
    <t>[121312919419] Bolso Modelo 2919419 Sei</t>
  </si>
  <si>
    <t>[121312954217] Bolso Sei Modelo 2954217 Sei</t>
  </si>
  <si>
    <t>[1535543463599] Parrilla Portátil Carbón Kettle Roja 17''</t>
  </si>
  <si>
    <t>[1564147623145] Correa Smartwatch Lhotse SW88 20mm Morada</t>
  </si>
  <si>
    <t>[1566335721736] Audífonos Lhotse Bluetooth Inalámbrico Rm12 Celeste .</t>
  </si>
  <si>
    <t>[1586964198052] Mascarilla Desechable 3 Pliegues 50 Unidades</t>
  </si>
  <si>
    <t>[1595434263015] Correa RD9 Cafe Cuero</t>
  </si>
  <si>
    <t>[1602623210379] Reloj Análogo Lhotse Flame Watch Negro</t>
  </si>
  <si>
    <t>[1616011311193] Guantes Vinilo Azul X100 Talla L</t>
  </si>
  <si>
    <t>[1628016796209] Parrilla Portátil Carbón Kettle Negra 17''</t>
  </si>
  <si>
    <t>[1632149054121] Estuche Lapicera Diseño Zorro Culpeo Pajarito de Mimbre</t>
  </si>
  <si>
    <t>[1639085745522] Reloj Smartwatch Lhotse Ultimate GPS 217 Black</t>
  </si>
  <si>
    <t>[1639085755244] Reloj Smartwatch Lhotse Ultimate GPS 217 Pink</t>
  </si>
  <si>
    <t>[1639085772390] Reloj Smartwatch Lhotse Live 206 Black</t>
  </si>
  <si>
    <t>[1639085780345] Reloj Smartwatch Lhotse Live 206 Pink</t>
  </si>
  <si>
    <t>[1639085790351] Reloj Smartwatch Lhotse Live 206 Light Green</t>
  </si>
  <si>
    <t>[1639085799549] Banda Smartband Lhotse Urban GT Black</t>
  </si>
  <si>
    <t>[1650301031879] Barras Portaequipaje Universal Xroof R13 Xroad</t>
  </si>
  <si>
    <t>[1650478062964] Mouse negro 6 botones</t>
  </si>
  <si>
    <t>[1650478074858] Mouse gamer</t>
  </si>
  <si>
    <t>[1652824902758] Reloj Smartwatch Lhotse Live 206 Mini White</t>
  </si>
  <si>
    <t>[1652824924113] Reloj Smartwatch Lhotse Live 206 Mini Pink</t>
  </si>
  <si>
    <t>[1652824942453] Reloj Smartwatch Lhotse Live 206 Mini Black</t>
  </si>
  <si>
    <t>[1652824957424] Reloj Smartwatch Lhotse Live 206 Mini Light Green</t>
  </si>
  <si>
    <t>[1659990788079] Control Joystick Pro Controller Nintendo Switch Inalámbrico</t>
  </si>
  <si>
    <t>[1659990828178] Control Joystick Inalámbrico Dualshock para PS4 Levo</t>
  </si>
  <si>
    <t>[1659991971809] Telón Mural de Proyector Portátil 100 pulgadas Levo</t>
  </si>
  <si>
    <t>[1659991999728] Telón Mural de Proyector Portátil 60 pulgadas Levo</t>
  </si>
  <si>
    <t>[1660858235219] Termo Jarra Insulado Acero Inox 1 Lt Gris Simplit</t>
  </si>
  <si>
    <t>[1660859287583] Set 4 Tupper de Vidrio Herméticos Tapa Bamboo Simplit</t>
  </si>
  <si>
    <t>[1661877072053] Cámara Inspección de Tuberías Endoscopio Industrial H6</t>
  </si>
  <si>
    <t>[1661892847912] Parrilla Portátil a Carbón Kettle Roja 17''</t>
  </si>
  <si>
    <t>[1661892870974] Parrilla Portátil a Carbón Kettle Negra 17''</t>
  </si>
  <si>
    <t>[1720432] Set 6 Vasos Cavana Altos 414ml Libbey</t>
  </si>
  <si>
    <t>[1720433] Set 6 Vasos Cavanas Cortos 386ml Libbey</t>
  </si>
  <si>
    <t>[20-45030] Protector Solar Facial En Barra PF 30 Sun Bum</t>
  </si>
  <si>
    <t>[20-45092] Protector Solar Facial SPF 50 Sun Bum</t>
  </si>
  <si>
    <t>[20-46023] Bálsamo Labial Lip Balm SPF 30 Watermelon Sun Bum</t>
  </si>
  <si>
    <t>[20-46024] Balsamo Labial Lip Balm SPF 30 Coco Sun Bum</t>
  </si>
  <si>
    <t>[20-46028] Bálsamo Labial Lip Balm SPF 30 Pomegranate Sun Bum</t>
  </si>
  <si>
    <t>[20-48050] Bálsamo Labial Con Color SPF 15 Raisin Hell Sun Bum</t>
  </si>
  <si>
    <t>[20-48054] Bálsamo Labial Con Color SPF 15 Sand Bar Sun Bum</t>
  </si>
  <si>
    <t>[2000110821] Arnés Deportivo De Control L Fucsia Perro Mascan</t>
  </si>
  <si>
    <t>[22130608831] Mochila Montreal Fancy Black Regular Bubba Bags</t>
  </si>
  <si>
    <t>[2253002] Scooter Monopatin Niños Hook FW (Rosa)</t>
  </si>
  <si>
    <t>[23669] Mantequillero Vidrio Butter Balvi</t>
  </si>
  <si>
    <t>[24767] Marco Foto Magic X8 Negro Balvi</t>
  </si>
  <si>
    <t>[25163] Perchero Alaska Metal Madera Balvi</t>
  </si>
  <si>
    <t>[25566] Papelera Globe Lata Balvi</t>
  </si>
  <si>
    <t>[26018] Timer Y Reloj Digital Balvi</t>
  </si>
  <si>
    <t>[26021] Organizador De Zapatos Doble Balvi</t>
  </si>
  <si>
    <t>[26021A] Organizador De Zapatos Doble X2 Balvi</t>
  </si>
  <si>
    <t>[26021B] Organizador De Zapatos Doble X4 Balvi</t>
  </si>
  <si>
    <t>[26022] Organizador De Zapatos 4 Niveles Balvi</t>
  </si>
  <si>
    <t>[26057] Marco Mignon X4 Balvi</t>
  </si>
  <si>
    <t>[26065] Hielera Vidrio L`Hédoniste Balvi</t>
  </si>
  <si>
    <t>[26070] Lámpara Usb/4Aa  43Cm</t>
  </si>
  <si>
    <t>[26233] Reloj de Pared Oslo Metal Balvi</t>
  </si>
  <si>
    <t>[26250] Caja Organizador Capsulas Balvi</t>
  </si>
  <si>
    <t>[26404] Estuche para Joyas Bureau Madera Balvi</t>
  </si>
  <si>
    <t>[26409] Papelera Basketball Polipropileno Balvi</t>
  </si>
  <si>
    <t>[26502] Candelabro Metal Haus Balvi</t>
  </si>
  <si>
    <t>[26575] Lámpara Mesa On Off Balvi</t>
  </si>
  <si>
    <t>[26596] Lámpara Sensor Lucciola Balvi</t>
  </si>
  <si>
    <t>[26736] Porta Foto Iman X3 Metal Madera Balvi</t>
  </si>
  <si>
    <t>[26760] Marco Foto Tratto 3D X4 Balvi</t>
  </si>
  <si>
    <t>[26764] Marco Foto Tratto 3D X7 Balvi</t>
  </si>
  <si>
    <t>[26766] Marco Foto Tratto 3D X9 Balvi</t>
  </si>
  <si>
    <t>[26773] Estuche para Joyas Precious Metal Balvi</t>
  </si>
  <si>
    <t>[26875] Colgador de Pared The Cat Gris Balvi</t>
  </si>
  <si>
    <t>[26876] Colgador de Pared The Bear Gris Balvi</t>
  </si>
  <si>
    <t>[26879] Caja Organizadora Ropa Balvi</t>
  </si>
  <si>
    <t>[26883] Papelera Letters Blanco Balvi</t>
  </si>
  <si>
    <t>[26884] Papelera Letters Negro Balvi</t>
  </si>
  <si>
    <t>[26885] Papelera Letters Gris Balvi</t>
  </si>
  <si>
    <t>[26915] Cojín Magic Negro/Plateado Balvi</t>
  </si>
  <si>
    <t>[2691517] Pack x 2 Cojín Magic Plateado/Rosado Balvi</t>
  </si>
  <si>
    <t>[26935] Puff La Vache Marrón Polipiel Balvi</t>
  </si>
  <si>
    <t>[26966] Tablero Multiusos Peg Wall Balvi</t>
  </si>
  <si>
    <t>[26969] Base Soporte Monitor Notebook Nordik Pappers Blanco Balvi</t>
  </si>
  <si>
    <t>[26970] Base Soporte Monitor Notebook Nordik Pattern Café Balvi</t>
  </si>
  <si>
    <t>[27016] Tablero Letras y Fotos Memories Verde Balvi</t>
  </si>
  <si>
    <t>[27106] Puff La Vache Negra Polipiel Balvi</t>
  </si>
  <si>
    <t>[27122] Espejo de Pared Cat Negro 48Cm Balvi</t>
  </si>
  <si>
    <t>[27124] Revistero Haus Negro Balvi</t>
  </si>
  <si>
    <t>[27125] Revistero Cat Blanco Balvi</t>
  </si>
  <si>
    <t>[27174] Puff La Vache Vaca Blanca/Negro Polipiel Balvi</t>
  </si>
  <si>
    <t>[27184] Colgador de Pared Mountain Dorado Balvi</t>
  </si>
  <si>
    <t>[27185] Colgador de Pared Mountain Plateado Balvi</t>
  </si>
  <si>
    <t>[27213] Cojin Kitty Rosado Balvi</t>
  </si>
  <si>
    <t>[27239] Estuche para Joyas Haus Madera Balvi</t>
  </si>
  <si>
    <t>[27246] Lámpara Mesa Bulb Balvi</t>
  </si>
  <si>
    <t>[27249] Lámpara Usb Clamp Verde Balvi</t>
  </si>
  <si>
    <t>[27261] Papelera Sharpener Rojo Balvi</t>
  </si>
  <si>
    <t>[27353] Lámpara de Mesa Moon Balvi</t>
  </si>
  <si>
    <t>[27409] Papelera Sharpener Negro Balvi</t>
  </si>
  <si>
    <t>[27411] Papelera Sharpener Turquesa Balvi</t>
  </si>
  <si>
    <t>[27413] Papelera Sharpener Rosado Balvi</t>
  </si>
  <si>
    <t>[27445] Colgador Llaves Musik Balvi</t>
  </si>
  <si>
    <t>[27446] Colgador de Pared Musik Negro Balvi</t>
  </si>
  <si>
    <t>[27487] Puff Le Minou Gris/Blanco Balvi</t>
  </si>
  <si>
    <t>[27488] Puff Le Minou Negro/Blanco Balvi</t>
  </si>
  <si>
    <t>[27489] Puff Le Carlin Café Balvi</t>
  </si>
  <si>
    <t>[27495] Mesa de Centro Moon Blanco/Negro Balvi</t>
  </si>
  <si>
    <t>[27496] Mesa de Centro Cosmos Azul/Negro Balvi</t>
  </si>
  <si>
    <t>[27534] Base Soporte Monitor Notebook Nordik Negro Balvi</t>
  </si>
  <si>
    <t>[27535] Base Soporte Monitor Nordik Mdf Pattern Negro Balvi</t>
  </si>
  <si>
    <t>[27585] Molinillo Pimienta Acrílico Balvi</t>
  </si>
  <si>
    <t>[32-100-C3] Termo Líquidos Mondial Petróleo 1Lt Thermos</t>
  </si>
  <si>
    <t>[32-180-C1] Termo Líquidos Mondial Verde 1,8Lt Thermos</t>
  </si>
  <si>
    <t>[34-100-C4] Thermo Líquido 1Lt New Gris Thermos</t>
  </si>
  <si>
    <t>[3461] Rompecabezas Con Iluminacion 3D Pequeño Elefante Creatto</t>
  </si>
  <si>
    <t>[3492] Rompecabezas Con Iluminacion 3D Mediano Gato Creatto</t>
  </si>
  <si>
    <t>[45720] Puzzle 100Pcs Brilla En La Oscuridad Dinosaurios Mudpuppy</t>
  </si>
  <si>
    <t>[4751030830940] Shampoo Beauty Jar Bravocado 250Ml</t>
  </si>
  <si>
    <t>[49063] Puzzle 1000Pcs Tu Mundo Mudpuppy</t>
  </si>
  <si>
    <t>[49070] Puzzle 1000Pcs Vida Del Oceano Mudpuppy</t>
  </si>
  <si>
    <t>[49360] Puzzle 12Pcs En Estuche Animales Del Zoo Mudpuppy</t>
  </si>
  <si>
    <t>[51950] Puzzle 70Pcs Geografia Sistema Solar Mudpuppy</t>
  </si>
  <si>
    <t>[52056] Puzzle 12Pcs En Estuche Parque Dinosaurio Mudpuppy</t>
  </si>
  <si>
    <t>[57501] Puzzle 1000Pcs Astrologia Con Aluminio Mudpuppy</t>
  </si>
  <si>
    <t>[57518] Puzzle 1000Pcs Jazz Mudpuppy</t>
  </si>
  <si>
    <t>[57563] Puzzle 42Pcs Dibujos Secretos Castillo Unicornio Mudpuppy</t>
  </si>
  <si>
    <t>[57631] Puzzle 500Pcs Animales De La Selva Mudpuppy</t>
  </si>
  <si>
    <t>[57648] Puzzle 500Pcs Osos Perezosos Mudpuppy</t>
  </si>
  <si>
    <t>[58133] Puzzle 500Pcs Doble, Monet Mudpuppy</t>
  </si>
  <si>
    <t>[59611] Puzzle 1000Pcs Houseplant Jungle Mudpuppy</t>
  </si>
  <si>
    <t>[60754] Puzzle 500Pcs Que Brilla En La Oscuridad Oceano Mudpuppy</t>
  </si>
  <si>
    <t>[60761] Puzzle 500Pcs Que Brilla En La Oscuridad Selva Mudpuppy</t>
  </si>
  <si>
    <t>[60846] Puzzle 78Pcs Geografia Mapa Del Mundo Mudpuppy</t>
  </si>
  <si>
    <t>[6181072] Cubos Para Apilar La Granja Jumbo 5 Cubos Scratch Europe</t>
  </si>
  <si>
    <t>[6181094] Puzzle 200Pcs Bajo El Mar Scratch Europe</t>
  </si>
  <si>
    <t>[6181096] Cubos Para Apilar Animales 10Pcs Scratch Europe</t>
  </si>
  <si>
    <t>[6181097] Cubos Para Apilar La Granja 10Pcs Scratch Europe</t>
  </si>
  <si>
    <t>[6181109] Puzzle 100Pcs De Piso Ciudad Scratch Europe</t>
  </si>
  <si>
    <t>[6181111] Puzzle 36Pcs De Piso Granja Scratch Europe</t>
  </si>
  <si>
    <t>[6181194] Puzzle 30Pcs Con Forma Unicornio Scratch Europe</t>
  </si>
  <si>
    <t>[6181196] Puzzle 45Pcs Con Forma Mundo Scratch Europe</t>
  </si>
  <si>
    <t>[62338] Puzzle 500Pcs Escarabajos Mudpuppy</t>
  </si>
  <si>
    <t>[62352] Puzzle 1000Pcs Todos Son Bienvenidos Mudpuppy</t>
  </si>
  <si>
    <t>[62512] Puzzle 1000Pcs Now House Jonathan A. Mudpuppy</t>
  </si>
  <si>
    <t>[62611] Puzzle 500Pcs Paraiso De Papel Mudpuppy</t>
  </si>
  <si>
    <t>[62628] Puzzle 1000Pcs, Club De Lectura Mudpuppy</t>
  </si>
  <si>
    <t>[63717] Puzzle 300Pcs Con Forma Espacio Exterior Mudpuppy</t>
  </si>
  <si>
    <t>[63731] Puzzle 100Pcs Doble Dinosaurios Mudpuppy</t>
  </si>
  <si>
    <t>[66436804863605] Control Joystick Inalámbrico Dualshock para PS4 Rojo Levo</t>
  </si>
  <si>
    <t>[66559853294178] Muestra Proyector Aao 1</t>
  </si>
  <si>
    <t>[67722] Puzzle 75Pcs Lenticular Unicornio Magico Mudpuppy</t>
  </si>
  <si>
    <t>[67898087132855] Silla de Escritorio Oficina Ejecutiva Reclinable Negra LEVO</t>
  </si>
  <si>
    <t>[67906] Puzzle 80Pcs Geografía Dinosaurios Mudpuppy</t>
  </si>
  <si>
    <t>[68236222425789] Cámara Inspección de Tuberías Endoscopio Industrial TP3900</t>
  </si>
  <si>
    <t>[68321385498620] Botella Térmica Coihue White 800 ml Lhotse</t>
  </si>
  <si>
    <t>[68460] Puzzle 1000Pcs Keep Going Mudpuppy</t>
  </si>
  <si>
    <t>[68658866289861] Audífonos Lhotse RM7 Pro Inalámbrico Rosado</t>
  </si>
  <si>
    <t>[6902221293046] Linterna Led Frontal Recargable 3 Funciones Brando</t>
  </si>
  <si>
    <t>[6902221297907] Juego Madera Yenga Torre de Equilibrio Brando</t>
  </si>
  <si>
    <t>[6902221311054] Mochila Mini Beast Black Bubba</t>
  </si>
  <si>
    <t>[6902221314901] Garra De Oso Para Parrilla Con Mango De Madera Brando</t>
  </si>
  <si>
    <t>[6902221315069] Cuchillo Acero Inoxidable Con Mango Madera Acacia Brando</t>
  </si>
  <si>
    <t>[6902221315359] Set 6 Copas de Espumante 235ml Brando</t>
  </si>
  <si>
    <t>[6902221318312] Set Utensilios De Cocina Gris Rosa 4pcs Brando</t>
  </si>
  <si>
    <t>[6902221318329] Set Utensilios De Cocina Gris Verde 4pcs Brando</t>
  </si>
  <si>
    <t>[6902221318398] Molde Repostería Redondo Queque Antiadherente Gris Brando</t>
  </si>
  <si>
    <t>[6902221318527] Termo Bala Para Agua Con Dosificador 0,5Lt Rosa Brando</t>
  </si>
  <si>
    <t>[6902221318657] Sartén Aluminio 28 cm Rosa Brando</t>
  </si>
  <si>
    <t>[6902221318954] Bombilla Para Mate Acero Inoxidable Con Filtro Rosa Brando</t>
  </si>
  <si>
    <t>[6902221322319] Funda Notebook Black Black Bubba</t>
  </si>
  <si>
    <t>[6902221323552] Mascarilla BLVCK Summer Mask Índigo Talla S/M Bubba Bags</t>
  </si>
  <si>
    <t>[6902221325709] Sartén Base Madera Iron Cast Brando</t>
  </si>
  <si>
    <t>[6902221325907] Organizador de Refrigerador Versátil Brando</t>
  </si>
  <si>
    <t>[6902221325914] Set Kit 3 Organizadores de Refrigerador Brando</t>
  </si>
  <si>
    <t>[6902221325969] Disco Tapa Madera Iron Cast Brando</t>
  </si>
  <si>
    <t>[6902221326102] Set 4 Vasos Espumante Brando</t>
  </si>
  <si>
    <t>[6902221327284] Contenedor Metálico Brando</t>
  </si>
  <si>
    <t>[6902221328984] Cosmetiquero Brando</t>
  </si>
  <si>
    <t>[6902221335166] Lonchera Azul Brando</t>
  </si>
  <si>
    <t>[6902221342492] Pack 3 Mascarillas Ultralight Citric Bubba Bags</t>
  </si>
  <si>
    <t>[6902221345332] Pantuflas Black Black Bubba</t>
  </si>
  <si>
    <t>[6902221355591] Mochila Mini Beast Camo Black  Bubba</t>
  </si>
  <si>
    <t>[6902221356734] Mochila Classic Mirabella Mini '21 Bubba Bags</t>
  </si>
  <si>
    <t>[6902221356741] Mochila Classic Mirabella Regular '21 Bubba Bags</t>
  </si>
  <si>
    <t>[6902221386373] Lonchera Classic Mirabella Rpet Bubba Bags</t>
  </si>
  <si>
    <t/>
  </si>
  <si>
    <t>[6902221390059] Bolso Depotivo Camo XL Black Bubba</t>
  </si>
  <si>
    <t>[6903121324885] Pack 3 Mascarillas Ultra Light Honolulu Kids Bubba Bags</t>
  </si>
  <si>
    <t>[69340337962010] Mueble Parlantes Tune Up</t>
  </si>
  <si>
    <t>[69348994231884] Carl LED COVER</t>
  </si>
  <si>
    <t>[7330033906530] Set de Cubiertos Lightweight Trailcutkery Rojo</t>
  </si>
  <si>
    <t>[757450527822] Mascarilla Detox Ceniza Volcánica, Aloe Vera Y Té Sheet</t>
  </si>
  <si>
    <t>[757450527860] Acondicionador Anti Enredos con Vitaminas Sheet</t>
  </si>
  <si>
    <t>[757450527907] Cintillo Ovejita Para Afirmar Pelo En Tratamientos Sheet</t>
  </si>
  <si>
    <t>[80-41117] Acondicionador Púrpura Sun Bum</t>
  </si>
  <si>
    <t>[8809541208652] Mascarilla Facial It's Skin Power 10 Formula Vc</t>
  </si>
  <si>
    <t>[8809541209260] Mascarilla Facial It's Skin The Fresh Tomato</t>
  </si>
  <si>
    <t>[89554] Set 6 Copas Vina Trumpet 192 Ml.</t>
  </si>
  <si>
    <t>[925173] SET 4 VASOS DE VIDRIO ARTISAN PILSNER 370ML LIBBEY</t>
  </si>
  <si>
    <t>[925180] Set 4 Vasos De Vidrio Artisan Mug 320Ml Libbey</t>
  </si>
  <si>
    <t>[99131300325] Mochila Classic Mirabella Regular Bubba Bags</t>
  </si>
  <si>
    <t>[AMPDIAMANTEHUMO] Ampolleta Ledzone Deco Diamante Humo Led</t>
  </si>
  <si>
    <t>[B0015] Alfombra Bombai L Degradé Flecos Negro/Beige BVS</t>
  </si>
  <si>
    <t>[B0023] Manta Jaipur Rayas Borlas Beige/Negro BVS</t>
  </si>
  <si>
    <t>[B0031] Sujeta Fotos Clip Redonda Varillas Dorado BVS</t>
  </si>
  <si>
    <t>[B0178] Set 3 Cestos Ankara Calado Blanco BVS</t>
  </si>
  <si>
    <t>[B0239] Bandeja Agra Hexagonal Natural Blanco BVS</t>
  </si>
  <si>
    <t>[B0250] Funda Cojín Oslo Espigas Gris Blanco BVS</t>
  </si>
  <si>
    <t>[B0252] Funda Cojín Triangle Pespuntes Gris BVS</t>
  </si>
  <si>
    <t>[B0254] Funda Cojín Triangle Pespuntes Gris Claro BVS</t>
  </si>
  <si>
    <t>[B0258] Cojin Glamour Gris BVS</t>
  </si>
  <si>
    <t>[B0259] Cojín Zig Zag 50X50 Bordado Rosa/Blanco BVS</t>
  </si>
  <si>
    <t>[B0262] Cojín Kenya 45X45 Falso Pelo Gris Oscur BVS</t>
  </si>
  <si>
    <t>[B0263] Cojín Mandala 50X50 Bordado Gris/Blanco BVS</t>
  </si>
  <si>
    <t>[B0273] Funda Cojín Silver Espigas Plateado Gris BVS</t>
  </si>
  <si>
    <t>[B0275] Funda Cojín Nordic Cruces Negro/Blanco BVS</t>
  </si>
  <si>
    <t>[B0289] Set 2 Salvamanteles Cork Hexagonal Blanco Negro BVS</t>
  </si>
  <si>
    <t>[B0292] Set 2 Individuales Circle Circular Blanco Rot BVS</t>
  </si>
  <si>
    <t>[B0294] Set 2 Individuales Tahití Circular Blanco/Neg BVS</t>
  </si>
  <si>
    <t>[B0295] Set 2 Individuales Leaf Rectang Hojas Gris BVS</t>
  </si>
  <si>
    <t>[B0297] Set 2 Individuales Summer Circular Marrón/Bla BVS</t>
  </si>
  <si>
    <t>[B0299] Set 2 Individuales Patagallo Pvc Blanco Negro BVS</t>
  </si>
  <si>
    <t>[B0300] Set 2 Individuales Garden Pvc Blanco Hueso BVS</t>
  </si>
  <si>
    <t>[B0301] Maceta Myconos Copa Blanco Roto BVS</t>
  </si>
  <si>
    <t>[B0308] Maceta Los Alto Textura Gris Blanqueado BVS</t>
  </si>
  <si>
    <t>[B0313] Maceta Ios Bajo Grabado Blanco BVS</t>
  </si>
  <si>
    <t>[B0314] Maceta Ios Alto Grabado Blanco BVS</t>
  </si>
  <si>
    <t>[B0315] Maceta Santorini Alto Rayas Blanco BVS</t>
  </si>
  <si>
    <t>[B0319] Portavelas Ra Redonda Metal Dorado BVS</t>
  </si>
  <si>
    <t>[B0320] Farolillo Goldy Con Asa Metal Dorado BVS</t>
  </si>
  <si>
    <t>[B0332] Pie Para Maceta Mr White Metal Blanco BVS</t>
  </si>
  <si>
    <t>[B0342] Caja Deco Pineapple Metal Dorado BVS</t>
  </si>
  <si>
    <t>[B0344] Espejo Ra Redonda Rayas Negro BVS</t>
  </si>
  <si>
    <t>[B0346] Espejo Bubble Metal Dorado BVS</t>
  </si>
  <si>
    <t>[B0348] Espejo Ring Metal Rayas Dorado BVS</t>
  </si>
  <si>
    <t>[B0350] Tabla De Cortar Bali Horizontal Natural/Marró BVS</t>
  </si>
  <si>
    <t>[B0365] Tabla De Cortar Cut L Rectang Natural/Marrón BVS</t>
  </si>
  <si>
    <t>[B0367] Tabla De Cortar Cut S Rectang Natural/Marrón BVS</t>
  </si>
  <si>
    <t>[B0368] Tabla De Cortar Copper Redonda Natural/Cobre BVS</t>
  </si>
  <si>
    <t>[B0371] Botellero Vino Wine For 8 8 Botellas Natural BVS</t>
  </si>
  <si>
    <t>[B0374] Jarrón Brown Bottle Mitad Pintado Marrón BVS</t>
  </si>
  <si>
    <t>[B0375] Jarrón Brown Vase Mitad Pintado Marrón BVS</t>
  </si>
  <si>
    <t>[B0377] Jarrón Tendence 19X14 Transparente/Dorado BVS</t>
  </si>
  <si>
    <t>[B0379] Jarrón Tendence Grabado 29X15 Gris/Dorado BVS</t>
  </si>
  <si>
    <t>[B0380] Jarrón Tendence Grabado 20X13 Gris/Dorado BVS</t>
  </si>
  <si>
    <t>[B0403] Caja Deco Retro Transparente Dorado BVS</t>
  </si>
  <si>
    <t>[B0404] Caja Deco Retro Casa Dorado BVS</t>
  </si>
  <si>
    <t>[B0408] Farolillo Retro L Transparente/Dorado BVS</t>
  </si>
  <si>
    <t>[B0410] Set 4 Cubiertos Chic Table Minimal Plateado X6 BVS</t>
  </si>
  <si>
    <t>[B0412] Set 4 Cubiertos Chic Table Minimal Dorado BVS</t>
  </si>
  <si>
    <t>[B0417] Set Vajilla Completo 16 Piezas Avignon Grabad Blan BVS</t>
  </si>
  <si>
    <t>[B0418] Set Vajilla Completo 16 Piezas Provenza Graba Blan BVS</t>
  </si>
  <si>
    <t>[B0505] Figura Mr Kaktus L Cerámica Blanco BVS</t>
  </si>
  <si>
    <t>[B0507] Figura Mrs Kaktus L Cerámica Blanco BVS</t>
  </si>
  <si>
    <t>[B0511] Caja Deco Ananas M Cerámica Blanco/Dorado BVS</t>
  </si>
  <si>
    <t>[B0527] Espejo Gold Cuadrada Dorado BVS</t>
  </si>
  <si>
    <t>[B0598] Estantería Retro Multi Hexagon Dorado BVS</t>
  </si>
  <si>
    <t>[B0599] Estantería Retro Square Dorado BVS</t>
  </si>
  <si>
    <t>[B0600] Estantería Retro Hexagon Dorado BVS</t>
  </si>
  <si>
    <t>[B0601] Caja Deco Retro Tapa Dorado BVS</t>
  </si>
  <si>
    <t>[B0618] Espejo Spider Metal Dorado BVS</t>
  </si>
  <si>
    <t>[B0622] Espejo Amaui Redonda Mimbre Natural BVS</t>
  </si>
  <si>
    <t>[B0623] Espejo Leilani Redondo Mimbre Natural BVS</t>
  </si>
  <si>
    <t>[B0686] Set 4 Cubiertos Viking Cobre BVS</t>
  </si>
  <si>
    <t>[B0696] Set 4 Cubiertos Must Dorado Blanco BVS</t>
  </si>
  <si>
    <t>[B0697] Set 4 Cubiertos Must Dorado Negro BVS</t>
  </si>
  <si>
    <t>[B0699] Set 4 Cubiertos Viking Negro BVS</t>
  </si>
  <si>
    <t>[B0710] Organizador Maquillaje Retro Makeup Trans/Dor BVS</t>
  </si>
  <si>
    <t>[B0716] Silla Kane Patas Metal Ribete Rosa BVS</t>
  </si>
  <si>
    <t>[B0723] Manta Bikaner Rombos Y Flecos 125X150 Gris/Blanco BVS</t>
  </si>
  <si>
    <t>[B0726] Espejo Serifos Redondo Espiral Natural BVS</t>
  </si>
  <si>
    <t>[B0733] Espejo Andros Redondo Natural BVS</t>
  </si>
  <si>
    <t>[B0734] Espejo Paros Redondo Natural BVS</t>
  </si>
  <si>
    <t>[B0751] Jarrón Icy Pink Mate Rosa BVS</t>
  </si>
  <si>
    <t>[B0752] Jarrón Icy Grey Mate Gris BVS</t>
  </si>
  <si>
    <t>[B0756] Espejo Pared Flor S Metal Dorado BVS</t>
  </si>
  <si>
    <t>[B0762] Espejo Pared Spark Redondo Dorado BVS</t>
  </si>
  <si>
    <t>[BB15005P] Mamadera 240 Ml Kaki Elhee</t>
  </si>
  <si>
    <t>[BB24004P] Mamadera 240 Ml Verde Hiedra Elhee</t>
  </si>
  <si>
    <t>[BB33004P] Mamadera 330 Ml Verde Hiedra Elhee</t>
  </si>
  <si>
    <t>[BF1224B-CH] Olla Soho Cherry 24cm Con Tapa</t>
  </si>
  <si>
    <t>[BF1224B-MI] Olla Soho Mint 24cm Con Tapa</t>
  </si>
  <si>
    <t>[BUC-101] Pack Pinzas Cocina Acero Inoxidable 34 y 27Cm Bklyn</t>
  </si>
  <si>
    <t>[BUC-103] Pinzas Cocina Acero Inoxidable 30Cm Bklyn</t>
  </si>
  <si>
    <t>[BUC-106] Tabla Multiuso Fibra de Madera Bklyn</t>
  </si>
  <si>
    <t>[BUC-107] Tabla Parrillera Fibra de Madera Bklyn</t>
  </si>
  <si>
    <t>[BUC-108] Tabla Parrillera Fibra de Madera Bklyn</t>
  </si>
  <si>
    <t>[C1PICGG013] Puzzle Glaciar Grey 1000 Piezas</t>
  </si>
  <si>
    <t>[CAMH1INS] Cámara Inspección de Tuberías H1 Cámara 7" Cable 40mt</t>
  </si>
  <si>
    <t>[CLI-032] Imaclick Juego Magnético 32 Piezas</t>
  </si>
  <si>
    <t>[CPMX02BLU] Bicicleta De Equilibro Chillafish Bmxie 02 Blue</t>
  </si>
  <si>
    <t>[CPMX02LIM] Bicicleta Aprendizaje Chillafish Bmxie  02 Lima</t>
  </si>
  <si>
    <t>[CPMX02PIN] Bicicleta De Equilibro Chillafish Bmxie 02 Pink</t>
  </si>
  <si>
    <t>[CT1853-6T] Hazlo Tu Mismo Pulseras De Amuletos Ann Williams Group</t>
  </si>
  <si>
    <t>[CT2151] Juego Conecta Los Puntos Nivel 2 MiDeer</t>
  </si>
  <si>
    <t>[CT2156T] Hazlo Tu Mismo Pulseras Ann Williams Group</t>
  </si>
  <si>
    <t>[CT7014] Puzzle 150Pcs Redondo Un Dia En El Bosque MiDeer</t>
  </si>
  <si>
    <t>[CT7015] Puzzle 150Pcs Redondo Vagando En El Espacio MiDeer</t>
  </si>
  <si>
    <t>[CT7016] Puzzle 150Pcs Redondo Animales Alrededor Del Mundo MiDeer</t>
  </si>
  <si>
    <t>[CT7018] Level Up Puzzles Nivel 1 Animales 10 Puzzles MiDeer</t>
  </si>
  <si>
    <t>[CT7019] Level Up Puzzles Nivel 2 Cuatro Estaciones 4 Puzzles MiDeer</t>
  </si>
  <si>
    <t>[CT7021] Level Up Puzzles Nivel 3 Habitats Naturales 3 Puzzles MiDeer</t>
  </si>
  <si>
    <t>[CT7022] Level Up Puzzles Nivel 4 Vehiculos 3 Puzzles MiDeer</t>
  </si>
  <si>
    <t>[CT7024] Level Up Puzzles Nivel 6 Imaginación 2 Puzzles MiDeer</t>
  </si>
  <si>
    <t>[CT7025] Level Up Puzzles Nivel 7 Geografía Humana 2 Puzzles MiDeer</t>
  </si>
  <si>
    <t>[CT7026] Linterna Proyector De Cuentos Y Estrellas MiDeer</t>
  </si>
  <si>
    <t>[FA055-1] Acuity, Juego De Habilidades FatBrain Toys</t>
  </si>
  <si>
    <t>[FA056-1] Ivan'S Hinge, Juego De Ingenio FatBrain Toys</t>
  </si>
  <si>
    <t>[FA070-1] Tobbles Neo, Juego De Apilar FatBrain Toys</t>
  </si>
  <si>
    <t>[FA088-1] Squigz Starter Set, Juego De Creatividad FatBrain Toys</t>
  </si>
  <si>
    <t>[FA088-2] Squigz Deluxe Set, Juego De Creatividad FatBrain Toys</t>
  </si>
  <si>
    <t>[FA089-1] Pipsquigz, Mordedores, Sonajeros Sensoriales FatBrain Toys</t>
  </si>
  <si>
    <t>[FA093-1] Peek-A-Doodle Doo, Memorice FatBrain Toys</t>
  </si>
  <si>
    <t>[FA110-1] Spinagain Juego De Construccion Y Estimulación FatBrain Toys</t>
  </si>
  <si>
    <t>[FA165-1] Pipsquigz Loops Naranjo Mordedores Sensoriales FatBrain Toys</t>
  </si>
  <si>
    <t>[FA192-1] Dimpl Juego Sensorial, Para Manos Inquietas FatBrain Toys</t>
  </si>
  <si>
    <t>[FA195-1] Door Pong Ping Pong Colgante FatBrain Toys</t>
  </si>
  <si>
    <t>[FA210-1] Whirly Squigz, Spinners Para Bebes Y Niños FatBrain Toys</t>
  </si>
  <si>
    <t>[FA223-1] Hiding Hedgehogs, Apilar Y Anidar FatBrain Toys</t>
  </si>
  <si>
    <t>[FA227-1] Fruit Friends, Sonajero, Puzzle FatBrain Toys</t>
  </si>
  <si>
    <t>[FA248-1] Spinnypins Palitroques Encaje Con Sonido FatBrain Toys</t>
  </si>
  <si>
    <t>[FA268-1] Jixezl Puzzle De Pixeles 3000 Pc Set, Creator FatBrain Toys</t>
  </si>
  <si>
    <t>[FA304-1] Drop Shop Juego De Destreza FatBrain Toys</t>
  </si>
  <si>
    <t>[FA313-2] Trestle Tracks Pista Para Bolitas FatBrain Toys</t>
  </si>
  <si>
    <t>[FA318-1] Spiroku Juego De Apilar FatBrain Toys</t>
  </si>
  <si>
    <t>[FA335-1] Dimpl Pops Juego Sensorial FatBrain Toys</t>
  </si>
  <si>
    <t>[FF001C] Familia De Gatos Fuzzikins</t>
  </si>
  <si>
    <t>[FF002C] Familia De Perros Fuzzikins</t>
  </si>
  <si>
    <t>[FF103C] Bebé Hamster Fuzzikins</t>
  </si>
  <si>
    <t>[GRA-024] Imagram Juego Magnético 24 Piezas</t>
  </si>
  <si>
    <t>[GUIR220VESTRELLA] Guirnalda Eléctrica Ledzone Estrella 20 Luces Led</t>
  </si>
  <si>
    <t>[GUIRCOLORTRANS] Guirnalda Ledzone Colores Transparente 10 Led Pilas</t>
  </si>
  <si>
    <t>[HK-129B PRO-XL] Patín En Línea Fitness Pro Adulto Negro XL Hook (43-46)</t>
  </si>
  <si>
    <t>[HK-129BPRO-S] Patin Roller Inline Fitness Pro Adulto Negro Talla S Hook</t>
  </si>
  <si>
    <t>[IMA-AC16] Imanix Curved Juego 16 Piezas Magnéticas</t>
  </si>
  <si>
    <t>[IMA-ANI2] Imanix Imanimals Sabana Salvaje 5 piezas</t>
  </si>
  <si>
    <t>[IMA-B01] Imanix Base Magnética</t>
  </si>
  <si>
    <t>[IMA-BDS] Imabrick Imanix Doble Cara 8 Piezas</t>
  </si>
  <si>
    <t>[IMA-CG5] Imanix Set de 5 Cuadrados Grandes</t>
  </si>
  <si>
    <t>[IMA-F5C] Imanix Friends Cool 5 Personajes</t>
  </si>
  <si>
    <t>[IMA-F5F] Imanix Friends Fun 5 personajes</t>
  </si>
  <si>
    <t>[IMA-GID] Imanix Juego 16 Piezas Magnéticas Glow In The Dark Edition</t>
  </si>
  <si>
    <t>[IMA-GLI] Imanix Juego 12 Piezas Magnéticas Glitter Edition</t>
  </si>
  <si>
    <t>[KW-24CALIPSO] Sarten Ceramica Simply Cook 24cm Calipso</t>
  </si>
  <si>
    <t>[KW-28CALIPSO] Sarten Ceramica Simply Cook 28cm Calipso Cocina</t>
  </si>
  <si>
    <t>[KW-28ROJO] Sarten Ceramica Simply Cook 28cm Rojo</t>
  </si>
  <si>
    <t>[LVCONSW-BK] Control Joystick Pro Nintendo Switch LEVO Inalámbrico Negro</t>
  </si>
  <si>
    <t>[LVTEL-80] Telón Mural de Proyector Portátil 80 pulgadas Levo</t>
  </si>
  <si>
    <t>[MATE-450VERDE] Termo Mug Café/Mate Verde 400ml Thermos</t>
  </si>
  <si>
    <t>[MCO002] Home Spray 500 Ml Saint Sandal Transparente Madison</t>
  </si>
  <si>
    <t>[MCO002-2] Home Spray 500 Ml Saint Sandal Negro Madison</t>
  </si>
  <si>
    <t>[MCO004-1] Home Spray 500 Ml Ala Moana Ámbar Madison</t>
  </si>
  <si>
    <t>[MCO005-1] Jabón Líquido 500 Ml Passion Fig Ámbar Madison</t>
  </si>
  <si>
    <t>[MCO005-2] Jabón Líquido 500 Ml Passion Fig Negro Madison</t>
  </si>
  <si>
    <t>[MCO006] Jabón Líquido 500 Ml Saint Sandal Transparente Madison</t>
  </si>
  <si>
    <t>[MCO006-2] Jabón Líquido  500 ml Saint Sandal Negro Madison</t>
  </si>
  <si>
    <t>[MCO008] Jabón Líquido 500 Ml Ala Moana Transparente Madison</t>
  </si>
  <si>
    <t>[MCO008-1] Jabón Líquido 500 Ml Ala Moana Ámbar Madison</t>
  </si>
  <si>
    <t>[MCO008-2] Jabón Líquido 500 Ml Ala Moana Negro Madison</t>
  </si>
  <si>
    <t>[MCO010] Refill Home Spray 1 Lt Ala Moana Madison</t>
  </si>
  <si>
    <t>[MCO014] Difusor Auto 8 Ml Tahiti Madison</t>
  </si>
  <si>
    <t>[MCO020-1] Difusor Varitas 250 Ml Green Citrus Transparente Madison</t>
  </si>
  <si>
    <t>[MCO021-1] Difusor Varitas 250 Ml Tropical Chic Transparente Madison</t>
  </si>
  <si>
    <t>[MCO022-1] Difusor Varitas 250 ml Black Cedar Transparente Madison</t>
  </si>
  <si>
    <t>[MCO035] Difusor Varitas 150 Ml Passion Fig Transparente Madison</t>
  </si>
  <si>
    <t>[MCO035-2] Difusor Varitas 150 Ml Passion Fig Ámbar Madison</t>
  </si>
  <si>
    <t>[MCO037-1] Difusor Varitas 150 Ml Tropical Chic Negro Madison</t>
  </si>
  <si>
    <t>[MCO038-2] Difusor Varitas 150 Ml Black Cedar Ámbar Madison</t>
  </si>
  <si>
    <t>[MCO039] Mini Home Spray 120 Ml Passion Fig Transparente Madison</t>
  </si>
  <si>
    <t>[MCO040] Mini Home Spray 120 Ml Saint Sandal Transparente Madison</t>
  </si>
  <si>
    <t>[MCO041] Mini Home Spray 120 Ml Green Citrus Transparente Madison</t>
  </si>
  <si>
    <t>[MCO043] Mini Home Spray 120 Ml Tropical Chic Transparente Madison</t>
  </si>
  <si>
    <t>[MCO044] Mini Home Spray 120 Ml Black Cedar Transparente Madison</t>
  </si>
  <si>
    <t>[MCO050] Tabla Mármol Carrara Madison</t>
  </si>
  <si>
    <t>[MCO070] Jabón Líquido 500 Ml Tropical Chic Transparente Madison</t>
  </si>
  <si>
    <t>[MCO070-1] Jabón Líquido 500 Ml Tropical Chic Ámbar Madison</t>
  </si>
  <si>
    <t>[MCO070-2] Jabón Líquido 500 Ml Tropical Chic Negro Madison</t>
  </si>
  <si>
    <t>[MCO071] Jabón Líquido 500 Ml Black Cedar Transparente Madison</t>
  </si>
  <si>
    <t>[MCO071-1] Jabón Líquido 500 Ml Black Cedar Ámbar Madison</t>
  </si>
  <si>
    <t>[MCO071-2] Jabón Líquido 500 Ml Black Cedar Negro Madison</t>
  </si>
  <si>
    <t>[MCO076] Refill Difusor Varitas 500 Ml Black Cedar Madison</t>
  </si>
  <si>
    <t>[MCO095] Difusor Varitas 150 Ml Saint Sandal Transparente Madison</t>
  </si>
  <si>
    <t>[MCO096-1] Difusor Varitas 250 Ml Saint Sandal Transparente Madison</t>
  </si>
  <si>
    <t>[MCO120-2] Crema Humectante 500 Ml Passion Fig Negro Madison</t>
  </si>
  <si>
    <t>[MCO122] Crema Humectante 500 Ml Ala Moana Transparente Madison</t>
  </si>
  <si>
    <t>[MCO122-2] Crema Humectante 500 Ml Ala Moana Negro Madison</t>
  </si>
  <si>
    <t>[MCO123] Crema Humectante 500 Ml Saint Sandal Transparente Madison</t>
  </si>
  <si>
    <t>[MCO123-2] Crema Humectante 500 Ml Saint Sandal Negro Madison</t>
  </si>
  <si>
    <t>[MCO124] Crema Humectante 500 Ml Tropical Chic Transparente Madison</t>
  </si>
  <si>
    <t>[MCO126-1] Crema Humectante 500 Ml Summer Days Ámbar Madison</t>
  </si>
  <si>
    <t>[MCO126-2] Crema Humectante 500 Ml Summer Days Negro Madison</t>
  </si>
  <si>
    <t>[MCO151] Aceite Home Diffuser 30 ml Passion Fig Madison</t>
  </si>
  <si>
    <t>[MCO157] Aceite Home Diffuser 30 ml Tahiti Madison</t>
  </si>
  <si>
    <t>[MCO160-1] Home Spray 500 Ml Summer Days Ámbar Madison</t>
  </si>
  <si>
    <t>[MCO161] Mini Home Spray 120 Ml Summer Days Transparente Madison</t>
  </si>
  <si>
    <t>[MCO162] Jabón Líquido 500 Ml Summer Days Transparente Madison</t>
  </si>
  <si>
    <t>[MCO163-2] Difusor Varitas 250 Ml Summer Days Negro Madison</t>
  </si>
  <si>
    <t>[MCO164-2] Difusor Varitas 150 Ml Summer Days Ámbar Madison</t>
  </si>
  <si>
    <t>[MCO170] Room Spray Passion Fig Madison</t>
  </si>
  <si>
    <t>[MCO171] Room Spray Green Citrus Madison</t>
  </si>
  <si>
    <t>[MCO174] Room Spray Tropical Chic Madison</t>
  </si>
  <si>
    <t>[MCO250] Vela Soja Natural 320 Grms Transparente Passion Fig Madison</t>
  </si>
  <si>
    <t>[MCO250-1] Vela Soja Natural 320 Grms Ámbar Passion Fig</t>
  </si>
  <si>
    <t>[MCO250-2] Vela Soja Natural 320 grms Negro Passion Fig Madison</t>
  </si>
  <si>
    <t>[MCO251-1] Vela Soja Natural 320 Grms Ámbar Ala Moana Madison</t>
  </si>
  <si>
    <t>[MCO251-2] Vela Soja Natural 320 Grms Negro Ala Moana Madison</t>
  </si>
  <si>
    <t>[MCO253] Vela Soja Natural 320Gm Transparente Bergamot Citrus Madison</t>
  </si>
  <si>
    <t>[MCO253-1] Vela Soja Natural 320 Grms Ámbar Bergamot Citrus Madison</t>
  </si>
  <si>
    <t>[MCO253-2] Vela Soja Natural 320 Grms Negro Bergamot Citrus Madison</t>
  </si>
  <si>
    <t>[MCO424] Jabón En barra 100 Grms Verde Madison</t>
  </si>
  <si>
    <t>[MD0078-1] Puzzle 25Pcs Mi Primer Puzzle Progresivo Animales MiDeer</t>
  </si>
  <si>
    <t>[MD1015] Set Stickers Reutilizables Animales MiDeer</t>
  </si>
  <si>
    <t>[MD1016] Set Stickers Reutilizables Medios De Transportes MiDeer</t>
  </si>
  <si>
    <t>[MD1032] Tarjetas Abecedario Escribir Y Borrar MiDeer</t>
  </si>
  <si>
    <t>[MD1041] Juego De Patrones E Imaginación Magnetico MiDeer</t>
  </si>
  <si>
    <t>[MD1082] Bloques Coloridos MiDeer</t>
  </si>
  <si>
    <t>[MD2076] Juego Construcción De Caminos MiDeer</t>
  </si>
  <si>
    <t>[MD2086] Juego Adivina El Animal MiDeer</t>
  </si>
  <si>
    <t>[MD3026] Puzzle 104Pcs Maleta Dinosaurios MiDeer</t>
  </si>
  <si>
    <t>[MD3027] Puzzle Maleta Mi Mundo 100Pcs MiDeer</t>
  </si>
  <si>
    <t>[MD3035] Puzzle 30Pcs Redondo Profesiones MiDeer</t>
  </si>
  <si>
    <t>[MD3078] Puzzle Maleta Mi Garage 104Pcs MiDeer</t>
  </si>
  <si>
    <t>[MD3098] Puzzle 104Pcs Maleta Cuentos MiDeer</t>
  </si>
  <si>
    <t>[MD3106] Level Up Puzzles Nivel 5 Tour De Aventuras, 3 Puzzles MiDeer</t>
  </si>
  <si>
    <t>[MD3110] Puzzle Maleta Oceano 104Pcs MiDeer</t>
  </si>
  <si>
    <t>[MD3125] Puzzle Carnaval 528 Pcs MiDeer</t>
  </si>
  <si>
    <t>[MD4062] Stickers Geometricos Animales MiDeer</t>
  </si>
  <si>
    <t>[MD4127] Set De Washi Tape MiDeer</t>
  </si>
  <si>
    <t>[MEMN001] Mesa para Notebook Plegable Multifuncional Negra Uplift</t>
  </si>
  <si>
    <t>[NFU+COPPER-S] Máscara Filtrante Antimicrobiana Lavable Fu+Copper-Negro S/M</t>
  </si>
  <si>
    <t>[NX5sBB] Máscara Deportiva Slim-Fit Sin Cuello Reversible Negrozul</t>
  </si>
  <si>
    <t>[OW-902G-M] Casco Celeste Talla M OnWheels</t>
  </si>
  <si>
    <t>[PAD-001RO] Imapad Juego Magnético Rojo</t>
  </si>
  <si>
    <t>[PAD-002NE] Imapad Mini Negra con lápiz magnético, Braintoys</t>
  </si>
  <si>
    <t>[PAD-002ROJ] Imapad Mini Rojo con Lápiz Magnético, Braintoys</t>
  </si>
  <si>
    <t>[PAD-DLMM] Imapad Juego Duo Letras Mayúsculas y Minúsculas</t>
  </si>
  <si>
    <t>[PCMMB005] Individual + Plato Mini Mat Rosado Ezpz</t>
  </si>
  <si>
    <t>[PCSSB005] Cucharas Tiny Rosado Ezpz</t>
  </si>
  <si>
    <t>[PKMFS001] Set de Alimentación Verde Ezpz</t>
  </si>
  <si>
    <t>[RC-BIL22] Billetera Cuero Yelco Hecha a mano Raiquen</t>
  </si>
  <si>
    <t>[RC-BIL44] Billetera Tarjetero Icalma Hecha A Mano Raiquen</t>
  </si>
  <si>
    <t>[RC-CBL22] Cinturón Cuero Bordado Pampa Verde Raiquen (L (90CM))</t>
  </si>
  <si>
    <t>[RC-CBM22] Cinturón Cuero Bordado Pampa Verde Raiquen (M (90CM))</t>
  </si>
  <si>
    <t>[RC-CBS22] Cinturón Cuero Bordado Pampa Verde Raiquen (S (90CM))</t>
  </si>
  <si>
    <t>[RC-CBXL22] Cinturón Cuero Bordado Pampa Verde Raiquen (XL (90CM))</t>
  </si>
  <si>
    <t>[RC-MAR55] Cuchillo Marmolejo Artesanal Hecho a Mano Raiquen</t>
  </si>
  <si>
    <t>[RC-PAI55] Cuchillo Paico Artesanal Hecho a Mano Raiquen</t>
  </si>
  <si>
    <t>[RC-STR11] Strap Anteojos Cuero Café Raiquen</t>
  </si>
  <si>
    <t>[RC-STR33] Strap Correa para Anteojos Café y Negro Raiquen</t>
  </si>
  <si>
    <t>[RPOSSA01] Silla Reposera Lineas Rojas Possa</t>
  </si>
  <si>
    <t>[RPOSSA04] Pack 2 Sillas Reposeras Rojo + Mesa Transportadora Possa</t>
  </si>
  <si>
    <t>[SD00000040721] Cuchara Larga Melamina Talla M Fucsia Perro/gato Mascan</t>
  </si>
  <si>
    <t>[SD00000091521] Bebedero Portátil Hoja Std Fucsia</t>
  </si>
  <si>
    <t>[SIMCONRED] Contenedores Alimento Hermeticos Set 4 Cierre Facil Simplit</t>
  </si>
  <si>
    <t>[SONA01] Soporte para Notebook de Aluminio Uplift</t>
  </si>
  <si>
    <t>[ST001] Sticker Personalizables Roda</t>
  </si>
  <si>
    <t>[TCONSONH5] Robot Limpiavidrios Onson H-05 Onson</t>
  </si>
  <si>
    <t>[TML01] Kit Teclado y Mouse inalámbrico Logitech</t>
  </si>
  <si>
    <t>[UC3968] Cuchillo 18Cm Black Series Oou</t>
  </si>
  <si>
    <t>[UC4026] Afilador Cuchillo Oou</t>
  </si>
  <si>
    <t>[UC4242] Set Cuchillo 8 piezas Black Series Oou</t>
  </si>
  <si>
    <t>[W009034WE] Kit Juego De Herramientas Hogar 17 Piezas Workpro</t>
  </si>
  <si>
    <t>[W016040WE] Serrucho Costilla Mango Ergonomico 400mm Workpro</t>
  </si>
  <si>
    <t>[W021174WE] Destornillador 4 En 1 Con Luz Led Workpro</t>
  </si>
  <si>
    <t>[YB01000111009] Collar Perro Calavera Puntas Redondas 2Xl Rojo Mascan</t>
  </si>
  <si>
    <t>[ZIP1] Zippee Juguete Sensorial Möbi</t>
  </si>
  <si>
    <t>Variante</t>
  </si>
  <si>
    <t xml:space="preserve"> Stock</t>
  </si>
  <si>
    <t xml:space="preserve"> Costo Neto Prom. Unitario</t>
  </si>
  <si>
    <t xml:space="preserve"> Costo Neto Prom. Total</t>
  </si>
  <si>
    <t>X8 21TP0731PI</t>
  </si>
  <si>
    <t>1628778289266</t>
  </si>
  <si>
    <t>PVP</t>
  </si>
  <si>
    <t>Sku MLL</t>
  </si>
  <si>
    <t>Stock CD</t>
  </si>
  <si>
    <t>OBS</t>
  </si>
  <si>
    <t>VRBOX AUDIFONOS</t>
  </si>
  <si>
    <t>1650478123588</t>
  </si>
  <si>
    <t>Ultimate GPS 217 Pink</t>
  </si>
  <si>
    <t>1639085755244</t>
  </si>
  <si>
    <t>Ultimate GPS 217 Black</t>
  </si>
  <si>
    <t>1639085745522</t>
  </si>
  <si>
    <t>tupper tapa madera</t>
  </si>
  <si>
    <t>1644258979631</t>
  </si>
  <si>
    <t>TRX Rosado</t>
  </si>
  <si>
    <t>1616006958885</t>
  </si>
  <si>
    <t>TRX Amarillo</t>
  </si>
  <si>
    <t>1616006872824</t>
  </si>
  <si>
    <t>TP9200 Sistema de cámara de inspección de tuberías</t>
  </si>
  <si>
    <t>1661877043628</t>
  </si>
  <si>
    <t>TP37 dice cup bag</t>
  </si>
  <si>
    <t>1629727814806</t>
  </si>
  <si>
    <t>TP05C 21TP0731PI</t>
  </si>
  <si>
    <t>1628778362232</t>
  </si>
  <si>
    <t>TP013 dice cup box</t>
  </si>
  <si>
    <t>1629727823148</t>
  </si>
  <si>
    <t>68236222425789</t>
  </si>
  <si>
    <t>1627418225537</t>
  </si>
  <si>
    <t>1627424867043</t>
  </si>
  <si>
    <t>Teclado GAMER COLORES</t>
  </si>
  <si>
    <t>1650478050242</t>
  </si>
  <si>
    <t>Tapa Botella Hydro</t>
  </si>
  <si>
    <t>Tapa Botella Adventure Lhotse</t>
  </si>
  <si>
    <t>Tabla- drenaje</t>
  </si>
  <si>
    <t>1650478290520</t>
  </si>
  <si>
    <t>T500 21TP0731PI</t>
  </si>
  <si>
    <t>1628778259856</t>
  </si>
  <si>
    <t>solar pannel controler</t>
  </si>
  <si>
    <t>1636122379069</t>
  </si>
  <si>
    <t>SMP 7 21TP0731PI</t>
  </si>
  <si>
    <t>1628778373680</t>
  </si>
  <si>
    <t>SML fitness samples 21TP0522PI</t>
  </si>
  <si>
    <t>1627069056921</t>
  </si>
  <si>
    <t>Smartwatch TW58 Negro con Temperatura</t>
  </si>
  <si>
    <t>1594337749167</t>
  </si>
  <si>
    <t>1605622069868</t>
  </si>
  <si>
    <t>1607526253622</t>
  </si>
  <si>
    <t>1602029190396</t>
  </si>
  <si>
    <t>Smartwatch Safe K9 Light Blue</t>
  </si>
  <si>
    <t>66436950085067</t>
  </si>
  <si>
    <t>1639085736261</t>
  </si>
  <si>
    <t>Smartwatch Reloj Inteligente P10 Blanco</t>
  </si>
  <si>
    <t>1535566560027</t>
  </si>
  <si>
    <t>Smartwatch RD9 Correa Metálica Negra</t>
  </si>
  <si>
    <t>1574177821495</t>
  </si>
  <si>
    <t>1581963991564</t>
  </si>
  <si>
    <t>1605624656414</t>
  </si>
  <si>
    <t>1605708086872</t>
  </si>
  <si>
    <t>1579117612971</t>
  </si>
  <si>
    <t>1605624727428</t>
  </si>
  <si>
    <t>1579117587919</t>
  </si>
  <si>
    <t>SMARTWATCH PARIS D20L</t>
  </si>
  <si>
    <t>1660825216719</t>
  </si>
  <si>
    <t>1652824902758</t>
  </si>
  <si>
    <t>1652824924113</t>
  </si>
  <si>
    <t>1652824957424</t>
  </si>
  <si>
    <t>1652824942453</t>
  </si>
  <si>
    <t>1639085780345</t>
  </si>
  <si>
    <t>1639085790351</t>
  </si>
  <si>
    <t>1639085772390</t>
  </si>
  <si>
    <t>Camara Deportiva 4k Video con Accesorios</t>
  </si>
  <si>
    <t>1639085807876</t>
  </si>
  <si>
    <t>67898307709665</t>
  </si>
  <si>
    <t>67898303200803</t>
  </si>
  <si>
    <t>1639085799549</t>
  </si>
  <si>
    <t>SMARTBAND PARIS M7</t>
  </si>
  <si>
    <t>1660825229924</t>
  </si>
  <si>
    <t>1652824782363</t>
  </si>
  <si>
    <t>1652824796337</t>
  </si>
  <si>
    <t>1652824769553</t>
  </si>
  <si>
    <t>Smart Watch MOVE 88 Negro</t>
  </si>
  <si>
    <t>1608208175202</t>
  </si>
  <si>
    <t>1627416841030</t>
  </si>
  <si>
    <t>Sense F1 audifonos</t>
  </si>
  <si>
    <t>1630369235283</t>
  </si>
  <si>
    <t>Ver si se pueden reutilizar en otro reloj y cambiar nombre</t>
  </si>
  <si>
    <t>Secador de platos</t>
  </si>
  <si>
    <t>1650478146139</t>
  </si>
  <si>
    <t>Seca Platos SMP1</t>
  </si>
  <si>
    <t>1650478277346</t>
  </si>
  <si>
    <t>1616009024556</t>
  </si>
  <si>
    <t>Reloj analogo Flame Watch black</t>
  </si>
  <si>
    <t>1602623210379</t>
  </si>
  <si>
    <t>Rav 4 roof bar RB130.140</t>
  </si>
  <si>
    <t>1658436211628</t>
  </si>
  <si>
    <t>Rav 4 roof bar</t>
  </si>
  <si>
    <t>1658436173706</t>
  </si>
  <si>
    <t>1615383366170</t>
  </si>
  <si>
    <t>Parlante Tune Up Verde</t>
  </si>
  <si>
    <t>67933835988925</t>
  </si>
  <si>
    <t>Parlante Tune Up Rojo</t>
  </si>
  <si>
    <t>67933833934278</t>
  </si>
  <si>
    <t>Parlante Tune Up Negro</t>
  </si>
  <si>
    <t>67933831843970</t>
  </si>
  <si>
    <t>Parlante Tune Up Azul</t>
  </si>
  <si>
    <t>67933835121467</t>
  </si>
  <si>
    <t>67898463643999</t>
  </si>
  <si>
    <t>67898466886403</t>
  </si>
  <si>
    <t>67898465380537</t>
  </si>
  <si>
    <t>67898461965813</t>
  </si>
  <si>
    <t>Parlante Bluetooth Portátil TENO J5</t>
  </si>
  <si>
    <t>1606847480521</t>
  </si>
  <si>
    <t>Paragua para el vidrio del auto</t>
  </si>
  <si>
    <t>1644259023303</t>
  </si>
  <si>
    <t>Panera ceramica</t>
  </si>
  <si>
    <t>1644258777141</t>
  </si>
  <si>
    <t>package machine 21TP0402PI</t>
  </si>
  <si>
    <t>1621435991486</t>
  </si>
  <si>
    <t>Muestra Turbo Grill (Mini parrilla)</t>
  </si>
  <si>
    <t>1644258989378</t>
  </si>
  <si>
    <t>MUESTRA Smartwatch MX1</t>
  </si>
  <si>
    <t>1653404633176</t>
  </si>
  <si>
    <t>MUESTRA Smartwatch GPS CR130</t>
  </si>
  <si>
    <t>67414793517640</t>
  </si>
  <si>
    <t>MUESTRA Proyector PL12</t>
  </si>
  <si>
    <t>1653404646981</t>
  </si>
  <si>
    <t>Muestra Proyector Aao 3</t>
  </si>
  <si>
    <t>66559859669124</t>
  </si>
  <si>
    <t>Muestra Proyector Aao 2</t>
  </si>
  <si>
    <t>66559856061451</t>
  </si>
  <si>
    <t>Muestra Proyector Aao 1</t>
  </si>
  <si>
    <t>66559853294178</t>
  </si>
  <si>
    <t>MUESTRA Parlante SMP6</t>
  </si>
  <si>
    <t>1656617537266</t>
  </si>
  <si>
    <t>Muestra Drone 1080 sdcard</t>
  </si>
  <si>
    <t>1650477967885</t>
  </si>
  <si>
    <t>MUESTRA Audifonos MS01</t>
  </si>
  <si>
    <t>67414791952688</t>
  </si>
  <si>
    <t>MUESTRA Audifonos 618-11</t>
  </si>
  <si>
    <t>1656617666249</t>
  </si>
  <si>
    <t>MUESTRA Audifonos 618-10</t>
  </si>
  <si>
    <t>1656617655162</t>
  </si>
  <si>
    <t>MUESTRA Audifonos 618-1</t>
  </si>
  <si>
    <t>1656617557771</t>
  </si>
  <si>
    <t>MUESTRA Audifono T58</t>
  </si>
  <si>
    <t>67414791217036</t>
  </si>
  <si>
    <t>MUESTRA Audifono T17</t>
  </si>
  <si>
    <t>1653404596846</t>
  </si>
  <si>
    <t>MUESTRA audifono Q20</t>
  </si>
  <si>
    <t>1653404584202</t>
  </si>
  <si>
    <t>MUESTRA Audifono M6 PRO</t>
  </si>
  <si>
    <t>1653404687721</t>
  </si>
  <si>
    <t>MUESTRA Audifono M2</t>
  </si>
  <si>
    <t>1653404672596</t>
  </si>
  <si>
    <t>MUESTRA Audifono M13</t>
  </si>
  <si>
    <t>1653404698359</t>
  </si>
  <si>
    <t>MUESTRA Audifono i12 511-4</t>
  </si>
  <si>
    <t>1653404741817</t>
  </si>
  <si>
    <t>MUESTRA Audifono i12 511-3</t>
  </si>
  <si>
    <t>1653404731061</t>
  </si>
  <si>
    <t>MUESTRA Audifono i12 511-2</t>
  </si>
  <si>
    <t>1653404720633</t>
  </si>
  <si>
    <t>MUESTRA Audifono i12 511-1</t>
  </si>
  <si>
    <t>1653404709747</t>
  </si>
  <si>
    <t>MUESTRA Audifono B6</t>
  </si>
  <si>
    <t>1653404613464</t>
  </si>
  <si>
    <t>MUESTRA Audifono 111-1</t>
  </si>
  <si>
    <t>67414792729571</t>
  </si>
  <si>
    <t>MUESTRA Alcuza redondo con plato</t>
  </si>
  <si>
    <t>1653404660401</t>
  </si>
  <si>
    <t>Mouse negro 6 botones</t>
  </si>
  <si>
    <t>1650478062964</t>
  </si>
  <si>
    <t>Mouse gamer</t>
  </si>
  <si>
    <t>1650478074858</t>
  </si>
  <si>
    <t>molinillos sal-pimienta</t>
  </si>
  <si>
    <t>1644258884424</t>
  </si>
  <si>
    <t>1661873818029</t>
  </si>
  <si>
    <t>1661873799978</t>
  </si>
  <si>
    <t>Mochila tipo patagonia</t>
  </si>
  <si>
    <t>1650478157760</t>
  </si>
  <si>
    <t>Mochila tipo bolsa seca</t>
  </si>
  <si>
    <t>1650478206093</t>
  </si>
  <si>
    <t>1661873779510</t>
  </si>
  <si>
    <t>1661873760641</t>
  </si>
  <si>
    <t>1623703690011</t>
  </si>
  <si>
    <t>1623703728452</t>
  </si>
  <si>
    <t>Mochila Lisa</t>
  </si>
  <si>
    <t>1650478169323</t>
  </si>
  <si>
    <t>Mochila Antirrobo Gris Oscuro MA147</t>
  </si>
  <si>
    <t>1566849947902</t>
  </si>
  <si>
    <t>Maquina Remadora fit</t>
  </si>
  <si>
    <t>1630370351313</t>
  </si>
  <si>
    <t>Maquina para espuma</t>
  </si>
  <si>
    <t>1644258852971</t>
  </si>
  <si>
    <t>1513614057219</t>
  </si>
  <si>
    <t>jarro para guardar ceramica</t>
  </si>
  <si>
    <t>1644258895286</t>
  </si>
  <si>
    <t>IP CAM 3 21TP0731PI</t>
  </si>
  <si>
    <t>1628778335600</t>
  </si>
  <si>
    <t>ID205G 21TP0922PI</t>
  </si>
  <si>
    <t>1632938525133</t>
  </si>
  <si>
    <t>1523536647880</t>
  </si>
  <si>
    <t>H6 Sistema de cámara de inspección de tuberías</t>
  </si>
  <si>
    <t>1661877072053</t>
  </si>
  <si>
    <t>H10 21TP0731PI</t>
  </si>
  <si>
    <t>1628778300463</t>
  </si>
  <si>
    <t>Glory 580/560 roof bars</t>
  </si>
  <si>
    <t>1658434022703</t>
  </si>
  <si>
    <t>Glory 500 Roof Bar</t>
  </si>
  <si>
    <t>1658434052995</t>
  </si>
  <si>
    <t>Fundas asientos de auto</t>
  </si>
  <si>
    <t>1644259059993</t>
  </si>
  <si>
    <t>Fuente para el horno ceramica</t>
  </si>
  <si>
    <t>1644259048756</t>
  </si>
  <si>
    <t>Filtro de aire</t>
  </si>
  <si>
    <t>1639422799417</t>
  </si>
  <si>
    <t>Estabilizador De Cámaras Universales Portátil Celular</t>
  </si>
  <si>
    <t>1513100019184</t>
  </si>
  <si>
    <t>Especiero madera</t>
  </si>
  <si>
    <t>1644258770920</t>
  </si>
  <si>
    <t>Especiero Giratorio 6 unis</t>
  </si>
  <si>
    <t>1644258868016</t>
  </si>
  <si>
    <t>1542823095263</t>
  </si>
  <si>
    <t>Correa SW88 Rosada Puntos Verdes</t>
  </si>
  <si>
    <t>1629291104067</t>
  </si>
  <si>
    <t>Correa SW88 Negro verde con hebilla</t>
  </si>
  <si>
    <t>1610816377646</t>
  </si>
  <si>
    <t>Correa SW88 Negro Puntos grises (boton)</t>
  </si>
  <si>
    <t>1542051822796</t>
  </si>
  <si>
    <t>Correa SW88 Negro</t>
  </si>
  <si>
    <t>1565277372026</t>
  </si>
  <si>
    <t>Correa SW88 Negra/roja</t>
  </si>
  <si>
    <t>1610816087324</t>
  </si>
  <si>
    <t>Reloj Smartwatch Core 87</t>
  </si>
  <si>
    <t>Correa SW88 Negra con puntos rojos boton</t>
  </si>
  <si>
    <t>1542051526349</t>
  </si>
  <si>
    <t>Correa Sw88 Morado</t>
  </si>
  <si>
    <t>1564147623145</t>
  </si>
  <si>
    <t>Correa Sw88 Amarillo con hebilla</t>
  </si>
  <si>
    <t>1614194024408</t>
  </si>
  <si>
    <t>1595434263015</t>
  </si>
  <si>
    <t>Control PS4</t>
  </si>
  <si>
    <t>1650478089929</t>
  </si>
  <si>
    <t>Control Nintendo</t>
  </si>
  <si>
    <t>1650478100917</t>
  </si>
  <si>
    <t>Smartband KIDS R01</t>
  </si>
  <si>
    <t>Control Gamer</t>
  </si>
  <si>
    <t>1650478111691</t>
  </si>
  <si>
    <t>colador y cortador</t>
  </si>
  <si>
    <t>1644258923159</t>
  </si>
  <si>
    <t>Cobertor de auto</t>
  </si>
  <si>
    <t>1644259122271</t>
  </si>
  <si>
    <t>cobertor de asiento para perro</t>
  </si>
  <si>
    <t>1644259071820</t>
  </si>
  <si>
    <t>Cargador SW55</t>
  </si>
  <si>
    <t>1549546168927</t>
  </si>
  <si>
    <t>1605820909877</t>
  </si>
  <si>
    <t>1612801611908</t>
  </si>
  <si>
    <t>1601323542043</t>
  </si>
  <si>
    <t>car clearer</t>
  </si>
  <si>
    <t>1630371162211</t>
  </si>
  <si>
    <t>1496183099853</t>
  </si>
  <si>
    <t>1640091153797</t>
  </si>
  <si>
    <t>Camara 4k H1 Plateada</t>
  </si>
  <si>
    <t>1641933886673</t>
  </si>
  <si>
    <t>1596549586882</t>
  </si>
  <si>
    <t>Caja colación</t>
  </si>
  <si>
    <t>1644258839009</t>
  </si>
  <si>
    <t>Bowls Metalicos</t>
  </si>
  <si>
    <t>1644258822428</t>
  </si>
  <si>
    <t>Bowl con tapa de vidrio</t>
  </si>
  <si>
    <t>1644259102328</t>
  </si>
  <si>
    <t>Bowl con tapa de ceramica</t>
  </si>
  <si>
    <t>1644259088244</t>
  </si>
  <si>
    <t>68321385498620</t>
  </si>
  <si>
    <t>68313284342161</t>
  </si>
  <si>
    <t>1659992478281</t>
  </si>
  <si>
    <t>1659992503614</t>
  </si>
  <si>
    <t>1656603804695</t>
  </si>
  <si>
    <t>1656603823688</t>
  </si>
  <si>
    <t>1623703861303</t>
  </si>
  <si>
    <t>blister package 21TP0402PI</t>
  </si>
  <si>
    <t>1621436042191</t>
  </si>
  <si>
    <t>Big Mug Tumbler 1118ml Verde</t>
  </si>
  <si>
    <t>Big Mug Tumbler 1118ml Rosado</t>
  </si>
  <si>
    <t>Bicicleta Estatica Lhotse</t>
  </si>
  <si>
    <t>1638799019582</t>
  </si>
  <si>
    <t>Barra Glory 550</t>
  </si>
  <si>
    <t>1650478249084</t>
  </si>
  <si>
    <t>Banano negro</t>
  </si>
  <si>
    <t>1650478301588</t>
  </si>
  <si>
    <t>1623703942966</t>
  </si>
  <si>
    <t>68658866289861</t>
  </si>
  <si>
    <t>Termo Lhotse Patagon 1lt</t>
  </si>
  <si>
    <t>68658868763602</t>
  </si>
  <si>
    <t>Audifonos inalambricos steven</t>
  </si>
  <si>
    <t>1650478333611</t>
  </si>
  <si>
    <t>AUDIFONOS I12</t>
  </si>
  <si>
    <t>1637682789024</t>
  </si>
  <si>
    <t>1537889368850</t>
  </si>
  <si>
    <t>Audifonos Buds Jam Black</t>
  </si>
  <si>
    <t>67898499812968</t>
  </si>
  <si>
    <t>1597098592591</t>
  </si>
  <si>
    <t>1597086499840</t>
  </si>
  <si>
    <t>1592492799236</t>
  </si>
  <si>
    <t>1564150661249</t>
  </si>
  <si>
    <t>1566335721736</t>
  </si>
  <si>
    <t>1564150627423</t>
  </si>
  <si>
    <t>Audifono gamer headphone inalambrico</t>
  </si>
  <si>
    <t>1650478021227</t>
  </si>
  <si>
    <t>Audifono gamer headphone cable</t>
  </si>
  <si>
    <t>1650478008436</t>
  </si>
  <si>
    <t>Audifono gamer earphone micro</t>
  </si>
  <si>
    <t>1650478034510</t>
  </si>
  <si>
    <t>Almohadillas de asientos 21TP0402PI</t>
  </si>
  <si>
    <t>1621436109437</t>
  </si>
  <si>
    <t>Almohadillas Asiento</t>
  </si>
  <si>
    <t>1628801818864</t>
  </si>
  <si>
    <t>50w +100W+200W</t>
  </si>
  <si>
    <t>1630371207740</t>
  </si>
  <si>
    <t>67951421434761</t>
  </si>
  <si>
    <t>67951425161311</t>
  </si>
  <si>
    <t>67951423489593</t>
  </si>
  <si>
    <t>1660859102915</t>
  </si>
  <si>
    <t>Bateria de Ollas Cooper Colection</t>
  </si>
  <si>
    <t>1660858235219</t>
  </si>
  <si>
    <t>1660858266475</t>
  </si>
  <si>
    <t>66800469437952</t>
  </si>
  <si>
    <t>66800471275549</t>
  </si>
  <si>
    <t>66800472805184</t>
  </si>
  <si>
    <t>68142275737629</t>
  </si>
  <si>
    <t>68142280732690</t>
  </si>
  <si>
    <t>68142278578308</t>
  </si>
  <si>
    <t>1654207307551</t>
  </si>
  <si>
    <t>1654207333519</t>
  </si>
  <si>
    <t>1660857963520</t>
  </si>
  <si>
    <t>Set de utensilios Negro N2</t>
  </si>
  <si>
    <t>1661894945281</t>
  </si>
  <si>
    <t>1629726117626</t>
  </si>
  <si>
    <t>1629726091782</t>
  </si>
  <si>
    <t>Set de utensilios Calipso N2</t>
  </si>
  <si>
    <t>1661894977439</t>
  </si>
  <si>
    <t>1627418180602</t>
  </si>
  <si>
    <t>67327712330533</t>
  </si>
  <si>
    <t>1627418212924</t>
  </si>
  <si>
    <t>67933860407346</t>
  </si>
  <si>
    <t>67933857637909</t>
  </si>
  <si>
    <t>67933856404072</t>
  </si>
  <si>
    <t>67933859111971</t>
  </si>
  <si>
    <t>67933861722733</t>
  </si>
  <si>
    <t>67933863068841</t>
  </si>
  <si>
    <t>1660859287583</t>
  </si>
  <si>
    <t>Organizador de refrigerador con Cesta L</t>
  </si>
  <si>
    <t>Set 4 Moscow Mule Mug</t>
  </si>
  <si>
    <t>1658269683485</t>
  </si>
  <si>
    <t>Organizador de refrigerador con Cesta M</t>
  </si>
  <si>
    <t>1661872956577</t>
  </si>
  <si>
    <t>1645629782262</t>
  </si>
  <si>
    <t>Pack 2 Organizadores de refrigerador M y L Cesta</t>
  </si>
  <si>
    <t>1662389430959</t>
  </si>
  <si>
    <t>Pack 2 Taza Mug Vidrio Doble Pared 300 ml</t>
  </si>
  <si>
    <t>1662389376894</t>
  </si>
  <si>
    <t>Pack 2 Taza Vidrio Doble Pared 350 ml</t>
  </si>
  <si>
    <t>1654207748340</t>
  </si>
  <si>
    <t>Pack Organizador refrigerador S y L</t>
  </si>
  <si>
    <t>1654207352499</t>
  </si>
  <si>
    <t>1654207372101</t>
  </si>
  <si>
    <t>67933854599885</t>
  </si>
  <si>
    <t>1660857914743</t>
  </si>
  <si>
    <t>1654207295633</t>
  </si>
  <si>
    <t>1650298908518</t>
  </si>
  <si>
    <t>1661872713289</t>
  </si>
  <si>
    <t>1659989549286</t>
  </si>
  <si>
    <t>1660858341796</t>
  </si>
  <si>
    <t>1660858356962</t>
  </si>
  <si>
    <t>1659991379695</t>
  </si>
  <si>
    <t>68540048936286</t>
  </si>
  <si>
    <t>68540051413139</t>
  </si>
  <si>
    <t>1635956597983</t>
  </si>
  <si>
    <t>1639488921197</t>
  </si>
  <si>
    <t>Parrilla Roja 17cm N2</t>
  </si>
  <si>
    <t>1661892847912</t>
  </si>
  <si>
    <t>1535543463599</t>
  </si>
  <si>
    <t>Parrilla Negra 17cm N2</t>
  </si>
  <si>
    <t>1661892870974</t>
  </si>
  <si>
    <t>1660858416606</t>
  </si>
  <si>
    <t>1658525816907</t>
  </si>
  <si>
    <t>1659987555067</t>
  </si>
  <si>
    <t>Set 3 Contenedores Cerámica Hermético Simplit</t>
  </si>
  <si>
    <t>1659987577541</t>
  </si>
  <si>
    <t>1657222641841</t>
  </si>
  <si>
    <t>1654189048611</t>
  </si>
  <si>
    <t>1654189204021</t>
  </si>
  <si>
    <t>1650295261109</t>
  </si>
  <si>
    <t>1650295282448</t>
  </si>
  <si>
    <t>MUESTRA Termo 111-4</t>
  </si>
  <si>
    <t>67414812797526</t>
  </si>
  <si>
    <t>1660858702400</t>
  </si>
  <si>
    <t>1660858118518</t>
  </si>
  <si>
    <t>1660858101318</t>
  </si>
  <si>
    <t>1628018206370</t>
  </si>
  <si>
    <t>1659991481176</t>
  </si>
  <si>
    <t>1660859171584</t>
  </si>
  <si>
    <t>68432930518995</t>
  </si>
  <si>
    <t>1660857800718</t>
  </si>
  <si>
    <t>66800507665930</t>
  </si>
  <si>
    <t>66800509015029</t>
  </si>
  <si>
    <t>66800506435054</t>
  </si>
  <si>
    <t>Cubeta hielo grande cuadrado 6 unidades</t>
  </si>
  <si>
    <t>66800510263382</t>
  </si>
  <si>
    <t>1660858025311</t>
  </si>
  <si>
    <t>1660858756233</t>
  </si>
  <si>
    <t>1660858812938</t>
  </si>
  <si>
    <t>1660858776726</t>
  </si>
  <si>
    <t>1660858828618</t>
  </si>
  <si>
    <t>1660858793429</t>
  </si>
  <si>
    <t>1660858844449</t>
  </si>
  <si>
    <t>1652825295706</t>
  </si>
  <si>
    <t>1629726159155</t>
  </si>
  <si>
    <t>1630369674271</t>
  </si>
  <si>
    <t>Bateria de Ollas Copper Colection</t>
  </si>
  <si>
    <t>1635956574926</t>
  </si>
  <si>
    <t>Batería de Cocina Classic Series</t>
  </si>
  <si>
    <t>1634845754276</t>
  </si>
  <si>
    <t>1598650124917</t>
  </si>
  <si>
    <t>1658329968514</t>
  </si>
  <si>
    <t>1659991999728</t>
  </si>
  <si>
    <t>1659991971809</t>
  </si>
  <si>
    <t>Control Gamer Inalambrico PC</t>
  </si>
  <si>
    <t>1659990725288</t>
  </si>
  <si>
    <t>1652825203439</t>
  </si>
  <si>
    <t>1650299083874</t>
  </si>
  <si>
    <t>1630370579400</t>
  </si>
  <si>
    <t>67898087132855</t>
  </si>
  <si>
    <t>Proyector YG480 Infinity</t>
  </si>
  <si>
    <t>1658330471799</t>
  </si>
  <si>
    <t>Kit Teclado y Mouse Inambrico</t>
  </si>
  <si>
    <t>Proyector Led PL05</t>
  </si>
  <si>
    <t>1630370852776</t>
  </si>
  <si>
    <t>1658330420825</t>
  </si>
  <si>
    <t>Proyector Home Cine Pro 360º</t>
  </si>
  <si>
    <t>1634567034010</t>
  </si>
  <si>
    <t>1659990788079</t>
  </si>
  <si>
    <t>1538141129434</t>
  </si>
  <si>
    <t>1543406075297</t>
  </si>
  <si>
    <t>1659971347046</t>
  </si>
  <si>
    <t>Mochila Levo Computador Negro</t>
  </si>
  <si>
    <t>1659999410637</t>
  </si>
  <si>
    <t>Mochila Levo computador Gris</t>
  </si>
  <si>
    <t>1659999392257</t>
  </si>
  <si>
    <t>MLL Proyector G17 2M</t>
  </si>
  <si>
    <t>68433337529096</t>
  </si>
  <si>
    <t>Proyector Home Cine Pro 360</t>
  </si>
  <si>
    <t>MLL Proyector G17</t>
  </si>
  <si>
    <t>68433336255939</t>
  </si>
  <si>
    <t>MLL Camara dvr 1080p 111-2</t>
  </si>
  <si>
    <t>67414809824183</t>
  </si>
  <si>
    <t>1627418329116</t>
  </si>
  <si>
    <t>66436804863605</t>
  </si>
  <si>
    <t>1659990828178</t>
  </si>
  <si>
    <t>Silla Gamer</t>
  </si>
  <si>
    <t>Funda NotebookEXECUTIVE Negra LEVO</t>
  </si>
  <si>
    <t>Funda Notebook EXECUTIVE Gris LEVO</t>
  </si>
  <si>
    <t>1748316345017</t>
  </si>
  <si>
    <t>Teclado Gamer RGB</t>
  </si>
  <si>
    <t>1659990807310</t>
  </si>
  <si>
    <t>67327559384453</t>
  </si>
  <si>
    <t>1659989621591</t>
  </si>
  <si>
    <t>1652825027456</t>
  </si>
  <si>
    <t>XROAD</t>
  </si>
  <si>
    <t>1650302269777</t>
  </si>
  <si>
    <t>1650302273911</t>
  </si>
  <si>
    <t>67898258445967</t>
  </si>
  <si>
    <t>Pick up Pad 5 bicicletas XROAD</t>
  </si>
  <si>
    <t>1660858577510</t>
  </si>
  <si>
    <t>1656603353038</t>
  </si>
  <si>
    <t>Pick up Pad 5 bicicletas</t>
  </si>
  <si>
    <t>1660859424566</t>
  </si>
  <si>
    <t>1650301031879</t>
  </si>
  <si>
    <t>VR BOX 2.0 Sin Control</t>
  </si>
  <si>
    <t>1479823191801</t>
  </si>
  <si>
    <t>Vr Box + Control Lente De Realidad Virtual</t>
  </si>
  <si>
    <t>1479750635184</t>
  </si>
  <si>
    <t>TV Streaming Device Chromecast</t>
  </si>
  <si>
    <t>1513615220412</t>
  </si>
  <si>
    <t>SPINNING BIKE MAX 120KG</t>
  </si>
  <si>
    <t>1610396246750</t>
  </si>
  <si>
    <t>Sensor Antifatiga DL550A</t>
  </si>
  <si>
    <t>1541697243401</t>
  </si>
  <si>
    <t>Sensor Anti Fatiga Driver State Monitor</t>
  </si>
  <si>
    <t>1483452520904</t>
  </si>
  <si>
    <t>Sensor Antena GPS para Axon 3.2</t>
  </si>
  <si>
    <t>1585575578419</t>
  </si>
  <si>
    <t>Secador de Toallas Pedestal 6 Niveles</t>
  </si>
  <si>
    <t>1571055493973</t>
  </si>
  <si>
    <t>Repetidor de Wifi Booster</t>
  </si>
  <si>
    <t>1565218463197</t>
  </si>
  <si>
    <t>Placa de Cobre CU+SAFE</t>
  </si>
  <si>
    <t>1600117183428</t>
  </si>
  <si>
    <t>Parrilla Smoker Grill Negra</t>
  </si>
  <si>
    <t>1561394899592</t>
  </si>
  <si>
    <t>1514379781861</t>
  </si>
  <si>
    <t>Mochila Freaky Mommy Verde</t>
  </si>
  <si>
    <t>1539703106378</t>
  </si>
  <si>
    <t>Mochila Freaky Mommy Roja</t>
  </si>
  <si>
    <t>1538141179064</t>
  </si>
  <si>
    <t>Mochila Freaky Mommy Lila</t>
  </si>
  <si>
    <t>1539703126734</t>
  </si>
  <si>
    <t>Mochila Freaky Mommy Azul Marino</t>
  </si>
  <si>
    <t>1548358566329</t>
  </si>
  <si>
    <t>Llave lavaplatos doradas</t>
  </si>
  <si>
    <t>1619101943225</t>
  </si>
  <si>
    <t>llave lavaplatos acero opaco</t>
  </si>
  <si>
    <t>1619101669158</t>
  </si>
  <si>
    <t>GS770 Papago</t>
  </si>
  <si>
    <t>1591103835523</t>
  </si>
  <si>
    <t>Esterilizador SK8 UV Pocket Blanco</t>
  </si>
  <si>
    <t>1602163055069</t>
  </si>
  <si>
    <t>Correa Silicona Para AWatch 42/44 Barbie Pink</t>
  </si>
  <si>
    <t>Candado de Seguridad Con Lector Huella</t>
  </si>
  <si>
    <t>1538481335277</t>
  </si>
  <si>
    <t>Banco Chile BAG</t>
  </si>
  <si>
    <t>1617981582842</t>
  </si>
  <si>
    <t>Antiparras protectoras COVID-19</t>
  </si>
  <si>
    <t>1589209076056</t>
  </si>
  <si>
    <t>ANTIFATIGA SE-3 CON ANTENA GPS</t>
  </si>
  <si>
    <t>1659132834108</t>
  </si>
  <si>
    <t>Android Tv Box MXQ Pro 4K</t>
  </si>
  <si>
    <t>1513615272195</t>
  </si>
  <si>
    <t>Android 2111</t>
  </si>
  <si>
    <t>1507904554106</t>
  </si>
  <si>
    <t>1481123917144</t>
  </si>
  <si>
    <t>1481123752846</t>
  </si>
  <si>
    <t>1481123937937</t>
  </si>
  <si>
    <t>Set 3 accesorios de pasta para Batidora Hook Mixer</t>
  </si>
  <si>
    <t>10080100240107</t>
  </si>
  <si>
    <t>Robot de Cocina Kitchen Pro EasyWays</t>
  </si>
  <si>
    <t>10040010020401</t>
  </si>
  <si>
    <t>Robot de Cocina Kitchen Master EasyWays</t>
  </si>
  <si>
    <t>10040010030101</t>
  </si>
  <si>
    <t>Robot de Cocina Kitchen Connect EasyWays</t>
  </si>
  <si>
    <t>10040010010201</t>
  </si>
  <si>
    <t>10090130460000</t>
  </si>
  <si>
    <t>10090050450000</t>
  </si>
  <si>
    <t>Parrilla Eléctrica Pitmaster EasyWays</t>
  </si>
  <si>
    <t>10080130220002</t>
  </si>
  <si>
    <t>Parrilla Eléctrica Pitceramic con cerámica EasyWays</t>
  </si>
  <si>
    <t>10100130360002</t>
  </si>
  <si>
    <t>Olla Multiuso Multicooker Fast Pot 7,6 Lt EasyWays</t>
  </si>
  <si>
    <t>10020020080107</t>
  </si>
  <si>
    <t>Olla de Cocción Lenta Slow Pot Design 5,5 Lt EasyWays</t>
  </si>
  <si>
    <t>10020020040103</t>
  </si>
  <si>
    <t>Olla de Cocción Lenta Multicooker 5 en 1 EasyWays</t>
  </si>
  <si>
    <t>10020020060102</t>
  </si>
  <si>
    <t>Licuadora Personal Nutriblender EasyWays</t>
  </si>
  <si>
    <t>10030030110102</t>
  </si>
  <si>
    <t>KITCHEN GRAND CONNECT</t>
  </si>
  <si>
    <t>10040010400101</t>
  </si>
  <si>
    <t>Horno Para Pizza Eléctrico Pizza Oven EasyWays</t>
  </si>
  <si>
    <t>10070050170103</t>
  </si>
  <si>
    <t>Horno Eléctrico Oven Master 60 L Convección EasyWays</t>
  </si>
  <si>
    <t>10080050340007</t>
  </si>
  <si>
    <t>Horno Eléctrico Oven Master 45 L Convección EasyWays</t>
  </si>
  <si>
    <t>10080050330007</t>
  </si>
  <si>
    <t>Horno Eléctrico Oven Master 23 L EasyWays</t>
  </si>
  <si>
    <t>10080050320007</t>
  </si>
  <si>
    <t>Hervidor Perfect Heat</t>
  </si>
  <si>
    <t>10100150210007</t>
  </si>
  <si>
    <t>Hervidor Heat Control Negro 1,7 Lt EasyWays</t>
  </si>
  <si>
    <t>10080150490002</t>
  </si>
  <si>
    <t>Hervidor Heat Control Blanco 1,7 Lt EasyWays</t>
  </si>
  <si>
    <t>10080150490001</t>
  </si>
  <si>
    <t>GOOD MILK 6 EN 1</t>
  </si>
  <si>
    <t>10080120420040</t>
  </si>
  <si>
    <t>Freidora de Aire Air Fryer XL 6,2L EasyWays</t>
  </si>
  <si>
    <t>10080050250002</t>
  </si>
  <si>
    <t>Freidora De Aire Air Fryer Plus 11,6 Lt EasyWays</t>
  </si>
  <si>
    <t>10030050150102</t>
  </si>
  <si>
    <t>Freidora de Aire Air Fryer Full</t>
  </si>
  <si>
    <t>10080050260002</t>
  </si>
  <si>
    <t>Freidora de Aire Air Fryer Fast 1,8 L EasyWays</t>
  </si>
  <si>
    <t>10080050230002</t>
  </si>
  <si>
    <t>Freidora de aire Air Fryer Chic 5,5 L EasyWays</t>
  </si>
  <si>
    <t>10080050240002</t>
  </si>
  <si>
    <t>Extractor De Jugo En Frío Slow Juicier Pro EasyWays</t>
  </si>
  <si>
    <t>10030030120102</t>
  </si>
  <si>
    <t>10080110250140</t>
  </si>
  <si>
    <t>Batidora de Pedestal Hook Mixer Rojo</t>
  </si>
  <si>
    <t>10080100220103</t>
  </si>
  <si>
    <t>Batidora de Pedestal Hook Mixer Blanco</t>
  </si>
  <si>
    <t>10080100220101</t>
  </si>
  <si>
    <t>Batidora de Pedestal Hook Mixer</t>
  </si>
  <si>
    <t>10080100220107</t>
  </si>
  <si>
    <t>10080100230103</t>
  </si>
  <si>
    <t>10080100230102</t>
  </si>
  <si>
    <t>Batidora de Pedestal Art Mixer</t>
  </si>
  <si>
    <t>10080100230101</t>
  </si>
  <si>
    <t>Air Fryer MultiTouch</t>
  </si>
  <si>
    <t>10080050430002</t>
  </si>
  <si>
    <t>BT</t>
  </si>
  <si>
    <t>Set de 2 lápices imapad</t>
  </si>
  <si>
    <t>Rami 66</t>
  </si>
  <si>
    <t>Rami 34</t>
  </si>
  <si>
    <t>Pocket imapad rojo</t>
  </si>
  <si>
    <t>Pocket imapad negro</t>
  </si>
  <si>
    <t>Imapad rojo</t>
  </si>
  <si>
    <t>Imapad Pocket Manzana</t>
  </si>
  <si>
    <t>Imapad negro</t>
  </si>
  <si>
    <t>Imapad Mini Rojo con lápiz magnético, Braintoys</t>
  </si>
  <si>
    <t>Imapad Mini Negra con lápiz magnético, Braintoys</t>
  </si>
  <si>
    <t>Imanix Tobogán 134 piezas</t>
  </si>
  <si>
    <t>Imanix set de trenes 50 piezas</t>
  </si>
  <si>
    <t>Imanix Pista de Carreras 105 piezas</t>
  </si>
  <si>
    <t>Imanix Glow In The Dark 16</t>
  </si>
  <si>
    <t>Imanix Glitter 12</t>
  </si>
  <si>
    <t>Imanix Cool Windows</t>
  </si>
  <si>
    <t>Imanix Base Magnética Azul</t>
  </si>
  <si>
    <t>Imanix 16 piezas</t>
  </si>
  <si>
    <t>Imanimals Wild Savannah 5 piezas</t>
  </si>
  <si>
    <t>Imagram 24 piezas</t>
  </si>
  <si>
    <t>Imadots Mini</t>
  </si>
  <si>
    <t>Imadots</t>
  </si>
  <si>
    <t>Imaclick 32 piezas</t>
  </si>
  <si>
    <t>Imabrick Double Side 8 Piezas</t>
  </si>
  <si>
    <t>Imaboard Blanco</t>
  </si>
  <si>
    <t>Brainbag</t>
  </si>
  <si>
    <t>Accesotios Tobogán 6 Piezas</t>
  </si>
  <si>
    <t>Accesorios Pista Rampa</t>
  </si>
  <si>
    <t>Accesorios Pista Cuarto De Curva 4 Piezas</t>
  </si>
  <si>
    <t>Accesorios Pista Columna 6 piezas</t>
  </si>
  <si>
    <t>Vela Soja Natural 320Gm Transparente Bergamot Citrus Madison</t>
  </si>
  <si>
    <t>Vela Soja Natural 320 grms Negro Passion Fig Madison</t>
  </si>
  <si>
    <t>Vela Soja Natural 320 Grms Negro Bergamot Citrus Madison</t>
  </si>
  <si>
    <t>Vela Soja Natural 320 Grms Ámbar Passion Fig Madison</t>
  </si>
  <si>
    <t>Vela Soja Natural 320 Grms Ámbar Bergamot Citrus Madison</t>
  </si>
  <si>
    <t>Vela Soja Natural 320 Grms Ámbar Ala MoanaMadison</t>
  </si>
  <si>
    <t>Tabla Mármol Carrara Madison</t>
  </si>
  <si>
    <t>Spray Hogar 500 ml Verano Transparente Madison</t>
  </si>
  <si>
    <t>Spray Hogar 500 ml Verano Negro Madison</t>
  </si>
  <si>
    <t>Spray Hogar 500 ml Verano Ámbar Madison</t>
  </si>
  <si>
    <t>Spray Hogar 500 ml Tropical Transparente Madison</t>
  </si>
  <si>
    <t>Spray Hogar 500 ml Tropical Negro Madison</t>
  </si>
  <si>
    <t>Spray Hogar 500 ml Tropical Ámbar Madison</t>
  </si>
  <si>
    <t>Spray Hogar 500 ml Sandalia Transparente Madison</t>
  </si>
  <si>
    <t>Spray Hogar 500 ml Sandalia Negro Madison</t>
  </si>
  <si>
    <t>Spray Hogar 500 ml Sandalia Ambar Madison</t>
  </si>
  <si>
    <t>Spray Hogar 500 ml Pasión Transparente Madison</t>
  </si>
  <si>
    <t>Spray Hogar 500 ml Pasión Ámbar Madison</t>
  </si>
  <si>
    <t>Spray Hogar 500 ml Moana Transparente Madison</t>
  </si>
  <si>
    <t>Spray Hogar 500 ml Moana Negro Madison</t>
  </si>
  <si>
    <t>Spray Hogar 500 ml Moana Ámbar Madison</t>
  </si>
  <si>
    <t>Spray Hogar 500 ml Citríco Transparente Madison</t>
  </si>
  <si>
    <t>Spray Hogar 500 ml Citríco Negro Madison</t>
  </si>
  <si>
    <t>Spray Hogar 500 ml Citríco Ambar Madison</t>
  </si>
  <si>
    <t>Spray Hogar 500 ml Cedro Transparente Madison</t>
  </si>
  <si>
    <t>Spray Hogar 500 ml Cedro Negro Madison</t>
  </si>
  <si>
    <t>Spray Hogar 500 ml Cedro Ámbar Madison</t>
  </si>
  <si>
    <t>Room Spray Tropical Chic Madison</t>
  </si>
  <si>
    <t>Room Spray Summer Days Madison</t>
  </si>
  <si>
    <t>Room Spray Saint Sandal Madison</t>
  </si>
  <si>
    <t>Room Spray Passion Fig Madison</t>
  </si>
  <si>
    <t>Room Spray Green Citrus Madison</t>
  </si>
  <si>
    <t>Room Spray Black Cedar Madison</t>
  </si>
  <si>
    <t>Room Spray Ala Moana Madison</t>
  </si>
  <si>
    <t>Refill Difusor Varitas 500 ml Saint Sandal Madison</t>
  </si>
  <si>
    <t>Refil Spray Hogar 1 Lt Sandalia Madison</t>
  </si>
  <si>
    <t>Refil Difusor Varitas 500 ml Pasión Madison</t>
  </si>
  <si>
    <t>Refil Difusor Varitas 500 ml Cedro Madison</t>
  </si>
  <si>
    <t>Refil Difusor Varitas 50 ml Cítrico Madison</t>
  </si>
  <si>
    <t>Mini Spray Hogar 120 ml Verano Ámbar Madison</t>
  </si>
  <si>
    <t>Mini Spray Hogar 120 ml Tropical Ámbar Madison</t>
  </si>
  <si>
    <t>Mini Spray Hogar 120 ml Pasión Ámbar Madison</t>
  </si>
  <si>
    <t>Mini Spray Hogar 120 ml Moana Ámbar Madison</t>
  </si>
  <si>
    <t>Mini Spray Hogar 120 ml Cedro Ámbar Madison</t>
  </si>
  <si>
    <t>Jabón Líquido 500 ml Verano Transparente Madison</t>
  </si>
  <si>
    <t>Jabón Líquido 500 ml Verano Negro Madison</t>
  </si>
  <si>
    <t>Jabón Líquido 500 ml Verano Ámbar Madison</t>
  </si>
  <si>
    <t>Jabón Líquido 500 ml Tropical Transparente Madison</t>
  </si>
  <si>
    <t>Jabón Líquido 500 ml Tropical Negro Madison</t>
  </si>
  <si>
    <t>Jabón Líquido 500 ml Tropical Ámbar Madison</t>
  </si>
  <si>
    <t>Jabón Líquido 500 ml Pasión Negro Madison</t>
  </si>
  <si>
    <t>Jabón Líquido 500 ml Pasión Ámbar Madison</t>
  </si>
  <si>
    <t>Jabón Líquido 500 ml Moana Transparente Madison</t>
  </si>
  <si>
    <t>Jabón Líquido 500 ml Moana Negro Madison</t>
  </si>
  <si>
    <t>Jabón Líquido 500 ml Moana Ámbar Madison</t>
  </si>
  <si>
    <t>Jabón Líquido 500 ml Cítrico Transparente Madison</t>
  </si>
  <si>
    <t>Jabón Líquido 500 ml Cítrico Sandalia Madison</t>
  </si>
  <si>
    <t>Jabón Líquido 500 ml Cítrico Negro Madison</t>
  </si>
  <si>
    <t>Jabón Líquido 500 ml Cítrico Ámbar Madison</t>
  </si>
  <si>
    <t>Jabón Líquido 500 ml Cedro Transparente Madison</t>
  </si>
  <si>
    <t>Jabón Líquido 500 ml Cedro Negro Madison</t>
  </si>
  <si>
    <t>Jabón Líquido 500 ml Cedro Ámbar Madison</t>
  </si>
  <si>
    <t>Jabón En barra 100 Grms Verde Madison</t>
  </si>
  <si>
    <t>Jabón en Barra 100 Grms Rosa Madison</t>
  </si>
  <si>
    <t>Home Diffuser Negro Madison</t>
  </si>
  <si>
    <t>Home Diffuser Gris Madison</t>
  </si>
  <si>
    <t>Home Diffuser Blanca Madison</t>
  </si>
  <si>
    <t>Difusor Varitas 250 ml Verano Transparente Madison</t>
  </si>
  <si>
    <t>Difusor Varitas 250 ml Verano Negro Madison</t>
  </si>
  <si>
    <t>Difusor Varitas 250 ml Verano Ámbar Madison</t>
  </si>
  <si>
    <t>Difusor Varitas 250 ml Tropical Transparente Madison</t>
  </si>
  <si>
    <t>Difusor Varitas 250 ml Tropical Negro Madison</t>
  </si>
  <si>
    <t>Difusor Varitas 250 ml Tropical Ámbar Madison</t>
  </si>
  <si>
    <t>Difusor Varitas 250 ml Saint Sandal Transparente Madison</t>
  </si>
  <si>
    <t>Difusor Varitas 250 ml Saint Sandal Ambar Madison</t>
  </si>
  <si>
    <t>Difusor Varitas 250 ml Passion Transparente Madison</t>
  </si>
  <si>
    <t>Difusor Varitas 250 ml Passion Negro Madison</t>
  </si>
  <si>
    <t>Difusor Varitas 250 ml Passion Ámbar Madison</t>
  </si>
  <si>
    <t>Difusor Varitas 250 ml Cítrico Transparente Madison</t>
  </si>
  <si>
    <t>Difusor Varitas 250 ml Cítrico Ámbar Madison</t>
  </si>
  <si>
    <t>Difusor Varitas 250 ml Cedro Transparente Madison</t>
  </si>
  <si>
    <t>Difusor Varitas 250 ml Cedro Ámbar Madison</t>
  </si>
  <si>
    <t>Difusor Varitas 150 ml Verano Transparente Madison</t>
  </si>
  <si>
    <t>Difusor Varitas 150 ml Verano Ámbar Madison</t>
  </si>
  <si>
    <t>Difusor Varitas 150 ml Tropical Transparente Madison</t>
  </si>
  <si>
    <t>Difusor Varitas 150 ml Tropical Negro Madison</t>
  </si>
  <si>
    <t>Difusor Varitas 150 ml Tropical Ámbar Madison</t>
  </si>
  <si>
    <t>Difusor Varitas 150 ml Sandalia Transparente Madison</t>
  </si>
  <si>
    <t>Difusor Varitas 150 ml Sandalia Negro Madison</t>
  </si>
  <si>
    <t>Difusor Varitas 150 ml Sandalia Ámbar Madison</t>
  </si>
  <si>
    <t>Difusor Varitas 150 ml Pasión Transparente Madison</t>
  </si>
  <si>
    <t>Difusor Varitas 150 ml Pasión Negro Madison</t>
  </si>
  <si>
    <t>Difusor Varitas 150 ml Pasión Ámbar Madison</t>
  </si>
  <si>
    <t>Difusor Varitas 150 ml Cítrico Transparente Madison</t>
  </si>
  <si>
    <t>Difusor Varitas 150 ml Cítrico Negro Madison</t>
  </si>
  <si>
    <t>Difusor Varitas 150 ml Cedro Transparente Madison</t>
  </si>
  <si>
    <t>Difusor Varitas 150 ml Cedro Negro Madison</t>
  </si>
  <si>
    <t>Difusor Varitas 150 ml Cedro Ámbar Madison</t>
  </si>
  <si>
    <t>Difusor Auto Madison 8 ml Wild Berries</t>
  </si>
  <si>
    <t>Difusor Auto Madison 8 ml Tropical Coco</t>
  </si>
  <si>
    <t>Difusor Auto Madison 8 ml Tahiti</t>
  </si>
  <si>
    <t>Difusor Auto Madison 8 ml Limoncello</t>
  </si>
  <si>
    <t>Crema Humectante 500 ml Verano Negro Madison</t>
  </si>
  <si>
    <t>Crema Humectante 500 ml Verano Ámbar Madison</t>
  </si>
  <si>
    <t>Crema Humectante 500 ml Tropical Transparente Madison</t>
  </si>
  <si>
    <t>Crema Humectante 500 ml Tropical Negro Madison</t>
  </si>
  <si>
    <t>Crema Humectante 500 ml Tropical Ámbar Madison</t>
  </si>
  <si>
    <t>Crema Humectante 500 ml Sandalia Transparente Madison</t>
  </si>
  <si>
    <t>Crema Humectante 500 ml Sandalia Negro Madison</t>
  </si>
  <si>
    <t>Crema Humectante 500 ml Sandalia Ámbar Madison</t>
  </si>
  <si>
    <t>Crema Humectante 500 ml Pasión Transparente Madison</t>
  </si>
  <si>
    <t>Crema Humectante 500 ml Pasión Negro Madison</t>
  </si>
  <si>
    <t>Crema Humectante 500 ml Pasión Ámbar Madison</t>
  </si>
  <si>
    <t>Crema Humectante 500 ml Moana Transparente Madison</t>
  </si>
  <si>
    <t>Crema Humectante 500 ml Moana Negro Madison</t>
  </si>
  <si>
    <t>Crema Humectante 500 ml Moana Ámbar Madison</t>
  </si>
  <si>
    <t>Crema Humectante 500 ml Cítrico Transparente Madison</t>
  </si>
  <si>
    <t>Crema Humectante 500 ml Cítrico Negro Madison</t>
  </si>
  <si>
    <t>Crema Humectante 500 ml Cítrico Ámbar Madison</t>
  </si>
  <si>
    <t>Crema Humectante 500 ml Cedro Transparente Madison</t>
  </si>
  <si>
    <t>Crema Humectante 500 ml Cedro Negro Madison</t>
  </si>
  <si>
    <t>Crema Humectante 500 ml Cedro Ámbar Madison</t>
  </si>
  <si>
    <t>Aceite Home Diffuser 30 ml Tropical Chic Madison</t>
  </si>
  <si>
    <t>Aceite Home Diffuser 30 ml Tahiti Madison</t>
  </si>
  <si>
    <t>Aceite Home Diffuser 30 ml Passion Fig Madison</t>
  </si>
  <si>
    <t>Aceite Home Diffuser 30 ml Green Citrus Madison</t>
  </si>
  <si>
    <t>Aceite Home Diffuser 30 ml Ala Moana Madison</t>
  </si>
  <si>
    <t>Metalofono Infantil Rosado</t>
  </si>
  <si>
    <t>67114505814137</t>
  </si>
  <si>
    <t>Metalofono Infantil Rojo</t>
  </si>
  <si>
    <t>67114509855998</t>
  </si>
  <si>
    <t>Metalofono Infantil Azul</t>
  </si>
  <si>
    <t>67114507143511</t>
  </si>
  <si>
    <t>Metalofono Infantil Amarillo</t>
  </si>
  <si>
    <t>67114508251225</t>
  </si>
  <si>
    <t>Thermo Matero C/Bombilla 400ML Verde</t>
  </si>
  <si>
    <t>Thermo Matero C/Bombilla 400ML Rojo</t>
  </si>
  <si>
    <t>Thermo Matero C/Bombilla 400ML Morado</t>
  </si>
  <si>
    <t>THERMO LÍQUIDO VERDE MONDIAL 1,8 lt</t>
  </si>
  <si>
    <t>Thermo Liquido Tapa Plana Rojo 500ml</t>
  </si>
  <si>
    <t>Thermo Liquido Tapa Plana Azul 500 Ml</t>
  </si>
  <si>
    <t>THERMO LÍQUIDO AZUL MONDIAL 1,8 lt</t>
  </si>
  <si>
    <t>Thermo Líquido 1Lt New Gris Thermos</t>
  </si>
  <si>
    <t>Termo Sifón Vidrio 2.5 Lt</t>
  </si>
  <si>
    <t>184957</t>
  </si>
  <si>
    <t>Termo Sifón Acero 1.5 Lt Metálico</t>
  </si>
  <si>
    <t>186296</t>
  </si>
  <si>
    <t>Termo Mug Acero Inoxidable 470 ml Negro</t>
  </si>
  <si>
    <t>Termo Líquidos Tapa Plana 1 Lt Rojo</t>
  </si>
  <si>
    <t>Termo Líquidos Tapa Plana 1 Lt Azul</t>
  </si>
  <si>
    <t>Termo Líquidos New Azul 1.8Lt</t>
  </si>
  <si>
    <t>Termo Comida King 710 ml Negro</t>
  </si>
  <si>
    <t>76636</t>
  </si>
  <si>
    <t>Jarra Vidrio Blanca 1.5 Lt</t>
  </si>
  <si>
    <t>715</t>
  </si>
  <si>
    <t>Varilla Extensible Con Led Std Fucsia</t>
  </si>
  <si>
    <t>7500021521</t>
  </si>
  <si>
    <t>Varilla Extensible Con Led Std Azul</t>
  </si>
  <si>
    <t>7500021502</t>
  </si>
  <si>
    <t>Tapa de silicona para latas STD Naranja V 00005</t>
  </si>
  <si>
    <t>Tapa de silicona para latas STD Fucsia V 00005</t>
  </si>
  <si>
    <t>Tapa de silicona para latas STD Azul V 00005</t>
  </si>
  <si>
    <t>Rama De Nylon Cafe Sabor Carne Talla M Perro Mascan</t>
  </si>
  <si>
    <t>Rama De Madera Talla S Perro Mascan</t>
  </si>
  <si>
    <t>Rama De Madera Talla M Perro</t>
  </si>
  <si>
    <t>Porta bolsas sanitarias hueso STD Fucsia HG 00004</t>
  </si>
  <si>
    <t>Porta Bolsas Sanitarias Hueso Negro Perro</t>
  </si>
  <si>
    <t>Porta Bolsas Sanitarias Cilindro Verde Perro Mascan</t>
  </si>
  <si>
    <t>Porta Bolsas Sanitarias Cilindro Naranjo Perro Mascan</t>
  </si>
  <si>
    <t>Plato Plegable Silicona Simple Verde Talla L Perro</t>
  </si>
  <si>
    <t>Plato Plegable Silicona Simple Naranjo Talla L Perro</t>
  </si>
  <si>
    <t>Plato Plegable Silicona Doble Verde Talla S Perro</t>
  </si>
  <si>
    <t>Plato Plegable Silicona Doble Verde Talla M Perro.</t>
  </si>
  <si>
    <t>Plato Plegable Silicona Doble Naranjo Talla S Perro</t>
  </si>
  <si>
    <t>Plato Plegable Silicona Doble Naranjo Talla M Perro</t>
  </si>
  <si>
    <t>Plato Plegable Perro Para Preparar Comida Gris</t>
  </si>
  <si>
    <t>Plato plegable de silicona simple M Verde BW 00010</t>
  </si>
  <si>
    <t>Plato plegable de silicona simple M Naranja BW 00010</t>
  </si>
  <si>
    <t>Plato melamina Z doble S Azul BW 00003</t>
  </si>
  <si>
    <t>Plato melamina sólido redondo XL Morado BW 00006</t>
  </si>
  <si>
    <t>Plato Melamina Sólido Redondo Negro Talla Xl Perro</t>
  </si>
  <si>
    <t>Plato Melamina Sólido Redondo Negro Talla S Perro</t>
  </si>
  <si>
    <t>Plato Melamina Sólido Redondo Negro Talla M Perro</t>
  </si>
  <si>
    <t>Plato Melamina Sólido Redondo Negro Talla L Perro</t>
  </si>
  <si>
    <t>Plato Melamina Sólido Redondo Morado Talla S Perro</t>
  </si>
  <si>
    <t>Plato Melamina Sólido Redondo Morado Talla M Perro</t>
  </si>
  <si>
    <t>Plato Melamina Sólido Redondo Morado Talla L Perro</t>
  </si>
  <si>
    <t>Plato Melamina Sólido Redondo Fucsia Talla Xl Perro</t>
  </si>
  <si>
    <t>Plato Melamina Sólido Redondo Fucsia Talla S Perro</t>
  </si>
  <si>
    <t>Plato Melamina Sólido Redondo Fucsia Talla M Perro</t>
  </si>
  <si>
    <t>Plato Melamina Sólido Redondo Azul Talla Xl Perro</t>
  </si>
  <si>
    <t>Plato Melamina Sólido Redondo Azul Talla S Perro</t>
  </si>
  <si>
    <t>Plato Melamina Sólido Redondo Azul Talla M Perro</t>
  </si>
  <si>
    <t>Plato Melamina Sólido Redondo Azul Talla L Perro</t>
  </si>
  <si>
    <t>Plato melamina motivo redondo S Morado BW 00008</t>
  </si>
  <si>
    <t>Plato Melamina Motivo Redondo Rojo Talla S Perro</t>
  </si>
  <si>
    <t>Plato Melamina Motivo Redondo Rojo Talla M Perro</t>
  </si>
  <si>
    <t>Plato Melamina Motivo Redondo Multicolor Talla S Perro</t>
  </si>
  <si>
    <t>Plato Melamina Motivo Redondo Multicolor Talla M Perro</t>
  </si>
  <si>
    <t>Plato Melamina Motivo Redondo Multicolor Talla L Perro</t>
  </si>
  <si>
    <t>Plato Melamina Motivo Redondo Morado Talla M Perro</t>
  </si>
  <si>
    <t>Plato Melamina Motivo Redondo Morado Talla L Perro</t>
  </si>
  <si>
    <t>Plato melamina motivo redondo L Rojo BW 00008</t>
  </si>
  <si>
    <t>Plato Melamina Motivo Redondo Amarillo Talla S Perro</t>
  </si>
  <si>
    <t>Plato Melamina Motivo Redondo Amarillo Talla M Perro</t>
  </si>
  <si>
    <t>Plato Melamina Motivo Redondo Amarillo Talla L Perro</t>
  </si>
  <si>
    <t>Plato Melamina Doble Z Talla S Negro Perro</t>
  </si>
  <si>
    <t>Plato Melamina Doble Z Talla S Morado Perro</t>
  </si>
  <si>
    <t>Plato Melamina Doble Z Talla S Fucsia Perro</t>
  </si>
  <si>
    <t>Plato Melamina Doble Z Talla M Negro Perro</t>
  </si>
  <si>
    <t>Plato Melamina Doble Z Talla M Morado Perro</t>
  </si>
  <si>
    <t>Plato Melamina Doble Z Talla M Fucsia Perro Mascan</t>
  </si>
  <si>
    <t>Plato Melamina Doble Z Talla M Azul Perro</t>
  </si>
  <si>
    <t>Plato Melamina Anti-ahogo Talla Xl Verde Perro</t>
  </si>
  <si>
    <t>Plato Melamina Anti-ahogo Talla Xl Rojo Perro</t>
  </si>
  <si>
    <t>Plato Melamina Anti-ahogo Talla Xl Naranjo Perro</t>
  </si>
  <si>
    <t>Plato Melamina Anti-ahogo Talla S Rojo Perro</t>
  </si>
  <si>
    <t>Plato Melamina Anti-ahogo Talla S Naranjo Perro</t>
  </si>
  <si>
    <t>Plato Melamina Anti-ahogo Talla M Naranjo Perro</t>
  </si>
  <si>
    <t>Plato Melamina Anti-ahogo Talla L Verde Perro</t>
  </si>
  <si>
    <t>Plato Melamina Anti-ahogo Talla L Rojo Perro</t>
  </si>
  <si>
    <t>Plato Melamina Anti-ahogo Talla L Naranjo Perro</t>
  </si>
  <si>
    <t>Plato huellitas S Rosado BW 00014</t>
  </si>
  <si>
    <t>Plato huellitas S Celeste BW 00014</t>
  </si>
  <si>
    <t>Plato huellitas S Blanco BW 00014</t>
  </si>
  <si>
    <t>Plato huellitas M Rosado BW 00014</t>
  </si>
  <si>
    <t>Plato huellitas M Celeste BW 00014</t>
  </si>
  <si>
    <t>Plato huellitas M Blanco BW 00014</t>
  </si>
  <si>
    <t>Plato huellitas L Rosado BW 00014</t>
  </si>
  <si>
    <t>Plato huellitas L Celeste BW 00014</t>
  </si>
  <si>
    <t>Plato huellitas L Blanco BW 00014</t>
  </si>
  <si>
    <t>Plato Gato melamina sólido redondo STD Negro BW 50001</t>
  </si>
  <si>
    <t>Plato Gato melamina sólido redondo STD Fucsia BW 50001</t>
  </si>
  <si>
    <t>Plato Gato melamina motivo redondo STD Rosado BW 50006</t>
  </si>
  <si>
    <t>Plato Gato melamina motivo redondo STD Azul BW 50006</t>
  </si>
  <si>
    <t>Plato Gato doble melamina sólido redondo fucsia</t>
  </si>
  <si>
    <t>Plato Gato doble melamina sólido redondo</t>
  </si>
  <si>
    <t>Plato comida agua M Rojo BW 00013</t>
  </si>
  <si>
    <t>Plato comida agua M Fucsia BW 00013</t>
  </si>
  <si>
    <t>Plato comida agua M Azul Marino BW 00013</t>
  </si>
  <si>
    <t>Plato comida agua L Rojo BW 00013</t>
  </si>
  <si>
    <t>Plato comida agua L Fucsia BW 00013</t>
  </si>
  <si>
    <t>Plato comida agua L Azul Marino BW 00013</t>
  </si>
  <si>
    <t>Pelota Con Dientes Verde Talla L Perro</t>
  </si>
  <si>
    <t>Pelota con dientes M Verde TY 00011</t>
  </si>
  <si>
    <t>Pala sanitaria melamina para gatos STD Blanco HG 50001</t>
  </si>
  <si>
    <t>Mochila Desmontable Fashion Para Perro Café XL</t>
  </si>
  <si>
    <t>Mochila Desmontable Fashion Para Perro Azul XL</t>
  </si>
  <si>
    <t>Juguete Dispensador Para Gato M Fucsia</t>
  </si>
  <si>
    <t>7500030721</t>
  </si>
  <si>
    <t>Juguete Dispensador Para Gato M Azul</t>
  </si>
  <si>
    <t>7500030702</t>
  </si>
  <si>
    <t>Juguete Dispensador Para Gato L Fucsia</t>
  </si>
  <si>
    <t>7500030821</t>
  </si>
  <si>
    <t>Juguete Dispensador Para Gato L Azul</t>
  </si>
  <si>
    <t>7500030802</t>
  </si>
  <si>
    <t>Juguete Dispensador Oviode Egg Perro</t>
  </si>
  <si>
    <t>Juguete Dispensador Circular Perro</t>
  </si>
  <si>
    <t>Juguete dispensador botella</t>
  </si>
  <si>
    <t>Hueso Goma Limpiadientes Verde Talla M Perro</t>
  </si>
  <si>
    <t>Hueso Goma Limpiadientes Verde Talla L Perro</t>
  </si>
  <si>
    <t>Hueso Curvo Talla M Perro</t>
  </si>
  <si>
    <t>Hueso Curvo Talla L Perro</t>
  </si>
  <si>
    <t>Fuente De Agua Cascada Std Blanco</t>
  </si>
  <si>
    <t>6500071503</t>
  </si>
  <si>
    <t>Cuchara Larga Melamina Talla S Naranja Perro Mascan</t>
  </si>
  <si>
    <t>Cuchara Larga Melamina Talla S Azul Perro/gato Mascan</t>
  </si>
  <si>
    <t>Cuchara Larga Melamina Talla M Naranja Perro/gato</t>
  </si>
  <si>
    <t>Cuchara larga melamina M Fucsia V 00004</t>
  </si>
  <si>
    <t>Cubo Tunel para Gatos Gris Mascan</t>
  </si>
  <si>
    <t>764451134775</t>
  </si>
  <si>
    <t>Costillas De Cerdo Sabor Carne Talla S</t>
  </si>
  <si>
    <t>Costillas De Cerdo Sabor Carne Talla M Perro</t>
  </si>
  <si>
    <t>Correa Ramal Trenzado M Rojo CORR 00014</t>
  </si>
  <si>
    <t>30001407091</t>
  </si>
  <si>
    <t>Correa Ramal Trenzado M Negro CORR 00014</t>
  </si>
  <si>
    <t>30001407080</t>
  </si>
  <si>
    <t>Correa Ramal Trenzada Roja Perro</t>
  </si>
  <si>
    <t>30001415091</t>
  </si>
  <si>
    <t>Correa Ramal Trenzada Negra Perro</t>
  </si>
  <si>
    <t>30001415080</t>
  </si>
  <si>
    <t>Correa Doble Agarre Perro M Fucsia</t>
  </si>
  <si>
    <t>3000200721</t>
  </si>
  <si>
    <t>Correa Doble Agarre Perro M Azul</t>
  </si>
  <si>
    <t>3000200702</t>
  </si>
  <si>
    <t>Correa Doble Agarre Perro L Fucsia</t>
  </si>
  <si>
    <t>3000200821</t>
  </si>
  <si>
    <t>Correa Doble Agarre Perro L Azul</t>
  </si>
  <si>
    <t>3000200802</t>
  </si>
  <si>
    <t>Correa Acolchada Reflectante Perros MeDianos Y Chicos</t>
  </si>
  <si>
    <t>3000181508</t>
  </si>
  <si>
    <t>Correa Acolchada Reflectante Perros Grandes</t>
  </si>
  <si>
    <t>3000171508</t>
  </si>
  <si>
    <t>COLLAR TRIANGULO TALLA XS FUCS</t>
  </si>
  <si>
    <t>1000190521</t>
  </si>
  <si>
    <t>Collar Triángulo Naranja Tallas XS Perro</t>
  </si>
  <si>
    <t>1000190507</t>
  </si>
  <si>
    <t>Collar Triángulo Naranja Tallas S Perro</t>
  </si>
  <si>
    <t>1000190607</t>
  </si>
  <si>
    <t>Collar Triángulo Naranja Tallas M Perro</t>
  </si>
  <si>
    <t>1000190707</t>
  </si>
  <si>
    <t>Collar Triángulo Naranja Tallas L Perro</t>
  </si>
  <si>
    <t>1000190807</t>
  </si>
  <si>
    <t>Collar Triángulo Fucsia Talla S Perro</t>
  </si>
  <si>
    <t>1000190621</t>
  </si>
  <si>
    <t>Collar Triángulo Fucsia Talla M Perro</t>
  </si>
  <si>
    <t>1000190721</t>
  </si>
  <si>
    <t>Collar Triángulo Fucsia Talla L Perro Mascan</t>
  </si>
  <si>
    <t>1000190821</t>
  </si>
  <si>
    <t>Collar Triángulo Azul Talla Xs Perro</t>
  </si>
  <si>
    <t>1000190502</t>
  </si>
  <si>
    <t>Collar Triángulo Azul Talla S Perro</t>
  </si>
  <si>
    <t>1000190602</t>
  </si>
  <si>
    <t>Collar Triángulo Azul Talla M Perro Mascan</t>
  </si>
  <si>
    <t>1000190702</t>
  </si>
  <si>
    <t>Collar Triángulo Azul Talla L Perro Mascan</t>
  </si>
  <si>
    <t>1000190802</t>
  </si>
  <si>
    <t>Collar Reflectante Rojo Para Gato Mascat</t>
  </si>
  <si>
    <t>Collar Reflectante Fucsia Para Gato Mascat</t>
  </si>
  <si>
    <t>Collar Perro Puntitos Xs Verde</t>
  </si>
  <si>
    <t>1000210510</t>
  </si>
  <si>
    <t>Collar Perro Puntitos Xs Rojo</t>
  </si>
  <si>
    <t>1000210509</t>
  </si>
  <si>
    <t>Collar Perro Puntitos Xs Amarillo</t>
  </si>
  <si>
    <t>1000210501</t>
  </si>
  <si>
    <t>Collar Perro Puntitos S Verde</t>
  </si>
  <si>
    <t>1000210610</t>
  </si>
  <si>
    <t>Collar Perro Puntitos S Rojo</t>
  </si>
  <si>
    <t>1000210609</t>
  </si>
  <si>
    <t>Collar Perro Puntitos S Amarillo</t>
  </si>
  <si>
    <t>1000210601</t>
  </si>
  <si>
    <t>Collar Perro Puntitos M Verde</t>
  </si>
  <si>
    <t>1000210710</t>
  </si>
  <si>
    <t>Collar Perro Puntitos M Rojo</t>
  </si>
  <si>
    <t>1000210709</t>
  </si>
  <si>
    <t>Collar Perro Puntitos M Amarillo</t>
  </si>
  <si>
    <t>1000210701</t>
  </si>
  <si>
    <t>Collar Perro Puntitos L Verde</t>
  </si>
  <si>
    <t>1000210810</t>
  </si>
  <si>
    <t>Collar Perro Puntitos L Rojo</t>
  </si>
  <si>
    <t>1000210809</t>
  </si>
  <si>
    <t>Collar Perro Puntitos L Amarillo</t>
  </si>
  <si>
    <t>1000210801</t>
  </si>
  <si>
    <t>Collar Perro Diagonal Xs Verde</t>
  </si>
  <si>
    <t>1000200510</t>
  </si>
  <si>
    <t>Collar Perro Diagonal Xs Morado</t>
  </si>
  <si>
    <t>1000200512</t>
  </si>
  <si>
    <t>Collar Perro Diagonal Xs Celeste</t>
  </si>
  <si>
    <t>1000200519</t>
  </si>
  <si>
    <t>Collar Perro Diagonal S Verde</t>
  </si>
  <si>
    <t>1000200610</t>
  </si>
  <si>
    <t>Collar Perro Diagonal S Morado</t>
  </si>
  <si>
    <t>1000200612</t>
  </si>
  <si>
    <t>Collar Perro Diagonal S Celeste</t>
  </si>
  <si>
    <t>1000200619</t>
  </si>
  <si>
    <t>Collar Perro Diagonal M Verde</t>
  </si>
  <si>
    <t>1000200710</t>
  </si>
  <si>
    <t>Collar Perro Diagonal M Morado</t>
  </si>
  <si>
    <t>1000200712</t>
  </si>
  <si>
    <t>Collar Perro Diagonal M Celeste</t>
  </si>
  <si>
    <t>1000200719</t>
  </si>
  <si>
    <t>Collar Perro Diagonal L Verde</t>
  </si>
  <si>
    <t>1000200810</t>
  </si>
  <si>
    <t>Collar Perro Diagonal L Morado</t>
  </si>
  <si>
    <t>1000200812</t>
  </si>
  <si>
    <t>Collar Perro Diagonal L Celeste</t>
  </si>
  <si>
    <t>1000200819</t>
  </si>
  <si>
    <t>Collar Huesos Perro Xs Negro</t>
  </si>
  <si>
    <t>1000220508</t>
  </si>
  <si>
    <t>Collar Huesos Perro Xs Fucsia</t>
  </si>
  <si>
    <t>1000220521</t>
  </si>
  <si>
    <t>Collar Huesos Perro Xs Azul</t>
  </si>
  <si>
    <t>1000220502</t>
  </si>
  <si>
    <t>Collar Huesos Perro S Negro</t>
  </si>
  <si>
    <t>1000220608</t>
  </si>
  <si>
    <t>Collar Huesos Perro S Fucsia</t>
  </si>
  <si>
    <t>1000220621</t>
  </si>
  <si>
    <t>Collar Huesos Perro S Azul</t>
  </si>
  <si>
    <t>1000220602</t>
  </si>
  <si>
    <t>Collar Huesos Perro M Negro</t>
  </si>
  <si>
    <t>1000220708</t>
  </si>
  <si>
    <t>Collar Huesos Perro M Fucsia</t>
  </si>
  <si>
    <t>1000220721</t>
  </si>
  <si>
    <t>Collar Huesos Perro M Azul</t>
  </si>
  <si>
    <t>1000220702</t>
  </si>
  <si>
    <t>Collar Huesos Perro L Negro</t>
  </si>
  <si>
    <t>1000220808</t>
  </si>
  <si>
    <t>Collar Huesos Perro L Fucsia</t>
  </si>
  <si>
    <t>1000220821</t>
  </si>
  <si>
    <t>Collar Huesos Perro L Azul</t>
  </si>
  <si>
    <t>1000220802</t>
  </si>
  <si>
    <t>Collar grueso diamantes eco cuero 2XL Rosado COLL 00007</t>
  </si>
  <si>
    <t>Collar grueso diamantes eco cuero 2XL Negro COLL 00007</t>
  </si>
  <si>
    <t>Collar grueso diamantes eco cuero 2XL Café COLL 00007</t>
  </si>
  <si>
    <t>Collar grueso calavera puntas redondas eco cuero XL Fucsia COLL 00011</t>
  </si>
  <si>
    <t>Collar grueso calavera puntas redondas eco cuero XL Dorado COLL 00011</t>
  </si>
  <si>
    <t>Collar grueso calavera puntas redondas eco cuero 3XL Fucsia COLL 00011</t>
  </si>
  <si>
    <t>Collar grueso calavera puntas redondas eco cuero 3XL Dorado COLL 00011</t>
  </si>
  <si>
    <t>Collar grueso calavera puntas redondas eco cuero 2XL Rojo COLL 00011</t>
  </si>
  <si>
    <t>Collar grueso calavera puntas redondas eco cuero 2XL Fucsia COLL 00011</t>
  </si>
  <si>
    <t>Collar grueso calavera puntas redondas eco cuero 2XL Dorado COLL 00011</t>
  </si>
  <si>
    <t>Collar Doble Seguridad Rojo Para Gato Mascat</t>
  </si>
  <si>
    <t>Collar Doble Seguridad Azul Para Gato Mascat</t>
  </si>
  <si>
    <t>Collar Acolchado Reflectante Azul Para Gato Mascat</t>
  </si>
  <si>
    <t>Cobertor De Maletero Suv Perro</t>
  </si>
  <si>
    <t>2014000011508</t>
  </si>
  <si>
    <t>Cobertor De Asiento Trasero Perro</t>
  </si>
  <si>
    <t>2014000021508</t>
  </si>
  <si>
    <t>Cinturón De Seguridad Perro</t>
  </si>
  <si>
    <t>Cama reversible doble color XL Café BD 00002</t>
  </si>
  <si>
    <t>Cama Reversible Doble Color Perro Talla Xl Morado</t>
  </si>
  <si>
    <t>Cama Reversible Doble Color Perro Talla S Morado</t>
  </si>
  <si>
    <t>Cama Reversible Doble Color Perro Talla S Café</t>
  </si>
  <si>
    <t>Cama Reversible Doble Color Perro Talla M Morado</t>
  </si>
  <si>
    <t>Cama Reversible Doble Color Perro Talla M Café</t>
  </si>
  <si>
    <t>Cama Reversible Doble Color Perro Talla L Morado</t>
  </si>
  <si>
    <t>Cama Reversible Doble Color Perro Talla L Café</t>
  </si>
  <si>
    <t>Cama Nido Gato Plegable Mascan</t>
  </si>
  <si>
    <t>764451134782</t>
  </si>
  <si>
    <t>Cama Impermeable Con Memory Foam Perro Talla Xl</t>
  </si>
  <si>
    <t>Cama Impermeable Con Memory Foam Perro Mascan Talla S</t>
  </si>
  <si>
    <t>Cama Impermeable Con Memory Foam Perro Mascan Talla L</t>
  </si>
  <si>
    <t>Bebedero Portátil Hoja Verde Perro</t>
  </si>
  <si>
    <t>Bebedero portátil hoja STD Fucsia V 00009</t>
  </si>
  <si>
    <t>Bebedero Portátil Hoja Azul Perro</t>
  </si>
  <si>
    <t>Base Para Pala Sanitaria Std Blanco</t>
  </si>
  <si>
    <t>9500021503</t>
  </si>
  <si>
    <t>Banano De Paseo Para Perro</t>
  </si>
  <si>
    <t>180000115086</t>
  </si>
  <si>
    <t>Arnés y correa gato acolchado reflectante STD Fucsia AR 50001</t>
  </si>
  <si>
    <t>Arnés y correa gato acolchado reflectante STD Azul AR 50001</t>
  </si>
  <si>
    <t>ARNES NORUEGO ACOLCHADO TALLA XL NEGRO</t>
  </si>
  <si>
    <t>20001009086</t>
  </si>
  <si>
    <t>Arnés Noruego Acolchado Talla M Negro Perro</t>
  </si>
  <si>
    <t>20001007081</t>
  </si>
  <si>
    <t>Arnés Noruego Acolchado Talla L Negro Perro</t>
  </si>
  <si>
    <t>20001008089</t>
  </si>
  <si>
    <t>Arnés Noruego Acolchado 2XL Negro AR 00010</t>
  </si>
  <si>
    <t>20001010082</t>
  </si>
  <si>
    <t>Arnés Multiuso XS Perros Mascotas Negro</t>
  </si>
  <si>
    <t>Arnés Multiuso Xl Perros Mascotas Negro</t>
  </si>
  <si>
    <t>Arnés Multiuso S Negro AR 00001</t>
  </si>
  <si>
    <t>Arnés Multiuso M Perros Mascotas Negro</t>
  </si>
  <si>
    <t>Arnés Multiuso L Perros Mascotas Negro</t>
  </si>
  <si>
    <t>Arnés Deportivo De Control Xl Verde Perro</t>
  </si>
  <si>
    <t>2000110910</t>
  </si>
  <si>
    <t>Arnés Deportivo De Control Xl Naranja Perro</t>
  </si>
  <si>
    <t>2000110907</t>
  </si>
  <si>
    <t>Arnés Deportivo De Control Xl Fucsia Perro</t>
  </si>
  <si>
    <t>2000110921</t>
  </si>
  <si>
    <t>Arnés Deportivo De Control S Verde Perro</t>
  </si>
  <si>
    <t>2000110610</t>
  </si>
  <si>
    <t>Arnés Deportivo De Control S Naranja Perro</t>
  </si>
  <si>
    <t>2000110607</t>
  </si>
  <si>
    <t>Arnés Deportivo De Control S Fucsia Perro</t>
  </si>
  <si>
    <t>2000110621</t>
  </si>
  <si>
    <t>Arnés Deportivo De Control M Verde Perro</t>
  </si>
  <si>
    <t>2000110710</t>
  </si>
  <si>
    <t>Arnés Deportivo De Control M Naranja Perro</t>
  </si>
  <si>
    <t>2000110707</t>
  </si>
  <si>
    <t>Arnés Deportivo De Control M Fucsia Perro</t>
  </si>
  <si>
    <t>2000110721</t>
  </si>
  <si>
    <t>Arnés Deportivo De Control L Verde Perro</t>
  </si>
  <si>
    <t>2000110810</t>
  </si>
  <si>
    <t>Arnés Deportivo De Control L Naranja Perro</t>
  </si>
  <si>
    <t>2000110807</t>
  </si>
  <si>
    <t>Arnés Deportivo De Control L Fucsia Perro</t>
  </si>
  <si>
    <t>2000110821</t>
  </si>
  <si>
    <t>Arnés Cruzado Acolchado XS Rojo AR 00008</t>
  </si>
  <si>
    <t>20000805090</t>
  </si>
  <si>
    <t>Arnés Cruzado Acolchado XS Fucsia AR 00008</t>
  </si>
  <si>
    <t>20000805210</t>
  </si>
  <si>
    <t>Arnés Cruzado Acolchado XS Azul AR 00008</t>
  </si>
  <si>
    <t>20000805020</t>
  </si>
  <si>
    <t>Arnés Cruzado Acolchado Talla S Rojo Perros (Rojo/S)</t>
  </si>
  <si>
    <t>20000806090</t>
  </si>
  <si>
    <t>Arnés Cruzado Acolchado Talla S Fucsia Perros Mascan</t>
  </si>
  <si>
    <t>20000806210</t>
  </si>
  <si>
    <t>Arnés Cruzado Acolchado Talla S Azul Perros</t>
  </si>
  <si>
    <t>20000806020</t>
  </si>
  <si>
    <t>Arnés Cruzado Acolchado Talla M Rojo Perros</t>
  </si>
  <si>
    <t>20000807090</t>
  </si>
  <si>
    <t>Arnés Cruzado Acolchado Talla M Fucsia Perros</t>
  </si>
  <si>
    <t>20000807210</t>
  </si>
  <si>
    <t>Arnés Cruzado Acolchado Talla L Fucsia Perros</t>
  </si>
  <si>
    <t>20000808210</t>
  </si>
  <si>
    <t>Arnés Cruzado Acolchado Talla L Azul Perros Mascan</t>
  </si>
  <si>
    <t>20000808024</t>
  </si>
  <si>
    <t>Arnés Anti-pull XL Negro AR 00002</t>
  </si>
  <si>
    <t>20000209081</t>
  </si>
  <si>
    <t>Arnés Anti-pull M Paseo Seguridad Mascotas Perro</t>
  </si>
  <si>
    <t>20000207087</t>
  </si>
  <si>
    <t>Arnés Anti-pull L Paseo Seguridad Mascotas Perro Mascan</t>
  </si>
  <si>
    <t>20000208084</t>
  </si>
  <si>
    <t>Animal Plush Con Pelota Verde Perro Mascan</t>
  </si>
  <si>
    <t>Animal Plush Con Pelota Celeste Perro</t>
  </si>
  <si>
    <t>Animal Látex Con Cuerda Verde Perro</t>
  </si>
  <si>
    <t>Animal Látex Con Cuerda Rojo Perro</t>
  </si>
  <si>
    <t>Tabla De Cortar Indonesia Rectang Natural/Mar BVS</t>
  </si>
  <si>
    <t>Tabla De Cortar Cut S Rectang Natural/Marrón BVS</t>
  </si>
  <si>
    <t>Tabla De Cortar Cut M Rectang Natural/Marrón BVS</t>
  </si>
  <si>
    <t>Tabla De Cortar Cut L Rectang Natural/Marrón BVS</t>
  </si>
  <si>
    <t>Tabla De Cortar Copper Redonda Natural/Cobre BVS</t>
  </si>
  <si>
    <t>Tabla De Cortar Bali Horizontal Natural/Marró BVS</t>
  </si>
  <si>
    <t>Sujeta Fotos Clip Redonda Varillas Dorado BVS</t>
  </si>
  <si>
    <t>Silla Kane Patas Metal Ribete Rosa BVS</t>
  </si>
  <si>
    <t>Set Vajilla Completo 16 Piezas Provenza Graba Blan BVS</t>
  </si>
  <si>
    <t>Set Vajilla Completo 16 Piezas Avignon Grabad Blan BVS</t>
  </si>
  <si>
    <t>Set Farolillo Retro M Y L Dorado BVS</t>
  </si>
  <si>
    <t>Set 4 Cubiertos Viking Negro BVS</t>
  </si>
  <si>
    <t>Set 4 Cubiertos Viking Dorado BVS</t>
  </si>
  <si>
    <t>Set 4 Cubiertos Viking Cobre BVS</t>
  </si>
  <si>
    <t>Set 4 Cubiertos Must Dorado Negro BVS</t>
  </si>
  <si>
    <t>Set 4 Cubiertos Must Dorado Blanco BVS</t>
  </si>
  <si>
    <t>Set 4 Cubiertos Must Cobre Blanco BVS</t>
  </si>
  <si>
    <t>Set 4 Cubiertos Chic Table Minimal Plateado X6 BVS</t>
  </si>
  <si>
    <t>Set 4 Cubiertos Chic Table Minimal Negro BVS</t>
  </si>
  <si>
    <t>Set 4 Cubiertos Chic Table Minimal Dorado BVS</t>
  </si>
  <si>
    <t>Set 4 Cubiertos Chic Table Minimal Cobre BVS</t>
  </si>
  <si>
    <t>Set 3 Cestos Ankara Calado Blanco BVS</t>
  </si>
  <si>
    <t>Set 2 Salvamanteles Cork Hexagonal Blanco Negro BVS</t>
  </si>
  <si>
    <t>Set 2 Individuales Tahití Circular Negro/Blan BVS</t>
  </si>
  <si>
    <t>Set 2 Individuales Tahití Circular Blanco/Neg BVS</t>
  </si>
  <si>
    <t>Set 2 Individuales Summer Circular Marrón/Bla BVS</t>
  </si>
  <si>
    <t>Set 2 Individuales Red Circular Rojo BVS</t>
  </si>
  <si>
    <t>Set 2 Individuales Patagallo Pvc Blanco Negro BVS</t>
  </si>
  <si>
    <t>Set 2 Individuales Nuit con Espigas Gris Azul BVS</t>
  </si>
  <si>
    <t>Set 2 Individuales Leaf Rectang Hojas Gris BVS</t>
  </si>
  <si>
    <t>Set 2 Individuales Leaf Hoja Dorado BVS</t>
  </si>
  <si>
    <t>Set 2 Individuales Gold Fantasía Dorado BVS</t>
  </si>
  <si>
    <t>Set 2 Individuales Garden Pvc Blanco Hueso BVS</t>
  </si>
  <si>
    <t>Set 2 Individuales Circle Circular Blanco Rot BVS</t>
  </si>
  <si>
    <t>Portavelas Ra Redonda Metal Dorado BVS</t>
  </si>
  <si>
    <t>Pie Para Maceta Mr White Metal Blanco BVS</t>
  </si>
  <si>
    <t>Organizador Maquillaje Retro Makeup Trans/Dor BVS</t>
  </si>
  <si>
    <t>Manta Jaipur Rayas Borlas Beige/Negro BVS</t>
  </si>
  <si>
    <t>Manta Bikaner Rombos Y Flecos 125X150 Gris/Blanco BVS</t>
  </si>
  <si>
    <t>Maceta Santorini Alto Rayas Blanco BVS</t>
  </si>
  <si>
    <t>Maceta Myconos Copa Blanco Roto BVS</t>
  </si>
  <si>
    <t>Maceta Kos Alto Textura Gris Blanqueado BVS</t>
  </si>
  <si>
    <t>Maceta Ios Bajo Grabado Blanco BVS</t>
  </si>
  <si>
    <t>Maceta Ios Alto Grabado Blanco BVS</t>
  </si>
  <si>
    <t>Jarrón Tendence Grabado 29X15 Gris/Dorado BVS</t>
  </si>
  <si>
    <t>Jarrón Tendence Grabado 20X13 Gris/Dorado BVS</t>
  </si>
  <si>
    <t>Jarrón Tendence 19X14 Transparente/Dorado BVS</t>
  </si>
  <si>
    <t>Jarrón Icy Pink Mate Rosa BVS</t>
  </si>
  <si>
    <t>Jarrón Icy Grey Mate Gris BVS</t>
  </si>
  <si>
    <t>Jarrón Brown Vase Mitad Pintado Marrón BVS</t>
  </si>
  <si>
    <t>Jarrón Brown Bottle Mitad Pintado Marrón BVS</t>
  </si>
  <si>
    <t>Funda Cojín Triangle Pespuntes Gris Oscuro BVS</t>
  </si>
  <si>
    <t>Funda Cojín Triangle Pespuntes Gris Claro BVS</t>
  </si>
  <si>
    <t>Funda Cojín Triangle Pespuntes Azul BVS</t>
  </si>
  <si>
    <t>Funda Cojín Silver Espigas Plateado Gris BVS</t>
  </si>
  <si>
    <t>Funda Cojín Oslo Espigas Gris Blanco BVS</t>
  </si>
  <si>
    <t>Funda Cojín Nordic Cruces Negro/Blanco BVS</t>
  </si>
  <si>
    <t>Funda Cojin Glamour BVS</t>
  </si>
  <si>
    <t>Figura Mrs Kaktus L Cerámica Blanco BVS</t>
  </si>
  <si>
    <t>Figura Mr Kaktus L Cerámica Blanco BVS</t>
  </si>
  <si>
    <t>Farolillo Retro L Transparente/Dorado BVS</t>
  </si>
  <si>
    <t>Farolillo Goldy Con Asa Metal Dorado BVS</t>
  </si>
  <si>
    <t>Estantería Retro Square Dorado BVS</t>
  </si>
  <si>
    <t>Estantería Retro Multi Hexagon Dorado BVS</t>
  </si>
  <si>
    <t>Estantería Retro Hexagon Dorado BVS</t>
  </si>
  <si>
    <t>Espejo Ubud Redondo Bambu BVS</t>
  </si>
  <si>
    <t>Espejo Spider Metal Dorado BVS</t>
  </si>
  <si>
    <t>Espejo Serifos Redondo Espiral Natural BVS</t>
  </si>
  <si>
    <t>Espejo Ring Metal Rayas Dorado BVS</t>
  </si>
  <si>
    <t>Espejo Ra Redonda Rayas Negro BVS</t>
  </si>
  <si>
    <t>Espejo Paros Redondo Natural BVS</t>
  </si>
  <si>
    <t>Espejo Pared Star S Metal Dorado BVS</t>
  </si>
  <si>
    <t>Espejo Pared Spark Redondo Dorado BVS</t>
  </si>
  <si>
    <t>Espejo Pared Flor S Metal Dorado BVS</t>
  </si>
  <si>
    <t>Espejo Pared Art Deco Redondo Dorado BVS</t>
  </si>
  <si>
    <t>Espejo Pared Arrow Redondo Dorado BVS</t>
  </si>
  <si>
    <t>Espejo Mele Flor Natural BVS</t>
  </si>
  <si>
    <t>Espejo Leilani Redondo Mimbre Natural BVS</t>
  </si>
  <si>
    <t>Espejo Kahala L Redonda Natural BVS</t>
  </si>
  <si>
    <t>Espejo Gold Cuadrada Dorad BVS</t>
  </si>
  <si>
    <t>Espejo Bubble Metal Dorado BVS</t>
  </si>
  <si>
    <t>Espejo Andros Redondo Natural BVS</t>
  </si>
  <si>
    <t>Espejo Amaui Redonda Mimbre Natural BVS</t>
  </si>
  <si>
    <t>Espejo 3D Metal Dorado BVS</t>
  </si>
  <si>
    <t>Cojín Zig Zag 50X50 Bordado Rosa/Blanco BVS</t>
  </si>
  <si>
    <t>Cojín Triangle Pespuntes Verde BVS</t>
  </si>
  <si>
    <t>Cojín Mandala 50X50 Bordado Gris/Blanco BVS</t>
  </si>
  <si>
    <t>Cojín Kenya 45X45 Falso Pelo Gris Oscur BVS</t>
  </si>
  <si>
    <t>Caja Deco Retro Transparente Dorado BVS</t>
  </si>
  <si>
    <t>Caja Deco Retro Tapa Dorado BVS</t>
  </si>
  <si>
    <t>Caja Deco Retro Casa Dorado BVS</t>
  </si>
  <si>
    <t>Caja Deco Pineapple Metal Dorado BVS</t>
  </si>
  <si>
    <t>Caja Deco Metal Dorado 2 Huecos BVS</t>
  </si>
  <si>
    <t>Caja Deco Ananas M Cerámica Blanco/Dorado BVS</t>
  </si>
  <si>
    <t>Botellero Vino Wine For 8 8 Botellas Natural BVS</t>
  </si>
  <si>
    <t>Bandeja Agra Hexagonal Natural Blanco BVS</t>
  </si>
  <si>
    <t>Alfombra Bombai L Degradé Flecos Negro/Beige BVS</t>
  </si>
  <si>
    <t>Timer Y Reloj Digital Balvi</t>
  </si>
  <si>
    <t>26018</t>
  </si>
  <si>
    <t>Tablero Peg Balvi</t>
  </si>
  <si>
    <t>26966</t>
  </si>
  <si>
    <t>Tablero Memories Balvi</t>
  </si>
  <si>
    <t>27016</t>
  </si>
  <si>
    <t>Tablero Madisson Magneticos X6 Balvi</t>
  </si>
  <si>
    <t>25782</t>
  </si>
  <si>
    <t>Soporte Nordik Mdf Pattern Negro Balvi</t>
  </si>
  <si>
    <t>27535</t>
  </si>
  <si>
    <t>Soporte Nordik Mdf Pattern Café Balvi</t>
  </si>
  <si>
    <t>26970</t>
  </si>
  <si>
    <t>Soporte Nordik Mdf Pappers Blanco Balvi</t>
  </si>
  <si>
    <t>26969</t>
  </si>
  <si>
    <t>Revistero News Negro Balvi</t>
  </si>
  <si>
    <t>26967</t>
  </si>
  <si>
    <t>Revistero News Blanco Balvi</t>
  </si>
  <si>
    <t>26968</t>
  </si>
  <si>
    <t>Revistero Haus Negro Balvi</t>
  </si>
  <si>
    <t>27124</t>
  </si>
  <si>
    <t>Revistero Haus Blanco Balvi</t>
  </si>
  <si>
    <t>27123</t>
  </si>
  <si>
    <t>Revistero Cat Blanco Balvi</t>
  </si>
  <si>
    <t>27125</t>
  </si>
  <si>
    <t>Reloj Pared Oslo Metal Balvi</t>
  </si>
  <si>
    <t>26233</t>
  </si>
  <si>
    <t>Reloj Pared Milk Metal Balvi</t>
  </si>
  <si>
    <t>25835</t>
  </si>
  <si>
    <t>27488</t>
  </si>
  <si>
    <t>27487</t>
  </si>
  <si>
    <t>Puff Le Carlin Café Balvi</t>
  </si>
  <si>
    <t>27489</t>
  </si>
  <si>
    <t>Puff La Vache Vaca Polipiel Balvi</t>
  </si>
  <si>
    <t>27174</t>
  </si>
  <si>
    <t>27106</t>
  </si>
  <si>
    <t>Puff La Vache Marron Polipiel Balvi</t>
  </si>
  <si>
    <t>26935</t>
  </si>
  <si>
    <t>Porta Foto Iman X3 Metal Madera Balvi</t>
  </si>
  <si>
    <t>26736</t>
  </si>
  <si>
    <t>Perchero Shiitake Madera Blanco Balvi</t>
  </si>
  <si>
    <t>26668</t>
  </si>
  <si>
    <t>Perchero Shiitake Acero Negro Balvi</t>
  </si>
  <si>
    <t>26669</t>
  </si>
  <si>
    <t>Perchero Shiitake Acero Blanco Balvi</t>
  </si>
  <si>
    <t>26667</t>
  </si>
  <si>
    <t>Perchero Birdie Metal Blanco Balvi</t>
  </si>
  <si>
    <t>26925</t>
  </si>
  <si>
    <t>Perchero Alaska Metal Madera Balvi</t>
  </si>
  <si>
    <t>25163</t>
  </si>
  <si>
    <t>Papelera Sharpener Turquesa Balvi</t>
  </si>
  <si>
    <t>27411</t>
  </si>
  <si>
    <t>Papelera Sharpener Rosado Balvi</t>
  </si>
  <si>
    <t>27413</t>
  </si>
  <si>
    <t>Papelera Sharpener Rojo Balvi</t>
  </si>
  <si>
    <t>27261</t>
  </si>
  <si>
    <t>Papelera Sharpener Negro Balvi</t>
  </si>
  <si>
    <t>27409</t>
  </si>
  <si>
    <t>Papelera Letters Negro Balvi</t>
  </si>
  <si>
    <t>26884</t>
  </si>
  <si>
    <t>26885</t>
  </si>
  <si>
    <t>Papelera Letters Blanco Balvi</t>
  </si>
  <si>
    <t>26883</t>
  </si>
  <si>
    <t>Papelera Globe Lata Balvi</t>
  </si>
  <si>
    <t>25566</t>
  </si>
  <si>
    <t>Papelera Basketball Polipropileno Balvi</t>
  </si>
  <si>
    <t>26409</t>
  </si>
  <si>
    <t>Pack x 2 Cojín Magic Plateado/Rosado Balvi</t>
  </si>
  <si>
    <t>2691517</t>
  </si>
  <si>
    <t>Pack x 2 Cojín Magic Plateado/Dorado Balvi</t>
  </si>
  <si>
    <t>2691516</t>
  </si>
  <si>
    <t>Organizador Sofa Balvi</t>
  </si>
  <si>
    <t>26994</t>
  </si>
  <si>
    <t>ORGANIZADOR DE ZAPATOS DOBLE X4</t>
  </si>
  <si>
    <t>ORGANIZADOR DE ZAPATOS DOBLE X2</t>
  </si>
  <si>
    <t>Organizador De Zapatos Doble Balvi</t>
  </si>
  <si>
    <t>26021</t>
  </si>
  <si>
    <t>Organizador De Zapatos 4 Niveles Balvi</t>
  </si>
  <si>
    <t>26022</t>
  </si>
  <si>
    <t>Molinillo Pimienta Acrílico Balvi</t>
  </si>
  <si>
    <t>27585</t>
  </si>
  <si>
    <t>Mesa de Centro Vidrio Moon Balvi</t>
  </si>
  <si>
    <t>27495</t>
  </si>
  <si>
    <t>Mesa de Centro Vidrio Cosmos Balvi</t>
  </si>
  <si>
    <t>27496</t>
  </si>
  <si>
    <t>Marco Mignon X4 Balvi</t>
  </si>
  <si>
    <t>26057</t>
  </si>
  <si>
    <t>Marco Mignon X2 Balvi</t>
  </si>
  <si>
    <t>26055</t>
  </si>
  <si>
    <t>Marco Messege Rec 10 Seg Balvi</t>
  </si>
  <si>
    <t>25803</t>
  </si>
  <si>
    <t>Marco Kube 10X10 1/Aa Balvi</t>
  </si>
  <si>
    <t>24824</t>
  </si>
  <si>
    <t>Marco Foto Tratto 3D X9 Balvi</t>
  </si>
  <si>
    <t>26766</t>
  </si>
  <si>
    <t>Marco Foto Tratto 3D X7 Balvi</t>
  </si>
  <si>
    <t>26764</t>
  </si>
  <si>
    <t>Marco Foto Tratto 3D X4 Balvi</t>
  </si>
  <si>
    <t>26760</t>
  </si>
  <si>
    <t>Marco Foto Magic X8 Negro Balvi</t>
  </si>
  <si>
    <t>24767</t>
  </si>
  <si>
    <t>Mantequillero Vidrio Butter Balvi</t>
  </si>
  <si>
    <t>23669</t>
  </si>
  <si>
    <t>26070</t>
  </si>
  <si>
    <t>Lámpara Usb/3Aa 34Cm Balvi</t>
  </si>
  <si>
    <t>27245</t>
  </si>
  <si>
    <t>Lámpara Usb Clamp Verde Balvi</t>
  </si>
  <si>
    <t>27249</t>
  </si>
  <si>
    <t>Lámpara Tic Tic Blanca Balvi</t>
  </si>
  <si>
    <t>27433</t>
  </si>
  <si>
    <t>26596</t>
  </si>
  <si>
    <t>Lámpara Moon Balvi</t>
  </si>
  <si>
    <t>27353</t>
  </si>
  <si>
    <t>Lámpara Mesa On Off Balvi</t>
  </si>
  <si>
    <t>26575</t>
  </si>
  <si>
    <t>Lámpara Mesa Bulb Balvi</t>
  </si>
  <si>
    <t>27246</t>
  </si>
  <si>
    <t>Hielera Vidrio L`Hédoniste Balvi</t>
  </si>
  <si>
    <t>26065</t>
  </si>
  <si>
    <t>Estuche para Joyas Precious Metal Balvi</t>
  </si>
  <si>
    <t>26773</t>
  </si>
  <si>
    <t>Estuche para Joyas Haus Madera Balvi</t>
  </si>
  <si>
    <t>27239</t>
  </si>
  <si>
    <t>Estuche para Joyas Bureau Madera Balvi</t>
  </si>
  <si>
    <t>26404</t>
  </si>
  <si>
    <t>Espejo Cat Negro 48Cm Balvi</t>
  </si>
  <si>
    <t>27122</t>
  </si>
  <si>
    <t>Colgador Pared The Cat Balvi</t>
  </si>
  <si>
    <t>26875</t>
  </si>
  <si>
    <t>Colgador Pared The Bear Balvi</t>
  </si>
  <si>
    <t>26876</t>
  </si>
  <si>
    <t>Colgador Pared Musik Balvi</t>
  </si>
  <si>
    <t>27446</t>
  </si>
  <si>
    <t>Colgador Mountain Plateado Balvi</t>
  </si>
  <si>
    <t>27185</t>
  </si>
  <si>
    <t>Colgador Mountain Dorado Balvi</t>
  </si>
  <si>
    <t>27184</t>
  </si>
  <si>
    <t>Colgador Llaves Musik Balvi</t>
  </si>
  <si>
    <t>27445</t>
  </si>
  <si>
    <t>Cojin Magic Rosado Balvi</t>
  </si>
  <si>
    <t>26917</t>
  </si>
  <si>
    <t>Cojin Magic Plateado Balvi</t>
  </si>
  <si>
    <t>26915</t>
  </si>
  <si>
    <t>Cojin Magic Dorado Balvi</t>
  </si>
  <si>
    <t>26916</t>
  </si>
  <si>
    <t>Cojin Kitty Rosado Balvi</t>
  </si>
  <si>
    <t>27213</t>
  </si>
  <si>
    <t>Cojin Kitty Negro Balvi</t>
  </si>
  <si>
    <t>26808</t>
  </si>
  <si>
    <t>Cojin Kitty Gris Balvi</t>
  </si>
  <si>
    <t>26807</t>
  </si>
  <si>
    <t>Cojin Kitty Blanco Balvi</t>
  </si>
  <si>
    <t>27027</t>
  </si>
  <si>
    <t>Candelabro Metal Haus Balvi</t>
  </si>
  <si>
    <t>26502</t>
  </si>
  <si>
    <t>Caja Organizadora Ropa Balvi</t>
  </si>
  <si>
    <t>26879</t>
  </si>
  <si>
    <t>Caja Organizadora Rectangular Balvi</t>
  </si>
  <si>
    <t>26882</t>
  </si>
  <si>
    <t>Caja Organizador Capsulas Balvi</t>
  </si>
  <si>
    <t>26250</t>
  </si>
  <si>
    <t>Base Soporte Monitor Notebook Nordik Negro</t>
  </si>
  <si>
    <t>27534</t>
  </si>
  <si>
    <t>Pack Renovacion Total Regenerador Caracol Natural</t>
  </si>
  <si>
    <t>Pack Power Duo Limpieza Profunda Caracol Natural</t>
  </si>
  <si>
    <t>Pack Fórmula Reafirmante Anti-Edad Caracol Natural</t>
  </si>
  <si>
    <t>Pack Control Total Del Ácne Caracol Natural</t>
  </si>
  <si>
    <t>Pack Antimanchas Caracol Natural</t>
  </si>
  <si>
    <t>Mega Regenerador Hidratación Profunda Caracol Natural</t>
  </si>
  <si>
    <t>Máquina Eliminadora de Bacterias con Ozono</t>
  </si>
  <si>
    <t>Termo Clásico 1L Negro Zola</t>
  </si>
  <si>
    <t>Termo Clásico 1L Blanco Zola</t>
  </si>
  <si>
    <t>Taza Térmica Campers 350Ml Turquesa Zola</t>
  </si>
  <si>
    <t>Taza Térmica Campers 350Ml Negro Zola</t>
  </si>
  <si>
    <t>Taza Térmica Campers 350Ml Gris Zola</t>
  </si>
  <si>
    <t>Taza Térmica Campers 350Ml Blanco Zola</t>
  </si>
  <si>
    <t>Mug Térmico Travel 590Ml Gris Zola</t>
  </si>
  <si>
    <t>Mug Térmico Travel 590Ml Calypso Zola</t>
  </si>
  <si>
    <t>Mug Térmico Travel 590Ml Blanco Zola</t>
  </si>
  <si>
    <t>Mate Térmico 200Ml Blanco Zola</t>
  </si>
  <si>
    <t>Can Insulator 350Ml Negro Zola</t>
  </si>
  <si>
    <t>Can Insulator 350Ml Menta Zola</t>
  </si>
  <si>
    <t>Can Insulator 350Ml Blanco Zola</t>
  </si>
  <si>
    <t>Botella Térmica Hikkers Calypso 1L Zola</t>
  </si>
  <si>
    <t>Botella Térmica Hikkers 1L Negro Zola</t>
  </si>
  <si>
    <t>Botella Térmica Hikkers 1L Blanco Zola</t>
  </si>
  <si>
    <t>Botella Térmica Hikkers 1L Azul Zola</t>
  </si>
  <si>
    <t>Botella Térmica Clásica 750Ml Verde</t>
  </si>
  <si>
    <t>Botella Térmica Clásica 750Ml Rosado Zola</t>
  </si>
  <si>
    <t>Botella Térmica Clásica 750Ml Negra</t>
  </si>
  <si>
    <t>Botella Térmica Clásica 750Ml Menta Zola</t>
  </si>
  <si>
    <t>Botella Térmica Clásica 750Ml Gris Zola</t>
  </si>
  <si>
    <t>Botella Térmica Clásica 750Ml Calypso Zola</t>
  </si>
  <si>
    <t>Botella Térmica Clásica 750Ml Blanco Zola</t>
  </si>
  <si>
    <t>Botella Térmica Clásica 750Ml Azul Zola</t>
  </si>
  <si>
    <t>Botella Térmica Clásica 750Ml Amarillo Zola</t>
  </si>
  <si>
    <t>Big Mug 1200Ml Gris Zola</t>
  </si>
  <si>
    <t>Shampoo Púrpura Sun Bum</t>
  </si>
  <si>
    <t>Mascarilla Capilar Revitalizante Sun Bum</t>
  </si>
  <si>
    <t>Bálsamo Labial Lip Balm SPF 30 – Watermelon</t>
  </si>
  <si>
    <t>Bálsamo Labial Lip Balm SPF 30 – Pineapple</t>
  </si>
  <si>
    <t>Bálsamo Labial Lip Balm SPF 30 – Mango</t>
  </si>
  <si>
    <t>Bálsamo Labial Lip Balm SPF 30 – Key Lime</t>
  </si>
  <si>
    <t>Bálsamo Labial Lip Balm SPF 30 - Pomegranate</t>
  </si>
  <si>
    <t>Bálsamo Labial Con Color SPF 15 Sunset Cove</t>
  </si>
  <si>
    <t>Acondicionador Púrpura Sun Bum</t>
  </si>
  <si>
    <t>ERMLL</t>
  </si>
  <si>
    <t>Spanish KEYBOARD camara inspeccion</t>
  </si>
  <si>
    <t>70447869307288</t>
  </si>
  <si>
    <t>Soporte cocina Negro</t>
  </si>
  <si>
    <t>70907192757761</t>
  </si>
  <si>
    <t>Soporte cocina blanco</t>
  </si>
  <si>
    <t>70907190854055</t>
  </si>
  <si>
    <t>SECADOR Lavaplato</t>
  </si>
  <si>
    <t>70907198089005</t>
  </si>
  <si>
    <t>RACKET Padel 121-3</t>
  </si>
  <si>
    <t>70197510577926</t>
  </si>
  <si>
    <t>Pick Up Pad 5 bicicletas</t>
  </si>
  <si>
    <t>70068917703813</t>
  </si>
  <si>
    <t>Glass GUN 121-2</t>
  </si>
  <si>
    <t>70197502690522</t>
  </si>
  <si>
    <t>Cortador Multiple Cocina</t>
  </si>
  <si>
    <t>70782661369782</t>
  </si>
  <si>
    <t>Contenedor 850ml</t>
  </si>
  <si>
    <t>70907209276689</t>
  </si>
  <si>
    <t>Contenedor 2800ml</t>
  </si>
  <si>
    <t>70907212944338</t>
  </si>
  <si>
    <t>Contenedor 1600ml</t>
  </si>
  <si>
    <t>70907211091358</t>
  </si>
  <si>
    <t>Contenedor 1,55lts plastico</t>
  </si>
  <si>
    <t>70907207087415</t>
  </si>
  <si>
    <t>Contenedor 1 lts plastico</t>
  </si>
  <si>
    <t>70907205129301</t>
  </si>
  <si>
    <t>Colador 4</t>
  </si>
  <si>
    <t>70907203461725</t>
  </si>
  <si>
    <t>Colador 3</t>
  </si>
  <si>
    <t>70907201771012</t>
  </si>
  <si>
    <t>Colador 2</t>
  </si>
  <si>
    <t>70907200116752</t>
  </si>
  <si>
    <t>Colador</t>
  </si>
  <si>
    <t>70907196536306</t>
  </si>
  <si>
    <t>Centrifugador</t>
  </si>
  <si>
    <t>70907194567594</t>
  </si>
  <si>
    <t>Tónico Anticaída Sheet</t>
  </si>
  <si>
    <t>757450527792</t>
  </si>
  <si>
    <t>Suplemento Piel Sheet</t>
  </si>
  <si>
    <t>757450527891</t>
  </si>
  <si>
    <t>Suplemento Pelo Sheet</t>
  </si>
  <si>
    <t>757450527884</t>
  </si>
  <si>
    <t>Shampoo Low Poo Sheet</t>
  </si>
  <si>
    <t>757450527587</t>
  </si>
  <si>
    <t>Shampoo Limpieza Profunda Sheet</t>
  </si>
  <si>
    <t>757450527846</t>
  </si>
  <si>
    <t>Serum Zanahoria Sheet</t>
  </si>
  <si>
    <t>757450527921</t>
  </si>
  <si>
    <t>Serum Crecimiento Pestañas Y Cejas Sheet</t>
  </si>
  <si>
    <t>757450528058</t>
  </si>
  <si>
    <t>Serum Argan Sheet</t>
  </si>
  <si>
    <t>757450527945</t>
  </si>
  <si>
    <t>Oveja Vitamins Sheet</t>
  </si>
  <si>
    <t>757450527808</t>
  </si>
  <si>
    <t>Mascarilla Facial Oveja Sos Sheet</t>
  </si>
  <si>
    <t>757450527815</t>
  </si>
  <si>
    <t>Mascarilla Facial Oveja Glow Sheet</t>
  </si>
  <si>
    <t>757450527839</t>
  </si>
  <si>
    <t>Mascarilla Facial Oveja Detox Sheet</t>
  </si>
  <si>
    <t>757450527822</t>
  </si>
  <si>
    <t>Grape Mask Sheet</t>
  </si>
  <si>
    <t>757450527655</t>
  </si>
  <si>
    <t>Cintillo Sheet</t>
  </si>
  <si>
    <t>757450527907</t>
  </si>
  <si>
    <t>Cepillo Sheet</t>
  </si>
  <si>
    <t>757450527877</t>
  </si>
  <si>
    <t>Carrot Mask Sheet</t>
  </si>
  <si>
    <t>757450527600</t>
  </si>
  <si>
    <t>Acondicionador Low Poo Sheet</t>
  </si>
  <si>
    <t>757450527594</t>
  </si>
  <si>
    <t>Acondicionador Desenredante Sheet</t>
  </si>
  <si>
    <t>757450527853</t>
  </si>
  <si>
    <t>Acondicionador Anti Enredos con Vitaminas Sheet</t>
  </si>
  <si>
    <t>757450527860</t>
  </si>
  <si>
    <t>BUBBA BAGS</t>
  </si>
  <si>
    <t>Pantuflas Negro Bubba Bags</t>
  </si>
  <si>
    <t>6902221345332</t>
  </si>
  <si>
    <t>6903121324885</t>
  </si>
  <si>
    <t>NEW MOCHILA CLASSIC MIRABELLA REGULAR</t>
  </si>
  <si>
    <t>6902221356741</t>
  </si>
  <si>
    <t>NEW MOCHILA CLASSIC MIRABELLA MINI</t>
  </si>
  <si>
    <t>6902221356734</t>
  </si>
  <si>
    <t>Mochila Victoria Negro Bubba Bags</t>
  </si>
  <si>
    <t>6902221385154</t>
  </si>
  <si>
    <t>22130608831</t>
  </si>
  <si>
    <t>Mochila Mini Beast Camo Negro Bubba Bags</t>
  </si>
  <si>
    <t>6902221355591</t>
  </si>
  <si>
    <t>MOCHILA CLASSIC MIRABELLA REGULAR</t>
  </si>
  <si>
    <t>99131300325</t>
  </si>
  <si>
    <t>Mochila Boss Verde Blvck Bubba</t>
  </si>
  <si>
    <t>22130608802</t>
  </si>
  <si>
    <t>Mochila Big Boss Negra Carbón Black</t>
  </si>
  <si>
    <t>6902221308368</t>
  </si>
  <si>
    <t>Mochila Alazan Velvet Negro Bubba Bags</t>
  </si>
  <si>
    <t>6902221356673</t>
  </si>
  <si>
    <t>MINI BEAST BLVCK</t>
  </si>
  <si>
    <t>6902221311054</t>
  </si>
  <si>
    <t>6902221342645</t>
  </si>
  <si>
    <t>6902221341198</t>
  </si>
  <si>
    <t>6902221341105</t>
  </si>
  <si>
    <t>6902221341228</t>
  </si>
  <si>
    <t>6902221341235</t>
  </si>
  <si>
    <t>6902221317032</t>
  </si>
  <si>
    <t>Mascarilla Bubba Mask Ultralight Lemonade Talla S</t>
  </si>
  <si>
    <t>6902221342683</t>
  </si>
  <si>
    <t>6902221342621</t>
  </si>
  <si>
    <t>6902221342591</t>
  </si>
  <si>
    <t>6902221342072</t>
  </si>
  <si>
    <t>6902221342027</t>
  </si>
  <si>
    <t>6902221342058</t>
  </si>
  <si>
    <t>6902221341983</t>
  </si>
  <si>
    <t>6902221342614</t>
  </si>
  <si>
    <t>6902221342089</t>
  </si>
  <si>
    <t>6902221342034</t>
  </si>
  <si>
    <t>6902221341167</t>
  </si>
  <si>
    <t>6902221341181</t>
  </si>
  <si>
    <t>6902221341204</t>
  </si>
  <si>
    <t>6902221342003</t>
  </si>
  <si>
    <t>6902221341129</t>
  </si>
  <si>
    <t>6902221342652</t>
  </si>
  <si>
    <t>6902221319111</t>
  </si>
  <si>
    <t>6902221319104</t>
  </si>
  <si>
    <t>6902221317094</t>
  </si>
  <si>
    <t>6902221316967</t>
  </si>
  <si>
    <t>Lonchera Clásica Mirabella Rpet Bubba Bags</t>
  </si>
  <si>
    <t>6902221386373</t>
  </si>
  <si>
    <t>Funda Notebook Classic Mirabella Bubba Bags</t>
  </si>
  <si>
    <t>22130608661</t>
  </si>
  <si>
    <t>Funda Notebook Classic Mint Rpet Bubba Bags</t>
  </si>
  <si>
    <t>6902221386274</t>
  </si>
  <si>
    <t>Funda De Notebook 13 Negro Blvck Bubba</t>
  </si>
  <si>
    <t>6902221322319</t>
  </si>
  <si>
    <t>BUBBA SUMMER MASK WILD YELLOW SMALL</t>
  </si>
  <si>
    <t>6902221322883</t>
  </si>
  <si>
    <t>BUBBA SUMMER MASK NEO MINT SMALL</t>
  </si>
  <si>
    <t>6902221322838</t>
  </si>
  <si>
    <t>BUBBA SUMMER MASK NEO MINT KIDS</t>
  </si>
  <si>
    <t>6902221322937</t>
  </si>
  <si>
    <t>BUBBA SUMMER MASK CORAL SMALL</t>
  </si>
  <si>
    <t>6902221322814</t>
  </si>
  <si>
    <t>BUBBA SUMMER MASK CORAL KIDS</t>
  </si>
  <si>
    <t>6903421324912</t>
  </si>
  <si>
    <t>BUBBA SUMMER MASK CAMBERRY SMALL</t>
  </si>
  <si>
    <t>6902221322845</t>
  </si>
  <si>
    <t>BUBBA SUMMER MASK CAMBERRY KIDS</t>
  </si>
  <si>
    <t>6902221322944</t>
  </si>
  <si>
    <t>BUBBA SUMMER MASK BLUECAM SMALL</t>
  </si>
  <si>
    <t>6902221322852</t>
  </si>
  <si>
    <t>Bubba Pack Mask Ultralight Marine Kids Bubba Bags</t>
  </si>
  <si>
    <t>6902221342553</t>
  </si>
  <si>
    <t>Bubba Pack Mask Ultralight Citric Bubba Bags</t>
  </si>
  <si>
    <t>6902221342492</t>
  </si>
  <si>
    <t>Bubba Mochila Clásica Mirabella Mini Rpet Bubba Bags</t>
  </si>
  <si>
    <t>6902221386519</t>
  </si>
  <si>
    <t>BUBBA CONTENEDOR METALICO</t>
  </si>
  <si>
    <t>6902221327284</t>
  </si>
  <si>
    <t>Bolso Depotivo Camo XL Black Bubba</t>
  </si>
  <si>
    <t>6902221390059</t>
  </si>
  <si>
    <t>BLVCK SUMMER MASK LIGHT CAMO (S-M)</t>
  </si>
  <si>
    <t>6902221324078</t>
  </si>
  <si>
    <t>BLVCK SUMMER MASK INDIGO (S-M)</t>
  </si>
  <si>
    <t>6902221323552</t>
  </si>
  <si>
    <t>BLVCK SUMMER MASK CAMO (S-M)</t>
  </si>
  <si>
    <t>6902221323545</t>
  </si>
  <si>
    <t>22130608780</t>
  </si>
  <si>
    <t>Banano Piedra Metalizada Bubba Bags</t>
  </si>
  <si>
    <t>6902221381835</t>
  </si>
  <si>
    <t>Banano Onyx Black</t>
  </si>
  <si>
    <t>6902221289452</t>
  </si>
  <si>
    <t>Wimzle Juguete Sensorial FatBrain Toys</t>
  </si>
  <si>
    <t>Whirly Squigz Spinners Para Bebes Y Niños FatBrain Toys</t>
  </si>
  <si>
    <t>Tumbleroos Juego De Anidar Y Balancear FatBrain Toys</t>
  </si>
  <si>
    <t>Tugl Cube Cubo Sensorial Y Fidget FatBrain Toys</t>
  </si>
  <si>
    <t>Trestle Tracks Pista Para Bolitas FatBrain Toys</t>
  </si>
  <si>
    <t>Tobbles Neo Juego De Apilar FatBrain Toys</t>
  </si>
  <si>
    <t>Tinker Rings Anillos Imanes Y Texturas FatBrain Toys</t>
  </si>
  <si>
    <t>Teeter Popper Juego De Habilidades Motoras FatBrain Toys</t>
  </si>
  <si>
    <t>Suction Kupz Vasos De Construcción FatBrain Toys</t>
  </si>
  <si>
    <t>Squigz Starter Set Juego De Creatividad FatBrain Toys</t>
  </si>
  <si>
    <t>Squigz Deluxe Set Juego De Creatividad FatBrain Toys</t>
  </si>
  <si>
    <t>Spoolz Juego De Construccion Y Equilibrio FatBrain Toys</t>
  </si>
  <si>
    <t>Spiroku Juego De Apilar FatBrain Toys</t>
  </si>
  <si>
    <t>Spinnypins Palitroques Encaje Con Sonido FatBrain Toys</t>
  </si>
  <si>
    <t>Spinagain Juego De Construccion Y Estimulación FatBrain Toys</t>
  </si>
  <si>
    <t>Simpl Dimpl Llavero Colores Surtidos FatBrain Toys</t>
  </si>
  <si>
    <t>Sensory Rollers Pelotas Sensoriales FatBrain Toys</t>
  </si>
  <si>
    <t>Plugzy Juego De Encaje FatBrain Toys</t>
  </si>
  <si>
    <t>Pipsquigz Mordedores Sonajeros Sensoriales FatBrain Toys</t>
  </si>
  <si>
    <t>Pipsquigz Loops Naranjo Mordedores Sensoriales FatBrain Toys</t>
  </si>
  <si>
    <t>Pipsquigz Loops Celeste Mordedores Sensoriales FatBrain Toys</t>
  </si>
  <si>
    <t>Peek-A-Doodle Doo Memorice FatBrain Toys</t>
  </si>
  <si>
    <t>Oombeecube Cubo De Encaje Bebé FatBrain Toys</t>
  </si>
  <si>
    <t>Oombeeball Pelotas Sensoriales Anidables FatBrain Toys</t>
  </si>
  <si>
    <t>One In A Chameleon Juego De Ingenio FatBrain Toys</t>
  </si>
  <si>
    <t>Jixezl Puzzle De Pixeles 3000 Pc Set Creator FatBrain Toys</t>
  </si>
  <si>
    <t>Jixezl Puzzle De Pixeles 1500 Pc Set FatBrain Toys</t>
  </si>
  <si>
    <t>Jixelz Puzzle De Pixeles 700 Pc Set Robots FatBrain Toys</t>
  </si>
  <si>
    <t>Jixelz Puzzle De Pixeles 700 Pc Set Mascotas FatBrain Toys</t>
  </si>
  <si>
    <t>Jixelz Puzzle 700 Pc Set Amigos Del Mar FatBrain Toys</t>
  </si>
  <si>
    <t>Jixelz Puzzle 1500 Pc Set Bajo El Mar FatBrain Toys</t>
  </si>
  <si>
    <t>Ivan'S Hinge Juego De Ingenio FatBrain Toys</t>
  </si>
  <si>
    <t>Innybin Juego De Encaje Y Descubrimiento FatBrain Toys</t>
  </si>
  <si>
    <t>Inchimals Juego Para Aprender Matemáticas FatBrain Toys</t>
  </si>
  <si>
    <t>Hiding Hedgehogs Apilar Y Anidar FatBrain Toys</t>
  </si>
  <si>
    <t>Fruit Friends Sonajero Puzzle FatBrain Toys</t>
  </si>
  <si>
    <t>Drop Shop Juego De Destreza FatBrain Toys</t>
  </si>
  <si>
    <t>Door Pong Ping Pong Colgante FatBrain Toys</t>
  </si>
  <si>
    <t>Dizzy Bees Mordedor Apilable Con Iman FatBrain Toys</t>
  </si>
  <si>
    <t>Dimpl Pops Juego Sensorial FatBrain Toys</t>
  </si>
  <si>
    <t>Dimpl Pops Deluxe Juego Sensorial FatBrain Toys</t>
  </si>
  <si>
    <t>Dimpl Juego Sensorial Para Manos Inquietas FatBrain Toys</t>
  </si>
  <si>
    <t>Dimpl Dúo Juego Sensorial FatBrain Toys</t>
  </si>
  <si>
    <t>Dimpl Digits Juego Sensorial FatBrain Toys</t>
  </si>
  <si>
    <t>Dimpl Clutch Juego Sensorial FatBrain Toys</t>
  </si>
  <si>
    <t>Dimpl Billow &amp; Bright Juego Sensorial FatBrain Toys</t>
  </si>
  <si>
    <t>Crankity Juego De Ingenio FatBrain Toys</t>
  </si>
  <si>
    <t>Coggy Juego De Ingenio FatBrain Toys</t>
  </si>
  <si>
    <t>Bugzzle Juego De Ingenio Para Pequeños FatBrain Toys</t>
  </si>
  <si>
    <t>Box N Balls Juego De Creatividad FatBrain Toys</t>
  </si>
  <si>
    <t>Acuity Juego De Habilidades FatBrain Toys</t>
  </si>
  <si>
    <t>Pechera Tumán de Cuero Hecho a Mano Raiquen</t>
  </si>
  <si>
    <t>Neceser Grande</t>
  </si>
  <si>
    <t>Neceser Cuero Reno Grande Raiquen</t>
  </si>
  <si>
    <t>Mousepad de Cuero Raiquen Hecho a Mano</t>
  </si>
  <si>
    <t>Llavero de Cuero Raiquen Hecho a Mano</t>
  </si>
  <si>
    <t>Juego de naipes cuero reno Hecho a mano Raiquen</t>
  </si>
  <si>
    <t>Juego de cachos Raiquen</t>
  </si>
  <si>
    <t>Identificador para equipaje de cuero Hecho a Mano</t>
  </si>
  <si>
    <t>Cuchillo Piga Artesanal Hecho a Mano Raiquen</t>
  </si>
  <si>
    <t>Cuchillo Paico Artesanal Hecho a Mano Raiquen</t>
  </si>
  <si>
    <t>Cuchillo Marmolejo Artesanal Hecho a Mano Raiquen</t>
  </si>
  <si>
    <t>Cuchillo Conchalí Artesanal Hecho a Mano Raiquen</t>
  </si>
  <si>
    <t>Cinturón Cuero Café XL Costura Hecho a Mano Raiquen</t>
  </si>
  <si>
    <t>Cinturón Cuero Café S Costura Hecho a Mano Raiquen</t>
  </si>
  <si>
    <t>Cinturón Cuero Café M Costura Hecho a Mano Raiquen</t>
  </si>
  <si>
    <t>Cinturón Cuero Café L Costura Hecho a Mano Raiquen Cinturón Cuero Café L Costura Hecho a Mano Raiquen</t>
  </si>
  <si>
    <t>Cinturón Cuero Bordado Pampa Verde Raiquen</t>
  </si>
  <si>
    <t>Cinturón Cuero Bordado Pampa Verde</t>
  </si>
  <si>
    <t>Cinturón Cuero Bordado Pampa Café Talla S Raiquen</t>
  </si>
  <si>
    <t>Cinturón Cuero Bordado Pampa Café Talla M Raiquen</t>
  </si>
  <si>
    <t>Cinturón Cuero Bordado Pampa Café Talla L Raiquen</t>
  </si>
  <si>
    <t>Cartera Petty Cuero Hecho a Mano</t>
  </si>
  <si>
    <t>Billetera tarjetero Icalma Hecha a Mano</t>
  </si>
  <si>
    <t>Billetera cuero Pehoe Con Pasador Hecha a Mano</t>
  </si>
  <si>
    <t>Billetera Cuero Clasica Puelo Hecha a mano</t>
  </si>
  <si>
    <t>MelollevoMed</t>
  </si>
  <si>
    <t>1593115256999</t>
  </si>
  <si>
    <t>Mascarilla desechable 3 pliegues 50 unidades</t>
  </si>
  <si>
    <t>1586964198052</t>
  </si>
  <si>
    <t>1616011328526</t>
  </si>
  <si>
    <t>1616011311193</t>
  </si>
  <si>
    <t>Guantes Latex Médico Blanco X100 L</t>
  </si>
  <si>
    <t>1595007277212</t>
  </si>
  <si>
    <t>Cofias Pelo Plisadas 100 Unidades (Azul)</t>
  </si>
  <si>
    <t>1595007331468</t>
  </si>
  <si>
    <t>22103356545</t>
  </si>
  <si>
    <t>Termo Outdoor 1,8lt Brando</t>
  </si>
  <si>
    <t>6902221318374</t>
  </si>
  <si>
    <t>Termo Mug Botón Dispensador Antiderrame 450Ml Rosa</t>
  </si>
  <si>
    <t>6902221314598</t>
  </si>
  <si>
    <t>6902221318527</t>
  </si>
  <si>
    <t>Set Utensilios De Cocina Gris Verde 4pcs Brando</t>
  </si>
  <si>
    <t>6902221318329</t>
  </si>
  <si>
    <t>Set Utensilios De Cocina Gris Rosa 4pcs Brando</t>
  </si>
  <si>
    <t>6902221318312</t>
  </si>
  <si>
    <t>6902221295811</t>
  </si>
  <si>
    <t>Set 6 Vasos de Vidrio 500ml Brando</t>
  </si>
  <si>
    <t>6902221315373</t>
  </si>
  <si>
    <t>Set 6 Copas de Champaña 235ml Brando</t>
  </si>
  <si>
    <t>6902221315359</t>
  </si>
  <si>
    <t>Set 4 Vasos Espumante Brando.</t>
  </si>
  <si>
    <t>6902221326102</t>
  </si>
  <si>
    <t>Set 4 Copas Vidrio Líneas Brando</t>
  </si>
  <si>
    <t>6902221332998</t>
  </si>
  <si>
    <t>Set 3 Organizadores de Refrigerador Brando</t>
  </si>
  <si>
    <t>6902221325914</t>
  </si>
  <si>
    <t>Set 3 Brochas Brando</t>
  </si>
  <si>
    <t>6902221324641</t>
  </si>
  <si>
    <t>Set 2 Vasos Cerveceros Brando</t>
  </si>
  <si>
    <t>6902221315267</t>
  </si>
  <si>
    <t>6902221318688</t>
  </si>
  <si>
    <t>6902221325709</t>
  </si>
  <si>
    <t>6902221318657</t>
  </si>
  <si>
    <t>6902221318633</t>
  </si>
  <si>
    <t>Prensa de Hamburguesa Brando</t>
  </si>
  <si>
    <t>6902221315083</t>
  </si>
  <si>
    <t>Organizador de Refrigerador Versátil Brando</t>
  </si>
  <si>
    <t>6902221325907</t>
  </si>
  <si>
    <t>Organizador de Refrigerador Rectangular XL Brando</t>
  </si>
  <si>
    <t>6902221325877</t>
  </si>
  <si>
    <t>Organizador de Refrigerador 12 Huevos Brando</t>
  </si>
  <si>
    <t>6902221325891</t>
  </si>
  <si>
    <t>6902221318398</t>
  </si>
  <si>
    <t>Mochila Clásica Bleu</t>
  </si>
  <si>
    <t>6902221335227</t>
  </si>
  <si>
    <t>Lonchera Bleu</t>
  </si>
  <si>
    <t>6902221335166</t>
  </si>
  <si>
    <t>6902221293046</t>
  </si>
  <si>
    <t>6902221296382</t>
  </si>
  <si>
    <t>Juego De Mesa Portátil Jenga</t>
  </si>
  <si>
    <t>6902221297907</t>
  </si>
  <si>
    <t>6902221297884</t>
  </si>
  <si>
    <t>6902221297877</t>
  </si>
  <si>
    <t>Garra De Oso Para Parrilla Con Mango De Madera Brando</t>
  </si>
  <si>
    <t>6902221314901</t>
  </si>
  <si>
    <t>Funda Notebook Noire</t>
  </si>
  <si>
    <t>6902221335258</t>
  </si>
  <si>
    <t>Funda Notebook Bleu</t>
  </si>
  <si>
    <t>6902221335241</t>
  </si>
  <si>
    <t>Disco Tapa Madera Iron Cast Brando</t>
  </si>
  <si>
    <t>6902221325969</t>
  </si>
  <si>
    <t>Cuchillo Acero Inoxidable Con Mango Madera Acacia Brando</t>
  </si>
  <si>
    <t>6902221315069</t>
  </si>
  <si>
    <t>6902221328984</t>
  </si>
  <si>
    <t>6902221296276</t>
  </si>
  <si>
    <t>Canister 450ml Brando</t>
  </si>
  <si>
    <t>6909721325543</t>
  </si>
  <si>
    <t>Botella Diseño Líneas Azure Brando</t>
  </si>
  <si>
    <t>6902221326416</t>
  </si>
  <si>
    <t>6902221318817</t>
  </si>
  <si>
    <t>Bombilla Para Mate Acero Inoxidable Con Filtro Rosa</t>
  </si>
  <si>
    <t>6902221318954</t>
  </si>
  <si>
    <t>6902221326232</t>
  </si>
  <si>
    <t>BABERO SILICONA AZURE</t>
  </si>
  <si>
    <t>6902221326225</t>
  </si>
  <si>
    <t>Alfombrilla Para Hornear Baking Mat de Silicona Rojo Brando</t>
  </si>
  <si>
    <t>6902221314499</t>
  </si>
  <si>
    <t>80317</t>
  </si>
  <si>
    <t>Set 6 Vasos Koba 472 ml Libbey</t>
  </si>
  <si>
    <t>1720662</t>
  </si>
  <si>
    <t>Set 6 Vasos Cavanas Cortos 386ml Libbey</t>
  </si>
  <si>
    <t>1720433</t>
  </si>
  <si>
    <t>Set 6 Vasos Cavana Altos 414ml Libbey</t>
  </si>
  <si>
    <t>1720432</t>
  </si>
  <si>
    <t>89554</t>
  </si>
  <si>
    <t>925166</t>
  </si>
  <si>
    <t>925180</t>
  </si>
  <si>
    <t>925197</t>
  </si>
  <si>
    <t>SET 4 VASOS DE VIDRIO ARTISAN ALARGADO PILSNER 370ML</t>
  </si>
  <si>
    <t>925173</t>
  </si>
  <si>
    <t>Set 4 Vasos Cortos Hobstar 355ml Libbey</t>
  </si>
  <si>
    <t>2651002</t>
  </si>
  <si>
    <t>1795456</t>
  </si>
  <si>
    <t>1700887</t>
  </si>
  <si>
    <t>9550134</t>
  </si>
  <si>
    <t>1796402</t>
  </si>
  <si>
    <t>INMLL</t>
  </si>
  <si>
    <t>Melollevo Compostable Bag 48x48cm</t>
  </si>
  <si>
    <t>69653599249811</t>
  </si>
  <si>
    <t>Melollevo Compostable Bag 29,5x48cm</t>
  </si>
  <si>
    <t>69653596768424</t>
  </si>
  <si>
    <t>Melollevo Compostable Bag 25*40cm</t>
  </si>
  <si>
    <t>69653601317354</t>
  </si>
  <si>
    <t>Lhotse Compostable Bag 48x48cm</t>
  </si>
  <si>
    <t>69653600180380</t>
  </si>
  <si>
    <t>Lhotse Compostable Bag 29.5x48cm</t>
  </si>
  <si>
    <t>69653598176576</t>
  </si>
  <si>
    <t>Lhotse Compostable Bag 25*40cm</t>
  </si>
  <si>
    <t>69653602134992</t>
  </si>
  <si>
    <t>CAJA Teclado Gamer Storm</t>
  </si>
  <si>
    <t>69653486293127</t>
  </si>
  <si>
    <t>CAJA Smartwatch Live Mini 206 Verde</t>
  </si>
  <si>
    <t>69653493886110</t>
  </si>
  <si>
    <t>Caja Smartwatch Live Mini 206 Rosado</t>
  </si>
  <si>
    <t>69653497087357</t>
  </si>
  <si>
    <t>CAJA Smartwatch Live Mini 206 Negro</t>
  </si>
  <si>
    <t>69653495999708</t>
  </si>
  <si>
    <t>CAJA Smartband R01 Pink</t>
  </si>
  <si>
    <t>69653492427642</t>
  </si>
  <si>
    <t>CAJA Smartband R01 Blue</t>
  </si>
  <si>
    <t>69653491094344</t>
  </si>
  <si>
    <t>CAJA Kit teclado + mouse Levo</t>
  </si>
  <si>
    <t>69653487487038</t>
  </si>
  <si>
    <t>CAJA Audifonos Gamer Thunder</t>
  </si>
  <si>
    <t>69653484984761</t>
  </si>
  <si>
    <t>Sartén Stone Cerámica Antiadherente Inducción 24 Cm</t>
  </si>
  <si>
    <t>Sartén Stone Cerámica Antiadherente Inducción 20 Cm</t>
  </si>
  <si>
    <t>Sartén Stone Cerámica Antiadherente 28 Cm</t>
  </si>
  <si>
    <t>SARTEN SOHO 28CM MINT</t>
  </si>
  <si>
    <t>SARTEN SOHO 28CM CHERRY</t>
  </si>
  <si>
    <t>SARTEN SOHO 24CM CHERRY</t>
  </si>
  <si>
    <t>Sarten Ceramica Simply Cook 28cm Calipso</t>
  </si>
  <si>
    <t>Sarten Ceramica Simply Cook 20cm Rojo</t>
  </si>
  <si>
    <t>BATERÍA 10 PIEZAS CERAMICA SIMPLY RED</t>
  </si>
  <si>
    <t>Bolsa Courier Compostable</t>
  </si>
  <si>
    <t>Imanix</t>
  </si>
  <si>
    <t>Tigre Siberiano 300 Pcs Peligro De Extincion Mudpuppy</t>
  </si>
  <si>
    <t>36712</t>
  </si>
  <si>
    <t>Rollo De Actividades Dinosaurios Mudpuppy</t>
  </si>
  <si>
    <t>53893</t>
  </si>
  <si>
    <t>Rollo De Actividades Animales De La Selva Mudpuppy</t>
  </si>
  <si>
    <t>60204</t>
  </si>
  <si>
    <t>Puzzle 80Pcs Geografia Dinosaurios Mudpuppy</t>
  </si>
  <si>
    <t>67906</t>
  </si>
  <si>
    <t>Puzzle 78Pcs Geografia Mapa Del Mundo Mudpuppy</t>
  </si>
  <si>
    <t>60846</t>
  </si>
  <si>
    <t>Puzzle 75Pcs Lenticular Unicornio Magico Mudpuppy</t>
  </si>
  <si>
    <t>67722</t>
  </si>
  <si>
    <t>Puzzle 75Pcs Lenticular Rugido De Dinosaurio Mudpuppy</t>
  </si>
  <si>
    <t>67739</t>
  </si>
  <si>
    <t>Puzzle 70Pcs Geografia Sistema Solar Mudpuppy</t>
  </si>
  <si>
    <t>51950</t>
  </si>
  <si>
    <t>Puzzle 60Pcs Rascar Y Oler Frutas Cosmicas Mudpuppy</t>
  </si>
  <si>
    <t>70135</t>
  </si>
  <si>
    <t>Puzzle 500Pcs Unicornio Leyendo Mudpuppy</t>
  </si>
  <si>
    <t>57914</t>
  </si>
  <si>
    <t>Puzzle 500Pcs Safari Pintado Mudpuppy</t>
  </si>
  <si>
    <t>66671</t>
  </si>
  <si>
    <t>Puzzle 500Pcs Que Brilla En La Oscuridad Selva Mudpuppy</t>
  </si>
  <si>
    <t>60761</t>
  </si>
  <si>
    <t>Puzzle 500Pcs Que Brilla En La Oscuridad Oceano Mudpuppy</t>
  </si>
  <si>
    <t>60754</t>
  </si>
  <si>
    <t>Puzzle 500Pcs Paraiso De Papel Mudpuppy</t>
  </si>
  <si>
    <t>62611</t>
  </si>
  <si>
    <t>Puzzle 500Pcs Osos Perezosos Mudpuppy</t>
  </si>
  <si>
    <t>57648</t>
  </si>
  <si>
    <t>Puzzle 500Pcs Ojos En El Jardin Mudpuppy</t>
  </si>
  <si>
    <t>62598</t>
  </si>
  <si>
    <t>Puzzle 500Pcs Mariposas Mudpuppy</t>
  </si>
  <si>
    <t>62345</t>
  </si>
  <si>
    <t>Puzzle 500Pcs Little Feminist Mudpuppy</t>
  </si>
  <si>
    <t>53824</t>
  </si>
  <si>
    <t>Puzzle 500Pcs Flores De Andy Warhol Mudpuppy</t>
  </si>
  <si>
    <t>57839</t>
  </si>
  <si>
    <t>Puzzle 500Pcs Escarabajos Mudpuppy</t>
  </si>
  <si>
    <t>62338</t>
  </si>
  <si>
    <t>Puzzle 500Pcs Doble Monet Mudpuppy</t>
  </si>
  <si>
    <t>58133</t>
  </si>
  <si>
    <t>Puzzle 500Pcs Animales De La Selva Mudpuppy</t>
  </si>
  <si>
    <t>57631</t>
  </si>
  <si>
    <t>Puzzle 500Pcs Alcachofa Floral Mudpuppy</t>
  </si>
  <si>
    <t>57792</t>
  </si>
  <si>
    <t>Puzzle 42Pcs Dibujos Secretos Castillo Unicornio Mudpuppy</t>
  </si>
  <si>
    <t>57563</t>
  </si>
  <si>
    <t>Puzzle 42Pcs Con Dibujos Secretos Espacio Exterior Mudpuppy</t>
  </si>
  <si>
    <t>57556</t>
  </si>
  <si>
    <t>Puzzle 36Pcs En Bolso Unicornios Mágicos Mudpuppy</t>
  </si>
  <si>
    <t>56948</t>
  </si>
  <si>
    <t>Puzzle 300Pcs Perezoso Pigmeo Peligro De Extinción Mudpuppy</t>
  </si>
  <si>
    <t>67135</t>
  </si>
  <si>
    <t>Puzzle 300Pcs Elefante Asiático Peligro Extinción Mudpuppy</t>
  </si>
  <si>
    <t>67142</t>
  </si>
  <si>
    <t>Puzzle 300Pcs Con Forma Selva Mudpuppy</t>
  </si>
  <si>
    <t>57266</t>
  </si>
  <si>
    <t>Puzzle 300Pcs Con Forma Safari Mudpuppy</t>
  </si>
  <si>
    <t>66633</t>
  </si>
  <si>
    <t>Puzzle 300Pcs Con Forma Oceano Mudpuppy</t>
  </si>
  <si>
    <t>57273</t>
  </si>
  <si>
    <t>Puzzle 300Pcs Con Forma Espacio Exterior Mudpuppy</t>
  </si>
  <si>
    <t>63717</t>
  </si>
  <si>
    <t>Puzzle 300Pcs Con Forma Dinosaurios Mudpuppy</t>
  </si>
  <si>
    <t>57280</t>
  </si>
  <si>
    <t>Puzzle 300Pcs Con Forma Bosque Mudpuppy</t>
  </si>
  <si>
    <t>63724</t>
  </si>
  <si>
    <t>Puzzle 12Pcs En Estuche Parque Dinosaurio Mudpuppy</t>
  </si>
  <si>
    <t>52056</t>
  </si>
  <si>
    <t>Puzzle 12Pcs En Estuche Espacio Exterior Mudpuppy</t>
  </si>
  <si>
    <t>52063</t>
  </si>
  <si>
    <t>Puzzle 12Pcs En Estuche Castillo De Princesas Mudpuppy</t>
  </si>
  <si>
    <t>45935</t>
  </si>
  <si>
    <t>Puzzle 12Pcs En Estuche Bajo El Mar Mudpuppy</t>
  </si>
  <si>
    <t>31129</t>
  </si>
  <si>
    <t>Puzzle 12Pcs En Estuche Bailarinas Mudpuppy</t>
  </si>
  <si>
    <t>39279</t>
  </si>
  <si>
    <t>Puzzle 12Pcs En Estuche Animales Del Zoo Mudpuppy</t>
  </si>
  <si>
    <t>49360</t>
  </si>
  <si>
    <t>Puzzle 100Pcs Que Brilla En La Oscuridad La Selva Mudpuppy</t>
  </si>
  <si>
    <t>47465</t>
  </si>
  <si>
    <t>Puzzle 100Pcs Que Brilla En La Oscuridad Bajo El Mar Mudpuppy</t>
  </si>
  <si>
    <t>45744</t>
  </si>
  <si>
    <t>Puzzle 100Pcs Glitter Sirenas Mudpuppy</t>
  </si>
  <si>
    <t>57297</t>
  </si>
  <si>
    <t>Puzzle 100Pcs Doble Perros Y Gatos Mudpuppy</t>
  </si>
  <si>
    <t>60730</t>
  </si>
  <si>
    <t>Puzzle 100Pcs Doble Mundo Animal Mudpuppy</t>
  </si>
  <si>
    <t>60464</t>
  </si>
  <si>
    <t>Puzzle 100Pcs Doble Dinosaurios Mudpuppy</t>
  </si>
  <si>
    <t>63731</t>
  </si>
  <si>
    <t>Puzzle 100Pcs Con Aluminio Tiburones Mudpuppy</t>
  </si>
  <si>
    <t>57303</t>
  </si>
  <si>
    <t>Puzzle 100Pcs Brilla En La Oscuridad Dinosaurios Mudpuppy</t>
  </si>
  <si>
    <t>45720</t>
  </si>
  <si>
    <t>Puzzle 1000Pcs Vida Del Oceano Mudpuppy</t>
  </si>
  <si>
    <t>49070</t>
  </si>
  <si>
    <t>Puzzle 1000Pcs Tu Mundo Mudpuppy</t>
  </si>
  <si>
    <t>49063</t>
  </si>
  <si>
    <t>Puzzle 1000Pcs Todos Son Bienvenidos Mudpuppy</t>
  </si>
  <si>
    <t>62352</t>
  </si>
  <si>
    <t>Puzzle 1000Pcs Now House Jonathan A. Mudpuppy</t>
  </si>
  <si>
    <t>62512</t>
  </si>
  <si>
    <t>Puzzle 1000Pcs Lapices Vintage Con Aluminio Mudpuppy</t>
  </si>
  <si>
    <t>53251</t>
  </si>
  <si>
    <t>Puzzle 1000Pcs Keep Going Mudpuppy</t>
  </si>
  <si>
    <t>68460</t>
  </si>
  <si>
    <t>Puzzle 1000Pcs Jazz Mudpuppy</t>
  </si>
  <si>
    <t>57518</t>
  </si>
  <si>
    <t>Puzzle 1000Pcs Houseplant Jungle Mudpuppy</t>
  </si>
  <si>
    <t>59611</t>
  </si>
  <si>
    <t>Puzzle 1000Pcs Club De Lectura Mudpuppy</t>
  </si>
  <si>
    <t>62628</t>
  </si>
  <si>
    <t>Puzzle 1000Pcs Astrologia Con Aluminio Mudpuppy</t>
  </si>
  <si>
    <t>57501</t>
  </si>
  <si>
    <t>Puzzle 1000 Pcs Be Kind Mudpuppy</t>
  </si>
  <si>
    <t>36860</t>
  </si>
  <si>
    <t>Juego De Mesa Safari De Leones Mudpuppy</t>
  </si>
  <si>
    <t>70302</t>
  </si>
  <si>
    <t>Juego De Mesa Fiesta De Monos En El Bosque Mudpuppy</t>
  </si>
  <si>
    <t>72191</t>
  </si>
  <si>
    <t>Juego De Mesa Encuentra A Los Amigos Del Bosque Mudpuppy</t>
  </si>
  <si>
    <t>70326</t>
  </si>
  <si>
    <t>Juego De Mesa Chomp Champ Mudpuppy</t>
  </si>
  <si>
    <t>67784</t>
  </si>
  <si>
    <t>Juego De Mesa Aventura De Un Pingüino En Un Iceberg Mudpuppy</t>
  </si>
  <si>
    <t>70296</t>
  </si>
  <si>
    <t>2 Puzzles Con Forma 850Pcs Christian Lacroix Mudpuppy</t>
  </si>
  <si>
    <t>64080</t>
  </si>
  <si>
    <t>2 Puzzles Con Forma 650Pcs Queen Of The Stacks Mudpuppy</t>
  </si>
  <si>
    <t>60136</t>
  </si>
  <si>
    <t>Horno Pizza a la Piedra - Black Edition Kitchen-It</t>
  </si>
  <si>
    <t>Freidora de Aire Plus Edition 5L Kitchen-It</t>
  </si>
  <si>
    <t>Freidora de Aire Max Edition 12L Kitchen-It</t>
  </si>
  <si>
    <t>Freidora de Aire Chef Edition 4L Kitchen-It</t>
  </si>
  <si>
    <t>Aspiradora Inalámbrica Vertical KT-12PRO Kitchen-It</t>
  </si>
  <si>
    <t>Robot Limpiavidrios Onson H-05 Onson</t>
  </si>
  <si>
    <t>Air Fryer Grill Ckozese 7L Onson</t>
  </si>
  <si>
    <t>Tarjetas Sumas Escribir Y Borrar MiDeer</t>
  </si>
  <si>
    <t>Tarjetas Números Escribir Y Borrar MiDeer</t>
  </si>
  <si>
    <t>Tarjetas Abecedario Escribir Y Borrar MiDeer</t>
  </si>
  <si>
    <t>Stickers Geometricos Oceano MiDeer</t>
  </si>
  <si>
    <t>Stickers Geometricos Animales MiDeer</t>
  </si>
  <si>
    <t>Set Stickers Reutilizables Medios De Transportes MiDeer</t>
  </si>
  <si>
    <t>Set Stickers Reutilizables La Vida Es Divertida MiDeer</t>
  </si>
  <si>
    <t>Set Stickers Reutilizables Animales MiDeer</t>
  </si>
  <si>
    <t>Set De Washi Tape MiDeer</t>
  </si>
  <si>
    <t>Scratch Art Card Brilla Constelaciones MiDeer</t>
  </si>
  <si>
    <t>Puzzle Redondo Mi Viaje En El Tiempo 25Pcs MiDeer</t>
  </si>
  <si>
    <t>Puzzle Maleta Oceano 104Pcs MiDeer</t>
  </si>
  <si>
    <t>Puzzle Maleta Mi Mundo 100Pcs MiDeer</t>
  </si>
  <si>
    <t>Puzzle Maleta Mi Garage 104Pcs MiDeer</t>
  </si>
  <si>
    <t>Puzzle Con Forma Fabrica De Robot MiDeer</t>
  </si>
  <si>
    <t>Puzzle Con Forma Cohete Espacial MiDeer</t>
  </si>
  <si>
    <t>Puzzle Carnaval 528 Pcs MiDeer</t>
  </si>
  <si>
    <t>Puzzle 500Pcs Fiesta De Disfraces MiDeer</t>
  </si>
  <si>
    <t>Puzzle 30Pcs Redondo Profesiones MiDeer</t>
  </si>
  <si>
    <t>Puzzle 280Pcs Con Forma Sueño De Elefante MiDeer</t>
  </si>
  <si>
    <t>Puzzle 280Pcs Con Forma Dinosaurios MiDeer</t>
  </si>
  <si>
    <t>Puzzle 25Pcs Mi Primer Puzzle Progresivo Vehículos MiDeer</t>
  </si>
  <si>
    <t>Puzzle 25Pcs Mi Primer Puzzle Progresivo Animales MiDeer</t>
  </si>
  <si>
    <t>Puzzle 150Pcs Redondo Vagando En El Espacio MiDeer</t>
  </si>
  <si>
    <t>Puzzle 150Pcs Redondo Un Dia En El Bosque MiDeer</t>
  </si>
  <si>
    <t>Puzzle 150Pcs Redondo Animales Alrededor Del Mundo MiDeer</t>
  </si>
  <si>
    <t>Puzzle 104Pcs Maleta Dinosaurios MiDeer</t>
  </si>
  <si>
    <t>Puzzle 104Pcs Maleta Cuentos MiDeer</t>
  </si>
  <si>
    <t>Linterna Proyectora De Cuentos MiDeer</t>
  </si>
  <si>
    <t>Linterna Proyector De Cuentos Y Estrellas MiDeer</t>
  </si>
  <si>
    <t>Level Up Puzzles Nivel 7 Geografía Humana 2 Puzzles MiDeer</t>
  </si>
  <si>
    <t>Level Up Puzzles Nivel 6 Imaginación 2 Puzzles MiDeer</t>
  </si>
  <si>
    <t>Level Up Puzzles Nivel 5 Tour De Aventuras 3 Puzzles MiDeer</t>
  </si>
  <si>
    <t>Level Up Puzzles Nivel 4 Vehiculos 3 Puzzles MiDeer</t>
  </si>
  <si>
    <t>Level Up Puzzles Nivel 3 Habitats Naturales 3 Puzzles MiDeer</t>
  </si>
  <si>
    <t>Level Up Puzzles Nivel 2 Cuatro Estaciones 4 Puzzles MiDeer</t>
  </si>
  <si>
    <t>Level Up Puzzles Nivel 1 Animales 10 Puzzles MiDeer</t>
  </si>
  <si>
    <t>Juego De Transporte Magnético MiDeer</t>
  </si>
  <si>
    <t>Juego De Patrones E Imaginación Magnetico MiDeer</t>
  </si>
  <si>
    <t>Juego De Lógica Diversión De Monstruos MiDeer</t>
  </si>
  <si>
    <t>Juego De Enlace Animales MiDeer</t>
  </si>
  <si>
    <t>Juego Construcción De Caminos MiDeer</t>
  </si>
  <si>
    <t>Juego Conecta Los Puntos Nivel 2 MiDeer</t>
  </si>
  <si>
    <t>Juego Adivina El Animal MiDeer</t>
  </si>
  <si>
    <t>Bloques Coloridos MiDeer</t>
  </si>
  <si>
    <t>Dummy</t>
  </si>
  <si>
    <t>RM12 ROSADO</t>
  </si>
  <si>
    <t>68433280161720</t>
  </si>
  <si>
    <t>RM12 NEGRO</t>
  </si>
  <si>
    <t>68433276883711</t>
  </si>
  <si>
    <t>RM12 CELESTE</t>
  </si>
  <si>
    <t>68433278516107</t>
  </si>
  <si>
    <t>RM12 BLANCO</t>
  </si>
  <si>
    <t>68433275901113</t>
  </si>
  <si>
    <t>68433281942863</t>
  </si>
  <si>
    <t>Proyector Infinity</t>
  </si>
  <si>
    <t>68433285199445</t>
  </si>
  <si>
    <t>Proyector home 360</t>
  </si>
  <si>
    <t>68433283717553</t>
  </si>
  <si>
    <t>68617959527128</t>
  </si>
  <si>
    <t>70195453981273</t>
  </si>
  <si>
    <t>70195454617300</t>
  </si>
  <si>
    <t>70195453061666</t>
  </si>
  <si>
    <t>70195455304569</t>
  </si>
  <si>
    <t>Scooter Monopatin Niños FW Rosa</t>
  </si>
  <si>
    <t>2253002</t>
  </si>
  <si>
    <t>Patín Roller Inline Fitness Adulto Negro Talla M</t>
  </si>
  <si>
    <t>PATIN EN LINEA FITNESS ADULTO NEGRO XL(43-46)</t>
  </si>
  <si>
    <t>PATIN EN LINEA FITNESS ADULTO NEGRO L(40-43)</t>
  </si>
  <si>
    <t>Envío</t>
  </si>
  <si>
    <t>Ripley 7990</t>
  </si>
  <si>
    <t>1507305775154</t>
  </si>
  <si>
    <t>Ripley 7440</t>
  </si>
  <si>
    <t>1633617078580</t>
  </si>
  <si>
    <t>Ripley 6960</t>
  </si>
  <si>
    <t>1624371900115</t>
  </si>
  <si>
    <t>Ripley 5490</t>
  </si>
  <si>
    <t>1496757823954</t>
  </si>
  <si>
    <t>Ripley 4990</t>
  </si>
  <si>
    <t>1510246651759</t>
  </si>
  <si>
    <t>Ripley 4280</t>
  </si>
  <si>
    <t>1585176819303</t>
  </si>
  <si>
    <t>Ripley 3990</t>
  </si>
  <si>
    <t>1495046879600</t>
  </si>
  <si>
    <t>1510238738747</t>
  </si>
  <si>
    <t>Ripley 20571</t>
  </si>
  <si>
    <t>1624574158975</t>
  </si>
  <si>
    <t>Mercado Libre envio</t>
  </si>
  <si>
    <t>melienvio</t>
  </si>
  <si>
    <t>Melollevo 6360</t>
  </si>
  <si>
    <t>1654533959255</t>
  </si>
  <si>
    <t>Melollevo 5200</t>
  </si>
  <si>
    <t>1515074831738</t>
  </si>
  <si>
    <t>Melollevo 4900</t>
  </si>
  <si>
    <t>1507899371813</t>
  </si>
  <si>
    <t>melollevo 4810</t>
  </si>
  <si>
    <t>1647261052879</t>
  </si>
  <si>
    <t>Melollevo 4800</t>
  </si>
  <si>
    <t>1507221552117</t>
  </si>
  <si>
    <t>Melollevo 4750</t>
  </si>
  <si>
    <t>1608640749291</t>
  </si>
  <si>
    <t>Melollevo 4700</t>
  </si>
  <si>
    <t>1506348801649</t>
  </si>
  <si>
    <t>Melollevo 3890</t>
  </si>
  <si>
    <t>1622572886815</t>
  </si>
  <si>
    <t>Melollevo 3000</t>
  </si>
  <si>
    <t>1637093095553</t>
  </si>
  <si>
    <t>Melollevo 15500</t>
  </si>
  <si>
    <t>1646051785879</t>
  </si>
  <si>
    <t>Melollevo 11700</t>
  </si>
  <si>
    <t>1646829132229</t>
  </si>
  <si>
    <t>Hites despacho</t>
  </si>
  <si>
    <t>1631131721055</t>
  </si>
  <si>
    <t>Envío Melollevo 8730</t>
  </si>
  <si>
    <t>1628613560123</t>
  </si>
  <si>
    <t>Eattouch 4000</t>
  </si>
  <si>
    <t>1606828108812</t>
  </si>
  <si>
    <t>Dafiti 5990</t>
  </si>
  <si>
    <t>1539013581573</t>
  </si>
  <si>
    <t>Dafiti 4890</t>
  </si>
  <si>
    <t>1539012372839</t>
  </si>
  <si>
    <t>Dafiti 3790</t>
  </si>
  <si>
    <t>1539012894968</t>
  </si>
  <si>
    <t>Celmedia 5200</t>
  </si>
  <si>
    <t>1586302094788</t>
  </si>
  <si>
    <t>Bdeliver RM</t>
  </si>
  <si>
    <t>1603405506338</t>
  </si>
  <si>
    <t>Puzzle Progresivo Vehiculos 5 Puzzles Scratch Europe</t>
  </si>
  <si>
    <t>6181220</t>
  </si>
  <si>
    <t>Puzzle Progresivo Safari 5 Puzzles Scratch Europe</t>
  </si>
  <si>
    <t>6181222</t>
  </si>
  <si>
    <t>Puzzle 60Pcs Princesa Scratch Europe</t>
  </si>
  <si>
    <t>6181090</t>
  </si>
  <si>
    <t>Puzzle 60Pcs Con Forma Ballena Scratch Europe</t>
  </si>
  <si>
    <t>6181130</t>
  </si>
  <si>
    <t>Puzzle 60 Cs Ferry Scratch Europe</t>
  </si>
  <si>
    <t>6181075</t>
  </si>
  <si>
    <t>Puzzle 59Pcs Con Forma Tigre Scratch Europe</t>
  </si>
  <si>
    <t>6181136</t>
  </si>
  <si>
    <t>Puzzle 45Pcs Con Forma Mundo Scratch Europe</t>
  </si>
  <si>
    <t>6181196</t>
  </si>
  <si>
    <t>Puzzle 40Pcs Dinosaurios Scratch Europe</t>
  </si>
  <si>
    <t>6181091</t>
  </si>
  <si>
    <t>Puzzle 40Pcs Con Forma Pavo Real Scratch Europe</t>
  </si>
  <si>
    <t>6181135</t>
  </si>
  <si>
    <t>Puzzle 39Pcs Doble Con Forma Buho Scratch Europe</t>
  </si>
  <si>
    <t>6181140</t>
  </si>
  <si>
    <t>Puzzle 36Pcs De Piso Safari Scratch Europe</t>
  </si>
  <si>
    <t>6181110</t>
  </si>
  <si>
    <t>Puzzle 36Pcs De Piso Granja Scratch Europe</t>
  </si>
  <si>
    <t>6181111</t>
  </si>
  <si>
    <t>Puzzle 30Pcs Con Forma Unicornio Scratch Europe</t>
  </si>
  <si>
    <t>6181194</t>
  </si>
  <si>
    <t>Puzzle 30Pcs Con Forma Dinosaurio Scratch Europe</t>
  </si>
  <si>
    <t>6181195</t>
  </si>
  <si>
    <t>Puzzle 200Pcs Jungla Scratch Europe</t>
  </si>
  <si>
    <t>6181095</t>
  </si>
  <si>
    <t>Puzzle 200Pcs Bajo El Mar Scratch Europe</t>
  </si>
  <si>
    <t>6181094</t>
  </si>
  <si>
    <t>Puzzle 150Pcs Mapa Del Mundo Scratch Europe</t>
  </si>
  <si>
    <t>6181076</t>
  </si>
  <si>
    <t>Puzzle 100Pcs De Piso Ciudad Scratch Europe</t>
  </si>
  <si>
    <t>6181109</t>
  </si>
  <si>
    <t>Pijama Party Juego De Ingenio Scratch Europe</t>
  </si>
  <si>
    <t>6182254</t>
  </si>
  <si>
    <t>Koala Juego De Ingenio Scratch Europe</t>
  </si>
  <si>
    <t>6182251</t>
  </si>
  <si>
    <t>Jungla Juego De Mesa Scratch Europe</t>
  </si>
  <si>
    <t>6182204</t>
  </si>
  <si>
    <t>Encuentra Un Pez Juego De Mesa Scratch Europe</t>
  </si>
  <si>
    <t>6182205</t>
  </si>
  <si>
    <t>Cubos Para Apilar La Granja Jumbo 5 Cubos Scratch Europe</t>
  </si>
  <si>
    <t>6181072</t>
  </si>
  <si>
    <t>Cubos Para Apilar La Granja 10Pcs Scratch Europe</t>
  </si>
  <si>
    <t>6181097</t>
  </si>
  <si>
    <t>Cubos Para Apilar Incluye Autos Scratch Europe</t>
  </si>
  <si>
    <t>6181088</t>
  </si>
  <si>
    <t>Cubos Para Apilar Animales 10Pcs Scratch Europe</t>
  </si>
  <si>
    <t>6181096</t>
  </si>
  <si>
    <t>Casa De Juegos La Tienda Scratch Europe</t>
  </si>
  <si>
    <t>6181103</t>
  </si>
  <si>
    <t>Casa De Juegos La Casa Scratch Europe</t>
  </si>
  <si>
    <t>6181105</t>
  </si>
  <si>
    <t>Casa De Juegos Hospital Scratch Europe</t>
  </si>
  <si>
    <t>6181104</t>
  </si>
  <si>
    <t>Balancio Juego De Ingenio Scratch Europe</t>
  </si>
  <si>
    <t>6182252</t>
  </si>
  <si>
    <t>MLL</t>
  </si>
  <si>
    <t>Tetera Lia</t>
  </si>
  <si>
    <t>68617986250710</t>
  </si>
  <si>
    <t>Termometro botella</t>
  </si>
  <si>
    <t>Telon Proyector 100 pulgadas electrico</t>
  </si>
  <si>
    <t>70921709583422</t>
  </si>
  <si>
    <t>PANTUFLAS 004</t>
  </si>
  <si>
    <t>MUESTRA Maleta + Bolsa</t>
  </si>
  <si>
    <t>68433340544078</t>
  </si>
  <si>
    <t>MUESTRA Botella 502-28</t>
  </si>
  <si>
    <t>68433360148837</t>
  </si>
  <si>
    <t>MUESTRA Botella 502-27</t>
  </si>
  <si>
    <t>68433359013019</t>
  </si>
  <si>
    <t>Mochila Outdoor Lhotse</t>
  </si>
  <si>
    <t>68911624368184</t>
  </si>
  <si>
    <t>Mochila computador LEVO</t>
  </si>
  <si>
    <t>68911622143156</t>
  </si>
  <si>
    <t>Mochila computador</t>
  </si>
  <si>
    <t>68617985384626</t>
  </si>
  <si>
    <t>Mochila colores</t>
  </si>
  <si>
    <t>68617984529773</t>
  </si>
  <si>
    <t>LIA Stainless steel cassrole with lid</t>
  </si>
  <si>
    <t>69875997006865</t>
  </si>
  <si>
    <t>LIA cast iron casserole</t>
  </si>
  <si>
    <t>69875994809889</t>
  </si>
  <si>
    <t>kick sensor to open</t>
  </si>
  <si>
    <t>GPS WATCH MG02</t>
  </si>
  <si>
    <t>70197505407304</t>
  </si>
  <si>
    <t>Glass cover</t>
  </si>
  <si>
    <t>68911626126569</t>
  </si>
  <si>
    <t>Decantador ollo en el fondo</t>
  </si>
  <si>
    <t>Carl LED COVER</t>
  </si>
  <si>
    <t>69348994231884</t>
  </si>
  <si>
    <t>Car fridge 15L</t>
  </si>
  <si>
    <t>68617981173073</t>
  </si>
  <si>
    <t>Car fridge 12L</t>
  </si>
  <si>
    <t>68617980049160</t>
  </si>
  <si>
    <t>Car fridge 10L</t>
  </si>
  <si>
    <t>68617982138107</t>
  </si>
  <si>
    <t>car filter Peugeot 206</t>
  </si>
  <si>
    <t>Car cover net</t>
  </si>
  <si>
    <t>69348994953762</t>
  </si>
  <si>
    <t>Bolsa botella inflable</t>
  </si>
  <si>
    <t>Bbq indoor</t>
  </si>
  <si>
    <t>68617983132574</t>
  </si>
  <si>
    <t>Audifono 926-2</t>
  </si>
  <si>
    <t>Mueble Parlantes Tune Up</t>
  </si>
  <si>
    <t>69340337962010</t>
  </si>
  <si>
    <t>Tabla Parrillera Fibra Madera Bklyn</t>
  </si>
  <si>
    <t>Tabla Multiuso Fibra Madera Bklyn</t>
  </si>
  <si>
    <t>Soplete Profesional+ Gas Butano Incluido Bklyn</t>
  </si>
  <si>
    <t>Pinzas Cocina Acero Inoxidable 40Cm Bklyn</t>
  </si>
  <si>
    <t>Pinzas Cocina Acero Inoxidable , 30Cm Bklyn</t>
  </si>
  <si>
    <t>Pack Pinzas Cocina Acero Inoxidable 34 y 27Cm Bklyn</t>
  </si>
  <si>
    <t>66915272060031</t>
  </si>
  <si>
    <t>Pack 2 Sillas Reposeras Rojo + Mesa Transportadora Possa</t>
  </si>
  <si>
    <t>Pack 2 Sillas Reposeras Azul + Mesa Transportadora Possa</t>
  </si>
  <si>
    <t>Set De Persona Y Casa Color Verde Pastel Dëna</t>
  </si>
  <si>
    <t>1015</t>
  </si>
  <si>
    <t>Set De Auto Y Persona Color Azul Dëna</t>
  </si>
  <si>
    <t>1036</t>
  </si>
  <si>
    <t>Set De 6 Personas Y 6 Casas De Colores Dëna</t>
  </si>
  <si>
    <t>1010</t>
  </si>
  <si>
    <t>Arcoiris Nature 6Pcs Dëna</t>
  </si>
  <si>
    <t>1052</t>
  </si>
  <si>
    <t>Arcoiris Nature 12Pcs Dëna</t>
  </si>
  <si>
    <t>1053</t>
  </si>
  <si>
    <t>Arcoiris De Colores Pastel 6Pcs Dëna</t>
  </si>
  <si>
    <t>1029</t>
  </si>
  <si>
    <t>Arcoiris De Colores Pastel 12Pcs Dëna</t>
  </si>
  <si>
    <t>1035</t>
  </si>
  <si>
    <t>Arcoiris De Colores 6Pcs Dëna</t>
  </si>
  <si>
    <t>1028</t>
  </si>
  <si>
    <t>Arcoiris De Colores 12Pcs Dëna</t>
  </si>
  <si>
    <t>1034</t>
  </si>
  <si>
    <t>Animales Nature 4Pcs Dëna</t>
  </si>
  <si>
    <t>1061</t>
  </si>
  <si>
    <t>Set Cuchillo 8Pcs Black Series Oou</t>
  </si>
  <si>
    <t>Horno Freidora de Aire Air Fryer Gourmet Pro 20 L EasyWays</t>
  </si>
  <si>
    <t>10080050270007</t>
  </si>
  <si>
    <t>Mochila Aplicacionfrontal En Material Multi Oliva 29145</t>
  </si>
  <si>
    <t>121312914584</t>
  </si>
  <si>
    <t>Cartera Clasic Aplicacion Lateral Tela Escoces Negro 27430</t>
  </si>
  <si>
    <t>120312743019</t>
  </si>
  <si>
    <t>Cartera Bolsillo Frontal Con Manilla Carey Multi Negro 27444</t>
  </si>
  <si>
    <t>120312744419</t>
  </si>
  <si>
    <t>Bolso Sei Modelo 2954217</t>
  </si>
  <si>
    <t>121312954217</t>
  </si>
  <si>
    <t>BOLSO SEI MODELO 2919419 FLASH SALE</t>
  </si>
  <si>
    <t>121312919419</t>
  </si>
  <si>
    <t>Bolso Sei Modelo 2919278</t>
  </si>
  <si>
    <t>121312919278</t>
  </si>
  <si>
    <t>BILLETERA ACORDEON MEDIANA MODELO 2923506</t>
  </si>
  <si>
    <t>211312923506</t>
  </si>
  <si>
    <t>Bandolera Sei Modelo 2926721</t>
  </si>
  <si>
    <t>121312926721</t>
  </si>
  <si>
    <t>Bandolera Sei Modelo 2926717</t>
  </si>
  <si>
    <t>121312926717</t>
  </si>
  <si>
    <t>Bicicleta De Equilibro Bmxie 02 Lime</t>
  </si>
  <si>
    <t>SERRUCHO MANGO ERGONOMICO 24 (600MM)</t>
  </si>
  <si>
    <t>SERRUCHO MANGO ERGONOMICO 14 (350MM)</t>
  </si>
  <si>
    <t>SERRUCHO COSTILLA MANGO ERGONOMICO 16 (400MM)</t>
  </si>
  <si>
    <t>LLAVE EXTRA ANCHA 2 EN 1 AJUSTABLE/TUBO 8 (200MM)</t>
  </si>
  <si>
    <t>JUEGO SET DE PUNTAS MÉTRICAS 13 PIEZAS CON ORGANIZADOR</t>
  </si>
  <si>
    <t>DESTORNILLADOR PUNTA INTERCAMBIABLE 6 EN 1</t>
  </si>
  <si>
    <t>DESTORNILLADOR 4 EN 1 CON LUZ LED</t>
  </si>
  <si>
    <t>ARCO SIERRA ROBUSTO 12 (300MM)</t>
  </si>
  <si>
    <t>Stickers De Pared Casa Encantada Ann Williams Group</t>
  </si>
  <si>
    <t>Kit De Proyectos Yo Amo Los Unicornios Ann Williams Group</t>
  </si>
  <si>
    <t>Hazlo Tu Mismo Pulseras De Amuletos Ann Williams Group</t>
  </si>
  <si>
    <t>Hazlo Tu Mismo Pulseras Ann Williams Group</t>
  </si>
  <si>
    <t>Hazlo Tu Mismo Crea Una Amiga Ciervo Ann Williams Group</t>
  </si>
  <si>
    <t>Hazlo Tu Mismo Amuletos Para El Pelo Ann Williams Group</t>
  </si>
  <si>
    <t>WOK 28X8CM ALUMINIO FORJADO GRAVITY</t>
  </si>
  <si>
    <t>Sartén Orion 28.cm de Aluminio Forjado.</t>
  </si>
  <si>
    <t>Sartén Infinity Copper 24cm Aluminio Forjado</t>
  </si>
  <si>
    <t>Sartén Aluminio Forjado 24cm Gravity Bergner</t>
  </si>
  <si>
    <t>ASADOR 36x23CM ALUMINIO FUNDIDO GRAVITY</t>
  </si>
  <si>
    <t>Familia De Perros Fuzzikins</t>
  </si>
  <si>
    <t>Familia De Gatos Fuzzikins</t>
  </si>
  <si>
    <t>Familia De Conejos Fuzzikins</t>
  </si>
  <si>
    <t>Bebé Oveja Fuzzikins</t>
  </si>
  <si>
    <t>Bebé Mono Fuzzikins</t>
  </si>
  <si>
    <t>Bebé Hamster Fuzzikins</t>
  </si>
  <si>
    <t>Set de Cubiertos Happy Verde Ezpz</t>
  </si>
  <si>
    <t>Set de Cubiertos Happy Rosado Ezpz</t>
  </si>
  <si>
    <t>Set de Cubiertos Happy Azul Ezpz</t>
  </si>
  <si>
    <t>Set de Alimentación Verde Ezpz</t>
  </si>
  <si>
    <t>Individual + Plato Mini Mat Rosado Ezpz</t>
  </si>
  <si>
    <t>Cucharas Tiny Rosado Ezpz</t>
  </si>
  <si>
    <t>3461</t>
  </si>
  <si>
    <t>3478</t>
  </si>
  <si>
    <t>3492</t>
  </si>
  <si>
    <t>3539</t>
  </si>
  <si>
    <t>3522</t>
  </si>
  <si>
    <t>1651602983648</t>
  </si>
  <si>
    <t>1651603020408</t>
  </si>
  <si>
    <t>MLL Cable Camara 50 mts</t>
  </si>
  <si>
    <t>67545214667077</t>
  </si>
  <si>
    <t>Zippee Juguete Sensorial Möbi</t>
  </si>
  <si>
    <t>Wigloo Juguete Sensorial Mordedor Möbi</t>
  </si>
  <si>
    <t>Stellö Juego De Mesa Estrategia Möbi</t>
  </si>
  <si>
    <t>Möbi Kids Juego Para Aprender Números Y Operaciones Möbi</t>
  </si>
  <si>
    <t>Chupete Large Flow Elhee</t>
  </si>
  <si>
    <t>Guirnalda Ledzone Tucan 10 Luces Led 1,65 Mts Pilas</t>
  </si>
  <si>
    <t>Guirnalda eléctrica estrella 20 luces LED 5,85 mts</t>
  </si>
  <si>
    <t>Guirnalda colores transparente 10 luces LED 2,1 mts pilas</t>
  </si>
  <si>
    <t>MUEBLES EXHIBIDORES PARA AUDIFONOS RM12</t>
  </si>
  <si>
    <t>67337648026851</t>
  </si>
  <si>
    <t>Silla Tripp Trapp Menta Suave Stokke</t>
  </si>
  <si>
    <t>100135</t>
  </si>
  <si>
    <t>Roof Bar</t>
  </si>
  <si>
    <t>66782882621304</t>
  </si>
  <si>
    <t>GLACIAR GREY 1000 Piezas</t>
  </si>
  <si>
    <t>COSTA DE CONSTITUCIÓN 500 Piezas</t>
  </si>
  <si>
    <t>1123001</t>
  </si>
  <si>
    <t>Melollevo</t>
  </si>
  <si>
    <t>MUESTRA Caja vino VINOTECA</t>
  </si>
  <si>
    <t>67414820120443</t>
  </si>
  <si>
    <t>1648494506836</t>
  </si>
  <si>
    <t>Copas de Vidrio</t>
  </si>
  <si>
    <t>1627065421669</t>
  </si>
  <si>
    <t>mueñecos chile (zorro)</t>
  </si>
  <si>
    <t>1632149131003</t>
  </si>
  <si>
    <t>estuche lapicera diseño zorro culpeo</t>
  </si>
  <si>
    <t>1632149054121</t>
  </si>
  <si>
    <t>Calendario 2022 "Aves"</t>
  </si>
  <si>
    <t>1637090501146</t>
  </si>
  <si>
    <t>Bolso Juguete "Flora Y Fauna Chile"</t>
  </si>
  <si>
    <t>1637090439300</t>
  </si>
  <si>
    <t>Casco urbano ow con luz accua M</t>
  </si>
  <si>
    <t>CASCO SPORT ONWHEELS CALAITA M (55-58CM)</t>
  </si>
  <si>
    <t>Bolso Porta Bicicleta Plegable</t>
  </si>
  <si>
    <t>TECLADO Y MOUSE</t>
  </si>
  <si>
    <t>Soporte Celular para Vehiculos</t>
  </si>
  <si>
    <t>Mesa para Notebook Plegable Multifuncional Negra</t>
  </si>
  <si>
    <t>Fantasy Flight Games</t>
  </si>
  <si>
    <t>MASCARA DEPORTIVA SLIM-FIT SIN CUELLO REVERSIBLE NEGROZUL</t>
  </si>
  <si>
    <t>KIWI KIDS</t>
  </si>
  <si>
    <t>MLL Camara auto bebe</t>
  </si>
  <si>
    <t>68433354409679</t>
  </si>
  <si>
    <t>Winebox Sample 1022-6</t>
  </si>
  <si>
    <t>66782909003418</t>
  </si>
  <si>
    <t>Winebox sample 1022-5</t>
  </si>
  <si>
    <t>66782906770403</t>
  </si>
  <si>
    <t>Sticker Personalizables Roda</t>
  </si>
  <si>
    <t>Campanilla Bicicleta Nutcase Baby Shark</t>
  </si>
  <si>
    <t>10001374</t>
  </si>
  <si>
    <t>VP Components</t>
  </si>
  <si>
    <t>Puños Vpg-bs01 Silicona Rojo</t>
  </si>
  <si>
    <t>Headphone Sample 1022-4</t>
  </si>
  <si>
    <t>66782901793507</t>
  </si>
  <si>
    <t>Headphone Sample 1022-3</t>
  </si>
  <si>
    <t>66782893751944</t>
  </si>
  <si>
    <t>Earphone Sample 1022-1</t>
  </si>
  <si>
    <t>66782888263789</t>
  </si>
  <si>
    <t>SHAMPOO BRAVOCADO 250ML</t>
  </si>
  <si>
    <t>4751030830940</t>
  </si>
  <si>
    <t>Envio Lealtad 5800</t>
  </si>
  <si>
    <t>1649958004602</t>
  </si>
  <si>
    <t>Headphone Sample 1022-2</t>
  </si>
  <si>
    <t>66782891029049</t>
  </si>
  <si>
    <t>7330033906530</t>
  </si>
  <si>
    <t>It´s skin</t>
  </si>
  <si>
    <t>FACE SHEET MASK THE FRESH TOMATO</t>
  </si>
  <si>
    <t>8809541209260</t>
  </si>
  <si>
    <t>FACE SHEET MASK POWER 10 FORMULA VC</t>
  </si>
  <si>
    <t>8809541208652</t>
  </si>
  <si>
    <t>Envio Lealtad 3900</t>
  </si>
  <si>
    <t>1649957953156</t>
  </si>
  <si>
    <t>Despacho 800</t>
  </si>
  <si>
    <t>1654525085674</t>
  </si>
  <si>
    <t>Envío-800</t>
  </si>
  <si>
    <t>1654524654674</t>
  </si>
  <si>
    <t>Armado Sillas</t>
  </si>
  <si>
    <t>69748179686395</t>
  </si>
  <si>
    <t>Pallet Madera</t>
  </si>
  <si>
    <t>69521507764787</t>
  </si>
  <si>
    <t>Naipes Mandaínes WT</t>
  </si>
  <si>
    <t>Naipes Mandaínes</t>
  </si>
  <si>
    <t>Naipes Italianos</t>
  </si>
  <si>
    <t>Naipes Españoles</t>
  </si>
  <si>
    <t>Jugando a las Cartas de Argot Británico</t>
  </si>
  <si>
    <t>Aussie Slang WT Jugando A Las Cartas</t>
  </si>
  <si>
    <t>Aussie Slang Jugando A Las Cartas</t>
  </si>
  <si>
    <t>Salida Mercaderia</t>
  </si>
  <si>
    <t>1629744229865</t>
  </si>
  <si>
    <t>Entrada Mercaderia</t>
  </si>
  <si>
    <t>1629744222146</t>
  </si>
  <si>
    <t>Bodega Bsale</t>
  </si>
  <si>
    <t>1629744178895</t>
  </si>
  <si>
    <t>1629744204202</t>
  </si>
  <si>
    <t>Costo de envío</t>
  </si>
  <si>
    <t>dispatch-cost-lp</t>
  </si>
  <si>
    <t>VASO ACRILICO VINTAGE</t>
  </si>
  <si>
    <t>3211511000022</t>
  </si>
  <si>
    <t>S/4 LETREROS COLG. FORMA</t>
  </si>
  <si>
    <t>3210960000010</t>
  </si>
  <si>
    <t>3201069000018</t>
  </si>
  <si>
    <t>Sucursal</t>
  </si>
  <si>
    <t>Todas</t>
  </si>
  <si>
    <t>filtro de Atributos del Producto o Variante</t>
  </si>
  <si>
    <t>Sin Filtro</t>
  </si>
  <si>
    <t>filtro disp. venta menor igual a</t>
  </si>
  <si>
    <t>Tipo de Producto</t>
  </si>
  <si>
    <t>Código Barras</t>
  </si>
  <si>
    <t>Stock</t>
  </si>
  <si>
    <t>Costo Neto Prom. Unitario</t>
  </si>
  <si>
    <t>Costo Neto Prom. Total</t>
  </si>
  <si>
    <t>Cantidad por Despachar</t>
  </si>
  <si>
    <t>Cantidad Disponible</t>
  </si>
  <si>
    <t>Por Recibir</t>
  </si>
  <si>
    <t>ABOC</t>
  </si>
  <si>
    <t>Bodega Carrascal</t>
  </si>
  <si>
    <t>Global Union</t>
  </si>
  <si>
    <t>BUBBA</t>
  </si>
  <si>
    <t>Sin Tipo</t>
  </si>
  <si>
    <t>EASYWAYS</t>
  </si>
  <si>
    <t>MATERIACTIVA</t>
  </si>
  <si>
    <t>Innovate-k</t>
  </si>
  <si>
    <t>Proveedores Pequeños</t>
  </si>
  <si>
    <t>Bodega Carrascal 2</t>
  </si>
  <si>
    <t>Q unidades</t>
  </si>
  <si>
    <t>Combo RM7 + Tune</t>
  </si>
  <si>
    <t>Combo RM7 + Bounce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</si>
  <si>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</si>
  <si>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</si>
  <si>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</si>
  <si>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</si>
  <si>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</si>
  <si>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</si>
  <si>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</si>
  <si>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</si>
  <si>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</si>
  <si>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</si>
  <si>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</si>
  <si>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</si>
  <si>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Proyector</t>
  </si>
  <si>
    <t>Viejo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</si>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</sst>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_ ;_ * \-#,##0_ ;_ * &quot;-&quot;_ ;_ @_ "/>
    <numFmt numFmtId="165" formatCode="0.0%"/>
  </numFmts>
  <fonts count="18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/>
    <font>
      <color rgb="FF000000"/>
      <name val="Arial"/>
    </font>
    <font>
      <sz val="11.0"/>
      <color theme="1"/>
      <name val="&quot;Aptos Narrow&quot;"/>
    </font>
    <font>
      <sz val="11.0"/>
      <color rgb="FFFF0000"/>
      <name val="&quot;Aptos Narrow&quot;"/>
    </font>
    <font>
      <sz val="11.0"/>
      <color rgb="FF000000"/>
      <name val="Calibri"/>
    </font>
    <font>
      <b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b/>
      <sz val="9.0"/>
      <color rgb="FF000000"/>
      <name val="Calibri"/>
    </font>
    <font>
      <sz val="9.0"/>
      <color rgb="FF000000"/>
      <name val="Calibri"/>
    </font>
    <font>
      <sz val="9.0"/>
      <color theme="1"/>
      <name val="Calibri"/>
    </font>
    <font>
      <color theme="1"/>
      <name val="Calibri"/>
    </font>
    <font>
      <sz val="10.0"/>
      <color theme="1"/>
      <name val="Aptos narrow"/>
    </font>
  </fonts>
  <fills count="15">
    <fill>
      <patternFill patternType="none"/>
    </fill>
    <fill>
      <patternFill patternType="lightGray"/>
    </fill>
    <fill>
      <patternFill patternType="solid">
        <fgColor rgb="FFC0E6F5"/>
        <bgColor rgb="FFC0E6F5"/>
      </patternFill>
    </fill>
    <fill>
      <patternFill patternType="solid">
        <fgColor rgb="FFFFFF00"/>
        <bgColor rgb="FFFFFF00"/>
      </patternFill>
    </fill>
    <fill>
      <patternFill patternType="solid">
        <fgColor rgb="FF83E28E"/>
        <bgColor rgb="FF83E28E"/>
      </patternFill>
    </fill>
    <fill>
      <patternFill patternType="solid">
        <fgColor rgb="FFFF0000"/>
        <bgColor rgb="FFFF0000"/>
      </patternFill>
    </fill>
    <fill>
      <patternFill patternType="solid">
        <fgColor rgb="FFC1E4F5"/>
        <bgColor rgb="FFC1E4F5"/>
      </patternFill>
    </fill>
    <fill>
      <patternFill patternType="solid">
        <fgColor rgb="FFFBE2D5"/>
        <bgColor rgb="FFFBE2D5"/>
      </patternFill>
    </fill>
    <fill>
      <patternFill patternType="solid">
        <fgColor rgb="FF94DCF8"/>
        <bgColor rgb="FF94DCF8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9BC2E6"/>
        <bgColor rgb="FF9BC2E6"/>
      </patternFill>
    </fill>
  </fills>
  <borders count="22">
    <border/>
    <border>
      <bottom/>
    </border>
    <border>
      <bottom style="thin">
        <color rgb="FF44B3E1"/>
      </bottom>
    </border>
    <border>
      <top style="thin">
        <color rgb="FF156082"/>
      </top>
      <bottom style="thin">
        <color rgb="FF156082"/>
      </bottom>
    </border>
    <border>
      <top style="thin">
        <color rgb="FF44B3E1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45B0E1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" xfId="0" applyFont="1" applyNumberFormat="1"/>
    <xf borderId="0" fillId="0" fontId="2" numFmtId="0" xfId="0" applyFont="1"/>
    <xf borderId="0" fillId="2" fontId="3" numFmtId="0" xfId="0" applyAlignment="1" applyFill="1" applyFont="1">
      <alignment shrinkToFit="0" vertical="bottom" wrapText="0"/>
    </xf>
    <xf borderId="0" fillId="2" fontId="3" numFmtId="1" xfId="0" applyAlignment="1" applyFont="1" applyNumberFormat="1">
      <alignment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2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0" fontId="5" numFmtId="0" xfId="0" applyBorder="1" applyFont="1"/>
    <xf borderId="2" fillId="2" fontId="3" numFmtId="0" xfId="0" applyAlignment="1" applyBorder="1" applyFont="1">
      <alignment horizontal="left" shrinkToFit="0" vertical="bottom" wrapText="0"/>
    </xf>
    <xf borderId="2" fillId="2" fontId="3" numFmtId="1" xfId="0" applyAlignment="1" applyBorder="1" applyFont="1" applyNumberFormat="1">
      <alignment horizontal="left" shrinkToFit="0" vertical="bottom" wrapText="0"/>
    </xf>
    <xf borderId="2" fillId="2" fontId="3" numFmtId="0" xfId="0" applyAlignment="1" applyBorder="1" applyFont="1">
      <alignment shrinkToFit="0" vertical="bottom" wrapText="0"/>
    </xf>
    <xf borderId="0" fillId="0" fontId="4" numFmtId="9" xfId="0" applyAlignment="1" applyFont="1" applyNumberFormat="1">
      <alignment shrinkToFit="0" vertical="bottom" wrapText="0"/>
    </xf>
    <xf borderId="2" fillId="2" fontId="3" numFmtId="9" xfId="0" applyAlignment="1" applyBorder="1" applyFont="1" applyNumberForma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3" numFmtId="1" xfId="0" applyAlignment="1" applyFont="1" applyNumberFormat="1">
      <alignment horizontal="left" shrinkToFit="0" vertical="bottom" wrapText="0"/>
    </xf>
    <xf borderId="0" fillId="0" fontId="4" numFmtId="3" xfId="0" applyAlignment="1" applyFont="1" applyNumberFormat="1">
      <alignment horizontal="left" shrinkToFit="0" vertical="bottom" wrapText="0"/>
    </xf>
    <xf borderId="0" fillId="0" fontId="4" numFmtId="3" xfId="0" applyAlignment="1" applyFont="1" applyNumberFormat="1">
      <alignment shrinkToFit="0" vertical="bottom" wrapText="0"/>
    </xf>
    <xf borderId="0" fillId="0" fontId="4" numFmtId="3" xfId="0" applyAlignment="1" applyFont="1" applyNumberFormat="1">
      <alignment horizontal="right" shrinkToFit="0" vertical="bottom" wrapText="0"/>
    </xf>
    <xf borderId="0" fillId="0" fontId="4" numFmtId="164" xfId="0" applyAlignment="1" applyFont="1" applyNumberFormat="1">
      <alignment horizontal="right"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9" xfId="0" applyAlignment="1" applyFont="1" applyNumberFormat="1">
      <alignment horizontal="right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3" numFmtId="1" xfId="0" applyAlignment="1" applyFont="1" applyNumberFormat="1">
      <alignment shrinkToFit="0" vertical="bottom" wrapText="0"/>
    </xf>
    <xf borderId="2" fillId="0" fontId="3" numFmtId="0" xfId="0" applyAlignment="1" applyBorder="1" applyFont="1">
      <alignment horizontal="left" shrinkToFit="0" vertical="bottom" wrapText="0"/>
    </xf>
    <xf borderId="3" fillId="0" fontId="3" numFmtId="0" xfId="0" applyAlignment="1" applyBorder="1" applyFont="1">
      <alignment horizontal="left" shrinkToFit="0" vertical="bottom" wrapText="0"/>
    </xf>
    <xf borderId="3" fillId="0" fontId="3" numFmtId="1" xfId="0" applyAlignment="1" applyBorder="1" applyFont="1" applyNumberFormat="1">
      <alignment horizontal="left" shrinkToFit="0" vertical="bottom" wrapText="0"/>
    </xf>
    <xf borderId="3" fillId="0" fontId="3" numFmtId="3" xfId="0" applyAlignment="1" applyBorder="1" applyFont="1" applyNumberFormat="1">
      <alignment horizontal="left" shrinkToFit="0" vertical="bottom" wrapText="0"/>
    </xf>
    <xf borderId="3" fillId="0" fontId="3" numFmtId="3" xfId="0" applyAlignment="1" applyBorder="1" applyFont="1" applyNumberFormat="1">
      <alignment horizontal="right" shrinkToFit="0" vertical="bottom" wrapText="0"/>
    </xf>
    <xf borderId="3" fillId="0" fontId="3" numFmtId="164" xfId="0" applyAlignment="1" applyBorder="1" applyFont="1" applyNumberFormat="1">
      <alignment horizontal="right" shrinkToFit="0" vertical="bottom" wrapText="0"/>
    </xf>
    <xf borderId="3" fillId="0" fontId="5" numFmtId="0" xfId="0" applyBorder="1" applyFont="1"/>
    <xf borderId="0" fillId="0" fontId="4" numFmtId="0" xfId="0" applyAlignment="1" applyFont="1">
      <alignment shrinkToFit="0" vertical="bottom" wrapText="0"/>
    </xf>
    <xf borderId="0" fillId="0" fontId="4" numFmtId="11" xfId="0" applyAlignment="1" applyFont="1" applyNumberFormat="1">
      <alignment horizontal="left" shrinkToFit="0" vertical="bottom" wrapText="0"/>
    </xf>
    <xf borderId="0" fillId="0" fontId="4" numFmtId="11" xfId="0" applyAlignment="1" applyFont="1" applyNumberFormat="1">
      <alignment shrinkToFit="0" vertical="bottom" wrapText="0"/>
    </xf>
    <xf borderId="3" fillId="0" fontId="3" numFmtId="11" xfId="0" applyAlignment="1" applyBorder="1" applyFont="1" applyNumberFormat="1">
      <alignment horizontal="left" shrinkToFit="0" vertical="bottom" wrapText="0"/>
    </xf>
    <xf borderId="3" fillId="0" fontId="3" numFmtId="0" xfId="0" applyAlignment="1" applyBorder="1" applyFont="1">
      <alignment horizontal="left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1" xfId="0" applyAlignment="1" applyFont="1" applyNumberFormat="1">
      <alignment readingOrder="0" shrinkToFit="0" vertical="bottom" wrapText="0"/>
    </xf>
    <xf borderId="0" fillId="0" fontId="4" numFmtId="3" xfId="0" applyAlignment="1" applyFont="1" applyNumberFormat="1">
      <alignment horizontal="right" readingOrder="0" shrinkToFit="0" vertical="bottom" wrapText="0"/>
    </xf>
    <xf borderId="0" fillId="0" fontId="4" numFmtId="3" xfId="0" applyAlignment="1" applyFont="1" applyNumberFormat="1">
      <alignment readingOrder="0" shrinkToFit="0" vertical="bottom" wrapText="0"/>
    </xf>
    <xf borderId="0" fillId="0" fontId="4" numFmtId="9" xfId="0" applyAlignment="1" applyFont="1" applyNumberFormat="1">
      <alignment horizontal="right" readingOrder="0" shrinkToFit="0" vertical="bottom" wrapText="0"/>
    </xf>
    <xf borderId="2" fillId="0" fontId="3" numFmtId="0" xfId="0" applyAlignment="1" applyBorder="1" applyFont="1">
      <alignment horizontal="left" readingOrder="0" shrinkToFit="0" vertical="bottom" wrapText="0"/>
    </xf>
    <xf borderId="4" fillId="2" fontId="3" numFmtId="0" xfId="0" applyAlignment="1" applyBorder="1" applyFont="1">
      <alignment horizontal="left" shrinkToFit="0" vertical="bottom" wrapText="0"/>
    </xf>
    <xf borderId="4" fillId="2" fontId="3" numFmtId="0" xfId="0" applyAlignment="1" applyBorder="1" applyFont="1">
      <alignment horizontal="left" shrinkToFit="0" vertical="bottom" wrapText="0"/>
    </xf>
    <xf borderId="4" fillId="2" fontId="3" numFmtId="1" xfId="0" applyAlignment="1" applyBorder="1" applyFont="1" applyNumberFormat="1">
      <alignment horizontal="left" shrinkToFit="0" vertical="bottom" wrapText="0"/>
    </xf>
    <xf borderId="4" fillId="2" fontId="3" numFmtId="3" xfId="0" applyAlignment="1" applyBorder="1" applyFont="1" applyNumberFormat="1">
      <alignment horizontal="right" shrinkToFit="0" vertical="bottom" wrapText="0"/>
    </xf>
    <xf borderId="0" fillId="0" fontId="4" numFmtId="1" xfId="0" applyAlignment="1" applyFont="1" applyNumberFormat="1">
      <alignment shrinkToFit="0" vertical="bottom" wrapText="0"/>
    </xf>
    <xf borderId="0" fillId="0" fontId="4" numFmtId="1" xfId="0" applyAlignment="1" applyFont="1" applyNumberFormat="1">
      <alignment horizontal="left" shrinkToFit="0" vertical="bottom" wrapText="0"/>
    </xf>
    <xf borderId="5" fillId="0" fontId="3" numFmtId="0" xfId="0" applyAlignment="1" applyBorder="1" applyFont="1">
      <alignment horizontal="center" shrinkToFit="0" vertical="bottom" wrapText="0"/>
    </xf>
    <xf borderId="6" fillId="0" fontId="5" numFmtId="0" xfId="0" applyBorder="1" applyFont="1"/>
    <xf borderId="7" fillId="0" fontId="3" numFmtId="3" xfId="0" applyAlignment="1" applyBorder="1" applyFont="1" applyNumberFormat="1">
      <alignment horizontal="center" shrinkToFit="0" vertical="bottom" wrapText="0"/>
    </xf>
    <xf borderId="7" fillId="0" fontId="5" numFmtId="0" xfId="0" applyBorder="1" applyFont="1"/>
    <xf borderId="7" fillId="0" fontId="3" numFmtId="164" xfId="0" applyAlignment="1" applyBorder="1" applyFont="1" applyNumberFormat="1">
      <alignment horizontal="center" shrinkToFit="0" vertical="bottom" wrapText="0"/>
    </xf>
    <xf borderId="0" fillId="0" fontId="3" numFmtId="9" xfId="0" applyAlignment="1" applyFont="1" applyNumberFormat="1">
      <alignment shrinkToFit="0" vertical="bottom" wrapText="0"/>
    </xf>
    <xf borderId="8" fillId="0" fontId="3" numFmtId="3" xfId="0" applyAlignment="1" applyBorder="1" applyFont="1" applyNumberFormat="1">
      <alignment shrinkToFit="0" vertical="bottom" wrapText="0"/>
    </xf>
    <xf borderId="9" fillId="0" fontId="3" numFmtId="3" xfId="0" applyAlignment="1" applyBorder="1" applyFont="1" applyNumberFormat="1">
      <alignment shrinkToFit="0" vertical="bottom" wrapText="0"/>
    </xf>
    <xf borderId="7" fillId="0" fontId="3" numFmtId="0" xfId="0" applyAlignment="1" applyBorder="1" applyFont="1">
      <alignment horizontal="center" shrinkToFit="0" vertical="bottom" wrapText="0"/>
    </xf>
    <xf borderId="8" fillId="3" fontId="4" numFmtId="0" xfId="0" applyAlignment="1" applyBorder="1" applyFill="1" applyFont="1">
      <alignment shrinkToFit="0" vertical="bottom" wrapText="0"/>
    </xf>
    <xf borderId="8" fillId="3" fontId="4" numFmtId="1" xfId="0" applyAlignment="1" applyBorder="1" applyFont="1" applyNumberFormat="1">
      <alignment shrinkToFit="0" vertical="bottom" wrapText="0"/>
    </xf>
    <xf borderId="8" fillId="3" fontId="4" numFmtId="0" xfId="0" applyAlignment="1" applyBorder="1" applyFont="1">
      <alignment horizontal="left" shrinkToFit="0" vertical="bottom" wrapText="0"/>
    </xf>
    <xf borderId="8" fillId="0" fontId="4" numFmtId="3" xfId="0" applyAlignment="1" applyBorder="1" applyFont="1" applyNumberFormat="1">
      <alignment shrinkToFit="0" vertical="bottom" wrapText="0"/>
    </xf>
    <xf borderId="7" fillId="0" fontId="4" numFmtId="3" xfId="0" applyAlignment="1" applyBorder="1" applyFont="1" applyNumberFormat="1">
      <alignment shrinkToFit="0" vertical="bottom" wrapText="0"/>
    </xf>
    <xf borderId="8" fillId="0" fontId="4" numFmtId="164" xfId="0" applyAlignment="1" applyBorder="1" applyFont="1" applyNumberFormat="1">
      <alignment shrinkToFit="0" vertical="bottom" wrapText="0"/>
    </xf>
    <xf borderId="7" fillId="3" fontId="4" numFmtId="164" xfId="0" applyAlignment="1" applyBorder="1" applyFont="1" applyNumberFormat="1">
      <alignment shrinkToFit="0" vertical="bottom" wrapText="0"/>
    </xf>
    <xf borderId="5" fillId="3" fontId="4" numFmtId="164" xfId="0" applyAlignment="1" applyBorder="1" applyFont="1" applyNumberForma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6" fillId="0" fontId="4" numFmtId="164" xfId="0" applyAlignment="1" applyBorder="1" applyFont="1" applyNumberForma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0" fillId="3" fontId="4" numFmtId="0" xfId="0" applyAlignment="1" applyFont="1">
      <alignment shrinkToFit="0" vertical="bottom" wrapText="0"/>
    </xf>
    <xf borderId="0" fillId="0" fontId="6" numFmtId="1" xfId="0" applyAlignment="1" applyFont="1" applyNumberForma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4" numFmtId="164" xfId="0" applyAlignment="1" applyFont="1" applyNumberFormat="1">
      <alignment horizontal="left" shrinkToFit="0" vertical="bottom" wrapText="0"/>
    </xf>
    <xf borderId="0" fillId="0" fontId="4" numFmtId="164" xfId="0" applyAlignment="1" applyFont="1" applyNumberFormat="1">
      <alignment horizontal="right" shrinkToFit="0" wrapText="0"/>
    </xf>
    <xf borderId="0" fillId="3" fontId="7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7" numFmtId="9" xfId="0" applyAlignment="1" applyFont="1" applyNumberFormat="1">
      <alignment horizontal="right" shrinkToFit="0" vertical="bottom" wrapText="0"/>
    </xf>
    <xf borderId="0" fillId="0" fontId="7" numFmtId="1" xfId="0" applyAlignment="1" applyFont="1" applyNumberFormat="1">
      <alignment horizontal="left" shrinkToFit="0" vertical="bottom" wrapText="0"/>
    </xf>
    <xf borderId="0" fillId="0" fontId="7" numFmtId="3" xfId="0" applyAlignment="1" applyFont="1" applyNumberFormat="1">
      <alignment horizontal="left" shrinkToFit="0" vertical="bottom" wrapText="0"/>
    </xf>
    <xf borderId="0" fillId="0" fontId="7" numFmtId="164" xfId="0" applyAlignment="1" applyFont="1" applyNumberFormat="1">
      <alignment horizontal="left" shrinkToFit="0" vertical="bottom" wrapText="0"/>
    </xf>
    <xf borderId="0" fillId="0" fontId="4" numFmtId="11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1" xfId="0" applyAlignment="1" applyFont="1" applyNumberFormat="1">
      <alignment horizontal="left" shrinkToFit="0" vertical="bottom" wrapText="0"/>
    </xf>
    <xf borderId="0" fillId="0" fontId="7" numFmtId="3" xfId="0" applyAlignment="1" applyFont="1" applyNumberFormat="1">
      <alignment horizontal="right" shrinkToFit="0" vertical="bottom" wrapText="0"/>
    </xf>
    <xf borderId="0" fillId="0" fontId="8" numFmtId="3" xfId="0" applyAlignment="1" applyFont="1" applyNumberFormat="1">
      <alignment horizontal="right" shrinkToFit="0" vertical="bottom" wrapText="0"/>
    </xf>
    <xf borderId="0" fillId="0" fontId="7" numFmtId="0" xfId="0" applyAlignment="1" applyFont="1">
      <alignment shrinkToFit="0" vertical="bottom" wrapText="0"/>
    </xf>
    <xf borderId="0" fillId="0" fontId="9" numFmtId="3" xfId="0" applyAlignment="1" applyFont="1" applyNumberFormat="1">
      <alignment horizontal="left" shrinkToFit="0" vertical="bottom" wrapText="0"/>
    </xf>
    <xf borderId="0" fillId="0" fontId="7" numFmtId="3" xfId="0" applyAlignment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4" numFmtId="164" xfId="0" applyAlignment="1" applyFont="1" applyNumberFormat="1">
      <alignment horizontal="center" readingOrder="0" shrinkToFit="0" vertical="bottom" wrapText="0"/>
    </xf>
    <xf borderId="0" fillId="4" fontId="7" numFmtId="0" xfId="0" applyAlignment="1" applyFill="1" applyFont="1">
      <alignment horizontal="left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right" shrinkToFit="0" wrapText="0"/>
    </xf>
    <xf borderId="0" fillId="0" fontId="9" numFmtId="0" xfId="0" applyAlignment="1" applyFont="1">
      <alignment horizontal="left" shrinkToFit="0" vertical="bottom" wrapText="0"/>
    </xf>
    <xf borderId="0" fillId="0" fontId="8" numFmtId="9" xfId="0" applyAlignment="1" applyFont="1" applyNumberFormat="1">
      <alignment horizontal="right" shrinkToFit="0" vertical="bottom" wrapText="0"/>
    </xf>
    <xf borderId="10" fillId="0" fontId="8" numFmtId="0" xfId="0" applyAlignment="1" applyBorder="1" applyFont="1">
      <alignment horizontal="left"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8" numFmtId="0" xfId="0" applyAlignment="1" applyFont="1">
      <alignment horizontal="right" shrinkToFit="0" wrapText="0"/>
    </xf>
    <xf borderId="0" fillId="5" fontId="8" numFmtId="0" xfId="0" applyAlignment="1" applyFill="1" applyFont="1">
      <alignment horizontal="left" shrinkToFit="0" vertical="bottom" wrapText="0"/>
    </xf>
    <xf borderId="10" fillId="0" fontId="7" numFmtId="0" xfId="0" applyAlignment="1" applyBorder="1" applyFont="1">
      <alignment horizontal="left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7" numFmtId="9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10" numFmtId="0" xfId="0" applyFont="1"/>
    <xf borderId="0" fillId="0" fontId="11" numFmtId="164" xfId="0" applyFont="1" applyNumberFormat="1"/>
    <xf borderId="0" fillId="0" fontId="2" numFmtId="0" xfId="0" applyAlignment="1" applyFont="1">
      <alignment horizontal="left" readingOrder="0"/>
    </xf>
    <xf borderId="0" fillId="0" fontId="11" numFmtId="9" xfId="0" applyFont="1" applyNumberFormat="1"/>
    <xf borderId="0" fillId="0" fontId="11" numFmtId="0" xfId="0" applyFont="1"/>
    <xf borderId="11" fillId="6" fontId="12" numFmtId="0" xfId="0" applyAlignment="1" applyBorder="1" applyFill="1" applyFont="1">
      <alignment horizontal="center"/>
    </xf>
    <xf borderId="12" fillId="0" fontId="5" numFmtId="0" xfId="0" applyBorder="1" applyFont="1"/>
    <xf borderId="13" fillId="0" fontId="5" numFmtId="0" xfId="0" applyBorder="1" applyFont="1"/>
    <xf borderId="0" fillId="0" fontId="11" numFmtId="1" xfId="0" applyFont="1" applyNumberFormat="1"/>
    <xf borderId="14" fillId="6" fontId="12" numFmtId="9" xfId="0" applyBorder="1" applyFont="1" applyNumberFormat="1"/>
    <xf borderId="0" fillId="0" fontId="11" numFmtId="3" xfId="0" applyFont="1" applyNumberFormat="1"/>
    <xf borderId="0" fillId="0" fontId="4" numFmtId="0" xfId="0" applyAlignment="1" applyFont="1">
      <alignment horizontal="left" shrinkToFit="0" vertical="bottom" wrapText="0"/>
    </xf>
    <xf borderId="5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5" fillId="0" fontId="4" numFmtId="0" xfId="0" applyAlignment="1" applyBorder="1" applyFont="1">
      <alignment shrinkToFit="0" vertical="bottom" wrapText="0"/>
    </xf>
    <xf borderId="15" fillId="3" fontId="4" numFmtId="0" xfId="0" applyAlignment="1" applyBorder="1" applyFont="1">
      <alignment shrinkToFit="0" vertical="bottom" wrapText="0"/>
    </xf>
    <xf borderId="16" fillId="3" fontId="4" numFmtId="0" xfId="0" applyAlignment="1" applyBorder="1" applyFont="1">
      <alignment shrinkToFit="0" vertical="bottom" wrapText="0"/>
    </xf>
    <xf borderId="0" fillId="3" fontId="7" numFmtId="0" xfId="0" applyAlignment="1" applyFont="1">
      <alignment shrinkToFit="0" vertical="bottom" wrapText="0"/>
    </xf>
    <xf borderId="0" fillId="7" fontId="4" numFmtId="0" xfId="0" applyAlignment="1" applyFill="1" applyFont="1">
      <alignment shrinkToFit="0" vertical="bottom" wrapText="0"/>
    </xf>
    <xf borderId="0" fillId="8" fontId="4" numFmtId="0" xfId="0" applyAlignment="1" applyFill="1" applyFont="1">
      <alignment shrinkToFit="0" vertical="bottom" wrapText="0"/>
    </xf>
    <xf borderId="0" fillId="4" fontId="4" numFmtId="0" xfId="0" applyAlignment="1" applyFont="1">
      <alignment shrinkToFit="0" vertical="bottom" wrapText="0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center" readingOrder="0" vertical="bottom"/>
    </xf>
    <xf borderId="0" fillId="9" fontId="13" numFmtId="0" xfId="0" applyAlignment="1" applyFill="1" applyFont="1">
      <alignment horizontal="center" readingOrder="0" vertical="bottom"/>
    </xf>
    <xf borderId="0" fillId="0" fontId="14" numFmtId="0" xfId="0" applyAlignment="1" applyFont="1">
      <alignment horizontal="left" readingOrder="0" shrinkToFit="0" vertical="bottom" wrapText="0"/>
    </xf>
    <xf borderId="0" fillId="9" fontId="14" numFmtId="0" xfId="0" applyAlignment="1" applyFont="1">
      <alignment horizontal="left" readingOrder="0" shrinkToFit="0" vertical="bottom" wrapText="0"/>
    </xf>
    <xf borderId="0" fillId="9" fontId="14" numFmtId="0" xfId="0" applyAlignment="1" applyFont="1">
      <alignment horizontal="right" readingOrder="0" shrinkToFit="0" vertical="bottom" wrapText="0"/>
    </xf>
    <xf borderId="0" fillId="0" fontId="14" numFmtId="11" xfId="0" applyAlignment="1" applyFont="1" applyNumberFormat="1">
      <alignment horizontal="left" readingOrder="0" shrinkToFit="0" vertical="bottom" wrapText="0"/>
    </xf>
    <xf borderId="0" fillId="0" fontId="14" numFmtId="0" xfId="0" applyAlignment="1" applyFont="1">
      <alignment horizontal="center" readingOrder="0" shrinkToFit="0" vertical="bottom" wrapText="0"/>
    </xf>
    <xf borderId="0" fillId="10" fontId="14" numFmtId="0" xfId="0" applyAlignment="1" applyFill="1" applyFont="1">
      <alignment horizontal="left" readingOrder="0" shrinkToFit="0" vertical="bottom" wrapText="0"/>
    </xf>
    <xf borderId="0" fillId="11" fontId="14" numFmtId="0" xfId="0" applyAlignment="1" applyFill="1" applyFont="1">
      <alignment horizontal="left" readingOrder="0" shrinkToFit="0" vertical="bottom" wrapText="0"/>
    </xf>
    <xf borderId="0" fillId="0" fontId="15" numFmtId="0" xfId="0" applyAlignment="1" applyFont="1">
      <alignment horizontal="lef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12" fontId="14" numFmtId="0" xfId="0" applyAlignment="1" applyFill="1" applyFont="1">
      <alignment horizontal="left" readingOrder="0" shrinkToFit="0" vertical="bottom" wrapText="0"/>
    </xf>
    <xf borderId="0" fillId="9" fontId="14" numFmtId="11" xfId="0" applyAlignment="1" applyFont="1" applyNumberFormat="1">
      <alignment horizontal="left" readingOrder="0" shrinkToFit="0" vertical="bottom" wrapText="0"/>
    </xf>
    <xf borderId="0" fillId="13" fontId="14" numFmtId="0" xfId="0" applyAlignment="1" applyFill="1" applyFont="1">
      <alignment horizontal="left" readingOrder="0" shrinkToFit="0" vertical="bottom" wrapText="0"/>
    </xf>
    <xf borderId="0" fillId="0" fontId="14" numFmtId="11" xfId="0" applyAlignment="1" applyFont="1" applyNumberFormat="1">
      <alignment horizontal="center" readingOrder="0" shrinkToFit="0" vertical="bottom" wrapText="0"/>
    </xf>
    <xf borderId="0" fillId="3" fontId="14" numFmtId="0" xfId="0" applyAlignment="1" applyFont="1">
      <alignment horizontal="left" readingOrder="0" shrinkToFit="0" vertical="bottom" wrapText="0"/>
    </xf>
    <xf borderId="0" fillId="14" fontId="14" numFmtId="0" xfId="0" applyAlignment="1" applyFill="1" applyFont="1">
      <alignment horizontal="left" readingOrder="0" shrinkToFit="0" vertical="bottom" wrapText="0"/>
    </xf>
    <xf borderId="0" fillId="0" fontId="16" numFmtId="0" xfId="0" applyAlignment="1" applyFont="1">
      <alignment readingOrder="0"/>
    </xf>
    <xf borderId="0" fillId="0" fontId="16" numFmtId="0" xfId="0" applyFont="1"/>
    <xf borderId="5" fillId="0" fontId="11" numFmtId="0" xfId="0" applyAlignment="1" applyBorder="1" applyFont="1">
      <alignment horizontal="center"/>
    </xf>
    <xf borderId="5" fillId="0" fontId="11" numFmtId="164" xfId="0" applyAlignment="1" applyBorder="1" applyFont="1" applyNumberFormat="1">
      <alignment horizontal="center"/>
    </xf>
    <xf borderId="8" fillId="0" fontId="11" numFmtId="0" xfId="0" applyBorder="1" applyFont="1"/>
    <xf borderId="6" fillId="0" fontId="11" numFmtId="0" xfId="0" applyBorder="1" applyFont="1"/>
    <xf borderId="16" fillId="0" fontId="11" numFmtId="164" xfId="0" applyAlignment="1" applyBorder="1" applyFont="1" applyNumberFormat="1">
      <alignment horizontal="center"/>
    </xf>
    <xf borderId="9" fillId="0" fontId="5" numFmtId="0" xfId="0" applyBorder="1" applyFont="1"/>
    <xf borderId="17" fillId="0" fontId="11" numFmtId="164" xfId="0" applyBorder="1" applyFont="1" applyNumberFormat="1"/>
    <xf borderId="16" fillId="0" fontId="11" numFmtId="164" xfId="0" applyBorder="1" applyFont="1" applyNumberFormat="1"/>
    <xf borderId="15" fillId="0" fontId="11" numFmtId="164" xfId="0" applyBorder="1" applyFont="1" applyNumberFormat="1"/>
    <xf borderId="9" fillId="0" fontId="11" numFmtId="0" xfId="0" applyBorder="1" applyFont="1"/>
    <xf borderId="0" fillId="0" fontId="2" numFmtId="3" xfId="0" applyFont="1" applyNumberFormat="1"/>
    <xf borderId="0" fillId="0" fontId="11" numFmtId="165" xfId="0" applyFont="1" applyNumberFormat="1"/>
    <xf borderId="0" fillId="0" fontId="17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8" fillId="3" fontId="11" numFmtId="0" xfId="0" applyBorder="1" applyFont="1"/>
    <xf borderId="8" fillId="3" fontId="11" numFmtId="164" xfId="0" applyBorder="1" applyFont="1" applyNumberFormat="1"/>
    <xf borderId="8" fillId="0" fontId="11" numFmtId="164" xfId="0" applyBorder="1" applyFont="1" applyNumberFormat="1"/>
    <xf borderId="7" fillId="0" fontId="11" numFmtId="0" xfId="0" applyBorder="1" applyFont="1"/>
    <xf borderId="5" fillId="0" fontId="11" numFmtId="164" xfId="0" applyBorder="1" applyFont="1" applyNumberFormat="1"/>
    <xf borderId="7" fillId="0" fontId="11" numFmtId="164" xfId="0" applyBorder="1" applyFont="1" applyNumberFormat="1"/>
    <xf borderId="18" fillId="0" fontId="11" numFmtId="0" xfId="0" applyBorder="1" applyFont="1"/>
    <xf borderId="19" fillId="0" fontId="11" numFmtId="0" xfId="0" applyBorder="1" applyFont="1"/>
    <xf borderId="19" fillId="0" fontId="11" numFmtId="164" xfId="0" applyBorder="1" applyFont="1" applyNumberFormat="1"/>
    <xf borderId="19" fillId="0" fontId="11" numFmtId="3" xfId="0" applyBorder="1" applyFont="1" applyNumberFormat="1"/>
    <xf borderId="19" fillId="0" fontId="11" numFmtId="9" xfId="0" applyBorder="1" applyFont="1" applyNumberFormat="1"/>
    <xf borderId="20" fillId="0" fontId="11" numFmtId="164" xfId="0" applyBorder="1" applyFont="1" applyNumberFormat="1"/>
    <xf borderId="16" fillId="0" fontId="11" numFmtId="0" xfId="0" applyBorder="1" applyFont="1"/>
    <xf borderId="15" fillId="0" fontId="11" numFmtId="0" xfId="0" applyBorder="1" applyFont="1"/>
    <xf borderId="15" fillId="0" fontId="11" numFmtId="3" xfId="0" applyBorder="1" applyFont="1" applyNumberFormat="1"/>
    <xf borderId="15" fillId="0" fontId="11" numFmtId="9" xfId="0" applyBorder="1" applyFont="1" applyNumberFormat="1"/>
    <xf borderId="9" fillId="0" fontId="11" numFmtId="164" xfId="0" applyBorder="1" applyFont="1" applyNumberFormat="1"/>
    <xf borderId="10" fillId="0" fontId="11" numFmtId="0" xfId="0" applyBorder="1" applyFont="1"/>
    <xf borderId="21" fillId="0" fontId="11" numFmtId="164" xfId="0" applyBorder="1" applyFont="1" applyNumberFormat="1"/>
    <xf borderId="5" fillId="0" fontId="11" numFmtId="0" xfId="0" applyBorder="1" applyFont="1"/>
    <xf borderId="7" fillId="0" fontId="11" numFmtId="3" xfId="0" applyBorder="1" applyFont="1" applyNumberFormat="1"/>
    <xf borderId="7" fillId="0" fontId="11" numFmtId="9" xfId="0" applyBorder="1" applyFont="1" applyNumberFormat="1"/>
    <xf borderId="6" fillId="0" fontId="11" numFmtId="164" xfId="0" applyBorder="1" applyFont="1" applyNumberFormat="1"/>
    <xf borderId="20" fillId="0" fontId="11" numFmtId="0" xfId="0" applyBorder="1" applyFont="1"/>
    <xf borderId="21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5:L1829" sheet="Base Stk BSale"/>
  </cacheSource>
  <cacheFields>
    <cacheField name="Tipo de Producto" numFmtId="0">
      <sharedItems>
        <s v="ABOC"/>
        <s v="MLL"/>
        <s v="4Trade"/>
        <s v="Beauty Plus"/>
        <s v="KW Chile"/>
        <s v="Global Union"/>
        <s v="Brando"/>
        <s v="Braintoys"/>
        <s v="BUBBA"/>
        <s v="Caracol Natural"/>
        <s v="Casa Ideas"/>
        <s v="Trade29"/>
        <s v="Clak"/>
        <s v="Sin Tipo"/>
        <s v="Despachos"/>
        <s v="Dummy"/>
        <s v="Melollevo"/>
        <s v="EASYWAYS"/>
        <s v="Roda Corp"/>
        <s v="ERMLL"/>
        <s v="MKR"/>
        <s v="SKYSHIP"/>
        <s v="Gluky"/>
        <s v="Kitchen-It"/>
        <s v="KIWI KIDS"/>
        <s v="Klip Klap"/>
        <s v="La Puzzlera"/>
        <s v="Ledzone"/>
        <s v="Lingo"/>
        <s v="Madison"/>
        <s v="Mascan"/>
        <s v="MATERIACTIVA"/>
        <s v="Innovate-k"/>
        <s v="Noisy"/>
        <s v="Proveedores Pequeños"/>
        <s v="Possa"/>
        <s v="Volkanica"/>
        <s v="Raiquen"/>
        <s v="XROAD"/>
        <s v="Comcait"/>
        <s v="Sheet"/>
        <s v="Sin Toyo"/>
        <s v="Playanieve"/>
        <s v="Thermos"/>
        <s v="UPLIFT"/>
        <s v="Thalos"/>
        <s v="Zola Outdoors"/>
      </sharedItems>
    </cacheField>
    <cacheField name="Producto" numFmtId="0">
      <sharedItems>
        <s v="Ann Williams Group"/>
        <s v="Armado Sillas"/>
        <s v="Balvi"/>
        <s v="Beauty Jar"/>
        <s v="Bergner"/>
        <s v="Bklyn"/>
        <s v="Black Velvet Studio"/>
        <s v="Bluecare"/>
        <s v="Brando"/>
        <s v="BT"/>
        <s v="BUBBA BAGS"/>
        <s v="Caracol Natural"/>
        <s v="Casa Ideas"/>
        <s v="Chillafish"/>
        <s v="Clak"/>
        <s v="Costo de envío"/>
        <s v="Creatto"/>
        <s v="Dëna"/>
        <s v="Despacho 800"/>
        <s v="Dummy"/>
        <s v="Earphone Sample 1022-1"/>
        <s v="Easyways"/>
        <s v="Elhee"/>
        <s v="Envío"/>
        <s v="Envio Lealtad 3900"/>
        <s v="Envio Lealtad 5800"/>
        <s v="Envío-800"/>
        <s v="ERMLL"/>
        <s v="EZ"/>
        <s v="Ezpz"/>
        <s v="Fantasy Flight Games"/>
        <s v="FatBrain Toys"/>
        <s v="Fuzzikins"/>
        <s v="Gluky"/>
        <s v="Headphone Sample 1022-2"/>
        <s v="Headphone Sample 1022-3"/>
        <s v="Headphone Sample 1022-4"/>
        <s v="HOOK"/>
        <s v="Horno Freidora de Aire Air Fryer Gourmet Pro 20 L EasyWays"/>
        <s v="Imanix"/>
        <s v="ITEK"/>
        <s v="It´s skin"/>
        <s v="Kitchen-It"/>
        <s v="Kitchenware"/>
        <s v="KIWI KIDS"/>
        <s v="Klip Klap"/>
        <s v="La Puzzlera"/>
        <s v="Ledzone"/>
        <s v="LEVO"/>
        <s v="LHOTSE"/>
        <s v="LIBBEY"/>
        <s v="Lingo"/>
        <s v="Madison"/>
        <s v="Mascan"/>
        <s v="Materiactiva"/>
        <s v="Melollevo"/>
        <s v="MelollevoMed"/>
        <s v="MiDeer"/>
        <s v="MLL"/>
        <s v="MLL Cable Camara 50 mts"/>
        <s v="Möbi"/>
        <s v="Mochila Antirrobo MA147 Parche"/>
        <s v="Mudpuppy"/>
        <s v="Naroo"/>
        <s v="Noisy"/>
        <s v="Nutcase"/>
        <s v="Onson"/>
        <s v="OnWheels"/>
        <s v="OOU"/>
        <s v="Pajarito de Mimbre"/>
        <s v="Pallet Madera"/>
        <s v="Possa"/>
        <s v="PRIMUS"/>
        <s v="Raiquen"/>
        <s v="Roda"/>
        <s v="Roof Bar"/>
        <s v="Scratch Europe"/>
        <s v="Sei"/>
        <s v="Sheet"/>
        <s v="Simplit"/>
        <s v="Sin Toyo"/>
        <s v="Stokke"/>
        <s v="Sun Bum"/>
        <s v="Thermos"/>
        <s v="Uplift"/>
        <s v="VP Components"/>
        <s v="Winebox sample 1022-5"/>
        <s v="Winebox Sample 1022-6"/>
        <s v="Workpro"/>
        <s v="XROAD"/>
        <s v="Zola Outdoors"/>
        <s v="INMLL"/>
        <s v="Mueble Parlantes Tune Up"/>
        <s v="MUEBLES EXHIBIDORES PARA AUDIFONOS RM12"/>
      </sharedItems>
    </cacheField>
    <cacheField name="Variante" numFmtId="0">
      <sharedItems containsBlank="1">
        <s v="Hazlo Tu Mismo Amuletos Para El Pelo Ann Williams Group"/>
        <s v="Hazlo Tu Mismo Crea Una Amiga Ciervo Ann Williams Group"/>
        <s v="Hazlo Tu Mismo Pulseras Ann Williams Group"/>
        <s v="Hazlo Tu Mismo Pulseras De Amuletos Ann Williams Group"/>
        <s v="Kit De Proyectos Yo Amo Los Unicornios Ann Williams Group"/>
        <s v="Stickers De Pared Casa Encantada Ann Williams Group"/>
        <s v="Levo"/>
        <s v="Base Soporte Monitor Notebook Nordik Negro"/>
        <s v="Caja Organizador Capsulas Balvi"/>
        <s v="Caja Organizadora Rectangular Balvi"/>
        <s v="Caja Organizadora Ropa Balvi"/>
        <s v="Candelabro Metal Haus Balvi"/>
        <s v="Cojin Kitty Blanco Balvi"/>
        <s v="Cojin Kitty Gris Balvi"/>
        <s v="Cojin Kitty Negro Balvi"/>
        <s v="Cojin Kitty Rosado Balvi"/>
        <s v="Cojin Magic Dorado Balvi"/>
        <s v="Cojin Magic Plateado Balvi"/>
        <s v="Cojin Magic Rosado Balvi"/>
        <s v="Colgador Llaves Musik Balvi"/>
        <s v="Colgador Mountain Dorado Balvi"/>
        <s v="Colgador Mountain Plateado Balvi"/>
        <s v="Colgador Pared Musik Balvi"/>
        <s v="Colgador Pared The Bear Balvi"/>
        <s v="Colgador Pared The Cat Balvi"/>
        <s v="Espejo Cat Negro 48Cm Balvi"/>
        <s v="Estuche para Joyas Bureau Madera Balvi"/>
        <s v="Estuche para Joyas Haus Madera Balvi"/>
        <s v="Estuche para Joyas Precious Metal Balvi"/>
        <s v="Hielera Vidrio L`Hédoniste Balvi"/>
        <s v="Lámpara Mesa Bulb Balvi"/>
        <s v="Lámpara Mesa On Off Balvi"/>
        <s v="Lámpara Moon Balvi"/>
        <s v="Lámpara Sensor Lucciola"/>
        <s v="Lámpara Tic Tic Blanca Balvi"/>
        <s v="Lámpara Usb Clamp Verde Balvi"/>
        <s v="Lámpara Usb/3Aa 34Cm Balvi"/>
        <s v="Lámpara Usb/4Aa 43Cm"/>
        <s v="Mantequillero Vidrio Butter Balvi"/>
        <s v="Marco Foto Magic X8 Negro Balvi"/>
        <s v="Marco Foto Tratto 3D X4 Balvi"/>
        <s v="Marco Foto Tratto 3D X7 Balvi"/>
        <s v="Marco Foto Tratto 3D X9 Balvi"/>
        <s v="Marco Kube 10X10 1/Aa Balvi"/>
        <s v="Marco Messege Rec 10 Seg Balvi"/>
        <s v="Marco Mignon X2 Balvi"/>
        <s v="Marco Mignon X4 Balvi"/>
        <s v="Mesa de Centro Vidrio Cosmos Balvi"/>
        <s v="Mesa de Centro Vidrio Moon Balvi"/>
        <s v="Molinillo Pimienta Acrílico Balvi"/>
        <s v="Organizador De Zapatos 4 Niveles Balvi"/>
        <s v="Organizador De Zapatos Doble Balvi"/>
        <s v="ORGANIZADOR DE ZAPATOS DOBLE X2"/>
        <s v="ORGANIZADOR DE ZAPATOS DOBLE X4"/>
        <s v="Organizador Sofa Balvi"/>
        <s v="Pack x 2 Cojín Magic Plateado/Dorado Balvi"/>
        <s v="Pack x 2 Cojín Magic Plateado/Rosado Balvi"/>
        <s v="Papelera Basketball Polipropileno Balvi"/>
        <s v="Papelera Globe Lata Balvi"/>
        <s v="Papelera Letters Blanco Balvi"/>
        <s v="Papelera Letters Gris"/>
        <s v="Papelera Letters Negro Balvi"/>
        <s v="Papelera Sharpener Negro Balvi"/>
        <s v="Papelera Sharpener Rojo Balvi"/>
        <s v="Papelera Sharpener Rosado Balvi"/>
        <s v="Papelera Sharpener Turquesa Balvi"/>
        <s v="Perchero Birdie Metal Blanco Balvi"/>
        <s v="Perchero Alaska Metal Madera Balvi"/>
        <s v="Perchero Shiitake Acero Blanco Balvi"/>
        <s v="Perchero Shiitake Acero Negro Balvi"/>
        <s v="Perchero Shiitake Madera Blanco Balvi"/>
        <s v="Porta Foto Iman X3 Metal Madera Balvi"/>
        <s v="Puff La Vache Marron Polipiel Balvi"/>
        <s v="Puff La Vache Negra Polipiel"/>
        <s v="Puff La Vache Vaca Polipiel Balvi"/>
        <s v="Puff Le Carlin Café Balvi"/>
        <s v="Puff Le Minou Gris/Blanco"/>
        <s v="Puff Le Minou Negro/Blanco"/>
        <s v="Reloj Pared Milk Metal Balvi"/>
        <s v="Reloj Pared Oslo Metal Balvi"/>
        <s v="Revistero Cat Blanco Balvi"/>
        <s v="Revistero Haus Blanco Balvi"/>
        <s v="Revistero Haus Negro Balvi"/>
        <s v="Revistero News Blanco Balvi"/>
        <s v="Revistero News Negro Balvi"/>
        <s v="Soporte Nordik Mdf Pappers Blanco Balvi"/>
        <s v="Soporte Nordik Mdf Pattern Café Balvi"/>
        <s v="Soporte Nordik Mdf Pattern Negro Balvi"/>
        <s v="Tablero Madisson Magneticos X6 Balvi"/>
        <s v="Tablero Memories Balvi"/>
        <s v="Tablero Peg Balvi"/>
        <s v="Timer Y Reloj Digital Balvi"/>
        <s v="SHAMPOO BRAVOCADO 250ML"/>
        <s v="ASADOR 36x23CM ALUMINIO FUNDIDO GRAVITY"/>
        <s v="Sartén Aluminio Forjado 24cm Gravity Bergner"/>
        <s v="Sartén Infinity Copper 24cm Aluminio Forjado"/>
        <s v="Sartén Orion 28.cm de Aluminio Forjado."/>
        <s v="WOK 28X8CM ALUMINIO FORJADO GRAVITY"/>
        <s v="Pack Pinzas Cocina Acero Inoxidable 34 y 27Cm Bklyn"/>
        <s v="Pinzas Cocina Acero Inoxidable , 30Cm Bklyn"/>
        <s v="Pinzas Cocina Acero Inoxidable 40Cm Bklyn"/>
        <s v="Soplete Profesional+ Gas Butano Incluido Bklyn"/>
        <s v="Tabla Multiuso Fibra Madera Bklyn"/>
        <s v="Tabla Parrillera Fibra Madera Bklyn"/>
        <s v="Alfombra Bombai L Degradé Flecos Negro/Beige BVS"/>
        <s v="Bandeja Agra Hexagonal Natural Blanco BVS"/>
        <s v="Botellero Vino Wine For 8 8 Botellas Natural BVS"/>
        <s v="Caja Deco Ananas M Cerámica Blanco/Dorado BVS"/>
        <s v="Caja Deco Metal Dorado 2 Huecos BVS"/>
        <s v="Caja Deco Pineapple Metal Dorado BVS"/>
        <s v="Caja Deco Retro Tapa Dorado BVS"/>
        <s v="Caja Deco Retro Transparente Dorado BVS"/>
        <s v="Caja Deco Retro Casa Dorado BVS"/>
        <s v="Cojín Kenya 45X45 Falso Pelo Gris Oscur BVS"/>
        <s v="Cojín Mandala 50X50 Bordado Gris/Blanco BVS"/>
        <s v="Cojín Triangle Pespuntes Verde BVS"/>
        <s v="Cojín Zig Zag 50X50 Bordado Rosa/Blanco BVS"/>
        <s v="Espejo 3D Metal Dorado BVS"/>
        <s v="Espejo Amaui Redonda Mimbre Natural BVS"/>
        <s v="Espejo Andros Redondo Natural BVS"/>
        <s v="Espejo Bubble Metal Dorado BVS"/>
        <s v="Espejo Gold Cuadrada Dorad BVS"/>
        <s v="Espejo Kahala L Redonda Natural BVS"/>
        <s v="Espejo Leilani Redondo Mimbre Natural BVS"/>
        <s v="Espejo Mele Flor Natural BVS"/>
        <s v="Espejo Pared Arrow Redondo Dorado BVS"/>
        <s v="Espejo Pared Art Deco Redondo Dorado BVS"/>
        <s v="Espejo Pared Flor S Metal Dorado BVS"/>
        <s v="Espejo Pared Spark Redondo Dorado BVS"/>
        <s v="Espejo Pared Star S Metal Dorado BVS"/>
        <s v="Espejo Paros Redondo Natural BVS"/>
        <s v="Espejo Ra Redonda Rayas Negro BVS"/>
        <s v="Espejo Ring Metal Rayas Dorado BVS"/>
        <s v="Espejo Serifos Redondo Espiral Natural BVS"/>
        <s v="Espejo Spider Metal Dorado BVS"/>
        <s v="Espejo Ubud Redondo Bambu BVS"/>
        <s v="Estantería Retro Hexagon Dorado BVS"/>
        <s v="Estantería Retro Multi Hexagon Dorado BVS"/>
        <s v="Estantería Retro Square Dorado BVS"/>
        <s v="Farolillo Goldy Con Asa Metal Dorado BVS"/>
        <s v="Farolillo Retro L Transparente/Dorado BVS"/>
        <s v="Figura Mr Kaktus L Cerámica Blanco BVS"/>
        <s v="Figura Mrs Kaktus L Cerámica Blanco BVS"/>
        <s v="Funda Cojin Glamour BVS"/>
        <s v="Funda Cojín Nordic Cruces Negro/Blanco BVS"/>
        <s v="Funda Cojín Oslo Espigas Gris Blanco BVS"/>
        <s v="Funda Cojín Silver Espigas Plateado Gris BVS"/>
        <s v="Funda Cojín Triangle Pespuntes Azul BVS"/>
        <s v="Funda Cojín Triangle Pespuntes Gris Claro BVS"/>
        <s v="Funda Cojín Triangle Pespuntes Gris Oscuro BVS"/>
        <s v="Jarrón Brown Bottle Mitad Pintado Marrón BVS"/>
        <s v="Jarrón Brown Vase Mitad Pintado Marrón BVS"/>
        <s v="Jarrón Icy Grey Mate Gris BVS"/>
        <s v="Jarrón Icy Pink Mate Rosa BVS"/>
        <s v="Jarrón Tendence 19X14 Transparente/Dorado BVS"/>
        <s v="Jarrón Tendence Grabado 20X13 Gris/Dorado BVS"/>
        <s v="Jarrón Tendence Grabado 29X15 Gris/Dorado BVS"/>
        <s v="Maceta Ios Alto Grabado Blanco BVS"/>
        <s v="Maceta Ios Bajo Grabado Blanco BVS"/>
        <s v="Maceta Kos Alto Textura Gris Blanqueado BVS"/>
        <s v="Maceta Myconos Copa Blanco Roto BVS"/>
        <s v="Maceta Santorini Alto Rayas Blanco BVS"/>
        <s v="Manta Bikaner Rombos Y Flecos 125X150 Gris/Blanco BVS"/>
        <s v="Manta Jaipur Rayas Borlas Beige/Negro BVS"/>
        <s v="Organizador Maquillaje Retro Makeup Trans/Dor BVS"/>
        <s v="Pie Para Maceta Mr White Metal Blanco BVS"/>
        <s v="Portavelas Ra Redonda Metal Dorado BVS"/>
        <s v="Set 2 Individuales Circle Circular Blanco Rot BVS"/>
        <s v="Set 2 Individuales Gold Fantasía Dorado BVS"/>
        <s v="Set 2 Individuales Leaf Hoja Dorado BVS"/>
        <s v="Set 2 Individuales Leaf Rectang Hojas Gris BVS"/>
        <s v="Set 2 Individuales Nuit con Espigas Gris Azul BVS"/>
        <s v="Set 2 Individuales Patagallo Pvc Blanco Negro BVS"/>
        <s v="Set 2 Individuales Red Circular Rojo BVS"/>
        <s v="Set 2 Individuales Summer Circular Marrón/Bla BVS"/>
        <s v="Set 2 Individuales Tahití Circular Blanco/Neg BVS"/>
        <s v="Set 2 Individuales Tahití Circular Negro/Blan BVS"/>
        <s v="Set 2 Salvamanteles Cork Hexagonal Blanco Negro BVS"/>
        <s v="Set 3 Cestos Ankara Calado Blanco BVS"/>
        <s v="Set 4 Cubiertos Chic Table Minimal Cobre BVS"/>
        <s v="Set 4 Cubiertos Chic Table Minimal Dorado BVS"/>
        <s v="Set 4 Cubiertos Chic Table Minimal Negro BVS"/>
        <s v="Set 4 Cubiertos Chic Table Minimal Plateado X6 BVS"/>
        <s v="Set 4 Cubiertos Must Cobre Blanco BVS"/>
        <s v="Set 4 Cubiertos Must Dorado Blanco BVS"/>
        <s v="Set 4 Cubiertos Must Dorado Negro BVS"/>
        <s v="Set 4 Cubiertos Viking Cobre BVS"/>
        <s v="Set 4 Cubiertos Viking Dorado BVS"/>
        <s v="Set 4 Cubiertos Viking Negro BVS"/>
        <s v="Set Farolillo Retro M Y L Dorado BVS"/>
        <s v="Set Vajilla Completo 16 Piezas Avignon Grabad Blan BVS"/>
        <s v="Set Vajilla Completo 16 Piezas Provenza Graba Blan BVS"/>
        <s v="Set 2 Individuales Garden Pvc Blanco Hueso BVS"/>
        <s v="Silla Kane Patas Metal Ribete Rosa BVS"/>
        <s v="Sujeta Fotos Clip Redonda Varillas Dorado BVS"/>
        <s v="Tabla De Cortar Bali Horizontal Natural/Marró BVS"/>
        <s v="Tabla De Cortar Copper Redonda Natural/Cobre BVS"/>
        <s v="Tabla De Cortar Cut L Rectang Natural/Marrón BVS"/>
        <s v="Tabla De Cortar Cut M Rectang Natural/Marrón BVS"/>
        <s v="Tabla De Cortar Cut S Rectang Natural/Marrón BVS"/>
        <s v="Tabla De Cortar Indonesia Rectang Natural/Mar BVS"/>
        <s v="Máquina Eliminadora de Bacterias con Ozono"/>
        <s v="Alfombrilla Para Hornear Baking Mat de Silicona Rojo Brando"/>
        <s v="BABERO SILICONA AZURE"/>
        <s v="Babero Silicona Rose"/>
        <s v="Bombilla Para Mate Acero Inoxidable Con Filtro Rosa"/>
        <s v="Botella De Vidrio Con Infusión 410Ml Verde"/>
        <s v="Botella Diseño Líneas Azure Brando"/>
        <s v="Canister 450ml Brando"/>
        <s v="Clip Diseño Diamante Rose Gold 15 U"/>
        <s v="Cosmetiquero"/>
        <s v="Cuchillo Acero Inoxidable Con Mango Madera Acacia Brando"/>
        <s v="Disco Tapa Madera Iron Cast Brando"/>
        <s v="Funda Notebook Bleu"/>
        <s v="Funda Notebook Noire"/>
        <s v="Garra De Oso Para Parrilla Con Mango De Madera Brando"/>
        <s v="Juego De Mesa Portátil Backgammon"/>
        <s v="Juego De Mesa Portátil Dominó"/>
        <s v="Juego De Mesa Portátil Jenga"/>
        <s v="Lápiz De Silicona Diseño De Sirena Celeste"/>
        <s v="Linterna Led Frontal Recargable 3 Funciones"/>
        <s v="Lonchera Bleu"/>
        <s v="Mochila Clásica Bleu"/>
        <s v="Molde Repostería Redondo Queque Antiadherente Gris"/>
        <s v="Organizador de Refrigerador 12 Huevos Brando"/>
        <s v="Organizador de Refrigerador Rectangular XL Brando"/>
        <s v="Organizador de Refrigerador Versátil Brando"/>
        <s v="Prensa de Hamburguesa Brando"/>
        <s v="Sartén Aluminio 24 cm Gris"/>
        <s v="Sartén Aluminio 28 cm Rosa"/>
        <s v="Sartén Base Madera Iron Cast"/>
        <s v="Sartén Granite 28 cm Gris"/>
        <s v="Set 2 Vasos Cerveceros Brando"/>
        <s v="Set 3 Brochas Brando"/>
        <s v="Set 3 Organizadores de Refrigerador Brando"/>
        <s v="Set 4 Copas Vidrio Líneas Brando"/>
        <s v="Set 4 Vasos Espumante Brando."/>
        <s v="Set 6 Copas de Champaña 235ml Brando"/>
        <s v="Set 6 Vasos de Vidrio 500ml Brando"/>
        <s v="Set Cajas De Madera Blancas"/>
        <s v="Set Utensilios De Cocina Gris Rosa 4pcs Brando"/>
        <s v="Set Utensilios De Cocina Gris Verde 4pcs Brando"/>
        <s v="Termo Bala Para Agua Con Dosificador 0,5Lt Rosa"/>
        <s v="Termo Mug Botón Dispensador Antiderrame 450Ml Rosa"/>
        <s v="Termo Outdoor 1,8lt Brando"/>
        <s v="Trípode Para Selfie"/>
        <s v="Accesorios Pista Columna 6 piezas"/>
        <s v="Accesorios Pista Cuarto De Curva 4 Piezas"/>
        <s v="Accesorios Pista Rampa"/>
        <s v="Accesorios Tobogán Tubo"/>
        <s v="Accesotios Tobogán 6 Piezas"/>
        <s v="Brainbag"/>
        <s v="Imabars 24 piezas"/>
        <s v="Imabars 60 Piezas"/>
        <s v="Imaboard Blanco"/>
        <s v="Imabrick Double Side 8 Piezas"/>
        <s v="Imaclick 32 piezas"/>
        <s v="Imadots"/>
        <s v="Imadots Mini"/>
        <s v="Imagram 24 piezas"/>
        <s v="Imanimals Wild Savannah 5 piezas"/>
        <s v="Imanix set de trenes 50 piezas"/>
        <s v="Imanix 16 piezas"/>
        <s v="Imanix Accesorios Curvos 8 Piezas"/>
        <s v="Imanix Base Magnética Azul"/>
        <s v="Imanix Clear 20 Piezas"/>
        <s v="Imanix Cool Windows"/>
        <s v="Imanix Curved Juego 16 Piezas Magnéticas"/>
        <s v="Imanix Friends Cool 5 Personajes"/>
        <s v="Imanix Friends Fun 5 personajes"/>
        <s v="Imanix Glitter 12"/>
        <s v="Imanix Glow In The Dark 16"/>
        <s v="Imanix Juego 32 Piezas Magnéticas"/>
        <s v="Imanix Juego 60 Piezas Magnéticas"/>
        <s v="Imanix Pista de Carreras 105 piezas"/>
        <s v="Imanix Pista de Carreras 50 Piezas Magnéticas"/>
        <s v="Imanix Set de 2 Carros Magnéticos"/>
        <s v="Imanix Set de 5 Cuadrados Grandes"/>
        <s v="Imanix Tobogán 134 piezas"/>
        <s v="Imanix Tobogán 70 Piezas Magnéticas"/>
        <s v="Imapad Juego Duo Letras Mayúsculas y Minúsculas"/>
        <s v="Imapad Juego Duo Letras y Números"/>
        <s v="Imapad Mini Negra con lápiz magnético, Braintoys"/>
        <s v="Imapad Mini Rojo con lápiz magnético, Braintoys"/>
        <s v="Imapad negro"/>
        <s v="Imapad Pocket Manzana"/>
        <s v="Imapad rojo"/>
        <s v="MagneMath Juego Combinaciones Numéricas"/>
        <s v="Pocket imapad negro"/>
        <s v="Pocket imapad rojo"/>
        <s v="Rami 34"/>
        <s v="Rami 66"/>
        <s v="Set de 2 lápices imapad"/>
        <s v="Banano Onyx Black"/>
        <s v="Banano Piedra Metalizada Bubba Bags"/>
        <s v="Billetera Classic Mint Mini"/>
        <s v="BLVCK SUMMER MASK CAMO (S-M)"/>
        <s v="BLVCK SUMMER MASK INDIGO (S-M)"/>
        <s v="BLVCK SUMMER MASK LIGHT CAMO (S-M)"/>
        <s v="Bolso Depotivo Camo XL Black Bubba"/>
        <s v="Bubba Pack Mask Ultralight Marine Kids Bubba Bags"/>
        <s v="BUBBA CONTENEDOR METALICO"/>
        <s v="Bubba Mochila Clásica Mirabella Mini Rpet Bubba Bags"/>
        <s v="Bubba Pack Mask Ultralight Citric Bubba Bags"/>
        <s v="BUBBA SUMMER MASK BLUECAM SMALL"/>
        <s v="BUBBA SUMMER MASK CAMBERRY KIDS"/>
        <s v="BUBBA SUMMER MASK CAMBERRY SMALL"/>
        <s v="BUBBA SUMMER MASK CORAL KIDS"/>
        <s v="BUBBA SUMMER MASK CORAL SMALL"/>
        <s v="BUBBA SUMMER MASK NEO MINT KIDS"/>
        <s v="BUBBA SUMMER MASK NEO MINT SMALL"/>
        <s v="BUBBA SUMMER MASK WILD YELLOW SMALL"/>
        <s v="Funda De Notebook 13 Negro Blvck Bubba"/>
        <s v="Funda Notebook Classic Mint Rpet Bubba Bags"/>
        <s v="Funda Notebook Classic Mirabella Bubba Bags"/>
        <s v="Lonchera Clásica Mirabella Rpet Bubba Bags"/>
        <s v="Mascarilla Bubba Mask Chita"/>
        <s v="Mascarilla Bubba Mask Chita S/M"/>
        <s v="Mascarilla Bubba Mask Piton"/>
        <s v="Mascarilla Bubba Mask Piton S/M"/>
        <s v="Mascarilla Bubba Mask Ultra Light Azulino Talla S"/>
        <s v="Mascarilla Bubba Mask Ultra Light Clay Talla S"/>
        <s v="Mascarilla Bubba Mask Ultra Light Coral"/>
        <s v="Mascarilla Bubba Mask Ultra Light Dots Talla S"/>
        <s v="Mascarilla Bubba Mask Ultra Light Mimosa Talla S"/>
        <s v="Mascarilla Bubba Mask Ultra Light Mint Talla S"/>
        <s v="Mascarilla Bubba Mask Ultra Light Moss"/>
        <s v="Mascarilla Bubba Mask Ultra Light Moss Talla S"/>
        <s v="Mascarilla Bubba Mask Ultra Light Neomint Regular"/>
        <s v="Mascarilla Bubba Mask Ultra Light Ocean"/>
        <s v="Mascarilla Bubba Mask Ultra Light Ocean Talla S"/>
        <s v="Mascarilla Bubba Mask Ultra Light Sunset"/>
        <s v="Mascarilla Bubba Mask Ultra Light Sunset Talla S"/>
        <s v="Mascarilla Bubba Mask Ultra Light Sweet Cotton"/>
        <s v="Mascarilla Bubba Mask Ultralight Lemonade Regular"/>
        <s v="Mascarilla Bubba Mask Ultralight Lemonade Talla S"/>
        <s v="Mascarilla Bubba Mask Wild Chita S/M"/>
        <s v="Mascarilla Ultra Light Minty Animals Kids"/>
        <s v="Mascarilla Ultra Light Pinky Animals Kids"/>
        <s v="Mascarilla Ultra Light Strawberry Regular"/>
        <s v="Mascarilla Ultra Light Strawberry Talla S"/>
        <s v="Mascarilla Ultra Light Sweet Cotton Talla S"/>
        <s v="MINI BEAST BLVCK"/>
        <s v="Mochila Alazan Velvet Negro Bubba Bags"/>
        <s v="Mochila Big Boss Negra Carbón Black"/>
        <s v="Mochila Boss Verde Blvck Bubba"/>
        <s v="MOCHILA CLASSIC MIRABELLA REGULAR"/>
        <s v="Mochila Mini Beast Camo Negro Bubba Bags"/>
        <s v="Mochila Montreal Fancy Black Regular"/>
        <s v="Mochila Victoria Negro Bubba Bags"/>
        <s v="NEW MOCHILA CLASSIC MIRABELLA MINI"/>
        <s v="NEW MOCHILA CLASSIC MIRABELLA REGULAR"/>
        <s v="Pack 3 Mascarillas Ultra Light Honolulu Kids"/>
        <s v="Pantuflas Negro Bubba Bags"/>
        <s v="Crema Contorno de Ojos 20 ml"/>
        <s v="Crema Gel Anti Pigmento Antimanchas 50 ml"/>
        <s v="Crema Gel de Regeneración Facial 50 ml"/>
        <s v="Crema Reafirmante Restauradora Facial 50 ml"/>
        <s v="Espuma Mousse de Limpieza Facial 150 ml"/>
        <s v="Mega Regenerador Hidratación Profunda Caracol Natural"/>
        <s v="Pack Antimanchas Caracol Natural"/>
        <s v="Pack Control Total Del Ácne Caracol Natural"/>
        <s v="Pack Fórmula Reafirmante Anti-Edad Caracol Natural"/>
        <s v="Pack Power Duo Limpieza Profunda Caracol Natural"/>
        <s v="Pack Renovacion Total Regenerador Caracol Natural"/>
        <s v="Serum Rellenador Regenerador Facial 30 ml"/>
        <s v="Tónico Hidratante Facial 200 ml"/>
        <s v="Piedras decorativas 350g"/>
        <s v="S/4 LETREROS COLG. FORMA"/>
        <s v="VASO ACRILICO VINTAGE"/>
        <s v="Bicicleta Aprendizaje QUADIE + TRAILIE Azul"/>
        <s v="Bicicleta De Equilibro Bmxie 02 Blue"/>
        <s v="Bicicleta De Equilibro Bmxie 02 Lime"/>
        <s v="Bicicleta De Equilibro Bmxie 02 Pink"/>
        <s v="Silla de Comer Plegable Niño Azul"/>
        <s v="Silla de Comer Plegable Niño Roja"/>
        <s v="Silla de Comer Plegable Niño Turquesa"/>
        <m/>
        <s v="Rompecabezas Con Iluminacion 3D Grande Tiburon Creatto"/>
        <s v="Rompecabezas Con Iluminacion 3D Grande Unicornio Creatto"/>
        <s v="Rompecabezas Con Iluminacion 3D Mediano Gato Creatto"/>
        <s v="Rompecabezas Con Iluminacion 3D Pequeño Alce Creatto"/>
        <s v="Rompecabezas Con Iluminacion 3D Pequeño Elefante Creatto"/>
        <s v="Animales Nature 4Pcs Dëna"/>
        <s v="Arcoiris De Colores 12Pcs Dëna"/>
        <s v="Arcoiris De Colores 6Pcs Dëna"/>
        <s v="Arcoiris De Colores Pastel 12Pcs Dëna"/>
        <s v="Arcoiris De Colores Pastel 6Pcs Dëna"/>
        <s v="Arcoiris Nature 12Pcs Dëna"/>
        <s v="Arcoiris Nature 6Pcs Dëna"/>
        <s v="Set De 6 Personas Y 6 Casas De Colores Dëna"/>
        <s v="Set De Auto Y Persona Color Azul Dëna"/>
        <s v="Set De Persona Y Casa Color Verde Pastel Dëna"/>
        <s v="Parlante TUNE UP AZUL"/>
        <s v="Parlante TUNE UP NEGRO"/>
        <s v="Parlante TUNE UP ROJO"/>
        <s v="Parlante TUNE UP VERDE"/>
        <s v="RM12 BLANCO"/>
        <s v="RM12 CELESTE"/>
        <s v="RM12 NEGRO"/>
        <s v="RM12 ROSADO"/>
        <s v="Air Fryer MultiTouch"/>
        <s v="Batidora de Pedestal Art Mixer"/>
        <s v="Batidora de Pedestal Art Mixer Negro"/>
        <s v="Batidora de Pedestal Art Mixer Rojo"/>
        <s v="Batidora de Pedestal Hook Mixer"/>
        <s v="Batidora de Pedestal Hook Mixer Blanco"/>
        <s v="Batidora de Pedestal Hook Mixer Rojo"/>
        <s v="Cafetera Expresso Milano Coffee 3 en 1 Gris"/>
        <s v="Extractor De Jugo En Frío Slow Juicier Pro EasyWays"/>
        <s v="Freidora de aire Air Fryer Chic 5,5 L EasyWays"/>
        <s v="Freidora de Aire Air Fryer Fast 1,8 L EasyWays"/>
        <s v="Freidora de Aire Air Fryer Full"/>
        <s v="Freidora De Aire Air Fryer Plus 11,6 Lt EasyWays"/>
        <s v="Freidora de Aire Air Fryer XL 6,2L EasyWays"/>
        <s v="GOOD MILK 6 EN 1"/>
        <s v="Hervidor Heat Control Blanco 1,7 Lt EasyWays"/>
        <s v="Hervidor Heat Control Negro 1,7 Lt EasyWays"/>
        <s v="Hervidor Perfect Heat"/>
        <s v="Horno Eléctrico Oven Master 23 L EasyWays"/>
        <s v="Horno Eléctrico Oven Master 45 L Convección EasyWays"/>
        <s v="Horno Eléctrico Oven Master 60 L Convección EasyWays"/>
        <s v="Horno Para Pizza Eléctrico Pizza Oven EasyWays"/>
        <s v="KITCHEN GRAND CONNECT"/>
        <s v="Licuadora Personal Nutriblender EasyWays"/>
        <s v="Olla de Cocción Lenta Multicooker 5 en 1 EasyWays"/>
        <s v="Olla de Cocción Lenta Slow Pot Design 5,5 Lt EasyWays"/>
        <s v="Olla Multiuso Multicooker Fast Pot 7,6 Lt EasyWays"/>
        <s v="Parrilla Eléctrica Pitceramic con cerámica EasyWays"/>
        <s v="Parrilla Eléctrica Pitmaster EasyWays"/>
        <s v="Parrilla Freidora de Aire Air Fryer Grill"/>
        <s v="Plancha Waffles Let´s Grill 3 en 1"/>
        <s v="Robot de Cocina Kitchen Connect EasyWays"/>
        <s v="Robot de Cocina Kitchen Master EasyWays"/>
        <s v="Robot de Cocina Kitchen Pro EasyWays"/>
        <s v="Set 3 accesorios de pasta para Batidora Hook Mixer"/>
        <s v="Chupete Large Flow Elhee"/>
        <s v="Chupete Medium Flow Elhee"/>
        <s v="Mamadera 150 Ml Curry Elhee"/>
        <s v="Mamadera 240 Ml Kaki Elhee"/>
        <s v="Mamadera 240 Ml Verde Hiedra Elhee"/>
        <s v="Mamadera 330 Ml Arena Elhee"/>
        <s v="Mamadera 330 Ml Gris Azulado Elhee"/>
        <s v="Mamadera 330 Ml Verde Hiedra Elhee"/>
        <s v="Bdeliver RM"/>
        <s v="Celmedia 5200"/>
        <s v="Dafiti 3790"/>
        <s v="Dafiti 4890"/>
        <s v="Dafiti 5990"/>
        <s v="Eattouch 4000"/>
        <s v="Envío Melollevo 8730"/>
        <s v="Hites despacho"/>
        <s v="Melollevo 11700"/>
        <s v="Melollevo 15500"/>
        <s v="Melollevo 3000"/>
        <s v="Melollevo 3890"/>
        <s v="Melollevo 4700"/>
        <s v="Melollevo 4750"/>
        <s v="Melollevo 4800"/>
        <s v="melollevo 4810"/>
        <s v="Melollevo 4900"/>
        <s v="Melollevo 5200"/>
        <s v="Melollevo 6360"/>
        <s v="Mercado Libre envio"/>
        <s v="Ripley 20571"/>
        <s v="Ripley 3990"/>
        <s v="Ripley 4280"/>
        <s v="Ripley 4990"/>
        <s v="Ripley 5490"/>
        <s v="Ripley 6960"/>
        <s v="Ripley 7440"/>
        <s v="Ripley 7990"/>
        <s v="Centrifugador"/>
        <s v="Colador"/>
        <s v="Colador 2"/>
        <s v="Colador 3"/>
        <s v="Colador 4"/>
        <s v="Contenedor 1 lts plastico"/>
        <s v="Contenedor 1,55lts plastico"/>
        <s v="Contenedor 1600ml"/>
        <s v="Contenedor 2800ml"/>
        <s v="Contenedor 850ml"/>
        <s v="Cortador Multiple Cocina"/>
        <s v="Glass GUN 121-2"/>
        <s v="Pick Up Pad 5 bicicletas"/>
        <s v="RACKET Padel 121-3"/>
        <s v="SECADOR Lavaplato"/>
        <s v="Soporte cocina blanco"/>
        <s v="Soporte cocina Negro"/>
        <s v="Spanish KEYBOARD camara inspeccion"/>
        <s v="Convertidor A2z Is A Post Mount Mantiene Disc A2Z"/>
        <s v="Jersey Mtb Radical Mountain Negro/azul M Radical Mountain"/>
        <s v="Te Funn Fx - Bmx Negra 50mm Funn"/>
        <s v="Cucharas Tiny Rosado Ezpz"/>
        <s v="Individual + Plato Mini Mat Rosado Ezpz"/>
        <s v="Set de Alimentación Verde Ezpz"/>
        <s v="Set de Cubiertos Happy Azul Ezpz"/>
        <s v="Set de Cubiertos Happy Rosado Ezpz"/>
        <s v="Set de Cubiertos Happy Verde Ezpz"/>
        <s v="Mundos En Colisión Caja De Inicio Para 2 Jugadores Keyforge"/>
        <s v="Mundos En Colisión Mazo De Arconte Keyforge"/>
        <s v="Acuity Juego De Habilidades FatBrain Toys"/>
        <s v="Box N Balls Juego De Creatividad FatBrain Toys"/>
        <s v="Bugzzle Juego De Ingenio Para Pequeños FatBrain Toys"/>
        <s v="Coggy Juego De Ingenio FatBrain Toys"/>
        <s v="Crankity Juego De Ingenio FatBrain Toys"/>
        <s v="Dimpl Billow &amp; Bright Juego Sensorial FatBrain Toys"/>
        <s v="Dimpl Clutch Juego Sensorial FatBrain Toys"/>
        <s v="Dimpl Digits Juego Sensorial FatBrain Toys"/>
        <s v="Dimpl Dúo Juego Sensorial FatBrain Toys"/>
        <s v="Dimpl Juego Sensorial Para Manos Inquietas FatBrain Toys"/>
        <s v="Dimpl Pops Deluxe Juego Sensorial FatBrain Toys"/>
        <s v="Dimpl Pops Juego Sensorial FatBrain Toys"/>
        <s v="Dizzy Bees Mordedor Apilable Con Iman FatBrain Toys"/>
        <s v="Door Pong Ping Pong Colgante FatBrain Toys"/>
        <s v="Drop Shop Juego De Destreza FatBrain Toys"/>
        <s v="Fruit Friends Sonajero Puzzle FatBrain Toys"/>
        <s v="Hiding Hedgehogs Apilar Y Anidar FatBrain Toys"/>
        <s v="Inchimals Juego Para Aprender Matemáticas FatBrain Toys"/>
        <s v="Innybin Juego De Encaje Y Descubrimiento FatBrain Toys"/>
        <s v="Ivan'S Hinge Juego De Ingenio FatBrain Toys"/>
        <s v="Jixelz Puzzle 1500 Pc Set Bajo El Mar FatBrain Toys"/>
        <s v="Jixelz Puzzle 700 Pc Set Amigos Del Mar FatBrain Toys"/>
        <s v="Jixelz Puzzle De Pixeles 700 Pc Set Mascotas FatBrain Toys"/>
        <s v="Jixelz Puzzle De Pixeles 700 Pc Set Robots FatBrain Toys"/>
        <s v="Jixezl Puzzle De Pixeles 1500 Pc Set FatBrain Toys"/>
        <s v="Jixezl Puzzle De Pixeles 3000 Pc Set Creator FatBrain Toys"/>
        <s v="One In A Chameleon Juego De Ingenio FatBrain Toys"/>
        <s v="Oombeeball Pelotas Sensoriales Anidables FatBrain Toys"/>
        <s v="Oombeecube Cubo De Encaje Bebé FatBrain Toys"/>
        <s v="Peek-A-Doodle Doo Memorice FatBrain Toys"/>
        <s v="Pipsquigz Loops Celeste Mordedores Sensoriales FatBrain Toys"/>
        <s v="Pipsquigz Loops Naranjo Mordedores Sensoriales FatBrain Toys"/>
        <s v="Pipsquigz Mordedores Sonajeros Sensoriales FatBrain Toys"/>
        <s v="Plugzy Juego De Encaje FatBrain Toys"/>
        <s v="Sensory Rollers Pelotas Sensoriales FatBrain Toys"/>
        <s v="Simpl Dimpl Llavero Colores Surtidos FatBrain Toys"/>
        <s v="Spinagain Juego De Construccion Y Estimulación FatBrain Toys"/>
        <s v="Spinnypins Palitroques Encaje Con Sonido FatBrain Toys"/>
        <s v="Spiroku Juego De Apilar FatBrain Toys"/>
        <s v="Spoolz Juego De Construccion Y Equilibrio FatBrain Toys"/>
        <s v="Squigz Deluxe Set Juego De Creatividad FatBrain Toys"/>
        <s v="Squigz Starter Set Juego De Creatividad FatBrain Toys"/>
        <s v="Suction Kupz Vasos De Construcción FatBrain Toys"/>
        <s v="Teeter Popper Juego De Habilidades Motoras FatBrain Toys"/>
        <s v="Tinker Rings Anillos Imanes Y Texturas FatBrain Toys"/>
        <s v="Tobbles Neo Juego De Apilar FatBrain Toys"/>
        <s v="Trestle Tracks Pista Para Bolitas FatBrain Toys"/>
        <s v="Tugl Cube Cubo Sensorial Y Fidget FatBrain Toys"/>
        <s v="Tumbleroos Juego De Anidar Y Balancear FatBrain Toys"/>
        <s v="Whirly Squigz Spinners Para Bebes Y Niños FatBrain Toys"/>
        <s v="Wimzle Juguete Sensorial FatBrain Toys"/>
        <s v="Bebé Hamster Fuzzikins"/>
        <s v="Bebé Mono Fuzzikins"/>
        <s v="Bebé Oveja Fuzzikins"/>
        <s v="Familia De Conejos Fuzzikins"/>
        <s v="Familia De Gatos Fuzzikins"/>
        <s v="Familia De Perros Fuzzikins"/>
        <s v="Almacenaje Gluky"/>
        <s v="Bodega Bsale"/>
        <s v="Entrada Mercaderia"/>
        <s v="Salida Mercaderia"/>
        <s v="Casco 907b Negro L"/>
        <s v="Casco 907b Negro M"/>
        <s v="PATIN EN LINEA FITNESS ADULTO NEGRO L(40-43)"/>
        <s v="PATIN EN LINEA FITNESS ADULTO NEGRO XL(43-46)"/>
        <s v="Patín Roller Inline Fitness Adulto Negro Talla M"/>
        <s v="Patín Roller Inline Fitness Adulto Negro Talla S"/>
        <s v="PATINES EN LINEA FITNESS NEGRO XS(29-32)"/>
        <s v="Patines Roller Inline Fitness Morado Talla Xs"/>
        <s v="Patines Roller Inline Fitness Negro Talla S"/>
        <s v="Scooter Monopatin Niños FW Rosa"/>
        <s v="Horno Freidora de Aire Air Fryer Gourmet Pro 20 L EasyWays"/>
        <s v="Imanix Juego de Construcción Magnético100 piezas"/>
        <s v="Imanix Star 32 Pzs para Construcciones Geométricas 2D y 3D"/>
        <s v="Ampolleta Auto Halógena Biolight 9007 65/55w White 12v"/>
        <s v="Ampolleta Auto Halógena Singlelight H7 55w Cristal"/>
        <s v="Ampolleta Halógena 9004 12v 65/45 W Blanca Bioligh"/>
        <s v="Android 2111"/>
        <s v="Android Tv Box MXQ Pro 4K"/>
        <s v="ANTIFATIGA SE-3 CON ANTENA GPS"/>
        <s v="Antiparras protectoras COVID-19"/>
        <s v="Banco Chile BAG"/>
        <s v="Candado de Seguridad Con Lector Huella"/>
        <s v="Correa Silicona Para AWatch 38/40mm Morada"/>
        <s v="Correa Silicona Para AWatch 42/44 Barbie Pink"/>
        <s v="Esterilizador SK8 UV Pocket Blanco"/>
        <s v="GS770 Papago"/>
        <s v="llave lavaplatos acero opaco"/>
        <s v="Llave lavaplatos doradas"/>
        <s v="Mochila Freaky Mommy Azul Marino"/>
        <s v="Mochila Freaky Mommy Lila"/>
        <s v="Mochila Freaky Mommy Roja"/>
        <s v="Mochila Freaky Mommy Verde"/>
        <s v="Monkey Toy Interactivo Azul"/>
        <s v="Parrilla Smoker Grill Negra"/>
        <s v="Placa de Cobre CU+SAFE"/>
        <s v="Repetidor de Wifi Booster"/>
        <s v="Secador de Toallas Pedestal 6 Niveles"/>
        <s v="Sensor Antena GPS para Axon 3.2"/>
        <s v="Sensor Anti Fatiga Driver State Monitor"/>
        <s v="Sensor Antifatiga DL550A"/>
        <s v="SPINNING BIKE MAX 120KG"/>
        <s v="TV Streaming Device Chromecast"/>
        <s v="Vr Box + Control Lente De Realidad Virtual"/>
        <s v="VR BOX 2.0 Sin Control"/>
        <s v="FACE SHEET MASK POWER 10 FORMULA VC"/>
        <s v="FACE SHEET MASK THE FRESH TOMATO"/>
        <s v="Aspiradora Inalámbrica Vertical KT-12PRO Kitchen-It"/>
        <s v="Freidora de Aire Chef Edition 4L Kitchen-It"/>
        <s v="Freidora de Aire Max Edition 12L Kitchen-It"/>
        <s v="Freidora de Aire Plus Edition 5L Kitchen-It"/>
        <s v="Horno Pizza a la Piedra - Black Edition Kitchen-It"/>
        <s v="BATERÍA 10 PIEZAS CERAMICA SIMPLY RED"/>
        <s v="Molde De Silicona 12 Muffins Cupcake Repostería Marble"/>
        <s v="Molde De Silicona Redondo Desmontable 24 Cm Marble"/>
        <s v="Olla Soho Cherry 24cm Con Tapa"/>
        <s v="Olla Soho Mint 24cm Con Tapa"/>
        <s v="PINZAS DE SILICONA PARA ALIMENTOS"/>
        <s v="Sarten Ceramica Simply Cook 20cm Rojo"/>
        <s v="Sarten Ceramica Simply Cook 24cm Calipso"/>
        <s v="Sarten Ceramica Simply Cook 28cm Calipso"/>
        <s v="Sarten Ceramica Simply Cook 28cm Rojo"/>
        <s v="SARTEN SOHO 24CM CHERRY"/>
        <s v="SARTEN SOHO 28CM CHERRY"/>
        <s v="SARTEN SOHO 28CM MINT"/>
        <s v="Sartén Stone Cerámica Antiadherente 28 Cm"/>
        <s v="Sartén Stone Cerámica Antiadherente Inducción 20 Cm"/>
        <s v="Sartén Stone Cerámica Antiadherente Inducción 24 Cm"/>
        <s v="WOK SOHO 28CM CHERRY"/>
        <s v="MLL Camara auto bebe"/>
        <s v="Metalofono Infantil Amarillo"/>
        <s v="Metalofono Infantil Azul"/>
        <s v="Metalofono Infantil Rojo"/>
        <s v="Metalofono Infantil Rosado"/>
        <s v="COSTA DE CONSTITUCIÓN 500 Piezas"/>
        <s v="GLACIAR GREY 1000 Piezas"/>
        <s v="Ampolleta Deco Diamante Humo Led"/>
        <s v="Guirnalda colores transparente 10 luces LED 2,1 mts pilas"/>
        <s v="Guirnalda eléctrica estrella 20 luces LED 5,85 mts"/>
        <s v="Guirnalda Ledzone Tucan 10 Luces Led 1,65 Mts Pilas"/>
        <s v="Aspiradora Inalámbrica XPIRA"/>
        <s v="Audífono Gamer RGB Thunder"/>
        <s v="Cámara de Auto Dual D3"/>
        <s v="Control Gamer Inalámbrico PC"/>
        <s v="Dual Camara con GPS R300"/>
        <s v="Funda Notebook EXECUTIVE Gris LEVO"/>
        <s v="Funda NotebookEXECUTIVE Negra LEVO"/>
        <s v="Joystick Inalámbrico Dualshock 4"/>
        <s v="Joystick Inalámbrico Dualshock 4 ROJO"/>
        <s v="Kit Teclado y Mouse Inalámbrico Blanco"/>
        <s v="MLL Camara dvr 1080p 111-2"/>
        <s v="MLL Proyector G17"/>
        <s v="MLL Proyector G17 2M"/>
        <s v="Mochila Levo computador Gris"/>
        <s v="Mochila Levo Computador Negro"/>
        <s v="Mochila Notebook MANAGER Gris LEVO"/>
        <s v="Mochila Notebook MANAGER Negra LEVO"/>
        <s v="Mochila Notebook WOLF Negra LEVO"/>
        <s v="Mouse Gamer LED"/>
        <s v="Pesa Digital Balanza Blanca Inteligente"/>
        <s v="Pesa Digital Balanza Negra Inteligente"/>
        <s v="Pro Control Nintendo Switch NEGRO"/>
        <s v="Pro Controller Inalámbrico Nintendo S"/>
        <s v="Proyector Home Cine Pro 360º"/>
        <s v="Proyector LED Focus Mini"/>
        <s v="Proyector Led PL05"/>
        <s v="Proyector YG480 Infinity"/>
        <s v="Silla Ejecutiva Negra"/>
        <s v="Silla Gamer Negro-Roja"/>
        <s v="Soporte Cargador Magnético V+"/>
        <s v="Soporte Cargador Magnético VO1"/>
        <s v="Teclado Gamer RGB Storm"/>
        <s v="Telon Proyector 100 pulgadas"/>
        <s v="Telon Proyector 60 pulgadas"/>
        <s v="Telon Proyector 80 pulgadas"/>
        <s v="Vr Box Ultra + audifonos"/>
        <s v="Web Camera Black 1080P"/>
        <s v="50w +100W+200W"/>
        <s v="Almohadillas Asiento"/>
        <s v="Almohadillas de asientos 21TP0402PI"/>
        <s v="Audifono gamer earphone micro"/>
        <s v="Audifono gamer headphone cable"/>
        <s v="Audifono gamer headphone inalambrico"/>
        <s v="Audífonos Bluetooth Rm12 Blanco"/>
        <s v="Audífonos Bluetooth Rm12 Celeste"/>
        <s v="Audífonos Bluetooth Rm12 Negro"/>
        <s v="Audífonos Bluetooth Rm12 Rosados"/>
        <s v="Audífonos Bluetooth RM7 Pro Blanco"/>
        <s v="Audífonos Bluetooth RM7 Pro Negro"/>
        <s v="Audifonos Buds Jam Black"/>
        <s v="Audifonos Deportivo Bluetooth RM5"/>
        <s v="AUDIFONOS I12"/>
        <s v="Audifonos inalambricos steven"/>
        <s v="Audífonos RM7 Pro Inalámbrico Celeste"/>
        <s v="Audífonos RM7 Pro Inalámbrico Rosado"/>
        <s v="Banano Impermeable Negro"/>
        <s v="Banano negro"/>
        <s v="Barra Glory 550"/>
        <s v="Bicicleta Estatica Lhotse"/>
        <s v="Big Mug Tumbler 1118ml Celeste"/>
        <s v="Big Mug Tumbler 1118ml Negro"/>
        <s v="Big Mug Tumbler 1118ml Rosado"/>
        <s v="Big Mug Tumbler 1118ml Verde"/>
        <s v="Big Mug Tumbler 1118ml Arena"/>
        <s v="blister package 21TP0402PI"/>
        <s v="Bolso Deportivo Duffel 30 Litros Negro"/>
        <s v="Bolso Impermeable 70lts Azul"/>
        <s v="Bolso Impermeable Duffel 70lts Negro"/>
        <s v="Botella 800ml coihue Azul Lhotse"/>
        <s v="Botella 800ml coihue Negra Lhotse"/>
        <s v="Botella 800ml coihue Pink Lhotse"/>
        <s v="Botella 800ml coihue White Lhotse"/>
        <s v="Botella Hydro 360ml Lhotse Celeste"/>
        <s v="Botella Hydro 360ml Lhotse Green"/>
        <s v="Botella Hydro 360ml Lhotse Lila"/>
        <s v="Botella Hydro 360ml Lhotse Negro"/>
        <s v="Botella Hydro 360ml Lhotse Rosado"/>
        <s v="Botella Hydro 960ml Lhotse Celeste"/>
        <s v="Botella Hydro 960ml Lhotse Lila"/>
        <s v="Botella Hydro 960ml Lhotse Negro"/>
        <s v="Botella Hydro 960ml Lhotse Rosado"/>
        <s v="Botella Hydro 960ml Lhotse Verde"/>
        <s v="Botella Insulada Adventure 650ml Azul"/>
        <s v="Botella Insulada Adventure 650ml Blanca"/>
        <s v="Botella Insulada Adventure 650ml Negra"/>
        <s v="Botella Insulada Adventure 650ml Pink"/>
        <s v="Bowl con tapa de ceramica"/>
        <s v="Bowl con tapa de vidrio"/>
        <s v="Bowls Metalicos"/>
        <s v="Caja colación"/>
        <s v="Camara 4k H1 Azul"/>
        <s v="Camara 4k H1 Plateada"/>
        <s v="Camara de Accion HD 4K"/>
        <s v="Cámara Deportiva 4k H1 Video Con Accesorios"/>
        <s v="car clearer"/>
        <s v="Cargador Smartwatch RD7"/>
        <s v="Cargador Smartwatch RD9"/>
        <s v="Cargador Smartwatch SW88"/>
        <s v="Cargador SW55"/>
        <s v="cobertor de asiento para perro"/>
        <s v="Cobertor de auto"/>
        <s v="colador y cortador"/>
        <s v="Control Gamer"/>
        <s v="Control Nintendo"/>
        <s v="Control PS4"/>
        <s v="Correa RD9 Cafe Cuero"/>
        <s v="Correa Sw88 Amarillo con hebilla"/>
        <s v="Correa Sw88 Morado"/>
        <s v="Correa SW88 Negra con puntos rojos boton"/>
        <s v="Correa SW88 Negra/roja"/>
        <s v="Correa SW88 Negro"/>
        <s v="Correa SW88 Negro Puntos grises (boton)"/>
        <s v="Correa SW88 Negro verde con hebilla"/>
        <s v="Correa SW88 Rosada Puntos Verdes"/>
        <s v="Ducha Solar Camping Pesca 20 Litros Outdoor"/>
        <s v="Especiero Giratorio 6 unis"/>
        <s v="Especiero madera"/>
        <s v="Estabilizador De Cámaras Universales Portátil Celular"/>
        <s v="Filtro de aire"/>
        <s v="Fuente para el horno ceramica"/>
        <s v="Fundas asientos de auto"/>
        <s v="Glory 500 Roof Bar"/>
        <s v="Glory 580/560 roof bars"/>
        <s v="H10 21TP0731PI"/>
        <s v="H6 Sistema de cámara de inspección de tuberías"/>
        <s v="Hamaca Camping Pesca Outdoor Verde Claro 270 Cm"/>
        <s v="ID205G 21TP0922PI"/>
        <s v="Insulated Travel Mug 900ml Blanco"/>
        <s v="Insulated Travel Mug 900ml Celeste"/>
        <s v="Insulated Travel Mug 900ml Negro"/>
        <s v="Insulated Travel Mug 900ml Rosado"/>
        <s v="Insulated Travel Mug 900ml Verde"/>
        <s v="IP CAM 3 21TP0731PI"/>
        <s v="jarro para guardar ceramica"/>
        <s v="Lámpara Solar Linterna Inflable Camping Pesca Outdoor"/>
        <s v="Maquina para espuma"/>
        <s v="Maquina Remadora fit"/>
        <s v="Mate Mug + Bombilla Blanco"/>
        <s v="Mate Mug + Bombilla Negro"/>
        <s v="Mate Mug + Bombilla Rojo"/>
        <s v="Mate Mug + Bombilla Rosado"/>
        <s v="Mate Mug + Bombilla Verde"/>
        <s v="Mochila Antirrobo Gris Oscuro MA147"/>
        <s v="Mochila Lisa"/>
        <s v="Mochila Outdoor Bicicleta HYDROROAD Azul + Bolsa de Agua Lhotse"/>
        <s v="Mochila Outdoor Bicicleta HYDROROAD Gris + Bolsa de Agua Lhotse"/>
        <s v="Mochila Outdoor Bicicleta HYDROROAD Negra + Bolsa de Agua Lhotse"/>
        <s v="Mochila Outdoor Plegable Naranja"/>
        <s v="Mochila Outdoor Plegable Negra"/>
        <s v="Mochila Street Negra"/>
        <s v="Mochila Street Verde"/>
        <s v="Mochila tipo bolsa seca"/>
        <s v="Mochila tipo patagonia"/>
        <s v="Mochila Volcano Roll Style Negra"/>
        <s v="Mochila Volcano Roll Style Verde"/>
        <s v="molinillos sal-pimienta"/>
        <s v="Mouse gamer"/>
        <s v="Mouse negro 6 botones"/>
        <s v="MUESTRA Alcuza redondo con plato"/>
        <s v="MUESTRA Audifono 111-1"/>
        <s v="MUESTRA Audifono B6"/>
        <s v="MUESTRA Audifono i12 511-1"/>
        <s v="MUESTRA Audifono i12 511-2"/>
        <s v="MUESTRA Audifono i12 511-3"/>
        <s v="MUESTRA Audifono i12 511-4"/>
        <s v="MUESTRA Audifono M13"/>
        <s v="MUESTRA Audifono M2"/>
        <s v="MUESTRA Audifono M6 PRO"/>
        <s v="MUESTRA audifono Q20"/>
        <s v="MUESTRA Audifono T17"/>
        <s v="MUESTRA Audifono T58"/>
        <s v="MUESTRA Audifonos 618-1"/>
        <s v="MUESTRA Audifonos 618-10"/>
        <s v="MUESTRA Audifonos 618-11"/>
        <s v="MUESTRA Audifonos MS01"/>
        <s v="Muestra Drone 1080 sdcard"/>
        <s v="MUESTRA Parlante SMP6"/>
        <s v="Muestra Proyector Aao 1"/>
        <s v="Muestra Proyector Aao 2"/>
        <s v="Muestra Proyector Aao 3"/>
        <s v="MUESTRA Proyector PL12"/>
        <s v="MUESTRA Smartwatch GPS CR130"/>
        <s v="MUESTRA Smartwatch MX1"/>
        <s v="Muestra Turbo Grill (Mini parrilla)"/>
        <s v="package machine 21TP0402PI"/>
        <s v="Panera ceramica"/>
        <s v="Paragua para el vidrio del auto"/>
        <s v="Parlante Bluetooth Portátil TENO J5"/>
        <s v="Parlante Bounce Mini Black"/>
        <s v="Parlante Bounce Mini Blue"/>
        <s v="Parlante Bounce Mini Pink"/>
        <s v="Parlante Bounce Mini White"/>
        <s v="Pick-up Pad Porta 6 Bicicletas Camioneta"/>
        <s v="Rav 4 roof bar"/>
        <s v="Rav 4 roof bar RB130.140"/>
        <s v="Reloj analogo Flame Watch black"/>
        <s v="Reloj Smartwatch Core 87 Negro"/>
        <s v="Seca Platos SMP1"/>
        <s v="Secador de platos"/>
        <s v="Sense F1 audifonos"/>
        <s v="Set deportivo 7 en 1"/>
        <s v="Smart Watch MOVE 88 Negro"/>
        <s v="Smartband KIDS R01 Black"/>
        <s v="Smartband KIDS R01 Blue"/>
        <s v="Smartband KIDS R01 Pink"/>
        <s v="SMARTBAND PARIS M7"/>
        <s v="Smartband Urban GT Black"/>
        <s v="Smartband Urban GT Blue"/>
        <s v="Smartband Urban GT Green"/>
        <s v="Smartband Urban GT Pink"/>
        <s v="Smartwatch Connect S03 Black"/>
        <s v="Smartwatch Connect S03 Blue"/>
        <s v="Smartwatch Connect S03 Pink"/>
        <s v="Smartwatch Live 206 Black"/>
        <s v="Smartwatch Live 206 Light Green"/>
        <s v="Smartwatch Live 206 Pink"/>
        <s v="Smartwatch Mini Live 206 Black"/>
        <s v="Smartwatch Mini Live 206 Light Green"/>
        <s v="Smartwatch Mini Live 206 Pink"/>
        <s v="Smartwatch Mini Live 206 White"/>
        <s v="SMARTWATCH PARIS D20L"/>
        <s v="Smartwatch RD7 Azul"/>
        <s v="Smartwatch RD7 Cuero Café Claro"/>
        <s v="Smartwatch RD7 Cuero Negro"/>
        <s v="Smartwatch RD7 Dark Silver Azul"/>
        <s v="Smartwatch RD7 Plateado Cuero Café Claro"/>
        <s v="Smartwatch RD7 Plateado Verde"/>
        <s v="Smartwatch RD9 Correa Metálica Negra"/>
        <s v="Smartwatch Reloj Inteligente P10 Blanco"/>
        <s v="Smartwatch Runner 219 Gray"/>
        <s v="Smartwatch Safe K9 Light Blue"/>
        <s v="Smartwatch Stone M4 Negro GPS"/>
        <s v="Smartwatch SW88 Correa Rosada"/>
        <s v="Smartwatch SW88 Dorado Correa Rosada Claro"/>
        <s v="Smartwatch TW58 Negro con Temperatura"/>
        <s v="SML fitness samples 21TP0522PI"/>
        <s v="SMP 7 21TP0731PI"/>
        <s v="solar pannel controler"/>
        <s v="T500 21TP0731PI"/>
        <s v="Tabla- drenaje"/>
        <s v="Tapa Botella Adventure Lhotse"/>
        <s v="Tapa Botella Hydro"/>
        <s v="Taza Insulated Cup Mug 350ml Blanco"/>
        <s v="Taza Insulated Cup Mug 350ml Celeste"/>
        <s v="Taza Insulated Cup Mug 350ml Negro"/>
        <s v="Taza Insulated Cup Mug 350ml Verde"/>
        <s v="Teclado GAMER COLORES"/>
        <s v="Termo Classic 1,3lts Blanco"/>
        <s v="Termo Classic 1,3lts Negro"/>
        <s v="Termo Classic 1,3lts Rosado"/>
        <s v="Termo Classic 1,3lts Verde"/>
        <s v="Termo Lhotse Patagón 1 Lt Negro"/>
        <s v="Termo Lhotse Patagón 1 Lt Verde"/>
        <s v="TP 3900 Sistema de cámara de inspección de tuberías"/>
        <s v="TP013 dice cup box"/>
        <s v="TP05C 21TP0731PI"/>
        <s v="TP37 dice cup bag"/>
        <s v="TP9200 Sistema de cámara de inspección de tuberías"/>
        <s v="TRX Amarillo"/>
        <s v="TRX Rosado"/>
        <s v="tupper tapa madera"/>
        <s v="Ultimate GPS 217 Black"/>
        <s v="Ultimate GPS 217 Pink"/>
        <s v="Vaso Camping Termico 480ml Blanco"/>
        <s v="Vaso Camping Termico 480ml Negro"/>
        <s v="Vaso Camping Termico 480ml Rojo"/>
        <s v="Vaso Camping Termico 480ml Rosado"/>
        <s v="Vaso Camping Termico 480ml Verde"/>
        <s v="VRBOX AUDIFONOS"/>
        <s v="X8 21TP0731PI"/>
        <s v="Fuente Frutera Vidrio 23cm"/>
        <s v="Jarra Pitcher 1,78Lt México"/>
        <s v="JUEGO 5 PZAS DE VIDRIO TEMPO"/>
        <s v="PLATO TORTA DE VIDRIO C/PIE 31 CM."/>
        <s v="Set 4 Vasos Cortos Hobstar 355ml Libbey"/>
        <s v="SET 4 VASOS DE VIDRIO ARTISAN ALARGADO PILSNER 370ML"/>
        <s v="SET 4 VASOS DE VIDRIO ARTISAN BELGIAN BEER 600ML"/>
        <s v="SET 4 VASOS DE VIDRIO ARTISAN MUG 320ML"/>
        <s v="SET 4 VASOS DE VIDRIO ARTISAN PILSNER 370ML"/>
        <s v="SET 6 COPAS VINA TRUMPET 192 ML."/>
        <s v="Set 6 Vasos Cavana Altos 414ml Libbey"/>
        <s v="Set 6 Vasos Cavanas Cortos 386ml Libbey"/>
        <s v="Set 6 Vasos Koba 472 ml Libbey"/>
        <s v="Set 6 Vasos Super Sham Vidrio 355 Ml"/>
        <s v="Set 6 Vasos Vidrio Super Sham Rock 311 Ml"/>
        <s v="SHAKER/COCTELERA SET 3 PZAS"/>
        <s v="Aussie Slang Jugando A Las Cartas"/>
        <s v="Aussie Slang WT Jugando A Las Cartas"/>
        <s v="Jugando a las Cartas de Argot Británico"/>
        <s v="Naipes Españoles"/>
        <s v="Naipes Italianos"/>
        <s v="Naipes Mandaínes"/>
        <s v="Naipes Mandaínes WT"/>
        <s v="Aceite Home Diffuser 30 ml Ala Moana Madison"/>
        <s v="Aceite Home Diffuser 30 ml Green Citrus Madison"/>
        <s v="Aceite Home Diffuser 30 ml Passion Fig Madison"/>
        <s v="Aceite Home Diffuser 30 ml Tahiti Madison"/>
        <s v="Aceite Home Diffuser 30 ml Tropical Chic Madison"/>
        <s v="Crema Humectante 500 ml Cedro Negro Madison"/>
        <s v="Crema Humectante 500 ml Cedro Ámbar Madison"/>
        <s v="Crema Humectante 500 ml Cedro Transparente Madison"/>
        <s v="Crema Humectante 500 ml Cítrico Negro Madison"/>
        <s v="Crema Humectante 500 ml Cítrico Ámbar Madison"/>
        <s v="Crema Humectante 500 ml Cítrico Transparente Madison"/>
        <s v="Crema Humectante 500 ml Moana Negro Madison"/>
        <s v="Crema Humectante 500 ml Moana Ámbar Madison"/>
        <s v="Crema Humectante 500 ml Moana Transparente Madison"/>
        <s v="Crema Humectante 500 ml Pasión Ámbar Madison"/>
        <s v="Crema Humectante 500 ml Pasión Negro Madison"/>
        <s v="Crema Humectante 500 ml Pasión Transparente Madison"/>
        <s v="Crema Humectante 500 ml Sandalia Negro Madison"/>
        <s v="Crema Humectante 500 ml Sandalia Ámbar Madison"/>
        <s v="Crema Humectante 500 ml Sandalia Transparente Madison"/>
        <s v="Crema Humectante 500 ml Tropical Negro Madison"/>
        <s v="Crema Humectante 500 ml Tropical Ámbar Madison"/>
        <s v="Crema Humectante 500 ml Tropical Transparente Madison"/>
        <s v="Crema Humectante 500 ml Verano Negro Madison"/>
        <s v="Crema Humectante 500 ml Verano Ámbar Madison"/>
        <s v="Difusor Auto Madison 8 ml Limoncello"/>
        <s v="Difusor Auto Madison 8 ml Tahiti"/>
        <s v="Difusor Auto Madison 8 ml Tropical Coco"/>
        <s v="Difusor Auto Madison 8 ml Wild Berries"/>
        <s v="Difusor Varitas 150 ml Cedro Ámbar Madison"/>
        <s v="Difusor Varitas 150 ml Cedro Negro Madison"/>
        <s v="Difusor Varitas 150 ml Cedro Transparente Madison"/>
        <s v="Difusor Varitas 150 ml Cítrico Negro Madison"/>
        <s v="Difusor Varitas 150 ml Cítrico Transparente Madison"/>
        <s v="Difusor Varitas 150 ml Pasión Ámbar Madison"/>
        <s v="Difusor Varitas 150 ml Pasión Negro Madison"/>
        <s v="Difusor Varitas 150 ml Pasión Transparente Madison"/>
        <s v="Difusor Varitas 150 ml Sandalia Ámbar Madison"/>
        <s v="Difusor Varitas 150 ml Sandalia Negro Madison"/>
        <s v="Difusor Varitas 150 ml Sandalia Transparente Madison"/>
        <s v="Difusor Varitas 150 ml Tropical Ámbar Madison"/>
        <s v="Difusor Varitas 150 ml Tropical Negro Madison"/>
        <s v="Difusor Varitas 150 ml Tropical Transparente Madison"/>
        <s v="Difusor Varitas 150 ml Verano Ámbar Madison"/>
        <s v="Difusor Varitas 150 ml Verano Transparente Madison"/>
        <s v="Difusor Varitas 250 ml Cedro Ámbar Madison"/>
        <s v="Difusor Varitas 250 ml Cedro Transparente Madison"/>
        <s v="Difusor Varitas 250 ml Cítrico Ámbar Madison"/>
        <s v="Difusor Varitas 250 ml Cítrico Transparente Madison"/>
        <s v="Difusor Varitas 250 ml Passion Ámbar Madison"/>
        <s v="Difusor Varitas 250 ml Passion Negro Madison"/>
        <s v="Difusor Varitas 250 ml Passion Transparente Madison"/>
        <s v="Difusor Varitas 250 ml Saint Sandal Ambar Madison"/>
        <s v="Difusor Varitas 250 ml Saint Sandal Transparente Madison"/>
        <s v="Difusor Varitas 250 ml Tropical Ámbar Madison"/>
        <s v="Difusor Varitas 250 ml Tropical Negro Madison"/>
        <s v="Difusor Varitas 250 ml Tropical Transparente Madison"/>
        <s v="Difusor Varitas 250 ml Verano Ámbar Madison"/>
        <s v="Difusor Varitas 250 ml Verano Negro Madison"/>
        <s v="Difusor Varitas 250 ml Verano Transparente Madison"/>
        <s v="Home Diffuser Blanca Madison"/>
        <s v="Home Diffuser Gris Madison"/>
        <s v="Home Diffuser Negro Madison"/>
        <s v="Jabón en Barra 100 Grms Rosa Madison"/>
        <s v="Jabón En barra 100 Grms Verde Madison"/>
        <s v="Jabón Líquido 500 ml Cítrico Ámbar Madison"/>
        <s v="Jabón Líquido 500 ml Cítrico Negro Madison"/>
        <s v="Jabón Líquido 500 ml Cítrico Sandalia Madison"/>
        <s v="Jabón Líquido 500 ml Cítrico Transparente Madison"/>
        <s v="Jabón Líquido 500 ml Pasión Ámbar Madison"/>
        <s v="Jabón Líquido 500 ml Pasión Negro Madison"/>
        <s v="Jabón Líquido 500 ml Cedro Ámbar Madison"/>
        <s v="Jabón Líquido 500 ml Cedro Negro Madison"/>
        <s v="Jabón Líquido 500 ml Cedro Transparente Madison"/>
        <s v="Jabón Líquido 500 ml Moana Ámbar Madison"/>
        <s v="Jabón Líquido 500 ml Moana Negro Madison"/>
        <s v="Jabón Líquido 500 ml Moana Transparente Madison"/>
        <s v="Jabón Líquido 500 ml Tropical Ámbar Madison"/>
        <s v="Jabón Líquido 500 ml Tropical Negro Madison"/>
        <s v="Jabón Líquido 500 ml Tropical Transparente Madison"/>
        <s v="Jabón Líquido 500 ml Verano Ámbar Madison"/>
        <s v="Jabón Líquido 500 ml Verano Negro Madison"/>
        <s v="Jabón Líquido 500 ml Verano Transparente Madison"/>
        <s v="Mini Spray Hogar 120 ml Cedro Ámbar Madison"/>
        <s v="Mini Spray Hogar 120 ml Moana Ámbar Madison"/>
        <s v="Mini Spray Hogar 120 ml Pasión Ámbar Madison"/>
        <s v="Mini Spray Hogar 120 ml Tropical Ámbar Madison"/>
        <s v="Mini Spray Hogar 120 ml Verano Ámbar Madison"/>
        <s v="Refil Difusor Varitas 50 ml Cítrico Madison"/>
        <s v="Refil Difusor Varitas 500 ml Cedro Madison"/>
        <s v="Refil Difusor Varitas 500 ml Pasión Madison"/>
        <s v="Refil Spray Hogar 1 Lt Sandalia Madison"/>
        <s v="Refill Difusor Varitas 500 ml Saint Sandal Madison"/>
        <s v="Room Spray Ala Moana Madison"/>
        <s v="Room Spray Black Cedar Madison"/>
        <s v="Room Spray Green Citrus Madison"/>
        <s v="Room Spray Passion Fig Madison"/>
        <s v="Room Spray Saint Sandal Madison"/>
        <s v="Room Spray Summer Days Madison"/>
        <s v="Room Spray Tropical Chic Madison"/>
        <s v="Spray Hogar 500 ml Cedro Ámbar Madison"/>
        <s v="Spray Hogar 500 ml Cedro Negro Madison"/>
        <s v="Spray Hogar 500 ml Cedro Transparente Madison"/>
        <s v="Spray Hogar 500 ml Citríco Ambar Madison"/>
        <s v="Spray Hogar 500 ml Citríco Negro Madison"/>
        <s v="Spray Hogar 500 ml Citríco Transparente Madison"/>
        <s v="Spray Hogar 500 ml Moana Ámbar Madison"/>
        <s v="Spray Hogar 500 ml Moana Negro Madison"/>
        <s v="Spray Hogar 500 ml Moana Transparente Madison"/>
        <s v="Spray Hogar 500 ml Pasión Ámbar Madison"/>
        <s v="Spray Hogar 500 ml Pasión Transparente Madison"/>
        <s v="Spray Hogar 500 ml Sandalia Ambar Madison"/>
        <s v="Spray Hogar 500 ml Sandalia Negro Madison"/>
        <s v="Spray Hogar 500 ml Sandalia Transparente Madison"/>
        <s v="Spray Hogar 500 ml Tropical Ámbar Madison"/>
        <s v="Spray Hogar 500 ml Tropical Negro Madison"/>
        <s v="Spray Hogar 500 ml Tropical Transparente Madison"/>
        <s v="Spray Hogar 500 ml Verano Ámbar Madison"/>
        <s v="Spray Hogar 500 ml Verano Negro Madison"/>
        <s v="Spray Hogar 500 ml Verano Transparente Madison"/>
        <s v="Tabla Mármol Carrara Madison"/>
        <s v="Vela Soja Natural 320 Grms Ámbar Ala Moana"/>
        <s v="Vela Soja Natural 320 Grms Ámbar Ala MoanaMadison"/>
        <s v="Vela Soja Natural 320 Grms Ámbar Bergamot Citrus Madison"/>
        <s v="Vela Soja Natural 320 Grms Ámbar Passion Fig"/>
        <s v="Vela Soja Natural 320 Grms Ámbar Passion Fig Madison"/>
        <s v="Vela Soja Natural 320 Grms Negro Ala Moana"/>
        <s v="Vela Soja Natural 320 Grms Negro Bergamot Citrus Madison"/>
        <s v="Vela Soja Natural 320 grms Negro Passion Fig Madison"/>
        <s v="Vela Soja Natural 320Gm Transparente Bergamot Citrus Madison"/>
        <s v="Animal Látex Con Cuerda Rojo Perro"/>
        <s v="Animal Látex Con Cuerda Verde Perro"/>
        <s v="Animal Plush Con Pelota Celeste Perro"/>
        <s v="Animal Plush Con Pelota Verde Perro Mascan"/>
        <s v="Arnés Anti-pull L Paseo Seguridad Mascotas Perro Mascan"/>
        <s v="Arnés Anti-pull M Paseo Seguridad Mascotas Perro"/>
        <s v="Arnés Anti-pull XL Negro AR 00002"/>
        <s v="Arnés Cruzado Acolchado Talla L Azul Perros Mascan"/>
        <s v="Arnés Cruzado Acolchado Talla L Fucsia Perros"/>
        <s v="Arnés Cruzado Acolchado Talla M Fucsia Perros"/>
        <s v="Arnés Cruzado Acolchado Talla M Rojo Perros"/>
        <s v="Arnés Cruzado Acolchado Talla S Azul Perros"/>
        <s v="Arnés Cruzado Acolchado Talla S Fucsia Perros Mascan"/>
        <s v="Arnés Cruzado Acolchado Talla S Rojo Perros (Rojo/S)"/>
        <s v="Arnés Cruzado Acolchado XS Azul AR 00008"/>
        <s v="Arnés Cruzado Acolchado XS Fucsia AR 00008"/>
        <s v="Arnés Cruzado Acolchado XS Rojo AR 00008"/>
        <s v="Arnés Deportivo De Control L Fucsia Perro"/>
        <s v="Arnés Deportivo De Control L Naranja Perro"/>
        <s v="Arnés Deportivo De Control L Verde Perro"/>
        <s v="Arnés Deportivo De Control M Fucsia Perro"/>
        <s v="Arnés Deportivo De Control M Naranja Perro"/>
        <s v="Arnés Deportivo De Control M Verde Perro"/>
        <s v="Arnés Deportivo De Control S Fucsia Perro"/>
        <s v="Arnés Deportivo De Control S Naranja Perro"/>
        <s v="Arnés Deportivo De Control S Verde Perro"/>
        <s v="Arnés Deportivo De Control Xl Fucsia Perro"/>
        <s v="Arnés Deportivo De Control Xl Naranja Perro"/>
        <s v="Arnés Deportivo De Control Xl Verde Perro"/>
        <s v="Arnés Multiuso L Perros Mascotas Negro"/>
        <s v="Arnés Multiuso M Perros Mascotas Negro"/>
        <s v="Arnés Multiuso S Negro AR 00001"/>
        <s v="Arnés Multiuso Xl Perros Mascotas Negro"/>
        <s v="Arnés Multiuso XS Perros Mascotas Negro"/>
        <s v="Arnés Noruego Acolchado 2XL Negro AR 00010"/>
        <s v="Arnés Noruego Acolchado Talla L Negro Perro"/>
        <s v="Arnés Noruego Acolchado Talla M Negro Perro"/>
        <s v="ARNES NORUEGO ACOLCHADO TALLA XL NEGRO"/>
        <s v="Arnés y correa gato acolchado reflectante STD Azul AR 50001"/>
        <s v="Arnés y correa gato acolchado reflectante STD Fucsia AR 50001"/>
        <s v="Banano De Paseo Para Perro"/>
        <s v="Base Para Pala Sanitaria Std Blanco"/>
        <s v="Bebedero Portátil Hoja Azul Perro"/>
        <s v="Bebedero portátil hoja STD Fucsia V 00009"/>
        <s v="Bebedero Portátil Hoja Verde Perro"/>
        <s v="Cama Impermeable Con Memory Foam Perro Mascan Talla L"/>
        <s v="Cama Impermeable Con Memory Foam Perro Mascan Talla S"/>
        <s v="Cama Impermeable Con Memory Foam Perro Talla Xl"/>
        <s v="Cama Nido Gato Plegable Mascan"/>
        <s v="Cama Reversible Doble Color Perro Talla L Café"/>
        <s v="Cama Reversible Doble Color Perro Talla L Morado"/>
        <s v="Cama Reversible Doble Color Perro Talla M Café"/>
        <s v="Cama Reversible Doble Color Perro Talla M Morado"/>
        <s v="Cama Reversible Doble Color Perro Talla S Café"/>
        <s v="Cama Reversible Doble Color Perro Talla S Morado"/>
        <s v="Cama Reversible Doble Color Perro Talla Xl Morado"/>
        <s v="Cama reversible doble color XL Café BD 00002"/>
        <s v="Cinturón De Seguridad Perro"/>
        <s v="Cobertor De Asiento Trasero Perro"/>
        <s v="Cobertor De Maletero Suv Perro"/>
        <s v="Collar Acolchado Reflectante Azul Para Gato Mascat"/>
        <s v="Collar Doble Seguridad Azul Para Gato Mascat"/>
        <s v="Collar Doble Seguridad Rojo Para Gato Mascat"/>
        <s v="Collar grueso calavera puntas redondas eco cuero 2XL Dorado COLL 00011"/>
        <s v="Collar grueso calavera puntas redondas eco cuero 2XL Fucsia COLL 00011"/>
        <s v="Collar grueso calavera puntas redondas eco cuero 2XL Rojo COLL 00011"/>
        <s v="Collar grueso calavera puntas redondas eco cuero 3XL Dorado COLL 00011"/>
        <s v="Collar grueso calavera puntas redondas eco cuero 3XL Fucsia COLL 00011"/>
        <s v="Collar grueso calavera puntas redondas eco cuero XL Dorado COLL 00011"/>
        <s v="Collar grueso calavera puntas redondas eco cuero XL Fucsia COLL 00011"/>
        <s v="Collar grueso diamantes eco cuero 2XL Café COLL 00007"/>
        <s v="Collar grueso diamantes eco cuero 2XL Negro COLL 00007"/>
        <s v="Collar grueso diamantes eco cuero 2XL Rosado COLL 00007"/>
        <s v="Collar Huesos Perro L Azul"/>
        <s v="Collar Huesos Perro L Fucsia"/>
        <s v="Collar Huesos Perro L Negro"/>
        <s v="Collar Huesos Perro M Azul"/>
        <s v="Collar Huesos Perro M Fucsia"/>
        <s v="Collar Huesos Perro M Negro"/>
        <s v="Collar Huesos Perro S Azul"/>
        <s v="Collar Huesos Perro S Fucsia"/>
        <s v="Collar Huesos Perro S Negro"/>
        <s v="Collar Huesos Perro Xs Azul"/>
        <s v="Collar Huesos Perro Xs Fucsia"/>
        <s v="Collar Huesos Perro Xs Negro"/>
        <s v="Collar Perro Diagonal L Celeste"/>
        <s v="Collar Perro Diagonal L Morado"/>
        <s v="Collar Perro Diagonal L Verde"/>
        <s v="Collar Perro Diagonal M Celeste"/>
        <s v="Collar Perro Diagonal M Morado"/>
        <s v="Collar Perro Diagonal M Verde"/>
        <s v="Collar Perro Diagonal S Celeste"/>
        <s v="Collar Perro Diagonal S Morado"/>
        <s v="Collar Perro Diagonal S Verde"/>
        <s v="Collar Perro Diagonal Xs Celeste"/>
        <s v="Collar Perro Diagonal Xs Morado"/>
        <s v="Collar Perro Diagonal Xs Verde"/>
        <s v="Collar Perro Puntitos L Amarillo"/>
        <s v="Collar Perro Puntitos L Rojo"/>
        <s v="Collar Perro Puntitos L Verde"/>
        <s v="Collar Perro Puntitos M Amarillo"/>
        <s v="Collar Perro Puntitos M Rojo"/>
        <s v="Collar Perro Puntitos M Verde"/>
        <s v="Collar Perro Puntitos S Amarillo"/>
        <s v="Collar Perro Puntitos S Rojo"/>
        <s v="Collar Perro Puntitos S Verde"/>
        <s v="Collar Perro Puntitos Xs Amarillo"/>
        <s v="Collar Perro Puntitos Xs Rojo"/>
        <s v="Collar Perro Puntitos Xs Verde"/>
        <s v="Collar Reflectante Fucsia Para Gato Mascat"/>
        <s v="Collar Reflectante Rojo Para Gato Mascat"/>
        <s v="Collar Triángulo Azul Talla L Perro Mascan"/>
        <s v="Collar Triángulo Azul Talla M Perro Mascan"/>
        <s v="Collar Triángulo Azul Talla S Perro"/>
        <s v="Collar Triángulo Azul Talla Xs Perro"/>
        <s v="Collar Triángulo Fucsia Talla L Perro Mascan"/>
        <s v="Collar Triángulo Fucsia Talla M Perro"/>
        <s v="Collar Triángulo Fucsia Talla S Perro"/>
        <s v="Collar Triángulo Naranja Tallas L Perro"/>
        <s v="Collar Triángulo Naranja Tallas M Perro"/>
        <s v="Collar Triángulo Naranja Tallas S Perro"/>
        <s v="Collar Triángulo Naranja Tallas XS Perro"/>
        <s v="COLLAR TRIANGULO TALLA XS FUCS"/>
        <s v="Correa Acolchada Reflectante Perros Grandes"/>
        <s v="Correa Acolchada Reflectante Perros MeDianos Y Chicos"/>
        <s v="Correa Doble Agarre Perro L Azul"/>
        <s v="Correa Doble Agarre Perro L Fucsia"/>
        <s v="Correa Doble Agarre Perro M Azul"/>
        <s v="Correa Doble Agarre Perro M Fucsia"/>
        <s v="Correa Ramal Trenzada Negra Perro"/>
        <s v="Correa Ramal Trenzada Roja Perro"/>
        <s v="Correa Ramal Trenzado M Negro CORR 00014"/>
        <s v="Correa Ramal Trenzado M Rojo CORR 00014"/>
        <s v="Costillas De Cerdo Sabor Carne Talla M Perro"/>
        <s v="Costillas De Cerdo Sabor Carne Talla S"/>
        <s v="Cubo Tunel para Gatos Gris Mascan"/>
        <s v="Cuchara larga melamina M Fucsia V 00004"/>
        <s v="Cuchara Larga Melamina Talla M Naranja Perro/gato"/>
        <s v="Cuchara Larga Melamina Talla S Azul Perro/gato Mascan"/>
        <s v="Cuchara Larga Melamina Talla S Naranja Perro Mascan"/>
        <s v="Fuente De Agua Cascada Std Blanco"/>
        <s v="Hueso Curvo Talla L Perro"/>
        <s v="Hueso Curvo Talla M Perro"/>
        <s v="Hueso Goma Limpiadientes Verde Talla L Perro"/>
        <s v="Hueso Goma Limpiadientes Verde Talla M Perro"/>
        <s v="Juguete dispensador botella"/>
        <s v="Juguete Dispensador Circular Perro"/>
        <s v="Juguete Dispensador Oviode Egg Perro"/>
        <s v="Juguete Dispensador Para Gato L Azul"/>
        <s v="Juguete Dispensador Para Gato L Fucsia"/>
        <s v="Juguete Dispensador Para Gato M Azul"/>
        <s v="Juguete Dispensador Para Gato M Fucsia"/>
        <s v="Mochila Desmontable Fashion Para Perro Azul XL"/>
        <s v="Mochila Desmontable Fashion Para Perro Café XL"/>
        <s v="Pala sanitaria melamina para gatos STD Blanco HG 50001"/>
        <s v="Pelota con dientes M Verde TY 00011"/>
        <s v="Pelota Con Dientes Verde Talla L Perro"/>
        <s v="Plato comida agua L Azul Marino BW 00013"/>
        <s v="Plato comida agua L Fucsia BW 00013"/>
        <s v="Plato comida agua L Rojo BW 00013"/>
        <s v="Plato comida agua M Azul Marino BW 00013"/>
        <s v="Plato comida agua M Fucsia BW 00013"/>
        <s v="Plato comida agua M Rojo BW 00013"/>
        <s v="Plato Gato doble melamina sólido redondo"/>
        <s v="Plato Gato doble melamina sólido redondo fucsia"/>
        <s v="Plato Gato melamina motivo redondo STD Azul BW 50006"/>
        <s v="Plato Gato melamina motivo redondo STD Rosado BW 50006"/>
        <s v="Plato Gato melamina sólido redondo STD Fucsia BW 50001"/>
        <s v="Plato Gato melamina sólido redondo STD Negro BW 50001"/>
        <s v="Plato huellitas L Blanco BW 00014"/>
        <s v="Plato huellitas L Celeste BW 00014"/>
        <s v="Plato huellitas L Rosado BW 00014"/>
        <s v="Plato huellitas M Blanco BW 00014"/>
        <s v="Plato huellitas M Celeste BW 00014"/>
        <s v="Plato huellitas M Rosado BW 00014"/>
        <s v="Plato huellitas S Blanco BW 00014"/>
        <s v="Plato huellitas S Celeste BW 00014"/>
        <s v="Plato huellitas S Rosado BW 00014"/>
        <s v="Plato Melamina Anti-ahogo Talla L Naranjo Perro"/>
        <s v="Plato Melamina Anti-ahogo Talla L Rojo Perro"/>
        <s v="Plato Melamina Anti-ahogo Talla L Verde Perro"/>
        <s v="Plato Melamina Anti-ahogo Talla M Naranjo Perro"/>
        <s v="Plato Melamina Anti-ahogo Talla S Naranjo Perro"/>
        <s v="Plato Melamina Anti-ahogo Talla S Rojo Perro"/>
        <s v="Plato Melamina Anti-ahogo Talla Xl Naranjo Perro"/>
        <s v="Plato Melamina Anti-ahogo Talla Xl Rojo Perro"/>
        <s v="Plato Melamina Anti-ahogo Talla Xl Verde Perro"/>
        <s v="Plato Melamina Doble Z Talla M Azul Perro"/>
        <s v="Plato Melamina Doble Z Talla M Fucsia Perro Mascan"/>
        <s v="Plato Melamina Doble Z Talla M Morado Perro"/>
        <s v="Plato Melamina Doble Z Talla M Negro Perro"/>
        <s v="Plato Melamina Doble Z Talla S Fucsia Perro"/>
        <s v="Plato Melamina Doble Z Talla S Morado Perro"/>
        <s v="Plato Melamina Doble Z Talla S Negro Perro"/>
        <s v="Plato Melamina Motivo Redondo Amarillo Talla L Perro"/>
        <s v="Plato Melamina Motivo Redondo Amarillo Talla M Perro"/>
        <s v="Plato Melamina Motivo Redondo Amarillo Talla S Perro"/>
        <s v="Plato melamina motivo redondo L Rojo BW 00008"/>
        <s v="Plato Melamina Motivo Redondo Morado Talla L Perro"/>
        <s v="Plato Melamina Motivo Redondo Morado Talla M Perro"/>
        <s v="Plato Melamina Motivo Redondo Multicolor Talla L Perro"/>
        <s v="Plato Melamina Motivo Redondo Multicolor Talla M Perro"/>
        <s v="Plato Melamina Motivo Redondo Multicolor Talla S Perro"/>
        <s v="Plato Melamina Motivo Redondo Rojo Talla M Perro"/>
        <s v="Plato Melamina Motivo Redondo Rojo Talla S Perro"/>
        <s v="Plato melamina motivo redondo S Morado BW 00008"/>
        <s v="Plato Melamina Sólido Redondo Azul Talla L Perro"/>
        <s v="Plato Melamina Sólido Redondo Azul Talla M Perro"/>
        <s v="Plato Melamina Sólido Redondo Azul Talla S Perro"/>
        <s v="Plato Melamina Sólido Redondo Azul Talla Xl Perro"/>
        <s v="Plato Melamina Sólido Redondo Fucsia Talla M Perro"/>
        <s v="Plato Melamina Sólido Redondo Fucsia Talla S Perro"/>
        <s v="Plato Melamina Sólido Redondo Fucsia Talla Xl Perro"/>
        <s v="Plato Melamina Sólido Redondo Morado Talla L Perro"/>
        <s v="Plato Melamina Sólido Redondo Morado Talla M Perro"/>
        <s v="Plato Melamina Sólido Redondo Morado Talla S Perro"/>
        <s v="Plato Melamina Sólido Redondo Negro Talla L Perro"/>
        <s v="Plato Melamina Sólido Redondo Negro Talla M Perro"/>
        <s v="Plato Melamina Sólido Redondo Negro Talla S Perro"/>
        <s v="Plato Melamina Sólido Redondo Negro Talla Xl Perro"/>
        <s v="Plato melamina sólido redondo XL Morado BW 00006"/>
        <s v="Plato melamina Z doble S Azul BW 00003"/>
        <s v="Plato plegable de silicona simple M Naranja BW 00010"/>
        <s v="Plato plegable de silicona simple M Verde BW 00010"/>
        <s v="Plato Plegable Perro Para Preparar Comida Gris"/>
        <s v="Plato Plegable Silicona Doble Naranjo Talla M Perro"/>
        <s v="Plato Plegable Silicona Doble Naranjo Talla S Perro"/>
        <s v="Plato Plegable Silicona Doble Verde Talla M Perro."/>
        <s v="Plato Plegable Silicona Doble Verde Talla S Perro"/>
        <s v="Plato Plegable Silicona Simple Naranjo Talla L Perro"/>
        <s v="Plato Plegable Silicona Simple Verde Talla L Perro"/>
        <s v="Porta Bolsas Sanitarias Cilindro Naranjo Perro Mascan"/>
        <s v="Porta Bolsas Sanitarias Cilindro Verde Perro Mascan"/>
        <s v="Porta Bolsas Sanitarias Hueso Negro Perro"/>
        <s v="Porta bolsas sanitarias hueso STD Fucsia HG 00004"/>
        <s v="Rama De Madera Talla M Perro"/>
        <s v="Rama De Madera Talla S Perro Mascan"/>
        <s v="Rama De Nylon Cafe Sabor Carne Talla M Perro Mascan"/>
        <s v="Tapa de silicona para latas STD Azul V 00005"/>
        <s v="Tapa de silicona para latas STD Fucsia V 00005"/>
        <s v="Tapa de silicona para latas STD Naranja V 00005"/>
        <s v="Varilla Extensible Con Led Std Azul"/>
        <s v="Varilla Extensible Con Led Std Fucsia"/>
        <s v="Bolsa Courier Compostable"/>
        <s v="Copas de Vidrio"/>
        <s v="Gift card 20.000"/>
        <s v="MUESTRA Caja vino VINOTECA"/>
        <s v="Cofias Pelo Plisadas 100 Unidades (Azul)"/>
        <s v="Guantes Latex Médico Blanco X100 L"/>
        <s v="Guantes Vinilo Azul X100 Talla L"/>
        <s v="Guantes Vinilo Azul X100 Talla M"/>
        <s v="Mascarilla desechable 3 pliegues 50 unidades"/>
        <s v="Mascarilla X2 Modelo S KN95 3D Reutilizable (Sobre 2 Unid)"/>
        <s v="Bloques Coloridos MiDeer"/>
        <s v="Juego Adivina El Animal MiDeer"/>
        <s v="Juego Conecta Los Puntos Nivel 2 MiDeer"/>
        <s v="Juego Construcción De Caminos MiDeer"/>
        <s v="Juego De Enlace Animales MiDeer"/>
        <s v="Juego De Lógica Diversión De Monstruos MiDeer"/>
        <s v="Juego De Patrones E Imaginación Magnetico MiDeer"/>
        <s v="Juego De Transporte Magnético MiDeer"/>
        <s v="Level Up Puzzles Nivel 1 Animales 10 Puzzles MiDeer"/>
        <s v="Level Up Puzzles Nivel 2 Cuatro Estaciones 4 Puzzles MiDeer"/>
        <s v="Level Up Puzzles Nivel 3 Habitats Naturales 3 Puzzles MiDeer"/>
        <s v="Level Up Puzzles Nivel 4 Vehiculos 3 Puzzles MiDeer"/>
        <s v="Level Up Puzzles Nivel 5 Tour De Aventuras 3 Puzzles MiDeer"/>
        <s v="Level Up Puzzles Nivel 6 Imaginación 2 Puzzles MiDeer"/>
        <s v="Level Up Puzzles Nivel 7 Geografía Humana 2 Puzzles MiDeer"/>
        <s v="Linterna Proyector De Cuentos Y Estrellas MiDeer"/>
        <s v="Linterna Proyectora De Cuentos MiDeer"/>
        <s v="Puzzle 104Pcs Maleta Cuentos MiDeer"/>
        <s v="Puzzle 104Pcs Maleta Dinosaurios MiDeer"/>
        <s v="Puzzle 150Pcs Redondo Animales Alrededor Del Mundo MiDeer"/>
        <s v="Puzzle 150Pcs Redondo Un Dia En El Bosque MiDeer"/>
        <s v="Puzzle 150Pcs Redondo Vagando En El Espacio MiDeer"/>
        <s v="Puzzle 25Pcs Mi Primer Puzzle Progresivo Animales MiDeer"/>
        <s v="Puzzle 25Pcs Mi Primer Puzzle Progresivo Vehículos MiDeer"/>
        <s v="Puzzle 280Pcs Con Forma Dinosaurios MiDeer"/>
        <s v="Puzzle 280Pcs Con Forma Sueño De Elefante MiDeer"/>
        <s v="Puzzle 30Pcs Redondo Profesiones MiDeer"/>
        <s v="Puzzle 500Pcs Fiesta De Disfraces MiDeer"/>
        <s v="Puzzle Carnaval 528 Pcs MiDeer"/>
        <s v="Puzzle Con Forma Cohete Espacial MiDeer"/>
        <s v="Puzzle Con Forma Fabrica De Robot MiDeer"/>
        <s v="Puzzle Maleta Mi Garage 104Pcs MiDeer"/>
        <s v="Puzzle Maleta Mi Mundo 100Pcs MiDeer"/>
        <s v="Puzzle Maleta Oceano 104Pcs MiDeer"/>
        <s v="Puzzle Redondo Mi Viaje En El Tiempo 25Pcs MiDeer"/>
        <s v="Scratch Art Card Brilla Constelaciones MiDeer"/>
        <s v="Set De Washi Tape MiDeer"/>
        <s v="Set Stickers Reutilizables Animales MiDeer"/>
        <s v="Set Stickers Reutilizables La Vida Es Divertida MiDeer"/>
        <s v="Set Stickers Reutilizables Medios De Transportes MiDeer"/>
        <s v="Stickers Geometricos Animales MiDeer"/>
        <s v="Stickers Geometricos Oceano MiDeer"/>
        <s v="Tarjetas Abecedario Escribir Y Borrar MiDeer"/>
        <s v="Tarjetas Números Escribir Y Borrar MiDeer"/>
        <s v="Tarjetas Sumas Escribir Y Borrar MiDeer"/>
        <s v="Audifono 926-2"/>
        <s v="Bbq indoor"/>
        <s v="Bolsa botella inflable"/>
        <s v="Car cover net"/>
        <s v="car filter Peugeot 206"/>
        <s v="Car fridge 10L"/>
        <s v="Car fridge 12L"/>
        <s v="Car fridge 15L"/>
        <s v="Carl LED COVER"/>
        <s v="Decantador ollo en el fondo"/>
        <s v="Glass cover"/>
        <s v="GPS WATCH MG02"/>
        <s v="kick sensor to open"/>
        <s v="LIA cast iron casserole"/>
        <s v="LIA Stainless steel cassrole with lid"/>
        <s v="Mochila colores"/>
        <s v="Mochila computador"/>
        <s v="Mochila computador LEVO"/>
        <s v="Mochila Outdoor Lhotse"/>
        <s v="MUESTRA Botella 502-27"/>
        <s v="MUESTRA Botella 502-28"/>
        <s v="MUESTRA Maleta + Bolsa"/>
        <s v="PANTUFLAS 004"/>
        <s v="Telon Proyector 100 pulgadas electrico"/>
        <s v="Termometro botella"/>
        <s v="Tetera Lia"/>
        <s v="Möbi Kids Juego Para Aprender Números Y Operaciones Möbi"/>
        <s v="Stellö Juego De Mesa Estrategia Möbi"/>
        <s v="Wigloo Juguete Sensorial Mordedor Möbi"/>
        <s v="Zippee Juguete Sensorial Möbi"/>
        <s v="2 Puzzles Con Forma 650Pcs Queen Of The Stacks Mudpuppy"/>
        <s v="2 Puzzles Con Forma 850Pcs Christian Lacroix Mudpuppy"/>
        <s v="Juego De Mesa Aventura De Un Pingüino En Un Iceberg Mudpuppy"/>
        <s v="Juego De Mesa Chomp Champ Mudpuppy"/>
        <s v="Juego De Mesa Encuentra A Los Amigos Del Bosque Mudpuppy"/>
        <s v="Juego De Mesa Fiesta De Monos En El Bosque Mudpuppy"/>
        <s v="Juego De Mesa Safari De Leones Mudpuppy"/>
        <s v="Puzzle 1000 Pcs Be Kind Mudpuppy"/>
        <s v="Puzzle 1000Pcs Astrologia Con Aluminio Mudpuppy"/>
        <s v="Puzzle 1000Pcs Club De Lectura Mudpuppy"/>
        <s v="Puzzle 1000Pcs Houseplant Jungle Mudpuppy"/>
        <s v="Puzzle 1000Pcs Jazz Mudpuppy"/>
        <s v="Puzzle 1000Pcs Keep Going Mudpuppy"/>
        <s v="Puzzle 1000Pcs Lapices Vintage Con Aluminio Mudpuppy"/>
        <s v="Puzzle 1000Pcs Now House Jonathan A. Mudpuppy"/>
        <s v="Puzzle 1000Pcs Todos Son Bienvenidos Mudpuppy"/>
        <s v="Puzzle 1000Pcs Tu Mundo Mudpuppy"/>
        <s v="Puzzle 1000Pcs Vida Del Oceano Mudpuppy"/>
        <s v="Puzzle 100Pcs Brilla En La Oscuridad Dinosaurios Mudpuppy"/>
        <s v="Puzzle 100Pcs Con Aluminio Tiburones Mudpuppy"/>
        <s v="Puzzle 100Pcs Doble Dinosaurios Mudpuppy"/>
        <s v="Puzzle 100Pcs Doble Mundo Animal Mudpuppy"/>
        <s v="Puzzle 100Pcs Doble Perros Y Gatos Mudpuppy"/>
        <s v="Puzzle 100Pcs Glitter Sirenas Mudpuppy"/>
        <s v="Puzzle 100Pcs Que Brilla En La Oscuridad Bajo El Mar Mudpuppy"/>
        <s v="Puzzle 100Pcs Que Brilla En La Oscuridad La Selva Mudpuppy"/>
        <s v="Puzzle 12Pcs En Estuche Animales Del Zoo Mudpuppy"/>
        <s v="Puzzle 12Pcs En Estuche Bailarinas Mudpuppy"/>
        <s v="Puzzle 12Pcs En Estuche Bajo El Mar Mudpuppy"/>
        <s v="Puzzle 12Pcs En Estuche Castillo De Princesas Mudpuppy"/>
        <s v="Puzzle 12Pcs En Estuche Espacio Exterior Mudpuppy"/>
        <s v="Puzzle 12Pcs En Estuche Parque Dinosaurio Mudpuppy"/>
        <s v="Puzzle 300Pcs Con Forma Bosque Mudpuppy"/>
        <s v="Puzzle 300Pcs Con Forma Dinosaurios Mudpuppy"/>
        <s v="Puzzle 300Pcs Con Forma Espacio Exterior Mudpuppy"/>
        <s v="Puzzle 300Pcs Con Forma Oceano Mudpuppy"/>
        <s v="Puzzle 300Pcs Con Forma Safari Mudpuppy"/>
        <s v="Puzzle 300Pcs Con Forma Selva Mudpuppy"/>
        <s v="Puzzle 300Pcs Elefante Asiático Peligro Extinción Mudpuppy"/>
        <s v="Puzzle 300Pcs Perezoso Pigmeo Peligro De Extinción Mudpuppy"/>
        <s v="Puzzle 36Pcs En Bolso Unicornios Mágicos Mudpuppy"/>
        <s v="Puzzle 42Pcs Con Dibujos Secretos Espacio Exterior Mudpuppy"/>
        <s v="Puzzle 42Pcs Dibujos Secretos Castillo Unicornio Mudpuppy"/>
        <s v="Puzzle 500Pcs Alcachofa Floral Mudpuppy"/>
        <s v="Puzzle 500Pcs Animales De La Selva Mudpuppy"/>
        <s v="Puzzle 500Pcs Doble Monet Mudpuppy"/>
        <s v="Puzzle 500Pcs Escarabajos Mudpuppy"/>
        <s v="Puzzle 500Pcs Flores De Andy Warhol Mudpuppy"/>
        <s v="Puzzle 500Pcs Little Feminist Mudpuppy"/>
        <s v="Puzzle 500Pcs Mariposas Mudpuppy"/>
        <s v="Puzzle 500Pcs Ojos En El Jardin Mudpuppy"/>
        <s v="Puzzle 500Pcs Osos Perezosos Mudpuppy"/>
        <s v="Puzzle 500Pcs Paraiso De Papel Mudpuppy"/>
        <s v="Puzzle 500Pcs Que Brilla En La Oscuridad Oceano Mudpuppy"/>
        <s v="Puzzle 500Pcs Que Brilla En La Oscuridad Selva Mudpuppy"/>
        <s v="Puzzle 500Pcs Safari Pintado Mudpuppy"/>
        <s v="Puzzle 500Pcs Unicornio Leyendo Mudpuppy"/>
        <s v="Puzzle 60Pcs Rascar Y Oler Frutas Cosmicas Mudpuppy"/>
        <s v="Puzzle 70Pcs Geografia Sistema Solar Mudpuppy"/>
        <s v="Puzzle 75Pcs Lenticular Rugido De Dinosaurio Mudpuppy"/>
        <s v="Puzzle 75Pcs Lenticular Unicornio Magico Mudpuppy"/>
        <s v="Puzzle 78Pcs Geografia Mapa Del Mundo Mudpuppy"/>
        <s v="Puzzle 80Pcs Geografia Dinosaurios Mudpuppy"/>
        <s v="Rollo De Actividades Animales De La Selva Mudpuppy"/>
        <s v="Rollo De Actividades Dinosaurios Mudpuppy"/>
        <s v="Tigre Siberiano 300 Pcs Peligro De Extincion Mudpuppy"/>
        <s v="MASCARA DEPORTIVA SLIM-FIT SIN CUELLO REVERSIBLE NEGROZUL"/>
        <s v="Máscara Filtrante Antimicrobiana Lavable Fu+Copper-Negro S/M"/>
        <s v="Ukelele Soprano C/Binding Kala"/>
        <s v="Campanilla Bicicleta Nutcase Baby Shark"/>
        <s v="Air Fryer Grill Ckozese 7L Onson"/>
        <s v="Robot Limpiavidrios Onson H-05 Onson"/>
        <s v="Bolso Porta Bicicleta Plegable"/>
        <s v="CASCO SPORT ONWHEELS CALAITA M (55-58CM)"/>
        <s v="Casco urbano ow con luz accua M"/>
        <s v="Afilador Cuchillo Oou"/>
        <s v="Cuchillo 18Cm Black Series Oou"/>
        <s v="Set Cuchillo 8Pcs Black Series Oou"/>
        <s v="Bolso Juguete &quot;Flora Y Fauna Chile&quot;"/>
        <s v="Calendario 2022 &quot;Aves&quot;"/>
        <s v="estuche lapicera diseño zorro culpeo"/>
        <s v="mueñecos chile (zorro)"/>
        <s v="Pallet Madera"/>
        <s v="Pack 2 Sillas Reposeras Azul + Mesa Transportadora Possa"/>
        <s v="Pack 2 Sillas Reposeras Rojo + Mesa Transportadora Possa"/>
        <s v="Silla Reposera Lineas Rojas Possa"/>
        <s v="Set de Cubiertos Lightweight Trailcutkery Rojo"/>
        <s v="Billetera Cuero Clasica Puelo Hecha a mano"/>
        <s v="Billetera cuero Pehoe Con Pasador Hecha a Mano"/>
        <s v="Billetera Cuero Yelco"/>
        <s v="Billetera tarjetero Icalma Hecha a Mano"/>
        <s v="Cartera Petty Cuero Hecho a Mano"/>
        <s v="Cinturón Cuero Bordado Pampa Café Talla L Raiquen"/>
        <s v="Cinturón Cuero Bordado Pampa Café Talla M Raiquen"/>
        <s v="Cinturón Cuero Bordado Pampa Café Talla S Raiquen"/>
        <s v="Cinturón Cuero Bordado Pampa Verde"/>
        <s v="Cinturón Cuero Bordado Pampa Verde Raiquen"/>
        <s v="Cinturón Cuero Café L Costura Hecho a Mano Raiquen Cinturón Cuero Café L Costura Hecho a Mano Raiquen"/>
        <s v="Cinturón Cuero Café M Costura Hecho a Mano Raiquen"/>
        <s v="Cinturón Cuero Café S Costura Hecho a Mano Raiquen"/>
        <s v="Cinturón Cuero Café XL Costura Hecho a Mano Raiquen"/>
        <s v="Cuchillo Conchalí Artesanal Hecho a Mano Raiquen"/>
        <s v="Cuchillo Marmolejo Artesanal Hecho a Mano Raiquen"/>
        <s v="Cuchillo Paico Artesanal Hecho a Mano Raiquen"/>
        <s v="Cuchillo Piga Artesanal Hecho a Mano Raiquen"/>
        <s v="Estuche De Cuero Multiuso Tubo"/>
        <s v="Guante Cuero Artesanal Asado"/>
        <s v="Identificador para equipaje de cuero Hecho a Mano"/>
        <s v="Juego Cachos Cuero Pelo Natural"/>
        <s v="Juego de cachos Raiquen"/>
        <s v="Juego de naipes cuero reno Hecho a mano Raiquen"/>
        <s v="Llavero de Cuero Raiquen Hecho a Mano"/>
        <s v="Mousepad de Cuero Raiquen Hecho a Mano"/>
        <s v="Neceser Cuero Reno Grande Raiquen"/>
        <s v="Neceser Grande"/>
        <s v="Neceser Viajero Cuero Graso"/>
        <s v="Pechera Asador Turmán Cuero Negro"/>
        <s v="Pechera Tumán de Cuero Hecho a Mano Raiquen"/>
        <s v="Porta Mosca Cuero Fly Fishing"/>
        <s v="Porta pasaporte/documento Aconcagua"/>
        <s v="Tabaquera Multifuncional Cuero Reno"/>
        <s v="Sticker Personalizables Roda"/>
        <s v="Balancio Juego De Ingenio Scratch Europe"/>
        <s v="Casa De Juegos Hospital Scratch Europe"/>
        <s v="Casa De Juegos La Casa Scratch Europe"/>
        <s v="Casa De Juegos La Tienda Scratch Europe"/>
        <s v="Cubos Para Apilar Animales 10Pcs Scratch Europe"/>
        <s v="Cubos Para Apilar Incluye Autos Scratch Europe"/>
        <s v="Cubos Para Apilar La Granja 10Pcs Scratch Europe"/>
        <s v="Cubos Para Apilar La Granja Jumbo 5 Cubos Scratch Europe"/>
        <s v="Encuentra Un Pez Juego De Mesa Scratch Europe"/>
        <s v="Jungla Juego De Mesa Scratch Europe"/>
        <s v="Koala Juego De Ingenio Scratch Europe"/>
        <s v="Pijama Party Juego De Ingenio Scratch Europe"/>
        <s v="Puzzle 100Pcs De Piso Ciudad Scratch Europe"/>
        <s v="Puzzle 150Pcs Mapa Del Mundo Scratch Europe"/>
        <s v="Puzzle 200Pcs Bajo El Mar Scratch Europe"/>
        <s v="Puzzle 200Pcs Jungla Scratch Europe"/>
        <s v="Puzzle 30Pcs Con Forma Dinosaurio Scratch Europe"/>
        <s v="Puzzle 30Pcs Con Forma Unicornio Scratch Europe"/>
        <s v="Puzzle 36Pcs De Piso Granja Scratch Europe"/>
        <s v="Puzzle 36Pcs De Piso Safari Scratch Europe"/>
        <s v="Puzzle 39Pcs Doble Con Forma Buho Scratch Europe"/>
        <s v="Puzzle 40Pcs Con Forma Pavo Real Scratch Europe"/>
        <s v="Puzzle 40Pcs Dinosaurios Scratch Europe"/>
        <s v="Puzzle 45Pcs Con Forma Mundo Scratch Europe"/>
        <s v="Puzzle 59Pcs Con Forma Tigre Scratch Europe"/>
        <s v="Puzzle 60 Cs Ferry Scratch Europe"/>
        <s v="Puzzle 60Pcs Con Forma Ballena Scratch Europe"/>
        <s v="Puzzle 60Pcs Princesa Scratch Europe"/>
        <s v="Puzzle Progresivo Safari 5 Puzzles Scratch Europe"/>
        <s v="Puzzle Progresivo Vehiculos 5 Puzzles Scratch Europe"/>
        <s v="Bandolera Sei Modelo 2926717"/>
        <s v="Bandolera Sei Modelo 2926721"/>
        <s v="BILLETERA ACORDEON MEDIANA MODELO 2923506"/>
        <s v="Bolso Sei Modelo 2919278"/>
        <s v="BOLSO SEI MODELO 2919419 FLASH SALE"/>
        <s v="Bolso Sei Modelo 2954217"/>
        <s v="Cartera Bolsillo Frontal Con Manilla Carey Multi Negro 27444"/>
        <s v="Cartera Clasic Aplicacion Lateral Tela Escoces Negro 27430"/>
        <s v="Mochila Aplicacionfrontal En Material Multi Oliva 29145"/>
        <s v="Acondicionador Anti Enredos con Vitaminas Sheet"/>
        <s v="Acondicionador Desenredante Sheet"/>
        <s v="Acondicionador Low Poo Sheet"/>
        <s v="Carrot Mask Sheet"/>
        <s v="Cepillo Sheet"/>
        <s v="Cintillo Sheet"/>
        <s v="Grape Mask Sheet"/>
        <s v="Mascarilla Facial Oveja Detox Sheet"/>
        <s v="Mascarilla Facial Oveja Glow Sheet"/>
        <s v="Mascarilla Facial Oveja Sos Sheet"/>
        <s v="Oveja Vitamins Sheet"/>
        <s v="Serum Argan Sheet"/>
        <s v="Serum Crecimiento Pestañas Y Cejas Sheet"/>
        <s v="Serum Zanahoria Sheet"/>
        <s v="Shampoo Limpieza Profunda Sheet"/>
        <s v="Shampoo Low Poo Sheet"/>
        <s v="Suplemento Pelo Sheet"/>
        <s v="Suplemento Piel Sheet"/>
        <s v="Tónico Anticaída Sheet"/>
        <s v="Batería de Cocina Classic Series"/>
        <s v="Batería de Cocina Oregon 5 piezas"/>
        <s v="Bateria de Ollas Copper Colection"/>
        <s v="Cafetera Francesa 600ml Negro"/>
        <s v="Cafetera Italiana Negro Granito 4 tazas"/>
        <s v="Cafetera Italiana Negro Granito12 Tazas"/>
        <s v="Cafetera Prensa Francesa Vidrio Cobre 600 ml"/>
        <s v="Contenedor Cerámica L Blanco"/>
        <s v="Contenedor Cerámica L Negro"/>
        <s v="Contenedor Cerámica M Blanco"/>
        <s v="Contenedor Cerámica M Negro"/>
        <s v="Contenedor Cerámica S Blanco"/>
        <s v="Contenedor Cerámica S Negro"/>
        <s v="Cortador colador multifuncional"/>
        <s v="Cubeta hielo grande cuadrado 6 unidades"/>
        <s v="Cubeta Hielo Pequeño"/>
        <s v="Cubeta Hielo redondo 6 unidades"/>
        <s v="Cubeta Hielo Regular 15 unidades"/>
        <s v="Especiero Madera 8 Frascos vidrio"/>
        <s v="Espumador de Leche BLANCO"/>
        <s v="Espumador de Leche NEGRO"/>
        <s v="Fuente para Horno Olla Cerámica Roja"/>
        <s v="Juego de cachos 4 unidades"/>
        <s v="Mantequillero cerámica tapa bamboo 300ml"/>
        <s v="Mantequillero cerámica tapa bamboo con cuchillo 600ml"/>
        <s v="Molinillo de Sal y Pimienta"/>
        <s v="MUESTRA Termo 111-4"/>
        <s v="Organizador de refrigerador con cesta L"/>
        <s v="Organizador de refrigerador con cesta M"/>
        <s v="Organizador de refrigerador L"/>
        <s v="Organizador de refrigerador S"/>
        <s v="Pack 2 Organizadores de refrigerador M y L Cesta"/>
        <s v="Pack 2 Taza Mug Vidrio Doble Pared 300 ml"/>
        <s v="Pack 2 Taza Vidrio Doble Pared 350 ml"/>
        <s v="Pack Organizador refrigerador S y L"/>
        <s v="Panera Metálica con Tapa Bamboo Blanca"/>
        <s v="Parrilla Negra 17cm N2"/>
        <s v="Parrilla Portátil Carbón Kettle Roja 17''"/>
        <s v="Parrilla Roja 17cm N2"/>
        <s v="Pesa Cocina silver"/>
        <s v="Sarten 24cm Copper Colection"/>
        <s v="Secaplato Blanco 1 Nivel"/>
        <s v="Secaplato Negro 1 Nivel"/>
        <s v="Secaplatos 2 niveles armable"/>
        <s v="Secaplatos Escurridor 2 Niveles Acero Inox Blanco"/>
        <s v="Secaplatos Escurridor 2 Niveles Acero Inox Negro"/>
        <s v="Set 2 Alcuza de Cerámica cuadrada"/>
        <s v="Set 2 Alcuza de Cerámica redonda"/>
        <s v="Set 2 Moscow Mule Mug"/>
        <s v="Set 2 Tazas Doble Pared Espresso 80 ml"/>
        <s v="Set 2 Vasos de Vidrio Estilo Japonés 320 ml"/>
        <s v="Set 2 vasos Moscow Mule M2"/>
        <s v="Set 2 Vasos Vidrio Borosilicato 550 ml"/>
        <s v="Set 2 Vasos Vidrio Doble Pared 400 ml"/>
        <s v="Set 3 Bowl Metálico"/>
        <s v="Set 3 Contenedores Cerámica Hermético Blanco Simplit"/>
        <s v="Set 3 Contenedores Cerámica Hermético Negro Simplit"/>
        <s v="Set 3 Contenedores Hermeticos"/>
        <s v="Set 3 Fuentes para horno"/>
        <s v="Set 4 Contenedores Hermeticos Redondos"/>
        <s v="Set 4 Moscow Mule Mug"/>
        <s v="Set 4 Tupper vidrio tapa Bamboo"/>
        <s v="Set 6 copas cerveceras 420ml"/>
        <s v="Set 6 vasos cerveceros 380ml"/>
        <s v="Set 6 vasos copa redondos 340ml"/>
        <s v="Set 6 vasos Vintage 200ml"/>
        <s v="Set 6 vasos vintage 350ml"/>
        <s v="Set 6 vasos whisky 270ml"/>
        <s v="Set 7 Contenedores Hermeticos"/>
        <s v="Set de 7 Contenedores Herméticos Plástico NEGROS Simplit"/>
        <s v="Set de Especiero 16 Unidades"/>
        <s v="Set de utensilios Calipso N2"/>
        <s v="Set de utensilios de cocina Calipso"/>
        <s v="Set de utensilios de cocina Negro"/>
        <s v="Set de utensilios Negro N2"/>
        <s v="Tabla de corte Plegable 3 en 1"/>
        <s v="Taza Mug Vidrio Doble Pared 300 ml"/>
        <s v="Taza Vidrio Doble Pared 350 ml"/>
        <s v="Termo Comida 430ml Azul"/>
        <s v="Termo Comida 430ml Negro"/>
        <s v="Termo Comida 430ml Rosado"/>
        <s v="Termo Comida 750 ml Simplit Gris"/>
        <s v="Termo Comida 750 ml Simplit Negro"/>
        <s v="Termo Comida 750 ml Simplit Rosado"/>
        <s v="Termo Insulado 1 Lt Blanco"/>
        <s v="Termo Insulado 1 Lt Gris"/>
        <s v="Tupper acero inoxidable tapa Bamboo 800 ml"/>
        <s v="Vaso termico con tapa y bombilla Morado"/>
        <s v="Vaso termico con tapa y bombilla Negro"/>
        <s v="Vaso termico con tapa y bombilla Rosado"/>
        <s v="Barra Wow Peanut"/>
        <s v="Pack 5 Unidades Wow Peanut"/>
        <s v="Silla Tripp Trapp Menta Suave Stokke"/>
        <s v="Aclarador Capilar Blonde Hair Lightener"/>
        <s v="Acondicionador Púrpura Sun Bum"/>
        <s v="Acondicionador Revitalizante"/>
        <s v="After Sun Cool Down Gel"/>
        <s v="After Sun Cool Down Lotion"/>
        <s v="Bálsamo Labial Con Color SPF 15 Bonfire"/>
        <s v="Bálsamo Labial Con Color SPF 15 Nude Beach"/>
        <s v="Bálsamo Labial Con Color SPF 15 Raisin Hell"/>
        <s v="Bálsamo Labial Con Color SPF 15 Sand Bar"/>
        <s v="Bálsamo Labial Con Color SPF 15 Sunset Cove"/>
        <s v="Bálsamo Labial Lip Balm SPF 30 - Pomegranate"/>
        <s v="Bálsamo Labial Lip Balm SPF 30 Banana"/>
        <s v="Bálsamo Labial Lip Balm SPF 30 – Key Lime"/>
        <s v="Bálsamo Labial Lip Balm SPF 30 – Mango"/>
        <s v="Bálsamo Labial Lip Balm SPF 30 – Pineapple"/>
        <s v="Bálsamo Labial Lip Balm SPF 30 – Watermelon"/>
        <s v="Bronceador con Protección Solar SPF 15"/>
        <s v="Clear Zinc Pantalla Solar a Base de Mineral SPF 50"/>
        <s v="Loción De Protección Solar Hidratante SPF 15"/>
        <s v="Loción De Protección Solar Hidratante SPF 30"/>
        <s v="Loción De Protección Solar Hidratante SPF 50"/>
        <s v="Mascarilla Capilar Revitalizante Sun Bum"/>
        <s v="Potenciador de Tono Capilar"/>
        <s v="Protector Solar Facial En Barra PF 30"/>
        <s v="Protector Solar Facial SPF 50"/>
        <s v="Protector Solar Mineral en Barra SPF 50"/>
        <s v="Samo Labial Lip Balm SPF 30 Coco"/>
        <s v="Shampoo Púrpura Sun Bum"/>
        <s v="Shampoo Revitalizante"/>
        <s v="Signature Face Stick Tinted SPF 50"/>
        <s v="Jarra Acero 2 Litros"/>
        <s v="Jarra Vidrio Blanca 1.5 Lt"/>
        <s v="Jarra Vidrio Blanca 1Lt"/>
        <s v="Mug Acero Inoxidable 420 ML Azul"/>
        <s v="Mug Acero Inoxidable 420 ML Celeste"/>
        <s v="Mug Acero Inoxidable 420 ML Rojo"/>
        <s v="Termo Comida King 710 ml Negro"/>
        <s v="Termo Comida King Acero Inox Negro 470 ml"/>
        <s v="Termo Líquidos King Acero Inox Negro 1.2lts"/>
        <s v="Termo Líquidos King Acero Inox Negro 2lts"/>
        <s v="Termo Líquidos King Acero Inox Negro 470ml"/>
        <s v="Termo Líquidos King Acero Inox Rojo 470ml"/>
        <s v="Termo Líquidos Mondial Petróleo 1Lt"/>
        <s v="Termo Líquidos Mondial Verde 1Lt"/>
        <s v="Termo Líquidos New 1Lt Azul"/>
        <s v="Termo Líquidos New Azul 1.8Lt"/>
        <s v="Termo Líquidos Tapa Plana 1 Lt Azul"/>
        <s v="Termo Líquidos Tapa Plana 1 Lt Rojo"/>
        <s v="Termo Mug Acero Inox Rojo 470ml"/>
        <s v="Termo Mug Acero Inoxidable 470 ml Negro"/>
        <s v="Termo Multipropósito Acero 750ml"/>
        <s v="Termo Multiuso Acero 1 Lt"/>
        <s v="Termo Sifón Acero 1.5 Lt Metálico"/>
        <s v="Termo Sifón Acero Inox 1.9 Lt"/>
        <s v="Termo Sifón Vidrio 2.5 Lt"/>
        <s v="Thermo Líquido 1Lt New Gris Thermos"/>
        <s v="THERMO LÍQUIDO AZUL MONDIAL 1,8 lt"/>
        <s v="Thermo Liquido Tapa Plana Azul 500 Ml"/>
        <s v="Thermo Liquido Tapa Plana Rojo 500ml"/>
        <s v="THERMO LÍQUIDO VERDE MONDIAL 1,8 lt"/>
        <s v="Thermo Matero C/Bombilla 400ML Morado"/>
        <s v="Thermo Matero C/Bombilla 400ML Rojo"/>
        <s v="Thermo Matero C/Bombilla 400ML Verde"/>
        <s v="Mesa para Notebook Plegable Multifuncional Negra"/>
        <s v="Soporte Celular para Vehiculos"/>
        <s v="Soporte para Notebook de Aluminio"/>
        <s v="TECLADO Y MOUSE"/>
        <s v="Puños Vpg-bs01 Silicona Rojo"/>
        <s v="ARCO SIERRA ROBUSTO 12 (300MM)"/>
        <s v="DESTORNILLADOR 4 EN 1 CON LUZ LED"/>
        <s v="DESTORNILLADOR PUNTA INTERCAMBIABLE 6 EN 1"/>
        <s v="JUEGO SET DE PUNTAS MÉTRICAS 13 PIEZAS CON ORGANIZADOR"/>
        <s v="Kit Juego De Herramientas Hogar 17 Piezas"/>
        <s v="LLAVE EXTRA ANCHA 2 EN 1 AJUSTABLE/TUBO 8 (200MM)"/>
        <s v="SERRUCHO COSTILLA MANGO ERGONOMICO 16 (400MM)"/>
        <s v="SERRUCHO MANGO ERGONOMICO 14 (350MM)"/>
        <s v="SERRUCHO MANGO ERGONOMICO 24 (600MM)"/>
        <s v="Barra para auto universal XROOF"/>
        <s v="Cobertor carpa cubre auto XRoad"/>
        <s v="Cobertor de auto para mascotas"/>
        <s v="Pick up Pad 5 bicicletas XROAD"/>
        <s v="Protector De Asiento Individual Auto Mascotas"/>
        <s v="Rack techo auto"/>
        <s v="Toldo lateral Auto camping"/>
        <s v="Big Mug 1200Ml Gris Zola"/>
        <s v="Botella Térmica Clásica 750Ml Amarillo Zola"/>
        <s v="Botella Térmica Clásica 750Ml Azul Zola"/>
        <s v="Botella Térmica Clásica 750Ml Blanco Zola"/>
        <s v="Botella Térmica Clásica 750Ml Calypso Zola"/>
        <s v="Botella Térmica Clásica 750Ml Gris Zola"/>
        <s v="Botella Térmica Clásica 750Ml Menta Zola"/>
        <s v="Botella Térmica Clásica 750Ml Negra"/>
        <s v="Botella Térmica Clásica 750Ml Rosado Zola"/>
        <s v="Botella Térmica Clásica 750Ml Verde"/>
        <s v="Botella Térmica Hikkers 1L Azul Zola"/>
        <s v="Botella Térmica Hikkers 1L Blanco Zola"/>
        <s v="Botella Térmica Hikkers 1L Negro Zola"/>
        <s v="Botella Térmica Hikkers Calypso 1L Zola"/>
        <s v="Can Insulator 350Ml Blanco Zola"/>
        <s v="Can Insulator 350Ml Menta Zola"/>
        <s v="Can Insulator 350Ml Negro Zola"/>
        <s v="Mate Térmico 200Ml Blanco Zola"/>
        <s v="Mug Térmico Travel 590Ml Blanco Zola"/>
        <s v="Mug Térmico Travel 590Ml Calypso Zola"/>
        <s v="Mug Térmico Travel 590Ml Gris Zola"/>
        <s v="Taza Térmica Campers 350Ml Blanco Zola"/>
        <s v="Taza Térmica Campers 350Ml Gris Zola"/>
        <s v="Taza Térmica Campers 350Ml Negro Zola"/>
        <s v="Taza Térmica Campers 350Ml Turquesa Zola"/>
        <s v="Termo Clásico 1L Blanco Zola"/>
        <s v="Termo Clásico 1L Negro Zola"/>
        <s v="Proyector Focus Mini"/>
        <s v="Proyector home 360"/>
        <s v="Proyector Infinity"/>
        <s v="Proyector PL05"/>
        <s v="CAJA Audifonos Gamer Thunder"/>
        <s v="CAJA Kit teclado + mouse Levo"/>
        <s v="CAJA Smartband R01 Blue"/>
        <s v="CAJA Smartband R01 Pink"/>
        <s v="CAJA Smartwatch Live Mini 206 Negro"/>
        <s v="Caja Smartwatch Live Mini 206 Rosado"/>
        <s v="CAJA Smartwatch Live Mini 206 Verde"/>
        <s v="CAJA Teclado Gamer Storm"/>
        <s v="Lhotse Compostable Bag 25*40cm"/>
        <s v="Lhotse Compostable Bag 29.5x48cm"/>
        <s v="Lhotse Compostable Bag 48x48cm"/>
        <s v="Melollevo Compostable Bag 25*40cm"/>
        <s v="Melollevo Compostable Bag 29,5x48cm"/>
        <s v="Melollevo Compostable Bag 48x48cm"/>
      </sharedItems>
    </cacheField>
    <cacheField name="Código Barras" numFmtId="0">
      <sharedItems>
        <s v="CT2165T"/>
        <s v="CT1925T"/>
        <s v="CT2156T"/>
        <s v="CT1853-6T"/>
        <s v="CT1761-6T"/>
        <s v="CT1929T"/>
        <s v="69748179686395"/>
        <s v="27534"/>
        <s v="8430306262505"/>
        <s v="8430306268828"/>
        <s v="8430306268798"/>
        <s v="8430306265025"/>
        <s v="27027"/>
        <s v="26807"/>
        <s v="26808"/>
        <s v="27213"/>
        <s v="26916"/>
        <s v="26915"/>
        <s v="26917"/>
        <s v="8430306274454"/>
        <s v="27184"/>
        <s v="27185"/>
        <s v="27446"/>
        <s v="26876"/>
        <s v="26875"/>
        <s v="27122"/>
        <s v="26404"/>
        <s v="27239"/>
        <s v="26773"/>
        <s v="26065"/>
        <s v="27246"/>
        <s v="26575"/>
        <s v="27353"/>
        <s v="8430306265964"/>
        <s v="27433"/>
        <s v="27249"/>
        <s v="27245"/>
        <s v="8430306260709"/>
        <s v="23669"/>
        <s v="24767"/>
        <s v="8430306267609"/>
        <s v="8430306267647"/>
        <s v="8430306267661"/>
        <s v="24824"/>
        <s v="8430306258034"/>
        <s v="8430306260556"/>
        <s v="8430306260570"/>
        <s v="27496"/>
        <s v="27495"/>
        <s v="8430306275857"/>
        <s v="26022"/>
        <s v="26021"/>
        <s v="26021A"/>
        <s v="26021B"/>
        <s v="8430306269948"/>
        <s v="2691516"/>
        <s v="2691517"/>
        <s v="26409"/>
        <s v="25566"/>
        <s v="26883"/>
        <s v="26885"/>
        <s v="26884"/>
        <s v="27409"/>
        <s v="27261"/>
        <s v="27413"/>
        <s v="27411"/>
        <s v="26925"/>
        <s v="25163"/>
        <s v="26667"/>
        <s v="26669"/>
        <s v="26668"/>
        <s v="8430306267364"/>
        <s v="26935"/>
        <s v="27106"/>
        <s v="27174"/>
        <s v="27489"/>
        <s v="27487"/>
        <s v="27488"/>
        <s v="25835"/>
        <s v="26233"/>
        <s v="8430306271255"/>
        <s v="27123"/>
        <s v="27124"/>
        <s v="26968"/>
        <s v="26967"/>
        <s v="26969"/>
        <s v="26970"/>
        <s v="27535"/>
        <s v="8430306257822"/>
        <s v="27016"/>
        <s v="26966"/>
        <s v="8430306260181"/>
        <s v="4751030830940"/>
        <s v="15916560879484"/>
        <s v="BGMP-3302"/>
        <s v="15888899205009"/>
        <s v="15888899214888"/>
        <s v="15916560878836"/>
        <s v="BUC-101"/>
        <s v="BUC-103"/>
        <s v="BUC-102"/>
        <s v="BUC-105"/>
        <s v="BUC-106"/>
        <s v="BUC-107"/>
        <s v="BUC-108"/>
        <s v="8435508000153"/>
        <s v="B0239"/>
        <s v="8435508003710"/>
        <s v="8435508005110"/>
        <s v="B0406"/>
        <s v="8435508003420"/>
        <s v="B0601"/>
        <s v="B0403"/>
        <s v="B0404"/>
        <s v="8435508002621"/>
        <s v="8435508002638"/>
        <s v="B0253"/>
        <s v="8435508002591"/>
        <s v="B0619"/>
        <s v="B0622"/>
        <s v="B0733"/>
        <s v="8435508003468"/>
        <s v="B0527"/>
        <s v="B0046"/>
        <s v="B0623"/>
        <s v="B0624"/>
        <s v="B0761"/>
        <s v="B0760"/>
        <s v="B0756"/>
        <s v="B0762"/>
        <s v="B0757"/>
        <s v="B0734"/>
        <s v="B0344"/>
        <s v="B0348"/>
        <s v="B0726"/>
        <s v="B0618"/>
        <s v="B0442"/>
        <s v="B0600"/>
        <s v="B0598"/>
        <s v="B0599"/>
        <s v="8435508003208"/>
        <s v="8435508004083"/>
        <s v="8435508005059"/>
        <s v="8435508005073"/>
        <s v="B0258"/>
        <s v="B0275"/>
        <s v="B0250"/>
        <s v="B0273"/>
        <s v="B0255"/>
        <s v="B0254"/>
        <s v="B0252"/>
        <s v="8435508003741"/>
        <s v="8435508003758"/>
        <s v="8435508007527"/>
        <s v="8435508007510"/>
        <s v="8435508003772"/>
        <s v="8435508003802"/>
        <s v="8435508003796"/>
        <s v="B0314"/>
        <s v="B0313"/>
        <s v="8435508003086"/>
        <s v="8435508003017"/>
        <s v="8435508003154"/>
        <s v="8435508007237"/>
        <s v="8435508000238"/>
        <s v="8435508007107"/>
        <s v="8435508003321"/>
        <s v="8435508003192"/>
        <s v="8435508002928"/>
        <s v="8435508002904"/>
        <s v="8435508006421"/>
        <s v="B0295"/>
        <s v="B0298"/>
        <s v="B0299"/>
        <s v="8435508002966"/>
        <s v="8435508002973"/>
        <s v="8435508002942"/>
        <s v="8435508002935"/>
        <s v="B0289"/>
        <s v="B0178"/>
        <s v="8435508004137"/>
        <s v="8435508004120"/>
        <s v="8435508004113"/>
        <s v="8435508004106"/>
        <s v="B0698"/>
        <s v="B0696"/>
        <s v="B0697"/>
        <s v="8435508006865"/>
        <s v="8435508006889"/>
        <s v="8435508006995"/>
        <s v="B0500"/>
        <s v="8435508004175"/>
        <s v="8435508004182"/>
        <s v="B0300"/>
        <s v="B0716"/>
        <s v="B0031"/>
        <s v="8435508003505"/>
        <s v="8435508003680"/>
        <s v="8435508003659"/>
        <s v="8435508003666"/>
        <s v="8435508003673"/>
        <s v="8435508003512"/>
        <s v="1584553341630"/>
        <s v="6902221314499"/>
        <s v="1643632126554"/>
        <s v="6902221326232"/>
        <s v="6902221318954"/>
        <s v="6902221318817"/>
        <s v="6902221326416"/>
        <s v="6909721325543"/>
        <s v="6902221296276"/>
        <s v="6902221328984"/>
        <s v="6902221315069"/>
        <s v="6902221325969"/>
        <s v="6902221335241"/>
        <s v="6902221335258"/>
        <s v="6902221314901"/>
        <s v="6902221297877"/>
        <s v="6902221297884"/>
        <s v="6902221297907"/>
        <s v="6902221296382"/>
        <s v="6902221293046"/>
        <s v="6902221335166"/>
        <s v="6902221335227"/>
        <s v="6902221318398"/>
        <s v="6902221325891"/>
        <s v="6902221325877"/>
        <s v="6902221325907"/>
        <s v="6902221315083"/>
        <s v="1623965684963"/>
        <s v="1623965693222"/>
        <s v="6902221325709"/>
        <s v="1623965619775"/>
        <s v="6902221315267"/>
        <s v="6902221324641"/>
        <s v="6902221325914"/>
        <s v="6902221332998"/>
        <s v="6902221326102"/>
        <s v="6902221315359"/>
        <s v="6902221315373"/>
        <s v="6902221295811"/>
        <s v="6902221318312"/>
        <s v="6902221318329"/>
        <s v="6902221318527"/>
        <s v="6902221314598"/>
        <s v="6902221318374"/>
        <s v="22103356545"/>
        <s v="659525528072"/>
        <s v="6595255280580"/>
        <s v="659525528065"/>
        <s v="659525528089"/>
        <s v="659525528058"/>
        <s v="1643635333606"/>
        <s v="659525528034"/>
        <s v="659525528041"/>
        <s v="659525528126"/>
        <s v="788115523491"/>
        <s v="15888899248284"/>
        <s v="DOT-030"/>
        <s v="DOT-020"/>
        <s v="GRA-024"/>
        <s v="659525527976"/>
        <s v="IMA-050"/>
        <s v="781718817110"/>
        <s v="781159477959"/>
        <s v="IMA-B01"/>
        <s v="IMA-CLR20"/>
        <s v="IMA-44"/>
        <s v="IMA-AC16"/>
        <s v="659525528010"/>
        <s v="659525528027"/>
        <s v="IMA-GLI"/>
        <s v="IMA-GID"/>
        <s v="IMA-032"/>
        <s v="IMA-060"/>
        <s v="IMA-PISTA"/>
        <s v="IMA-PI50"/>
        <s v="IMA-A02"/>
        <s v="IMA-CG5"/>
        <s v="IMA-TOBO"/>
        <s v="IMA-TOBO70"/>
        <s v="PAD-DLMM"/>
        <s v="PAD-DLN"/>
        <s v="781159926891"/>
        <s v="781159926907"/>
        <s v="PAD-001NE"/>
        <s v="659525528102"/>
        <s v="PAD-001RO"/>
        <s v="MAG-01"/>
        <s v="15888919706352"/>
        <s v="15888919706971"/>
        <s v="781159926679"/>
        <s v="781159926662"/>
        <s v="PAD-L02"/>
        <s v="6902221289452"/>
        <s v="6902221381835"/>
        <s v="22130608780"/>
        <s v="6902221323545"/>
        <s v="6902221323552"/>
        <s v="6902221324078"/>
        <s v="6902221390059"/>
        <s v="1618355623582"/>
        <s v="6902221327284"/>
        <s v="6902221386519"/>
        <s v="1618355664643"/>
        <s v="6902221322852"/>
        <s v="6902221322944"/>
        <s v="6902221322845"/>
        <s v="69034213249412"/>
        <s v="6902221322814"/>
        <s v="6902221322937"/>
        <s v="6902221322838"/>
        <s v="6902221322883"/>
        <s v="6902221322319"/>
        <s v="6902221386274"/>
        <s v="22130608661"/>
        <s v="6902221386373"/>
        <s v="6902221316967"/>
        <s v="6902221317094"/>
        <s v="6902221319104"/>
        <s v="6902221319111"/>
        <s v="6902221342652"/>
        <s v="6902221341129"/>
        <s v="6902221342003"/>
        <s v="6902221341204"/>
        <s v="6902221341181"/>
        <s v="6902221341167"/>
        <s v="6902221342034"/>
        <s v="6902221342089"/>
        <s v="6902221342614"/>
        <s v="6902221341983"/>
        <s v="6902221342058"/>
        <s v="6902221342027"/>
        <s v="6902221342072"/>
        <s v="6902221342591"/>
        <s v="6902221342621"/>
        <s v="6902221342683"/>
        <s v="6902221317032"/>
        <s v="6902221341235"/>
        <s v="6902221341228"/>
        <s v="6902221341105"/>
        <s v="1628287262891"/>
        <s v="6902221342645"/>
        <s v="6902221311054"/>
        <s v="6902221356673"/>
        <s v="6902221308368"/>
        <s v="22130608802"/>
        <s v="6909921264406"/>
        <s v="6902221355591"/>
        <s v="6902221287151"/>
        <s v="6902221385154"/>
        <s v="1645639979453"/>
        <s v="1645640076327"/>
        <s v="6903121324885"/>
        <s v="6902221345332"/>
        <s v="6000620343"/>
        <s v="3760073879046"/>
        <s v="3760073879015"/>
        <s v="3760073879053"/>
        <s v="6000620347"/>
        <s v="69947161077825"/>
        <s v="69947161057821"/>
        <s v="69947161092820"/>
        <s v="69947161071937"/>
        <s v="69947161065798"/>
        <s v="69947161084355"/>
        <s v="3760073879060"/>
        <s v="3760073879084"/>
        <s v="1550239202142"/>
        <s v="3210960000010"/>
        <s v="3211511000022"/>
        <s v="5425029650657"/>
        <s v="CPMX02BLU"/>
        <s v="CPMX02LIM"/>
        <s v="CPMX02PIN"/>
        <s v="0781159030499"/>
        <s v="0614143234170"/>
        <s v="0781159030505"/>
        <s v="1646242569"/>
        <s v="3522"/>
        <s v="3539"/>
        <s v="3492"/>
        <s v="3478"/>
        <s v="3461"/>
        <s v="1061"/>
        <s v="1034"/>
        <s v="1028"/>
        <s v="1035"/>
        <s v="1029"/>
        <s v="1053"/>
        <s v="1052"/>
        <s v="1010"/>
        <s v="1036"/>
        <s v="1015"/>
        <s v="Despacho-800"/>
        <s v="70195455304569"/>
        <s v="70195453061666"/>
        <s v="70195454617300"/>
        <s v="70195453981273"/>
        <s v="68433275901113"/>
        <s v="68433278516107"/>
        <s v="68433276883711"/>
        <s v="68433280161720"/>
        <s v="66782888263789"/>
        <s v="1657541006995"/>
        <s v="7628744580164"/>
        <s v="7628744580171"/>
        <s v="7628744580188"/>
        <s v="7628744580201"/>
        <s v="7628744580195"/>
        <s v="7628744580218"/>
        <s v="7628744580249"/>
        <s v="10030030120102"/>
        <s v="7628744580430"/>
        <s v="7628744580423"/>
        <s v="69351444338708"/>
        <s v="10030050150102"/>
        <s v="7628744580447"/>
        <s v="1649798736612"/>
        <s v="7628744580348"/>
        <s v="7628744580331"/>
        <s v="69299006511365"/>
        <s v="7628744580515"/>
        <s v="7628744580522"/>
        <s v="7628744580539"/>
        <s v="10070050170103"/>
        <s v="1653683168850"/>
        <s v="10030030110102"/>
        <s v="10020020060102"/>
        <s v="10020020040103"/>
        <s v="10020020080107"/>
        <s v="7628744580553"/>
        <s v="7628744580416"/>
        <s v="7628744580294"/>
        <s v="1657540969276"/>
        <s v="10040010010201"/>
        <s v="10040010030101"/>
        <s v="10040010020401"/>
        <s v="10080100240107"/>
        <s v="3770013084362"/>
        <s v="3770013084355"/>
        <s v="3770013084126"/>
        <s v="3770013084218"/>
        <s v="3770013084102"/>
        <s v="3770013084300"/>
        <s v="3770013084317"/>
        <s v="3770013084287"/>
        <s v="1603405506338"/>
        <s v="1586302094788"/>
        <s v="1539012894968"/>
        <s v="1539012372839"/>
        <s v="1539013581573"/>
        <s v="1606828108812"/>
        <s v="Envío-Melollevo-8730"/>
        <s v="1631131721055"/>
        <s v="1649957953156"/>
        <s v="1649958004602"/>
        <s v="1646829132229"/>
        <s v="1646051785879"/>
        <s v="1637093095553"/>
        <s v="1622572886815"/>
        <s v="1506348801649"/>
        <s v="1608640749291"/>
        <s v="1507221552117"/>
        <s v="1647261052879"/>
        <s v="1507899371813"/>
        <s v="1515074831738"/>
        <s v="1654533959255"/>
        <s v="melienvio"/>
        <s v="1624574158975"/>
        <s v="1510238738748"/>
        <s v="1495046879600"/>
        <s v="1585176819303"/>
        <s v="1510246651759"/>
        <s v="1496757823954"/>
        <s v="1624371900115"/>
        <s v="1633617078580"/>
        <s v="1507305775154"/>
        <s v="Envío-800"/>
        <s v="70907194567594"/>
        <s v="70907196536306"/>
        <s v="70907200116752"/>
        <s v="70907201771012"/>
        <s v="70907203461725"/>
        <s v="70907205129301"/>
        <s v="70907207087415"/>
        <s v="70907211091358"/>
        <s v="70907212944338"/>
        <s v="70907209276689"/>
        <s v="70782661369782"/>
        <s v="70197502690522"/>
        <s v="70068917703813"/>
        <s v="70197510577926"/>
        <s v="70907198089005"/>
        <s v="70907190854055"/>
        <s v="70907192757761"/>
        <s v="70447869307288"/>
        <s v="A320"/>
        <s v="J523"/>
        <s v="T626"/>
        <s v="PCSSB005"/>
        <s v="818156020090"/>
        <s v="818156022575"/>
        <s v="PCHUP003"/>
        <s v="PCHUB005"/>
        <s v="PCHUS001"/>
        <s v="KF07ES"/>
        <s v="KF05ES"/>
        <s v="FA055-1"/>
        <s v="FA113-1"/>
        <s v="FA209-1"/>
        <s v="FA116-1"/>
        <s v="FA140-1"/>
        <s v="FA346-1"/>
        <s v="FA348-1"/>
        <s v="FA275-1"/>
        <s v="FA208-1"/>
        <s v="FA192-1"/>
        <s v="FA336-1"/>
        <s v="FA335-1"/>
        <s v="FA294-1"/>
        <s v="FA195-1"/>
        <s v="FA304-1"/>
        <s v="FA227-1"/>
        <s v="FA223-1"/>
        <s v="FA038-1"/>
        <s v="FA251-1"/>
        <s v="FA056-1"/>
        <s v="FA200-1"/>
        <s v="FA199-3"/>
        <s v="FA199-1"/>
        <s v="FA199-5"/>
        <s v="FA200-2"/>
        <s v="FA268-1"/>
        <s v="FA316-1"/>
        <s v="FA230-1"/>
        <s v="FA120-1"/>
        <s v="FA093-1"/>
        <s v="FA166-1"/>
        <s v="FA165-1"/>
        <s v="FA089-1"/>
        <s v="FA341-1"/>
        <s v="FA161-1"/>
        <s v="FA334-2"/>
        <s v="FA110-1"/>
        <s v="FA248-1"/>
        <s v="FA318-1"/>
        <s v="FA181-1"/>
        <s v="FA088-2"/>
        <s v="FA088-1"/>
        <s v="FA183-1"/>
        <s v="FA095-2"/>
        <s v="FA270-1"/>
        <s v="FA070-1"/>
        <s v="FA313-2"/>
        <s v="FA362-1"/>
        <s v="FA319-1"/>
        <s v="FA210-1"/>
        <s v="FA136-1"/>
        <s v="FF103C"/>
        <s v="FF101C"/>
        <s v="FF102C"/>
        <s v="FF006C"/>
        <s v="FF001C"/>
        <s v="FF002C"/>
        <s v="1629744204202"/>
        <s v="1629744178895"/>
        <s v="1629744222146"/>
        <s v="1629744229865"/>
        <s v="66782891029049"/>
        <s v="66782893751944"/>
        <s v="66782901793507"/>
        <s v="HK-907BL"/>
        <s v="606110101752"/>
        <s v="HK-129B PRO-L"/>
        <s v="HK-129B PRO-XL"/>
        <s v="HK-129B PRO-M"/>
        <s v="HK-129B PRO-S"/>
        <s v="606110101271"/>
        <s v="HK-126C-PP-XS"/>
        <s v="HK-126C-BK-S"/>
        <s v="2253002"/>
        <s v="7628744580461"/>
        <s v="7804681190042"/>
        <s v="7804681190271"/>
        <s v="1481123937937"/>
        <s v="1481123752846"/>
        <s v="1481123917144"/>
        <s v="1507904554106"/>
        <s v="1513615272195"/>
        <s v="1659132834108"/>
        <s v="1589209076056"/>
        <s v="1617981582842"/>
        <s v="1538481335277"/>
        <s v="1634242788759"/>
        <s v="1612800369806"/>
        <s v="1602163055069"/>
        <s v="1591103835523"/>
        <s v="1619101669158"/>
        <s v="1619101943225"/>
        <s v="1548358566329"/>
        <s v="1539703126734"/>
        <s v="1538141179064"/>
        <s v="1539703106378"/>
        <s v="1514379781861"/>
        <s v="1561394899592"/>
        <s v="1600117183428"/>
        <s v="1565218463197"/>
        <s v="1571055493973"/>
        <s v="1585575578419"/>
        <s v="1483452520904"/>
        <s v="1541697243401"/>
        <s v="1610396246750"/>
        <s v="1513615220412"/>
        <s v="1479750635184"/>
        <s v="1479823191801"/>
        <s v="8809541208652"/>
        <s v="8809541209260"/>
        <s v="69222311205058"/>
        <s v="2016754331008"/>
        <s v="69138268811673"/>
        <s v="6788003982168"/>
        <s v="2016284233001"/>
        <s v="KW-1008RED"/>
        <s v="SE-067"/>
        <s v="SE-740"/>
        <s v="1588623926607"/>
        <s v="BF1224B-MI"/>
        <s v="T-250"/>
        <s v="KW-20ROJO"/>
        <s v="KW-24CALIPSO"/>
        <s v="KW-28CALIPSO"/>
        <s v="KW-28ROJO"/>
        <s v="BF2424B-CH"/>
        <s v="1588623936698"/>
        <s v="BF2428B-MI"/>
        <s v="CER-2228CHERRY"/>
        <s v="CER-2220CHERRY"/>
        <s v="CER-2224CHERRY"/>
        <s v="BF5228B-CH"/>
        <s v="68433354409679"/>
        <s v="0788070733201"/>
        <s v="0788070733195"/>
        <s v="0788070733218"/>
        <s v="0788070733188"/>
        <s v="C1PICCC005"/>
        <s v="C1PICGG013"/>
        <s v="1617979985443"/>
        <s v="G-LZ-8026"/>
        <s v="NC181023V"/>
        <s v="15888899088634"/>
        <s v="0788070732006"/>
        <s v="0788070732372"/>
        <s v="67327559384453"/>
        <s v="0788070732334"/>
        <s v="1479755086689"/>
        <s v="0736372918802"/>
        <s v="0736372918796"/>
        <s v="0788070732341"/>
        <s v="0788070733089"/>
        <s v="1627418329116"/>
        <s v="67414809824183"/>
        <s v="68433336255939"/>
        <s v="68433337529096"/>
        <s v="0788070732532"/>
        <s v="0788070732549"/>
        <s v="0736372918772"/>
        <s v="0736372918765"/>
        <s v="0736372918789"/>
        <s v="0788070732365"/>
        <s v="1543406075297"/>
        <s v="1538141129434"/>
        <s v="0736372920133"/>
        <s v="0788070732327"/>
        <s v="0788070729327"/>
        <s v="0788070732266"/>
        <s v="0788070729204"/>
        <s v="0788070732310"/>
        <s v="0788070733423"/>
        <s v="0788070729211"/>
        <s v="0788070731702"/>
        <s v="0788070731719"/>
        <s v="0788070732419"/>
        <s v="0788070732495"/>
        <s v="0788070732501"/>
        <s v="0736372918826"/>
        <s v="0788070732440"/>
        <s v="1598650124917"/>
        <s v="1630371207741"/>
        <s v="1628801818864"/>
        <s v="1621436109438"/>
        <s v="1650478034510"/>
        <s v="1650478008436"/>
        <s v="1650478021227"/>
        <s v="1564150627423"/>
        <s v="1566335721736"/>
        <s v="1564150661249"/>
        <s v="1592492799236"/>
        <s v="1597086499840"/>
        <s v="1597098592591"/>
        <s v="0788070733461"/>
        <s v="1537889368850"/>
        <s v="1637682789024"/>
        <s v="1650478333612"/>
        <s v="0736372918628"/>
        <s v="0736372918611"/>
        <s v="1623703942966"/>
        <s v="1650478301588"/>
        <s v="1650478249084"/>
        <s v="0788070729235"/>
        <s v="0736372919281"/>
        <s v="0736372919274"/>
        <s v="0736372919298"/>
        <s v="0736372919304"/>
        <s v="0736372919267"/>
        <s v="1621436042191"/>
        <s v="1623703861303"/>
        <s v="0788070732402"/>
        <s v="0788070732396"/>
        <s v="0788070732525"/>
        <s v="0788070732518"/>
        <s v="0736372918451"/>
        <s v="0736372918468"/>
        <s v="0736372918987"/>
        <s v="0736372919021"/>
        <s v="0736372919014"/>
        <s v="0736372918994"/>
        <s v="0736372919007"/>
        <s v="0736372918932"/>
        <s v="0736372918963"/>
        <s v="0736372918949"/>
        <s v="0736372918956"/>
        <s v="0736372918970"/>
        <s v="0736372919106"/>
        <s v="0736372919083"/>
        <s v="0736372919090"/>
        <s v="0736372919113"/>
        <s v="1644259088244"/>
        <s v="1644259102328"/>
        <s v="1644258822428"/>
        <s v="1644258839009"/>
        <s v="1596549586882"/>
        <s v="1641933886673"/>
        <s v="0788070731450"/>
        <s v="1496183099853"/>
        <s v="1630371162211"/>
        <s v="1601323542043"/>
        <s v="1612801611908"/>
        <s v="1605820909877"/>
        <s v="1549546168927"/>
        <s v="1644259071820"/>
        <s v="1644259122271"/>
        <s v="1644258923159"/>
        <s v="1650478111691"/>
        <s v="1650478100917"/>
        <s v="1650478089929"/>
        <s v="1595434263015"/>
        <s v="1614194024408"/>
        <s v="1564147623145"/>
        <s v="1542051526349"/>
        <s v="1610816087324"/>
        <s v="1565277372026"/>
        <s v="1542051822796"/>
        <s v="1610816377646"/>
        <s v="1629291104067"/>
        <s v="1542823095263"/>
        <s v="1644258868017"/>
        <s v="1644258770920"/>
        <s v="1513100019184"/>
        <s v="1639422799417"/>
        <s v="1644259048756"/>
        <s v="1644259059993"/>
        <s v="1658434052995"/>
        <s v="1658434022703"/>
        <s v="1628778300463"/>
        <s v="1661877072053"/>
        <s v="1523536647880"/>
        <s v="1632938525133"/>
        <s v="0736372918840"/>
        <s v="0736372918864"/>
        <s v="0736372918833"/>
        <s v="0736372918857"/>
        <s v="0736372918871"/>
        <s v="1628778335600"/>
        <s v="1644258895286"/>
        <s v="1513614057219"/>
        <s v="1644258852972"/>
        <s v="0788070729228"/>
        <s v="0736372919120"/>
        <s v="0736372919144"/>
        <s v="0736372919168"/>
        <s v="0736372919151"/>
        <s v="0736372919137"/>
        <s v="1566849947902"/>
        <s v="1650478169323"/>
        <s v="0736372918758"/>
        <s v="0736372918741"/>
        <s v="0736372918734"/>
        <s v="1623703728452"/>
        <s v="1623703690011"/>
        <s v="0788070732662"/>
        <s v="0788070732679"/>
        <s v="1650478206093"/>
        <s v="1650478157760"/>
        <s v="0788070732686"/>
        <s v="0788070732693"/>
        <s v="1644258884424"/>
        <s v="1650478074858"/>
        <s v="1650478062964"/>
        <s v="1653404660401"/>
        <s v="67414792729571"/>
        <s v="1653404613464"/>
        <s v="1653404709747"/>
        <s v="1653404720633"/>
        <s v="1653404731061"/>
        <s v="1653404741817"/>
        <s v="1653404698359"/>
        <s v="1653404672596"/>
        <s v="1653404687721"/>
        <s v="1653404584202"/>
        <s v="1653404596846"/>
        <s v="67414791217036"/>
        <s v="1656617557771"/>
        <s v="1656617655162"/>
        <s v="1656617666249"/>
        <s v="67414791952688"/>
        <s v="1650477967885"/>
        <s v="1656617537266"/>
        <s v="66559853294178"/>
        <s v="66559856061451"/>
        <s v="66559859669124"/>
        <s v="1653404646981"/>
        <s v="67414793517640"/>
        <s v="1653404633176"/>
        <s v="1644258989378"/>
        <s v="1621435991487"/>
        <s v="1644258777141"/>
        <s v="1644259023303"/>
        <s v="1606847480521"/>
        <s v="0788070733386"/>
        <s v="0788070733409"/>
        <s v="0788070733416"/>
        <s v="0788070733393"/>
        <s v="0788070733904"/>
        <s v="0788070733881"/>
        <s v="0788070733898"/>
        <s v="0788070733911"/>
        <s v="1615383366170"/>
        <s v="1658436173706"/>
        <s v="1658436211628"/>
        <s v="1602623210379"/>
        <s v="1616009024556"/>
        <s v="1650478277346"/>
        <s v="1650478146139"/>
        <s v="1630369235283"/>
        <s v="1627416841030"/>
        <s v="1608208175202"/>
        <s v="0788070731825"/>
        <s v="0788070731849"/>
        <s v="0788070731832"/>
        <s v="1660825229924"/>
        <s v="0788070729150"/>
        <s v="0788070733317"/>
        <s v="0788070733300"/>
        <s v="0788070729167"/>
        <s v="0736372919601"/>
        <s v="0736372919618"/>
        <s v="0736372919625"/>
        <s v="0788070729099"/>
        <s v="0788070729112"/>
        <s v="0788070729105"/>
        <s v="0788070731870"/>
        <s v="0788070731887"/>
        <s v="0788070731863"/>
        <s v="0788070731856"/>
        <s v="1660825216719"/>
        <s v="1579117587919"/>
        <s v="1605624727428"/>
        <s v="1579117612971"/>
        <s v="1605708086872"/>
        <s v="1605624656414"/>
        <s v="1581963991564"/>
        <s v="1574177821495"/>
        <s v="1535566560027"/>
        <s v="0788070729082"/>
        <s v="0788070733058"/>
        <s v="1602029190396"/>
        <s v="1607526253622"/>
        <s v="1605622069868"/>
        <s v="1594337749167"/>
        <s v="1627069056921"/>
        <s v="1628778373681"/>
        <s v="1636122379069"/>
        <s v="1628778259856"/>
        <s v="1650478290520"/>
        <s v="0736372919793"/>
        <s v="0736372919786"/>
        <s v="0736372918895"/>
        <s v="0736372918901"/>
        <s v="0736372918888"/>
        <s v="0736372918918"/>
        <s v="1650478050242"/>
        <s v="0736372919229"/>
        <s v="0736372919236"/>
        <s v="0736372919243"/>
        <s v="0736372919250"/>
        <s v="1627424867043"/>
        <s v="1627418225537"/>
        <s v="68236222425789"/>
        <s v="1629727823148"/>
        <s v="1628778362232"/>
        <s v="1629727814806"/>
        <s v="1661877043628"/>
        <s v="1616006872824"/>
        <s v="1616006958885"/>
        <s v="1644258979631"/>
        <s v="0788070729129"/>
        <s v="0788070729136"/>
        <s v="0736372919175"/>
        <s v="0736372919182"/>
        <s v="0736372919199"/>
        <s v="0736372919205"/>
        <s v="0736372919212"/>
        <s v="1650478123588"/>
        <s v="1628778289266"/>
        <s v="1796402"/>
        <s v="9550134"/>
        <s v="1700887"/>
        <s v="15888899236117"/>
        <s v="2651002"/>
        <s v="15888899244800"/>
        <s v="15888899235586"/>
        <s v="925180"/>
        <s v="15888899242328"/>
        <s v="89554"/>
        <s v="078917204323 "/>
        <s v="078917204330  "/>
        <s v="078917206624"/>
        <s v="1661-SET"/>
        <s v="1660-SET"/>
        <s v="80317"/>
        <s v="9351668000002"/>
        <s v="9351668000003"/>
        <s v="9351668000156"/>
        <s v="9351668000026"/>
        <s v="9351668000057"/>
        <s v="9351668000132"/>
        <s v="9351668000133"/>
        <s v="67664752592314"/>
        <s v="67664748957651"/>
        <s v="67664746965810"/>
        <s v="67664764931449"/>
        <s v="67664759856790"/>
        <s v="66854012811662"/>
        <s v="66854011867873"/>
        <s v="66854010566732"/>
        <s v="66853958306575"/>
        <s v="66853957172936"/>
        <s v="66853954721806"/>
        <s v="66853975117655"/>
        <s v="66853974026323"/>
        <s v="66853969896837"/>
        <s v="66853944415843"/>
        <s v="66853945822829"/>
        <s v="66853942994527"/>
        <s v="66853983853435"/>
        <s v="66853982294418"/>
        <s v="66853980664328"/>
        <s v="66854003217122"/>
        <s v="66853998222259"/>
        <s v="66853990037040"/>
        <s v="66854025168472"/>
        <s v="66854024081032"/>
        <s v="MCO016"/>
        <s v="MCO014"/>
        <s v="MCO017"/>
        <s v="MCO015"/>
        <s v="63053486223085"/>
        <s v="63053486217206"/>
        <s v="63053486210161"/>
        <s v="63053486178192"/>
        <s v="63053486172827"/>
        <s v="63053486190233"/>
        <s v="63053486179378"/>
        <s v="63053486170774"/>
        <s v="66603665443160"/>
        <s v="66603672752419"/>
        <s v="66603662874443"/>
        <s v="63053486206216"/>
        <s v="63053486195745"/>
        <s v="63053486190601"/>
        <s v="1646672239775"/>
        <s v="1646672192935"/>
        <s v="63053486264955"/>
        <s v="63053486269743"/>
        <s v="63053486251528"/>
        <s v="63053486262653"/>
        <s v="63053486227553"/>
        <s v="63053486241742"/>
        <s v="63053486236025"/>
        <s v="66603801461098"/>
        <s v="66603796129350"/>
        <s v="63053486254402"/>
        <s v="63053486265558"/>
        <s v="63053486259643"/>
        <s v="1644937838045"/>
        <s v="1644937858822"/>
        <s v="1644937814661"/>
        <s v="67664679787753"/>
        <s v="67664683111211"/>
        <s v="67664681738748"/>
        <s v="0470000099074"/>
        <s v="0764451239838"/>
        <s v="63053486061026"/>
        <s v="63053486071268"/>
        <s v="63053486047285"/>
        <s v="63053486042331"/>
        <s v="63053486051764"/>
        <s v="63053486047947"/>
        <s v="63053486001802"/>
        <s v="63053486013916"/>
        <s v="63053486110406"/>
        <s v="63053486116986"/>
        <s v="63053486104714"/>
        <s v="63053486062466"/>
        <s v="63053486068283"/>
        <s v="63053486056950"/>
        <s v="63053486070619"/>
        <s v="63053486076849"/>
        <s v="63053486064441"/>
        <s v="1643663985397"/>
        <s v="1643664001933"/>
        <s v="1643663959762"/>
        <s v="63053486378719"/>
        <s v="63053486371660"/>
        <s v="63053486303323"/>
        <s v="63053486391520"/>
        <s v="1642432413766"/>
        <s v="63053486687187"/>
        <s v="63053486704041"/>
        <s v="63053486667159"/>
        <s v="63053486464792"/>
        <s v="MCO097"/>
        <s v="68330078098231"/>
        <s v="68330083248592"/>
        <s v="68330076838911"/>
        <s v="68330075621520"/>
        <s v="68330079660255"/>
        <s v="68330084553352"/>
        <s v="68330081531544"/>
        <s v="63053485990449"/>
        <s v="63053486008541"/>
        <s v="63053485984756"/>
        <s v="63053485949652"/>
        <s v="63053485954988"/>
        <s v="63053485933210"/>
        <s v="63053485936693"/>
        <s v="63053485945527"/>
        <s v="63053485929143"/>
        <s v="63053485892229"/>
        <s v="63053485877429"/>
        <s v="63053485892338"/>
        <s v="63053485897451"/>
        <s v="63053485877182"/>
        <s v="63053485992325"/>
        <s v="63053485998830"/>
        <s v="63053485984078"/>
        <s v="1642431912161"/>
        <s v="1642431880687"/>
        <s v="1642431899110"/>
        <s v="0470000099067"/>
        <s v="0764451239401"/>
        <s v="66240889886112"/>
        <s v="0764451239418"/>
        <s v="0764451239395"/>
        <s v="1655227139744"/>
        <s v="0764451239432"/>
        <s v="0764451239449"/>
        <s v="0764451239425"/>
        <s v="0764451239388"/>
        <s v="MF07000061509"/>
        <s v="MF07000061510"/>
        <s v="MF07000151519"/>
        <s v="0764451134751"/>
        <s v="020000208084"/>
        <s v="1591376198001"/>
        <s v="TL02000020908"/>
        <s v="020000808024"/>
        <s v="15902517185438"/>
        <s v="020000807210"/>
        <s v="020000807090"/>
        <s v="20000806020"/>
        <s v="020000806210"/>
        <s v="1591376274708"/>
        <s v="20000805020"/>
        <s v="20000805210"/>
        <s v="20000805090"/>
        <s v="2000110821"/>
        <s v="2000110807"/>
        <s v="2000110810"/>
        <s v="2000110721"/>
        <s v="2000110707"/>
        <s v="2000110710"/>
        <s v="2000110621"/>
        <s v="2000110607"/>
        <s v="2000110610"/>
        <s v="2000110921"/>
        <s v="2000110907"/>
        <s v="2000110910"/>
        <s v="TL02000010808"/>
        <s v="TL02000010708"/>
        <s v="TL02000010608"/>
        <s v="TL02000010908"/>
        <s v="TL02000010508"/>
        <s v="020001010082"/>
        <s v="020001008089"/>
        <s v="20001007081"/>
        <s v="020001009086"/>
        <s v="TL02500011502"/>
        <s v="TL02500011521"/>
        <s v="180000115086"/>
        <s v="9500021503"/>
        <s v="SD00000091502"/>
        <s v="SD00000091521"/>
        <s v="SD00000091510"/>
        <s v="TD10000010808"/>
        <s v="TD10000010608"/>
        <s v="TD10000010908"/>
        <s v="764451134782"/>
        <s v="TD10000020815"/>
        <s v="1559653594730"/>
        <s v="TD10000020715"/>
        <s v="TD10000020712"/>
        <s v="TD10000020615"/>
        <s v="TD10000020612"/>
        <s v="TD10000020912"/>
        <s v="TD10000020915"/>
        <s v="TL03000161508"/>
        <s v="2014000021508"/>
        <s v="2014000011508"/>
        <s v="TL01500031502"/>
        <s v="TL01500011502"/>
        <s v="TL01500011509"/>
        <s v="YB01000111026"/>
        <s v="YB01000111021"/>
        <s v="YB01000111009"/>
        <s v="YB01000111126"/>
        <s v="YB01000111121"/>
        <s v="YB01000110926"/>
        <s v="YB01000110921"/>
        <s v="YB01000071015"/>
        <s v="YB01000071008"/>
        <s v="YB01000071025"/>
        <s v="1000220802"/>
        <s v="1000220821"/>
        <s v="1000220808"/>
        <s v="1000220702"/>
        <s v="1000220721"/>
        <s v="1000220708"/>
        <s v="1000220602"/>
        <s v="1000220621"/>
        <s v="1000220608"/>
        <s v="1000220502"/>
        <s v="1000220521"/>
        <s v="1000220508"/>
        <s v="1000200819"/>
        <s v="1000200812"/>
        <s v="1000200810"/>
        <s v="1000200719"/>
        <s v="1000200712"/>
        <s v="1000200710"/>
        <s v="1000200619"/>
        <s v="1000200612"/>
        <s v="1000200610"/>
        <s v="1000200519"/>
        <s v="1000200512"/>
        <s v="1000200510"/>
        <s v="1000210801"/>
        <s v="1000210809"/>
        <s v="1000210810"/>
        <s v="1000210701"/>
        <s v="1000210709"/>
        <s v="1000210710"/>
        <s v="1000210601"/>
        <s v="1000210609"/>
        <s v="1000210610"/>
        <s v="1000210501"/>
        <s v="1000210509"/>
        <s v="1000210510"/>
        <s v="TL01500021521"/>
        <s v="TL01500021509"/>
        <s v="01000190802"/>
        <s v="01000190702"/>
        <s v="1000190602"/>
        <s v="1000190502"/>
        <s v="01000190821"/>
        <s v="01000190721"/>
        <s v="1000190621"/>
        <s v="1000190807"/>
        <s v="1000190707"/>
        <s v="1000190607"/>
        <s v="1000190507"/>
        <s v="1000190521"/>
        <s v="3000171508"/>
        <s v="15902517187993"/>
        <s v="3000200802"/>
        <s v="3000200821"/>
        <s v="3000200702"/>
        <s v="3000200721"/>
        <s v="30001415080"/>
        <s v="30001415091"/>
        <s v="30001407080"/>
        <s v="30001407091"/>
        <s v="MF07000180713"/>
        <s v="MF07000180613"/>
        <s v="764451134775"/>
        <s v="SD00000040721"/>
        <s v="SD00000040701"/>
        <s v="SD00000040602"/>
        <s v="SD00000040601"/>
        <s v="6500071503"/>
        <s v="MF07000020810"/>
        <s v="MF07000020710"/>
        <s v="MF07000040810"/>
        <s v="MF07000040710"/>
        <s v="1610050226820"/>
        <s v="MF07000011510"/>
        <s v="MF07000131510"/>
        <s v="7500030802"/>
        <s v="7500030821"/>
        <s v="7500030702"/>
        <s v="7500030721"/>
        <s v="sc8"/>
        <s v="sc9"/>
        <s v="SD09500011503"/>
        <s v="MF07000110710"/>
        <s v="MF07000110810"/>
        <s v="SD06000130843"/>
        <s v="SD06000130821"/>
        <s v="SD06000130809"/>
        <s v="SD06000130743"/>
        <s v="SD06000130721"/>
        <s v="SD06000130709"/>
        <s v="SD06500021508"/>
        <s v="SD06500021521"/>
        <s v="SD06500061502"/>
        <s v="SD06500061525"/>
        <s v="SD06500011521"/>
        <s v="SD06500011508"/>
        <s v="SD06000140803"/>
        <s v="SD06000140819"/>
        <s v="SD06000140825"/>
        <s v="SD06000140703"/>
        <s v="SD06000140719"/>
        <s v="SD06000140725"/>
        <s v="SD06000140603"/>
        <s v="SD06000140619"/>
        <s v="SD06000140625"/>
        <s v="SD06000050807"/>
        <s v="SD06000050809"/>
        <s v="SD06000050810"/>
        <s v="SD06000050707"/>
        <s v="SD06000050607"/>
        <s v="SD06000050609"/>
        <s v="SD06000050907"/>
        <s v="SD06000050909"/>
        <s v="SD06000050910"/>
        <s v="SD06000030702"/>
        <s v="SD06000030721"/>
        <s v="SD06000030712"/>
        <s v="SD06000030708"/>
        <s v="SD06000030621"/>
        <s v="SD06000030612"/>
        <s v="SD06000030608"/>
        <s v="SD06000080801"/>
        <s v="SD06000080701"/>
        <s v="SD06000080601"/>
        <s v="SD06000080830"/>
        <s v="SD06000080812"/>
        <s v="SD06000080712"/>
        <s v="SD06000080809"/>
        <s v="SD06000080709"/>
        <s v="SD06000080609"/>
        <s v="SD06000080730"/>
        <s v="SD06000080630"/>
        <s v="SD06000080612"/>
        <s v="SD06000060802"/>
        <s v="SD06000060702"/>
        <s v="SD06000060602"/>
        <s v="SD06000060902"/>
        <s v="SD06000060721"/>
        <s v="SD06000060621"/>
        <s v="SD06000060921"/>
        <s v="SD06000060812"/>
        <s v="SD06000060712"/>
        <s v="SD06000060612"/>
        <s v="SD06000060808"/>
        <s v="SD06000060708"/>
        <s v="SD06000060608"/>
        <s v="SD06000060908"/>
        <s v="SD06000060912"/>
        <s v="SD06000030602"/>
        <s v="SD06000100707"/>
        <s v="SD06000100710"/>
        <s v="sc12"/>
        <s v="SD06000110707"/>
        <s v="SD06000110607"/>
        <s v="SD06000110710"/>
        <s v="SD06000110610"/>
        <s v="SD06000100807"/>
        <s v="SD06000100810"/>
        <s v="SD09000031507"/>
        <s v="SD09000031510"/>
        <s v="SD09000041508"/>
        <s v="SD09000041521"/>
        <s v="MF07000220715"/>
        <s v="MF07000220615"/>
        <s v="MF07000200715"/>
        <s v="SD00000051502"/>
        <s v="SD00000051521"/>
        <s v="SD00000051507"/>
        <s v="7500021502"/>
        <s v="7500021521"/>
        <s v="1-MA-M"/>
        <s v="1627065421669"/>
        <s v="1648494506836"/>
        <s v="67414820120443"/>
        <s v="1595007331468"/>
        <s v="1595007277212"/>
        <s v="1616011311193"/>
        <s v="1616011328526"/>
        <s v="1586964198052"/>
        <s v="1593115256999"/>
        <s v="MD1082"/>
        <s v="MD2086"/>
        <s v="CT2151"/>
        <s v="MD2076"/>
        <s v="MD3021"/>
        <s v="MD2087"/>
        <s v="MD1041"/>
        <s v="MD1040"/>
        <s v="CT7018"/>
        <s v="CT7019"/>
        <s v="CT7021"/>
        <s v="CT7022"/>
        <s v="MD3106"/>
        <s v="CT7024"/>
        <s v="CT7025"/>
        <s v="CT7026"/>
        <s v="MD1024"/>
        <s v="MD3098"/>
        <s v="MD3026"/>
        <s v="CT7016"/>
        <s v="CT7014"/>
        <s v="CT7015"/>
        <s v="MD0078-1"/>
        <s v="MD0077-1"/>
        <s v="MD3083"/>
        <s v="MD3084"/>
        <s v="MD3035"/>
        <s v="MD3095"/>
        <s v="MD3125"/>
        <s v="MD3170"/>
        <s v="MD3169"/>
        <s v="MD3078"/>
        <s v="MD3027"/>
        <s v="MD3110"/>
        <s v="MD3020"/>
        <s v="MD4140"/>
        <s v="MD4127"/>
        <s v="MD1015"/>
        <s v="MD1014"/>
        <s v="MD1016"/>
        <s v="MD4062"/>
        <s v="MD4063"/>
        <s v="MD1032"/>
        <s v="MD1031"/>
        <s v="MD1034"/>
        <s v="69703369633745"/>
        <s v="68617983132574"/>
        <s v="69349195910520"/>
        <s v="67545214667077"/>
        <s v="69348994953762"/>
        <s v="69349189349956"/>
        <s v="68617982138107"/>
        <s v="68617980049160"/>
        <s v="68617981173073"/>
        <s v="69348994231884"/>
        <s v="69349196922242"/>
        <s v="68911626126569"/>
        <s v="70197505407304"/>
        <s v="MLLXR001"/>
        <s v="69875994809889"/>
        <s v="69875997006865"/>
        <s v="68617984529773"/>
        <s v="68617985384626"/>
        <s v="68911622143156"/>
        <s v="68911624368184"/>
        <s v="68433359013019"/>
        <s v="68433360148837"/>
        <s v="68433340544078"/>
        <s v="69349185370418"/>
        <s v="70921709583422"/>
        <s v="69349197812069"/>
        <s v="68617986250710"/>
        <s v="MGI2"/>
        <s v="STEL1"/>
        <s v="WIG1"/>
        <s v="ZIP1"/>
        <s v="66915272060031"/>
        <s v="60136"/>
        <s v="64080"/>
        <s v="70296"/>
        <s v="67784"/>
        <s v="70326"/>
        <s v="72191"/>
        <s v="70302"/>
        <s v="36860"/>
        <s v="57501"/>
        <s v="62628"/>
        <s v="59611"/>
        <s v="57518"/>
        <s v="68460"/>
        <s v="53251"/>
        <s v="62512"/>
        <s v="62352"/>
        <s v="49063"/>
        <s v="49070"/>
        <s v="45720"/>
        <s v="57303"/>
        <s v="63731"/>
        <s v="60464"/>
        <s v="60730"/>
        <s v="57297"/>
        <s v="45744"/>
        <s v="47465"/>
        <s v="49360"/>
        <s v="39279"/>
        <s v="31129"/>
        <s v="45935"/>
        <s v="52063"/>
        <s v="52056"/>
        <s v="63724"/>
        <s v="57280"/>
        <s v="63717"/>
        <s v="57273"/>
        <s v="66633"/>
        <s v="57266"/>
        <s v="67142"/>
        <s v="67135"/>
        <s v="56948"/>
        <s v="57556"/>
        <s v="57563"/>
        <s v="57792"/>
        <s v="57631"/>
        <s v="58133"/>
        <s v="62338"/>
        <s v="57839"/>
        <s v="53824"/>
        <s v="62345"/>
        <s v="62598"/>
        <s v="57648"/>
        <s v="62611"/>
        <s v="60754"/>
        <s v="60761"/>
        <s v="66671"/>
        <s v="57914"/>
        <s v="70135"/>
        <s v="51950"/>
        <s v="67739"/>
        <s v="67722"/>
        <s v="60846"/>
        <s v="67906"/>
        <s v="60204"/>
        <s v="53893"/>
        <s v="36712"/>
        <s v="NX5sBB"/>
        <s v="NFU+COPPER-S"/>
        <s v="1123001"/>
        <s v="10001374"/>
        <s v="7804677990120"/>
        <s v="7804677990076"/>
        <s v="OW-013"/>
        <s v="1612889746748"/>
        <s v="OW-902G-M"/>
        <s v="UC4026"/>
        <s v="UC3968"/>
        <s v="UC4242"/>
        <s v="1637090439301"/>
        <s v="1637090501146"/>
        <s v="1632149054121"/>
        <s v="1632149131003"/>
        <s v="69521507764787"/>
        <s v="606110858250"/>
        <s v="606110858267"/>
        <s v="606110858236"/>
        <s v="15888900372076"/>
        <s v="1604005043327"/>
        <s v="1655323097937"/>
        <s v="RC-BIL22"/>
        <s v="1655323143387"/>
        <s v="1655323185133"/>
        <s v="RC-CBL11"/>
        <s v="RC-CBM11"/>
        <s v="RC-CBS11"/>
        <s v="RC-CBL22"/>
        <s v="RC-CBM22"/>
        <s v="RC-CBXL22"/>
        <s v="RC-CBS22"/>
        <s v="RC-CCL11"/>
        <s v="RC-CCM11"/>
        <s v="RC-CCS11"/>
        <s v="RC-CCX11"/>
        <s v="RC-CON55"/>
        <s v="RC-MAR55"/>
        <s v="RC-PAI55"/>
        <s v="RC-PIG55"/>
        <s v="RC-EST11"/>
        <s v="RC-GUA11"/>
        <s v="1658589996618"/>
        <s v="RC-CAC22"/>
        <s v="RC-CAC11"/>
        <s v="RC-NAI11"/>
        <s v="RC-VER11"/>
        <s v="RC-PAD11"/>
        <s v="RC-NEC33"/>
        <s v="RC-NEC22"/>
        <s v="RC-NEC44"/>
        <s v="RC-PEC33"/>
        <s v="RC-PEC22"/>
        <s v="RC-MOS11"/>
        <s v="RC-PAS11"/>
        <s v="RC-COW22"/>
        <s v="610840291089"/>
        <s v="66782882621304"/>
        <s v="6182252"/>
        <s v="6181104"/>
        <s v="6181105"/>
        <s v="6181103"/>
        <s v="6181096"/>
        <s v="6181088"/>
        <s v="6181097"/>
        <s v="6181072"/>
        <s v="6182205"/>
        <s v="6182204"/>
        <s v="6182251"/>
        <s v="6182254"/>
        <s v="6181109"/>
        <s v="6181076"/>
        <s v="6181094"/>
        <s v="6181095"/>
        <s v="6181195"/>
        <s v="6181194"/>
        <s v="6181111"/>
        <s v="6181110"/>
        <s v="6181140"/>
        <s v="6181135"/>
        <s v="6181091"/>
        <s v="6181196"/>
        <s v="6181136"/>
        <s v="6181075"/>
        <s v="6181130"/>
        <s v="6181090"/>
        <s v="6181222"/>
        <s v="6181220"/>
        <s v="121312926717"/>
        <s v="121312926721"/>
        <s v="211312923506"/>
        <s v="121312919278"/>
        <s v="121312919419"/>
        <s v="121312954217"/>
        <s v="120312744419"/>
        <s v="120312743019"/>
        <s v="121312914584"/>
        <s v="757450527860"/>
        <s v="757450527853"/>
        <s v="757450527594"/>
        <s v="757450527600"/>
        <s v="757450527877"/>
        <s v="757450527907"/>
        <s v="757450527655"/>
        <s v="757450527822"/>
        <s v="757450527839"/>
        <s v="757450527815"/>
        <s v="757450527808"/>
        <s v="757450527945"/>
        <s v="757450528058"/>
        <s v="757450527921"/>
        <s v="757450527846"/>
        <s v="757450527587"/>
        <s v="757450527884"/>
        <s v="757450527891"/>
        <s v="757450527792"/>
        <s v="0788070729280"/>
        <s v="0736372918819"/>
        <s v="0788070729242"/>
        <s v="0788070729198"/>
        <s v="1629726159155"/>
        <s v="0788070731726"/>
        <s v="0736372919588"/>
        <s v="0788070732136"/>
        <s v="0788070732105"/>
        <s v="0788070732129"/>
        <s v="0788070732099"/>
        <s v="0788070732112"/>
        <s v="0788070732082"/>
        <s v="0788070732181"/>
        <s v="0788070733157"/>
        <s v="0788070733126"/>
        <s v="0788070733140"/>
        <s v="0788070733133"/>
        <s v="0788070731948"/>
        <s v="0736372918475"/>
        <s v="0788070732167"/>
        <s v="0788070732297"/>
        <s v="1628018206370"/>
        <s v="0788070732044"/>
        <s v="0788070732051"/>
        <s v="0788070732143"/>
        <s v="67414812797526"/>
        <s v="0788070731986"/>
        <s v="0788070731979"/>
        <s v="0788070732228"/>
        <s v="0788070732211"/>
        <s v="0788070732426"/>
        <s v="0788070732488"/>
        <s v="0788070732471"/>
        <s v="0788070732457"/>
        <s v="0788070732235"/>
        <s v="0788070732723"/>
        <s v="1535543463599"/>
        <s v="0788070732716"/>
        <s v="0788070729334"/>
        <s v="0788070729266"/>
        <s v="0736372918604"/>
        <s v="0736372918598"/>
        <s v="0788070732303"/>
        <s v="0788070732204"/>
        <s v="0788070732198"/>
        <s v="0788070732259"/>
        <s v="0788070732273"/>
        <s v="0788070731733"/>
        <s v="0788070731894"/>
        <s v="0788070731962"/>
        <s v="0788070731610"/>
        <s v="0788070731931"/>
        <s v="0788070731924"/>
        <s v="0788070731955"/>
        <s v="0788070732952"/>
        <s v="0788070732969"/>
        <s v="0788070731467"/>
        <s v="0788070732280"/>
        <s v="0736372919571"/>
        <s v="0788070732433"/>
        <s v="0788070732068"/>
        <s v="0736372918321"/>
        <s v="0736372918314"/>
        <s v="0736372918291"/>
        <s v="0736372918277"/>
        <s v="0736372918284"/>
        <s v="0736372918307"/>
        <s v="1627418212924"/>
        <s v="67327712330533"/>
        <s v="1627418180602"/>
        <s v="0788070732747"/>
        <s v="1629726091782"/>
        <s v="1629726117626"/>
        <s v="0788070732730"/>
        <s v="0788070732242"/>
        <s v="0788070731917"/>
        <s v="0788070731900"/>
        <s v="0736372918420"/>
        <s v="0736372918437"/>
        <s v="0736372918413"/>
        <s v="0788070732631"/>
        <s v="0788070732624"/>
        <s v="0788070732617"/>
        <s v="0788070732037"/>
        <s v="0788070732020"/>
        <s v="0788070732075"/>
        <s v="0736372918345"/>
        <s v="0736372918352"/>
        <s v="0736372918338"/>
        <s v="1651603020408"/>
        <s v="1651602983648"/>
        <s v="7040351001359"/>
        <s v="871760001817"/>
        <s v="80-41117"/>
        <s v="871760000513"/>
        <s v="871760002005"/>
        <s v="871760002012"/>
        <s v="871760004320"/>
        <s v="871760004337"/>
        <s v="871760007062"/>
        <s v="871760004351"/>
        <s v="871760004344"/>
        <s v="871760003620"/>
        <s v="871760001985"/>
        <s v="871760003590"/>
        <s v="871760003606"/>
        <s v="871760002326"/>
        <s v="871760002180"/>
        <s v="871760001831"/>
        <s v="871760001992"/>
        <s v="871760001923"/>
        <s v="871760000421"/>
        <s v="871760008311"/>
        <s v="80-41055"/>
        <s v="871760005341"/>
        <s v="871760003095"/>
        <s v="871760002975"/>
        <s v="871760002791"/>
        <s v="871760003583"/>
        <s v="80-41107"/>
        <s v="871760000506"/>
        <s v="871760001855"/>
        <s v="THV2000"/>
        <s v="715"/>
        <s v="1559153969505"/>
        <s v="15888899245327"/>
        <s v="DF2001-TL"/>
        <s v="15888899245866"/>
        <s v="SK3020BK"/>
        <s v="SK3000BK"/>
        <s v="SK2010BK"/>
        <s v="1588624200594"/>
        <s v="SK2000BK"/>
        <s v="SK2000RD"/>
        <s v="15888899248031"/>
        <s v="15888899247428"/>
        <s v="34-100-C3"/>
        <s v="34-180-C3"/>
        <s v="EN-1000-BL"/>
        <s v="EN-1000-RD"/>
        <s v="SK1005RD"/>
        <s v="SK1005BK"/>
        <s v="MP075"/>
        <s v="1558987136902"/>
        <s v="CLN-15METALICO"/>
        <s v="TPP1900M"/>
        <s v="184957"/>
        <s v="68736488596102"/>
        <s v="32-180-C3"/>
        <s v="EN-500-BL"/>
        <s v="EN-500-RD"/>
        <s v="32-180-C1"/>
        <s v="MATE-450MORADO"/>
        <s v="MATE-450ROJO"/>
        <s v="MATE-450VERDE"/>
        <s v="MEMN001"/>
        <s v="SOCA01"/>
        <s v="SONA01"/>
        <s v="1642191528006"/>
        <s v="P2348"/>
        <s v="66782906770403"/>
        <s v="66782909003418"/>
        <s v="820909713197"/>
        <s v="820909711506"/>
        <s v="820909735335"/>
        <s v="820909754626"/>
        <s v="820909725527"/>
        <s v="820909721147"/>
        <s v="820909713500"/>
        <s v="820909713418"/>
        <s v="820909713463"/>
        <s v="0788070731993"/>
        <s v="0788070732174"/>
        <s v="0788070732389"/>
        <s v="0788070732600"/>
        <s v="0788070733447"/>
        <s v="1650302273911"/>
        <s v="0788070732709"/>
        <s v="764451438743"/>
        <s v="764451438521"/>
        <s v="764451438545"/>
        <s v="764451438484"/>
        <s v="764451438552"/>
        <s v="764451438514"/>
        <s v="764451438538"/>
        <s v="69522173221800"/>
        <s v="764451438569"/>
        <s v="69522175273057"/>
        <s v="764451438620"/>
        <s v="764451438583"/>
        <s v="764451438590"/>
        <s v="764451438637"/>
        <s v="764451438354"/>
        <s v="764451438361"/>
        <s v="764451438347"/>
        <s v="764451438286"/>
        <s v="764451438705"/>
        <s v="764451438712"/>
        <s v="764451438729"/>
        <s v="764451438675"/>
        <s v="764451438699"/>
        <s v="764451438668"/>
        <s v="764451438682"/>
        <s v="764451438316"/>
        <s v="764451438323"/>
        <s v="68617959527128"/>
        <s v="68433283717553"/>
        <s v="68433285199445"/>
        <s v="68433281942863"/>
        <s v="69653484984761"/>
        <s v="69653487487038"/>
        <s v="69653491094344"/>
        <s v="69653492427642"/>
        <s v="69653495999708"/>
        <s v="69653497087357"/>
        <s v="69653493886110"/>
        <s v="69653486293127"/>
        <s v="69653602134992"/>
        <s v="69653598176576"/>
        <s v="69653600180380"/>
        <s v="69653601317354"/>
        <s v="69653596768424"/>
        <s v="69653599249811"/>
        <s v="69340337962010"/>
        <s v="67337648026851"/>
      </sharedItems>
    </cacheField>
    <cacheField name="SKU" numFmtId="0">
      <sharedItems>
        <s v="CT2165T"/>
        <s v="CT1925T"/>
        <s v="CT2156T"/>
        <s v="CT1853-6T"/>
        <s v="CT1761-6T"/>
        <s v="CT1929T"/>
        <s v="69748179686395"/>
        <s v="27534"/>
        <s v="26250"/>
        <s v="26882"/>
        <s v="26879"/>
        <s v="26502"/>
        <s v="27027"/>
        <s v="26807"/>
        <s v="26808"/>
        <s v="27213"/>
        <s v="26916"/>
        <s v="26915"/>
        <s v="26917"/>
        <s v="27445"/>
        <s v="27184"/>
        <s v="27185"/>
        <s v="27446"/>
        <s v="26876"/>
        <s v="26875"/>
        <s v="27122"/>
        <s v="26404"/>
        <s v="27239"/>
        <s v="26773"/>
        <s v="26065"/>
        <s v="27246"/>
        <s v="26575"/>
        <s v="27353"/>
        <s v="26596"/>
        <s v="27433"/>
        <s v="27249"/>
        <s v="27245"/>
        <s v="26070"/>
        <s v="23669"/>
        <s v="24767"/>
        <s v="26760"/>
        <s v="26764"/>
        <s v="26766"/>
        <s v="24824"/>
        <s v="25803"/>
        <s v="26055"/>
        <s v="26057"/>
        <s v="27496"/>
        <s v="27495"/>
        <s v="27585"/>
        <s v="26022"/>
        <s v="26021"/>
        <s v="26021A"/>
        <s v="26021B"/>
        <s v="26994"/>
        <s v="2691516"/>
        <s v="2691517"/>
        <s v="26409"/>
        <s v="25566"/>
        <s v="26883"/>
        <s v="26885"/>
        <s v="26884"/>
        <s v="27409"/>
        <s v="27261"/>
        <s v="27413"/>
        <s v="27411"/>
        <s v="26925"/>
        <s v="25163"/>
        <s v="26667"/>
        <s v="26669"/>
        <s v="26668"/>
        <s v="26736"/>
        <s v="26935"/>
        <s v="27106"/>
        <s v="27174"/>
        <s v="27489"/>
        <s v="27487"/>
        <s v="27488"/>
        <s v="25835"/>
        <s v="26233"/>
        <s v="27125"/>
        <s v="27123"/>
        <s v="27124"/>
        <s v="26968"/>
        <s v="26967"/>
        <s v="26969"/>
        <s v="26970"/>
        <s v="27535"/>
        <s v="25782"/>
        <s v="27016"/>
        <s v="26966"/>
        <s v="26018"/>
        <s v="4751030830940"/>
        <s v="BGMP-3306"/>
        <s v="BGMP-3302"/>
        <s v="BGIC-1002"/>
        <s v="BG-8511-MBG"/>
        <s v="BGMP-3305"/>
        <s v="BUC-101"/>
        <s v="BUC-103"/>
        <s v="BUC-102"/>
        <s v="BUC-105"/>
        <s v="BUC-106"/>
        <s v="BUC-107"/>
        <s v="BUC-108"/>
        <s v="B0015"/>
        <s v="B0239"/>
        <s v="B0371"/>
        <s v="B0511"/>
        <s v="B0406"/>
        <s v="B0342"/>
        <s v="B0601"/>
        <s v="B0403"/>
        <s v="B0404"/>
        <s v="B0262"/>
        <s v="B0263"/>
        <s v="B0253"/>
        <s v="B0259"/>
        <s v="B0619"/>
        <s v="B0622"/>
        <s v="B0733"/>
        <s v="B0346"/>
        <s v="B0527"/>
        <s v="B0046"/>
        <s v="B0623"/>
        <s v="B0624"/>
        <s v="B0761"/>
        <s v="B0760"/>
        <s v="B0756"/>
        <s v="B0762"/>
        <s v="B0757"/>
        <s v="B0734"/>
        <s v="B0344"/>
        <s v="B0348"/>
        <s v="B0726"/>
        <s v="B0618"/>
        <s v="B0442"/>
        <s v="B0600"/>
        <s v="B0598"/>
        <s v="B0599"/>
        <s v="B0320"/>
        <s v="B0408"/>
        <s v="B0505"/>
        <s v="B0507"/>
        <s v="B0258"/>
        <s v="B0275"/>
        <s v="B0250"/>
        <s v="B0273"/>
        <s v="B0255"/>
        <s v="B0254"/>
        <s v="B0252"/>
        <s v="B0374"/>
        <s v="B0375"/>
        <s v="B0752"/>
        <s v="B0751"/>
        <s v="B0377"/>
        <s v="B0380"/>
        <s v="B0379"/>
        <s v="B0314"/>
        <s v="B0313"/>
        <s v="B0308"/>
        <s v="B0301"/>
        <s v="B0315"/>
        <s v="B0723"/>
        <s v="B0023"/>
        <s v="B0710"/>
        <s v="B0332"/>
        <s v="B0319"/>
        <s v="B0292"/>
        <s v="B0290"/>
        <s v="B0642"/>
        <s v="B0295"/>
        <s v="B0298"/>
        <s v="B0299"/>
        <s v="B0296"/>
        <s v="B0297"/>
        <s v="B0294"/>
        <s v="B0293"/>
        <s v="B0289"/>
        <s v="B0178"/>
        <s v="B0413"/>
        <s v="B0412"/>
        <s v="B0411"/>
        <s v="B0410"/>
        <s v="B0698"/>
        <s v="B0696"/>
        <s v="B0697"/>
        <s v="B0686"/>
        <s v="B0688"/>
        <s v="B0699"/>
        <s v="B0500"/>
        <s v="B0417"/>
        <s v="B0418"/>
        <s v="B0300"/>
        <s v="B0716"/>
        <s v="B0031"/>
        <s v="B0350"/>
        <s v="B0368"/>
        <s v="B0365"/>
        <s v="B0366"/>
        <s v="B0367"/>
        <s v="B0351"/>
        <s v="XK-201B"/>
        <s v="6902221314499"/>
        <s v="6902221326225"/>
        <s v="6902221326232"/>
        <s v="6902221318954"/>
        <s v="6902221318817"/>
        <s v="6902221326416"/>
        <s v="6909721325543"/>
        <s v="6902221296276"/>
        <s v="6902221328984"/>
        <s v="6902221315069"/>
        <s v="6902221325969"/>
        <s v="6902221335241"/>
        <s v="6902221335258"/>
        <s v="6902221314901"/>
        <s v="6902221297877"/>
        <s v="6902221297884"/>
        <s v="6902221297907"/>
        <s v="6902221296382"/>
        <s v="6902221293046"/>
        <s v="6902221335166"/>
        <s v="6902221335227"/>
        <s v="6902221318398"/>
        <s v="6902221325891"/>
        <s v="6902221325877"/>
        <s v="6902221325907"/>
        <s v="6902221315083"/>
        <s v="6902221318633"/>
        <s v="6902221318657"/>
        <s v="6902221325709"/>
        <s v="6902221318688"/>
        <s v="6902221315267"/>
        <s v="6902221324641"/>
        <s v="6902221325914"/>
        <s v="6902221332998"/>
        <s v="6902221326102"/>
        <s v="6902221315359"/>
        <s v="6902221315373"/>
        <s v="6902221295811"/>
        <s v="6902221318312"/>
        <s v="6902221318329"/>
        <s v="6902221318527"/>
        <s v="6902221314598"/>
        <s v="6902221318374"/>
        <s v="22103356545"/>
        <s v="IMA-COLUM6"/>
        <s v="IMA-RCPISTA"/>
        <s v="IMA-RAMPA4"/>
        <s v="IMA-TUBO6"/>
        <s v="IMA-UTURN6"/>
        <s v="IMA-TB"/>
        <s v="BAR-SP24"/>
        <s v="BAR-SP60"/>
        <s v="IMA-WSB"/>
        <s v="IMA-BDS"/>
        <s v="CLI-032"/>
        <s v="DOT-030"/>
        <s v="DOT-020"/>
        <s v="GRA-024"/>
        <s v="IMA-ANI2"/>
        <s v="IMA-050"/>
        <s v="IMA-016"/>
        <s v="IMA-AC8"/>
        <s v="IMA-B01"/>
        <s v="IMA-CLR20"/>
        <s v="IMA-44"/>
        <s v="IMA-AC16"/>
        <s v="IMA-F5C"/>
        <s v="IMA-F5F"/>
        <s v="IMA-GLI"/>
        <s v="IMA-GID"/>
        <s v="IMA-032"/>
        <s v="IMA-060"/>
        <s v="IMA-PISTA"/>
        <s v="IMA-PI50"/>
        <s v="IMA-A02"/>
        <s v="IMA-CG5"/>
        <s v="IMA-TOBO"/>
        <s v="IMA-TOBO70"/>
        <s v="PAD-DLMM"/>
        <s v="PAD-DLN"/>
        <s v="PAD-002NE"/>
        <s v="PAD-002ROJ"/>
        <s v="PAD-001NE"/>
        <s v="PAD-MANROJ"/>
        <s v="PAD-001RO"/>
        <s v="MAG-01"/>
        <s v="PAD-PKTNE"/>
        <s v="PAD-PKTROJ"/>
        <s v="RAM-34"/>
        <s v="RAM-66"/>
        <s v="PAD-L02"/>
        <s v="6902221289452"/>
        <s v="6902221381835"/>
        <s v="22130608780"/>
        <s v="6902221323545"/>
        <s v="6902221323552"/>
        <s v="6902221324078"/>
        <s v="6902221390059"/>
        <s v="6902221342553"/>
        <s v="6902221327284"/>
        <s v="6902221386519"/>
        <s v="6902221342492"/>
        <s v="6902221322852"/>
        <s v="6902221322944"/>
        <s v="6902221322845"/>
        <s v="6903421324912"/>
        <s v="6902221322814"/>
        <s v="6902221322937"/>
        <s v="6902221322838"/>
        <s v="6902221322883"/>
        <s v="6902221322319"/>
        <s v="6902221386274"/>
        <s v="22130608661"/>
        <s v="6902221386373"/>
        <s v="6902221316967"/>
        <s v="6902221317094"/>
        <s v="6902221319104"/>
        <s v="6902221319111"/>
        <s v="6902221342652"/>
        <s v="6902221341129"/>
        <s v="6902221342003"/>
        <s v="6902221341204"/>
        <s v="6902221341181"/>
        <s v="6902221341167"/>
        <s v="6902221342034"/>
        <s v="6902221342089"/>
        <s v="6902221342614"/>
        <s v="6902221341983"/>
        <s v="6902221342058"/>
        <s v="6902221342027"/>
        <s v="6902221342072"/>
        <s v="6902221342591"/>
        <s v="6902221342621"/>
        <s v="6902221342683"/>
        <s v="6902221317032"/>
        <s v="6902221341235"/>
        <s v="6902221341228"/>
        <s v="6902221341105"/>
        <s v="6902221341198"/>
        <s v="6902221342645"/>
        <s v="6902221311054"/>
        <s v="6902221356673"/>
        <s v="6902221308368"/>
        <s v="22130608802"/>
        <s v="99131300325"/>
        <s v="6902221355591"/>
        <s v="22130608831"/>
        <s v="6902221385154"/>
        <s v="6902221356734"/>
        <s v="6902221356741"/>
        <s v="6903121324885"/>
        <s v="6902221345332"/>
        <s v="CNS720"/>
        <s v="CNS450"/>
        <s v="CNS150"/>
        <s v="CNS550"/>
        <s v="CNS10150"/>
        <s v="PACKCNS23"/>
        <s v="PACKCNS20"/>
        <s v="PACKCNS25"/>
        <s v="PACKCNS22"/>
        <s v="PACKCNS21"/>
        <s v="PACKCNS24"/>
        <s v="CNS630"/>
        <s v="CNS8200"/>
        <s v="3201069000018"/>
        <s v="3210960000010"/>
        <s v="3211511000022"/>
        <s v="CPQT01BLU"/>
        <s v="CPMX02BLU"/>
        <s v="CPMX02LIM"/>
        <s v="CPMX02PIN"/>
        <s v="Clak003"/>
        <s v="Clak001"/>
        <s v="Clak002"/>
        <s v="dispatch-cost-lp"/>
        <s v="3522"/>
        <s v="3539"/>
        <s v="3492"/>
        <s v="3478"/>
        <s v="3461"/>
        <s v="1061"/>
        <s v="1034"/>
        <s v="1028"/>
        <s v="1035"/>
        <s v="1029"/>
        <s v="1053"/>
        <s v="1052"/>
        <s v="1010"/>
        <s v="1036"/>
        <s v="1015"/>
        <s v="1654525085674"/>
        <s v="70195455304569"/>
        <s v="70195453061666"/>
        <s v="70195454617300"/>
        <s v="70195453981273"/>
        <s v="68433275901113"/>
        <s v="68433278516107"/>
        <s v="68433276883711"/>
        <s v="68433280161720"/>
        <s v="66782888263789"/>
        <s v="10080050430002"/>
        <s v="10080100230101"/>
        <s v="10080100230102"/>
        <s v="10080100230103"/>
        <s v="10080100220107"/>
        <s v="10080100220101"/>
        <s v="10080100220103"/>
        <s v="10080110250140"/>
        <s v="10030030120102"/>
        <s v="10080050240002"/>
        <s v="10080050230002"/>
        <s v="10080050260002"/>
        <s v="10030050150102"/>
        <s v="10080050250002"/>
        <s v="10080120420040"/>
        <s v="10080150490001"/>
        <s v="10080150490002"/>
        <s v="10100150210007"/>
        <s v="10080050320007"/>
        <s v="10080050330007"/>
        <s v="10080050340007"/>
        <s v="10070050170103"/>
        <s v="10040010400101"/>
        <s v="10030030110102"/>
        <s v="10020020060102"/>
        <s v="10020020040103"/>
        <s v="10020020080107"/>
        <s v="10100130360002"/>
        <s v="10080130220002"/>
        <s v="10090050450000"/>
        <s v="10090130460000"/>
        <s v="10040010010201"/>
        <s v="10040010030101"/>
        <s v="10040010020401"/>
        <s v="10080100240107"/>
        <s v="BB1000UL"/>
        <s v="BB1000UM"/>
        <s v="BB15005P"/>
        <s v="BB24009P"/>
        <s v="BB24004P"/>
        <s v="BB33006P"/>
        <s v="BB33007P"/>
        <s v="BB33004P"/>
        <s v="1603405506338"/>
        <s v="1586302094788"/>
        <s v="1539012894968"/>
        <s v="1539012372839"/>
        <s v="1539013581573"/>
        <s v="1606828108812"/>
        <s v="1628613560123"/>
        <s v="1631131721055"/>
        <s v="1649957953156"/>
        <s v="1649958004602"/>
        <s v="1646829132229"/>
        <s v="1646051785879"/>
        <s v="1637093095553"/>
        <s v="1622572886815"/>
        <s v="1506348801649"/>
        <s v="1608640749291"/>
        <s v="1507221552117"/>
        <s v="1647261052879"/>
        <s v="1507899371813"/>
        <s v="1515074831738"/>
        <s v="1654533959255"/>
        <s v="melienvio"/>
        <s v="1624574158975"/>
        <s v="1510238738747"/>
        <s v="1495046879600"/>
        <s v="1585176819303"/>
        <s v="1510246651759"/>
        <s v="1496757823954"/>
        <s v="1624371900115"/>
        <s v="1633617078580"/>
        <s v="1507305775154"/>
        <s v="1654524654674"/>
        <s v="70907194567594"/>
        <s v="70907196536306"/>
        <s v="70907200116752"/>
        <s v="70907201771012"/>
        <s v="70907203461725"/>
        <s v="70907205129301"/>
        <s v="70907207087415"/>
        <s v="70907211091358"/>
        <s v="70907212944338"/>
        <s v="70907209276689"/>
        <s v="70782661369782"/>
        <s v="70197502690522"/>
        <s v="70068917703813"/>
        <s v="70197510577926"/>
        <s v="70907198089005"/>
        <s v="70907190854055"/>
        <s v="70907192757761"/>
        <s v="70447869307288"/>
        <s v="A320"/>
        <s v="J523"/>
        <s v="T626"/>
        <s v="PCSSB005"/>
        <s v="PCMMB005"/>
        <s v="PKMFS001"/>
        <s v="PCHUP003"/>
        <s v="PCHUB005"/>
        <s v="PCHUS001"/>
        <s v="KF07ES"/>
        <s v="KF05ES"/>
        <s v="FA055-1"/>
        <s v="FA113-1"/>
        <s v="FA209-1"/>
        <s v="FA116-1"/>
        <s v="FA140-1"/>
        <s v="FA346-1"/>
        <s v="FA348-1"/>
        <s v="FA275-1"/>
        <s v="FA208-1"/>
        <s v="FA192-1"/>
        <s v="FA336-1"/>
        <s v="FA335-1"/>
        <s v="FA294-1"/>
        <s v="FA195-1"/>
        <s v="FA304-1"/>
        <s v="FA227-1"/>
        <s v="FA223-1"/>
        <s v="FA038-1"/>
        <s v="FA251-1"/>
        <s v="FA056-1"/>
        <s v="FA200-1"/>
        <s v="FA199-3"/>
        <s v="FA199-1"/>
        <s v="FA199-5"/>
        <s v="FA200-2"/>
        <s v="FA268-1"/>
        <s v="FA316-1"/>
        <s v="FA230-1"/>
        <s v="FA120-1"/>
        <s v="FA093-1"/>
        <s v="FA166-1"/>
        <s v="FA165-1"/>
        <s v="FA089-1"/>
        <s v="FA341-1"/>
        <s v="FA161-1"/>
        <s v="FA334-2"/>
        <s v="FA110-1"/>
        <s v="FA248-1"/>
        <s v="FA318-1"/>
        <s v="FA181-1"/>
        <s v="FA088-2"/>
        <s v="FA088-1"/>
        <s v="FA183-1"/>
        <s v="FA095-2"/>
        <s v="FA270-1"/>
        <s v="FA070-1"/>
        <s v="FA313-2"/>
        <s v="FA362-1"/>
        <s v="FA319-1"/>
        <s v="FA210-1"/>
        <s v="FA136-1"/>
        <s v="FF103C"/>
        <s v="FF101C"/>
        <s v="FF102C"/>
        <s v="FF006C"/>
        <s v="FF001C"/>
        <s v="FF002C"/>
        <s v="1629744204202"/>
        <s v="1629744178895"/>
        <s v="1629744222146"/>
        <s v="1629744229865"/>
        <s v="66782891029049"/>
        <s v="66782893751944"/>
        <s v="66782901793507"/>
        <s v="HK-907BL"/>
        <s v="HK-907BM"/>
        <s v="HK-129B PRO-L"/>
        <s v="HK-129B PRO-XL"/>
        <s v="HK-129B PRO-M"/>
        <s v="HK-129BPRO-S"/>
        <s v="HK-126C-BK-XS"/>
        <s v="HK-126C-PP-XS"/>
        <s v="HK-126C-BK-S"/>
        <s v="2253002"/>
        <s v="10080050270007"/>
        <s v="IMA-100"/>
        <s v="IMA-S32"/>
        <s v="1481123937937"/>
        <s v="1481123752846"/>
        <s v="1481123917144"/>
        <s v="1507904554106"/>
        <s v="1513615272195"/>
        <s v="1659132834108"/>
        <s v="1589209076056"/>
        <s v="1617981582842"/>
        <s v="1538481335277"/>
        <s v="AWS40-MORADA"/>
        <s v="AWS44-BARBIE-PINK"/>
        <s v="1602163055069"/>
        <s v="1591103835523"/>
        <s v="1619101669158"/>
        <s v="1619101943225"/>
        <s v="1548358566329"/>
        <s v="1539703126734"/>
        <s v="1538141179064"/>
        <s v="1539703106378"/>
        <s v="1514379781861"/>
        <s v="1561394899592"/>
        <s v="1600117183428"/>
        <s v="1565218463197"/>
        <s v="1571055493973"/>
        <s v="1585575578419"/>
        <s v="1483452520904"/>
        <s v="1541697243401"/>
        <s v="1610396246750"/>
        <s v="1513615220412"/>
        <s v="1479750635184"/>
        <s v="1479823191801"/>
        <s v="8809541208652"/>
        <s v="8809541209260"/>
        <s v="KT12PRO"/>
        <s v="FACE4L"/>
        <s v="FAME12L"/>
        <s v="FAPE5L"/>
        <s v="HPBE22"/>
        <s v="KW-1008RED"/>
        <s v="SE-067"/>
        <s v="SE-740"/>
        <s v="BF1224B-CH"/>
        <s v="BF1224B-MI"/>
        <s v="T-250"/>
        <s v="KW-20ROJO"/>
        <s v="KW-24CALIPSO"/>
        <s v="KW-28CALIPSO"/>
        <s v="KW-28ROJO"/>
        <s v="BF2424B-CH"/>
        <s v="BF2428B-CH"/>
        <s v="BF2428B-MI"/>
        <s v="CER-2228CHERRY"/>
        <s v="CER-2220CHERRY"/>
        <s v="CER-2224CHERRY"/>
        <s v="BF5228B-CH"/>
        <s v="68433354409679"/>
        <s v="67114508251225"/>
        <s v="67114507143511"/>
        <s v="67114509855998"/>
        <s v="67114505814137"/>
        <s v="C1PICCC005"/>
        <s v="C1PICGG013"/>
        <s v="AMPDIAMANTEHUMO"/>
        <s v="GUIRCOLORTRANS"/>
        <s v="GUIR220VESTRELLA"/>
        <s v="GUIRDECOTUCAN"/>
        <s v="1652825027456"/>
        <s v="1659989621591"/>
        <s v="67327559384453"/>
        <s v="1659990807310"/>
        <s v="1748316345017"/>
        <s v="LVFUEX-GR"/>
        <s v="LVFUEX-BK"/>
        <s v="1659990828178"/>
        <s v="66436804863605"/>
        <s v="1627418329116"/>
        <s v="67414809824183"/>
        <s v="68433336255939"/>
        <s v="68433337529096"/>
        <s v="1659999392257"/>
        <s v="1659999410637"/>
        <s v="LVMOMA-GR"/>
        <s v="LVMOMA-BK"/>
        <s v="LVMOWO-BK"/>
        <s v="1659971347046"/>
        <s v="1543406075297"/>
        <s v="1538141129434"/>
        <s v="LVCONSW-BK"/>
        <s v="1659990788079"/>
        <s v="1634567034010"/>
        <s v="1658330420825"/>
        <s v="1630370852776"/>
        <s v="1658330471799"/>
        <s v="67898087132855"/>
        <s v="1630370579400"/>
        <s v="1650299083874"/>
        <s v="1652825203439"/>
        <s v="1659990725288"/>
        <s v="1659991971809"/>
        <s v="1659991999728"/>
        <s v="LVTEL-80"/>
        <s v="1658329968514"/>
        <s v="1598650124917"/>
        <s v="1630371207740"/>
        <s v="1628801818864"/>
        <s v="1621436109437"/>
        <s v="1650478034510"/>
        <s v="1650478008436"/>
        <s v="1650478021227"/>
        <s v="1564150627423"/>
        <s v="1566335721736"/>
        <s v="1564150661249"/>
        <s v="1592492799236"/>
        <s v="1597086499840"/>
        <s v="1597098592591"/>
        <s v="67898499812968"/>
        <s v="1537889368850"/>
        <s v="1637682789024"/>
        <s v="1650478333611"/>
        <s v="68658868763602"/>
        <s v="68658866289861"/>
        <s v="1623703942966"/>
        <s v="1650478301588"/>
        <s v="1650478249084"/>
        <s v="1638799019582"/>
        <s v="LHBIGMU-BL"/>
        <s v="LHBIGMU-BK"/>
        <s v="LHBIGMU-PK"/>
        <s v="LHBIGMU-GR"/>
        <s v="LHBIGMU-CR"/>
        <s v="1621436042191"/>
        <s v="1623703861303"/>
        <s v="1656603823688"/>
        <s v="1656603804695"/>
        <s v="1659992503614"/>
        <s v="1659992478281"/>
        <s v="68313284342161"/>
        <s v="68321385498620"/>
        <s v="LHBOHY36-CEL"/>
        <s v="LHBOHY36-GR"/>
        <s v="LHBOHY36-LY"/>
        <s v="LHBOHY36-BK"/>
        <s v="LHBOHY36-PK"/>
        <s v="LHBOHY95-CEL"/>
        <s v="LHBOHY95-LY"/>
        <s v="LHBOHY95-BK"/>
        <s v="LHBOHY95-PK"/>
        <s v="LHBOHY95-GR"/>
        <s v="LHBOADV-BL"/>
        <s v="LHBOADV-WH"/>
        <s v="LHBOADV-BK"/>
        <s v="LHBOADV-PK"/>
        <s v="1644259088244"/>
        <s v="1644259102328"/>
        <s v="1644258822428"/>
        <s v="1644258839009"/>
        <s v="1596549586882"/>
        <s v="1641933886673"/>
        <s v="1640091153797"/>
        <s v="1496183099853"/>
        <s v="1630371162211"/>
        <s v="1601323542043"/>
        <s v="1612801611908"/>
        <s v="1605820909877"/>
        <s v="1549546168927"/>
        <s v="1644259071820"/>
        <s v="1644259122271"/>
        <s v="1644258923159"/>
        <s v="1650478111691"/>
        <s v="1650478100917"/>
        <s v="1650478089929"/>
        <s v="1595434263015"/>
        <s v="1614194024408"/>
        <s v="1564147623145"/>
        <s v="1542051526349"/>
        <s v="1610816087324"/>
        <s v="1565277372026"/>
        <s v="1542051822796"/>
        <s v="1610816377646"/>
        <s v="1629291104067"/>
        <s v="1542823095263"/>
        <s v="1644258868016"/>
        <s v="1644258770920"/>
        <s v="1513100019184"/>
        <s v="1639422799417"/>
        <s v="1644259048756"/>
        <s v="1644259059993"/>
        <s v="1658434052995"/>
        <s v="1658434022703"/>
        <s v="1628778300463"/>
        <s v="1661877072053"/>
        <s v="1523536647880"/>
        <s v="1632938525133"/>
        <s v="LHTRMU-WH"/>
        <s v="LHTRMU-BL"/>
        <s v="LHTRMU-BK"/>
        <s v="LHTRMU-PK"/>
        <s v="LHTRMU-GR"/>
        <s v="1628778335600"/>
        <s v="1644258895286"/>
        <s v="1513614057219"/>
        <s v="1644258852971"/>
        <s v="1630370351313"/>
        <s v="LHMAMU-WH"/>
        <s v="LHMAMU-BK"/>
        <s v="LHMAMU-RD"/>
        <s v="LHMAMU-PK"/>
        <s v="LHMAMU-GR"/>
        <s v="1566849947902"/>
        <s v="1650478169323"/>
        <s v="LHMOBI001-BL"/>
        <s v="LHMOBI001-GR"/>
        <s v="LHMOBI001-BK"/>
        <s v="1623703728452"/>
        <s v="1623703690011"/>
        <s v="1661873760641"/>
        <s v="1661873779510"/>
        <s v="1650478206093"/>
        <s v="1650478157760"/>
        <s v="1661873799978"/>
        <s v="1661873818029"/>
        <s v="1644258884424"/>
        <s v="1650478074858"/>
        <s v="1650478062964"/>
        <s v="1653404660401"/>
        <s v="67414792729571"/>
        <s v="1653404613464"/>
        <s v="1653404709747"/>
        <s v="1653404720633"/>
        <s v="1653404731061"/>
        <s v="1653404741817"/>
        <s v="1653404698359"/>
        <s v="1653404672596"/>
        <s v="1653404687721"/>
        <s v="1653404584202"/>
        <s v="1653404596846"/>
        <s v="67414791217036"/>
        <s v="1656617557771"/>
        <s v="1656617655162"/>
        <s v="1656617666249"/>
        <s v="67414791952688"/>
        <s v="1650477967885"/>
        <s v="1656617537266"/>
        <s v="66559853294178"/>
        <s v="66559856061451"/>
        <s v="66559859669124"/>
        <s v="1653404646981"/>
        <s v="67414793517640"/>
        <s v="1653404633176"/>
        <s v="1644258989378"/>
        <s v="1621435991486"/>
        <s v="1644258777141"/>
        <s v="1644259023303"/>
        <s v="1606847480521"/>
        <s v="67898461965813"/>
        <s v="67898465380537"/>
        <s v="67898466886403"/>
        <s v="67898463643999"/>
        <s v="67933835121467"/>
        <s v="67933831843970"/>
        <s v="67933833934278"/>
        <s v="67933835988925"/>
        <s v="1615383366170"/>
        <s v="1658436173706"/>
        <s v="1658436211628"/>
        <s v="1602623210379"/>
        <s v="1616009024556"/>
        <s v="1650478277346"/>
        <s v="1650478146139"/>
        <s v="1630369235283"/>
        <s v="1627416841030"/>
        <s v="1608208175202"/>
        <s v="1652824769553"/>
        <s v="1652824796337"/>
        <s v="1652824782363"/>
        <s v="1660825229924"/>
        <s v="1639085799549"/>
        <s v="67898303200803"/>
        <s v="67898307709665"/>
        <s v="1639085807876"/>
        <s v="LHCONS03BK"/>
        <s v="LHCONS03BL"/>
        <s v="LHCONS03PK"/>
        <s v="1639085772390"/>
        <s v="1639085790351"/>
        <s v="1639085780345"/>
        <s v="1652824942453"/>
        <s v="1652824957424"/>
        <s v="1652824924113"/>
        <s v="1652824902758"/>
        <s v="1660825216719"/>
        <s v="1579117587919"/>
        <s v="1605624727428"/>
        <s v="1579117612971"/>
        <s v="1605708086872"/>
        <s v="1605624656414"/>
        <s v="1581963991564"/>
        <s v="1574177821495"/>
        <s v="1535566560027"/>
        <s v="1639085736261"/>
        <s v="66436950085067"/>
        <s v="1602029190396"/>
        <s v="1607526253622"/>
        <s v="1605622069868"/>
        <s v="1594337749167"/>
        <s v="1627069056921"/>
        <s v="1628778373680"/>
        <s v="1636122379069"/>
        <s v="1628778259856"/>
        <s v="1650478290520"/>
        <s v="LHTPAD01"/>
        <s v="LHTPHY01"/>
        <s v="LHCAMU-WH"/>
        <s v="LHCAMU-BL"/>
        <s v="LHCAMU-BK"/>
        <s v="LHCAMU-GR"/>
        <s v="1650478050242"/>
        <s v="LHTHCLA-WH"/>
        <s v="LHTHCLA-BK"/>
        <s v="LHTHCLA-PK"/>
        <s v="LHTHCLA-GR"/>
        <s v="1627424867043"/>
        <s v="1627418225537"/>
        <s v="68236222425789"/>
        <s v="1629727823148"/>
        <s v="1628778362232"/>
        <s v="1629727814806"/>
        <s v="1661877043628"/>
        <s v="1616006872824"/>
        <s v="1616006958885"/>
        <s v="1644258979631"/>
        <s v="1639085745522"/>
        <s v="1639085755244"/>
        <s v="LHVACAM-WH"/>
        <s v="LHVACAM-BK"/>
        <s v="LHVACAM-RD"/>
        <s v="LHVACAM-PK"/>
        <s v="LHVACAM-VD"/>
        <s v="1650478123588"/>
        <s v="1628778289266"/>
        <s v="1796402"/>
        <s v="9550134"/>
        <s v="1700887"/>
        <s v="1795456"/>
        <s v="2651002"/>
        <s v="925173"/>
        <s v="925197"/>
        <s v="925180"/>
        <s v="925166"/>
        <s v="89554"/>
        <s v="1720432"/>
        <s v="1720433"/>
        <s v="1720662"/>
        <s v="1661-SET"/>
        <s v="1660-SET"/>
        <s v="80317"/>
        <s v="AUSS"/>
        <s v="WTAUSS"/>
        <s v="BRIT"/>
        <s v="SPAN"/>
        <s v="IT"/>
        <s v="MAND"/>
        <s v="WTMAND"/>
        <s v="MCO154"/>
        <s v="MCO152"/>
        <s v="MCO151"/>
        <s v="MCO157"/>
        <s v="MCO155"/>
        <s v="MCO125-2"/>
        <s v="MCO125-1"/>
        <s v="MCO125"/>
        <s v="MCO121-2"/>
        <s v="MCO121-1"/>
        <s v="MCO121"/>
        <s v="MCO122-2"/>
        <s v="MCO122-1"/>
        <s v="MCO122"/>
        <s v="MCO120-1"/>
        <s v="MCO120-2"/>
        <s v="MCO120"/>
        <s v="MCO123-2"/>
        <s v="MCO123-1"/>
        <s v="MCO123"/>
        <s v="MCO124-2"/>
        <s v="MCO124-1"/>
        <s v="MCO124"/>
        <s v="MCO126-2"/>
        <s v="MCO126-1"/>
        <s v="MCO016"/>
        <s v="MCO014"/>
        <s v="MCO017"/>
        <s v="MCO015"/>
        <s v="MCO038-2"/>
        <s v="MCO038-1"/>
        <s v="MCO038"/>
        <s v="MCO036-1"/>
        <s v="MCO036"/>
        <s v="MCO035-2"/>
        <s v="MCO035-1"/>
        <s v="MCO035"/>
        <s v="MCO095-2"/>
        <s v="MCO095-1"/>
        <s v="MCO095"/>
        <s v="MCO037-2"/>
        <s v="MCO037-1"/>
        <s v="MCO037"/>
        <s v="MCO164-2"/>
        <s v="MCO164"/>
        <s v="MCO022"/>
        <s v="MCO022-1"/>
        <s v="MCO020"/>
        <s v="MCO020-1"/>
        <s v="MCO019"/>
        <s v="MCO019-2"/>
        <s v="MCO019-1"/>
        <s v="MCO096"/>
        <s v="MCO096-1"/>
        <s v="MCO021"/>
        <s v="MCO021-2"/>
        <s v="MCO021-1"/>
        <s v="MCO163-1"/>
        <s v="MCO163-2"/>
        <s v="MCO163"/>
        <s v="MCO150"/>
        <s v="MCO150-2"/>
        <s v="MCO150-1"/>
        <s v="MCO068"/>
        <s v="MCO424"/>
        <s v="MCO007-1"/>
        <s v="MCO007-2"/>
        <s v="MCO006-1"/>
        <s v="MCO006"/>
        <s v="MCO006-2"/>
        <s v="MCO007"/>
        <s v="MCO005-1"/>
        <s v="MCO005-2"/>
        <s v="MCO071-1"/>
        <s v="MCO071-2"/>
        <s v="MCO071"/>
        <s v="MCO008-1"/>
        <s v="MCO008-2"/>
        <s v="MCO008"/>
        <s v="MCO070-1"/>
        <s v="MCO070-2"/>
        <s v="MCO070"/>
        <s v="MCO162-1"/>
        <s v="MCO162-2"/>
        <s v="MCO162"/>
        <s v="MCO044"/>
        <s v="MCO042"/>
        <s v="MCO039"/>
        <s v="MCO043"/>
        <s v="MCO161"/>
        <s v="MCO074"/>
        <s v="MCO076"/>
        <s v="MCO073"/>
        <s v="MCO009"/>
        <s v="MCO097"/>
        <s v="MCO172"/>
        <s v="MCO175"/>
        <s v="MCO171"/>
        <s v="MCO170"/>
        <s v="MCO173"/>
        <s v="MCO176"/>
        <s v="MCO174"/>
        <s v="MCO051-1"/>
        <s v="MCO051-2"/>
        <s v="MCO051"/>
        <s v="MCO003-1"/>
        <s v="MCO003-2"/>
        <s v="MCO003"/>
        <s v="MCO004-1"/>
        <s v="MCO004-2"/>
        <s v="MCO004"/>
        <s v="MCO001-1"/>
        <s v="MCO001"/>
        <s v="MCO002-1"/>
        <s v="MCO002-2"/>
        <s v="MCO002"/>
        <s v="MCO053-1"/>
        <s v="MCO053-2"/>
        <s v="MCO053"/>
        <s v="MCO160-1"/>
        <s v="MCO160-2"/>
        <s v="MCO160"/>
        <s v="MCO050"/>
        <s v="MCO251-1"/>
        <s v="MCO251"/>
        <s v="MCO253-1"/>
        <s v="MCO250-1"/>
        <s v="MCO250"/>
        <s v="MCO251-2"/>
        <s v="MCO253-2"/>
        <s v="MCO250-2"/>
        <s v="MCO253"/>
        <s v="MF07000061509"/>
        <s v="MF07000061510"/>
        <s v="MF07000151519"/>
        <s v="MF07000151510"/>
        <s v="20000208084"/>
        <s v="20000207087"/>
        <s v="20000209081"/>
        <s v="20000808024"/>
        <s v="20000808210"/>
        <s v="20000807210"/>
        <s v="20000807090"/>
        <s v="20000806020"/>
        <s v="20000806210"/>
        <s v="20000806090"/>
        <s v="20000805020"/>
        <s v="20000805210"/>
        <s v="20000805090"/>
        <s v="2000110821"/>
        <s v="2000110807"/>
        <s v="2000110810"/>
        <s v="2000110721"/>
        <s v="2000110707"/>
        <s v="2000110710"/>
        <s v="2000110621"/>
        <s v="2000110607"/>
        <s v="2000110610"/>
        <s v="2000110921"/>
        <s v="2000110907"/>
        <s v="2000110910"/>
        <s v="TL02000010808"/>
        <s v="TL02000010708"/>
        <s v="TL02000010608"/>
        <s v="TL02000010908"/>
        <s v="TL02000010508"/>
        <s v="20001010082"/>
        <s v="20001008089"/>
        <s v="20001007081"/>
        <s v="20001009086"/>
        <s v="TL02500011502"/>
        <s v="TL02500011521"/>
        <s v="180000115086"/>
        <s v="9500021503"/>
        <s v="SD00000091502"/>
        <s v="SD00000091521"/>
        <s v="SD00000091510"/>
        <s v="TD10000010808"/>
        <s v="TD10000010608"/>
        <s v="TD10000010908"/>
        <s v="764451134782"/>
        <s v="TD10000020815"/>
        <s v="TD10000020812"/>
        <s v="TD10000020715"/>
        <s v="TD10000020712"/>
        <s v="TD10000020615"/>
        <s v="TD10000020612"/>
        <s v="TD10000020912"/>
        <s v="TD10000020915"/>
        <s v="TL03000161508"/>
        <s v="2014000021508"/>
        <s v="2014000011508"/>
        <s v="TL01500031502"/>
        <s v="TL01500011502"/>
        <s v="TL01500011509"/>
        <s v="YB01000111026"/>
        <s v="YB01000111021"/>
        <s v="YB01000111009"/>
        <s v="YB01000111126"/>
        <s v="YB01000111121"/>
        <s v="YB01000110926"/>
        <s v="YB01000110921"/>
        <s v="YB01000071015"/>
        <s v="YB01000071008"/>
        <s v="YB01000071025"/>
        <s v="1000220802"/>
        <s v="1000220821"/>
        <s v="1000220808"/>
        <s v="1000220702"/>
        <s v="1000220721"/>
        <s v="1000220708"/>
        <s v="1000220602"/>
        <s v="1000220621"/>
        <s v="1000220608"/>
        <s v="1000220502"/>
        <s v="1000220521"/>
        <s v="1000220508"/>
        <s v="1000200819"/>
        <s v="1000200812"/>
        <s v="1000200810"/>
        <s v="1000200719"/>
        <s v="1000200712"/>
        <s v="1000200710"/>
        <s v="1000200619"/>
        <s v="1000200612"/>
        <s v="1000200610"/>
        <s v="1000200519"/>
        <s v="1000200512"/>
        <s v="1000200510"/>
        <s v="1000210801"/>
        <s v="1000210809"/>
        <s v="1000210810"/>
        <s v="1000210701"/>
        <s v="1000210709"/>
        <s v="1000210710"/>
        <s v="1000210601"/>
        <s v="1000210609"/>
        <s v="1000210610"/>
        <s v="1000210501"/>
        <s v="1000210509"/>
        <s v="1000210510"/>
        <s v="TL01500021521"/>
        <s v="TL01500021509"/>
        <s v="1000190802"/>
        <s v="1000190702"/>
        <s v="1000190602"/>
        <s v="1000190502"/>
        <s v="1000190821"/>
        <s v="1000190721"/>
        <s v="1000190621"/>
        <s v="1000190807"/>
        <s v="1000190707"/>
        <s v="1000190607"/>
        <s v="1000190507"/>
        <s v="1000190521"/>
        <s v="3000171508"/>
        <s v="3000181508"/>
        <s v="3000200802"/>
        <s v="3000200821"/>
        <s v="3000200702"/>
        <s v="3000200721"/>
        <s v="30001415080"/>
        <s v="30001415091"/>
        <s v="30001407080"/>
        <s v="30001407091"/>
        <s v="MF07000180713"/>
        <s v="MF07000180613"/>
        <s v="764451134775"/>
        <s v="SD00000040721"/>
        <s v="SD00000040701"/>
        <s v="SD00000040602"/>
        <s v="SD00000040601"/>
        <s v="6500071503"/>
        <s v="MF07000020810"/>
        <s v="MF07000020710"/>
        <s v="MF07000040810"/>
        <s v="MF07000040710"/>
        <s v="sc15"/>
        <s v="MF07000011510"/>
        <s v="MF07000131510"/>
        <s v="7500030802"/>
        <s v="7500030821"/>
        <s v="7500030702"/>
        <s v="7500030721"/>
        <s v="sc8"/>
        <s v="sc9"/>
        <s v="SD09500011503"/>
        <s v="MF07000110710"/>
        <s v="MF07000110810"/>
        <s v="SD06000130843"/>
        <s v="SD06000130821"/>
        <s v="SD06000130809"/>
        <s v="SD06000130743"/>
        <s v="SD06000130721"/>
        <s v="SD06000130709"/>
        <s v="SD06500021508"/>
        <s v="SD06500021521"/>
        <s v="SD06500061502"/>
        <s v="SD06500061525"/>
        <s v="SD06500011521"/>
        <s v="SD06500011508"/>
        <s v="SD06000140803"/>
        <s v="SD06000140819"/>
        <s v="SD06000140825"/>
        <s v="SD06000140703"/>
        <s v="SD06000140719"/>
        <s v="SD06000140725"/>
        <s v="SD06000140603"/>
        <s v="SD06000140619"/>
        <s v="SD06000140625"/>
        <s v="SD06000050807"/>
        <s v="SD06000050809"/>
        <s v="SD06000050810"/>
        <s v="SD06000050707"/>
        <s v="SD06000050607"/>
        <s v="SD06000050609"/>
        <s v="SD06000050907"/>
        <s v="SD06000050909"/>
        <s v="SD06000050910"/>
        <s v="SD06000030702"/>
        <s v="SD06000030721"/>
        <s v="SD06000030712"/>
        <s v="SD06000030708"/>
        <s v="SD06000030621"/>
        <s v="SD06000030612"/>
        <s v="SD06000030608"/>
        <s v="SD06000080801"/>
        <s v="SD06000080701"/>
        <s v="SD06000080601"/>
        <s v="SD06000080830"/>
        <s v="SD06000080812"/>
        <s v="SD06000080712"/>
        <s v="SD06000080809"/>
        <s v="SD06000080709"/>
        <s v="SD06000080609"/>
        <s v="SD06000080730"/>
        <s v="SD06000080630"/>
        <s v="SD06000080612"/>
        <s v="SD06000060802"/>
        <s v="SD06000060702"/>
        <s v="SD06000060602"/>
        <s v="SD06000060902"/>
        <s v="SD06000060721"/>
        <s v="SD06000060621"/>
        <s v="SD06000060921"/>
        <s v="SD06000060812"/>
        <s v="SD06000060712"/>
        <s v="SD06000060612"/>
        <s v="SD06000060808"/>
        <s v="SD06000060708"/>
        <s v="SD06000060608"/>
        <s v="SD06000060908"/>
        <s v="SD06000060912"/>
        <s v="SD06000030602"/>
        <s v="SD06000100707"/>
        <s v="SD06000100710"/>
        <s v="sc12"/>
        <s v="SD06000110707"/>
        <s v="SD06000110607"/>
        <s v="SD06000110710"/>
        <s v="SD06000110610"/>
        <s v="SD06000100807"/>
        <s v="SD06000100810"/>
        <s v="SD09000031507"/>
        <s v="SD09000031510"/>
        <s v="SD09000041508"/>
        <s v="SD09000041521"/>
        <s v="MF07000220715"/>
        <s v="MF07000220615"/>
        <s v="MF07000200715"/>
        <s v="SD00000051502"/>
        <s v="SD00000051521"/>
        <s v="SD00000051507"/>
        <s v="7500021502"/>
        <s v="7500021521"/>
        <s v="1-MA-M"/>
        <s v="1627065421669"/>
        <s v="1648494506836"/>
        <s v="67414820120443"/>
        <s v="1595007331468"/>
        <s v="1595007277212"/>
        <s v="1616011311193"/>
        <s v="1616011328526"/>
        <s v="1586964198052"/>
        <s v="1593115256999"/>
        <s v="MD1082"/>
        <s v="MD2086"/>
        <s v="CT2151"/>
        <s v="MD2076"/>
        <s v="MD3021"/>
        <s v="MD2087"/>
        <s v="MD1041"/>
        <s v="MD1040"/>
        <s v="CT7018"/>
        <s v="CT7019"/>
        <s v="CT7021"/>
        <s v="CT7022"/>
        <s v="MD3106"/>
        <s v="CT7024"/>
        <s v="CT7025"/>
        <s v="CT7026"/>
        <s v="MD1024"/>
        <s v="MD3098"/>
        <s v="MD3026"/>
        <s v="CT7016"/>
        <s v="CT7014"/>
        <s v="CT7015"/>
        <s v="MD0078-1"/>
        <s v="MD0077-1"/>
        <s v="MD3083"/>
        <s v="MD3084"/>
        <s v="MD3035"/>
        <s v="MD3095"/>
        <s v="MD3125"/>
        <s v="MD3170"/>
        <s v="MD3169"/>
        <s v="MD3078"/>
        <s v="MD3027"/>
        <s v="MD3110"/>
        <s v="MD3020"/>
        <s v="MD4140"/>
        <s v="MD4127"/>
        <s v="MD1015"/>
        <s v="MD1014"/>
        <s v="MD1016"/>
        <s v="MD4062"/>
        <s v="MD4063"/>
        <s v="MD1032"/>
        <s v="MD1031"/>
        <s v="MD1034"/>
        <s v="MLLAUD2"/>
        <s v="68617983132574"/>
        <s v="MLLVIN10"/>
        <s v="67545214667077"/>
        <s v="69348994953762"/>
        <s v="MLLCARFILT"/>
        <s v="68617982138107"/>
        <s v="68617980049160"/>
        <s v="68617981173073"/>
        <s v="69348994231884"/>
        <s v="MLLVIN11"/>
        <s v="68911626126569"/>
        <s v="70197505407304"/>
        <s v="MLLXR001"/>
        <s v="69875994809889"/>
        <s v="69875997006865"/>
        <s v="68617984529773"/>
        <s v="68617985384626"/>
        <s v="68911622143156"/>
        <s v="68911624368184"/>
        <s v="68433359013019"/>
        <s v="68433360148837"/>
        <s v="68433340544078"/>
        <s v="MLLPANT004"/>
        <s v="70921709583422"/>
        <s v="MLLVIN12"/>
        <s v="68617986250710"/>
        <s v="MGI2"/>
        <s v="STEL1"/>
        <s v="WIG1"/>
        <s v="ZIP1"/>
        <s v="66915272060031"/>
        <s v="60136"/>
        <s v="64080"/>
        <s v="70296"/>
        <s v="67784"/>
        <s v="70326"/>
        <s v="72191"/>
        <s v="70302"/>
        <s v="36860"/>
        <s v="57501"/>
        <s v="62628"/>
        <s v="59611"/>
        <s v="57518"/>
        <s v="68460"/>
        <s v="53251"/>
        <s v="62512"/>
        <s v="62352"/>
        <s v="49063"/>
        <s v="49070"/>
        <s v="45720"/>
        <s v="57303"/>
        <s v="63731"/>
        <s v="60464"/>
        <s v="60730"/>
        <s v="57297"/>
        <s v="45744"/>
        <s v="47465"/>
        <s v="49360"/>
        <s v="39279"/>
        <s v="31129"/>
        <s v="45935"/>
        <s v="52063"/>
        <s v="52056"/>
        <s v="63724"/>
        <s v="57280"/>
        <s v="63717"/>
        <s v="57273"/>
        <s v="66633"/>
        <s v="57266"/>
        <s v="67142"/>
        <s v="67135"/>
        <s v="56948"/>
        <s v="57556"/>
        <s v="57563"/>
        <s v="57792"/>
        <s v="57631"/>
        <s v="58133"/>
        <s v="62338"/>
        <s v="57839"/>
        <s v="53824"/>
        <s v="62345"/>
        <s v="62598"/>
        <s v="57648"/>
        <s v="62611"/>
        <s v="60754"/>
        <s v="60761"/>
        <s v="66671"/>
        <s v="57914"/>
        <s v="70135"/>
        <s v="51950"/>
        <s v="67739"/>
        <s v="67722"/>
        <s v="60846"/>
        <s v="67906"/>
        <s v="60204"/>
        <s v="53893"/>
        <s v="36712"/>
        <s v="NX5sBB"/>
        <s v="NFU+COPPER-S"/>
        <s v="1123001"/>
        <s v="10001374"/>
        <s v="TCKOZESE"/>
        <s v="TCONSONH5"/>
        <s v="OW-013"/>
        <s v="OW-933-CPK-M"/>
        <s v="OW-902G-M"/>
        <s v="UC4026"/>
        <s v="UC3968"/>
        <s v="UC4242"/>
        <s v="1637090439300"/>
        <s v="1637090501146"/>
        <s v="1632149054121"/>
        <s v="1632149131003"/>
        <s v="69521507764787"/>
        <s v="RPOSSA03"/>
        <s v="RPOSSA04"/>
        <s v="RPOSSA01"/>
        <s v="7330033906530"/>
        <s v="RC-BIL11"/>
        <s v="RC-BIL32"/>
        <s v="RC-BIL22"/>
        <s v="RC-BIL44"/>
        <s v="RC-CAR11"/>
        <s v="RC-CBL11"/>
        <s v="RC-CBM11"/>
        <s v="RC-CBS11"/>
        <s v="RC-CBL22"/>
        <s v="RC-CBM22"/>
        <s v="RC-CBXL22"/>
        <s v="RC-CBS22"/>
        <s v="RC-CCL11"/>
        <s v="RC-CCM11"/>
        <s v="RC-CCS11"/>
        <s v="RC-CCX11"/>
        <s v="RC-CON55"/>
        <s v="RC-MAR55"/>
        <s v="RC-PAI55"/>
        <s v="RC-PIG55"/>
        <s v="RC-EST11"/>
        <s v="RC-GUA11"/>
        <s v="RC-IDE11"/>
        <s v="RC-CAC22"/>
        <s v="RC-CAC11"/>
        <s v="RC-NAI11"/>
        <s v="RC-VER11"/>
        <s v="RC-PAD11"/>
        <s v="RC-NEC33"/>
        <s v="RC-NEC22"/>
        <s v="RC-NEC44"/>
        <s v="RC-PEC33"/>
        <s v="RC-PEC22"/>
        <s v="RC-MOS11"/>
        <s v="RC-PAS11"/>
        <s v="RC-COW22"/>
        <s v="ST001"/>
        <s v="66782882621304"/>
        <s v="6182252"/>
        <s v="6181104"/>
        <s v="6181105"/>
        <s v="6181103"/>
        <s v="6181096"/>
        <s v="6181088"/>
        <s v="6181097"/>
        <s v="6181072"/>
        <s v="6182205"/>
        <s v="6182204"/>
        <s v="6182251"/>
        <s v="6182254"/>
        <s v="6181109"/>
        <s v="6181076"/>
        <s v="6181094"/>
        <s v="6181095"/>
        <s v="6181195"/>
        <s v="6181194"/>
        <s v="6181111"/>
        <s v="6181110"/>
        <s v="6181140"/>
        <s v="6181135"/>
        <s v="6181091"/>
        <s v="6181196"/>
        <s v="6181136"/>
        <s v="6181075"/>
        <s v="6181130"/>
        <s v="6181090"/>
        <s v="6181222"/>
        <s v="6181220"/>
        <s v="121312926717"/>
        <s v="121312926721"/>
        <s v="211312923506"/>
        <s v="121312919278"/>
        <s v="121312919419"/>
        <s v="121312954217"/>
        <s v="120312744419"/>
        <s v="120312743019"/>
        <s v="121312914584"/>
        <s v="757450527860"/>
        <s v="757450527853"/>
        <s v="757450527594"/>
        <s v="757450527600"/>
        <s v="757450527877"/>
        <s v="757450527907"/>
        <s v="757450527655"/>
        <s v="757450527822"/>
        <s v="757450527839"/>
        <s v="757450527815"/>
        <s v="757450527808"/>
        <s v="757450527945"/>
        <s v="757450528058"/>
        <s v="757450527921"/>
        <s v="757450527846"/>
        <s v="757450527587"/>
        <s v="757450527884"/>
        <s v="757450527891"/>
        <s v="757450527792"/>
        <s v="1634845754276"/>
        <s v="SIMBATORG-BK"/>
        <s v="1635956574926"/>
        <s v="1630369674271"/>
        <s v="1629726159155"/>
        <s v="1652825295706"/>
        <s v="SIMCAFFRCO"/>
        <s v="1660858844449"/>
        <s v="1660858793429"/>
        <s v="1660858828618"/>
        <s v="1660858776726"/>
        <s v="1660858812938"/>
        <s v="1660858756233"/>
        <s v="1660858025311"/>
        <s v="66800510263382"/>
        <s v="66800506435054"/>
        <s v="66800509015029"/>
        <s v="66800507665930"/>
        <s v="1660857800718"/>
        <s v="68432930518995"/>
        <s v="1660859171584"/>
        <s v="1659991481176"/>
        <s v="1628018206370"/>
        <s v="1660858101318"/>
        <s v="1660858118518"/>
        <s v="1660858702400"/>
        <s v="67414812797526"/>
        <s v="1650295282448"/>
        <s v="1650295261109"/>
        <s v="1654189204021"/>
        <s v="1654189048611"/>
        <s v="1657222641841"/>
        <s v="1659987577541"/>
        <s v="1659987555067"/>
        <s v="1658525816907"/>
        <s v="1660858416606"/>
        <s v="1661892870974"/>
        <s v="1535543463599"/>
        <s v="1661892847912"/>
        <s v="1639488921197"/>
        <s v="1635956597983"/>
        <s v="68540051413139"/>
        <s v="68540048936286"/>
        <s v="1659991379695"/>
        <s v="1660858356962"/>
        <s v="1660858341796"/>
        <s v="1659989549286"/>
        <s v="1661872713289"/>
        <s v="1650298908518"/>
        <s v="1654207295633"/>
        <s v="1660857914743"/>
        <s v="67933854599885"/>
        <s v="1654207372101"/>
        <s v="1654207352499"/>
        <s v="1654207748340"/>
        <s v="1662389376894"/>
        <s v="1662389430959"/>
        <s v="1645629782262"/>
        <s v="1661872956577"/>
        <s v="SIMCONRED"/>
        <s v="1658269683485"/>
        <s v="1660859287583"/>
        <s v="67933863068841"/>
        <s v="67933861722733"/>
        <s v="67933859111971"/>
        <s v="67933856404072"/>
        <s v="67933857637909"/>
        <s v="67933860407346"/>
        <s v="1627418212924"/>
        <s v="67327712330533"/>
        <s v="1627418180602"/>
        <s v="1661894977439"/>
        <s v="1629726091782"/>
        <s v="1629726117626"/>
        <s v="1661894945281"/>
        <s v="1660857963520"/>
        <s v="1654207333519"/>
        <s v="1654207307551"/>
        <s v="68142278578308"/>
        <s v="68142280732690"/>
        <s v="68142275737629"/>
        <s v="66800472805184"/>
        <s v="66800471275549"/>
        <s v="66800469437952"/>
        <s v="1660858266475"/>
        <s v="1660858235219"/>
        <s v="1660859102915"/>
        <s v="67951423489593"/>
        <s v="67951425161311"/>
        <s v="67951421434761"/>
        <s v="1651603020408"/>
        <s v="1651602983648"/>
        <s v="100135"/>
        <s v="80-41045"/>
        <s v="80-41117"/>
        <s v="80-41015"/>
        <s v="20-45080"/>
        <s v="20-45085"/>
        <s v="20-48051"/>
        <s v="20-48052"/>
        <s v="20-48050"/>
        <s v="20-48054"/>
        <s v="20-48053"/>
        <s v="20-46028"/>
        <s v="20-45095"/>
        <s v="20-46025"/>
        <s v="20-46026"/>
        <s v="20-46022"/>
        <s v="20-46023"/>
        <s v="20-50105"/>
        <s v="20-45090"/>
        <s v="20-40015"/>
        <s v="23-40030"/>
        <s v="23-40050"/>
        <s v="80-41055"/>
        <s v="80-41120"/>
        <s v="20-45030"/>
        <s v="20-45092"/>
        <s v="30-55050"/>
        <s v="20-46024"/>
        <s v="80-41107"/>
        <s v="80-41006"/>
        <s v="20-65032"/>
        <s v="THV2000"/>
        <s v="715"/>
        <s v="76636"/>
        <s v="DF2001-BL"/>
        <s v="DF2001-TL"/>
        <s v="DF2001-RD"/>
        <s v="SK3020BK"/>
        <s v="SK3000BK"/>
        <s v="SK2010BK"/>
        <s v="SK2020BK"/>
        <s v="SK2000BK"/>
        <s v="SK2000RD"/>
        <s v="32-100-C3"/>
        <s v="32-100-C1"/>
        <s v="34-100-C3"/>
        <s v="34-180-C3"/>
        <s v="EN-1000-BL"/>
        <s v="EN-1000-RD"/>
        <s v="SK1005RD"/>
        <s v="SK1005BK"/>
        <s v="MP075"/>
        <s v="186296"/>
        <s v="CLN-15METALICO"/>
        <s v="TPP1900M"/>
        <s v="184957"/>
        <s v="34-100-C4"/>
        <s v="32-180-C3"/>
        <s v="EN-500-BL"/>
        <s v="EN-500-RD"/>
        <s v="32-180-C1"/>
        <s v="MATE-450MORADO"/>
        <s v="MATE-450ROJO"/>
        <s v="MATE-450VERDE"/>
        <s v="MEMN001"/>
        <s v="SOCA01"/>
        <s v="SONA01"/>
        <s v="TML01"/>
        <s v="P2348"/>
        <s v="66782906770403"/>
        <s v="66782909003418"/>
        <s v="W016009WE"/>
        <s v="W021174WE"/>
        <s v="W000828WE"/>
        <s v="W000848WE"/>
        <s v="W009034WE"/>
        <s v="W072016WE"/>
        <s v="W016040WE"/>
        <s v="W016031WE"/>
        <s v="W016036WE"/>
        <s v="1650301031879"/>
        <s v="1660859424566"/>
        <s v="1656603353038"/>
        <s v="1660858577510"/>
        <s v="67898258445967"/>
        <s v="1650302273911"/>
        <s v="1650302269777"/>
        <s v="BMZ-1200"/>
        <s v="BTZYS750"/>
        <s v="BTZBO752"/>
        <s v="BTZWP750"/>
        <s v="BTZCL750"/>
        <s v="BTZGO750"/>
        <s v="BTZGM750"/>
        <s v="BTZBB750"/>
        <s v="BTZPR750"/>
        <s v="BTZGF750"/>
        <s v="HBZ-963"/>
        <s v="HBZ-961"/>
        <s v="HBZ-960"/>
        <s v="HBZ-962"/>
        <s v="CIBB502"/>
        <s v="CIBB503"/>
        <s v="CIBB501"/>
        <s v="MCZ-196"/>
        <s v="TMZBB590"/>
        <s v="TMZCL590"/>
        <s v="TMZGO590"/>
        <s v="CMZ-351"/>
        <s v="CMZ-353"/>
        <s v="CMZ-350"/>
        <s v="CMZ-352"/>
        <s v="CTZ-961"/>
        <s v="CTZ-960"/>
        <s v="68617959527128"/>
        <s v="68433283717553"/>
        <s v="68433285199445"/>
        <s v="68433281942863"/>
        <s v="69653484984761"/>
        <s v="69653487487038"/>
        <s v="69653491094344"/>
        <s v="69653492427642"/>
        <s v="69653495999708"/>
        <s v="69653497087357"/>
        <s v="69653493886110"/>
        <s v="69653486293127"/>
        <s v="69653602134992"/>
        <s v="69653598176576"/>
        <s v="69653600180380"/>
        <s v="69653601317354"/>
        <s v="69653596768424"/>
        <s v="69653599249811"/>
        <s v="69340337962010"/>
        <s v="67337648026851"/>
      </sharedItems>
    </cacheField>
    <cacheField name="Sucursal" numFmtId="0">
      <sharedItems>
        <s v="Bodega Carrascal"/>
        <s v="Bodega Carrascal 2"/>
      </sharedItems>
    </cacheField>
    <cacheField name="Stock" numFmtId="0">
      <sharedItems containsSemiMixedTypes="0" containsString="0" containsNumber="1" containsInteger="1">
        <n v="5.0"/>
        <n v="4.0"/>
        <n v="7.0"/>
        <n v="3.0"/>
        <n v="6.0"/>
        <n v="29.0"/>
        <n v="9.0"/>
        <n v="11.0"/>
        <n v="10.0"/>
        <n v="12.0"/>
        <n v="17.0"/>
        <n v="8.0"/>
        <n v="14.0"/>
        <n v="2.0"/>
        <n v="60.0"/>
        <n v="15.0"/>
        <n v="16.0"/>
        <n v="1.0"/>
        <n v="22.0"/>
        <n v="13.0"/>
        <n v="89.0"/>
        <n v="43.0"/>
        <n v="80.0"/>
        <n v="20.0"/>
        <n v="32.0"/>
        <n v="37.0"/>
        <n v="28.0"/>
        <n v="246.0"/>
        <n v="18.0"/>
        <n v="98.0"/>
        <n v="52.0"/>
        <n v="53.0"/>
        <n v="24.0"/>
        <n v="42.0"/>
        <n v="146.0"/>
        <n v="27.0"/>
        <n v="41.0"/>
        <n v="19.0"/>
        <n v="26.0"/>
        <n v="39.0"/>
        <n v="185.0"/>
        <n v="63.0"/>
        <n v="46.0"/>
        <n v="65.0"/>
        <n v="999803.0"/>
        <n v="21.0"/>
        <n v="40.0"/>
        <n v="23.0"/>
        <n v="66.0"/>
        <n v="99.0"/>
        <n v="72.0"/>
        <n v="133.0"/>
        <n v="500.0"/>
        <n v="76.0"/>
        <n v="3555.0"/>
        <n v="335.0"/>
        <n v="36.0"/>
        <n v="1509.0"/>
        <n v="195.0"/>
        <n v="276.0"/>
        <n v="663.0"/>
        <n v="278.0"/>
        <n v="561.0"/>
        <n v="252.0"/>
        <n v="222.0"/>
        <n v="163.0"/>
        <n v="196.0"/>
        <n v="131.0"/>
        <n v="204.0"/>
        <n v="227.0"/>
        <n v="714.0"/>
        <n v="219.0"/>
        <n v="1030.0"/>
        <n v="38.0"/>
        <n v="44.0"/>
        <n v="51.0"/>
        <n v="939.0"/>
        <n v="841.0"/>
        <n v="833.0"/>
        <n v="95.0"/>
        <n v="258.0"/>
        <n v="693.0"/>
        <n v="188.0"/>
        <n v="349.0"/>
        <n v="439.0"/>
        <n v="320.0"/>
        <n v="391.0"/>
        <n v="394.0"/>
        <n v="860.0"/>
        <n v="518.0"/>
        <n v="250.0"/>
        <n v="402.0"/>
        <n v="7199.0"/>
        <n v="5329.0"/>
        <n v="11443.0"/>
        <n v="4971.0"/>
        <n v="1539.0"/>
        <n v="1368.0"/>
        <n v="390.0"/>
        <n v="2290.0"/>
        <n v="2190.0"/>
        <n v="93.0"/>
        <n v="92.0"/>
        <n v="87.0"/>
        <n v="85.0"/>
        <n v="49.0"/>
        <n v="116.0"/>
        <n v="164.0"/>
        <n v="102.0"/>
        <n v="191.0"/>
        <n v="194.0"/>
        <n v="189.0"/>
        <n v="192.0"/>
        <n v="97.0"/>
        <n v="96.0"/>
        <n v="129.0"/>
        <n v="674.0"/>
        <n v="211.0"/>
        <n v="382.0"/>
        <n v="381.0"/>
        <n v="35.0"/>
        <n v="268.0"/>
        <n v="45.0"/>
        <n v="30.0"/>
        <n v="271.0"/>
        <n v="94.0"/>
        <n v="145.0"/>
        <n v="198.0"/>
        <n v="444.0"/>
        <n v="156.0"/>
        <n v="115.0"/>
        <n v="492.0"/>
        <n v="140.0"/>
        <n v="124.0"/>
        <n v="1920.0"/>
        <n v="1282.0"/>
        <n v="1473.0"/>
        <n v="1833.0"/>
        <n v="153.0"/>
        <n v="1103.0"/>
        <n v="1435.0"/>
        <n v="1048.0"/>
        <n v="71.0"/>
        <n v="31.0"/>
        <n v="101.0"/>
        <n v="592.0"/>
        <n v="82.0"/>
        <n v="869.0"/>
        <n v="424.0"/>
        <n v="103.0"/>
        <n v="104.0"/>
        <n v="90.0"/>
        <n v="244.0"/>
        <n v="259.0"/>
        <n v="1014.0"/>
        <n v="100.0"/>
        <n v="64.0"/>
        <n v="69.0"/>
        <n v="177.0"/>
        <n v="374.0"/>
        <n v="86.0"/>
        <n v="88.0"/>
        <n v="337.0"/>
        <n v="376.0"/>
        <n v="951.0"/>
        <n v="778.0"/>
        <n v="732.0"/>
        <n v="200.0"/>
        <n v="137.0"/>
        <n v="180.0"/>
        <n v="207.0"/>
        <n v="206.0"/>
        <n v="210.0"/>
        <n v="400.0"/>
        <n v="406.0"/>
        <n v="113.0"/>
        <n v="83.0"/>
        <n v="383.0"/>
        <n v="393.0"/>
        <n v="1156.0"/>
        <n v="326.0"/>
        <n v="524.0"/>
        <n v="598.0"/>
        <n v="818.0"/>
        <n v="355.0"/>
        <n v="587.0"/>
        <n v="854.0"/>
        <n v="559.0"/>
        <n v="410.0"/>
        <n v="84.0"/>
        <n v="317.0"/>
        <n v="606.0"/>
        <n v="458.0"/>
        <n v="1158.0"/>
        <n v="940.0"/>
        <n v="2001.0"/>
        <n v="2082.0"/>
        <n v="2153.0"/>
        <n v="433.0"/>
        <n v="331.0"/>
        <n v="3309.0"/>
        <n v="2966.0"/>
        <n v="464.0"/>
        <n v="823.0"/>
        <n v="635.0"/>
        <n v="304.0"/>
        <n v="425.0"/>
        <n v="299.0"/>
        <n v="780.0"/>
        <n v="447.0"/>
        <n v="357.0"/>
        <n v="240.0"/>
        <n v="290.0"/>
        <n v="408.0"/>
        <n v="3431.0"/>
        <n v="2344.0"/>
        <n v="622.0"/>
        <n v="676.0"/>
        <n v="55.0"/>
        <n v="867.0"/>
        <n v="875.0"/>
        <n v="851.0"/>
        <n v="564.0"/>
        <n v="972.0"/>
        <n v="950.0"/>
        <n v="138.0"/>
        <n v="285.0"/>
        <n v="154.0"/>
        <n v="181.0"/>
        <n v="25.0"/>
        <n v="33.0"/>
        <n v="121.0"/>
        <n v="47.0"/>
        <n v="269.0"/>
        <n v="68.0"/>
        <n v="120.0"/>
        <n v="114.0"/>
        <n v="48.0"/>
        <n v="118.0"/>
        <n v="5100.0"/>
        <n v="2400.0"/>
        <n v="2500.0"/>
        <n v="10300.0"/>
        <n v="5000.0"/>
        <n v="5300.0"/>
      </sharedItems>
    </cacheField>
    <cacheField name="Costo Neto Prom. Unitario" numFmtId="0">
      <sharedItems containsSemiMixedTypes="0" containsString="0" containsNumber="1">
        <n v="9400.0"/>
        <n v="10500.0"/>
        <n v="10079.0"/>
        <n v="9500.0"/>
        <n v="5950.0"/>
        <n v="1.0"/>
        <n v="15100.0"/>
        <n v="12580.0"/>
        <n v="10100.0"/>
        <n v="5000.0"/>
        <n v="7600.0"/>
        <n v="2500.0"/>
        <n v="12600.0"/>
        <n v="3000.0"/>
        <n v="2458.3"/>
        <n v="20100.0"/>
        <n v="4000.0"/>
        <n v="4550.0"/>
        <n v="6500.0"/>
        <n v="2800.0"/>
        <n v="3500.0"/>
        <n v="1000.0"/>
        <n v="2000.0"/>
        <n v="4161.0"/>
        <n v="3329.0"/>
        <n v="6340.0"/>
        <n v="9260.0"/>
        <n v="40300.0"/>
        <n v="35300.0"/>
        <n v="31770.0"/>
        <n v="33583.0"/>
        <n v="50400.0"/>
        <n v="13084.0"/>
        <n v="15600.0"/>
        <n v="5037.0"/>
        <n v="14264.8"/>
        <n v="7850.0"/>
        <n v="11034.0"/>
        <n v="10350.0"/>
        <n v="14607.0"/>
        <n v="20200.0"/>
        <n v="30200.0"/>
        <n v="17600.0"/>
        <n v="32274.3"/>
        <n v="30300.0"/>
        <n v="25200.0"/>
        <n v="7676.0"/>
        <n v="3353.7"/>
        <n v="9540.0"/>
        <n v="23449.5"/>
        <n v="11100.0"/>
        <n v="22399.3"/>
        <n v="70500.0"/>
        <n v="11000.0"/>
        <n v="4500.0"/>
        <n v="68000.0"/>
        <n v="3354.8"/>
        <n v="3671.0"/>
        <n v="4722.0"/>
        <n v="1570.0"/>
        <n v="4087.0"/>
        <n v="2621.0"/>
        <n v="3146.0"/>
        <n v="5247.0"/>
        <n v="7873.0"/>
        <n v="14728.0"/>
        <n v="5223.4"/>
        <n v="3760.0"/>
        <n v="6822.0"/>
        <n v="9449.0"/>
        <n v="4081.0"/>
        <n v="2096.0"/>
        <n v="5686.7"/>
        <n v="8923.0"/>
        <n v="4196.0"/>
        <n v="9974.0"/>
        <n v="7172.3"/>
        <n v="2517.0"/>
        <n v="2270.0"/>
        <n v="3524.0"/>
        <n v="3465.4"/>
        <n v="3347.8"/>
        <n v="2012.0"/>
        <n v="8399.0"/>
        <n v="17475.0"/>
        <n v="12601.0"/>
        <n v="6298.0"/>
        <n v="7559.0"/>
        <n v="11029.3"/>
        <n v="7018.0"/>
        <n v="8459.0"/>
        <n v="25993.0"/>
        <n v="8062.0"/>
        <n v="6910.0"/>
        <n v="6550.0"/>
        <n v="14465.8"/>
        <n v="6549.3"/>
        <n v="7558.0"/>
        <n v="9765.1"/>
        <n v="13861.0"/>
        <n v="23058.3"/>
        <n v="49445.5"/>
        <n v="31792.8"/>
        <n v="7335.6"/>
        <n v="37681.0"/>
        <n v="20965.8"/>
        <n v="9660.0"/>
        <n v="3777.0"/>
        <n v="4947.0"/>
        <n v="6662.1"/>
        <n v="6878.0"/>
        <n v="1676.0"/>
        <n v="2097.0"/>
        <n v="2516.0"/>
        <n v="9323.0"/>
        <n v="16129.0"/>
        <n v="1508.0"/>
        <n v="10236.0"/>
        <n v="10919.0"/>
        <n v="9280.0"/>
        <n v="49154.0"/>
        <n v="13650.0"/>
        <n v="14742.0"/>
        <n v="10782.0"/>
        <n v="13556.8"/>
        <n v="1887.0"/>
        <n v="16381.0"/>
        <n v="27305.0"/>
        <n v="40051.0"/>
        <n v="24574.0"/>
        <n v="19112.0"/>
        <n v="20205.0"/>
        <n v="18020.0"/>
        <n v="17064.0"/>
        <n v="11340.0"/>
        <n v="14282.0"/>
        <n v="46634.0"/>
        <n v="39912.0"/>
        <n v="22265.0"/>
        <n v="38231.0"/>
        <n v="36550.0"/>
        <n v="35290.0"/>
        <n v="13021.0"/>
        <n v="0.0"/>
        <n v="55990.0"/>
        <n v="59990.0"/>
        <n v="57990.3"/>
        <n v="42852.0"/>
        <n v="9900.0"/>
        <n v="3600.0"/>
        <n v="8250.0"/>
        <n v="12000.0"/>
        <n v="6000.0"/>
        <n v="11500.0"/>
        <n v="10300.0"/>
        <n v="4700.0"/>
        <n v="3300.0"/>
        <n v="672.0"/>
        <n v="2472.0"/>
        <n v="488.0"/>
        <n v="5186.0"/>
        <n v="52935.0"/>
        <n v="110078.0"/>
        <n v="99994.0"/>
        <n v="94112.0"/>
        <n v="76465.0"/>
        <n v="105876.0"/>
        <n v="64700.0"/>
        <n v="35288.0"/>
        <n v="88229.0"/>
        <n v="82347.0"/>
        <n v="55792.6"/>
        <n v="12552.0"/>
        <n v="12935.0"/>
        <n v="23524.0"/>
        <n v="26465.0"/>
        <n v="47053.0"/>
        <n v="70582.0"/>
        <n v="72052.8"/>
        <n v="588229.0"/>
        <n v="29406.0"/>
        <n v="35141.7"/>
        <n v="32347.0"/>
        <n v="75206.7"/>
        <n v="367641.0"/>
        <n v="164700.0"/>
        <n v="205876.0"/>
        <n v="4911.0"/>
        <n v="18566.0"/>
        <n v="20751.0"/>
        <n v="21843.0"/>
        <n v="2400.0"/>
        <n v="4370.0"/>
        <n v="3184.0"/>
        <n v="4109.0"/>
        <n v="5033.0"/>
        <n v="3361.0"/>
        <n v="7336.1"/>
        <n v="450000.0"/>
        <n v="3277.0"/>
        <n v="4874.0"/>
        <n v="9832.0"/>
        <n v="13025.0"/>
        <n v="2521.0"/>
        <n v="3268.0"/>
        <n v="3950.0"/>
        <n v="3991.0"/>
        <n v="4033.0"/>
        <n v="4042.0"/>
        <n v="4117.0"/>
        <n v="4369.0"/>
        <n v="5345.0"/>
        <n v="2941.1"/>
        <n v="17286.0"/>
        <n v="3353.0"/>
        <n v="3352.0"/>
        <n v="3596.0"/>
        <n v="4193.0"/>
        <n v="4614.0"/>
        <n v="5848.0"/>
        <n v="6252.0"/>
        <n v="6714.0"/>
        <n v="3161.0"/>
        <n v="3655.0"/>
        <n v="1976.0"/>
        <n v="3457.0"/>
        <n v="1679.0"/>
        <n v="1877.0"/>
        <n v="1284.0"/>
        <n v="1482.0"/>
        <n v="4255.0"/>
        <n v="17936.0"/>
        <n v="26466.0"/>
        <n v="30506.0"/>
        <n v="6679.0"/>
        <n v="3141.0"/>
        <n v="17010.0"/>
        <n v="22026.0"/>
        <n v="9826.0"/>
        <n v="13104.0"/>
        <n v="21297.0"/>
        <n v="15289.0"/>
        <n v="17641.0"/>
        <n v="7957.0"/>
        <n v="10800.0"/>
        <n v="7000.0"/>
        <n v="10400.0"/>
        <n v="8500.0"/>
        <n v="4900.0"/>
        <n v="7400.0"/>
        <n v="9300.0"/>
        <n v="8300.0"/>
        <n v="9000.0"/>
        <n v="11150.0"/>
        <n v="9700.0"/>
        <n v="13750.0"/>
        <n v="11592.0"/>
        <n v="7186.0"/>
        <n v="6750.0"/>
        <n v="4350.0"/>
        <n v="15300.0"/>
        <n v="6890.0"/>
        <n v="11050.0"/>
        <n v="7490.0"/>
        <n v="4750.0"/>
        <n v="3020.6"/>
        <n v="13200.0"/>
        <n v="7900.0"/>
        <n v="21676.0"/>
        <n v="12591.2"/>
        <n v="17419.0"/>
        <n v="12100.0"/>
        <n v="11550.0"/>
        <n v="8000.0"/>
        <n v="12800.0"/>
        <n v="6900.0"/>
        <n v="4300.0"/>
        <n v="4725.0"/>
        <n v="5647.0"/>
        <n v="5877.0"/>
        <n v="11900.0"/>
        <n v="39900.0"/>
        <n v="34900.0"/>
        <n v="31410.0"/>
        <n v="40331.0"/>
        <n v="6098.0"/>
        <n v="1200.0"/>
        <n v="13329.0"/>
        <n v="202403.0"/>
        <n v="2785.0"/>
        <n v="1210.0"/>
        <n v="6960.8"/>
        <n v="915.0"/>
        <n v="997.0"/>
        <n v="26000.0"/>
        <n v="71800.0"/>
        <n v="26200.0"/>
        <n v="23900.0"/>
        <n v="9566.0"/>
        <n v="8818.0"/>
        <n v="9691.5"/>
        <n v="9509.7"/>
        <n v="3505.0"/>
        <n v="7.8"/>
        <n v="4055.0"/>
        <n v="21525.3"/>
        <n v="17493.0"/>
        <n v="168494.8"/>
        <n v="72787.0"/>
        <n v="8987.0"/>
        <n v="2824.7"/>
        <n v="2709.1"/>
        <n v="1255.0"/>
        <n v="67218.0"/>
        <n v="31924.0"/>
        <n v="57134.0"/>
        <n v="42849.0"/>
        <n v="57975.0"/>
        <n v="44000.0"/>
        <n v="2259.0"/>
        <n v="4797.0"/>
        <n v="14160.0"/>
        <n v="1414.0"/>
        <n v="3800.0"/>
        <n v="4520.0"/>
        <n v="5670.0"/>
        <n v="6040.0"/>
        <n v="7240.0"/>
        <n v="9130.0"/>
        <n v="6060.0"/>
        <n v="7460.0"/>
        <n v="8450.0"/>
        <n v="19745.0"/>
        <n v="6081.9"/>
        <n v="6071.1"/>
        <n v="5982.5"/>
        <n v="5904.9"/>
        <n v="10913.4"/>
        <n v="16381.1"/>
        <n v="2718.0"/>
        <n v="3478.6"/>
        <n v="6690.9"/>
        <n v="15232.8"/>
        <n v="13739.2"/>
        <n v="8841.4"/>
        <n v="28138.4"/>
        <n v="4354.0"/>
        <n v="8179.1"/>
        <n v="8544.9"/>
        <n v="6374.2"/>
        <n v="13208.0"/>
        <n v="42300.0"/>
        <n v="52813.0"/>
        <n v="3330.8"/>
        <n v="3559.5"/>
        <n v="7256.0"/>
        <n v="7438.0"/>
        <n v="2801.9"/>
        <n v="3641.1"/>
        <n v="3648.9"/>
        <n v="11381.0"/>
        <n v="10434.0"/>
        <n v="59714.6"/>
        <n v="57708.4"/>
        <n v="38595.0"/>
        <n v="100498.7"/>
        <n v="36071.6"/>
        <n v="48846.5"/>
        <n v="5772.8"/>
        <n v="5979.9"/>
        <n v="9787.2"/>
        <n v="25010.5"/>
        <n v="13760.0"/>
        <n v="21238.0"/>
        <n v="6512.2"/>
        <n v="11078.1"/>
        <n v="226604.0"/>
        <n v="8560.0"/>
        <n v="5824.0"/>
        <n v="6035.0"/>
        <n v="27107.0"/>
        <n v="3214.1"/>
        <n v="2919.7"/>
        <n v="3054.2"/>
        <n v="3001.1"/>
        <n v="5529.7"/>
        <n v="6248.4"/>
        <n v="4096.0"/>
        <n v="4354.8"/>
        <n v="4577.0"/>
        <n v="5705.2"/>
        <n v="2248.4"/>
        <n v="5294.0"/>
        <n v="36357.0"/>
        <n v="65912.0"/>
        <n v="4073.0"/>
        <n v="74049.0"/>
        <n v="9129.6"/>
        <n v="23649.0"/>
        <n v="3637.7"/>
        <n v="3670.0"/>
        <n v="3550.0"/>
        <n v="3861.0"/>
        <n v="4356.0"/>
        <n v="2684.0"/>
        <n v="2684.1"/>
        <n v="5460.0"/>
        <n v="3527.0"/>
        <n v="7263.0"/>
        <n v="15000.0"/>
        <n v="33581.9"/>
        <n v="17422.4"/>
        <n v="24200.0"/>
        <n v="314.5"/>
        <n v="1013.0"/>
        <n v="2.6"/>
        <n v="1015.0"/>
        <n v="9746.0"/>
        <n v="6033.0"/>
        <n v="3713.0"/>
        <n v="9212.0"/>
        <n v="12177.0"/>
        <n v="9318.0"/>
        <n v="1868.0"/>
        <n v="686.0"/>
        <n v="1382.0"/>
        <n v="835.0"/>
        <n v="800.0"/>
        <n v="734.0"/>
        <n v="1127.0"/>
        <n v="900.0"/>
        <n v="5105.0"/>
        <n v="51050.0"/>
        <n v="6665.0"/>
        <n v="18891.0"/>
        <n v="43624.0"/>
        <n v="9282.0"/>
        <n v="44227.0"/>
        <n v="29546.0"/>
        <n v="9814.0"/>
        <n v="270567.0"/>
        <n v="11473.7"/>
        <n v="26475.0"/>
        <n v="2788.0"/>
        <n v="15757.0"/>
        <n v="3378.8"/>
        <n v="15779.0"/>
        <n v="146573.0"/>
        <n v="2402.0"/>
        <n v="9578.5"/>
        <n v="8471.0"/>
        <n v="8272.0"/>
        <n v="8697.4"/>
        <n v="8514.8"/>
        <n v="8271.7"/>
        <n v="8380.0"/>
        <n v="10377.0"/>
        <n v="33883.0"/>
        <n v="9254.6"/>
        <n v="9466.5"/>
        <n v="6497.0"/>
        <n v="3388.0"/>
        <n v="2753.0"/>
        <n v="4491.0"/>
        <n v="8771.0"/>
        <n v="12913.0"/>
        <n v="3790.0"/>
        <n v="7158.0"/>
        <n v="3088.0"/>
        <n v="6597.0"/>
        <n v="9544.0"/>
        <n v="17264.0"/>
        <n v="15439.0"/>
        <n v="4378.0"/>
        <n v="7379.0"/>
        <n v="6037.0"/>
        <n v="5232.0"/>
        <n v="6707.0"/>
        <n v="5769.0"/>
        <n v="26402.0"/>
        <n v="72002.0"/>
        <n v="120849.0"/>
        <n v="34052.0"/>
        <n v="18527.0"/>
        <n v="32486.0"/>
        <n v="221431.0"/>
        <n v="10101.0"/>
        <n v="4716.5"/>
        <n v="4710.0"/>
        <n v="4599.0"/>
        <n v="4490.1"/>
        <n v="4817.4"/>
        <n v="4870.8"/>
        <n v="4876.8"/>
        <n v="4803.0"/>
        <n v="31219.5"/>
        <n v="68399.0"/>
        <n v="45585.0"/>
        <n v="14452.0"/>
        <n v="6777.0"/>
        <n v="6671.0"/>
        <n v="6850.0"/>
        <n v="5216.1"/>
        <n v="20057.8"/>
        <n v="11839.1"/>
        <n v="11664.6"/>
        <n v="11663.8"/>
        <n v="15751.0"/>
        <n v="15549.0"/>
        <n v="15494.7"/>
        <n v="13194.0"/>
        <n v="27160.0"/>
        <n v="18810.0"/>
        <n v="21735.1"/>
        <n v="21962.2"/>
        <n v="20256.3"/>
        <n v="20646.9"/>
        <n v="20635.0"/>
        <n v="18668.0"/>
        <n v="3917.0"/>
        <n v="14143.0"/>
        <n v="16835.0"/>
        <n v="14572.3"/>
        <n v="14860.0"/>
        <n v="14271.0"/>
        <n v="15218.0"/>
        <n v="26245.0"/>
        <n v="7127.5"/>
        <n v="21836.8"/>
        <n v="23977.8"/>
        <n v="28513.0"/>
        <n v="9931.0"/>
        <n v="9869.4"/>
        <n v="11670.0"/>
        <n v="5771.0"/>
        <n v="32073.0"/>
        <n v="5662.0"/>
        <n v="5687.0"/>
        <n v="3177.0"/>
        <n v="799.0"/>
        <n v="13765.0"/>
        <n v="6396.0"/>
        <n v="5168.5"/>
        <n v="5244.7"/>
        <n v="446590.0"/>
        <n v="546.0"/>
        <n v="36459.0"/>
        <n v="498.0"/>
        <n v="217380.0"/>
        <n v="13108.9"/>
        <n v="12642.5"/>
        <n v="10210.0"/>
        <n v="32149.3"/>
        <n v="32051.0"/>
        <n v="2925.0"/>
        <n v="7624.0"/>
        <n v="6915.0"/>
        <n v="11574.0"/>
        <n v="2214.0"/>
        <n v="3456.0"/>
        <n v="5985.0"/>
        <n v="4941.0"/>
        <n v="5715.0"/>
        <n v="7056.0"/>
        <n v="9360.0"/>
        <n v="4690.0"/>
        <n v="4221.0"/>
        <n v="5329.3"/>
        <n v="5436.0"/>
        <n v="8640.0"/>
        <n v="9071.0"/>
        <n v="9070.6"/>
        <n v="9070.5"/>
        <n v="10499.0"/>
        <n v="35289.0"/>
        <n v="5874.0"/>
        <n v="17138.0"/>
        <n v="13417.6"/>
        <n v="12096.0"/>
        <n v="12366.3"/>
        <n v="9448.9"/>
        <n v="10865.5"/>
        <n v="18146.0"/>
        <n v="21840.0"/>
        <n v="12095.5"/>
        <n v="14851.2"/>
        <n v="17472.0"/>
        <n v="6100.0"/>
        <n v="3060.0"/>
        <n v="2790.0"/>
        <n v="3420.0"/>
        <n v="6197.5"/>
        <n v="5697.2"/>
        <n v="6200.0"/>
        <n v="4590.0"/>
        <n v="12960.0"/>
        <n v="13725.0"/>
        <n v="13266.7"/>
        <n v="13800.0"/>
        <n v="11520.0"/>
        <n v="12649.4"/>
        <n v="14900.0"/>
        <n v="13410.0"/>
        <n v="9376.7"/>
        <n v="7500.0"/>
        <n v="7920.0"/>
        <n v="6670.0"/>
        <n v="5880.0"/>
        <n v="7290.0"/>
        <n v="6300.0"/>
        <n v="6166.7"/>
        <n v="4100.0"/>
        <n v="3895.0"/>
        <n v="31140.0"/>
        <n v="19080.0"/>
        <n v="40140.0"/>
        <n v="22000.0"/>
        <n v="32130.0"/>
        <n v="35700.0"/>
        <n v="24120.0"/>
        <n v="25906.5"/>
        <n v="19620.0"/>
        <n v="44900.0"/>
        <n v="40410.0"/>
        <n v="2532.7"/>
        <n v="25740.0"/>
        <n v="25500.0"/>
        <n v="1942.5"/>
        <n v="1500.0"/>
        <n v="7740.0"/>
        <n v="8600.0"/>
        <n v="8910.0"/>
        <n v="7700.0"/>
        <n v="4200.0"/>
        <n v="3286.7"/>
        <n v="3400.0"/>
        <n v="1700.0"/>
        <n v="1643.3"/>
        <n v="2320.0"/>
        <n v="4156.7"/>
        <n v="1615.0"/>
        <n v="1353.3"/>
        <n v="1400.0"/>
        <n v="4787.5"/>
        <n v="3200.0"/>
        <n v="6142.5"/>
        <n v="8700.0"/>
        <n v="6700.0"/>
        <n v="5850.0"/>
        <n v="2970.0"/>
        <n v="2300.0"/>
        <n v="42000.0"/>
        <n v="1300.0"/>
        <n v="24196.0"/>
        <n v="3150.0"/>
        <n v="2700.0"/>
        <n v="7200.0"/>
        <n v="9292.0"/>
        <n v="8400.0"/>
        <n v="10070.0"/>
        <n v="10176.0"/>
        <n v="7480.0"/>
        <n v="4400.0"/>
        <n v="3900.0"/>
        <n v="3240.0"/>
        <n v="6600.0"/>
        <n v="4275.0"/>
        <n v="4050.0"/>
        <n v="7800.0"/>
        <n v="5100.0"/>
        <n v="3100.0"/>
        <n v="9706.7"/>
        <n v="9788.2"/>
        <n v="10168.9"/>
        <n v="10000.0"/>
        <n v="9333.3"/>
        <n v="9600.0"/>
        <n v="9233.3"/>
        <n v="6950.0"/>
        <n v="4800.0"/>
        <n v="4653.3"/>
        <n v="6400.0"/>
        <n v="3924.0"/>
        <n v="10053.3"/>
        <n v="7102.5"/>
        <n v="9404.0"/>
        <n v="8200.0"/>
        <n v="5600.0"/>
        <n v="2893.3"/>
        <n v="2497.5"/>
        <n v="1980.0"/>
        <n v="2880.0"/>
        <n v="1110.0"/>
        <n v="2900.0"/>
        <n v="22280.0"/>
        <n v="1069.0"/>
        <n v="82550.0"/>
        <n v="985.7"/>
        <n v="840.0"/>
        <n v="2353.4"/>
        <n v="8750.0"/>
        <n v="5050.0"/>
        <n v="7650.0"/>
        <n v="8566.0"/>
        <n v="10900.0"/>
        <n v="5405.0"/>
        <n v="22058.0"/>
        <n v="559.0"/>
        <n v="154781.0"/>
        <n v="154196.0"/>
        <n v="39136.0"/>
        <n v="24603.0"/>
        <n v="25452.0"/>
        <n v="35632.0"/>
        <n v="43538.0"/>
        <n v="5591.0"/>
        <n v="461.0"/>
        <n v="26843.0"/>
        <n v="49309.0"/>
        <n v="16290.0"/>
        <n v="4127.0"/>
        <n v="2545.0"/>
        <n v="3394.0"/>
        <n v="3226.0"/>
        <n v="6175.0"/>
        <n v="6043.0"/>
        <n v="3021.0"/>
        <n v="16114.0"/>
        <n v="2572.0"/>
        <n v="24721.0"/>
        <n v="6787.0"/>
        <n v="13400.0"/>
        <n v="10250.0"/>
        <n v="11585.0"/>
        <n v="11200.0"/>
        <n v="6650.0"/>
        <n v="7983.3"/>
        <n v="8350.0"/>
        <n v="7300.0"/>
        <n v="8850.0"/>
        <n v="7258.0"/>
        <n v="9561.5"/>
        <n v="17577.0"/>
        <n v="55490.0"/>
        <n v="6490.0"/>
        <n v="75622.0"/>
        <n v="88227.0"/>
        <n v="29900.0"/>
        <n v="12900.0"/>
        <n v="48065.8"/>
        <n v="10084.0"/>
        <n v="8319.0"/>
        <n v="6303.0"/>
        <n v="9076.0"/>
        <n v="85714.0"/>
        <n v="22689.0"/>
        <n v="4647.0"/>
        <n v="20163.0"/>
        <n v="15121.0"/>
        <n v="35244.0"/>
        <n v="6045.0"/>
        <n v="4533.0"/>
        <n v="23288.8"/>
        <n v="22684.0"/>
        <n v="17642.0"/>
        <n v="13608.0"/>
        <n v="11087.0"/>
        <n v="23048.0"/>
        <n v="10600.0"/>
        <n v="7250.0"/>
        <n v="8100.0"/>
        <n v="7950.0"/>
        <n v="17971.0"/>
        <n v="8187.0"/>
        <n v="20155.0"/>
        <n v="19063.0"/>
        <n v="6872.0"/>
        <n v="5765.0"/>
        <n v="5818.0"/>
        <n v="6348.0"/>
        <n v="3695.0"/>
        <n v="1535.0"/>
        <n v="1006.0"/>
        <n v="12965.0"/>
        <n v="22225.0"/>
        <n v="7936.0"/>
        <n v="11642.0"/>
        <n v="40633.3"/>
        <n v="15452.0"/>
        <n v="24518.2"/>
        <n v="3699.1"/>
        <n v="6671.5"/>
        <n v="8332.4"/>
        <n v="4807.0"/>
        <n v="3607.7"/>
        <n v="3538.7"/>
        <n v="3004.5"/>
        <n v="2895.6"/>
        <n v="2009.3"/>
        <n v="1947.7"/>
        <n v="2767.1"/>
        <n v="1107.0"/>
        <n v="613.8"/>
        <n v="1400.8"/>
        <n v="1304.9"/>
        <n v="5589.4"/>
        <n v="14860.2"/>
        <n v="14919.6"/>
        <n v="3771.7"/>
        <n v="4581.6"/>
        <n v="3084.5"/>
        <n v="3501.2"/>
        <n v="3280.7"/>
        <n v="6883.0"/>
        <n v="3357.6"/>
        <n v="2300.5"/>
        <n v="3878.9"/>
        <n v="2999.6"/>
        <n v="5748.6"/>
        <n v="3752.0"/>
        <n v="3776.0"/>
        <n v="6598.0"/>
        <n v="6119.3"/>
        <n v="15694.2"/>
        <n v="17356.4"/>
        <n v="17761.3"/>
        <n v="2740.0"/>
        <n v="5276.6"/>
        <n v="4753.1"/>
        <n v="4680.5"/>
        <n v="5796.2"/>
        <n v="5671.6"/>
        <n v="5848.6"/>
        <n v="3712.1"/>
        <n v="4420.4"/>
        <n v="5367.5"/>
        <n v="1444.8"/>
        <n v="1412.3"/>
        <n v="5989.0"/>
        <n v="1880.0"/>
        <n v="3427.0"/>
        <n v="7372.0"/>
        <n v="8514.9"/>
        <n v="8044.6"/>
        <n v="4128.7"/>
        <n v="11461.7"/>
        <n v="5126.0"/>
        <n v="10616.0"/>
        <n v="8273.9"/>
        <n v="4077.0"/>
        <n v="3333.5"/>
        <n v="3685.8"/>
        <n v="3649.0"/>
        <n v="4495.1"/>
        <n v="3034.9"/>
        <n v="7239.7"/>
        <n v="7308.0"/>
        <n v="5544.5"/>
        <n v="6510.9"/>
        <n v="6175.7"/>
        <n v="6175.5"/>
        <n v="6142.0"/>
        <n v="3321.5"/>
        <n v="1876.0"/>
        <n v="1898.0"/>
        <n v="4048.7"/>
        <n v="3818.9"/>
        <n v="3888.4"/>
        <n v="6115.8"/>
        <n v="6284.6"/>
        <n v="6072.7"/>
        <n v="8359.0"/>
        <n v="8367.0"/>
        <n v="5255.5"/>
        <n v="3342.2"/>
        <n v="3377.7"/>
        <n v="654.6"/>
        <n v="3273.0"/>
        <n v="120163.0"/>
        <n v="11591.0"/>
        <n v="7557.0"/>
        <n v="7315.7"/>
        <n v="3775.0"/>
        <n v="2307.0"/>
        <n v="2581.8"/>
        <n v="2765.0"/>
        <n v="2358.2"/>
        <n v="7810.0"/>
        <n v="10000.5"/>
        <n v="8022.4"/>
        <n v="8314.0"/>
        <n v="5878.0"/>
        <n v="22104.0"/>
        <n v="11007.0"/>
        <n v="2583.0"/>
        <n v="16702.6"/>
        <n v="14796.0"/>
        <n v="18198.0"/>
        <n v="24381.0"/>
        <n v="12933.0"/>
        <n v="7614.0"/>
        <n v="8649.0"/>
        <n v="10557.0"/>
        <n v="11223.0"/>
        <n v="14292.0"/>
        <n v="12139.0"/>
        <n v="8397.0"/>
        <n v="16500.0"/>
        <n v="22320.0"/>
        <n v="9252.0"/>
        <n v="7461.0"/>
        <n v="4176.0"/>
        <n v="6210.0"/>
        <n v="6914.0"/>
        <n v="9219.0"/>
        <n v="5634.0"/>
        <n v="11583.0"/>
        <n v="4244.0"/>
        <n v="9375.0"/>
        <n v="8616.0"/>
        <n v="5429.0"/>
        <n v="4939.0"/>
        <n v="6517.0"/>
        <n v="57760.1"/>
        <n v="4554.8"/>
        <n v="8980.5"/>
        <n v="22640.6"/>
        <n v="4157.0"/>
        <n v="36582.0"/>
        <n v="66744.9"/>
        <n v="12471.0"/>
        <n v="13014.6"/>
        <n v="12862.3"/>
        <n v="340.0"/>
        <n v="335.0"/>
        <n v="25.0"/>
        <n v="50.0"/>
        <n v="75.0"/>
        <n v="10022.0"/>
        <n v="48840.0"/>
        <n v="65000.0"/>
      </sharedItems>
    </cacheField>
    <cacheField name="Costo Neto Prom. Total" numFmtId="0">
      <sharedItems containsSemiMixedTypes="0" containsString="0" containsNumber="1" containsInteger="1">
        <n v="47000.0"/>
        <n v="42000.0"/>
        <n v="70553.0"/>
        <n v="28500.0"/>
        <n v="63000.0"/>
        <n v="35700.0"/>
        <n v="29.0"/>
        <n v="90600.0"/>
        <n v="113220.0"/>
        <n v="30300.0"/>
        <n v="60600.0"/>
        <n v="30000.0"/>
        <n v="45600.0"/>
        <n v="83600.0"/>
        <n v="68400.0"/>
        <n v="76000.0"/>
        <n v="22500.0"/>
        <n v="42500.0"/>
        <n v="20000.0"/>
        <n v="75600.0"/>
        <n v="70700.0"/>
        <n v="33000.0"/>
        <n v="22125.0"/>
        <n v="135900.0"/>
        <n v="60300.0"/>
        <n v="50000.0"/>
        <n v="22800.0"/>
        <n v="44000.0"/>
        <n v="60000.0"/>
        <n v="40400.0"/>
        <n v="35000.0"/>
        <n v="80800.0"/>
        <n v="21000.0"/>
        <n v="106400.0"/>
        <n v="38000.0"/>
        <n v="36000.0"/>
        <n v="27300.0"/>
        <n v="24000.0"/>
        <n v="32500.0"/>
        <n v="50500.0"/>
        <n v="10000.0"/>
        <n v="25200.0"/>
        <n v="5000.0"/>
        <n v="8000.0"/>
        <n v="120600.0"/>
        <n v="4000.0"/>
        <n v="14000.0"/>
        <n v="24966.0"/>
        <n v="23303.0"/>
        <n v="57060.0"/>
        <n v="74080.0"/>
        <n v="101000.0"/>
        <n v="151500.0"/>
        <n v="201500.0"/>
        <n v="403000.0"/>
        <n v="176500.0"/>
        <n v="63540.0"/>
        <n v="27000.0"/>
        <n v="67166.0"/>
        <n v="241800.0"/>
        <n v="403200.0"/>
        <n v="100800.0"/>
        <n v="252000.0"/>
        <n v="53200.0"/>
        <n v="201600.0"/>
        <n v="45300.0"/>
        <n v="65420.0"/>
        <n v="171700.0"/>
        <n v="78000.0"/>
        <n v="49000.0"/>
        <n v="5037.0"/>
        <n v="114118.0"/>
        <n v="7850.0"/>
        <n v="11034.0"/>
        <n v="20700.0"/>
        <n v="87642.0"/>
        <n v="104000.0"/>
        <n v="77000.0"/>
        <n v="97500.0"/>
        <n v="113400.0"/>
        <n v="20200.0"/>
        <n v="70400.0"/>
        <n v="26000.0"/>
        <n v="7600.0"/>
        <n v="7000.0"/>
        <n v="30400.0"/>
        <n v="225920.0"/>
        <n v="60400.0"/>
        <n v="121200.0"/>
        <n v="126000.0"/>
        <n v="141400.0"/>
        <n v="161600.0"/>
        <n v="202000.0"/>
        <n v="141200.0"/>
        <n v="31500.0"/>
        <n v="3500.0"/>
        <n v="10500.0"/>
        <n v="38380.0"/>
        <n v="50400.0"/>
        <n v="37449.0"/>
        <n v="6000.0"/>
        <n v="12000.0"/>
        <n v="25000.0"/>
        <n v="52000.0"/>
        <n v="40244.0"/>
        <n v="85860.0"/>
        <n v="304844.0"/>
        <n v="33300.0"/>
        <n v="44400.0"/>
        <n v="99900.0"/>
        <n v="90900.0"/>
        <n v="181800.0"/>
        <n v="201594.0"/>
        <n v="211500.0"/>
        <n v="6052000.0"/>
        <n v="3355.0"/>
        <n v="29368.0"/>
        <n v="28332.0"/>
        <n v="3140.0"/>
        <n v="8174.0"/>
        <n v="2621.0"/>
        <n v="3146.0"/>
        <n v="6280.0"/>
        <n v="5247.0"/>
        <n v="7873.0"/>
        <n v="44184.0"/>
        <n v="23619.0"/>
        <n v="31492.0"/>
        <n v="18355.0"/>
        <n v="224605.0"/>
        <n v="42498.0"/>
        <n v="33054.0"/>
        <n v="1570.0"/>
        <n v="18800.0"/>
        <n v="13644.0"/>
        <n v="28347.0"/>
        <n v="4081.0"/>
        <n v="25152.0"/>
        <n v="4722.0"/>
        <n v="454935.0"/>
        <n v="104940.0"/>
        <n v="285536.0"/>
        <n v="4196.0"/>
        <n v="3671.0"/>
        <n v="15741.0"/>
        <n v="10494.0"/>
        <n v="68220.0"/>
        <n v="19948.0"/>
        <n v="8923.0"/>
        <n v="21517.0"/>
        <n v="2517.0"/>
        <n v="6822.0"/>
        <n v="2270.0"/>
        <n v="14096.0"/>
        <n v="17327.0"/>
        <n v="10572.0"/>
        <n v="38764.0"/>
        <n v="16739.0"/>
        <n v="6036.0"/>
        <n v="67192.0"/>
        <n v="87375.0"/>
        <n v="466237.0"/>
        <n v="62980.0"/>
        <n v="22677.0"/>
        <n v="352936.0"/>
        <n v="49126.0"/>
        <n v="219211.0"/>
        <n v="236852.0"/>
        <n v="51986.0"/>
        <n v="1983252.0"/>
        <n v="48370.0"/>
        <n v="72050.0"/>
        <n v="189000.0"/>
        <n v="84000.0"/>
        <n v="72329.0"/>
        <n v="19648.0"/>
        <n v="45348.0"/>
        <n v="156241.0"/>
        <n v="388108.0"/>
        <n v="2259717.0"/>
        <n v="642791.0"/>
        <n v="890198.0"/>
        <n v="45333.0"/>
        <n v="124706.0"/>
        <n v="1959411.0"/>
        <n v="1111188.0"/>
        <n v="19320.0"/>
        <n v="67620.0"/>
        <n v="7554.0"/>
        <n v="69258.0"/>
        <n v="159890.0"/>
        <n v="49336.0"/>
        <n v="288876.0"/>
        <n v="244696.0"/>
        <n v="31455.0"/>
        <n v="42772.0"/>
        <n v="46615.0"/>
        <n v="96774.0"/>
        <n v="42224.0"/>
        <n v="20472.0"/>
        <n v="21838.0"/>
        <n v="9280.0"/>
        <n v="7548.0"/>
        <n v="20128.0"/>
        <n v="35224.0"/>
        <n v="49154.0"/>
        <n v="45850.0"/>
        <n v="40932.0"/>
        <n v="13650.0"/>
        <n v="39300.0"/>
        <n v="40256.0"/>
        <n v="67932.0"/>
        <n v="37740.0"/>
        <n v="22644.0"/>
        <n v="103156.0"/>
        <n v="50320.0"/>
        <n v="29484.0"/>
        <n v="32346.0"/>
        <n v="81341.0"/>
        <n v="87352.0"/>
        <n v="60384.0"/>
        <n v="10064.0"/>
        <n v="15096.0"/>
        <n v="27676.0"/>
        <n v="17612.0"/>
        <n v="108188.0"/>
        <n v="47804.0"/>
        <n v="30192.0"/>
        <n v="65416.0"/>
        <n v="25160.0"/>
        <n v="12580.0"/>
        <n v="5032.0"/>
        <n v="16381.0"/>
        <n v="27305.0"/>
        <n v="80102.0"/>
        <n v="24574.0"/>
        <n v="57336.0"/>
        <n v="161640.0"/>
        <n v="36040.0"/>
        <n v="163800.0"/>
        <n v="153576.0"/>
        <n v="13100.0"/>
        <n v="10919.0"/>
        <n v="442260.0"/>
        <n v="271358.0"/>
        <n v="1787100.0"/>
        <n v="396774.0"/>
        <n v="326438.0"/>
        <n v="359208.0"/>
        <n v="155855.0"/>
        <n v="382310.0"/>
        <n v="365500.0"/>
        <n v="317610.0"/>
        <n v="598966.0"/>
        <n v="409370.0"/>
        <n v="0.0"/>
        <n v="55990.0"/>
        <n v="59990.0"/>
        <n v="173971.0"/>
        <n v="342816.0"/>
        <n v="1114152.0"/>
        <n v="771336.0"/>
        <n v="39600.0"/>
        <n v="59400.0"/>
        <n v="18000.0"/>
        <n v="10800.0"/>
        <n v="49500.0"/>
        <n v="48000.0"/>
        <n v="69000.0"/>
        <n v="61800.0"/>
        <n v="28200.0"/>
        <n v="19800.0"/>
        <n v="1344.0"/>
        <n v="51912.0"/>
        <n v="19520.0"/>
        <n v="5186.0"/>
        <n v="423480.0"/>
        <n v="846960.0"/>
        <n v="370545.0"/>
        <n v="211740.0"/>
        <n v="770546.0"/>
        <n v="599964.0"/>
        <n v="564672.0"/>
        <n v="76465.0"/>
        <n v="317628.0"/>
        <n v="323500.0"/>
        <n v="811624.0"/>
        <n v="1499893.0"/>
        <n v="1317552.0"/>
        <n v="535255.0"/>
        <n v="167378.0"/>
        <n v="539736.0"/>
        <n v="853710.0"/>
        <n v="282288.0"/>
        <n v="79395.0"/>
        <n v="188212.0"/>
        <n v="352910.0"/>
        <n v="576422.0"/>
        <n v="1176458.0"/>
        <n v="117624.0"/>
        <n v="52935.0"/>
        <n v="316275.0"/>
        <n v="64700.0"/>
        <n v="47048.0"/>
        <n v="226429.0"/>
        <n v="441145.0"/>
        <n v="827274.0"/>
        <n v="1102923.0"/>
        <n v="658800.0"/>
        <n v="205876.0"/>
        <n v="4911.0"/>
        <n v="18566.0"/>
        <n v="20751.0"/>
        <n v="21843.0"/>
        <n v="2400.0"/>
        <n v="21850.0"/>
        <n v="6368.0"/>
        <n v="41090.0"/>
        <n v="5033.0"/>
        <n v="36971.0"/>
        <n v="22008.0"/>
        <n v="450000.0"/>
        <n v="3277.0"/>
        <n v="4874.0"/>
        <n v="88488.0"/>
        <n v="52100.0"/>
        <n v="2521.0"/>
        <n v="3268.0"/>
        <n v="3950.0"/>
        <n v="31928.0"/>
        <n v="4033.0"/>
        <n v="32336.0"/>
        <n v="16468.0"/>
        <n v="8738.0"/>
        <n v="5345.0"/>
        <n v="2941.0"/>
        <n v="17286.0"/>
        <n v="3353.0"/>
        <n v="6704.0"/>
        <n v="3596.0"/>
        <n v="16772.0"/>
        <n v="46140.0"/>
        <n v="11696.0"/>
        <n v="6252.0"/>
        <n v="6714.0"/>
        <n v="672.0"/>
        <n v="3161.0"/>
        <n v="3655.0"/>
        <n v="1976.0"/>
        <n v="3457.0"/>
        <n v="1679.0"/>
        <n v="1877.0"/>
        <n v="1284.0"/>
        <n v="1482.0"/>
        <n v="4255.0"/>
        <n v="35872.0"/>
        <n v="2620134.0"/>
        <n v="30506.0"/>
        <n v="6679.0"/>
        <n v="3141.0"/>
        <n v="17010.0"/>
        <n v="22026.0"/>
        <n v="19652.0"/>
        <n v="13104.0"/>
        <n v="42594.0"/>
        <n v="30578.0"/>
        <n v="52923.0"/>
        <n v="23871.0"/>
        <n v="32400.0"/>
        <n v="47500.0"/>
        <n v="28000.0"/>
        <n v="41600.0"/>
        <n v="51000.0"/>
        <n v="9800.0"/>
        <n v="7400.0"/>
        <n v="46500.0"/>
        <n v="132000.0"/>
        <n v="41500.0"/>
        <n v="55800.0"/>
        <n v="45000.0"/>
        <n v="55750.0"/>
        <n v="58200.0"/>
        <n v="82500.0"/>
        <n v="11592.0"/>
        <n v="21558.0"/>
        <n v="33750.0"/>
        <n v="13050.0"/>
        <n v="17400.0"/>
        <n v="45900.0"/>
        <n v="20670.0"/>
        <n v="66300.0"/>
        <n v="44940.0"/>
        <n v="14250.0"/>
        <n v="30237.0"/>
        <n v="29600.0"/>
        <n v="27185.0"/>
        <n v="158400.0"/>
        <n v="96000.0"/>
        <n v="23700.0"/>
        <n v="37600.0"/>
        <n v="108380.0"/>
        <n v="62956.0"/>
        <n v="34838.0"/>
        <n v="72600.0"/>
        <n v="80850.0"/>
        <n v="72000.0"/>
        <n v="16000.0"/>
        <n v="76800.0"/>
        <n v="13800.0"/>
        <n v="8600.0"/>
        <n v="21500.0"/>
        <n v="25800.0"/>
        <n v="52500.0"/>
        <n v="4725.0"/>
        <n v="5647.0"/>
        <n v="5877.0"/>
        <n v="59500.0"/>
        <n v="23800.0"/>
        <n v="79800.0"/>
        <n v="199500.0"/>
        <n v="359100.0"/>
        <n v="39900.0"/>
        <n v="104700.0"/>
        <n v="94230.0"/>
        <n v="411735.0"/>
        <n v="967944.0"/>
        <n v="516641.0"/>
        <n v="439056.0"/>
        <n v="1200.0"/>
        <n v="119961.0"/>
        <n v="2024030.0"/>
        <n v="370405.0"/>
        <n v="605000.0"/>
        <n v="20882.0"/>
        <n v="42090.0"/>
        <n v="997.0"/>
        <n v="71800.0"/>
        <n v="52400.0"/>
        <n v="47800.0"/>
        <n v="497430.0"/>
        <n v="26454.0"/>
        <n v="106606.0"/>
        <n v="722734.0"/>
        <n v="3505.0"/>
        <n v="27832.0"/>
        <n v="8110.0"/>
        <n v="7210984.0"/>
        <n v="314874.0"/>
        <n v="1516453.0"/>
        <n v="72787.0"/>
        <n v="323532.0"/>
        <n v="4262409.0"/>
        <n v="528265.0"/>
        <n v="2510.0"/>
        <n v="1255.0"/>
        <n v="470526.0"/>
        <n v="446936.0"/>
        <n v="285670.0"/>
        <n v="85698.0"/>
        <n v="57975.0"/>
        <n v="616000.0"/>
        <n v="42921.0"/>
        <n v="28782.0"/>
        <n v="70800.0"/>
        <n v="16968.0"/>
        <n v="67800.0"/>
        <n v="62370.0"/>
        <n v="90720.0"/>
        <n v="12080.0"/>
        <n v="65160.0"/>
        <n v="57920.0"/>
        <n v="27390.0"/>
        <n v="84840.0"/>
        <n v="59680.0"/>
        <n v="126750.0"/>
        <n v="19745.0"/>
        <n v="1678614.0"/>
        <n v="4025124.0"/>
        <n v="1663139.0"/>
        <n v="3312646.0"/>
        <n v="98221.0"/>
        <n v="2718.0"/>
        <n v="128707.0"/>
        <n v="1686100.0"/>
        <n v="3381671.0"/>
        <n v="2239488.0"/>
        <n v="1732920.0"/>
        <n v="3686135.0"/>
        <n v="8708.0"/>
        <n v="4354.0"/>
        <n v="1668538.0"/>
        <n v="1939689.0"/>
        <n v="4551147.0"/>
        <n v="13208.0"/>
        <n v="42300.0"/>
        <n v="52813.0"/>
        <n v="729443.0"/>
        <n v="3666267.0"/>
        <n v="275728.0"/>
        <n v="319264.0"/>
        <n v="379338.0"/>
        <n v="2630962.0"/>
        <n v="3062126.0"/>
        <n v="3039560.0"/>
        <n v="1081195.0"/>
        <n v="2691966.0"/>
        <n v="4.1382225E7"/>
        <n v="2481462.0"/>
        <n v="7255853.0"/>
        <n v="3.5074058E7"/>
        <n v="1.5835413E7"/>
        <n v="195386.0"/>
        <n v="1847297.0"/>
        <n v="2338128.0"/>
        <n v="3856169.0"/>
        <n v="2.1509025E7"/>
        <n v="7127661.0"/>
        <n v="5309497.0"/>
        <n v="2617888.0"/>
        <n v="55390.0"/>
        <n v="226604.0"/>
        <n v="25680.0"/>
        <n v="5824.0"/>
        <n v="6035.0"/>
        <n v="27107.0"/>
        <n v="2.3138097E7"/>
        <n v="1.5559248E7"/>
        <n v="3.4948666E7"/>
        <n v="1.4918317E7"/>
        <n v="8510225.0"/>
        <n v="8547854.0"/>
        <n v="8192.0"/>
        <n v="1698389.0"/>
        <n v="4577.0"/>
        <n v="1.302249E7"/>
        <n v="1.249439E7"/>
        <n v="213600.0"/>
        <n v="5294.0"/>
        <n v="36357.0"/>
        <n v="197736.0"/>
        <n v="378789.0"/>
        <n v="374716.0"/>
        <n v="354351.0"/>
        <n v="346205.0"/>
        <n v="74049.0"/>
        <n v="6052932.0"/>
        <n v="1158801.0"/>
        <n v="260139.0"/>
        <n v="421974.0"/>
        <n v="601880.0"/>
        <n v="138450.0"/>
        <n v="362100.0"/>
        <n v="737451.0"/>
        <n v="749034.0"/>
        <n v="729729.0"/>
        <n v="845064.0"/>
        <n v="805860.0"/>
        <n v="831996.0"/>
        <n v="836352.0"/>
        <n v="260348.0"/>
        <n v="257664.0"/>
        <n v="254990.0"/>
        <n v="2785.0"/>
        <n v="5460.0"/>
        <n v="3527.0"/>
        <n v="7263.0"/>
        <n v="15000.0"/>
        <n v="2686555.0"/>
        <n v="2247496.0"/>
        <n v="24200.0"/>
        <n v="2516.0"/>
        <n v="12156.0"/>
        <n v="3.0"/>
        <n v="26390.0"/>
        <n v="9746.0"/>
        <n v="6033.0"/>
        <n v="3713.0"/>
        <n v="9212.0"/>
        <n v="12177.0"/>
        <n v="9318.0"/>
        <n v="1868.0"/>
        <n v="2058.0"/>
        <n v="37314.0"/>
        <n v="562790.0"/>
        <n v="168800.0"/>
        <n v="280388.0"/>
        <n v="4508.0"/>
        <n v="342900.0"/>
        <n v="39445.0"/>
        <n v="529579.0"/>
        <n v="5105.0"/>
        <n v="51050.0"/>
        <n v="19995.0"/>
        <n v="37782.0"/>
        <n v="43624.0"/>
        <n v="9282.0"/>
        <n v="44227.0"/>
        <n v="236368.0"/>
        <n v="9814.0"/>
        <n v="541134.0"/>
        <n v="1503050.0"/>
        <n v="26475.0"/>
        <n v="122672.0"/>
        <n v="125460.0"/>
        <n v="83640.0"/>
        <n v="111520.0"/>
        <n v="108732.0"/>
        <n v="15757.0"/>
        <n v="915665.0"/>
        <n v="15779.0"/>
        <n v="439719.0"/>
        <n v="228190.0"/>
        <n v="225788.0"/>
        <n v="232994.0"/>
        <n v="210727.0"/>
        <n v="8471.0"/>
        <n v="545952.0"/>
        <n v="231616.0"/>
        <n v="1199440.0"/>
        <n v="1722078.0"/>
        <n v="3780554.0"/>
        <n v="289510.0"/>
        <n v="25140.0"/>
        <n v="10377.0"/>
        <n v="33883.0"/>
        <n v="1443723.0"/>
        <n v="1088648.0"/>
        <n v="6497.0"/>
        <n v="3388.0"/>
        <n v="2753.0"/>
        <n v="4491.0"/>
        <n v="8771.0"/>
        <n v="12913.0"/>
        <n v="3790.0"/>
        <n v="7158.0"/>
        <n v="3088.0"/>
        <n v="6597.0"/>
        <n v="9544.0"/>
        <n v="6878.0"/>
        <n v="17264.0"/>
        <n v="15439.0"/>
        <n v="4378.0"/>
        <n v="7379.0"/>
        <n v="6037.0"/>
        <n v="5232.0"/>
        <n v="6707.0"/>
        <n v="38595.0"/>
        <n v="5769.0"/>
        <n v="26402.0"/>
        <n v="72002.0"/>
        <n v="120849.0"/>
        <n v="34052.0"/>
        <n v="18527.0"/>
        <n v="32486.0"/>
        <n v="221431.0"/>
        <n v="70707.0"/>
        <n v="2320518.0"/>
        <n v="1643790.0"/>
        <n v="643860.0"/>
        <n v="556776.0"/>
        <n v="9249385.0"/>
        <n v="6244417.0"/>
        <n v="7183564.0"/>
        <n v="8803981.0"/>
        <n v="1404876.0"/>
        <n v="68399.0"/>
        <n v="45585.0"/>
        <n v="22560.0"/>
        <n v="2211156.0"/>
        <n v="6777.0"/>
        <n v="6671.0"/>
        <n v="54800.0"/>
        <n v="5753336.0"/>
        <n v="40116.0"/>
        <n v="414370.0"/>
        <n v="1.6738756E7"/>
        <n v="1.2223669E7"/>
        <n v="2788.0"/>
        <n v="2913935.0"/>
        <n v="357627.0"/>
        <n v="1100124.0"/>
        <n v="409014.0"/>
        <n v="2743160.0"/>
        <n v="841960.0"/>
        <n v="2498720.0"/>
        <n v="1.113552E7"/>
        <n v="21735.0"/>
        <n v="1800904.0"/>
        <n v="1.7602693E7"/>
        <n v="8754281.0"/>
        <n v="846035.0"/>
        <n v="37336.0"/>
        <n v="3917.0"/>
        <n v="155573.0"/>
        <n v="33670.0"/>
        <n v="29145.0"/>
        <n v="29720.0"/>
        <n v="28542.0"/>
        <n v="213052.0"/>
        <n v="26245.0"/>
        <n v="71275.0"/>
        <n v="305715.0"/>
        <n v="623424.0"/>
        <n v="57026.0"/>
        <n v="9931.0"/>
        <n v="9869.0"/>
        <n v="256740.0"/>
        <n v="17313.0"/>
        <n v="32073.0"/>
        <n v="16986.0"/>
        <n v="5687.0"/>
        <n v="3177.0"/>
        <n v="82297.0"/>
        <n v="83096.0"/>
        <n v="267041.0"/>
        <n v="261535.0"/>
        <n v="13765.0"/>
        <n v="594828.0"/>
        <n v="575640.0"/>
        <n v="607620.0"/>
        <n v="588432.0"/>
        <n v="1261117.0"/>
        <n v="1358378.0"/>
        <n v="446590.0"/>
        <n v="553644.0"/>
        <n v="36459.0"/>
        <n v="504972.0"/>
        <n v="652140.0"/>
        <n v="13109.0"/>
        <n v="12643.0"/>
        <n v="10210.0"/>
        <n v="514389.0"/>
        <n v="256408.0"/>
        <n v="292500.0"/>
        <n v="7624.0"/>
        <n v="6915.0"/>
        <n v="358794.0"/>
        <n v="17712.0"/>
        <n v="20736.0"/>
        <n v="143640.0"/>
        <n v="9882.0"/>
        <n v="11430.0"/>
        <n v="14112.0"/>
        <n v="85725.0"/>
        <n v="34290.0"/>
        <n v="299520.0"/>
        <n v="42210.0"/>
        <n v="37520.0"/>
        <n v="59094.0"/>
        <n v="58622.0"/>
        <n v="347904.0"/>
        <n v="86400.0"/>
        <n v="75580.0"/>
        <n v="151160.0"/>
        <n v="128486.0"/>
        <n v="30232.0"/>
        <n v="27213.0"/>
        <n v="72565.0"/>
        <n v="54426.0"/>
        <n v="18142.0"/>
        <n v="9071.0"/>
        <n v="72568.0"/>
        <n v="81639.0"/>
        <n v="63497.0"/>
        <n v="45355.0"/>
        <n v="7048.0"/>
        <n v="102196.0"/>
        <n v="35240.0"/>
        <n v="10499.0"/>
        <n v="125988.0"/>
        <n v="94491.0"/>
        <n v="188982.0"/>
        <n v="41996.0"/>
        <n v="62994.0"/>
        <n v="83992.0"/>
        <n v="20998.0"/>
        <n v="136487.0"/>
        <n v="178483.0"/>
        <n v="26208.0"/>
        <n v="235872.0"/>
        <n v="196560.0"/>
        <n v="222768.0"/>
        <n v="52416.0"/>
        <n v="39312.0"/>
        <n v="65520.0"/>
        <n v="209664.0"/>
        <n v="104832.0"/>
        <n v="117936.0"/>
        <n v="317601.0"/>
        <n v="176445.0"/>
        <n v="282312.0"/>
        <n v="5874.0"/>
        <n v="32248.0"/>
        <n v="40310.0"/>
        <n v="24186.0"/>
        <n v="48372.0"/>
        <n v="72558.0"/>
        <n v="80620.0"/>
        <n v="96744.0"/>
        <n v="64496.0"/>
        <n v="16124.0"/>
        <n v="30222.0"/>
        <n v="15111.0"/>
        <n v="137104.0"/>
        <n v="154242.0"/>
        <n v="308484.0"/>
        <n v="171380.0"/>
        <n v="120758.0"/>
        <n v="145152.0"/>
        <n v="108864.0"/>
        <n v="48384.0"/>
        <n v="136030.0"/>
        <n v="60480.0"/>
        <n v="85041.0"/>
        <n v="170082.0"/>
        <n v="94489.0"/>
        <n v="103939.0"/>
        <n v="75592.0"/>
        <n v="274021.0"/>
        <n v="43462.0"/>
        <n v="9449.0"/>
        <n v="94490.0"/>
        <n v="56694.0"/>
        <n v="113388.0"/>
        <n v="90730.0"/>
        <n v="87360.0"/>
        <n v="48382.0"/>
        <n v="89107.0"/>
        <n v="21840.0"/>
        <n v="43680.0"/>
        <n v="69888.0"/>
        <n v="8400.0"/>
        <n v="36600.0"/>
        <n v="42700.0"/>
        <n v="9180.0"/>
        <n v="16740.0"/>
        <n v="10260.0"/>
        <n v="18593.0"/>
        <n v="24790.0"/>
        <n v="28486.0"/>
        <n v="18600.0"/>
        <n v="18360.0"/>
        <n v="22950.0"/>
        <n v="27540.0"/>
        <n v="26400.0"/>
        <n v="116640.0"/>
        <n v="13725.0"/>
        <n v="26533.0"/>
        <n v="55200.0"/>
        <n v="27600.0"/>
        <n v="69120.0"/>
        <n v="89600.0"/>
        <n v="215040.0"/>
        <n v="104300.0"/>
        <n v="26820.0"/>
        <n v="44700.0"/>
        <n v="28130.0"/>
        <n v="8500.0"/>
        <n v="30900.0"/>
        <n v="24800.0"/>
        <n v="63360.0"/>
        <n v="20010.0"/>
        <n v="17640.0"/>
        <n v="21870.0"/>
        <n v="18500.0"/>
        <n v="30600.0"/>
        <n v="4100.0"/>
        <n v="8200.0"/>
        <n v="15580.0"/>
        <n v="217980.0"/>
        <n v="152640.0"/>
        <n v="120420.0"/>
        <n v="128520.0"/>
        <n v="168840.0"/>
        <n v="103626.0"/>
        <n v="58860.0"/>
        <n v="117720.0"/>
        <n v="44900.0"/>
        <n v="55720.0"/>
        <n v="411840.0"/>
        <n v="331500.0"/>
        <n v="7770.0"/>
        <n v="3000.0"/>
        <n v="4500.0"/>
        <n v="7740.0"/>
        <n v="43000.0"/>
        <n v="8910.0"/>
        <n v="15400.0"/>
        <n v="23100.0"/>
        <n v="9300.0"/>
        <n v="12900.0"/>
        <n v="12600.0"/>
        <n v="9860.0"/>
        <n v="13600.0"/>
        <n v="10200.0"/>
        <n v="7200.0"/>
        <n v="3400.0"/>
        <n v="4930.0"/>
        <n v="6800.0"/>
        <n v="6960.0"/>
        <n v="5100.0"/>
        <n v="12470.0"/>
        <n v="3230.0"/>
        <n v="4060.0"/>
        <n v="4200.0"/>
        <n v="19150.0"/>
        <n v="9600.0"/>
        <n v="16800.0"/>
        <n v="19600.0"/>
        <n v="11400.0"/>
        <n v="15200.0"/>
        <n v="49140.0"/>
        <n v="26100.0"/>
        <n v="26800.0"/>
        <n v="20100.0"/>
        <n v="6700.0"/>
        <n v="64350.0"/>
        <n v="11700.0"/>
        <n v="26730.0"/>
        <n v="2300.0"/>
        <n v="168000.0"/>
        <n v="2600.0"/>
        <n v="1800.0"/>
        <n v="145176.0"/>
        <n v="34650.0"/>
        <n v="12800.0"/>
        <n v="43200.0"/>
        <n v="46460.0"/>
        <n v="14100.0"/>
        <n v="6400.0"/>
        <n v="11500.0"/>
        <n v="40280.0"/>
        <n v="114480.0"/>
        <n v="50880.0"/>
        <n v="52360.0"/>
        <n v="8800.0"/>
        <n v="17600.0"/>
        <n v="7800.0"/>
        <n v="16200.0"/>
        <n v="6600.0"/>
        <n v="17100.0"/>
        <n v="13500.0"/>
        <n v="40500.0"/>
        <n v="15600.0"/>
        <n v="23400.0"/>
        <n v="15300.0"/>
        <n v="6200.0"/>
        <n v="58240.0"/>
        <n v="166400.0"/>
        <n v="91520.0"/>
        <n v="22200.0"/>
        <n v="19200.0"/>
        <n v="28800.0"/>
        <n v="27700.0"/>
        <n v="34750.0"/>
        <n v="37440.0"/>
        <n v="13960.0"/>
        <n v="24900.0"/>
        <n v="19620.0"/>
        <n v="50267.0"/>
        <n v="32000.0"/>
        <n v="31200.0"/>
        <n v="16600.0"/>
        <n v="28410.0"/>
        <n v="33600.0"/>
        <n v="6900.0"/>
        <n v="28212.0"/>
        <n v="24600.0"/>
        <n v="16400.0"/>
        <n v="11200.0"/>
        <n v="17360.0"/>
        <n v="4995.0"/>
        <n v="5760.0"/>
        <n v="3600.0"/>
        <n v="8880.0"/>
        <n v="2900.0"/>
        <n v="31900.0"/>
        <n v="1537320.0"/>
        <n v="25656.0"/>
        <n v="82550.0"/>
        <n v="1067841.0"/>
        <n v="110400.0"/>
        <n v="314160.0"/>
        <n v="202390.0"/>
        <n v="17850.0"/>
        <n v="15150.0"/>
        <n v="31600.0"/>
        <n v="39500.0"/>
        <n v="42830.0"/>
        <n v="27560.0"/>
        <n v="25698.0"/>
        <n v="130800.0"/>
        <n v="34000.0"/>
        <n v="25500.0"/>
        <n v="19500.0"/>
        <n v="17000.0"/>
        <n v="8750.0"/>
        <n v="13200.0"/>
        <n v="36300.0"/>
        <n v="9900.0"/>
        <n v="5405.0"/>
        <n v="22058.0"/>
        <n v="1118.0"/>
        <n v="154781.0"/>
        <n v="154196.0"/>
        <n v="39136.0"/>
        <n v="24603.0"/>
        <n v="25452.0"/>
        <n v="35632.0"/>
        <n v="43538.0"/>
        <n v="11182.0"/>
        <n v="922.0"/>
        <n v="26843.0"/>
        <n v="98618.0"/>
        <n v="16290.0"/>
        <n v="4127.0"/>
        <n v="10180.0"/>
        <n v="3394.0"/>
        <n v="3226.0"/>
        <n v="6175.0"/>
        <n v="6043.0"/>
        <n v="3021.0"/>
        <n v="16114.0"/>
        <n v="7716.0"/>
        <n v="24721.0"/>
        <n v="6787.0"/>
        <n v="41000.0"/>
        <n v="51250.0"/>
        <n v="474985.0"/>
        <n v="26250.0"/>
        <n v="17500.0"/>
        <n v="22400.0"/>
        <n v="19950.0"/>
        <n v="13300.0"/>
        <n v="14400.0"/>
        <n v="9000.0"/>
        <n v="23950.0"/>
        <n v="25050.0"/>
        <n v="14600.0"/>
        <n v="21900.0"/>
        <n v="17700.0"/>
        <n v="14516.0"/>
        <n v="27900.0"/>
        <n v="19123.0"/>
        <n v="17577.0"/>
        <n v="110980.0"/>
        <n v="6490.0"/>
        <n v="75622.0"/>
        <n v="1235178.0"/>
        <n v="59800.0"/>
        <n v="288395.0"/>
        <n v="20168.0"/>
        <n v="49914.0"/>
        <n v="12606.0"/>
        <n v="9076.0"/>
        <n v="85714.0"/>
        <n v="171428.0"/>
        <n v="181512.0"/>
        <n v="4647.0"/>
        <n v="57960.0"/>
        <n v="34776.0"/>
        <n v="23184.0"/>
        <n v="52906.0"/>
        <n v="120978.0"/>
        <n v="15121.0"/>
        <n v="75605.0"/>
        <n v="60484.0"/>
        <n v="30242.0"/>
        <n v="90726.0"/>
        <n v="88200.0"/>
        <n v="35244.0"/>
        <n v="70488.0"/>
        <n v="18135.0"/>
        <n v="18132.0"/>
        <n v="116444.0"/>
        <n v="136104.0"/>
        <n v="22674.0"/>
        <n v="10074.0"/>
        <n v="70568.0"/>
        <n v="90736.0"/>
        <n v="13608.0"/>
        <n v="91728.0"/>
        <n v="60474.0"/>
        <n v="11087.0"/>
        <n v="115240.0"/>
        <n v="42400.0"/>
        <n v="40000.0"/>
        <n v="29000.0"/>
        <n v="24300.0"/>
        <n v="31800.0"/>
        <n v="25600.0"/>
        <n v="14700.0"/>
        <n v="17971.0"/>
        <n v="143768.0"/>
        <n v="8187.0"/>
        <n v="38126.0"/>
        <n v="19063.0"/>
        <n v="53913.0"/>
        <n v="268008.0"/>
        <n v="40355.0"/>
        <n v="75634.0"/>
        <n v="146004.0"/>
        <n v="18475.0"/>
        <n v="18420.0"/>
        <n v="50784.0"/>
        <n v="1006.0"/>
        <n v="30180.0"/>
        <n v="17102.0"/>
        <n v="168545.0"/>
        <n v="38088.0"/>
        <n v="66675.0"/>
        <n v="25392.0"/>
        <n v="87270.0"/>
        <n v="507904.0"/>
        <n v="63488.0"/>
        <n v="1024496.0"/>
        <n v="1.3693419E7"/>
        <n v="5809952.0"/>
        <n v="2549896.0"/>
        <n v="3517820.0"/>
        <n v="5190409.0"/>
        <n v="6099308.0"/>
        <n v="961400.0"/>
        <n v="818953.0"/>
        <n v="484801.0"/>
        <n v="540817.0"/>
        <n v="599391.0"/>
        <n v="413924.0"/>
        <n v="409009.0"/>
        <n v="1106848.0"/>
        <n v="11070.0"/>
        <n v="249194.0"/>
        <n v="158294.0"/>
        <n v="108305.0"/>
        <n v="2140725.0"/>
        <n v="5840040.0"/>
        <n v="1.7247074E7"/>
        <n v="1229588.0"/>
        <n v="2400749.0"/>
        <n v="1844509.0"/>
        <n v="2863943.0"/>
        <n v="1164641.0"/>
        <n v="20649.0"/>
        <n v="1970933.0"/>
        <n v="1964665.0"/>
        <n v="2168308.0"/>
        <n v="1229817.0"/>
        <n v="482882.0"/>
        <n v="71288.0"/>
        <n v="52864.0"/>
        <n v="32990.0"/>
        <n v="1939828.0"/>
        <n v="141248.0"/>
        <n v="260345.0"/>
        <n v="284181.0"/>
        <n v="1660410.0"/>
        <n v="2416686.0"/>
        <n v="5504073.0"/>
        <n v="4399656.0"/>
        <n v="1.1598227E7"/>
        <n v="1.180821E7"/>
        <n v="1.2592015E7"/>
        <n v="1607339.0"/>
        <n v="1463154.0"/>
        <n v="1.776098E7"/>
        <n v="4285352.0"/>
        <n v="655321.0"/>
        <n v="3347863.0"/>
        <n v="1547246.0"/>
        <n v="2176157.0"/>
        <n v="2241088.0"/>
        <n v="76634.0"/>
        <n v="241338.0"/>
        <n v="1754686.0"/>
        <n v="2235024.0"/>
        <n v="1532674.0"/>
        <n v="934208.0"/>
        <n v="6453612.0"/>
        <n v="892872.0"/>
        <n v="1490059.0"/>
        <n v="1315826.0"/>
        <n v="875765.0"/>
        <n v="1303586.0"/>
        <n v="1238222.0"/>
        <n v="2.4839418E7"/>
        <n v="1.712989E7"/>
        <n v="3448659.0"/>
        <n v="26044.0"/>
        <n v="617572.0"/>
        <n v="4174671.0"/>
        <n v="61420.0"/>
        <n v="837014.0"/>
        <n v="103180.0"/>
        <n v="130962.0"/>
        <n v="3510215.0"/>
        <n v="3341556.0"/>
        <n v="3309053.0"/>
        <n v="3449327.0"/>
        <n v="6108594.0"/>
        <n v="5769056.0"/>
        <n v="459745.0"/>
        <n v="1154645.0"/>
        <n v="1497831.0"/>
        <n v="517066.0"/>
        <n v="604937.0"/>
        <n v="388434.0"/>
        <n v="65460.0"/>
        <n v="91644.0"/>
        <n v="120163.0"/>
        <n v="475231.0"/>
        <n v="113355.0"/>
        <n v="83127.0"/>
        <n v="151140.0"/>
        <n v="117051.0"/>
        <n v="18875.0"/>
        <n v="7550.0"/>
        <n v="50754.0"/>
        <n v="12909.0"/>
        <n v="13842.0"/>
        <n v="11060.0"/>
        <n v="21224.0"/>
        <n v="6921.0"/>
        <n v="195250.0"/>
        <n v="142783.0"/>
        <n v="130006.0"/>
        <n v="208638.0"/>
        <n v="34773.0"/>
        <n v="266593.0"/>
        <n v="78100.0"/>
        <n v="136380.0"/>
        <n v="274362.0"/>
        <n v="35945.0"/>
        <n v="88170.0"/>
        <n v="188925.0"/>
        <n v="88416.0"/>
        <n v="231147.0"/>
        <n v="123750.0"/>
        <n v="2583.0"/>
        <n v="80073.0"/>
        <n v="41328.0"/>
        <n v="2021019.0"/>
        <n v="2027052.0"/>
        <n v="345762.0"/>
        <n v="268191.0"/>
        <n v="232794.0"/>
        <n v="271593.0"/>
        <n v="76140.0"/>
        <n v="30456.0"/>
        <n v="17298.0"/>
        <n v="10557.0"/>
        <n v="527481.0"/>
        <n v="460143.0"/>
        <n v="371592.0"/>
        <n v="271548.0"/>
        <n v="874009.0"/>
        <n v="146619.0"/>
        <n v="33588.0"/>
        <n v="334800.0"/>
        <n v="34596.0"/>
        <n v="27756.0"/>
        <n v="96993.0"/>
        <n v="82071.0"/>
        <n v="157284.0"/>
        <n v="29232.0"/>
        <n v="54288.0"/>
        <n v="50112.0"/>
        <n v="45363.0"/>
        <n v="12096.0"/>
        <n v="6210.0"/>
        <n v="6914.0"/>
        <n v="9219.0"/>
        <n v="5634.0"/>
        <n v="69498.0"/>
        <n v="93368.0"/>
        <n v="37500.0"/>
        <n v="43080.0"/>
        <n v="10858.0"/>
        <n v="14817.0"/>
        <n v="32585.0"/>
        <n v="2.0158275E7"/>
        <n v="929188.0"/>
        <n v="2415760.0"/>
        <n v="611295.0"/>
        <n v="216164.0"/>
        <n v="1097460.0"/>
        <n v="4538656.0"/>
        <n v="264600.0"/>
        <n v="239400.0"/>
        <n v="226800.0"/>
        <n v="289800.0"/>
        <n v="136089.0"/>
        <n v="105847.0"/>
        <n v="90710.0"/>
        <n v="68022.0"/>
        <n v="121957.0"/>
        <n v="133044.0"/>
        <n v="111358.0"/>
        <n v="102792.0"/>
        <n v="94226.0"/>
        <n v="161290.0"/>
        <n v="249420.0"/>
        <n v="234262.0"/>
        <n v="244383.0"/>
        <n v="3060.0"/>
        <n v="40200.0"/>
        <n v="38190.0"/>
        <n v="16080.0"/>
        <n v="28475.0"/>
        <n v="39530.0"/>
        <n v="127500.0"/>
        <n v="120000.0"/>
        <n v="187500.0"/>
        <n v="257500.0"/>
        <n v="250000.0"/>
        <n v="397500.0"/>
        <n v="20044.0"/>
        <n v="586080.0"/>
        <n v="130000.0"/>
      </sharedItems>
    </cacheField>
    <cacheField name="Cantidad por Despachar" numFmtId="0">
      <sharedItems containsSemiMixedTypes="0" containsString="0" containsNumber="1" containsInteger="1">
        <n v="0.0"/>
        <n v="1.0"/>
        <n v="2.0"/>
        <n v="14.0"/>
        <n v="3.0"/>
        <n v="4.0"/>
        <n v="5.0"/>
        <n v="6.0"/>
        <n v="7.0"/>
      </sharedItems>
    </cacheField>
    <cacheField name="Cantidad Disponible" numFmtId="0">
      <sharedItems containsSemiMixedTypes="0" containsString="0" containsNumber="1" containsInteger="1">
        <n v="5.0"/>
        <n v="4.0"/>
        <n v="7.0"/>
        <n v="3.0"/>
        <n v="6.0"/>
        <n v="29.0"/>
        <n v="9.0"/>
        <n v="11.0"/>
        <n v="10.0"/>
        <n v="12.0"/>
        <n v="17.0"/>
        <n v="8.0"/>
        <n v="14.0"/>
        <n v="2.0"/>
        <n v="60.0"/>
        <n v="15.0"/>
        <n v="16.0"/>
        <n v="1.0"/>
        <n v="0.0"/>
        <n v="22.0"/>
        <n v="13.0"/>
        <n v="89.0"/>
        <n v="43.0"/>
        <n v="80.0"/>
        <n v="20.0"/>
        <n v="32.0"/>
        <n v="37.0"/>
        <n v="28.0"/>
        <n v="246.0"/>
        <n v="18.0"/>
        <n v="27.0"/>
        <n v="98.0"/>
        <n v="52.0"/>
        <n v="53.0"/>
        <n v="24.0"/>
        <n v="42.0"/>
        <n v="146.0"/>
        <n v="41.0"/>
        <n v="19.0"/>
        <n v="26.0"/>
        <n v="39.0"/>
        <n v="185.0"/>
        <n v="63.0"/>
        <n v="46.0"/>
        <n v="65.0"/>
        <n v="999803.0"/>
        <n v="21.0"/>
        <n v="40.0"/>
        <n v="23.0"/>
        <n v="66.0"/>
        <n v="99.0"/>
        <n v="72.0"/>
        <n v="133.0"/>
        <n v="500.0"/>
        <n v="76.0"/>
        <n v="3555.0"/>
        <n v="335.0"/>
        <n v="36.0"/>
        <n v="1507.0"/>
        <n v="193.0"/>
        <n v="276.0"/>
        <n v="663.0"/>
        <n v="278.0"/>
        <n v="561.0"/>
        <n v="238.0"/>
        <n v="221.0"/>
        <n v="160.0"/>
        <n v="195.0"/>
        <n v="129.0"/>
        <n v="203.0"/>
        <n v="227.0"/>
        <n v="714.0"/>
        <n v="217.0"/>
        <n v="1029.0"/>
        <n v="44.0"/>
        <n v="51.0"/>
        <n v="939.0"/>
        <n v="841.0"/>
        <n v="833.0"/>
        <n v="95.0"/>
        <n v="257.0"/>
        <n v="691.0"/>
        <n v="347.0"/>
        <n v="439.0"/>
        <n v="320.0"/>
        <n v="390.0"/>
        <n v="394.0"/>
        <n v="856.0"/>
        <n v="518.0"/>
        <n v="247.0"/>
        <n v="402.0"/>
        <n v="7199.0"/>
        <n v="5328.0"/>
        <n v="11443.0"/>
        <n v="4971.0"/>
        <n v="1534.0"/>
        <n v="1366.0"/>
        <n v="388.0"/>
        <n v="2289.0"/>
        <n v="2189.0"/>
        <n v="93.0"/>
        <n v="92.0"/>
        <n v="87.0"/>
        <n v="85.0"/>
        <n v="660.0"/>
        <n v="49.0"/>
        <n v="116.0"/>
        <n v="164.0"/>
        <n v="102.0"/>
        <n v="191.0"/>
        <n v="194.0"/>
        <n v="189.0"/>
        <n v="192.0"/>
        <n v="97.0"/>
        <n v="96.0"/>
        <n v="128.0"/>
        <n v="674.0"/>
        <n v="211.0"/>
        <n v="382.0"/>
        <n v="381.0"/>
        <n v="35.0"/>
        <n v="267.0"/>
        <n v="131.0"/>
        <n v="45.0"/>
        <n v="30.0"/>
        <n v="271.0"/>
        <n v="94.0"/>
        <n v="145.0"/>
        <n v="198.0"/>
        <n v="443.0"/>
        <n v="34.0"/>
        <n v="155.0"/>
        <n v="115.0"/>
        <n v="491.0"/>
        <n v="349.0"/>
        <n v="140.0"/>
        <n v="122.0"/>
        <n v="1920.0"/>
        <n v="1282.0"/>
        <n v="1473.0"/>
        <n v="1833.0"/>
        <n v="153.0"/>
        <n v="1102.0"/>
        <n v="1435.0"/>
        <n v="1048.0"/>
        <n v="71.0"/>
        <n v="31.0"/>
        <n v="101.0"/>
        <n v="592.0"/>
        <n v="82.0"/>
        <n v="869.0"/>
        <n v="424.0"/>
        <n v="103.0"/>
        <n v="104.0"/>
        <n v="90.0"/>
        <n v="244.0"/>
        <n v="259.0"/>
        <n v="1014.0"/>
        <n v="100.0"/>
        <n v="64.0"/>
        <n v="69.0"/>
        <n v="177.0"/>
        <n v="374.0"/>
        <n v="86.0"/>
        <n v="88.0"/>
        <n v="336.0"/>
        <n v="375.0"/>
        <n v="948.0"/>
        <n v="775.0"/>
        <n v="732.0"/>
        <n v="200.0"/>
        <n v="135.0"/>
        <n v="180.0"/>
        <n v="207.0"/>
        <n v="205.0"/>
        <n v="210.0"/>
        <n v="400.0"/>
        <n v="406.0"/>
        <n v="107.0"/>
        <n v="383.0"/>
        <n v="393.0"/>
        <n v="1152.0"/>
        <n v="326.0"/>
        <n v="524.0"/>
        <n v="597.0"/>
        <n v="816.0"/>
        <n v="353.0"/>
        <n v="585.0"/>
        <n v="852.0"/>
        <n v="558.0"/>
        <n v="410.0"/>
        <n v="81.0"/>
        <n v="317.0"/>
        <n v="604.0"/>
        <n v="453.0"/>
        <n v="1158.0"/>
        <n v="940.0"/>
        <n v="1995.0"/>
        <n v="2081.0"/>
        <n v="2152.0"/>
        <n v="433.0"/>
        <n v="330.0"/>
        <n v="3309.0"/>
        <n v="2962.0"/>
        <n v="462.0"/>
        <n v="559.0"/>
        <n v="821.0"/>
        <n v="635.0"/>
        <n v="304.0"/>
        <n v="299.0"/>
        <n v="780.0"/>
        <n v="218.0"/>
        <n v="447.0"/>
        <n v="350.0"/>
        <n v="239.0"/>
        <n v="287.0"/>
        <n v="404.0"/>
        <n v="3431.0"/>
        <n v="2341.0"/>
        <n v="616.0"/>
        <n v="250.0"/>
        <n v="55.0"/>
        <n v="864.0"/>
        <n v="875.0"/>
        <n v="849.0"/>
        <n v="564.0"/>
        <n v="971.0"/>
        <n v="137.0"/>
        <n v="285.0"/>
        <n v="154.0"/>
        <n v="181.0"/>
        <n v="25.0"/>
        <n v="33.0"/>
        <n v="121.0"/>
        <n v="136.0"/>
        <n v="47.0"/>
        <n v="70.0"/>
        <n v="204.0"/>
        <n v="269.0"/>
        <n v="68.0"/>
        <n v="120.0"/>
        <n v="114.0"/>
        <n v="48.0"/>
        <n v="118.0"/>
        <n v="5100.0"/>
        <n v="2400.0"/>
        <n v="2500.0"/>
        <n v="10300.0"/>
        <n v="5000.0"/>
        <n v="5300.0"/>
      </sharedItems>
    </cacheField>
    <cacheField name="Por Recibir" numFmtId="0">
      <sharedItems containsSemiMixedTypes="0" containsString="0" containsNumber="1" containsInteger="1">
        <n v="0.0"/>
        <n v="1.0"/>
        <n v="2.0"/>
        <n v="5.0"/>
        <n v="3.0"/>
        <n v="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sumen Stock" cacheId="0" dataCaption="" compact="0" compactData="0">
  <location ref="A3:F1823" firstHeaderRow="0" firstDataRow="4" firstDataCol="0" rowPageCount="1" colPageCount="1"/>
  <pivotFields>
    <pivotField name="Tipo de 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oducto" axis="axisRow" compact="0" outline="0" multipleItemSelectionAllowed="1" showAll="0" sortType="de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Variante" axis="axisRow" compact="0" outline="0" multipleItemSelectionAllowed="1" showAll="0" sortType="descending" defaultSubtotal="0">
      <items>
        <item x="1391"/>
        <item x="910"/>
        <item x="629"/>
        <item x="97"/>
        <item x="551"/>
        <item x="1390"/>
        <item x="550"/>
        <item x="677"/>
        <item x="909"/>
        <item x="676"/>
        <item x="605"/>
        <item x="604"/>
        <item x="1063"/>
        <item x="1062"/>
        <item x="1061"/>
        <item x="1060"/>
        <item x="1059"/>
        <item x="1058"/>
        <item x="1057"/>
        <item x="1056"/>
        <item x="1055"/>
        <item x="1661"/>
        <item x="1660"/>
        <item x="1659"/>
        <item x="908"/>
        <item x="907"/>
        <item x="906"/>
        <item x="905"/>
        <item x="904"/>
        <item x="369"/>
        <item x="1306"/>
        <item x="1305"/>
        <item x="903"/>
        <item x="902"/>
        <item x="1460"/>
        <item x="603"/>
        <item x="901"/>
        <item x="1658"/>
        <item x="549"/>
        <item x="548"/>
        <item x="900"/>
        <item x="899"/>
        <item x="245"/>
        <item x="547"/>
        <item x="898"/>
        <item x="897"/>
        <item x="896"/>
        <item x="895"/>
        <item x="894"/>
        <item x="366"/>
        <item x="1571"/>
        <item x="1748"/>
        <item x="546"/>
        <item x="545"/>
        <item x="91"/>
        <item x="1457"/>
        <item x="1727"/>
        <item x="1726"/>
        <item x="1725"/>
        <item x="1724"/>
        <item x="1723"/>
        <item x="1722"/>
        <item x="1721"/>
        <item x="1720"/>
        <item x="1387"/>
        <item x="1386"/>
        <item x="1719"/>
        <item x="1718"/>
        <item x="1717"/>
        <item x="244"/>
        <item x="1716"/>
        <item x="1715"/>
        <item x="243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893"/>
        <item x="892"/>
        <item x="1657"/>
        <item x="1656"/>
        <item x="1702"/>
        <item x="1701"/>
        <item x="1655"/>
        <item x="1654"/>
        <item x="1653"/>
        <item x="1652"/>
        <item x="1651"/>
        <item x="1650"/>
        <item x="891"/>
        <item x="890"/>
        <item x="889"/>
        <item x="888"/>
        <item x="1775"/>
        <item x="1774"/>
        <item x="242"/>
        <item x="675"/>
        <item x="674"/>
        <item x="1385"/>
        <item x="673"/>
        <item x="544"/>
        <item x="1731"/>
        <item x="672"/>
        <item x="887"/>
        <item x="492"/>
        <item x="1649"/>
        <item x="1773"/>
        <item x="1772"/>
        <item x="1771"/>
        <item x="1770"/>
        <item x="1648"/>
        <item x="886"/>
        <item x="885"/>
        <item x="884"/>
        <item x="883"/>
        <item x="1361"/>
        <item x="1360"/>
        <item x="1359"/>
        <item x="1304"/>
        <item x="1303"/>
        <item x="1302"/>
        <item x="882"/>
        <item x="881"/>
        <item x="90"/>
        <item x="89"/>
        <item x="88"/>
        <item x="880"/>
        <item x="103"/>
        <item x="102"/>
        <item x="1054"/>
        <item x="1647"/>
        <item x="200"/>
        <item x="199"/>
        <item x="198"/>
        <item x="197"/>
        <item x="196"/>
        <item x="195"/>
        <item x="1512"/>
        <item x="879"/>
        <item x="1570"/>
        <item x="1569"/>
        <item x="194"/>
        <item x="543"/>
        <item x="1358"/>
        <item x="1357"/>
        <item x="5"/>
        <item x="1513"/>
        <item x="1389"/>
        <item x="542"/>
        <item x="541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540"/>
        <item x="539"/>
        <item x="538"/>
        <item x="602"/>
        <item x="537"/>
        <item x="489"/>
        <item x="1730"/>
        <item x="87"/>
        <item x="86"/>
        <item x="85"/>
        <item x="488"/>
        <item x="487"/>
        <item x="1729"/>
        <item x="671"/>
        <item x="670"/>
        <item x="101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536"/>
        <item x="1664"/>
        <item x="1477"/>
        <item x="193"/>
        <item x="669"/>
        <item x="668"/>
        <item x="376"/>
        <item x="375"/>
        <item x="374"/>
        <item x="1694"/>
        <item x="1693"/>
        <item x="1692"/>
        <item x="1568"/>
        <item x="1567"/>
        <item x="92"/>
        <item x="926"/>
        <item x="191"/>
        <item x="190"/>
        <item x="241"/>
        <item x="240"/>
        <item x="1356"/>
        <item x="1355"/>
        <item x="1354"/>
        <item x="189"/>
        <item x="841"/>
        <item x="1353"/>
        <item x="1646"/>
        <item x="1645"/>
        <item x="1644"/>
        <item x="1643"/>
        <item x="392"/>
        <item x="1642"/>
        <item x="1478"/>
        <item x="498"/>
        <item x="497"/>
        <item x="496"/>
        <item x="391"/>
        <item x="495"/>
        <item x="1641"/>
        <item x="390"/>
        <item x="292"/>
        <item x="1469"/>
        <item x="239"/>
        <item x="1640"/>
        <item x="1639"/>
        <item x="1638"/>
        <item x="1637"/>
        <item x="925"/>
        <item x="924"/>
        <item x="923"/>
        <item x="238"/>
        <item x="1636"/>
        <item x="1635"/>
        <item x="922"/>
        <item x="921"/>
        <item x="920"/>
        <item x="237"/>
        <item x="1634"/>
        <item x="236"/>
        <item x="919"/>
        <item x="918"/>
        <item x="917"/>
        <item x="916"/>
        <item x="915"/>
        <item x="1633"/>
        <item x="1632"/>
        <item x="188"/>
        <item x="187"/>
        <item x="186"/>
        <item x="185"/>
        <item x="184"/>
        <item x="183"/>
        <item x="182"/>
        <item x="181"/>
        <item x="180"/>
        <item x="179"/>
        <item x="235"/>
        <item x="1631"/>
        <item x="234"/>
        <item x="1630"/>
        <item x="1629"/>
        <item x="1628"/>
        <item x="1627"/>
        <item x="178"/>
        <item x="233"/>
        <item x="1626"/>
        <item x="435"/>
        <item x="1625"/>
        <item x="1624"/>
        <item x="1623"/>
        <item x="1622"/>
        <item x="232"/>
        <item x="1621"/>
        <item x="177"/>
        <item x="1620"/>
        <item x="176"/>
        <item x="175"/>
        <item x="174"/>
        <item x="173"/>
        <item x="172"/>
        <item x="171"/>
        <item x="170"/>
        <item x="169"/>
        <item x="168"/>
        <item x="192"/>
        <item x="167"/>
        <item x="1619"/>
        <item x="1618"/>
        <item x="1566"/>
        <item x="365"/>
        <item x="1565"/>
        <item x="1564"/>
        <item x="1741"/>
        <item x="1740"/>
        <item x="1739"/>
        <item x="535"/>
        <item x="601"/>
        <item x="600"/>
        <item x="599"/>
        <item x="840"/>
        <item x="1617"/>
        <item x="1616"/>
        <item x="1615"/>
        <item x="1614"/>
        <item x="1613"/>
        <item x="486"/>
        <item x="598"/>
        <item x="839"/>
        <item x="838"/>
        <item x="1352"/>
        <item x="571"/>
        <item x="628"/>
        <item x="627"/>
        <item x="626"/>
        <item x="625"/>
        <item x="624"/>
        <item x="623"/>
        <item x="96"/>
        <item x="95"/>
        <item x="231"/>
        <item x="622"/>
        <item x="621"/>
        <item x="620"/>
        <item x="619"/>
        <item x="230"/>
        <item x="94"/>
        <item x="229"/>
        <item x="228"/>
        <item x="1612"/>
        <item x="1691"/>
        <item x="561"/>
        <item x="368"/>
        <item x="1033"/>
        <item x="1032"/>
        <item x="1031"/>
        <item x="1030"/>
        <item x="1029"/>
        <item x="1028"/>
        <item x="1027"/>
        <item x="382"/>
        <item x="381"/>
        <item x="380"/>
        <item x="379"/>
        <item x="378"/>
        <item x="1456"/>
        <item x="1455"/>
        <item x="1463"/>
        <item x="434"/>
        <item x="433"/>
        <item x="432"/>
        <item x="400"/>
        <item x="399"/>
        <item x="398"/>
        <item x="397"/>
        <item x="471"/>
        <item x="470"/>
        <item x="469"/>
        <item x="468"/>
        <item x="467"/>
        <item x="466"/>
        <item x="465"/>
        <item x="464"/>
        <item x="84"/>
        <item x="83"/>
        <item x="82"/>
        <item x="81"/>
        <item x="80"/>
        <item x="597"/>
        <item x="837"/>
        <item x="79"/>
        <item x="78"/>
        <item x="836"/>
        <item x="1026"/>
        <item x="1025"/>
        <item x="1024"/>
        <item x="1023"/>
        <item x="1022"/>
        <item x="835"/>
        <item x="834"/>
        <item x="291"/>
        <item x="290"/>
        <item x="1301"/>
        <item x="1300"/>
        <item x="1299"/>
        <item x="485"/>
        <item x="1747"/>
        <item x="1351"/>
        <item x="1543"/>
        <item x="1542"/>
        <item x="1350"/>
        <item x="1349"/>
        <item x="1348"/>
        <item x="1347"/>
        <item x="1346"/>
        <item x="1345"/>
        <item x="1454"/>
        <item x="1453"/>
        <item x="1452"/>
        <item x="1451"/>
        <item x="1450"/>
        <item x="1449"/>
        <item x="1541"/>
        <item x="1540"/>
        <item x="1539"/>
        <item x="1538"/>
        <item x="1448"/>
        <item x="1447"/>
        <item x="1446"/>
        <item x="1445"/>
        <item x="1444"/>
        <item x="1443"/>
        <item x="1442"/>
        <item x="1441"/>
        <item x="1440"/>
        <item x="1439"/>
        <item x="1344"/>
        <item x="1438"/>
        <item x="1437"/>
        <item x="1436"/>
        <item x="1435"/>
        <item x="1537"/>
        <item x="1434"/>
        <item x="1433"/>
        <item x="1536"/>
        <item x="1535"/>
        <item x="1534"/>
        <item x="1432"/>
        <item x="1533"/>
        <item x="1532"/>
        <item x="1343"/>
        <item x="1531"/>
        <item x="1530"/>
        <item x="1431"/>
        <item x="1430"/>
        <item x="1429"/>
        <item x="1428"/>
        <item x="1427"/>
        <item x="1426"/>
        <item x="1425"/>
        <item x="1424"/>
        <item x="1342"/>
        <item x="1341"/>
        <item x="1340"/>
        <item x="1339"/>
        <item x="1529"/>
        <item x="1528"/>
        <item x="1338"/>
        <item x="1337"/>
        <item x="1336"/>
        <item x="1527"/>
        <item x="1423"/>
        <item x="1422"/>
        <item x="1421"/>
        <item x="1420"/>
        <item x="1419"/>
        <item x="1418"/>
        <item x="1335"/>
        <item x="1334"/>
        <item x="1417"/>
        <item x="1416"/>
        <item x="1415"/>
        <item x="1414"/>
        <item x="1413"/>
        <item x="1412"/>
        <item x="1526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732"/>
        <item x="77"/>
        <item x="76"/>
        <item x="75"/>
        <item x="74"/>
        <item x="73"/>
        <item x="72"/>
        <item x="667"/>
        <item x="1779"/>
        <item x="666"/>
        <item x="665"/>
        <item x="1778"/>
        <item x="664"/>
        <item x="1777"/>
        <item x="1776"/>
        <item x="1690"/>
        <item x="1689"/>
        <item x="1688"/>
        <item x="1746"/>
        <item x="663"/>
        <item x="662"/>
        <item x="227"/>
        <item x="1687"/>
        <item x="166"/>
        <item x="1511"/>
        <item x="1510"/>
        <item x="71"/>
        <item x="1298"/>
        <item x="1297"/>
        <item x="1296"/>
        <item x="1295"/>
        <item x="289"/>
        <item x="288"/>
        <item x="534"/>
        <item x="914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431"/>
        <item x="596"/>
        <item x="533"/>
        <item x="532"/>
        <item x="531"/>
        <item x="618"/>
        <item x="100"/>
        <item x="99"/>
        <item x="1525"/>
        <item x="367"/>
        <item x="165"/>
        <item x="833"/>
        <item x="1745"/>
        <item x="484"/>
        <item x="661"/>
        <item x="660"/>
        <item x="1611"/>
        <item x="70"/>
        <item x="69"/>
        <item x="68"/>
        <item x="66"/>
        <item x="67"/>
        <item x="1220"/>
        <item x="1219"/>
        <item x="530"/>
        <item x="1509"/>
        <item x="1508"/>
        <item x="570"/>
        <item x="569"/>
        <item x="568"/>
        <item x="567"/>
        <item x="566"/>
        <item x="565"/>
        <item x="564"/>
        <item x="595"/>
        <item x="1610"/>
        <item x="1609"/>
        <item x="1608"/>
        <item x="430"/>
        <item x="429"/>
        <item x="428"/>
        <item x="396"/>
        <item x="395"/>
        <item x="394"/>
        <item x="393"/>
        <item x="832"/>
        <item x="831"/>
        <item x="830"/>
        <item x="829"/>
        <item x="828"/>
        <item x="827"/>
        <item x="65"/>
        <item x="64"/>
        <item x="63"/>
        <item x="62"/>
        <item x="61"/>
        <item x="60"/>
        <item x="59"/>
        <item x="58"/>
        <item x="57"/>
        <item x="353"/>
        <item x="1384"/>
        <item x="1607"/>
        <item x="826"/>
        <item x="1474"/>
        <item x="1218"/>
        <item x="825"/>
        <item x="56"/>
        <item x="55"/>
        <item x="364"/>
        <item x="363"/>
        <item x="98"/>
        <item x="1606"/>
        <item x="362"/>
        <item x="361"/>
        <item x="360"/>
        <item x="1663"/>
        <item x="352"/>
        <item x="1605"/>
        <item x="1604"/>
        <item x="1476"/>
        <item x="1475"/>
        <item x="1603"/>
        <item x="1563"/>
        <item x="54"/>
        <item x="164"/>
        <item x="53"/>
        <item x="52"/>
        <item x="51"/>
        <item x="50"/>
        <item x="226"/>
        <item x="1602"/>
        <item x="225"/>
        <item x="1601"/>
        <item x="1600"/>
        <item x="1599"/>
        <item x="224"/>
        <item x="529"/>
        <item x="528"/>
        <item x="527"/>
        <item x="617"/>
        <item x="616"/>
        <item x="427"/>
        <item x="426"/>
        <item x="425"/>
        <item x="351"/>
        <item x="350"/>
        <item x="1507"/>
        <item x="1506"/>
        <item x="1505"/>
        <item x="933"/>
        <item x="932"/>
        <item x="931"/>
        <item x="930"/>
        <item x="500"/>
        <item x="499"/>
        <item x="1769"/>
        <item x="1768"/>
        <item x="1767"/>
        <item x="1700"/>
        <item x="1699"/>
        <item x="1698"/>
        <item x="824"/>
        <item x="1598"/>
        <item x="823"/>
        <item x="822"/>
        <item x="821"/>
        <item x="820"/>
        <item x="819"/>
        <item x="818"/>
        <item x="817"/>
        <item x="1383"/>
        <item x="816"/>
        <item x="1310"/>
        <item x="1382"/>
        <item x="1381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1473"/>
        <item x="1504"/>
        <item x="798"/>
        <item x="659"/>
        <item x="797"/>
        <item x="594"/>
        <item x="796"/>
        <item x="49"/>
        <item x="1597"/>
        <item x="223"/>
        <item x="615"/>
        <item x="614"/>
        <item x="795"/>
        <item x="794"/>
        <item x="349"/>
        <item x="793"/>
        <item x="792"/>
        <item x="791"/>
        <item x="790"/>
        <item x="789"/>
        <item x="788"/>
        <item x="1380"/>
        <item x="787"/>
        <item x="786"/>
        <item x="785"/>
        <item x="658"/>
        <item x="657"/>
        <item x="656"/>
        <item x="348"/>
        <item x="347"/>
        <item x="784"/>
        <item x="655"/>
        <item x="654"/>
        <item x="593"/>
        <item x="592"/>
        <item x="591"/>
        <item x="590"/>
        <item x="1217"/>
        <item x="1216"/>
        <item x="1379"/>
        <item x="1378"/>
        <item x="1377"/>
        <item x="346"/>
        <item x="222"/>
        <item x="345"/>
        <item x="344"/>
        <item x="1552"/>
        <item x="783"/>
        <item x="343"/>
        <item x="1388"/>
        <item x="653"/>
        <item x="652"/>
        <item x="651"/>
        <item x="630"/>
        <item x="1021"/>
        <item x="1020"/>
        <item x="1019"/>
        <item x="1018"/>
        <item x="1017"/>
        <item x="342"/>
        <item x="634"/>
        <item x="633"/>
        <item x="632"/>
        <item x="631"/>
        <item x="1728"/>
        <item x="48"/>
        <item x="47"/>
        <item x="463"/>
        <item x="1793"/>
        <item x="1792"/>
        <item x="1791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359"/>
        <item x="1766"/>
        <item x="782"/>
        <item x="781"/>
        <item x="780"/>
        <item x="779"/>
        <item x="778"/>
        <item x="1316"/>
        <item x="341"/>
        <item x="340"/>
        <item x="339"/>
        <item x="338"/>
        <item x="337"/>
        <item x="1562"/>
        <item x="1561"/>
        <item x="1560"/>
        <item x="1315"/>
        <item x="1686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1459"/>
        <item x="1458"/>
        <item x="46"/>
        <item x="45"/>
        <item x="44"/>
        <item x="43"/>
        <item x="42"/>
        <item x="41"/>
        <item x="40"/>
        <item x="39"/>
        <item x="777"/>
        <item x="776"/>
        <item x="201"/>
        <item x="38"/>
        <item x="1596"/>
        <item x="1595"/>
        <item x="163"/>
        <item x="162"/>
        <item x="443"/>
        <item x="442"/>
        <item x="441"/>
        <item x="440"/>
        <item x="439"/>
        <item x="438"/>
        <item x="287"/>
        <item x="161"/>
        <item x="160"/>
        <item x="159"/>
        <item x="158"/>
        <item x="157"/>
        <item x="315"/>
        <item x="221"/>
        <item x="1685"/>
        <item x="1684"/>
        <item x="1683"/>
        <item x="1503"/>
        <item x="589"/>
        <item x="588"/>
        <item x="1738"/>
        <item x="1333"/>
        <item x="1332"/>
        <item x="220"/>
        <item x="424"/>
        <item x="1376"/>
        <item x="1375"/>
        <item x="1790"/>
        <item x="1789"/>
        <item x="1788"/>
        <item x="6"/>
        <item x="1331"/>
        <item x="1330"/>
        <item x="1329"/>
        <item x="1328"/>
        <item x="1327"/>
        <item x="1326"/>
        <item x="1325"/>
        <item x="219"/>
        <item x="37"/>
        <item x="36"/>
        <item x="35"/>
        <item x="34"/>
        <item x="775"/>
        <item x="33"/>
        <item x="32"/>
        <item x="31"/>
        <item x="30"/>
        <item x="1524"/>
        <item x="423"/>
        <item x="650"/>
        <item x="1737"/>
        <item x="4"/>
        <item x="1374"/>
        <item x="1523"/>
        <item x="1215"/>
        <item x="1214"/>
        <item x="1213"/>
        <item x="1212"/>
        <item x="1211"/>
        <item x="1210"/>
        <item x="1209"/>
        <item x="929"/>
        <item x="1736"/>
        <item x="1324"/>
        <item x="1323"/>
        <item x="1502"/>
        <item x="1398"/>
        <item x="218"/>
        <item x="217"/>
        <item x="216"/>
        <item x="1397"/>
        <item x="1396"/>
        <item x="1395"/>
        <item x="1394"/>
        <item x="1322"/>
        <item x="1321"/>
        <item x="1501"/>
        <item x="1594"/>
        <item x="1320"/>
        <item x="1319"/>
        <item x="1500"/>
        <item x="1318"/>
        <item x="913"/>
        <item x="649"/>
        <item x="648"/>
        <item x="526"/>
        <item x="525"/>
        <item x="524"/>
        <item x="523"/>
        <item x="522"/>
        <item x="521"/>
        <item x="491"/>
        <item x="156"/>
        <item x="155"/>
        <item x="154"/>
        <item x="153"/>
        <item x="152"/>
        <item x="151"/>
        <item x="150"/>
        <item x="774"/>
        <item x="1697"/>
        <item x="1696"/>
        <item x="912"/>
        <item x="1695"/>
        <item x="1016"/>
        <item x="1015"/>
        <item x="1014"/>
        <item x="1013"/>
        <item x="1012"/>
        <item x="1011"/>
        <item x="1004"/>
        <item x="1003"/>
        <item x="1010"/>
        <item x="1009"/>
        <item x="1008"/>
        <item x="1002"/>
        <item x="1001"/>
        <item x="1000"/>
        <item x="999"/>
        <item x="1007"/>
        <item x="1006"/>
        <item x="1005"/>
        <item x="998"/>
        <item x="997"/>
        <item x="520"/>
        <item x="773"/>
        <item x="772"/>
        <item x="771"/>
        <item x="770"/>
        <item x="769"/>
        <item x="768"/>
        <item x="519"/>
        <item x="494"/>
        <item x="518"/>
        <item x="286"/>
        <item x="285"/>
        <item x="284"/>
        <item x="283"/>
        <item x="282"/>
        <item x="281"/>
        <item x="280"/>
        <item x="279"/>
        <item x="278"/>
        <item x="574"/>
        <item x="261"/>
        <item x="277"/>
        <item x="276"/>
        <item x="275"/>
        <item x="274"/>
        <item x="573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0"/>
        <item x="259"/>
        <item x="258"/>
        <item x="257"/>
        <item x="256"/>
        <item x="255"/>
        <item x="254"/>
        <item x="253"/>
        <item x="252"/>
        <item x="1499"/>
        <item x="767"/>
        <item x="1208"/>
        <item x="1207"/>
        <item x="1206"/>
        <item x="1205"/>
        <item x="612"/>
        <item x="422"/>
        <item x="572"/>
        <item x="421"/>
        <item x="420"/>
        <item x="419"/>
        <item x="996"/>
        <item x="995"/>
        <item x="994"/>
        <item x="451"/>
        <item x="29"/>
        <item x="517"/>
        <item x="418"/>
        <item x="417"/>
        <item x="416"/>
        <item x="3"/>
        <item x="2"/>
        <item x="1"/>
        <item x="0"/>
        <item x="766"/>
        <item x="765"/>
        <item x="764"/>
        <item x="640"/>
        <item x="639"/>
        <item x="638"/>
        <item x="1314"/>
        <item x="1313"/>
        <item x="1312"/>
        <item x="1498"/>
        <item x="587"/>
        <item x="1559"/>
        <item x="1373"/>
        <item x="415"/>
        <item x="763"/>
        <item x="762"/>
        <item x="483"/>
        <item x="1372"/>
        <item x="636"/>
        <item x="1309"/>
        <item x="215"/>
        <item x="761"/>
        <item x="647"/>
        <item x="214"/>
        <item x="646"/>
        <item x="314"/>
        <item x="313"/>
        <item x="213"/>
        <item x="312"/>
        <item x="149"/>
        <item x="148"/>
        <item x="147"/>
        <item x="146"/>
        <item x="145"/>
        <item x="144"/>
        <item x="143"/>
        <item x="1593"/>
        <item x="760"/>
        <item x="911"/>
        <item x="1204"/>
        <item x="516"/>
        <item x="611"/>
        <item x="610"/>
        <item x="609"/>
        <item x="414"/>
        <item x="413"/>
        <item x="412"/>
        <item x="411"/>
        <item x="410"/>
        <item x="759"/>
        <item x="142"/>
        <item x="141"/>
        <item x="140"/>
        <item x="139"/>
        <item x="557"/>
        <item x="556"/>
        <item x="555"/>
        <item x="607"/>
        <item x="606"/>
        <item x="409"/>
        <item x="28"/>
        <item x="27"/>
        <item x="26"/>
        <item x="1472"/>
        <item x="1497"/>
        <item x="586"/>
        <item x="138"/>
        <item x="137"/>
        <item x="136"/>
        <item x="758"/>
        <item x="1592"/>
        <item x="1591"/>
        <item x="358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25"/>
        <item x="120"/>
        <item x="119"/>
        <item x="118"/>
        <item x="117"/>
        <item x="1590"/>
        <item x="757"/>
        <item x="756"/>
        <item x="450"/>
        <item x="560"/>
        <item x="1522"/>
        <item x="449"/>
        <item x="755"/>
        <item x="645"/>
        <item x="515"/>
        <item x="514"/>
        <item x="513"/>
        <item x="212"/>
        <item x="512"/>
        <item x="511"/>
        <item x="510"/>
        <item x="509"/>
        <item x="508"/>
        <item x="507"/>
        <item x="506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1735"/>
        <item x="1734"/>
        <item x="1371"/>
        <item x="448"/>
        <item x="447"/>
        <item x="446"/>
        <item x="1496"/>
        <item x="1495"/>
        <item x="1494"/>
        <item x="1493"/>
        <item x="211"/>
        <item x="1468"/>
        <item x="493"/>
        <item x="1203"/>
        <item x="1202"/>
        <item x="1201"/>
        <item x="1200"/>
        <item x="1521"/>
        <item x="1520"/>
        <item x="1519"/>
        <item x="1518"/>
        <item x="1199"/>
        <item x="1589"/>
        <item x="1588"/>
        <item x="1587"/>
        <item x="1586"/>
        <item x="357"/>
        <item x="957"/>
        <item x="958"/>
        <item x="956"/>
        <item x="954"/>
        <item x="955"/>
        <item x="953"/>
        <item x="951"/>
        <item x="952"/>
        <item x="950"/>
        <item x="949"/>
        <item x="948"/>
        <item x="947"/>
        <item x="945"/>
        <item x="946"/>
        <item x="944"/>
        <item x="942"/>
        <item x="943"/>
        <item x="941"/>
        <item x="939"/>
        <item x="940"/>
        <item x="356"/>
        <item x="355"/>
        <item x="354"/>
        <item x="505"/>
        <item x="1198"/>
        <item x="1197"/>
        <item x="635"/>
        <item x="210"/>
        <item x="482"/>
        <item x="1585"/>
        <item x="754"/>
        <item x="753"/>
        <item x="752"/>
        <item x="751"/>
        <item x="750"/>
        <item x="749"/>
        <item x="748"/>
        <item x="747"/>
        <item x="585"/>
        <item x="584"/>
        <item x="746"/>
        <item x="1196"/>
        <item x="1195"/>
        <item x="1194"/>
        <item x="1193"/>
        <item x="1192"/>
        <item x="1191"/>
        <item x="1190"/>
        <item x="1189"/>
        <item x="1188"/>
        <item x="1187"/>
        <item x="1308"/>
        <item x="490"/>
        <item x="745"/>
        <item x="744"/>
        <item x="644"/>
        <item x="743"/>
        <item x="1584"/>
        <item x="1583"/>
        <item x="1582"/>
        <item x="1581"/>
        <item x="1580"/>
        <item x="1579"/>
        <item x="481"/>
        <item x="480"/>
        <item x="479"/>
        <item x="478"/>
        <item x="47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24"/>
        <item x="23"/>
        <item x="22"/>
        <item x="21"/>
        <item x="20"/>
        <item x="19"/>
        <item x="742"/>
        <item x="476"/>
        <item x="475"/>
        <item x="474"/>
        <item x="473"/>
        <item x="116"/>
        <item x="115"/>
        <item x="114"/>
        <item x="18"/>
        <item x="17"/>
        <item x="16"/>
        <item x="15"/>
        <item x="14"/>
        <item x="13"/>
        <item x="12"/>
        <item x="113"/>
        <item x="504"/>
        <item x="1311"/>
        <item x="1123"/>
        <item x="1744"/>
        <item x="741"/>
        <item x="1122"/>
        <item x="740"/>
        <item x="1743"/>
        <item x="209"/>
        <item x="1682"/>
        <item x="1121"/>
        <item x="1492"/>
        <item x="1491"/>
        <item x="1490"/>
        <item x="1489"/>
        <item x="1488"/>
        <item x="1487"/>
        <item x="1486"/>
        <item x="1485"/>
        <item x="1484"/>
        <item x="1558"/>
        <item x="437"/>
        <item x="436"/>
        <item x="1557"/>
        <item x="472"/>
        <item x="445"/>
        <item x="1466"/>
        <item x="1465"/>
        <item x="563"/>
        <item x="562"/>
        <item x="1517"/>
        <item x="1516"/>
        <item x="1515"/>
        <item x="1483"/>
        <item x="1551"/>
        <item x="1550"/>
        <item x="1556"/>
        <item x="1370"/>
        <item x="739"/>
        <item x="738"/>
        <item x="737"/>
        <item x="736"/>
        <item x="1369"/>
        <item x="1368"/>
        <item x="1367"/>
        <item x="1366"/>
        <item x="1365"/>
        <item x="735"/>
        <item x="208"/>
        <item x="11"/>
        <item x="583"/>
        <item x="1765"/>
        <item x="1764"/>
        <item x="1763"/>
        <item x="1461"/>
        <item x="734"/>
        <item x="643"/>
        <item x="733"/>
        <item x="732"/>
        <item x="73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471"/>
        <item x="1787"/>
        <item x="1786"/>
        <item x="1785"/>
        <item x="1784"/>
        <item x="1783"/>
        <item x="1782"/>
        <item x="10"/>
        <item x="9"/>
        <item x="8"/>
        <item x="1781"/>
        <item x="111"/>
        <item x="110"/>
        <item x="112"/>
        <item x="109"/>
        <item x="108"/>
        <item x="107"/>
        <item x="730"/>
        <item x="1780"/>
        <item x="1578"/>
        <item x="1577"/>
        <item x="1576"/>
        <item x="1575"/>
        <item x="408"/>
        <item x="503"/>
        <item x="311"/>
        <item x="310"/>
        <item x="309"/>
        <item x="308"/>
        <item x="307"/>
        <item x="306"/>
        <item x="305"/>
        <item x="304"/>
        <item x="300"/>
        <item x="303"/>
        <item x="302"/>
        <item x="301"/>
        <item x="1681"/>
        <item x="251"/>
        <item x="502"/>
        <item x="729"/>
        <item x="728"/>
        <item x="727"/>
        <item x="106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207"/>
        <item x="206"/>
        <item x="712"/>
        <item x="711"/>
        <item x="710"/>
        <item x="709"/>
        <item x="205"/>
        <item x="1549"/>
        <item x="1548"/>
        <item x="1547"/>
        <item x="1464"/>
        <item x="1470"/>
        <item x="708"/>
        <item x="707"/>
        <item x="299"/>
        <item x="706"/>
        <item x="1307"/>
        <item x="1364"/>
        <item x="559"/>
        <item x="298"/>
        <item x="297"/>
        <item x="296"/>
        <item x="1317"/>
        <item x="705"/>
        <item x="1482"/>
        <item x="1481"/>
        <item x="1480"/>
        <item x="1479"/>
        <item x="295"/>
        <item x="1546"/>
        <item x="703"/>
        <item x="702"/>
        <item x="701"/>
        <item x="700"/>
        <item x="704"/>
        <item x="1749"/>
        <item x="699"/>
        <item x="373"/>
        <item x="372"/>
        <item x="371"/>
        <item x="370"/>
        <item x="1108"/>
        <item x="1107"/>
        <item x="1106"/>
        <item x="554"/>
        <item x="553"/>
        <item x="552"/>
        <item x="444"/>
        <item x="1363"/>
        <item x="407"/>
        <item x="406"/>
        <item x="405"/>
        <item x="404"/>
        <item x="403"/>
        <item x="402"/>
        <item x="1574"/>
        <item x="1573"/>
        <item x="1572"/>
        <item x="613"/>
        <item x="7"/>
        <item x="1105"/>
        <item x="1662"/>
        <item x="1742"/>
        <item x="698"/>
        <item x="1545"/>
        <item x="1544"/>
        <item x="105"/>
        <item x="582"/>
        <item x="294"/>
        <item x="293"/>
        <item x="697"/>
        <item x="696"/>
        <item x="1104"/>
        <item x="1676"/>
        <item x="1680"/>
        <item x="1679"/>
        <item x="1678"/>
        <item x="1677"/>
        <item x="1675"/>
        <item x="1674"/>
        <item x="1673"/>
        <item x="1672"/>
        <item x="1671"/>
        <item x="1670"/>
        <item x="1514"/>
        <item x="204"/>
        <item x="203"/>
        <item x="928"/>
        <item x="927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42"/>
        <item x="683"/>
        <item x="682"/>
        <item x="681"/>
        <item x="1362"/>
        <item x="641"/>
        <item x="608"/>
        <item x="93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389"/>
        <item x="388"/>
        <item x="387"/>
        <item x="386"/>
        <item x="385"/>
        <item x="384"/>
        <item x="1733"/>
        <item x="581"/>
        <item x="580"/>
        <item x="383"/>
        <item x="1067"/>
        <item x="1066"/>
        <item x="1065"/>
        <item x="1064"/>
        <item x="579"/>
        <item x="578"/>
        <item x="577"/>
        <item x="637"/>
        <item x="576"/>
        <item x="575"/>
        <item x="680"/>
        <item x="679"/>
        <item x="558"/>
        <item x="202"/>
        <item x="104"/>
        <item x="401"/>
        <item x="1462"/>
        <item x="1669"/>
        <item x="1668"/>
        <item x="1467"/>
        <item x="501"/>
        <item x="1667"/>
        <item x="1666"/>
        <item x="1555"/>
        <item x="1554"/>
        <item x="1553"/>
        <item x="1665"/>
        <item x="938"/>
        <item x="937"/>
        <item x="936"/>
        <item x="935"/>
        <item x="934"/>
        <item x="250"/>
        <item x="249"/>
        <item x="248"/>
        <item x="247"/>
        <item x="246"/>
        <item x="678"/>
        <item x="1393"/>
        <item x="1392"/>
        <item x="377"/>
      </items>
    </pivotField>
    <pivotField name="Código Barr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t="default"/>
      </items>
    </pivotField>
    <pivotField name="SKU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t="default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Sucursal" axis="axisPage" compact="0" outline="0" multipleItemSelectionAllowed="1" showAll="0">
      <items>
        <item x="0"/>
        <item x="1"/>
        <item t="default"/>
      </items>
    </pivotField>
    <pivotField name="Stoc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t="default"/>
      </items>
    </pivotField>
    <pivotField name="Costo Neto Prom. Unitari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t="default"/>
      </items>
    </pivotField>
    <pivotField name="Costo Neto Prom. 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t="default"/>
      </items>
    </pivotField>
    <pivotField name="Cantidad por Despach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ntidad Disponi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name="Por Recibi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"/>
    <field x="2"/>
    <field x="4"/>
  </rowFields>
  <colFields>
    <field x="-2"/>
  </colFields>
  <pageFields>
    <pageField fld="5"/>
  </pageFields>
  <dataFields>
    <dataField name=" Stock" fld="6" baseField="0"/>
    <dataField name=" Costo Neto Prom. Unitario" fld="7" baseField="0"/>
    <dataField name=" Costo Neto Prom. Total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3.63"/>
    <col customWidth="1" min="2" max="2" width="47.13"/>
    <col customWidth="1" min="3" max="3" width="58.13"/>
    <col customWidth="1" min="4" max="4" width="85.13"/>
    <col customWidth="1" min="5" max="5" width="12.88"/>
    <col customWidth="1" min="6" max="6" width="10.63"/>
    <col customWidth="1" min="7" max="7" width="14.63"/>
    <col customWidth="1" min="8" max="8" width="13.0"/>
    <col customWidth="1" min="9" max="19" width="10.63"/>
    <col customWidth="1" min="20" max="20" width="14.25"/>
    <col customWidth="1" min="21" max="26" width="10.63"/>
  </cols>
  <sheetData>
    <row r="1" ht="14.25" customHeight="1">
      <c r="A1" s="1" t="s">
        <v>0</v>
      </c>
      <c r="D1" s="2"/>
      <c r="L1" s="3">
        <v>100.0</v>
      </c>
      <c r="M1" s="3">
        <v>50.0</v>
      </c>
      <c r="N1" s="3">
        <v>10.0</v>
      </c>
    </row>
    <row r="2" ht="14.25" customHeight="1">
      <c r="A2" s="4"/>
      <c r="B2" s="4"/>
      <c r="C2" s="4"/>
      <c r="D2" s="5"/>
      <c r="E2" s="4"/>
      <c r="F2" s="6"/>
      <c r="G2" s="7" t="s">
        <v>1</v>
      </c>
      <c r="J2" s="8"/>
      <c r="L2" s="9" t="s">
        <v>2</v>
      </c>
      <c r="M2" s="10"/>
      <c r="N2" s="10"/>
      <c r="O2" s="8"/>
      <c r="P2" s="7" t="s">
        <v>3</v>
      </c>
    </row>
    <row r="3" ht="14.25" customHeight="1">
      <c r="A3" s="11" t="s">
        <v>4</v>
      </c>
      <c r="B3" s="11" t="s">
        <v>5</v>
      </c>
      <c r="C3" s="11" t="s">
        <v>6</v>
      </c>
      <c r="D3" s="12" t="s">
        <v>7</v>
      </c>
      <c r="E3" s="11" t="s">
        <v>8</v>
      </c>
      <c r="F3" s="11" t="s">
        <v>9</v>
      </c>
      <c r="G3" s="13" t="s">
        <v>10</v>
      </c>
      <c r="H3" s="13" t="s">
        <v>11</v>
      </c>
      <c r="I3" s="13" t="s">
        <v>12</v>
      </c>
      <c r="J3" s="14"/>
      <c r="K3" s="14"/>
      <c r="L3" s="15">
        <v>0.0</v>
      </c>
      <c r="M3" s="15">
        <v>0.07</v>
      </c>
      <c r="N3" s="15">
        <v>0.14</v>
      </c>
      <c r="O3" s="16"/>
      <c r="P3" s="13" t="s">
        <v>13</v>
      </c>
      <c r="Q3" s="13" t="s">
        <v>14</v>
      </c>
      <c r="R3" s="13" t="s">
        <v>15</v>
      </c>
      <c r="S3" s="17"/>
      <c r="T3" s="17"/>
      <c r="U3" s="17"/>
      <c r="V3" s="17"/>
      <c r="W3" s="17"/>
      <c r="X3" s="17"/>
      <c r="Y3" s="17"/>
      <c r="Z3" s="17"/>
    </row>
    <row r="4" ht="14.25" customHeight="1">
      <c r="A4" s="18" t="s">
        <v>16</v>
      </c>
      <c r="B4" s="18" t="s">
        <v>17</v>
      </c>
      <c r="C4" s="19" t="s">
        <v>17</v>
      </c>
      <c r="D4" s="20" t="s">
        <v>18</v>
      </c>
      <c r="E4" s="21" t="s">
        <v>19</v>
      </c>
      <c r="F4" s="22" t="s">
        <v>20</v>
      </c>
      <c r="G4" s="23">
        <v>54990.0</v>
      </c>
      <c r="H4" s="23">
        <v>35288.0</v>
      </c>
      <c r="I4" s="24">
        <v>20716.0</v>
      </c>
      <c r="J4" s="25"/>
      <c r="K4" s="25"/>
      <c r="L4" s="22">
        <v>20716.0</v>
      </c>
      <c r="M4" s="22">
        <v>22196.0</v>
      </c>
      <c r="N4" s="22">
        <v>23675.0</v>
      </c>
      <c r="O4" s="14"/>
      <c r="P4" s="26">
        <v>0.3</v>
      </c>
      <c r="Q4" s="26">
        <v>0.25</v>
      </c>
      <c r="R4" s="26">
        <v>0.2</v>
      </c>
    </row>
    <row r="5" ht="14.25" customHeight="1">
      <c r="A5" s="18" t="s">
        <v>16</v>
      </c>
      <c r="B5" s="18" t="s">
        <v>21</v>
      </c>
      <c r="C5" s="19" t="s">
        <v>22</v>
      </c>
      <c r="D5" s="20" t="s">
        <v>23</v>
      </c>
      <c r="E5" s="21" t="s">
        <v>24</v>
      </c>
      <c r="F5" s="21" t="s">
        <v>20</v>
      </c>
      <c r="G5" s="23">
        <v>99990.0</v>
      </c>
      <c r="H5" s="23">
        <v>35288.0</v>
      </c>
      <c r="I5" s="24">
        <v>23592.0</v>
      </c>
      <c r="J5" s="25"/>
      <c r="K5" s="25"/>
      <c r="L5" s="22">
        <v>23592.0</v>
      </c>
      <c r="M5" s="22">
        <v>25277.0</v>
      </c>
      <c r="N5" s="22">
        <v>26962.0</v>
      </c>
      <c r="O5" s="14"/>
      <c r="P5" s="26">
        <v>0.2</v>
      </c>
      <c r="Q5" s="26">
        <v>0.15</v>
      </c>
      <c r="R5" s="26">
        <v>0.09</v>
      </c>
    </row>
    <row r="6" ht="14.25" customHeight="1">
      <c r="A6" s="18" t="s">
        <v>16</v>
      </c>
      <c r="B6" s="18" t="s">
        <v>21</v>
      </c>
      <c r="C6" s="19" t="s">
        <v>22</v>
      </c>
      <c r="D6" s="20" t="s">
        <v>25</v>
      </c>
      <c r="E6" s="21" t="s">
        <v>26</v>
      </c>
      <c r="F6" s="21" t="s">
        <v>20</v>
      </c>
      <c r="G6" s="23">
        <v>119990.0</v>
      </c>
      <c r="H6" s="23">
        <v>58818.0</v>
      </c>
      <c r="I6" s="24">
        <v>32822.0</v>
      </c>
      <c r="J6" s="25"/>
      <c r="K6" s="25"/>
      <c r="L6" s="22">
        <v>32822.0</v>
      </c>
      <c r="M6" s="22">
        <v>35166.0</v>
      </c>
      <c r="N6" s="22">
        <v>37511.0</v>
      </c>
      <c r="O6" s="14"/>
      <c r="P6" s="26">
        <v>0.34</v>
      </c>
      <c r="Q6" s="26">
        <v>0.29</v>
      </c>
      <c r="R6" s="26">
        <v>0.24</v>
      </c>
    </row>
    <row r="7" ht="14.25" customHeight="1">
      <c r="A7" s="18" t="s">
        <v>16</v>
      </c>
      <c r="B7" s="18" t="s">
        <v>21</v>
      </c>
      <c r="C7" s="19" t="s">
        <v>22</v>
      </c>
      <c r="D7" s="20" t="s">
        <v>27</v>
      </c>
      <c r="E7" s="21" t="s">
        <v>28</v>
      </c>
      <c r="F7" s="21" t="s">
        <v>20</v>
      </c>
      <c r="G7" s="23">
        <v>139990.0</v>
      </c>
      <c r="H7" s="23">
        <v>70582.0</v>
      </c>
      <c r="I7" s="24">
        <v>36284.0</v>
      </c>
      <c r="J7" s="25"/>
      <c r="K7" s="25"/>
      <c r="L7" s="22">
        <v>36284.0</v>
      </c>
      <c r="M7" s="22">
        <v>38876.0</v>
      </c>
      <c r="N7" s="22">
        <v>41468.0</v>
      </c>
      <c r="O7" s="14"/>
      <c r="P7" s="26">
        <v>0.39</v>
      </c>
      <c r="Q7" s="26">
        <v>0.34</v>
      </c>
      <c r="R7" s="26">
        <v>0.3</v>
      </c>
    </row>
    <row r="8" ht="14.25" customHeight="1">
      <c r="A8" s="18" t="s">
        <v>16</v>
      </c>
      <c r="B8" s="18" t="s">
        <v>21</v>
      </c>
      <c r="C8" s="19" t="s">
        <v>22</v>
      </c>
      <c r="D8" s="20" t="s">
        <v>29</v>
      </c>
      <c r="E8" s="21" t="s">
        <v>30</v>
      </c>
      <c r="F8" s="21" t="s">
        <v>20</v>
      </c>
      <c r="G8" s="23">
        <v>99990.0</v>
      </c>
      <c r="H8" s="23">
        <v>47053.0</v>
      </c>
      <c r="I8" s="24">
        <v>27042.0</v>
      </c>
      <c r="J8" s="25"/>
      <c r="K8" s="25"/>
      <c r="L8" s="22">
        <v>27042.0</v>
      </c>
      <c r="M8" s="22">
        <v>28973.0</v>
      </c>
      <c r="N8" s="22">
        <v>30905.0</v>
      </c>
      <c r="O8" s="14"/>
      <c r="P8" s="26">
        <v>0.32</v>
      </c>
      <c r="Q8" s="26">
        <v>0.27</v>
      </c>
      <c r="R8" s="26">
        <v>0.22</v>
      </c>
      <c r="T8" s="27">
        <v>1.656603353038E12</v>
      </c>
    </row>
    <row r="9" ht="14.25" customHeight="1">
      <c r="A9" s="18" t="s">
        <v>16</v>
      </c>
      <c r="B9" s="18" t="s">
        <v>21</v>
      </c>
      <c r="C9" s="19" t="s">
        <v>22</v>
      </c>
      <c r="D9" s="20" t="s">
        <v>31</v>
      </c>
      <c r="E9" s="21" t="s">
        <v>32</v>
      </c>
      <c r="F9" s="21" t="s">
        <v>20</v>
      </c>
      <c r="G9" s="23">
        <v>24990.0</v>
      </c>
      <c r="H9" s="23">
        <v>11759.0</v>
      </c>
      <c r="I9" s="24">
        <v>6246.0</v>
      </c>
      <c r="J9" s="25"/>
      <c r="K9" s="25"/>
      <c r="L9" s="22">
        <v>6246.0</v>
      </c>
      <c r="M9" s="22">
        <v>6692.0</v>
      </c>
      <c r="N9" s="22">
        <v>7138.0</v>
      </c>
      <c r="O9" s="14"/>
      <c r="P9" s="26">
        <v>0.37</v>
      </c>
      <c r="Q9" s="26">
        <v>0.32</v>
      </c>
      <c r="R9" s="26">
        <v>0.28</v>
      </c>
    </row>
    <row r="10" ht="14.25" customHeight="1">
      <c r="A10" s="18" t="s">
        <v>16</v>
      </c>
      <c r="B10" s="18" t="s">
        <v>21</v>
      </c>
      <c r="C10" s="19" t="s">
        <v>22</v>
      </c>
      <c r="D10" s="20" t="s">
        <v>33</v>
      </c>
      <c r="E10" s="21" t="s">
        <v>34</v>
      </c>
      <c r="F10" s="21" t="s">
        <v>20</v>
      </c>
      <c r="G10" s="23">
        <v>29990.0</v>
      </c>
      <c r="H10" s="23">
        <v>11759.0</v>
      </c>
      <c r="I10" s="24">
        <v>7906.0</v>
      </c>
      <c r="J10" s="25"/>
      <c r="K10" s="25"/>
      <c r="L10" s="22">
        <v>7906.0</v>
      </c>
      <c r="M10" s="22">
        <v>8471.0</v>
      </c>
      <c r="N10" s="22">
        <v>9035.0</v>
      </c>
      <c r="O10" s="14"/>
      <c r="P10" s="26">
        <v>0.2</v>
      </c>
      <c r="Q10" s="26">
        <v>0.14</v>
      </c>
      <c r="R10" s="26">
        <v>0.09</v>
      </c>
    </row>
    <row r="11" ht="14.25" customHeight="1">
      <c r="A11" s="18" t="s">
        <v>16</v>
      </c>
      <c r="B11" s="18" t="s">
        <v>21</v>
      </c>
      <c r="C11" s="19" t="s">
        <v>22</v>
      </c>
      <c r="D11" s="20" t="s">
        <v>35</v>
      </c>
      <c r="E11" s="21" t="s">
        <v>36</v>
      </c>
      <c r="F11" s="21" t="s">
        <v>20</v>
      </c>
      <c r="G11" s="23">
        <v>24990.0</v>
      </c>
      <c r="H11" s="23">
        <v>11759.0</v>
      </c>
      <c r="I11" s="24">
        <v>6889.0</v>
      </c>
      <c r="J11" s="25"/>
      <c r="K11" s="25"/>
      <c r="L11" s="22">
        <v>6889.0</v>
      </c>
      <c r="M11" s="22">
        <v>7381.0</v>
      </c>
      <c r="N11" s="22">
        <v>7873.0</v>
      </c>
      <c r="O11" s="14"/>
      <c r="P11" s="26">
        <v>0.3</v>
      </c>
      <c r="Q11" s="26">
        <v>0.25</v>
      </c>
      <c r="R11" s="26">
        <v>0.2</v>
      </c>
    </row>
    <row r="12" ht="14.25" customHeight="1">
      <c r="A12" s="18" t="s">
        <v>16</v>
      </c>
      <c r="B12" s="18" t="s">
        <v>21</v>
      </c>
      <c r="C12" s="19" t="s">
        <v>22</v>
      </c>
      <c r="D12" s="20" t="s">
        <v>37</v>
      </c>
      <c r="E12" s="21" t="s">
        <v>38</v>
      </c>
      <c r="F12" s="21" t="s">
        <v>20</v>
      </c>
      <c r="G12" s="23">
        <v>29990.0</v>
      </c>
      <c r="H12" s="23">
        <v>11759.0</v>
      </c>
      <c r="I12" s="24">
        <v>6930.0</v>
      </c>
      <c r="J12" s="25"/>
      <c r="K12" s="25"/>
      <c r="L12" s="22">
        <v>6930.0</v>
      </c>
      <c r="M12" s="22">
        <v>7425.0</v>
      </c>
      <c r="N12" s="22">
        <v>7920.0</v>
      </c>
      <c r="O12" s="14"/>
      <c r="P12" s="26">
        <v>0.3</v>
      </c>
      <c r="Q12" s="26">
        <v>0.25</v>
      </c>
      <c r="R12" s="26">
        <v>0.2</v>
      </c>
    </row>
    <row r="13" ht="14.25" customHeight="1">
      <c r="A13" s="18" t="s">
        <v>16</v>
      </c>
      <c r="B13" s="18" t="s">
        <v>21</v>
      </c>
      <c r="C13" s="19" t="s">
        <v>39</v>
      </c>
      <c r="D13" s="20" t="s">
        <v>40</v>
      </c>
      <c r="E13" s="21" t="s">
        <v>41</v>
      </c>
      <c r="F13" s="21" t="s">
        <v>20</v>
      </c>
      <c r="G13" s="23">
        <v>24990.0</v>
      </c>
      <c r="H13" s="23">
        <v>8818.0</v>
      </c>
      <c r="I13" s="24">
        <v>5410.0</v>
      </c>
      <c r="J13" s="25"/>
      <c r="K13" s="25"/>
      <c r="L13" s="22">
        <v>5410.0</v>
      </c>
      <c r="M13" s="22">
        <v>5796.0</v>
      </c>
      <c r="N13" s="22">
        <v>6183.0</v>
      </c>
      <c r="O13" s="14"/>
      <c r="P13" s="26">
        <v>0.27</v>
      </c>
      <c r="Q13" s="26">
        <v>0.22</v>
      </c>
      <c r="R13" s="26">
        <v>0.17</v>
      </c>
    </row>
    <row r="14" ht="14.25" customHeight="1">
      <c r="A14" s="18" t="s">
        <v>16</v>
      </c>
      <c r="B14" s="18" t="s">
        <v>21</v>
      </c>
      <c r="C14" s="19" t="s">
        <v>42</v>
      </c>
      <c r="D14" s="20" t="s">
        <v>43</v>
      </c>
      <c r="E14" s="21" t="s">
        <v>44</v>
      </c>
      <c r="F14" s="21" t="s">
        <v>20</v>
      </c>
      <c r="G14" s="23">
        <v>24990.0</v>
      </c>
      <c r="H14" s="23">
        <v>11759.0</v>
      </c>
      <c r="I14" s="24">
        <v>6056.0</v>
      </c>
      <c r="J14" s="25"/>
      <c r="K14" s="25"/>
      <c r="L14" s="22">
        <v>6056.0</v>
      </c>
      <c r="M14" s="22">
        <v>6489.0</v>
      </c>
      <c r="N14" s="22">
        <v>6921.0</v>
      </c>
      <c r="O14" s="14"/>
      <c r="P14" s="26">
        <v>0.39</v>
      </c>
      <c r="Q14" s="26">
        <v>0.34</v>
      </c>
      <c r="R14" s="26">
        <v>0.3</v>
      </c>
    </row>
    <row r="15" ht="14.25" customHeight="1">
      <c r="A15" s="18" t="s">
        <v>16</v>
      </c>
      <c r="B15" s="18" t="s">
        <v>21</v>
      </c>
      <c r="C15" s="19" t="s">
        <v>42</v>
      </c>
      <c r="D15" s="20" t="s">
        <v>45</v>
      </c>
      <c r="E15" s="21" t="s">
        <v>46</v>
      </c>
      <c r="F15" s="21" t="s">
        <v>20</v>
      </c>
      <c r="G15" s="23">
        <v>119990.0</v>
      </c>
      <c r="H15" s="23">
        <v>58818.0</v>
      </c>
      <c r="I15" s="24">
        <v>33401.0</v>
      </c>
      <c r="J15" s="25"/>
      <c r="K15" s="25"/>
      <c r="L15" s="22">
        <v>33401.0</v>
      </c>
      <c r="M15" s="22">
        <v>35787.0</v>
      </c>
      <c r="N15" s="22">
        <v>38173.0</v>
      </c>
      <c r="O15" s="14"/>
      <c r="P15" s="26">
        <v>0.32</v>
      </c>
      <c r="Q15" s="26">
        <v>0.28</v>
      </c>
      <c r="R15" s="26">
        <v>0.23</v>
      </c>
    </row>
    <row r="16" ht="14.25" customHeight="1">
      <c r="A16" s="18" t="s">
        <v>16</v>
      </c>
      <c r="B16" s="18" t="s">
        <v>47</v>
      </c>
      <c r="C16" s="19" t="s">
        <v>48</v>
      </c>
      <c r="D16" s="20" t="s">
        <v>49</v>
      </c>
      <c r="E16" s="21" t="s">
        <v>50</v>
      </c>
      <c r="F16" s="21" t="s">
        <v>20</v>
      </c>
      <c r="G16" s="23">
        <v>64990.0</v>
      </c>
      <c r="H16" s="23">
        <v>29406.0</v>
      </c>
      <c r="I16" s="24">
        <v>16420.0</v>
      </c>
      <c r="J16" s="25"/>
      <c r="K16" s="25"/>
      <c r="L16" s="22">
        <v>16420.0</v>
      </c>
      <c r="M16" s="22">
        <v>17593.0</v>
      </c>
      <c r="N16" s="22">
        <v>18766.0</v>
      </c>
      <c r="O16" s="14"/>
      <c r="P16" s="26">
        <v>0.34</v>
      </c>
      <c r="Q16" s="26">
        <v>0.29</v>
      </c>
      <c r="R16" s="26">
        <v>0.24</v>
      </c>
    </row>
    <row r="17" ht="14.25" customHeight="1">
      <c r="A17" s="18" t="s">
        <v>16</v>
      </c>
      <c r="B17" s="18" t="s">
        <v>47</v>
      </c>
      <c r="C17" s="19" t="s">
        <v>48</v>
      </c>
      <c r="D17" s="20" t="s">
        <v>51</v>
      </c>
      <c r="E17" s="21" t="s">
        <v>52</v>
      </c>
      <c r="F17" s="21" t="s">
        <v>20</v>
      </c>
      <c r="G17" s="23">
        <v>29990.0</v>
      </c>
      <c r="H17" s="23">
        <v>11759.0</v>
      </c>
      <c r="I17" s="24">
        <v>7928.0</v>
      </c>
      <c r="J17" s="25"/>
      <c r="K17" s="25"/>
      <c r="L17" s="22">
        <v>7928.0</v>
      </c>
      <c r="M17" s="22">
        <v>8494.0</v>
      </c>
      <c r="N17" s="22">
        <v>9061.0</v>
      </c>
      <c r="O17" s="14"/>
      <c r="P17" s="26">
        <v>0.2</v>
      </c>
      <c r="Q17" s="26">
        <v>0.14</v>
      </c>
      <c r="R17" s="26">
        <v>0.08</v>
      </c>
    </row>
    <row r="18" ht="14.25" customHeight="1">
      <c r="A18" s="18" t="s">
        <v>16</v>
      </c>
      <c r="B18" s="18" t="s">
        <v>47</v>
      </c>
      <c r="C18" s="19" t="s">
        <v>53</v>
      </c>
      <c r="D18" s="20" t="s">
        <v>54</v>
      </c>
      <c r="E18" s="21" t="s">
        <v>55</v>
      </c>
      <c r="F18" s="21" t="s">
        <v>20</v>
      </c>
      <c r="G18" s="23">
        <v>64990.0</v>
      </c>
      <c r="H18" s="23">
        <v>29406.0</v>
      </c>
      <c r="I18" s="24">
        <v>20332.0</v>
      </c>
      <c r="J18" s="25"/>
      <c r="K18" s="25"/>
      <c r="L18" s="22">
        <v>20332.0</v>
      </c>
      <c r="M18" s="22">
        <v>21784.0</v>
      </c>
      <c r="N18" s="22">
        <v>23237.0</v>
      </c>
      <c r="O18" s="14"/>
      <c r="P18" s="26">
        <v>0.18</v>
      </c>
      <c r="Q18" s="26">
        <v>0.12</v>
      </c>
      <c r="R18" s="26">
        <v>0.06</v>
      </c>
    </row>
    <row r="19" ht="14.25" customHeight="1">
      <c r="A19" s="18" t="s">
        <v>16</v>
      </c>
      <c r="B19" s="18" t="s">
        <v>56</v>
      </c>
      <c r="C19" s="19" t="s">
        <v>57</v>
      </c>
      <c r="D19" s="20" t="s">
        <v>58</v>
      </c>
      <c r="E19" s="21" t="s">
        <v>59</v>
      </c>
      <c r="F19" s="21" t="s">
        <v>20</v>
      </c>
      <c r="G19" s="23">
        <v>54990.0</v>
      </c>
      <c r="H19" s="23">
        <v>29406.0</v>
      </c>
      <c r="I19" s="24">
        <v>15240.0</v>
      </c>
      <c r="J19" s="25"/>
      <c r="K19" s="25"/>
      <c r="L19" s="22">
        <v>15240.0</v>
      </c>
      <c r="M19" s="22">
        <v>16329.0</v>
      </c>
      <c r="N19" s="22">
        <v>17417.0</v>
      </c>
      <c r="O19" s="14"/>
      <c r="P19" s="26">
        <v>0.38</v>
      </c>
      <c r="Q19" s="26">
        <v>0.34</v>
      </c>
      <c r="R19" s="26">
        <v>0.3</v>
      </c>
    </row>
    <row r="20" ht="14.25" customHeight="1">
      <c r="A20" s="18" t="s">
        <v>16</v>
      </c>
      <c r="B20" s="18" t="s">
        <v>56</v>
      </c>
      <c r="C20" s="19" t="s">
        <v>57</v>
      </c>
      <c r="D20" s="20" t="s">
        <v>60</v>
      </c>
      <c r="E20" s="21" t="s">
        <v>61</v>
      </c>
      <c r="F20" s="21" t="s">
        <v>20</v>
      </c>
      <c r="G20" s="23">
        <v>54990.0</v>
      </c>
      <c r="H20" s="23">
        <v>29406.0</v>
      </c>
      <c r="I20" s="24">
        <v>15911.0</v>
      </c>
      <c r="J20" s="25"/>
      <c r="K20" s="25"/>
      <c r="L20" s="22">
        <v>15911.0</v>
      </c>
      <c r="M20" s="22">
        <v>17047.0</v>
      </c>
      <c r="N20" s="22">
        <v>18184.0</v>
      </c>
      <c r="O20" s="14"/>
      <c r="P20" s="26">
        <v>0.36</v>
      </c>
      <c r="Q20" s="26">
        <v>0.31</v>
      </c>
      <c r="R20" s="26">
        <v>0.26</v>
      </c>
    </row>
    <row r="21" ht="14.25" customHeight="1">
      <c r="A21" s="18" t="s">
        <v>16</v>
      </c>
      <c r="B21" s="18" t="s">
        <v>56</v>
      </c>
      <c r="C21" s="19" t="s">
        <v>57</v>
      </c>
      <c r="D21" s="20" t="s">
        <v>62</v>
      </c>
      <c r="E21" s="21" t="s">
        <v>63</v>
      </c>
      <c r="F21" s="21" t="s">
        <v>20</v>
      </c>
      <c r="G21" s="23">
        <v>59990.0</v>
      </c>
      <c r="H21" s="23">
        <v>29406.0</v>
      </c>
      <c r="I21" s="24">
        <v>16700.0</v>
      </c>
      <c r="J21" s="25"/>
      <c r="K21" s="25"/>
      <c r="L21" s="22">
        <v>16700.0</v>
      </c>
      <c r="M21" s="22">
        <v>17893.0</v>
      </c>
      <c r="N21" s="22">
        <v>19086.0</v>
      </c>
      <c r="O21" s="14"/>
      <c r="P21" s="26">
        <v>0.32</v>
      </c>
      <c r="Q21" s="26">
        <v>0.28</v>
      </c>
      <c r="R21" s="26">
        <v>0.23</v>
      </c>
    </row>
    <row r="22" ht="14.25" customHeight="1">
      <c r="A22" s="18" t="s">
        <v>16</v>
      </c>
      <c r="B22" s="18" t="s">
        <v>56</v>
      </c>
      <c r="C22" s="19" t="s">
        <v>64</v>
      </c>
      <c r="D22" s="20" t="s">
        <v>65</v>
      </c>
      <c r="E22" s="21" t="s">
        <v>66</v>
      </c>
      <c r="F22" s="21" t="s">
        <v>20</v>
      </c>
      <c r="G22" s="23">
        <v>54990.0</v>
      </c>
      <c r="H22" s="23">
        <v>29406.0</v>
      </c>
      <c r="I22" s="24">
        <v>15296.0</v>
      </c>
      <c r="J22" s="25"/>
      <c r="K22" s="25"/>
      <c r="L22" s="22">
        <v>15296.0</v>
      </c>
      <c r="M22" s="22">
        <v>16389.0</v>
      </c>
      <c r="N22" s="22">
        <v>17481.0</v>
      </c>
      <c r="O22" s="14"/>
      <c r="P22" s="26">
        <v>0.38</v>
      </c>
      <c r="Q22" s="26">
        <v>0.34</v>
      </c>
      <c r="R22" s="26">
        <v>0.29</v>
      </c>
    </row>
    <row r="23" ht="14.25" customHeight="1">
      <c r="A23" s="18" t="s">
        <v>16</v>
      </c>
      <c r="B23" s="18" t="s">
        <v>56</v>
      </c>
      <c r="C23" s="19" t="s">
        <v>64</v>
      </c>
      <c r="D23" s="20" t="s">
        <v>67</v>
      </c>
      <c r="E23" s="21" t="s">
        <v>68</v>
      </c>
      <c r="F23" s="22" t="s">
        <v>20</v>
      </c>
      <c r="G23" s="23">
        <v>39990.0</v>
      </c>
      <c r="H23" s="23">
        <v>19406.0</v>
      </c>
      <c r="I23" s="24">
        <v>11071.0</v>
      </c>
      <c r="J23" s="25"/>
      <c r="K23" s="25"/>
      <c r="L23" s="22">
        <v>11071.0</v>
      </c>
      <c r="M23" s="22">
        <v>11862.0</v>
      </c>
      <c r="N23" s="22">
        <v>12653.0</v>
      </c>
      <c r="O23" s="14"/>
      <c r="P23" s="26">
        <v>0.32</v>
      </c>
      <c r="Q23" s="26">
        <v>0.27</v>
      </c>
      <c r="R23" s="26">
        <v>0.22</v>
      </c>
    </row>
    <row r="24" ht="14.25" customHeight="1">
      <c r="A24" s="18" t="s">
        <v>16</v>
      </c>
      <c r="B24" s="18" t="s">
        <v>56</v>
      </c>
      <c r="C24" s="19" t="s">
        <v>64</v>
      </c>
      <c r="D24" s="20" t="s">
        <v>69</v>
      </c>
      <c r="E24" s="21" t="s">
        <v>70</v>
      </c>
      <c r="F24" s="22" t="s">
        <v>20</v>
      </c>
      <c r="G24" s="23">
        <v>29990.0</v>
      </c>
      <c r="H24" s="23">
        <v>14700.0</v>
      </c>
      <c r="I24" s="24">
        <v>6475.0</v>
      </c>
      <c r="J24" s="25"/>
      <c r="K24" s="25"/>
      <c r="L24" s="22">
        <v>6475.0</v>
      </c>
      <c r="M24" s="22">
        <v>6937.0</v>
      </c>
      <c r="N24" s="22">
        <v>7400.0</v>
      </c>
      <c r="O24" s="14"/>
      <c r="P24" s="26">
        <v>0.48</v>
      </c>
      <c r="Q24" s="26">
        <v>0.44</v>
      </c>
      <c r="R24" s="26">
        <v>0.4</v>
      </c>
    </row>
    <row r="25" ht="14.25" customHeight="1">
      <c r="A25" s="18" t="s">
        <v>16</v>
      </c>
      <c r="B25" s="18" t="s">
        <v>56</v>
      </c>
      <c r="C25" s="19" t="s">
        <v>64</v>
      </c>
      <c r="D25" s="20" t="s">
        <v>71</v>
      </c>
      <c r="E25" s="21" t="s">
        <v>72</v>
      </c>
      <c r="F25" s="22" t="s">
        <v>20</v>
      </c>
      <c r="G25" s="23">
        <v>49990.0</v>
      </c>
      <c r="H25" s="23">
        <v>23524.0</v>
      </c>
      <c r="I25" s="24">
        <v>12159.0</v>
      </c>
      <c r="J25" s="25"/>
      <c r="K25" s="25"/>
      <c r="L25" s="22">
        <v>12159.0</v>
      </c>
      <c r="M25" s="22">
        <v>13027.0</v>
      </c>
      <c r="N25" s="22">
        <v>13896.0</v>
      </c>
      <c r="O25" s="14"/>
      <c r="P25" s="26">
        <v>0.38</v>
      </c>
      <c r="Q25" s="26">
        <v>0.34</v>
      </c>
      <c r="R25" s="26">
        <v>0.3</v>
      </c>
    </row>
    <row r="26" ht="15.75" customHeight="1">
      <c r="A26" s="18" t="s">
        <v>16</v>
      </c>
      <c r="B26" s="18" t="s">
        <v>56</v>
      </c>
      <c r="C26" s="19" t="s">
        <v>64</v>
      </c>
      <c r="D26" s="20" t="s">
        <v>73</v>
      </c>
      <c r="E26" s="21" t="s">
        <v>74</v>
      </c>
      <c r="F26" s="22" t="s">
        <v>20</v>
      </c>
      <c r="G26" s="23">
        <v>24990.0</v>
      </c>
      <c r="H26" s="23">
        <v>12935.0</v>
      </c>
      <c r="I26" s="24">
        <v>4538.0</v>
      </c>
      <c r="J26" s="25"/>
      <c r="K26" s="25"/>
      <c r="L26" s="22">
        <v>4538.0</v>
      </c>
      <c r="M26" s="22">
        <v>4862.0</v>
      </c>
      <c r="N26" s="22">
        <v>5186.0</v>
      </c>
      <c r="O26" s="14"/>
      <c r="P26" s="26">
        <v>0.58</v>
      </c>
      <c r="Q26" s="26">
        <v>0.55</v>
      </c>
      <c r="R26" s="26">
        <v>0.52</v>
      </c>
    </row>
    <row r="27" ht="14.25" customHeight="1">
      <c r="A27" s="18" t="s">
        <v>16</v>
      </c>
      <c r="B27" s="18" t="s">
        <v>56</v>
      </c>
      <c r="C27" s="19" t="s">
        <v>64</v>
      </c>
      <c r="D27" s="20" t="s">
        <v>75</v>
      </c>
      <c r="E27" s="21" t="s">
        <v>76</v>
      </c>
      <c r="F27" s="22" t="s">
        <v>20</v>
      </c>
      <c r="G27" s="23">
        <v>43990.0</v>
      </c>
      <c r="H27" s="23">
        <v>20582.0</v>
      </c>
      <c r="I27" s="24">
        <v>8924.0</v>
      </c>
      <c r="J27" s="25"/>
      <c r="K27" s="25"/>
      <c r="L27" s="22">
        <v>8924.0</v>
      </c>
      <c r="M27" s="22">
        <v>9561.0</v>
      </c>
      <c r="N27" s="22">
        <v>10199.0</v>
      </c>
      <c r="O27" s="14"/>
      <c r="P27" s="26">
        <v>0.48</v>
      </c>
      <c r="Q27" s="26">
        <v>0.45</v>
      </c>
      <c r="R27" s="26">
        <v>0.41</v>
      </c>
    </row>
    <row r="28" ht="14.25" customHeight="1">
      <c r="A28" s="18" t="s">
        <v>16</v>
      </c>
      <c r="B28" s="18" t="s">
        <v>56</v>
      </c>
      <c r="C28" s="19" t="s">
        <v>77</v>
      </c>
      <c r="D28" s="20" t="s">
        <v>78</v>
      </c>
      <c r="E28" s="21" t="s">
        <v>79</v>
      </c>
      <c r="F28" s="21" t="s">
        <v>20</v>
      </c>
      <c r="G28" s="23">
        <v>149990.0</v>
      </c>
      <c r="H28" s="23">
        <v>76465.0</v>
      </c>
      <c r="I28" s="24">
        <v>46484.0</v>
      </c>
      <c r="J28" s="25"/>
      <c r="K28" s="25"/>
      <c r="L28" s="22">
        <v>46484.0</v>
      </c>
      <c r="M28" s="22">
        <v>49804.0</v>
      </c>
      <c r="N28" s="22">
        <v>53125.0</v>
      </c>
      <c r="O28" s="14"/>
      <c r="P28" s="26">
        <v>0.28</v>
      </c>
      <c r="Q28" s="26">
        <v>0.22</v>
      </c>
      <c r="R28" s="26">
        <v>0.17</v>
      </c>
    </row>
    <row r="29" ht="14.25" customHeight="1">
      <c r="A29" s="18" t="s">
        <v>16</v>
      </c>
      <c r="B29" s="28" t="s">
        <v>80</v>
      </c>
      <c r="C29" s="16" t="s">
        <v>80</v>
      </c>
      <c r="D29" s="29" t="s">
        <v>81</v>
      </c>
      <c r="E29" s="22" t="s">
        <v>82</v>
      </c>
      <c r="F29" s="22" t="s">
        <v>20</v>
      </c>
      <c r="G29" s="23">
        <v>69990.0</v>
      </c>
      <c r="H29" s="23">
        <v>23524.0</v>
      </c>
      <c r="I29" s="24">
        <v>14626.0</v>
      </c>
      <c r="J29" s="25"/>
      <c r="K29" s="25"/>
      <c r="L29" s="22">
        <v>14626.0</v>
      </c>
      <c r="M29" s="22">
        <v>15671.0</v>
      </c>
      <c r="N29" s="22">
        <v>16715.0</v>
      </c>
      <c r="O29" s="14"/>
      <c r="P29" s="26">
        <v>0.26</v>
      </c>
      <c r="Q29" s="26">
        <v>0.21</v>
      </c>
      <c r="R29" s="26">
        <v>0.15</v>
      </c>
    </row>
    <row r="30" ht="14.25" customHeight="1">
      <c r="A30" s="30" t="s">
        <v>16</v>
      </c>
      <c r="B30" s="28" t="s">
        <v>80</v>
      </c>
      <c r="C30" s="16" t="s">
        <v>80</v>
      </c>
      <c r="D30" s="29" t="s">
        <v>83</v>
      </c>
      <c r="E30" s="22" t="s">
        <v>84</v>
      </c>
      <c r="F30" s="22" t="s">
        <v>20</v>
      </c>
      <c r="G30" s="23">
        <v>349990.0</v>
      </c>
      <c r="H30" s="23">
        <v>170582.0</v>
      </c>
      <c r="I30" s="24">
        <v>86480.0</v>
      </c>
      <c r="J30" s="25"/>
      <c r="K30" s="25"/>
      <c r="L30" s="22">
        <v>86480.0</v>
      </c>
      <c r="M30" s="22">
        <v>92657.0</v>
      </c>
      <c r="N30" s="22">
        <v>98835.0</v>
      </c>
      <c r="O30" s="14"/>
      <c r="P30" s="26">
        <v>0.4</v>
      </c>
      <c r="Q30" s="26">
        <v>0.35</v>
      </c>
      <c r="R30" s="26">
        <v>0.31</v>
      </c>
    </row>
    <row r="31" ht="18.75" customHeight="1">
      <c r="A31" s="31" t="s">
        <v>85</v>
      </c>
      <c r="B31" s="31"/>
      <c r="C31" s="31"/>
      <c r="D31" s="32"/>
      <c r="E31" s="33"/>
      <c r="F31" s="33"/>
      <c r="G31" s="34">
        <v>1938730.0</v>
      </c>
      <c r="H31" s="34">
        <v>923371.0</v>
      </c>
      <c r="I31" s="35">
        <v>511878.0</v>
      </c>
      <c r="J31" s="25"/>
      <c r="K31" s="25"/>
      <c r="L31" s="22"/>
      <c r="M31" s="22"/>
      <c r="N31" s="22"/>
      <c r="O31" s="14"/>
      <c r="P31" s="14"/>
      <c r="Q31" s="14"/>
      <c r="R31" s="14"/>
    </row>
    <row r="32" ht="14.25" customHeight="1">
      <c r="A32" s="18" t="s">
        <v>86</v>
      </c>
      <c r="B32" s="18" t="s">
        <v>87</v>
      </c>
      <c r="C32" s="19" t="s">
        <v>88</v>
      </c>
      <c r="D32" s="20" t="s">
        <v>89</v>
      </c>
      <c r="E32" s="21" t="s">
        <v>90</v>
      </c>
      <c r="F32" s="21" t="s">
        <v>20</v>
      </c>
      <c r="G32" s="23">
        <v>99990.0</v>
      </c>
      <c r="H32" s="23">
        <v>47053.0</v>
      </c>
      <c r="I32" s="24">
        <v>32555.0</v>
      </c>
      <c r="J32" s="25"/>
      <c r="K32" s="25"/>
      <c r="L32" s="22">
        <v>32555.0</v>
      </c>
      <c r="M32" s="22">
        <v>34880.0</v>
      </c>
      <c r="N32" s="22">
        <v>37206.0</v>
      </c>
      <c r="O32" s="14"/>
      <c r="P32" s="26">
        <v>0.18</v>
      </c>
      <c r="Q32" s="26">
        <v>0.12</v>
      </c>
      <c r="R32" s="26">
        <v>0.06</v>
      </c>
    </row>
    <row r="33" ht="14.25" customHeight="1">
      <c r="A33" s="18" t="s">
        <v>86</v>
      </c>
      <c r="B33" s="18" t="s">
        <v>87</v>
      </c>
      <c r="C33" s="19" t="s">
        <v>91</v>
      </c>
      <c r="D33" s="20" t="s">
        <v>92</v>
      </c>
      <c r="E33" s="21" t="s">
        <v>93</v>
      </c>
      <c r="F33" s="21" t="s">
        <v>20</v>
      </c>
      <c r="G33" s="23">
        <v>59990.0</v>
      </c>
      <c r="H33" s="23">
        <v>17641.0</v>
      </c>
      <c r="I33" s="24">
        <v>10941.0</v>
      </c>
      <c r="J33" s="25"/>
      <c r="K33" s="25"/>
      <c r="L33" s="22">
        <v>10941.0</v>
      </c>
      <c r="M33" s="22">
        <v>11722.0</v>
      </c>
      <c r="N33" s="22">
        <v>12504.0</v>
      </c>
      <c r="O33" s="14"/>
      <c r="P33" s="26">
        <v>0.26</v>
      </c>
      <c r="Q33" s="26">
        <v>0.21</v>
      </c>
      <c r="R33" s="26">
        <v>0.16</v>
      </c>
    </row>
    <row r="34" ht="14.25" customHeight="1">
      <c r="A34" s="18" t="s">
        <v>86</v>
      </c>
      <c r="B34" s="18" t="s">
        <v>87</v>
      </c>
      <c r="C34" s="19" t="s">
        <v>91</v>
      </c>
      <c r="D34" s="20" t="s">
        <v>94</v>
      </c>
      <c r="E34" s="21" t="s">
        <v>95</v>
      </c>
      <c r="F34" s="21" t="s">
        <v>20</v>
      </c>
      <c r="G34" s="23">
        <v>99990.0</v>
      </c>
      <c r="H34" s="23">
        <v>35288.0</v>
      </c>
      <c r="I34" s="24">
        <v>25907.0</v>
      </c>
      <c r="J34" s="25"/>
      <c r="K34" s="25"/>
      <c r="L34" s="22">
        <v>25907.0</v>
      </c>
      <c r="M34" s="22">
        <v>27757.0</v>
      </c>
      <c r="N34" s="22">
        <v>29608.0</v>
      </c>
      <c r="O34" s="14"/>
      <c r="P34" s="26">
        <v>0.13</v>
      </c>
      <c r="Q34" s="26">
        <v>0.06</v>
      </c>
      <c r="R34" s="26">
        <v>0.0</v>
      </c>
    </row>
    <row r="35" ht="14.25" customHeight="1">
      <c r="A35" s="18" t="s">
        <v>86</v>
      </c>
      <c r="B35" s="18" t="s">
        <v>87</v>
      </c>
      <c r="C35" s="19" t="s">
        <v>91</v>
      </c>
      <c r="D35" s="20" t="s">
        <v>96</v>
      </c>
      <c r="E35" s="21" t="s">
        <v>97</v>
      </c>
      <c r="F35" s="21" t="s">
        <v>20</v>
      </c>
      <c r="G35" s="23">
        <v>149990.0</v>
      </c>
      <c r="H35" s="23">
        <v>52935.0</v>
      </c>
      <c r="I35" s="24">
        <v>39607.0</v>
      </c>
      <c r="J35" s="25"/>
      <c r="K35" s="25"/>
      <c r="L35" s="22">
        <v>39607.0</v>
      </c>
      <c r="M35" s="22">
        <v>42436.0</v>
      </c>
      <c r="N35" s="22">
        <v>45265.0</v>
      </c>
      <c r="O35" s="14"/>
      <c r="P35" s="26">
        <v>0.11</v>
      </c>
      <c r="Q35" s="26">
        <v>0.05</v>
      </c>
      <c r="R35" s="26">
        <v>-0.02</v>
      </c>
    </row>
    <row r="36" ht="14.25" customHeight="1">
      <c r="A36" s="18" t="s">
        <v>86</v>
      </c>
      <c r="B36" s="18" t="s">
        <v>87</v>
      </c>
      <c r="C36" s="19" t="s">
        <v>91</v>
      </c>
      <c r="D36" s="20" t="s">
        <v>98</v>
      </c>
      <c r="E36" s="21" t="s">
        <v>99</v>
      </c>
      <c r="F36" s="21" t="s">
        <v>20</v>
      </c>
      <c r="G36" s="23">
        <v>39990.0</v>
      </c>
      <c r="H36" s="23">
        <v>11759.0</v>
      </c>
      <c r="I36" s="24">
        <v>8630.0</v>
      </c>
      <c r="J36" s="25"/>
      <c r="K36" s="25"/>
      <c r="L36" s="22">
        <v>8630.0</v>
      </c>
      <c r="M36" s="22">
        <v>9246.0</v>
      </c>
      <c r="N36" s="22">
        <v>9863.0</v>
      </c>
      <c r="O36" s="14"/>
      <c r="P36" s="26">
        <v>0.13</v>
      </c>
      <c r="Q36" s="26">
        <v>0.06</v>
      </c>
      <c r="R36" s="26">
        <v>0.0</v>
      </c>
    </row>
    <row r="37" ht="14.25" customHeight="1">
      <c r="A37" s="18" t="s">
        <v>86</v>
      </c>
      <c r="B37" s="18" t="s">
        <v>87</v>
      </c>
      <c r="C37" s="19" t="s">
        <v>91</v>
      </c>
      <c r="D37" s="20" t="s">
        <v>100</v>
      </c>
      <c r="E37" s="21" t="s">
        <v>101</v>
      </c>
      <c r="F37" s="21" t="s">
        <v>20</v>
      </c>
      <c r="G37" s="23">
        <v>89990.0</v>
      </c>
      <c r="H37" s="23">
        <v>35288.0</v>
      </c>
      <c r="I37" s="24">
        <v>25079.0</v>
      </c>
      <c r="J37" s="25"/>
      <c r="K37" s="25"/>
      <c r="L37" s="22">
        <v>25079.0</v>
      </c>
      <c r="M37" s="22">
        <v>26870.0</v>
      </c>
      <c r="N37" s="22">
        <v>28662.0</v>
      </c>
      <c r="O37" s="14"/>
      <c r="P37" s="26">
        <v>0.15</v>
      </c>
      <c r="Q37" s="26">
        <v>0.09</v>
      </c>
      <c r="R37" s="26">
        <v>0.03</v>
      </c>
    </row>
    <row r="38" ht="14.25" customHeight="1">
      <c r="A38" s="30" t="s">
        <v>86</v>
      </c>
      <c r="B38" s="18" t="s">
        <v>87</v>
      </c>
      <c r="C38" s="19" t="s">
        <v>91</v>
      </c>
      <c r="D38" s="20" t="s">
        <v>102</v>
      </c>
      <c r="E38" s="21" t="s">
        <v>103</v>
      </c>
      <c r="F38" s="21" t="s">
        <v>20</v>
      </c>
      <c r="G38" s="23">
        <v>69990.0</v>
      </c>
      <c r="H38" s="23">
        <v>17641.0</v>
      </c>
      <c r="I38" s="24">
        <v>11893.0</v>
      </c>
      <c r="J38" s="25"/>
      <c r="K38" s="25"/>
      <c r="L38" s="22">
        <v>11893.0</v>
      </c>
      <c r="M38" s="22">
        <v>12742.0</v>
      </c>
      <c r="N38" s="22">
        <v>13592.0</v>
      </c>
      <c r="O38" s="14"/>
      <c r="P38" s="26">
        <v>0.2</v>
      </c>
      <c r="Q38" s="26">
        <v>0.14</v>
      </c>
      <c r="R38" s="26">
        <v>0.08</v>
      </c>
    </row>
    <row r="39" ht="14.25" customHeight="1">
      <c r="A39" s="31" t="s">
        <v>104</v>
      </c>
      <c r="B39" s="36"/>
      <c r="C39" s="31"/>
      <c r="D39" s="32"/>
      <c r="E39" s="33"/>
      <c r="F39" s="33"/>
      <c r="G39" s="34">
        <v>609930.0</v>
      </c>
      <c r="H39" s="34">
        <v>217606.0</v>
      </c>
      <c r="I39" s="35">
        <v>154612.0</v>
      </c>
      <c r="J39" s="25"/>
      <c r="K39" s="25"/>
      <c r="L39" s="22"/>
      <c r="M39" s="22"/>
      <c r="N39" s="22"/>
      <c r="O39" s="14"/>
      <c r="P39" s="14"/>
      <c r="Q39" s="14"/>
      <c r="R39" s="14"/>
    </row>
    <row r="40" ht="14.25" customHeight="1">
      <c r="A40" s="18" t="s">
        <v>105</v>
      </c>
      <c r="B40" s="18" t="s">
        <v>106</v>
      </c>
      <c r="C40" s="19" t="s">
        <v>107</v>
      </c>
      <c r="D40" s="20" t="s">
        <v>108</v>
      </c>
      <c r="E40" s="21">
        <v>1.66188E12</v>
      </c>
      <c r="F40" s="21" t="s">
        <v>20</v>
      </c>
      <c r="G40" s="23">
        <v>699990.0</v>
      </c>
      <c r="H40" s="23">
        <v>382347.0</v>
      </c>
      <c r="I40" s="24">
        <v>275044.0</v>
      </c>
      <c r="J40" s="25"/>
      <c r="K40" s="25"/>
      <c r="L40" s="22">
        <v>275044.0</v>
      </c>
      <c r="M40" s="22">
        <v>294689.0</v>
      </c>
      <c r="N40" s="22">
        <v>314337.0</v>
      </c>
      <c r="O40" s="14"/>
      <c r="P40" s="26">
        <v>0.14</v>
      </c>
      <c r="Q40" s="26">
        <v>0.08</v>
      </c>
      <c r="R40" s="26">
        <v>0.02</v>
      </c>
    </row>
    <row r="41" ht="14.25" customHeight="1">
      <c r="A41" s="18" t="s">
        <v>105</v>
      </c>
      <c r="B41" s="18" t="s">
        <v>106</v>
      </c>
      <c r="C41" s="19" t="s">
        <v>107</v>
      </c>
      <c r="D41" s="20" t="s">
        <v>109</v>
      </c>
      <c r="E41" s="21" t="s">
        <v>110</v>
      </c>
      <c r="F41" s="21" t="s">
        <v>20</v>
      </c>
      <c r="G41" s="23">
        <v>1699990.0</v>
      </c>
      <c r="H41" s="23">
        <v>823524.0</v>
      </c>
      <c r="I41" s="24">
        <v>423998.0</v>
      </c>
      <c r="J41" s="25"/>
      <c r="K41" s="25"/>
      <c r="L41" s="22">
        <v>423998.0</v>
      </c>
      <c r="M41" s="22">
        <v>454282.0</v>
      </c>
      <c r="N41" s="22">
        <v>484570.0</v>
      </c>
      <c r="O41" s="14"/>
      <c r="P41" s="26">
        <v>0.39</v>
      </c>
      <c r="Q41" s="26">
        <v>0.34</v>
      </c>
      <c r="R41" s="26">
        <v>0.3</v>
      </c>
    </row>
    <row r="42" ht="14.25" customHeight="1">
      <c r="A42" s="18" t="s">
        <v>105</v>
      </c>
      <c r="B42" s="18" t="s">
        <v>106</v>
      </c>
      <c r="C42" s="19" t="s">
        <v>107</v>
      </c>
      <c r="D42" s="20" t="s">
        <v>111</v>
      </c>
      <c r="E42" s="21" t="s">
        <v>112</v>
      </c>
      <c r="F42" s="21" t="s">
        <v>20</v>
      </c>
      <c r="G42" s="23">
        <v>1149990.0</v>
      </c>
      <c r="H42" s="23">
        <v>558818.0</v>
      </c>
      <c r="I42" s="24">
        <v>282666.0</v>
      </c>
      <c r="J42" s="25"/>
      <c r="K42" s="25"/>
      <c r="L42" s="22">
        <v>282666.0</v>
      </c>
      <c r="M42" s="22">
        <v>302855.0</v>
      </c>
      <c r="N42" s="22">
        <v>323048.0</v>
      </c>
      <c r="O42" s="14"/>
      <c r="P42" s="26">
        <v>0.4</v>
      </c>
      <c r="Q42" s="26">
        <v>0.36</v>
      </c>
      <c r="R42" s="26">
        <v>0.31</v>
      </c>
    </row>
    <row r="43" ht="14.25" customHeight="1">
      <c r="A43" s="18" t="s">
        <v>105</v>
      </c>
      <c r="B43" s="18" t="s">
        <v>106</v>
      </c>
      <c r="C43" s="19" t="s">
        <v>107</v>
      </c>
      <c r="D43" s="20" t="s">
        <v>113</v>
      </c>
      <c r="E43" s="21" t="s">
        <v>114</v>
      </c>
      <c r="F43" s="21" t="s">
        <v>20</v>
      </c>
      <c r="G43" s="23">
        <v>1999990.0</v>
      </c>
      <c r="H43" s="23">
        <v>588229.0</v>
      </c>
      <c r="I43" s="24">
        <v>302856.0</v>
      </c>
      <c r="J43" s="25"/>
      <c r="K43" s="25"/>
      <c r="L43" s="22">
        <v>302856.0</v>
      </c>
      <c r="M43" s="22">
        <v>324487.0</v>
      </c>
      <c r="N43" s="22">
        <v>346122.0</v>
      </c>
      <c r="O43" s="14"/>
      <c r="P43" s="26">
        <v>0.39</v>
      </c>
      <c r="Q43" s="26">
        <v>0.34</v>
      </c>
      <c r="R43" s="26">
        <v>0.3</v>
      </c>
    </row>
    <row r="44" ht="14.25" customHeight="1">
      <c r="A44" s="18" t="s">
        <v>105</v>
      </c>
      <c r="B44" s="18" t="s">
        <v>106</v>
      </c>
      <c r="C44" s="19" t="s">
        <v>107</v>
      </c>
      <c r="D44" s="20" t="s">
        <v>115</v>
      </c>
      <c r="E44" s="21" t="s">
        <v>116</v>
      </c>
      <c r="F44" s="21" t="s">
        <v>20</v>
      </c>
      <c r="G44" s="23">
        <v>899990.0</v>
      </c>
      <c r="H44" s="23">
        <v>470582.0</v>
      </c>
      <c r="I44" s="24">
        <v>293682.0</v>
      </c>
      <c r="J44" s="25"/>
      <c r="K44" s="25"/>
      <c r="L44" s="22">
        <v>293682.0</v>
      </c>
      <c r="M44" s="22">
        <v>314658.0</v>
      </c>
      <c r="N44" s="22">
        <v>335637.0</v>
      </c>
      <c r="O44" s="14"/>
      <c r="P44" s="26">
        <v>0.26</v>
      </c>
      <c r="Q44" s="26">
        <v>0.2</v>
      </c>
      <c r="R44" s="26">
        <v>0.15</v>
      </c>
    </row>
    <row r="45" ht="14.25" customHeight="1">
      <c r="A45" s="18" t="s">
        <v>105</v>
      </c>
      <c r="B45" s="18" t="s">
        <v>106</v>
      </c>
      <c r="C45" s="19" t="s">
        <v>107</v>
      </c>
      <c r="D45" s="20" t="s">
        <v>117</v>
      </c>
      <c r="E45" s="21" t="s">
        <v>118</v>
      </c>
      <c r="F45" s="21" t="s">
        <v>20</v>
      </c>
      <c r="G45" s="23">
        <v>1499990.0</v>
      </c>
      <c r="H45" s="23">
        <v>764700.0</v>
      </c>
      <c r="I45" s="24">
        <v>432031.0</v>
      </c>
      <c r="J45" s="25"/>
      <c r="K45" s="25"/>
      <c r="L45" s="22">
        <v>432031.0</v>
      </c>
      <c r="M45" s="22">
        <v>462889.0</v>
      </c>
      <c r="N45" s="22">
        <v>493751.0</v>
      </c>
      <c r="O45" s="14"/>
      <c r="P45" s="26">
        <v>0.33</v>
      </c>
      <c r="Q45" s="26">
        <v>0.28</v>
      </c>
      <c r="R45" s="26">
        <v>0.23</v>
      </c>
    </row>
    <row r="46" ht="14.25" customHeight="1">
      <c r="A46" s="18" t="s">
        <v>105</v>
      </c>
      <c r="B46" s="18" t="s">
        <v>106</v>
      </c>
      <c r="C46" s="19" t="s">
        <v>107</v>
      </c>
      <c r="D46" s="20" t="s">
        <v>119</v>
      </c>
      <c r="E46" s="21" t="s">
        <v>120</v>
      </c>
      <c r="F46" s="21" t="s">
        <v>20</v>
      </c>
      <c r="G46" s="23">
        <v>1699990.0</v>
      </c>
      <c r="H46" s="23">
        <v>941171.0</v>
      </c>
      <c r="I46" s="24">
        <v>553437.0</v>
      </c>
      <c r="J46" s="25"/>
      <c r="K46" s="25"/>
      <c r="L46" s="22">
        <v>553437.0</v>
      </c>
      <c r="M46" s="22">
        <v>592966.0</v>
      </c>
      <c r="N46" s="22">
        <v>632501.0</v>
      </c>
      <c r="O46" s="14"/>
      <c r="P46" s="26">
        <v>0.3</v>
      </c>
      <c r="Q46" s="26">
        <v>0.25</v>
      </c>
      <c r="R46" s="26">
        <v>0.2</v>
      </c>
    </row>
    <row r="47" ht="14.25" customHeight="1">
      <c r="A47" s="18" t="s">
        <v>105</v>
      </c>
      <c r="B47" s="18" t="s">
        <v>106</v>
      </c>
      <c r="C47" s="19" t="s">
        <v>107</v>
      </c>
      <c r="D47" s="20" t="s">
        <v>121</v>
      </c>
      <c r="E47" s="21" t="s">
        <v>122</v>
      </c>
      <c r="F47" s="21" t="s">
        <v>20</v>
      </c>
      <c r="G47" s="23">
        <v>159990.0</v>
      </c>
      <c r="H47" s="23">
        <v>88229.0</v>
      </c>
      <c r="I47" s="24">
        <v>50149.0</v>
      </c>
      <c r="J47" s="25"/>
      <c r="K47" s="25"/>
      <c r="L47" s="22">
        <v>50149.0</v>
      </c>
      <c r="M47" s="22">
        <v>53731.0</v>
      </c>
      <c r="N47" s="22">
        <v>57313.0</v>
      </c>
      <c r="O47" s="14"/>
      <c r="P47" s="26">
        <v>0.32</v>
      </c>
      <c r="Q47" s="26">
        <v>0.28</v>
      </c>
      <c r="R47" s="26">
        <v>0.23</v>
      </c>
    </row>
    <row r="48" ht="14.25" customHeight="1">
      <c r="A48" s="18" t="s">
        <v>105</v>
      </c>
      <c r="B48" s="18" t="s">
        <v>106</v>
      </c>
      <c r="C48" s="19" t="s">
        <v>107</v>
      </c>
      <c r="D48" s="20" t="s">
        <v>123</v>
      </c>
      <c r="E48" s="21" t="s">
        <v>124</v>
      </c>
      <c r="F48" s="21" t="s">
        <v>20</v>
      </c>
      <c r="G48" s="23">
        <v>7199990.0</v>
      </c>
      <c r="H48" s="23">
        <v>3529406.0</v>
      </c>
      <c r="I48" s="24">
        <v>29251.0</v>
      </c>
      <c r="J48" s="25"/>
      <c r="K48" s="25"/>
      <c r="L48" s="22">
        <v>29251.0</v>
      </c>
      <c r="M48" s="22">
        <v>31340.0</v>
      </c>
      <c r="N48" s="22">
        <v>33430.0</v>
      </c>
      <c r="O48" s="14"/>
      <c r="P48" s="26">
        <v>0.99</v>
      </c>
      <c r="Q48" s="26">
        <v>0.99</v>
      </c>
      <c r="R48" s="26">
        <v>0.99</v>
      </c>
    </row>
    <row r="49" ht="14.25" customHeight="1">
      <c r="A49" s="18" t="s">
        <v>105</v>
      </c>
      <c r="B49" s="18" t="s">
        <v>106</v>
      </c>
      <c r="C49" s="19" t="s">
        <v>107</v>
      </c>
      <c r="D49" s="20" t="s">
        <v>125</v>
      </c>
      <c r="E49" s="21">
        <v>1.66188E12</v>
      </c>
      <c r="F49" s="21" t="s">
        <v>20</v>
      </c>
      <c r="G49" s="23">
        <v>599990.0</v>
      </c>
      <c r="H49" s="23">
        <v>323524.0</v>
      </c>
      <c r="I49" s="24">
        <v>237256.0</v>
      </c>
      <c r="J49" s="25"/>
      <c r="K49" s="25"/>
      <c r="L49" s="22">
        <v>237256.0</v>
      </c>
      <c r="M49" s="22">
        <v>254202.0</v>
      </c>
      <c r="N49" s="22">
        <v>271150.0</v>
      </c>
      <c r="O49" s="14"/>
      <c r="P49" s="26">
        <v>0.13</v>
      </c>
      <c r="Q49" s="26">
        <v>0.06</v>
      </c>
      <c r="R49" s="26">
        <v>0.0</v>
      </c>
    </row>
    <row r="50" ht="14.25" customHeight="1">
      <c r="A50" s="30" t="s">
        <v>105</v>
      </c>
      <c r="B50" s="18" t="s">
        <v>126</v>
      </c>
      <c r="C50" s="19" t="s">
        <v>127</v>
      </c>
      <c r="D50" s="20" t="s">
        <v>128</v>
      </c>
      <c r="E50" s="21">
        <v>1.57106E12</v>
      </c>
      <c r="F50" s="21" t="s">
        <v>20</v>
      </c>
      <c r="G50" s="23">
        <v>89990.0</v>
      </c>
      <c r="H50" s="23">
        <v>29406.0</v>
      </c>
      <c r="I50" s="24">
        <v>19690.0</v>
      </c>
      <c r="J50" s="25"/>
      <c r="K50" s="25"/>
      <c r="L50" s="22">
        <v>19690.0</v>
      </c>
      <c r="M50" s="22">
        <v>21096.0</v>
      </c>
      <c r="N50" s="22">
        <v>22503.0</v>
      </c>
      <c r="O50" s="14"/>
      <c r="P50" s="26">
        <v>0.2</v>
      </c>
      <c r="Q50" s="26">
        <v>0.15</v>
      </c>
      <c r="R50" s="26">
        <v>0.09</v>
      </c>
    </row>
    <row r="51" ht="14.25" customHeight="1">
      <c r="A51" s="31" t="s">
        <v>129</v>
      </c>
      <c r="B51" s="36"/>
      <c r="C51" s="31"/>
      <c r="D51" s="32"/>
      <c r="E51" s="33"/>
      <c r="F51" s="33"/>
      <c r="G51" s="34">
        <v>1.769989E7</v>
      </c>
      <c r="H51" s="34">
        <v>8499935.0</v>
      </c>
      <c r="I51" s="35">
        <v>2900060.0</v>
      </c>
      <c r="J51" s="25"/>
      <c r="K51" s="25"/>
      <c r="L51" s="22"/>
      <c r="M51" s="22"/>
      <c r="N51" s="22"/>
      <c r="O51" s="14"/>
      <c r="P51" s="14"/>
      <c r="Q51" s="14"/>
      <c r="R51" s="14"/>
    </row>
    <row r="52" ht="14.25" customHeight="1">
      <c r="A52" s="18" t="s">
        <v>130</v>
      </c>
      <c r="B52" s="18" t="s">
        <v>131</v>
      </c>
      <c r="C52" s="19" t="s">
        <v>132</v>
      </c>
      <c r="D52" s="20" t="s">
        <v>133</v>
      </c>
      <c r="E52" s="21">
        <v>6.71145E13</v>
      </c>
      <c r="F52" s="21" t="s">
        <v>134</v>
      </c>
      <c r="G52" s="23">
        <v>29990.0</v>
      </c>
      <c r="H52" s="23">
        <v>14700.0</v>
      </c>
      <c r="I52" s="24">
        <v>6081.0</v>
      </c>
      <c r="J52" s="25"/>
      <c r="K52" s="25"/>
      <c r="L52" s="22">
        <v>6081.0</v>
      </c>
      <c r="M52" s="22">
        <v>6515.0</v>
      </c>
      <c r="N52" s="22">
        <v>6950.0</v>
      </c>
      <c r="O52" s="14"/>
      <c r="P52" s="26">
        <v>0.51</v>
      </c>
      <c r="Q52" s="26">
        <v>0.47</v>
      </c>
      <c r="R52" s="26">
        <v>0.44</v>
      </c>
    </row>
    <row r="53" ht="14.25" customHeight="1">
      <c r="A53" s="18" t="s">
        <v>130</v>
      </c>
      <c r="B53" s="18" t="s">
        <v>131</v>
      </c>
      <c r="C53" s="19" t="s">
        <v>132</v>
      </c>
      <c r="D53" s="20" t="s">
        <v>135</v>
      </c>
      <c r="E53" s="21">
        <v>6.71145E13</v>
      </c>
      <c r="F53" s="21" t="s">
        <v>134</v>
      </c>
      <c r="G53" s="23">
        <v>29990.0</v>
      </c>
      <c r="H53" s="23">
        <v>14700.0</v>
      </c>
      <c r="I53" s="24">
        <v>6071.0</v>
      </c>
      <c r="J53" s="25"/>
      <c r="K53" s="25"/>
      <c r="L53" s="22">
        <v>6071.0</v>
      </c>
      <c r="M53" s="22">
        <v>6505.0</v>
      </c>
      <c r="N53" s="22">
        <v>6938.0</v>
      </c>
      <c r="O53" s="14"/>
      <c r="P53" s="26">
        <v>0.51</v>
      </c>
      <c r="Q53" s="26">
        <v>0.47</v>
      </c>
      <c r="R53" s="26">
        <v>0.44</v>
      </c>
    </row>
    <row r="54" ht="14.25" customHeight="1">
      <c r="A54" s="18" t="s">
        <v>130</v>
      </c>
      <c r="B54" s="18" t="s">
        <v>131</v>
      </c>
      <c r="C54" s="19" t="s">
        <v>132</v>
      </c>
      <c r="D54" s="20" t="s">
        <v>136</v>
      </c>
      <c r="E54" s="21">
        <v>6.71145E13</v>
      </c>
      <c r="F54" s="21" t="s">
        <v>134</v>
      </c>
      <c r="G54" s="23">
        <v>29990.0</v>
      </c>
      <c r="H54" s="23">
        <v>14700.0</v>
      </c>
      <c r="I54" s="24">
        <v>5982.0</v>
      </c>
      <c r="J54" s="25"/>
      <c r="K54" s="25"/>
      <c r="L54" s="22">
        <v>5982.0</v>
      </c>
      <c r="M54" s="22">
        <v>6409.0</v>
      </c>
      <c r="N54" s="22">
        <v>6837.0</v>
      </c>
      <c r="O54" s="14"/>
      <c r="P54" s="26">
        <v>0.52</v>
      </c>
      <c r="Q54" s="26">
        <v>0.48</v>
      </c>
      <c r="R54" s="26">
        <v>0.45</v>
      </c>
    </row>
    <row r="55" ht="14.25" customHeight="1">
      <c r="A55" s="30" t="s">
        <v>130</v>
      </c>
      <c r="B55" s="18" t="s">
        <v>131</v>
      </c>
      <c r="C55" s="19" t="s">
        <v>132</v>
      </c>
      <c r="D55" s="20" t="s">
        <v>137</v>
      </c>
      <c r="E55" s="21">
        <v>6.71145E13</v>
      </c>
      <c r="F55" s="21" t="s">
        <v>134</v>
      </c>
      <c r="G55" s="23">
        <v>29990.0</v>
      </c>
      <c r="H55" s="23">
        <v>14700.0</v>
      </c>
      <c r="I55" s="24">
        <v>5894.0</v>
      </c>
      <c r="J55" s="25"/>
      <c r="K55" s="25"/>
      <c r="L55" s="22">
        <v>5894.0</v>
      </c>
      <c r="M55" s="22">
        <v>6315.0</v>
      </c>
      <c r="N55" s="22">
        <v>6736.0</v>
      </c>
      <c r="O55" s="14"/>
      <c r="P55" s="26">
        <v>0.52</v>
      </c>
      <c r="Q55" s="26">
        <v>0.49</v>
      </c>
      <c r="R55" s="26">
        <v>0.45</v>
      </c>
    </row>
    <row r="56" ht="14.25" customHeight="1">
      <c r="A56" s="31" t="s">
        <v>138</v>
      </c>
      <c r="B56" s="31"/>
      <c r="C56" s="31"/>
      <c r="D56" s="32"/>
      <c r="E56" s="33"/>
      <c r="F56" s="33"/>
      <c r="G56" s="34">
        <v>119960.0</v>
      </c>
      <c r="H56" s="34">
        <v>58800.0</v>
      </c>
      <c r="I56" s="35">
        <v>24028.0</v>
      </c>
      <c r="J56" s="25"/>
      <c r="K56" s="25"/>
      <c r="L56" s="22"/>
      <c r="M56" s="22"/>
      <c r="N56" s="22"/>
      <c r="O56" s="14"/>
      <c r="P56" s="14"/>
      <c r="Q56" s="14"/>
      <c r="R56" s="14"/>
    </row>
    <row r="57" ht="14.25" customHeight="1">
      <c r="A57" s="18" t="s">
        <v>139</v>
      </c>
      <c r="B57" s="18" t="s">
        <v>140</v>
      </c>
      <c r="C57" s="19" t="s">
        <v>141</v>
      </c>
      <c r="D57" s="20" t="s">
        <v>142</v>
      </c>
      <c r="E57" s="21" t="s">
        <v>143</v>
      </c>
      <c r="F57" s="22" t="s">
        <v>20</v>
      </c>
      <c r="G57" s="23">
        <v>10990.0</v>
      </c>
      <c r="H57" s="23">
        <v>4112.0</v>
      </c>
      <c r="I57" s="24">
        <v>840.0</v>
      </c>
      <c r="J57" s="25"/>
      <c r="K57" s="25"/>
      <c r="L57" s="22">
        <v>840.0</v>
      </c>
      <c r="M57" s="22">
        <v>900.0</v>
      </c>
      <c r="N57" s="22">
        <v>960.0</v>
      </c>
      <c r="O57" s="14"/>
      <c r="P57" s="26">
        <v>0.76</v>
      </c>
      <c r="Q57" s="26">
        <v>0.74</v>
      </c>
      <c r="R57" s="26">
        <v>0.72</v>
      </c>
    </row>
    <row r="58" ht="14.25" customHeight="1">
      <c r="A58" s="18" t="s">
        <v>139</v>
      </c>
      <c r="B58" s="18" t="s">
        <v>140</v>
      </c>
      <c r="C58" s="19" t="s">
        <v>141</v>
      </c>
      <c r="D58" s="20" t="s">
        <v>144</v>
      </c>
      <c r="E58" s="21" t="s">
        <v>145</v>
      </c>
      <c r="F58" s="22" t="s">
        <v>20</v>
      </c>
      <c r="G58" s="23">
        <v>10990.0</v>
      </c>
      <c r="H58" s="23">
        <v>4112.0</v>
      </c>
      <c r="I58" s="24">
        <v>1815.0</v>
      </c>
      <c r="J58" s="25"/>
      <c r="K58" s="25"/>
      <c r="L58" s="22">
        <v>1815.0</v>
      </c>
      <c r="M58" s="22">
        <v>1945.0</v>
      </c>
      <c r="N58" s="22">
        <v>2074.0</v>
      </c>
      <c r="O58" s="14"/>
      <c r="P58" s="26">
        <v>0.47</v>
      </c>
      <c r="Q58" s="26">
        <v>0.44</v>
      </c>
      <c r="R58" s="26">
        <v>0.4</v>
      </c>
    </row>
    <row r="59" ht="14.25" customHeight="1">
      <c r="A59" s="18" t="s">
        <v>139</v>
      </c>
      <c r="B59" s="18" t="s">
        <v>140</v>
      </c>
      <c r="C59" s="19" t="s">
        <v>141</v>
      </c>
      <c r="D59" s="20" t="s">
        <v>146</v>
      </c>
      <c r="E59" s="21" t="s">
        <v>147</v>
      </c>
      <c r="F59" s="22" t="s">
        <v>20</v>
      </c>
      <c r="G59" s="23">
        <v>10990.0</v>
      </c>
      <c r="H59" s="23">
        <v>4112.0</v>
      </c>
      <c r="I59" s="24">
        <v>1815.0</v>
      </c>
      <c r="J59" s="25"/>
      <c r="K59" s="25"/>
      <c r="L59" s="22">
        <v>1815.0</v>
      </c>
      <c r="M59" s="22">
        <v>1945.0</v>
      </c>
      <c r="N59" s="22">
        <v>2074.0</v>
      </c>
      <c r="O59" s="14"/>
      <c r="P59" s="26">
        <v>0.47</v>
      </c>
      <c r="Q59" s="26">
        <v>0.44</v>
      </c>
      <c r="R59" s="26">
        <v>0.4</v>
      </c>
    </row>
    <row r="60" ht="14.25" customHeight="1">
      <c r="A60" s="18" t="s">
        <v>139</v>
      </c>
      <c r="B60" s="18" t="s">
        <v>140</v>
      </c>
      <c r="C60" s="19" t="s">
        <v>148</v>
      </c>
      <c r="D60" s="20" t="s">
        <v>149</v>
      </c>
      <c r="E60" s="21">
        <v>1.6503E12</v>
      </c>
      <c r="F60" s="21" t="s">
        <v>20</v>
      </c>
      <c r="G60" s="23">
        <v>24990.0</v>
      </c>
      <c r="H60" s="23">
        <v>8818.0</v>
      </c>
      <c r="I60" s="24">
        <v>5881.0</v>
      </c>
      <c r="J60" s="25"/>
      <c r="K60" s="25"/>
      <c r="L60" s="22">
        <v>5881.0</v>
      </c>
      <c r="M60" s="22">
        <v>6301.0</v>
      </c>
      <c r="N60" s="22">
        <v>6721.0</v>
      </c>
      <c r="O60" s="14"/>
      <c r="P60" s="26">
        <v>0.21</v>
      </c>
      <c r="Q60" s="26">
        <v>0.15</v>
      </c>
      <c r="R60" s="26">
        <v>0.09</v>
      </c>
    </row>
    <row r="61" ht="14.25" customHeight="1">
      <c r="A61" s="18" t="s">
        <v>139</v>
      </c>
      <c r="B61" s="18" t="s">
        <v>140</v>
      </c>
      <c r="C61" s="19" t="s">
        <v>148</v>
      </c>
      <c r="D61" s="20" t="s">
        <v>150</v>
      </c>
      <c r="E61" s="21">
        <v>1.65283E12</v>
      </c>
      <c r="F61" s="21" t="s">
        <v>20</v>
      </c>
      <c r="G61" s="23">
        <v>24990.0</v>
      </c>
      <c r="H61" s="23">
        <v>8818.0</v>
      </c>
      <c r="I61" s="24">
        <v>6398.0</v>
      </c>
      <c r="J61" s="25"/>
      <c r="K61" s="25"/>
      <c r="L61" s="22">
        <v>6398.0</v>
      </c>
      <c r="M61" s="22">
        <v>6855.0</v>
      </c>
      <c r="N61" s="22">
        <v>7312.0</v>
      </c>
      <c r="O61" s="14"/>
      <c r="P61" s="26">
        <v>0.14</v>
      </c>
      <c r="Q61" s="26">
        <v>0.07</v>
      </c>
      <c r="R61" s="26">
        <v>0.01</v>
      </c>
    </row>
    <row r="62" ht="14.25" customHeight="1">
      <c r="A62" s="18" t="s">
        <v>139</v>
      </c>
      <c r="B62" s="18" t="s">
        <v>140</v>
      </c>
      <c r="C62" s="19" t="s">
        <v>151</v>
      </c>
      <c r="D62" s="20" t="s">
        <v>152</v>
      </c>
      <c r="E62" s="21" t="s">
        <v>153</v>
      </c>
      <c r="F62" s="22" t="s">
        <v>20</v>
      </c>
      <c r="G62" s="23">
        <v>14990.0</v>
      </c>
      <c r="H62" s="23">
        <v>4700.0</v>
      </c>
      <c r="I62" s="24">
        <v>2126.0</v>
      </c>
      <c r="J62" s="25"/>
      <c r="K62" s="25"/>
      <c r="L62" s="22">
        <v>2126.0</v>
      </c>
      <c r="M62" s="22">
        <v>2278.0</v>
      </c>
      <c r="N62" s="22">
        <v>2430.0</v>
      </c>
      <c r="O62" s="14"/>
      <c r="P62" s="26">
        <v>0.46</v>
      </c>
      <c r="Q62" s="26">
        <v>0.42</v>
      </c>
      <c r="R62" s="26">
        <v>0.38</v>
      </c>
    </row>
    <row r="63" ht="14.25" customHeight="1">
      <c r="A63" s="18" t="s">
        <v>139</v>
      </c>
      <c r="B63" s="18" t="s">
        <v>140</v>
      </c>
      <c r="C63" s="19" t="s">
        <v>151</v>
      </c>
      <c r="D63" s="20" t="s">
        <v>154</v>
      </c>
      <c r="E63" s="21" t="s">
        <v>155</v>
      </c>
      <c r="F63" s="22" t="s">
        <v>20</v>
      </c>
      <c r="G63" s="23">
        <v>14990.0</v>
      </c>
      <c r="H63" s="23">
        <v>4700.0</v>
      </c>
      <c r="I63" s="24">
        <v>2126.0</v>
      </c>
      <c r="J63" s="25"/>
      <c r="K63" s="25"/>
      <c r="L63" s="22">
        <v>2126.0</v>
      </c>
      <c r="M63" s="22">
        <v>2278.0</v>
      </c>
      <c r="N63" s="22">
        <v>2430.0</v>
      </c>
      <c r="O63" s="14"/>
      <c r="P63" s="26">
        <v>0.46</v>
      </c>
      <c r="Q63" s="26">
        <v>0.42</v>
      </c>
      <c r="R63" s="26">
        <v>0.38</v>
      </c>
    </row>
    <row r="64" ht="14.25" customHeight="1">
      <c r="A64" s="18" t="s">
        <v>139</v>
      </c>
      <c r="B64" s="18" t="s">
        <v>140</v>
      </c>
      <c r="C64" s="19" t="s">
        <v>151</v>
      </c>
      <c r="D64" s="20" t="s">
        <v>156</v>
      </c>
      <c r="E64" s="21" t="s">
        <v>157</v>
      </c>
      <c r="F64" s="22" t="s">
        <v>20</v>
      </c>
      <c r="G64" s="23">
        <v>19990.0</v>
      </c>
      <c r="H64" s="23">
        <v>5876.0</v>
      </c>
      <c r="I64" s="24">
        <v>3112.0</v>
      </c>
      <c r="J64" s="25"/>
      <c r="K64" s="25"/>
      <c r="L64" s="22">
        <v>3112.0</v>
      </c>
      <c r="M64" s="22">
        <v>3334.0</v>
      </c>
      <c r="N64" s="22">
        <v>3557.0</v>
      </c>
      <c r="O64" s="14"/>
      <c r="P64" s="26">
        <v>0.37</v>
      </c>
      <c r="Q64" s="26">
        <v>0.32</v>
      </c>
      <c r="R64" s="26">
        <v>0.28</v>
      </c>
    </row>
    <row r="65" ht="14.25" customHeight="1">
      <c r="A65" s="18" t="s">
        <v>139</v>
      </c>
      <c r="B65" s="18" t="s">
        <v>140</v>
      </c>
      <c r="C65" s="19" t="s">
        <v>151</v>
      </c>
      <c r="D65" s="20" t="s">
        <v>158</v>
      </c>
      <c r="E65" s="21" t="s">
        <v>159</v>
      </c>
      <c r="F65" s="22" t="s">
        <v>20</v>
      </c>
      <c r="G65" s="23">
        <v>19990.0</v>
      </c>
      <c r="H65" s="23">
        <v>5876.0</v>
      </c>
      <c r="I65" s="24">
        <v>3112.0</v>
      </c>
      <c r="J65" s="25"/>
      <c r="K65" s="25"/>
      <c r="L65" s="22">
        <v>3112.0</v>
      </c>
      <c r="M65" s="22">
        <v>3334.0</v>
      </c>
      <c r="N65" s="22">
        <v>3557.0</v>
      </c>
      <c r="O65" s="14"/>
      <c r="P65" s="26">
        <v>0.37</v>
      </c>
      <c r="Q65" s="26">
        <v>0.32</v>
      </c>
      <c r="R65" s="26">
        <v>0.28</v>
      </c>
    </row>
    <row r="66" ht="14.25" customHeight="1">
      <c r="A66" s="18" t="s">
        <v>139</v>
      </c>
      <c r="B66" s="18" t="s">
        <v>140</v>
      </c>
      <c r="C66" s="19" t="s">
        <v>160</v>
      </c>
      <c r="D66" s="20" t="s">
        <v>161</v>
      </c>
      <c r="E66" s="21" t="s">
        <v>162</v>
      </c>
      <c r="F66" s="22" t="s">
        <v>20</v>
      </c>
      <c r="G66" s="23">
        <v>14990.0</v>
      </c>
      <c r="H66" s="23">
        <v>6465.0</v>
      </c>
      <c r="I66" s="24">
        <v>3786.0</v>
      </c>
      <c r="J66" s="25"/>
      <c r="K66" s="25"/>
      <c r="L66" s="22">
        <v>3786.0</v>
      </c>
      <c r="M66" s="22">
        <v>4056.0</v>
      </c>
      <c r="N66" s="22">
        <v>4327.0</v>
      </c>
      <c r="O66" s="14"/>
      <c r="P66" s="26">
        <v>0.3</v>
      </c>
      <c r="Q66" s="26">
        <v>0.25</v>
      </c>
      <c r="R66" s="26">
        <v>0.2</v>
      </c>
    </row>
    <row r="67" ht="14.25" customHeight="1">
      <c r="A67" s="18" t="s">
        <v>139</v>
      </c>
      <c r="B67" s="18" t="s">
        <v>140</v>
      </c>
      <c r="C67" s="19" t="s">
        <v>160</v>
      </c>
      <c r="D67" s="20" t="s">
        <v>163</v>
      </c>
      <c r="E67" s="21" t="s">
        <v>164</v>
      </c>
      <c r="F67" s="22" t="s">
        <v>20</v>
      </c>
      <c r="G67" s="23">
        <v>14990.0</v>
      </c>
      <c r="H67" s="23">
        <v>7641.0</v>
      </c>
      <c r="I67" s="24">
        <v>3506.0</v>
      </c>
      <c r="J67" s="25"/>
      <c r="K67" s="25"/>
      <c r="L67" s="22">
        <v>3506.0</v>
      </c>
      <c r="M67" s="22">
        <v>3756.0</v>
      </c>
      <c r="N67" s="22">
        <v>4007.0</v>
      </c>
      <c r="O67" s="14"/>
      <c r="P67" s="26">
        <v>0.45</v>
      </c>
      <c r="Q67" s="26">
        <v>0.41</v>
      </c>
      <c r="R67" s="26">
        <v>0.38</v>
      </c>
    </row>
    <row r="68" ht="14.25" customHeight="1">
      <c r="A68" s="18" t="s">
        <v>139</v>
      </c>
      <c r="B68" s="18" t="s">
        <v>165</v>
      </c>
      <c r="C68" s="19" t="s">
        <v>166</v>
      </c>
      <c r="D68" s="20" t="s">
        <v>167</v>
      </c>
      <c r="E68" s="21" t="s">
        <v>168</v>
      </c>
      <c r="F68" s="21" t="s">
        <v>134</v>
      </c>
      <c r="G68" s="23">
        <v>19990.0</v>
      </c>
      <c r="H68" s="23">
        <v>11759.0</v>
      </c>
      <c r="I68" s="24">
        <v>7961.0</v>
      </c>
      <c r="J68" s="25"/>
      <c r="K68" s="25"/>
      <c r="L68" s="22">
        <v>7961.0</v>
      </c>
      <c r="M68" s="22">
        <v>8530.0</v>
      </c>
      <c r="N68" s="22">
        <v>9098.0</v>
      </c>
      <c r="O68" s="14"/>
      <c r="P68" s="26">
        <v>0.19</v>
      </c>
      <c r="Q68" s="26">
        <v>0.14</v>
      </c>
      <c r="R68" s="26">
        <v>0.08</v>
      </c>
    </row>
    <row r="69" ht="14.25" customHeight="1">
      <c r="A69" s="18" t="s">
        <v>139</v>
      </c>
      <c r="B69" s="18" t="s">
        <v>165</v>
      </c>
      <c r="C69" s="19" t="s">
        <v>166</v>
      </c>
      <c r="D69" s="20" t="s">
        <v>169</v>
      </c>
      <c r="E69" s="21" t="s">
        <v>170</v>
      </c>
      <c r="F69" s="21" t="s">
        <v>134</v>
      </c>
      <c r="G69" s="23">
        <v>19990.0</v>
      </c>
      <c r="H69" s="23">
        <v>9994.0</v>
      </c>
      <c r="I69" s="24">
        <v>11441.0</v>
      </c>
      <c r="J69" s="25"/>
      <c r="K69" s="25"/>
      <c r="L69" s="22">
        <v>11441.0</v>
      </c>
      <c r="M69" s="22">
        <v>12259.0</v>
      </c>
      <c r="N69" s="22">
        <v>13076.0</v>
      </c>
      <c r="O69" s="14"/>
      <c r="P69" s="26">
        <v>-0.36</v>
      </c>
      <c r="Q69" s="26">
        <v>-0.46</v>
      </c>
      <c r="R69" s="26">
        <v>-0.56</v>
      </c>
    </row>
    <row r="70" ht="14.25" customHeight="1">
      <c r="A70" s="18" t="s">
        <v>139</v>
      </c>
      <c r="B70" s="18" t="s">
        <v>165</v>
      </c>
      <c r="C70" s="19" t="s">
        <v>166</v>
      </c>
      <c r="D70" s="20" t="s">
        <v>171</v>
      </c>
      <c r="E70" s="21" t="s">
        <v>172</v>
      </c>
      <c r="F70" s="21" t="s">
        <v>20</v>
      </c>
      <c r="G70" s="23">
        <v>39990.0</v>
      </c>
      <c r="H70" s="23">
        <v>14700.0</v>
      </c>
      <c r="I70" s="24">
        <v>9002.0</v>
      </c>
      <c r="J70" s="25"/>
      <c r="K70" s="25"/>
      <c r="L70" s="22">
        <v>9002.0</v>
      </c>
      <c r="M70" s="22">
        <v>9645.0</v>
      </c>
      <c r="N70" s="22">
        <v>10288.0</v>
      </c>
      <c r="O70" s="14"/>
      <c r="P70" s="26">
        <v>0.27</v>
      </c>
      <c r="Q70" s="26">
        <v>0.22</v>
      </c>
      <c r="R70" s="26">
        <v>0.17</v>
      </c>
    </row>
    <row r="71" ht="14.25" customHeight="1">
      <c r="A71" s="18" t="s">
        <v>139</v>
      </c>
      <c r="B71" s="18" t="s">
        <v>165</v>
      </c>
      <c r="C71" s="19" t="s">
        <v>166</v>
      </c>
      <c r="D71" s="20" t="s">
        <v>173</v>
      </c>
      <c r="E71" s="21" t="s">
        <v>174</v>
      </c>
      <c r="F71" s="21" t="s">
        <v>20</v>
      </c>
      <c r="G71" s="23">
        <v>44990.0</v>
      </c>
      <c r="H71" s="23">
        <v>15876.0</v>
      </c>
      <c r="I71" s="24">
        <v>10253.0</v>
      </c>
      <c r="J71" s="25"/>
      <c r="K71" s="25"/>
      <c r="L71" s="22">
        <v>10253.0</v>
      </c>
      <c r="M71" s="22">
        <v>10985.0</v>
      </c>
      <c r="N71" s="22">
        <v>11718.0</v>
      </c>
      <c r="O71" s="14"/>
      <c r="P71" s="26">
        <v>0.23</v>
      </c>
      <c r="Q71" s="26">
        <v>0.18</v>
      </c>
      <c r="R71" s="26">
        <v>0.12</v>
      </c>
    </row>
    <row r="72" ht="14.25" customHeight="1">
      <c r="A72" s="18" t="s">
        <v>139</v>
      </c>
      <c r="B72" s="18" t="s">
        <v>165</v>
      </c>
      <c r="C72" s="19" t="s">
        <v>175</v>
      </c>
      <c r="D72" s="20" t="s">
        <v>176</v>
      </c>
      <c r="E72" s="21" t="s">
        <v>177</v>
      </c>
      <c r="F72" s="21" t="s">
        <v>20</v>
      </c>
      <c r="G72" s="23">
        <v>79990.0</v>
      </c>
      <c r="H72" s="23">
        <v>29406.0</v>
      </c>
      <c r="I72" s="24">
        <v>19694.0</v>
      </c>
      <c r="J72" s="25"/>
      <c r="K72" s="25"/>
      <c r="L72" s="22">
        <v>19694.0</v>
      </c>
      <c r="M72" s="22">
        <v>21101.0</v>
      </c>
      <c r="N72" s="22">
        <v>22507.0</v>
      </c>
      <c r="O72" s="14"/>
      <c r="P72" s="26">
        <v>0.2</v>
      </c>
      <c r="Q72" s="26">
        <v>0.15</v>
      </c>
      <c r="R72" s="26">
        <v>0.09</v>
      </c>
    </row>
    <row r="73" ht="14.25" customHeight="1">
      <c r="A73" s="18" t="s">
        <v>139</v>
      </c>
      <c r="B73" s="18" t="s">
        <v>165</v>
      </c>
      <c r="C73" s="19" t="s">
        <v>175</v>
      </c>
      <c r="D73" s="20" t="s">
        <v>178</v>
      </c>
      <c r="E73" s="21">
        <v>1.66E12</v>
      </c>
      <c r="F73" s="21" t="s">
        <v>179</v>
      </c>
      <c r="G73" s="23">
        <v>19990.0</v>
      </c>
      <c r="H73" s="23">
        <v>7641.0</v>
      </c>
      <c r="I73" s="24">
        <v>3637.0</v>
      </c>
      <c r="J73" s="25"/>
      <c r="K73" s="25"/>
      <c r="L73" s="22">
        <v>3637.0</v>
      </c>
      <c r="M73" s="22">
        <v>3897.0</v>
      </c>
      <c r="N73" s="22">
        <v>4157.0</v>
      </c>
      <c r="O73" s="14"/>
      <c r="P73" s="26">
        <v>0.43</v>
      </c>
      <c r="Q73" s="26">
        <v>0.39</v>
      </c>
      <c r="R73" s="26">
        <v>0.35</v>
      </c>
    </row>
    <row r="74" ht="14.25" customHeight="1">
      <c r="A74" s="18" t="s">
        <v>139</v>
      </c>
      <c r="B74" s="18" t="s">
        <v>165</v>
      </c>
      <c r="C74" s="19" t="s">
        <v>175</v>
      </c>
      <c r="D74" s="20" t="s">
        <v>180</v>
      </c>
      <c r="E74" s="21">
        <v>1.66E12</v>
      </c>
      <c r="F74" s="21" t="s">
        <v>179</v>
      </c>
      <c r="G74" s="23">
        <v>19990.0</v>
      </c>
      <c r="H74" s="23">
        <v>7641.0</v>
      </c>
      <c r="I74" s="24">
        <v>3577.0</v>
      </c>
      <c r="J74" s="25"/>
      <c r="K74" s="25"/>
      <c r="L74" s="22">
        <v>3577.0</v>
      </c>
      <c r="M74" s="22">
        <v>3832.0</v>
      </c>
      <c r="N74" s="22">
        <v>4088.0</v>
      </c>
      <c r="O74" s="14"/>
      <c r="P74" s="26">
        <v>0.44</v>
      </c>
      <c r="Q74" s="26">
        <v>0.4</v>
      </c>
      <c r="R74" s="26">
        <v>0.36</v>
      </c>
    </row>
    <row r="75" ht="14.25" customHeight="1">
      <c r="A75" s="18" t="s">
        <v>139</v>
      </c>
      <c r="B75" s="18" t="s">
        <v>165</v>
      </c>
      <c r="C75" s="19" t="s">
        <v>175</v>
      </c>
      <c r="D75" s="20" t="s">
        <v>181</v>
      </c>
      <c r="E75" s="21" t="s">
        <v>182</v>
      </c>
      <c r="F75" s="21" t="s">
        <v>20</v>
      </c>
      <c r="G75" s="23">
        <v>32990.0</v>
      </c>
      <c r="H75" s="23">
        <v>14700.0</v>
      </c>
      <c r="I75" s="24">
        <v>8609.0</v>
      </c>
      <c r="J75" s="25"/>
      <c r="K75" s="25"/>
      <c r="L75" s="22">
        <v>8609.0</v>
      </c>
      <c r="M75" s="22">
        <v>9224.0</v>
      </c>
      <c r="N75" s="22">
        <v>9839.0</v>
      </c>
      <c r="O75" s="14"/>
      <c r="P75" s="26">
        <v>0.3</v>
      </c>
      <c r="Q75" s="26">
        <v>0.25</v>
      </c>
      <c r="R75" s="26">
        <v>0.2</v>
      </c>
    </row>
    <row r="76" ht="14.25" customHeight="1">
      <c r="A76" s="18" t="s">
        <v>139</v>
      </c>
      <c r="B76" s="18" t="s">
        <v>165</v>
      </c>
      <c r="C76" s="19" t="s">
        <v>175</v>
      </c>
      <c r="D76" s="20" t="s">
        <v>183</v>
      </c>
      <c r="E76" s="21" t="s">
        <v>184</v>
      </c>
      <c r="F76" s="21" t="s">
        <v>20</v>
      </c>
      <c r="G76" s="23">
        <v>32990.0</v>
      </c>
      <c r="H76" s="23">
        <v>14700.0</v>
      </c>
      <c r="I76" s="24">
        <v>8666.0</v>
      </c>
      <c r="J76" s="25"/>
      <c r="K76" s="25"/>
      <c r="L76" s="22">
        <v>8666.0</v>
      </c>
      <c r="M76" s="22">
        <v>9285.0</v>
      </c>
      <c r="N76" s="22">
        <v>9904.0</v>
      </c>
      <c r="O76" s="14"/>
      <c r="P76" s="26">
        <v>0.3</v>
      </c>
      <c r="Q76" s="26">
        <v>0.25</v>
      </c>
      <c r="R76" s="26">
        <v>0.2</v>
      </c>
    </row>
    <row r="77" ht="14.25" customHeight="1">
      <c r="A77" s="18" t="s">
        <v>139</v>
      </c>
      <c r="B77" s="18" t="s">
        <v>165</v>
      </c>
      <c r="C77" s="19" t="s">
        <v>175</v>
      </c>
      <c r="D77" s="20" t="s">
        <v>185</v>
      </c>
      <c r="E77" s="21" t="s">
        <v>186</v>
      </c>
      <c r="F77" s="21" t="s">
        <v>20</v>
      </c>
      <c r="G77" s="23">
        <v>32990.0</v>
      </c>
      <c r="H77" s="23">
        <v>14700.0</v>
      </c>
      <c r="I77" s="24">
        <v>8775.0</v>
      </c>
      <c r="J77" s="25"/>
      <c r="K77" s="25"/>
      <c r="L77" s="22">
        <v>8775.0</v>
      </c>
      <c r="M77" s="22">
        <v>9402.0</v>
      </c>
      <c r="N77" s="22">
        <v>10029.0</v>
      </c>
      <c r="O77" s="14"/>
      <c r="P77" s="26">
        <v>0.29</v>
      </c>
      <c r="Q77" s="26">
        <v>0.24</v>
      </c>
      <c r="R77" s="26">
        <v>0.19</v>
      </c>
    </row>
    <row r="78" ht="14.25" customHeight="1">
      <c r="A78" s="18" t="s">
        <v>139</v>
      </c>
      <c r="B78" s="18" t="s">
        <v>187</v>
      </c>
      <c r="C78" s="19" t="s">
        <v>188</v>
      </c>
      <c r="D78" s="20" t="s">
        <v>189</v>
      </c>
      <c r="E78" s="21" t="s">
        <v>190</v>
      </c>
      <c r="F78" s="21" t="s">
        <v>179</v>
      </c>
      <c r="G78" s="23">
        <v>169990.0</v>
      </c>
      <c r="H78" s="23">
        <v>67220.0</v>
      </c>
      <c r="I78" s="24">
        <v>48174.0</v>
      </c>
      <c r="J78" s="25"/>
      <c r="K78" s="25"/>
      <c r="L78" s="22">
        <v>48174.0</v>
      </c>
      <c r="M78" s="22">
        <v>51615.0</v>
      </c>
      <c r="N78" s="22">
        <v>55056.0</v>
      </c>
      <c r="O78" s="14"/>
      <c r="P78" s="26">
        <v>0.15</v>
      </c>
      <c r="Q78" s="26">
        <v>0.09</v>
      </c>
      <c r="R78" s="26">
        <v>0.03</v>
      </c>
    </row>
    <row r="79" ht="14.25" customHeight="1">
      <c r="A79" s="18" t="s">
        <v>139</v>
      </c>
      <c r="B79" s="18" t="s">
        <v>187</v>
      </c>
      <c r="C79" s="19" t="s">
        <v>188</v>
      </c>
      <c r="D79" s="29" t="s">
        <v>191</v>
      </c>
      <c r="E79" s="22" t="s">
        <v>192</v>
      </c>
      <c r="F79" s="22" t="s">
        <v>193</v>
      </c>
      <c r="G79" s="23">
        <v>169990.0</v>
      </c>
      <c r="H79" s="23">
        <v>58818.0</v>
      </c>
      <c r="I79" s="24">
        <v>37835.0</v>
      </c>
      <c r="J79" s="25"/>
      <c r="K79" s="25"/>
      <c r="L79" s="22">
        <v>37835.0</v>
      </c>
      <c r="M79" s="22">
        <v>40537.0</v>
      </c>
      <c r="N79" s="22">
        <v>43240.0</v>
      </c>
      <c r="O79" s="14"/>
      <c r="P79" s="26">
        <v>0.23</v>
      </c>
      <c r="Q79" s="26">
        <v>0.18</v>
      </c>
      <c r="R79" s="26">
        <v>0.13</v>
      </c>
    </row>
    <row r="80" ht="14.25" customHeight="1">
      <c r="A80" s="18" t="s">
        <v>139</v>
      </c>
      <c r="B80" s="18" t="s">
        <v>187</v>
      </c>
      <c r="C80" s="19" t="s">
        <v>194</v>
      </c>
      <c r="D80" s="20" t="s">
        <v>195</v>
      </c>
      <c r="E80" s="21" t="s">
        <v>196</v>
      </c>
      <c r="F80" s="21" t="s">
        <v>20</v>
      </c>
      <c r="G80" s="23">
        <v>999990.0</v>
      </c>
      <c r="H80" s="23">
        <v>529406.0</v>
      </c>
      <c r="I80" s="24">
        <v>345276.0</v>
      </c>
      <c r="J80" s="25"/>
      <c r="K80" s="25"/>
      <c r="L80" s="22">
        <v>345276.0</v>
      </c>
      <c r="M80" s="22">
        <v>369937.0</v>
      </c>
      <c r="N80" s="22">
        <v>394602.0</v>
      </c>
      <c r="O80" s="14"/>
      <c r="P80" s="26">
        <v>0.22</v>
      </c>
      <c r="Q80" s="26">
        <v>0.17</v>
      </c>
      <c r="R80" s="26">
        <v>0.11</v>
      </c>
    </row>
    <row r="81" ht="14.25" customHeight="1">
      <c r="A81" s="18" t="s">
        <v>139</v>
      </c>
      <c r="B81" s="18" t="s">
        <v>187</v>
      </c>
      <c r="C81" s="19" t="s">
        <v>194</v>
      </c>
      <c r="D81" s="20" t="s">
        <v>197</v>
      </c>
      <c r="E81" s="21" t="s">
        <v>198</v>
      </c>
      <c r="F81" s="21" t="s">
        <v>20</v>
      </c>
      <c r="G81" s="23">
        <v>1099990.0</v>
      </c>
      <c r="H81" s="23">
        <v>588229.0</v>
      </c>
      <c r="I81" s="24">
        <v>415412.0</v>
      </c>
      <c r="J81" s="25"/>
      <c r="K81" s="25"/>
      <c r="L81" s="22">
        <v>415412.0</v>
      </c>
      <c r="M81" s="22">
        <v>445083.0</v>
      </c>
      <c r="N81" s="22">
        <v>474758.0</v>
      </c>
      <c r="O81" s="14"/>
      <c r="P81" s="26">
        <v>0.16</v>
      </c>
      <c r="Q81" s="26">
        <v>0.1</v>
      </c>
      <c r="R81" s="26">
        <v>0.04</v>
      </c>
    </row>
    <row r="82" ht="14.25" customHeight="1">
      <c r="A82" s="18" t="s">
        <v>139</v>
      </c>
      <c r="B82" s="18" t="s">
        <v>199</v>
      </c>
      <c r="C82" s="19" t="s">
        <v>200</v>
      </c>
      <c r="D82" s="20" t="s">
        <v>201</v>
      </c>
      <c r="E82" s="21">
        <v>1.65999E12</v>
      </c>
      <c r="F82" s="21" t="s">
        <v>134</v>
      </c>
      <c r="G82" s="23">
        <v>59990.0</v>
      </c>
      <c r="H82" s="23">
        <v>20582.0</v>
      </c>
      <c r="I82" s="24">
        <v>16625.0</v>
      </c>
      <c r="J82" s="25"/>
      <c r="K82" s="25"/>
      <c r="L82" s="22">
        <v>16625.0</v>
      </c>
      <c r="M82" s="22">
        <v>17812.0</v>
      </c>
      <c r="N82" s="22">
        <v>19000.0</v>
      </c>
      <c r="O82" s="14"/>
      <c r="P82" s="26">
        <v>0.04</v>
      </c>
      <c r="Q82" s="26">
        <v>-0.03</v>
      </c>
      <c r="R82" s="26">
        <v>-0.1</v>
      </c>
    </row>
    <row r="83" ht="14.25" customHeight="1">
      <c r="A83" s="18" t="s">
        <v>139</v>
      </c>
      <c r="B83" s="18" t="s">
        <v>199</v>
      </c>
      <c r="C83" s="19" t="s">
        <v>200</v>
      </c>
      <c r="D83" s="20" t="s">
        <v>202</v>
      </c>
      <c r="E83" s="21" t="s">
        <v>203</v>
      </c>
      <c r="F83" s="21" t="s">
        <v>20</v>
      </c>
      <c r="G83" s="23">
        <v>59990.0</v>
      </c>
      <c r="H83" s="23">
        <v>26465.0</v>
      </c>
      <c r="I83" s="24">
        <v>17160.0</v>
      </c>
      <c r="J83" s="25"/>
      <c r="K83" s="25"/>
      <c r="L83" s="22">
        <v>17160.0</v>
      </c>
      <c r="M83" s="22">
        <v>18386.0</v>
      </c>
      <c r="N83" s="22">
        <v>19611.0</v>
      </c>
      <c r="O83" s="14"/>
      <c r="P83" s="26">
        <v>0.23</v>
      </c>
      <c r="Q83" s="26">
        <v>0.17</v>
      </c>
      <c r="R83" s="26">
        <v>0.12</v>
      </c>
    </row>
    <row r="84" ht="14.25" customHeight="1">
      <c r="A84" s="18" t="s">
        <v>139</v>
      </c>
      <c r="B84" s="18" t="s">
        <v>199</v>
      </c>
      <c r="C84" s="19" t="s">
        <v>200</v>
      </c>
      <c r="D84" s="20" t="s">
        <v>204</v>
      </c>
      <c r="E84" s="21">
        <v>1.65997E12</v>
      </c>
      <c r="F84" s="21" t="s">
        <v>134</v>
      </c>
      <c r="G84" s="23">
        <v>19990.0</v>
      </c>
      <c r="H84" s="23">
        <v>4112.0</v>
      </c>
      <c r="I84" s="24">
        <v>2638.0</v>
      </c>
      <c r="J84" s="25"/>
      <c r="K84" s="25"/>
      <c r="L84" s="22">
        <v>2638.0</v>
      </c>
      <c r="M84" s="22">
        <v>2826.0</v>
      </c>
      <c r="N84" s="22">
        <v>3015.0</v>
      </c>
      <c r="O84" s="14"/>
      <c r="P84" s="26">
        <v>0.24</v>
      </c>
      <c r="Q84" s="26">
        <v>0.18</v>
      </c>
      <c r="R84" s="26">
        <v>0.13</v>
      </c>
    </row>
    <row r="85" ht="14.25" customHeight="1">
      <c r="A85" s="18" t="s">
        <v>139</v>
      </c>
      <c r="B85" s="18" t="s">
        <v>199</v>
      </c>
      <c r="C85" s="19" t="s">
        <v>200</v>
      </c>
      <c r="D85" s="20" t="s">
        <v>205</v>
      </c>
      <c r="E85" s="21" t="s">
        <v>206</v>
      </c>
      <c r="F85" s="21" t="s">
        <v>20</v>
      </c>
      <c r="G85" s="23">
        <v>19990.0</v>
      </c>
      <c r="H85" s="23">
        <v>7641.0</v>
      </c>
      <c r="I85" s="24">
        <v>3474.0</v>
      </c>
      <c r="J85" s="25"/>
      <c r="K85" s="25"/>
      <c r="L85" s="22">
        <v>3474.0</v>
      </c>
      <c r="M85" s="22">
        <v>3722.0</v>
      </c>
      <c r="N85" s="22">
        <v>3970.0</v>
      </c>
      <c r="O85" s="14"/>
      <c r="P85" s="26">
        <v>0.46</v>
      </c>
      <c r="Q85" s="26">
        <v>0.42</v>
      </c>
      <c r="R85" s="26">
        <v>0.38</v>
      </c>
    </row>
    <row r="86" ht="14.25" customHeight="1">
      <c r="A86" s="18" t="s">
        <v>139</v>
      </c>
      <c r="B86" s="18" t="s">
        <v>199</v>
      </c>
      <c r="C86" s="19" t="s">
        <v>200</v>
      </c>
      <c r="D86" s="20" t="s">
        <v>207</v>
      </c>
      <c r="E86" s="21" t="s">
        <v>208</v>
      </c>
      <c r="F86" s="21" t="s">
        <v>20</v>
      </c>
      <c r="G86" s="23">
        <v>39990.0</v>
      </c>
      <c r="H86" s="23">
        <v>15876.0</v>
      </c>
      <c r="I86" s="24">
        <v>9424.0</v>
      </c>
      <c r="J86" s="25"/>
      <c r="K86" s="25"/>
      <c r="L86" s="22">
        <v>9424.0</v>
      </c>
      <c r="M86" s="22">
        <v>10097.0</v>
      </c>
      <c r="N86" s="22">
        <v>10770.0</v>
      </c>
      <c r="O86" s="14"/>
      <c r="P86" s="26">
        <v>0.29</v>
      </c>
      <c r="Q86" s="26">
        <v>0.24</v>
      </c>
      <c r="R86" s="26">
        <v>0.19</v>
      </c>
    </row>
    <row r="87" ht="14.25" customHeight="1">
      <c r="A87" s="18" t="s">
        <v>139</v>
      </c>
      <c r="B87" s="18" t="s">
        <v>199</v>
      </c>
      <c r="C87" s="19" t="s">
        <v>200</v>
      </c>
      <c r="D87" s="20" t="s">
        <v>209</v>
      </c>
      <c r="E87" s="21">
        <v>1.65999E12</v>
      </c>
      <c r="F87" s="21" t="s">
        <v>134</v>
      </c>
      <c r="G87" s="23">
        <v>39990.0</v>
      </c>
      <c r="H87" s="23">
        <v>11759.0</v>
      </c>
      <c r="I87" s="24">
        <v>10725.0</v>
      </c>
      <c r="J87" s="25"/>
      <c r="K87" s="25"/>
      <c r="L87" s="22">
        <v>10725.0</v>
      </c>
      <c r="M87" s="22">
        <v>11491.0</v>
      </c>
      <c r="N87" s="22">
        <v>12257.0</v>
      </c>
      <c r="O87" s="14"/>
      <c r="P87" s="26">
        <v>-0.09</v>
      </c>
      <c r="Q87" s="26">
        <v>-0.16</v>
      </c>
      <c r="R87" s="26">
        <v>-0.24</v>
      </c>
    </row>
    <row r="88" ht="14.25" customHeight="1">
      <c r="A88" s="18" t="s">
        <v>139</v>
      </c>
      <c r="B88" s="18" t="s">
        <v>199</v>
      </c>
      <c r="C88" s="19" t="s">
        <v>200</v>
      </c>
      <c r="D88" s="20" t="s">
        <v>210</v>
      </c>
      <c r="E88" s="21">
        <v>1.47975E12</v>
      </c>
      <c r="F88" s="21" t="s">
        <v>20</v>
      </c>
      <c r="G88" s="23">
        <v>14990.0</v>
      </c>
      <c r="H88" s="23">
        <v>5288.0</v>
      </c>
      <c r="I88" s="24">
        <v>2887.0</v>
      </c>
      <c r="J88" s="25"/>
      <c r="K88" s="25"/>
      <c r="L88" s="22">
        <v>2887.0</v>
      </c>
      <c r="M88" s="22">
        <v>3093.0</v>
      </c>
      <c r="N88" s="22">
        <v>3299.0</v>
      </c>
      <c r="O88" s="14"/>
      <c r="P88" s="26">
        <v>0.35</v>
      </c>
      <c r="Q88" s="26">
        <v>0.3</v>
      </c>
      <c r="R88" s="26">
        <v>0.26</v>
      </c>
    </row>
    <row r="89" ht="14.25" customHeight="1">
      <c r="A89" s="18" t="s">
        <v>139</v>
      </c>
      <c r="B89" s="18" t="s">
        <v>199</v>
      </c>
      <c r="C89" s="19" t="s">
        <v>200</v>
      </c>
      <c r="D89" s="20" t="s">
        <v>211</v>
      </c>
      <c r="E89" s="21">
        <v>1.65833E12</v>
      </c>
      <c r="F89" s="21" t="s">
        <v>20</v>
      </c>
      <c r="G89" s="23">
        <v>24990.0</v>
      </c>
      <c r="H89" s="23">
        <v>11759.0</v>
      </c>
      <c r="I89" s="24">
        <v>6761.0</v>
      </c>
      <c r="J89" s="25"/>
      <c r="K89" s="25"/>
      <c r="L89" s="22">
        <v>6761.0</v>
      </c>
      <c r="M89" s="22">
        <v>7244.0</v>
      </c>
      <c r="N89" s="22">
        <v>7727.0</v>
      </c>
      <c r="O89" s="14"/>
      <c r="P89" s="26">
        <v>0.32</v>
      </c>
      <c r="Q89" s="26">
        <v>0.27</v>
      </c>
      <c r="R89" s="26">
        <v>0.22</v>
      </c>
    </row>
    <row r="90" ht="14.25" customHeight="1">
      <c r="A90" s="18" t="s">
        <v>139</v>
      </c>
      <c r="B90" s="18" t="s">
        <v>199</v>
      </c>
      <c r="C90" s="19" t="s">
        <v>200</v>
      </c>
      <c r="D90" s="20" t="s">
        <v>212</v>
      </c>
      <c r="E90" s="21">
        <v>1.65999E12</v>
      </c>
      <c r="F90" s="21" t="s">
        <v>20</v>
      </c>
      <c r="G90" s="23">
        <v>29990.0</v>
      </c>
      <c r="H90" s="23">
        <v>11759.0</v>
      </c>
      <c r="I90" s="24">
        <v>8843.0</v>
      </c>
      <c r="J90" s="25"/>
      <c r="K90" s="25"/>
      <c r="L90" s="22">
        <v>8843.0</v>
      </c>
      <c r="M90" s="22">
        <v>9475.0</v>
      </c>
      <c r="N90" s="22">
        <v>10106.0</v>
      </c>
      <c r="O90" s="14"/>
      <c r="P90" s="26">
        <v>0.11</v>
      </c>
      <c r="Q90" s="26">
        <v>0.04</v>
      </c>
      <c r="R90" s="26">
        <v>-0.02</v>
      </c>
    </row>
    <row r="91" ht="14.25" customHeight="1">
      <c r="A91" s="18" t="s">
        <v>139</v>
      </c>
      <c r="B91" s="18" t="s">
        <v>199</v>
      </c>
      <c r="C91" s="19" t="s">
        <v>200</v>
      </c>
      <c r="D91" s="20" t="s">
        <v>213</v>
      </c>
      <c r="E91" s="21">
        <v>1.65999E12</v>
      </c>
      <c r="F91" s="21" t="s">
        <v>20</v>
      </c>
      <c r="G91" s="23">
        <v>29990.0</v>
      </c>
      <c r="H91" s="23">
        <v>11759.0</v>
      </c>
      <c r="I91" s="24">
        <v>8888.0</v>
      </c>
      <c r="J91" s="25"/>
      <c r="K91" s="25"/>
      <c r="L91" s="22">
        <v>8888.0</v>
      </c>
      <c r="M91" s="22">
        <v>9523.0</v>
      </c>
      <c r="N91" s="22">
        <v>10158.0</v>
      </c>
      <c r="O91" s="14"/>
      <c r="P91" s="26">
        <v>0.1</v>
      </c>
      <c r="Q91" s="26">
        <v>0.04</v>
      </c>
      <c r="R91" s="26">
        <v>-0.03</v>
      </c>
    </row>
    <row r="92" ht="14.25" customHeight="1">
      <c r="A92" s="18" t="s">
        <v>139</v>
      </c>
      <c r="B92" s="18" t="s">
        <v>199</v>
      </c>
      <c r="C92" s="19" t="s">
        <v>200</v>
      </c>
      <c r="D92" s="20" t="s">
        <v>214</v>
      </c>
      <c r="E92" s="21">
        <v>6.64368E13</v>
      </c>
      <c r="F92" s="21" t="s">
        <v>20</v>
      </c>
      <c r="G92" s="23">
        <v>29990.0</v>
      </c>
      <c r="H92" s="23">
        <v>11759.0</v>
      </c>
      <c r="I92" s="24">
        <v>8608.0</v>
      </c>
      <c r="J92" s="25"/>
      <c r="K92" s="25"/>
      <c r="L92" s="22">
        <v>8608.0</v>
      </c>
      <c r="M92" s="22">
        <v>9223.0</v>
      </c>
      <c r="N92" s="22">
        <v>9838.0</v>
      </c>
      <c r="O92" s="14"/>
      <c r="P92" s="26">
        <v>0.13</v>
      </c>
      <c r="Q92" s="26">
        <v>0.07</v>
      </c>
      <c r="R92" s="26">
        <v>0.0</v>
      </c>
    </row>
    <row r="93" ht="14.25" customHeight="1">
      <c r="A93" s="18" t="s">
        <v>139</v>
      </c>
      <c r="B93" s="18" t="s">
        <v>199</v>
      </c>
      <c r="C93" s="19" t="s">
        <v>200</v>
      </c>
      <c r="D93" s="20" t="s">
        <v>215</v>
      </c>
      <c r="E93" s="21" t="s">
        <v>216</v>
      </c>
      <c r="F93" s="21" t="s">
        <v>20</v>
      </c>
      <c r="G93" s="23">
        <v>32990.0</v>
      </c>
      <c r="H93" s="23">
        <v>14700.0</v>
      </c>
      <c r="I93" s="24">
        <v>12273.0</v>
      </c>
      <c r="J93" s="25"/>
      <c r="K93" s="25"/>
      <c r="L93" s="22">
        <v>12273.0</v>
      </c>
      <c r="M93" s="22">
        <v>13150.0</v>
      </c>
      <c r="N93" s="22">
        <v>14026.0</v>
      </c>
      <c r="O93" s="14"/>
      <c r="P93" s="26">
        <v>0.01</v>
      </c>
      <c r="Q93" s="26">
        <v>-0.06</v>
      </c>
      <c r="R93" s="26">
        <v>-0.14</v>
      </c>
    </row>
    <row r="94" ht="14.25" customHeight="1">
      <c r="A94" s="18" t="s">
        <v>139</v>
      </c>
      <c r="B94" s="18" t="s">
        <v>199</v>
      </c>
      <c r="C94" s="19" t="s">
        <v>200</v>
      </c>
      <c r="D94" s="20" t="s">
        <v>217</v>
      </c>
      <c r="E94" s="21">
        <v>1.65999E12</v>
      </c>
      <c r="F94" s="21" t="s">
        <v>20</v>
      </c>
      <c r="G94" s="23">
        <v>32990.0</v>
      </c>
      <c r="H94" s="23">
        <v>11759.0</v>
      </c>
      <c r="I94" s="24">
        <v>6964.0</v>
      </c>
      <c r="J94" s="25"/>
      <c r="K94" s="25"/>
      <c r="L94" s="22">
        <v>6964.0</v>
      </c>
      <c r="M94" s="22">
        <v>7461.0</v>
      </c>
      <c r="N94" s="22">
        <v>7959.0</v>
      </c>
      <c r="O94" s="14"/>
      <c r="P94" s="26">
        <v>0.3</v>
      </c>
      <c r="Q94" s="26">
        <v>0.24</v>
      </c>
      <c r="R94" s="26">
        <v>0.19</v>
      </c>
    </row>
    <row r="95" ht="14.25" customHeight="1">
      <c r="A95" s="18" t="s">
        <v>139</v>
      </c>
      <c r="B95" s="18" t="s">
        <v>199</v>
      </c>
      <c r="C95" s="19" t="s">
        <v>200</v>
      </c>
      <c r="D95" s="20" t="s">
        <v>218</v>
      </c>
      <c r="E95" s="22" t="s">
        <v>219</v>
      </c>
      <c r="F95" s="22" t="s">
        <v>20</v>
      </c>
      <c r="G95" s="23">
        <v>69990.0</v>
      </c>
      <c r="H95" s="23">
        <v>20582.0</v>
      </c>
      <c r="I95" s="24">
        <v>15204.0</v>
      </c>
      <c r="J95" s="25"/>
      <c r="K95" s="25"/>
      <c r="L95" s="22">
        <v>15204.0</v>
      </c>
      <c r="M95" s="22">
        <v>16290.0</v>
      </c>
      <c r="N95" s="22">
        <v>17376.0</v>
      </c>
      <c r="O95" s="14"/>
      <c r="P95" s="26">
        <v>0.12</v>
      </c>
      <c r="Q95" s="26">
        <v>0.06</v>
      </c>
      <c r="R95" s="26">
        <v>0.0</v>
      </c>
    </row>
    <row r="96" ht="14.25" customHeight="1">
      <c r="A96" s="18" t="s">
        <v>139</v>
      </c>
      <c r="B96" s="18" t="s">
        <v>199</v>
      </c>
      <c r="C96" s="19" t="s">
        <v>200</v>
      </c>
      <c r="D96" s="29" t="s">
        <v>220</v>
      </c>
      <c r="E96" s="22" t="s">
        <v>221</v>
      </c>
      <c r="F96" s="22" t="s">
        <v>20</v>
      </c>
      <c r="G96" s="23">
        <v>59990.0</v>
      </c>
      <c r="H96" s="23">
        <v>26465.0</v>
      </c>
      <c r="I96" s="24">
        <v>17185.0</v>
      </c>
      <c r="J96" s="25"/>
      <c r="K96" s="25"/>
      <c r="L96" s="22">
        <v>17185.0</v>
      </c>
      <c r="M96" s="22">
        <v>18412.0</v>
      </c>
      <c r="N96" s="22">
        <v>19640.0</v>
      </c>
      <c r="O96" s="14"/>
      <c r="P96" s="26">
        <v>0.23</v>
      </c>
      <c r="Q96" s="26">
        <v>0.17</v>
      </c>
      <c r="R96" s="26">
        <v>0.12</v>
      </c>
    </row>
    <row r="97" ht="14.25" customHeight="1">
      <c r="A97" s="18" t="s">
        <v>139</v>
      </c>
      <c r="B97" s="18" t="s">
        <v>199</v>
      </c>
      <c r="C97" s="19" t="s">
        <v>200</v>
      </c>
      <c r="D97" s="29" t="s">
        <v>222</v>
      </c>
      <c r="E97" s="22" t="s">
        <v>223</v>
      </c>
      <c r="F97" s="22" t="s">
        <v>193</v>
      </c>
      <c r="G97" s="23">
        <v>19990.0</v>
      </c>
      <c r="H97" s="23">
        <v>5876.0</v>
      </c>
      <c r="I97" s="24">
        <v>2378.0</v>
      </c>
      <c r="J97" s="25"/>
      <c r="K97" s="25"/>
      <c r="L97" s="22">
        <v>2378.0</v>
      </c>
      <c r="M97" s="22">
        <v>2548.0</v>
      </c>
      <c r="N97" s="22">
        <v>2718.0</v>
      </c>
      <c r="O97" s="14"/>
      <c r="P97" s="26">
        <v>0.52</v>
      </c>
      <c r="Q97" s="26">
        <v>0.48</v>
      </c>
      <c r="R97" s="26">
        <v>0.45</v>
      </c>
    </row>
    <row r="98" ht="14.25" customHeight="1">
      <c r="A98" s="18" t="s">
        <v>139</v>
      </c>
      <c r="B98" s="18" t="s">
        <v>199</v>
      </c>
      <c r="C98" s="19" t="s">
        <v>224</v>
      </c>
      <c r="D98" s="20" t="s">
        <v>225</v>
      </c>
      <c r="E98" s="21">
        <v>1.62742E12</v>
      </c>
      <c r="F98" s="21" t="s">
        <v>134</v>
      </c>
      <c r="G98" s="23">
        <v>24990.0</v>
      </c>
      <c r="H98" s="23">
        <v>8818.0</v>
      </c>
      <c r="I98" s="24">
        <v>6549.0</v>
      </c>
      <c r="J98" s="25"/>
      <c r="K98" s="25"/>
      <c r="L98" s="22">
        <v>6549.0</v>
      </c>
      <c r="M98" s="22">
        <v>7017.0</v>
      </c>
      <c r="N98" s="22">
        <v>7485.0</v>
      </c>
      <c r="O98" s="14"/>
      <c r="P98" s="26">
        <v>0.12</v>
      </c>
      <c r="Q98" s="26">
        <v>0.05</v>
      </c>
      <c r="R98" s="26">
        <v>-0.01</v>
      </c>
    </row>
    <row r="99" ht="14.25" customHeight="1">
      <c r="A99" s="18" t="s">
        <v>139</v>
      </c>
      <c r="B99" s="18" t="s">
        <v>199</v>
      </c>
      <c r="C99" s="19" t="s">
        <v>224</v>
      </c>
      <c r="D99" s="20" t="s">
        <v>226</v>
      </c>
      <c r="E99" s="21">
        <v>6.78981E13</v>
      </c>
      <c r="F99" s="21" t="s">
        <v>179</v>
      </c>
      <c r="G99" s="23">
        <v>149990.0</v>
      </c>
      <c r="H99" s="23">
        <v>64700.0</v>
      </c>
      <c r="I99" s="24">
        <v>41118.0</v>
      </c>
      <c r="J99" s="25"/>
      <c r="K99" s="25"/>
      <c r="L99" s="22">
        <v>41118.0</v>
      </c>
      <c r="M99" s="22">
        <v>44055.0</v>
      </c>
      <c r="N99" s="22">
        <v>46992.0</v>
      </c>
      <c r="O99" s="14"/>
      <c r="P99" s="26">
        <v>0.24</v>
      </c>
      <c r="Q99" s="26">
        <v>0.19</v>
      </c>
      <c r="R99" s="26">
        <v>0.14</v>
      </c>
    </row>
    <row r="100" ht="14.25" customHeight="1">
      <c r="A100" s="18" t="s">
        <v>139</v>
      </c>
      <c r="B100" s="18" t="s">
        <v>199</v>
      </c>
      <c r="C100" s="19" t="s">
        <v>224</v>
      </c>
      <c r="D100" s="20" t="s">
        <v>227</v>
      </c>
      <c r="E100" s="21" t="s">
        <v>228</v>
      </c>
      <c r="F100" s="21" t="s">
        <v>20</v>
      </c>
      <c r="G100" s="23">
        <v>129990.0</v>
      </c>
      <c r="H100" s="23">
        <v>58818.0</v>
      </c>
      <c r="I100" s="24">
        <v>36777.0</v>
      </c>
      <c r="J100" s="25"/>
      <c r="K100" s="25"/>
      <c r="L100" s="22">
        <v>36777.0</v>
      </c>
      <c r="M100" s="22">
        <v>39404.0</v>
      </c>
      <c r="N100" s="22">
        <v>42031.0</v>
      </c>
      <c r="O100" s="14"/>
      <c r="P100" s="26">
        <v>0.26</v>
      </c>
      <c r="Q100" s="26">
        <v>0.2</v>
      </c>
      <c r="R100" s="26">
        <v>0.15</v>
      </c>
    </row>
    <row r="101" ht="14.25" customHeight="1">
      <c r="A101" s="18" t="s">
        <v>139</v>
      </c>
      <c r="B101" s="18" t="s">
        <v>199</v>
      </c>
      <c r="C101" s="19" t="s">
        <v>224</v>
      </c>
      <c r="D101" s="20" t="s">
        <v>229</v>
      </c>
      <c r="E101" s="21">
        <v>1.63037E12</v>
      </c>
      <c r="F101" s="21" t="s">
        <v>134</v>
      </c>
      <c r="G101" s="23">
        <v>319990.0</v>
      </c>
      <c r="H101" s="23">
        <v>117641.0</v>
      </c>
      <c r="I101" s="24">
        <v>48846.0</v>
      </c>
      <c r="J101" s="25"/>
      <c r="K101" s="25"/>
      <c r="L101" s="22">
        <v>48846.0</v>
      </c>
      <c r="M101" s="22">
        <v>52335.0</v>
      </c>
      <c r="N101" s="22">
        <v>55824.0</v>
      </c>
      <c r="O101" s="14"/>
      <c r="P101" s="26">
        <v>0.51</v>
      </c>
      <c r="Q101" s="26">
        <v>0.47</v>
      </c>
      <c r="R101" s="26">
        <v>0.44</v>
      </c>
    </row>
    <row r="102" ht="14.25" customHeight="1">
      <c r="A102" s="18" t="s">
        <v>139</v>
      </c>
      <c r="B102" s="18" t="s">
        <v>199</v>
      </c>
      <c r="C102" s="19" t="s">
        <v>224</v>
      </c>
      <c r="D102" s="20" t="s">
        <v>230</v>
      </c>
      <c r="E102" s="21" t="s">
        <v>231</v>
      </c>
      <c r="F102" s="21" t="s">
        <v>20</v>
      </c>
      <c r="G102" s="23">
        <v>49990.0</v>
      </c>
      <c r="H102" s="23">
        <v>23524.0</v>
      </c>
      <c r="I102" s="24">
        <v>14045.0</v>
      </c>
      <c r="J102" s="25"/>
      <c r="K102" s="25"/>
      <c r="L102" s="22">
        <v>14045.0</v>
      </c>
      <c r="M102" s="22">
        <v>15048.0</v>
      </c>
      <c r="N102" s="22">
        <v>16051.0</v>
      </c>
      <c r="O102" s="14"/>
      <c r="P102" s="26">
        <v>0.29</v>
      </c>
      <c r="Q102" s="26">
        <v>0.24</v>
      </c>
      <c r="R102" s="26">
        <v>0.19</v>
      </c>
    </row>
    <row r="103" ht="14.25" customHeight="1">
      <c r="A103" s="18" t="s">
        <v>139</v>
      </c>
      <c r="B103" s="18" t="s">
        <v>199</v>
      </c>
      <c r="C103" s="19" t="s">
        <v>224</v>
      </c>
      <c r="D103" s="20" t="s">
        <v>232</v>
      </c>
      <c r="E103" s="22" t="s">
        <v>233</v>
      </c>
      <c r="F103" s="22" t="s">
        <v>20</v>
      </c>
      <c r="G103" s="23">
        <v>19990.0</v>
      </c>
      <c r="H103" s="23">
        <v>5876.0</v>
      </c>
      <c r="I103" s="24">
        <v>3342.0</v>
      </c>
      <c r="J103" s="25"/>
      <c r="K103" s="25"/>
      <c r="L103" s="22">
        <v>3342.0</v>
      </c>
      <c r="M103" s="22">
        <v>3581.0</v>
      </c>
      <c r="N103" s="22">
        <v>3819.0</v>
      </c>
      <c r="O103" s="14"/>
      <c r="P103" s="26">
        <v>0.32</v>
      </c>
      <c r="Q103" s="26">
        <v>0.27</v>
      </c>
      <c r="R103" s="26">
        <v>0.23</v>
      </c>
    </row>
    <row r="104" ht="14.25" customHeight="1">
      <c r="A104" s="18" t="s">
        <v>139</v>
      </c>
      <c r="B104" s="18" t="s">
        <v>199</v>
      </c>
      <c r="C104" s="19" t="s">
        <v>224</v>
      </c>
      <c r="D104" s="20" t="s">
        <v>234</v>
      </c>
      <c r="E104" s="21" t="s">
        <v>235</v>
      </c>
      <c r="F104" s="21" t="s">
        <v>20</v>
      </c>
      <c r="G104" s="23">
        <v>49990.0</v>
      </c>
      <c r="H104" s="23">
        <v>17641.0</v>
      </c>
      <c r="I104" s="24">
        <v>13499.0</v>
      </c>
      <c r="J104" s="25"/>
      <c r="K104" s="25"/>
      <c r="L104" s="22">
        <v>13499.0</v>
      </c>
      <c r="M104" s="22">
        <v>14464.0</v>
      </c>
      <c r="N104" s="22">
        <v>15428.0</v>
      </c>
      <c r="O104" s="14"/>
      <c r="P104" s="26">
        <v>0.09</v>
      </c>
      <c r="Q104" s="26">
        <v>0.02</v>
      </c>
      <c r="R104" s="26">
        <v>-0.04</v>
      </c>
    </row>
    <row r="105" ht="14.25" customHeight="1">
      <c r="A105" s="18" t="s">
        <v>139</v>
      </c>
      <c r="B105" s="18" t="s">
        <v>199</v>
      </c>
      <c r="C105" s="19" t="s">
        <v>224</v>
      </c>
      <c r="D105" s="29" t="s">
        <v>236</v>
      </c>
      <c r="E105" s="22" t="s">
        <v>237</v>
      </c>
      <c r="F105" s="22" t="s">
        <v>193</v>
      </c>
      <c r="G105" s="23">
        <v>14990.0</v>
      </c>
      <c r="H105" s="23">
        <v>4700.0</v>
      </c>
      <c r="I105" s="24">
        <v>1297.0</v>
      </c>
      <c r="J105" s="25"/>
      <c r="K105" s="25"/>
      <c r="L105" s="22">
        <v>1297.0</v>
      </c>
      <c r="M105" s="22">
        <v>1390.0</v>
      </c>
      <c r="N105" s="22">
        <v>1483.0</v>
      </c>
      <c r="O105" s="14"/>
      <c r="P105" s="26">
        <v>0.67</v>
      </c>
      <c r="Q105" s="26">
        <v>0.65</v>
      </c>
      <c r="R105" s="26">
        <v>0.62</v>
      </c>
    </row>
    <row r="106" ht="14.25" customHeight="1">
      <c r="A106" s="18" t="s">
        <v>139</v>
      </c>
      <c r="B106" s="18" t="s">
        <v>199</v>
      </c>
      <c r="C106" s="19" t="s">
        <v>224</v>
      </c>
      <c r="D106" s="29" t="s">
        <v>238</v>
      </c>
      <c r="E106" s="22" t="s">
        <v>239</v>
      </c>
      <c r="F106" s="22" t="s">
        <v>193</v>
      </c>
      <c r="G106" s="23">
        <v>69990.0</v>
      </c>
      <c r="H106" s="23">
        <v>29406.0</v>
      </c>
      <c r="I106" s="24">
        <v>10481.0</v>
      </c>
      <c r="J106" s="25"/>
      <c r="K106" s="25"/>
      <c r="L106" s="22">
        <v>10481.0</v>
      </c>
      <c r="M106" s="22">
        <v>11230.0</v>
      </c>
      <c r="N106" s="22">
        <v>11978.0</v>
      </c>
      <c r="O106" s="14"/>
      <c r="P106" s="26">
        <v>0.58</v>
      </c>
      <c r="Q106" s="26">
        <v>0.55</v>
      </c>
      <c r="R106" s="26">
        <v>0.52</v>
      </c>
    </row>
    <row r="107" ht="14.25" customHeight="1">
      <c r="A107" s="18" t="s">
        <v>139</v>
      </c>
      <c r="B107" s="18" t="s">
        <v>240</v>
      </c>
      <c r="C107" s="19" t="s">
        <v>241</v>
      </c>
      <c r="D107" s="20" t="s">
        <v>242</v>
      </c>
      <c r="E107" s="21">
        <v>1.65283E12</v>
      </c>
      <c r="F107" s="21" t="s">
        <v>20</v>
      </c>
      <c r="G107" s="23">
        <v>29990.0</v>
      </c>
      <c r="H107" s="23">
        <v>13524.0</v>
      </c>
      <c r="I107" s="24">
        <v>7262.0</v>
      </c>
      <c r="J107" s="25"/>
      <c r="K107" s="25"/>
      <c r="L107" s="22">
        <v>7262.0</v>
      </c>
      <c r="M107" s="22">
        <v>7781.0</v>
      </c>
      <c r="N107" s="22">
        <v>8299.0</v>
      </c>
      <c r="O107" s="14"/>
      <c r="P107" s="26">
        <v>0.36</v>
      </c>
      <c r="Q107" s="26">
        <v>0.32</v>
      </c>
      <c r="R107" s="26">
        <v>0.27</v>
      </c>
    </row>
    <row r="108" ht="14.25" customHeight="1">
      <c r="A108" s="18" t="s">
        <v>139</v>
      </c>
      <c r="B108" s="18" t="s">
        <v>240</v>
      </c>
      <c r="C108" s="19" t="s">
        <v>243</v>
      </c>
      <c r="D108" s="20" t="s">
        <v>244</v>
      </c>
      <c r="E108" s="21">
        <v>6.73276E13</v>
      </c>
      <c r="F108" s="21" t="s">
        <v>20</v>
      </c>
      <c r="G108" s="23">
        <v>69990.0</v>
      </c>
      <c r="H108" s="23">
        <v>23524.0</v>
      </c>
      <c r="I108" s="24">
        <v>12919.0</v>
      </c>
      <c r="J108" s="25"/>
      <c r="K108" s="25"/>
      <c r="L108" s="22">
        <v>12919.0</v>
      </c>
      <c r="M108" s="22">
        <v>13842.0</v>
      </c>
      <c r="N108" s="22">
        <v>14765.0</v>
      </c>
      <c r="O108" s="14"/>
      <c r="P108" s="26">
        <v>0.35</v>
      </c>
      <c r="Q108" s="26">
        <v>0.3</v>
      </c>
      <c r="R108" s="26">
        <v>0.25</v>
      </c>
    </row>
    <row r="109" ht="14.25" customHeight="1">
      <c r="A109" s="18" t="s">
        <v>139</v>
      </c>
      <c r="B109" s="18" t="s">
        <v>240</v>
      </c>
      <c r="C109" s="19" t="s">
        <v>243</v>
      </c>
      <c r="D109" s="20" t="s">
        <v>245</v>
      </c>
      <c r="E109" s="21">
        <v>1.74832E12</v>
      </c>
      <c r="F109" s="21" t="s">
        <v>134</v>
      </c>
      <c r="G109" s="23">
        <v>89990.0</v>
      </c>
      <c r="H109" s="23">
        <v>35288.0</v>
      </c>
      <c r="I109" s="24">
        <v>30370.0</v>
      </c>
      <c r="J109" s="25"/>
      <c r="K109" s="25"/>
      <c r="L109" s="22">
        <v>30370.0</v>
      </c>
      <c r="M109" s="22">
        <v>32539.0</v>
      </c>
      <c r="N109" s="22">
        <v>34709.0</v>
      </c>
      <c r="O109" s="14"/>
      <c r="P109" s="26">
        <v>-0.02</v>
      </c>
      <c r="Q109" s="26">
        <v>-0.1</v>
      </c>
      <c r="R109" s="26">
        <v>-0.17</v>
      </c>
    </row>
    <row r="110" ht="14.25" customHeight="1">
      <c r="A110" s="18" t="s">
        <v>139</v>
      </c>
      <c r="B110" s="18" t="s">
        <v>240</v>
      </c>
      <c r="C110" s="19" t="s">
        <v>246</v>
      </c>
      <c r="D110" s="20" t="s">
        <v>247</v>
      </c>
      <c r="E110" s="21" t="s">
        <v>248</v>
      </c>
      <c r="F110" s="22" t="s">
        <v>20</v>
      </c>
      <c r="G110" s="23">
        <v>34990.0</v>
      </c>
      <c r="H110" s="23">
        <v>13524.0</v>
      </c>
      <c r="I110" s="24">
        <v>7602.0</v>
      </c>
      <c r="J110" s="25"/>
      <c r="K110" s="25"/>
      <c r="L110" s="22">
        <v>7602.0</v>
      </c>
      <c r="M110" s="22">
        <v>8145.0</v>
      </c>
      <c r="N110" s="22">
        <v>8688.0</v>
      </c>
      <c r="O110" s="14"/>
      <c r="P110" s="26">
        <v>0.33</v>
      </c>
      <c r="Q110" s="26">
        <v>0.28</v>
      </c>
      <c r="R110" s="26">
        <v>0.24</v>
      </c>
    </row>
    <row r="111" ht="14.25" customHeight="1">
      <c r="A111" s="18" t="s">
        <v>139</v>
      </c>
      <c r="B111" s="18" t="s">
        <v>240</v>
      </c>
      <c r="C111" s="19" t="s">
        <v>249</v>
      </c>
      <c r="D111" s="20" t="s">
        <v>250</v>
      </c>
      <c r="E111" s="21" t="s">
        <v>251</v>
      </c>
      <c r="F111" s="21" t="s">
        <v>20</v>
      </c>
      <c r="G111" s="23">
        <v>129990.0</v>
      </c>
      <c r="H111" s="23">
        <v>47053.0</v>
      </c>
      <c r="I111" s="24">
        <v>33131.0</v>
      </c>
      <c r="J111" s="25"/>
      <c r="K111" s="25"/>
      <c r="L111" s="22">
        <v>33131.0</v>
      </c>
      <c r="M111" s="22">
        <v>35497.0</v>
      </c>
      <c r="N111" s="22">
        <v>37864.0</v>
      </c>
      <c r="O111" s="14"/>
      <c r="P111" s="26">
        <v>0.16</v>
      </c>
      <c r="Q111" s="26">
        <v>0.1</v>
      </c>
      <c r="R111" s="26">
        <v>0.04</v>
      </c>
    </row>
    <row r="112" ht="14.25" customHeight="1">
      <c r="A112" s="18" t="s">
        <v>139</v>
      </c>
      <c r="B112" s="18" t="s">
        <v>240</v>
      </c>
      <c r="C112" s="19" t="s">
        <v>249</v>
      </c>
      <c r="D112" s="20" t="s">
        <v>252</v>
      </c>
      <c r="E112" s="21" t="s">
        <v>253</v>
      </c>
      <c r="F112" s="21" t="s">
        <v>20</v>
      </c>
      <c r="G112" s="23">
        <v>249990.0</v>
      </c>
      <c r="H112" s="23">
        <v>88229.0</v>
      </c>
      <c r="I112" s="24">
        <v>65373.0</v>
      </c>
      <c r="J112" s="25"/>
      <c r="K112" s="25"/>
      <c r="L112" s="22">
        <v>65373.0</v>
      </c>
      <c r="M112" s="22">
        <v>70042.0</v>
      </c>
      <c r="N112" s="22">
        <v>74712.0</v>
      </c>
      <c r="O112" s="14"/>
      <c r="P112" s="26">
        <v>0.12</v>
      </c>
      <c r="Q112" s="26">
        <v>0.06</v>
      </c>
      <c r="R112" s="26">
        <v>-0.01</v>
      </c>
    </row>
    <row r="113" ht="14.25" customHeight="1">
      <c r="A113" s="18" t="s">
        <v>139</v>
      </c>
      <c r="B113" s="18" t="s">
        <v>240</v>
      </c>
      <c r="C113" s="19" t="s">
        <v>254</v>
      </c>
      <c r="D113" s="20" t="s">
        <v>255</v>
      </c>
      <c r="E113" s="21">
        <v>1.54341E12</v>
      </c>
      <c r="F113" s="21" t="s">
        <v>20</v>
      </c>
      <c r="G113" s="23">
        <v>24990.0</v>
      </c>
      <c r="H113" s="23">
        <v>7641.0</v>
      </c>
      <c r="I113" s="24">
        <v>3664.0</v>
      </c>
      <c r="J113" s="25"/>
      <c r="K113" s="25"/>
      <c r="L113" s="22">
        <v>3664.0</v>
      </c>
      <c r="M113" s="22">
        <v>3926.0</v>
      </c>
      <c r="N113" s="22">
        <v>4187.0</v>
      </c>
      <c r="O113" s="14"/>
      <c r="P113" s="26">
        <v>0.43</v>
      </c>
      <c r="Q113" s="26">
        <v>0.39</v>
      </c>
      <c r="R113" s="26">
        <v>0.35</v>
      </c>
    </row>
    <row r="114" ht="14.25" customHeight="1">
      <c r="A114" s="18" t="s">
        <v>139</v>
      </c>
      <c r="B114" s="18" t="s">
        <v>240</v>
      </c>
      <c r="C114" s="19" t="s">
        <v>254</v>
      </c>
      <c r="D114" s="20" t="s">
        <v>256</v>
      </c>
      <c r="E114" s="21">
        <v>1.53814E12</v>
      </c>
      <c r="F114" s="21" t="s">
        <v>20</v>
      </c>
      <c r="G114" s="23">
        <v>24990.0</v>
      </c>
      <c r="H114" s="23">
        <v>7641.0</v>
      </c>
      <c r="I114" s="24">
        <v>3681.0</v>
      </c>
      <c r="J114" s="25"/>
      <c r="K114" s="25"/>
      <c r="L114" s="22">
        <v>3681.0</v>
      </c>
      <c r="M114" s="22">
        <v>3944.0</v>
      </c>
      <c r="N114" s="22">
        <v>4207.0</v>
      </c>
      <c r="O114" s="14"/>
      <c r="P114" s="26">
        <v>0.43</v>
      </c>
      <c r="Q114" s="26">
        <v>0.39</v>
      </c>
      <c r="R114" s="26">
        <v>0.34</v>
      </c>
    </row>
    <row r="115" ht="14.25" customHeight="1">
      <c r="A115" s="18" t="s">
        <v>139</v>
      </c>
      <c r="B115" s="18" t="s">
        <v>257</v>
      </c>
      <c r="C115" s="19" t="s">
        <v>258</v>
      </c>
      <c r="D115" s="20" t="s">
        <v>259</v>
      </c>
      <c r="E115" s="21" t="s">
        <v>260</v>
      </c>
      <c r="F115" s="21" t="s">
        <v>179</v>
      </c>
      <c r="G115" s="23">
        <v>9990.0</v>
      </c>
      <c r="H115" s="23">
        <v>4112.0</v>
      </c>
      <c r="I115" s="24">
        <v>2955.0</v>
      </c>
      <c r="J115" s="25"/>
      <c r="K115" s="25"/>
      <c r="L115" s="22">
        <v>2955.0</v>
      </c>
      <c r="M115" s="22">
        <v>3166.0</v>
      </c>
      <c r="N115" s="22">
        <v>3377.0</v>
      </c>
      <c r="O115" s="14"/>
      <c r="P115" s="26">
        <v>0.14</v>
      </c>
      <c r="Q115" s="26">
        <v>0.08</v>
      </c>
      <c r="R115" s="26">
        <v>0.02</v>
      </c>
    </row>
    <row r="116" ht="14.25" customHeight="1">
      <c r="A116" s="18" t="s">
        <v>139</v>
      </c>
      <c r="B116" s="18" t="s">
        <v>257</v>
      </c>
      <c r="C116" s="16" t="s">
        <v>261</v>
      </c>
      <c r="D116" s="29" t="s">
        <v>262</v>
      </c>
      <c r="E116" s="22" t="s">
        <v>263</v>
      </c>
      <c r="F116" s="22" t="s">
        <v>193</v>
      </c>
      <c r="G116" s="23">
        <v>39990.0</v>
      </c>
      <c r="H116" s="23">
        <v>17641.0</v>
      </c>
      <c r="I116" s="24">
        <v>9729.0</v>
      </c>
      <c r="J116" s="25"/>
      <c r="K116" s="25"/>
      <c r="L116" s="22">
        <v>9729.0</v>
      </c>
      <c r="M116" s="22">
        <v>10424.0</v>
      </c>
      <c r="N116" s="22">
        <v>11119.0</v>
      </c>
      <c r="O116" s="14"/>
      <c r="P116" s="26">
        <v>0.34</v>
      </c>
      <c r="Q116" s="26">
        <v>0.3</v>
      </c>
      <c r="R116" s="26">
        <v>0.25</v>
      </c>
    </row>
    <row r="117" ht="14.25" customHeight="1">
      <c r="A117" s="18" t="s">
        <v>139</v>
      </c>
      <c r="B117" s="18" t="s">
        <v>257</v>
      </c>
      <c r="C117" s="16" t="s">
        <v>261</v>
      </c>
      <c r="D117" s="29" t="s">
        <v>264</v>
      </c>
      <c r="E117" s="22" t="s">
        <v>265</v>
      </c>
      <c r="F117" s="22" t="s">
        <v>193</v>
      </c>
      <c r="G117" s="23">
        <v>24990.0</v>
      </c>
      <c r="H117" s="23">
        <v>8818.0</v>
      </c>
      <c r="I117" s="24">
        <v>5189.0</v>
      </c>
      <c r="J117" s="25"/>
      <c r="K117" s="25"/>
      <c r="L117" s="22">
        <v>5189.0</v>
      </c>
      <c r="M117" s="22">
        <v>5559.0</v>
      </c>
      <c r="N117" s="22">
        <v>5930.0</v>
      </c>
      <c r="O117" s="14"/>
      <c r="P117" s="26">
        <v>0.3</v>
      </c>
      <c r="Q117" s="26">
        <v>0.25</v>
      </c>
      <c r="R117" s="26">
        <v>0.2</v>
      </c>
    </row>
    <row r="118" ht="14.25" customHeight="1">
      <c r="A118" s="18" t="s">
        <v>139</v>
      </c>
      <c r="B118" s="18" t="s">
        <v>266</v>
      </c>
      <c r="C118" s="19" t="s">
        <v>267</v>
      </c>
      <c r="D118" s="20" t="s">
        <v>268</v>
      </c>
      <c r="E118" s="21">
        <v>1.65833E12</v>
      </c>
      <c r="F118" s="21" t="s">
        <v>134</v>
      </c>
      <c r="G118" s="23">
        <v>169990.0</v>
      </c>
      <c r="H118" s="23">
        <v>87388.0</v>
      </c>
      <c r="I118" s="24">
        <v>57727.0</v>
      </c>
      <c r="J118" s="25"/>
      <c r="K118" s="25"/>
      <c r="L118" s="22">
        <v>57727.0</v>
      </c>
      <c r="M118" s="22">
        <v>61850.0</v>
      </c>
      <c r="N118" s="22">
        <v>65974.0</v>
      </c>
      <c r="O118" s="14"/>
      <c r="P118" s="26">
        <v>0.21</v>
      </c>
      <c r="Q118" s="26">
        <v>0.16</v>
      </c>
      <c r="R118" s="26">
        <v>0.1</v>
      </c>
    </row>
    <row r="119" ht="14.25" customHeight="1">
      <c r="A119" s="18" t="s">
        <v>139</v>
      </c>
      <c r="B119" s="18" t="s">
        <v>266</v>
      </c>
      <c r="C119" s="19" t="s">
        <v>267</v>
      </c>
      <c r="D119" s="20" t="s">
        <v>269</v>
      </c>
      <c r="E119" s="21">
        <v>1.63457E12</v>
      </c>
      <c r="F119" s="21" t="s">
        <v>134</v>
      </c>
      <c r="G119" s="23">
        <v>249990.0</v>
      </c>
      <c r="H119" s="23">
        <v>87388.0</v>
      </c>
      <c r="I119" s="24">
        <v>64752.0</v>
      </c>
      <c r="J119" s="25"/>
      <c r="K119" s="25"/>
      <c r="L119" s="22">
        <v>64752.0</v>
      </c>
      <c r="M119" s="22">
        <v>69377.0</v>
      </c>
      <c r="N119" s="22">
        <v>74002.0</v>
      </c>
      <c r="O119" s="14"/>
      <c r="P119" s="26">
        <v>0.12</v>
      </c>
      <c r="Q119" s="26">
        <v>0.06</v>
      </c>
      <c r="R119" s="26">
        <v>-0.01</v>
      </c>
    </row>
    <row r="120" ht="14.25" customHeight="1">
      <c r="A120" s="18" t="s">
        <v>139</v>
      </c>
      <c r="B120" s="18" t="s">
        <v>266</v>
      </c>
      <c r="C120" s="19" t="s">
        <v>267</v>
      </c>
      <c r="D120" s="20" t="s">
        <v>270</v>
      </c>
      <c r="E120" s="21" t="s">
        <v>271</v>
      </c>
      <c r="F120" s="21" t="s">
        <v>179</v>
      </c>
      <c r="G120" s="23">
        <v>169990.0</v>
      </c>
      <c r="H120" s="23">
        <v>67220.0</v>
      </c>
      <c r="I120" s="24">
        <v>46527.0</v>
      </c>
      <c r="J120" s="25"/>
      <c r="K120" s="25"/>
      <c r="L120" s="22">
        <v>46527.0</v>
      </c>
      <c r="M120" s="22">
        <v>49850.0</v>
      </c>
      <c r="N120" s="22">
        <v>53174.0</v>
      </c>
      <c r="O120" s="14"/>
      <c r="P120" s="26">
        <v>0.18</v>
      </c>
      <c r="Q120" s="26">
        <v>0.12</v>
      </c>
      <c r="R120" s="26">
        <v>0.06</v>
      </c>
    </row>
    <row r="121" ht="14.25" customHeight="1">
      <c r="A121" s="18" t="s">
        <v>139</v>
      </c>
      <c r="B121" s="18" t="s">
        <v>266</v>
      </c>
      <c r="C121" s="19" t="s">
        <v>267</v>
      </c>
      <c r="D121" s="20" t="s">
        <v>272</v>
      </c>
      <c r="E121" s="21">
        <v>1.63037E12</v>
      </c>
      <c r="F121" s="21" t="s">
        <v>134</v>
      </c>
      <c r="G121" s="23">
        <v>149990.0</v>
      </c>
      <c r="H121" s="23">
        <v>80666.0</v>
      </c>
      <c r="I121" s="24">
        <v>38505.0</v>
      </c>
      <c r="J121" s="25"/>
      <c r="K121" s="25"/>
      <c r="L121" s="22">
        <v>38505.0</v>
      </c>
      <c r="M121" s="22">
        <v>41255.0</v>
      </c>
      <c r="N121" s="22">
        <v>44006.0</v>
      </c>
      <c r="O121" s="14"/>
      <c r="P121" s="26">
        <v>0.43</v>
      </c>
      <c r="Q121" s="26">
        <v>0.39</v>
      </c>
      <c r="R121" s="26">
        <v>0.35</v>
      </c>
    </row>
    <row r="122" ht="14.25" customHeight="1">
      <c r="A122" s="18" t="s">
        <v>139</v>
      </c>
      <c r="B122" s="18" t="s">
        <v>266</v>
      </c>
      <c r="C122" s="19" t="s">
        <v>267</v>
      </c>
      <c r="D122" s="20" t="s">
        <v>273</v>
      </c>
      <c r="E122" s="21" t="s">
        <v>274</v>
      </c>
      <c r="F122" s="21" t="s">
        <v>179</v>
      </c>
      <c r="G122" s="23">
        <v>269990.0</v>
      </c>
      <c r="H122" s="23">
        <v>121002.0</v>
      </c>
      <c r="I122" s="24">
        <v>76078.0</v>
      </c>
      <c r="J122" s="25"/>
      <c r="K122" s="25"/>
      <c r="L122" s="22">
        <v>76078.0</v>
      </c>
      <c r="M122" s="22">
        <v>81512.0</v>
      </c>
      <c r="N122" s="22">
        <v>86947.0</v>
      </c>
      <c r="O122" s="14"/>
      <c r="P122" s="26">
        <v>0.25</v>
      </c>
      <c r="Q122" s="26">
        <v>0.2</v>
      </c>
      <c r="R122" s="26">
        <v>0.14</v>
      </c>
    </row>
    <row r="123" ht="14.25" customHeight="1">
      <c r="A123" s="18" t="s">
        <v>139</v>
      </c>
      <c r="B123" s="18" t="s">
        <v>266</v>
      </c>
      <c r="C123" s="19" t="s">
        <v>267</v>
      </c>
      <c r="D123" s="20" t="s">
        <v>275</v>
      </c>
      <c r="E123" s="21" t="s">
        <v>276</v>
      </c>
      <c r="F123" s="21" t="s">
        <v>179</v>
      </c>
      <c r="G123" s="23">
        <v>319990.0</v>
      </c>
      <c r="H123" s="23">
        <v>147892.0</v>
      </c>
      <c r="I123" s="24">
        <v>90993.0</v>
      </c>
      <c r="J123" s="25"/>
      <c r="K123" s="25"/>
      <c r="L123" s="22">
        <v>90993.0</v>
      </c>
      <c r="M123" s="22">
        <v>97492.0</v>
      </c>
      <c r="N123" s="22">
        <v>103992.0</v>
      </c>
      <c r="O123" s="14"/>
      <c r="P123" s="26">
        <v>0.27</v>
      </c>
      <c r="Q123" s="26">
        <v>0.22</v>
      </c>
      <c r="R123" s="26">
        <v>0.16</v>
      </c>
    </row>
    <row r="124" ht="14.25" customHeight="1">
      <c r="A124" s="18" t="s">
        <v>139</v>
      </c>
      <c r="B124" s="18" t="s">
        <v>266</v>
      </c>
      <c r="C124" s="19" t="s">
        <v>267</v>
      </c>
      <c r="D124" s="20" t="s">
        <v>277</v>
      </c>
      <c r="E124" s="21" t="s">
        <v>278</v>
      </c>
      <c r="F124" s="21" t="s">
        <v>179</v>
      </c>
      <c r="G124" s="23">
        <v>219990.0</v>
      </c>
      <c r="H124" s="23">
        <v>100834.0</v>
      </c>
      <c r="I124" s="24">
        <v>59292.0</v>
      </c>
      <c r="J124" s="25"/>
      <c r="K124" s="25"/>
      <c r="L124" s="22">
        <v>59292.0</v>
      </c>
      <c r="M124" s="22">
        <v>63527.0</v>
      </c>
      <c r="N124" s="22">
        <v>67762.0</v>
      </c>
      <c r="O124" s="14"/>
      <c r="P124" s="26">
        <v>0.3</v>
      </c>
      <c r="Q124" s="26">
        <v>0.25</v>
      </c>
      <c r="R124" s="26">
        <v>0.2</v>
      </c>
    </row>
    <row r="125" ht="14.25" customHeight="1">
      <c r="A125" s="18" t="s">
        <v>139</v>
      </c>
      <c r="B125" s="18" t="s">
        <v>266</v>
      </c>
      <c r="C125" s="19" t="s">
        <v>267</v>
      </c>
      <c r="D125" s="20" t="s">
        <v>279</v>
      </c>
      <c r="E125" s="21">
        <v>1.65833E12</v>
      </c>
      <c r="F125" s="21" t="s">
        <v>134</v>
      </c>
      <c r="G125" s="23">
        <v>299990.0</v>
      </c>
      <c r="H125" s="23">
        <v>127724.0</v>
      </c>
      <c r="I125" s="24">
        <v>110640.0</v>
      </c>
      <c r="J125" s="25"/>
      <c r="K125" s="25"/>
      <c r="L125" s="22">
        <v>110640.0</v>
      </c>
      <c r="M125" s="22">
        <v>118542.0</v>
      </c>
      <c r="N125" s="22">
        <v>126446.0</v>
      </c>
      <c r="O125" s="14"/>
      <c r="P125" s="26">
        <v>-0.03</v>
      </c>
      <c r="Q125" s="26">
        <v>-0.1</v>
      </c>
      <c r="R125" s="26">
        <v>-0.18</v>
      </c>
    </row>
    <row r="126" ht="14.25" customHeight="1">
      <c r="A126" s="18" t="s">
        <v>139</v>
      </c>
      <c r="B126" s="18" t="s">
        <v>266</v>
      </c>
      <c r="C126" s="19" t="s">
        <v>267</v>
      </c>
      <c r="D126" s="29" t="s">
        <v>280</v>
      </c>
      <c r="E126" s="22" t="s">
        <v>281</v>
      </c>
      <c r="F126" s="22" t="s">
        <v>193</v>
      </c>
      <c r="G126" s="23">
        <v>129990.0</v>
      </c>
      <c r="H126" s="23">
        <v>58818.0</v>
      </c>
      <c r="I126" s="24">
        <v>38874.0</v>
      </c>
      <c r="J126" s="25"/>
      <c r="K126" s="25"/>
      <c r="L126" s="22">
        <v>38874.0</v>
      </c>
      <c r="M126" s="22">
        <v>41651.0</v>
      </c>
      <c r="N126" s="22">
        <v>44428.0</v>
      </c>
      <c r="O126" s="14"/>
      <c r="P126" s="26">
        <v>0.21</v>
      </c>
      <c r="Q126" s="26">
        <v>0.16</v>
      </c>
      <c r="R126" s="26">
        <v>0.1</v>
      </c>
    </row>
    <row r="127" ht="14.25" customHeight="1">
      <c r="A127" s="18" t="s">
        <v>139</v>
      </c>
      <c r="B127" s="18" t="s">
        <v>266</v>
      </c>
      <c r="C127" s="19" t="s">
        <v>282</v>
      </c>
      <c r="D127" s="20" t="s">
        <v>283</v>
      </c>
      <c r="E127" s="21" t="s">
        <v>284</v>
      </c>
      <c r="F127" s="21" t="s">
        <v>179</v>
      </c>
      <c r="G127" s="23">
        <v>129990.0</v>
      </c>
      <c r="H127" s="23">
        <v>47053.0</v>
      </c>
      <c r="I127" s="24">
        <v>24166.0</v>
      </c>
      <c r="J127" s="25"/>
      <c r="K127" s="25"/>
      <c r="L127" s="22">
        <v>24166.0</v>
      </c>
      <c r="M127" s="22">
        <v>25892.0</v>
      </c>
      <c r="N127" s="22">
        <v>27618.0</v>
      </c>
      <c r="O127" s="14"/>
      <c r="P127" s="26">
        <v>0.39</v>
      </c>
      <c r="Q127" s="26">
        <v>0.35</v>
      </c>
      <c r="R127" s="26">
        <v>0.3</v>
      </c>
    </row>
    <row r="128" ht="14.25" customHeight="1">
      <c r="A128" s="18" t="s">
        <v>139</v>
      </c>
      <c r="B128" s="18" t="s">
        <v>266</v>
      </c>
      <c r="C128" s="19" t="s">
        <v>282</v>
      </c>
      <c r="D128" s="20" t="s">
        <v>285</v>
      </c>
      <c r="E128" s="21">
        <v>1.65999E12</v>
      </c>
      <c r="F128" s="21" t="s">
        <v>179</v>
      </c>
      <c r="G128" s="23">
        <v>99990.0</v>
      </c>
      <c r="H128" s="23">
        <v>41171.0</v>
      </c>
      <c r="I128" s="24">
        <v>20528.0</v>
      </c>
      <c r="J128" s="25"/>
      <c r="K128" s="25"/>
      <c r="L128" s="22">
        <v>20528.0</v>
      </c>
      <c r="M128" s="22">
        <v>21994.0</v>
      </c>
      <c r="N128" s="22">
        <v>23461.0</v>
      </c>
      <c r="O128" s="14"/>
      <c r="P128" s="26">
        <v>0.41</v>
      </c>
      <c r="Q128" s="26">
        <v>0.36</v>
      </c>
      <c r="R128" s="26">
        <v>0.32</v>
      </c>
    </row>
    <row r="129" ht="14.25" customHeight="1">
      <c r="A129" s="18" t="s">
        <v>139</v>
      </c>
      <c r="B129" s="18" t="s">
        <v>266</v>
      </c>
      <c r="C129" s="19" t="s">
        <v>282</v>
      </c>
      <c r="D129" s="20" t="s">
        <v>286</v>
      </c>
      <c r="E129" s="21" t="s">
        <v>287</v>
      </c>
      <c r="F129" s="21" t="s">
        <v>20</v>
      </c>
      <c r="G129" s="23">
        <v>89990.0</v>
      </c>
      <c r="H129" s="23">
        <v>29406.0</v>
      </c>
      <c r="I129" s="24">
        <v>20312.0</v>
      </c>
      <c r="J129" s="25"/>
      <c r="K129" s="25"/>
      <c r="L129" s="22">
        <v>20312.0</v>
      </c>
      <c r="M129" s="22">
        <v>21763.0</v>
      </c>
      <c r="N129" s="22">
        <v>23214.0</v>
      </c>
      <c r="O129" s="14"/>
      <c r="P129" s="26">
        <v>0.18</v>
      </c>
      <c r="Q129" s="26">
        <v>0.12</v>
      </c>
      <c r="R129" s="26">
        <v>0.06</v>
      </c>
    </row>
    <row r="130" ht="14.25" customHeight="1">
      <c r="A130" s="18" t="s">
        <v>139</v>
      </c>
      <c r="B130" s="18" t="s">
        <v>266</v>
      </c>
      <c r="C130" s="19" t="s">
        <v>282</v>
      </c>
      <c r="D130" s="20" t="s">
        <v>288</v>
      </c>
      <c r="E130" s="21">
        <v>1.65999E12</v>
      </c>
      <c r="F130" s="21" t="s">
        <v>179</v>
      </c>
      <c r="G130" s="23">
        <v>69990.0</v>
      </c>
      <c r="H130" s="23">
        <v>23524.0</v>
      </c>
      <c r="I130" s="24">
        <v>10551.0</v>
      </c>
      <c r="J130" s="25"/>
      <c r="K130" s="25"/>
      <c r="L130" s="22">
        <v>10551.0</v>
      </c>
      <c r="M130" s="22">
        <v>11305.0</v>
      </c>
      <c r="N130" s="22">
        <v>12058.0</v>
      </c>
      <c r="O130" s="14"/>
      <c r="P130" s="26">
        <v>0.47</v>
      </c>
      <c r="Q130" s="26">
        <v>0.43</v>
      </c>
      <c r="R130" s="26">
        <v>0.39</v>
      </c>
    </row>
    <row r="131" ht="14.25" customHeight="1">
      <c r="A131" s="18" t="s">
        <v>139</v>
      </c>
      <c r="B131" s="18" t="s">
        <v>266</v>
      </c>
      <c r="C131" s="19" t="s">
        <v>282</v>
      </c>
      <c r="D131" s="20" t="s">
        <v>289</v>
      </c>
      <c r="E131" s="21" t="s">
        <v>290</v>
      </c>
      <c r="F131" s="21" t="s">
        <v>20</v>
      </c>
      <c r="G131" s="23">
        <v>99990.0</v>
      </c>
      <c r="H131" s="23">
        <v>41171.0</v>
      </c>
      <c r="I131" s="24">
        <v>22753.0</v>
      </c>
      <c r="J131" s="25"/>
      <c r="K131" s="25"/>
      <c r="L131" s="22">
        <v>22753.0</v>
      </c>
      <c r="M131" s="22">
        <v>24378.0</v>
      </c>
      <c r="N131" s="22">
        <v>26003.0</v>
      </c>
      <c r="O131" s="14"/>
      <c r="P131" s="26">
        <v>0.34</v>
      </c>
      <c r="Q131" s="26">
        <v>0.3</v>
      </c>
      <c r="R131" s="26">
        <v>0.25</v>
      </c>
    </row>
    <row r="132" ht="14.25" customHeight="1">
      <c r="A132" s="18" t="s">
        <v>139</v>
      </c>
      <c r="B132" s="18" t="s">
        <v>266</v>
      </c>
      <c r="C132" s="19" t="s">
        <v>282</v>
      </c>
      <c r="D132" s="20" t="s">
        <v>291</v>
      </c>
      <c r="E132" s="21" t="s">
        <v>292</v>
      </c>
      <c r="F132" s="21" t="s">
        <v>179</v>
      </c>
      <c r="G132" s="23">
        <v>89990.0</v>
      </c>
      <c r="H132" s="23">
        <v>35288.0</v>
      </c>
      <c r="I132" s="24">
        <v>18571.0</v>
      </c>
      <c r="J132" s="25"/>
      <c r="K132" s="25"/>
      <c r="L132" s="22">
        <v>18571.0</v>
      </c>
      <c r="M132" s="22">
        <v>19897.0</v>
      </c>
      <c r="N132" s="22">
        <v>21224.0</v>
      </c>
      <c r="O132" s="14"/>
      <c r="P132" s="26">
        <v>0.37</v>
      </c>
      <c r="Q132" s="26">
        <v>0.33</v>
      </c>
      <c r="R132" s="26">
        <v>0.28</v>
      </c>
    </row>
    <row r="133" ht="14.25" customHeight="1">
      <c r="A133" s="18" t="s">
        <v>139</v>
      </c>
      <c r="B133" s="18" t="s">
        <v>266</v>
      </c>
      <c r="C133" s="19" t="s">
        <v>282</v>
      </c>
      <c r="D133" s="20" t="s">
        <v>293</v>
      </c>
      <c r="E133" s="22" t="s">
        <v>294</v>
      </c>
      <c r="F133" s="22" t="s">
        <v>20</v>
      </c>
      <c r="G133" s="23">
        <v>349990.0</v>
      </c>
      <c r="H133" s="23">
        <v>147053.0</v>
      </c>
      <c r="I133" s="24">
        <v>99572.0</v>
      </c>
      <c r="J133" s="25"/>
      <c r="K133" s="25"/>
      <c r="L133" s="22">
        <v>99572.0</v>
      </c>
      <c r="M133" s="22">
        <v>106684.0</v>
      </c>
      <c r="N133" s="22">
        <v>113797.0</v>
      </c>
      <c r="O133" s="14"/>
      <c r="P133" s="26">
        <v>0.19</v>
      </c>
      <c r="Q133" s="26">
        <v>0.14</v>
      </c>
      <c r="R133" s="26">
        <v>0.08</v>
      </c>
    </row>
    <row r="134" ht="14.25" customHeight="1">
      <c r="A134" s="18" t="s">
        <v>139</v>
      </c>
      <c r="B134" s="18" t="s">
        <v>266</v>
      </c>
      <c r="C134" s="19" t="s">
        <v>282</v>
      </c>
      <c r="D134" s="29" t="s">
        <v>295</v>
      </c>
      <c r="E134" s="22" t="s">
        <v>296</v>
      </c>
      <c r="F134" s="22" t="s">
        <v>193</v>
      </c>
      <c r="G134" s="23">
        <v>99990.0</v>
      </c>
      <c r="H134" s="23">
        <v>41171.0</v>
      </c>
      <c r="I134" s="24">
        <v>20539.0</v>
      </c>
      <c r="J134" s="25"/>
      <c r="K134" s="25"/>
      <c r="L134" s="22">
        <v>20539.0</v>
      </c>
      <c r="M134" s="22">
        <v>22006.0</v>
      </c>
      <c r="N134" s="22">
        <v>23473.0</v>
      </c>
      <c r="O134" s="14"/>
      <c r="P134" s="26">
        <v>0.41</v>
      </c>
      <c r="Q134" s="26">
        <v>0.36</v>
      </c>
      <c r="R134" s="26">
        <v>0.32</v>
      </c>
    </row>
    <row r="135" ht="14.25" customHeight="1">
      <c r="A135" s="18" t="s">
        <v>139</v>
      </c>
      <c r="B135" s="18" t="s">
        <v>266</v>
      </c>
      <c r="C135" s="19" t="s">
        <v>282</v>
      </c>
      <c r="D135" s="29" t="s">
        <v>297</v>
      </c>
      <c r="E135" s="22" t="s">
        <v>298</v>
      </c>
      <c r="F135" s="22" t="s">
        <v>193</v>
      </c>
      <c r="G135" s="23">
        <v>89990.0</v>
      </c>
      <c r="H135" s="23">
        <v>35288.0</v>
      </c>
      <c r="I135" s="24">
        <v>18377.0</v>
      </c>
      <c r="J135" s="25"/>
      <c r="K135" s="25"/>
      <c r="L135" s="22">
        <v>18377.0</v>
      </c>
      <c r="M135" s="22">
        <v>19690.0</v>
      </c>
      <c r="N135" s="22">
        <v>21002.0</v>
      </c>
      <c r="O135" s="14"/>
      <c r="P135" s="26">
        <v>0.38</v>
      </c>
      <c r="Q135" s="26">
        <v>0.34</v>
      </c>
      <c r="R135" s="26">
        <v>0.29</v>
      </c>
    </row>
    <row r="136" ht="14.25" customHeight="1">
      <c r="A136" s="30" t="s">
        <v>139</v>
      </c>
      <c r="B136" s="18" t="s">
        <v>266</v>
      </c>
      <c r="C136" s="19" t="s">
        <v>282</v>
      </c>
      <c r="D136" s="29" t="s">
        <v>299</v>
      </c>
      <c r="E136" s="22" t="s">
        <v>300</v>
      </c>
      <c r="F136" s="22" t="s">
        <v>193</v>
      </c>
      <c r="G136" s="23">
        <v>69990.0</v>
      </c>
      <c r="H136" s="23">
        <v>20582.0</v>
      </c>
      <c r="I136" s="24">
        <v>10270.0</v>
      </c>
      <c r="J136" s="25"/>
      <c r="K136" s="25"/>
      <c r="L136" s="22">
        <v>10270.0</v>
      </c>
      <c r="M136" s="22">
        <v>11003.0</v>
      </c>
      <c r="N136" s="22">
        <v>11737.0</v>
      </c>
      <c r="O136" s="14"/>
      <c r="P136" s="26">
        <v>0.41</v>
      </c>
      <c r="Q136" s="26">
        <v>0.36</v>
      </c>
      <c r="R136" s="26">
        <v>0.32</v>
      </c>
    </row>
    <row r="137" ht="14.25" customHeight="1">
      <c r="A137" s="31" t="s">
        <v>301</v>
      </c>
      <c r="B137" s="31"/>
      <c r="C137" s="31"/>
      <c r="D137" s="32"/>
      <c r="E137" s="33"/>
      <c r="F137" s="33"/>
      <c r="G137" s="34">
        <v>8282200.0</v>
      </c>
      <c r="H137" s="34">
        <v>3606917.0</v>
      </c>
      <c r="I137" s="35">
        <v>2329723.0</v>
      </c>
      <c r="J137" s="25"/>
      <c r="K137" s="25"/>
      <c r="L137" s="22"/>
      <c r="M137" s="22"/>
      <c r="N137" s="22"/>
      <c r="O137" s="14"/>
      <c r="P137" s="14"/>
      <c r="Q137" s="14"/>
      <c r="R137" s="14"/>
    </row>
    <row r="138" ht="14.25" customHeight="1">
      <c r="A138" s="18" t="s">
        <v>302</v>
      </c>
      <c r="B138" s="18" t="s">
        <v>303</v>
      </c>
      <c r="C138" s="19" t="s">
        <v>304</v>
      </c>
      <c r="D138" s="29" t="s">
        <v>305</v>
      </c>
      <c r="E138" s="22" t="s">
        <v>306</v>
      </c>
      <c r="F138" s="22" t="s">
        <v>20</v>
      </c>
      <c r="G138" s="23">
        <v>8990.0</v>
      </c>
      <c r="H138" s="23">
        <v>4112.0</v>
      </c>
      <c r="I138" s="24">
        <v>1319.0</v>
      </c>
      <c r="J138" s="25"/>
      <c r="K138" s="25"/>
      <c r="L138" s="22">
        <v>1319.0</v>
      </c>
      <c r="M138" s="22">
        <v>1413.0</v>
      </c>
      <c r="N138" s="22">
        <v>1507.0</v>
      </c>
      <c r="O138" s="14"/>
      <c r="P138" s="26">
        <v>0.62</v>
      </c>
      <c r="Q138" s="26">
        <v>0.59</v>
      </c>
      <c r="R138" s="26">
        <v>0.56</v>
      </c>
    </row>
    <row r="139" ht="14.25" customHeight="1">
      <c r="A139" s="18" t="s">
        <v>302</v>
      </c>
      <c r="B139" s="18" t="s">
        <v>303</v>
      </c>
      <c r="C139" s="19" t="s">
        <v>304</v>
      </c>
      <c r="D139" s="29" t="s">
        <v>307</v>
      </c>
      <c r="E139" s="22" t="s">
        <v>308</v>
      </c>
      <c r="F139" s="22" t="s">
        <v>20</v>
      </c>
      <c r="G139" s="23">
        <v>8990.0</v>
      </c>
      <c r="H139" s="23">
        <v>4112.0</v>
      </c>
      <c r="I139" s="24">
        <v>1319.0</v>
      </c>
      <c r="J139" s="25"/>
      <c r="K139" s="25"/>
      <c r="L139" s="22">
        <v>1319.0</v>
      </c>
      <c r="M139" s="22">
        <v>1413.0</v>
      </c>
      <c r="N139" s="22">
        <v>1507.0</v>
      </c>
      <c r="O139" s="14"/>
      <c r="P139" s="26">
        <v>0.62</v>
      </c>
      <c r="Q139" s="26">
        <v>0.59</v>
      </c>
      <c r="R139" s="26">
        <v>0.56</v>
      </c>
    </row>
    <row r="140" ht="14.25" customHeight="1">
      <c r="A140" s="18" t="s">
        <v>302</v>
      </c>
      <c r="B140" s="18" t="s">
        <v>303</v>
      </c>
      <c r="C140" s="19" t="s">
        <v>304</v>
      </c>
      <c r="D140" s="29" t="s">
        <v>309</v>
      </c>
      <c r="E140" s="22" t="s">
        <v>310</v>
      </c>
      <c r="F140" s="22" t="s">
        <v>20</v>
      </c>
      <c r="G140" s="23">
        <v>8990.0</v>
      </c>
      <c r="H140" s="23">
        <v>4112.0</v>
      </c>
      <c r="I140" s="24">
        <v>1319.0</v>
      </c>
      <c r="J140" s="25"/>
      <c r="K140" s="25"/>
      <c r="L140" s="22">
        <v>1319.0</v>
      </c>
      <c r="M140" s="22">
        <v>1413.0</v>
      </c>
      <c r="N140" s="22">
        <v>1507.0</v>
      </c>
      <c r="O140" s="14"/>
      <c r="P140" s="26">
        <v>0.62</v>
      </c>
      <c r="Q140" s="26">
        <v>0.59</v>
      </c>
      <c r="R140" s="26">
        <v>0.56</v>
      </c>
    </row>
    <row r="141" ht="14.25" customHeight="1">
      <c r="A141" s="18" t="s">
        <v>302</v>
      </c>
      <c r="B141" s="18" t="s">
        <v>303</v>
      </c>
      <c r="C141" s="19" t="s">
        <v>304</v>
      </c>
      <c r="D141" s="29" t="s">
        <v>311</v>
      </c>
      <c r="E141" s="22" t="s">
        <v>312</v>
      </c>
      <c r="F141" s="22" t="s">
        <v>20</v>
      </c>
      <c r="G141" s="23">
        <v>8990.0</v>
      </c>
      <c r="H141" s="23">
        <v>4112.0</v>
      </c>
      <c r="I141" s="24">
        <v>1319.0</v>
      </c>
      <c r="J141" s="25"/>
      <c r="K141" s="25"/>
      <c r="L141" s="22">
        <v>1319.0</v>
      </c>
      <c r="M141" s="22">
        <v>1413.0</v>
      </c>
      <c r="N141" s="22">
        <v>1507.0</v>
      </c>
      <c r="O141" s="14"/>
      <c r="P141" s="26">
        <v>0.62</v>
      </c>
      <c r="Q141" s="26">
        <v>0.59</v>
      </c>
      <c r="R141" s="26">
        <v>0.56</v>
      </c>
    </row>
    <row r="142" ht="14.25" customHeight="1">
      <c r="A142" s="18" t="s">
        <v>302</v>
      </c>
      <c r="B142" s="18" t="s">
        <v>303</v>
      </c>
      <c r="C142" s="19" t="s">
        <v>304</v>
      </c>
      <c r="D142" s="29" t="s">
        <v>313</v>
      </c>
      <c r="E142" s="22" t="s">
        <v>314</v>
      </c>
      <c r="F142" s="22" t="s">
        <v>20</v>
      </c>
      <c r="G142" s="23">
        <v>8990.0</v>
      </c>
      <c r="H142" s="23">
        <v>4112.0</v>
      </c>
      <c r="I142" s="24">
        <v>1319.0</v>
      </c>
      <c r="J142" s="25"/>
      <c r="K142" s="25"/>
      <c r="L142" s="22">
        <v>1319.0</v>
      </c>
      <c r="M142" s="22">
        <v>1413.0</v>
      </c>
      <c r="N142" s="22">
        <v>1507.0</v>
      </c>
      <c r="O142" s="14"/>
      <c r="P142" s="26">
        <v>0.62</v>
      </c>
      <c r="Q142" s="26">
        <v>0.59</v>
      </c>
      <c r="R142" s="26">
        <v>0.56</v>
      </c>
    </row>
    <row r="143" ht="14.25" customHeight="1">
      <c r="A143" s="18" t="s">
        <v>302</v>
      </c>
      <c r="B143" s="18" t="s">
        <v>303</v>
      </c>
      <c r="C143" s="19" t="s">
        <v>304</v>
      </c>
      <c r="D143" s="29" t="s">
        <v>315</v>
      </c>
      <c r="E143" s="22" t="s">
        <v>316</v>
      </c>
      <c r="F143" s="22" t="s">
        <v>20</v>
      </c>
      <c r="G143" s="23">
        <v>8990.0</v>
      </c>
      <c r="H143" s="23">
        <v>4112.0</v>
      </c>
      <c r="I143" s="24">
        <v>1319.0</v>
      </c>
      <c r="J143" s="25"/>
      <c r="K143" s="25"/>
      <c r="L143" s="22">
        <v>1319.0</v>
      </c>
      <c r="M143" s="22">
        <v>1413.0</v>
      </c>
      <c r="N143" s="22">
        <v>1507.0</v>
      </c>
      <c r="O143" s="14"/>
      <c r="P143" s="26">
        <v>0.62</v>
      </c>
      <c r="Q143" s="26">
        <v>0.59</v>
      </c>
      <c r="R143" s="26">
        <v>0.56</v>
      </c>
    </row>
    <row r="144" ht="14.25" customHeight="1">
      <c r="A144" s="18" t="s">
        <v>302</v>
      </c>
      <c r="B144" s="18" t="s">
        <v>303</v>
      </c>
      <c r="C144" s="19" t="s">
        <v>304</v>
      </c>
      <c r="D144" s="29" t="s">
        <v>317</v>
      </c>
      <c r="E144" s="22" t="s">
        <v>318</v>
      </c>
      <c r="F144" s="22" t="s">
        <v>20</v>
      </c>
      <c r="G144" s="23">
        <v>9990.0</v>
      </c>
      <c r="H144" s="23">
        <v>5288.0</v>
      </c>
      <c r="I144" s="24">
        <v>2303.0</v>
      </c>
      <c r="J144" s="25"/>
      <c r="K144" s="25"/>
      <c r="L144" s="22">
        <v>2303.0</v>
      </c>
      <c r="M144" s="22">
        <v>2467.0</v>
      </c>
      <c r="N144" s="22">
        <v>2632.0</v>
      </c>
      <c r="O144" s="14"/>
      <c r="P144" s="26">
        <v>0.48</v>
      </c>
      <c r="Q144" s="26">
        <v>0.44</v>
      </c>
      <c r="R144" s="26">
        <v>0.41</v>
      </c>
    </row>
    <row r="145" ht="14.25" customHeight="1">
      <c r="A145" s="18" t="s">
        <v>302</v>
      </c>
      <c r="B145" s="18" t="s">
        <v>303</v>
      </c>
      <c r="C145" s="19" t="s">
        <v>304</v>
      </c>
      <c r="D145" s="29" t="s">
        <v>319</v>
      </c>
      <c r="E145" s="22" t="s">
        <v>320</v>
      </c>
      <c r="F145" s="22" t="s">
        <v>20</v>
      </c>
      <c r="G145" s="23">
        <v>9990.0</v>
      </c>
      <c r="H145" s="23">
        <v>5288.0</v>
      </c>
      <c r="I145" s="24">
        <v>2303.0</v>
      </c>
      <c r="J145" s="25"/>
      <c r="K145" s="25"/>
      <c r="L145" s="22">
        <v>2303.0</v>
      </c>
      <c r="M145" s="22">
        <v>2467.0</v>
      </c>
      <c r="N145" s="22">
        <v>2632.0</v>
      </c>
      <c r="O145" s="14"/>
      <c r="P145" s="26">
        <v>0.48</v>
      </c>
      <c r="Q145" s="26">
        <v>0.44</v>
      </c>
      <c r="R145" s="26">
        <v>0.41</v>
      </c>
    </row>
    <row r="146" ht="14.25" customHeight="1">
      <c r="A146" s="18" t="s">
        <v>302</v>
      </c>
      <c r="B146" s="18" t="s">
        <v>303</v>
      </c>
      <c r="C146" s="19" t="s">
        <v>304</v>
      </c>
      <c r="D146" s="29" t="s">
        <v>321</v>
      </c>
      <c r="E146" s="22" t="s">
        <v>322</v>
      </c>
      <c r="F146" s="22" t="s">
        <v>20</v>
      </c>
      <c r="G146" s="23">
        <v>9990.0</v>
      </c>
      <c r="H146" s="23">
        <v>5288.0</v>
      </c>
      <c r="I146" s="24">
        <v>2303.0</v>
      </c>
      <c r="J146" s="25"/>
      <c r="K146" s="25"/>
      <c r="L146" s="22">
        <v>2303.0</v>
      </c>
      <c r="M146" s="22">
        <v>2467.0</v>
      </c>
      <c r="N146" s="22">
        <v>2632.0</v>
      </c>
      <c r="O146" s="14"/>
      <c r="P146" s="26">
        <v>0.48</v>
      </c>
      <c r="Q146" s="26">
        <v>0.44</v>
      </c>
      <c r="R146" s="26">
        <v>0.41</v>
      </c>
    </row>
    <row r="147" ht="14.25" customHeight="1">
      <c r="A147" s="18" t="s">
        <v>302</v>
      </c>
      <c r="B147" s="18" t="s">
        <v>303</v>
      </c>
      <c r="C147" s="19" t="s">
        <v>304</v>
      </c>
      <c r="D147" s="29" t="s">
        <v>323</v>
      </c>
      <c r="E147" s="22" t="s">
        <v>324</v>
      </c>
      <c r="F147" s="22" t="s">
        <v>20</v>
      </c>
      <c r="G147" s="23">
        <v>9990.0</v>
      </c>
      <c r="H147" s="23">
        <v>5288.0</v>
      </c>
      <c r="I147" s="24">
        <v>2303.0</v>
      </c>
      <c r="J147" s="25"/>
      <c r="K147" s="25"/>
      <c r="L147" s="22">
        <v>2303.0</v>
      </c>
      <c r="M147" s="22">
        <v>2467.0</v>
      </c>
      <c r="N147" s="22">
        <v>2632.0</v>
      </c>
      <c r="O147" s="14"/>
      <c r="P147" s="26">
        <v>0.48</v>
      </c>
      <c r="Q147" s="26">
        <v>0.44</v>
      </c>
      <c r="R147" s="26">
        <v>0.41</v>
      </c>
    </row>
    <row r="148" ht="14.25" customHeight="1">
      <c r="A148" s="18" t="s">
        <v>302</v>
      </c>
      <c r="B148" s="18" t="s">
        <v>303</v>
      </c>
      <c r="C148" s="19" t="s">
        <v>304</v>
      </c>
      <c r="D148" s="29" t="s">
        <v>325</v>
      </c>
      <c r="E148" s="22" t="s">
        <v>326</v>
      </c>
      <c r="F148" s="22" t="s">
        <v>20</v>
      </c>
      <c r="G148" s="23">
        <v>9990.0</v>
      </c>
      <c r="H148" s="23">
        <v>5288.0</v>
      </c>
      <c r="I148" s="24">
        <v>2303.0</v>
      </c>
      <c r="J148" s="25"/>
      <c r="K148" s="25"/>
      <c r="L148" s="22">
        <v>2303.0</v>
      </c>
      <c r="M148" s="22">
        <v>2467.0</v>
      </c>
      <c r="N148" s="22">
        <v>2632.0</v>
      </c>
      <c r="O148" s="14"/>
      <c r="P148" s="26">
        <v>0.48</v>
      </c>
      <c r="Q148" s="26">
        <v>0.44</v>
      </c>
      <c r="R148" s="26">
        <v>0.41</v>
      </c>
    </row>
    <row r="149" ht="14.25" customHeight="1">
      <c r="A149" s="18" t="s">
        <v>302</v>
      </c>
      <c r="B149" s="18" t="s">
        <v>303</v>
      </c>
      <c r="C149" s="19" t="s">
        <v>304</v>
      </c>
      <c r="D149" s="29" t="s">
        <v>327</v>
      </c>
      <c r="E149" s="22" t="s">
        <v>328</v>
      </c>
      <c r="F149" s="22" t="s">
        <v>20</v>
      </c>
      <c r="G149" s="23">
        <v>9990.0</v>
      </c>
      <c r="H149" s="23">
        <v>5288.0</v>
      </c>
      <c r="I149" s="24">
        <v>2303.0</v>
      </c>
      <c r="J149" s="25"/>
      <c r="K149" s="25"/>
      <c r="L149" s="22">
        <v>2303.0</v>
      </c>
      <c r="M149" s="22">
        <v>2467.0</v>
      </c>
      <c r="N149" s="22">
        <v>2632.0</v>
      </c>
      <c r="O149" s="14"/>
      <c r="P149" s="26">
        <v>0.48</v>
      </c>
      <c r="Q149" s="26">
        <v>0.44</v>
      </c>
      <c r="R149" s="26">
        <v>0.41</v>
      </c>
    </row>
    <row r="150" ht="14.25" customHeight="1">
      <c r="A150" s="18" t="s">
        <v>302</v>
      </c>
      <c r="B150" s="18" t="s">
        <v>303</v>
      </c>
      <c r="C150" s="19" t="s">
        <v>304</v>
      </c>
      <c r="D150" s="29" t="s">
        <v>329</v>
      </c>
      <c r="E150" s="22" t="s">
        <v>330</v>
      </c>
      <c r="F150" s="22" t="s">
        <v>20</v>
      </c>
      <c r="G150" s="23">
        <v>14990.0</v>
      </c>
      <c r="H150" s="23">
        <v>5876.0</v>
      </c>
      <c r="I150" s="24">
        <v>2807.0</v>
      </c>
      <c r="J150" s="25"/>
      <c r="K150" s="25"/>
      <c r="L150" s="22">
        <v>2807.0</v>
      </c>
      <c r="M150" s="22">
        <v>3007.0</v>
      </c>
      <c r="N150" s="22">
        <v>3208.0</v>
      </c>
      <c r="O150" s="14"/>
      <c r="P150" s="26">
        <v>0.43</v>
      </c>
      <c r="Q150" s="26">
        <v>0.39</v>
      </c>
      <c r="R150" s="26">
        <v>0.35</v>
      </c>
    </row>
    <row r="151" ht="14.25" customHeight="1">
      <c r="A151" s="18" t="s">
        <v>302</v>
      </c>
      <c r="B151" s="18" t="s">
        <v>303</v>
      </c>
      <c r="C151" s="19" t="s">
        <v>304</v>
      </c>
      <c r="D151" s="29" t="s">
        <v>331</v>
      </c>
      <c r="E151" s="22" t="s">
        <v>332</v>
      </c>
      <c r="F151" s="22" t="s">
        <v>20</v>
      </c>
      <c r="G151" s="23">
        <v>14990.0</v>
      </c>
      <c r="H151" s="23">
        <v>5876.0</v>
      </c>
      <c r="I151" s="24">
        <v>2807.0</v>
      </c>
      <c r="J151" s="25"/>
      <c r="K151" s="25"/>
      <c r="L151" s="22">
        <v>2807.0</v>
      </c>
      <c r="M151" s="22">
        <v>3007.0</v>
      </c>
      <c r="N151" s="22">
        <v>3208.0</v>
      </c>
      <c r="O151" s="14"/>
      <c r="P151" s="26">
        <v>0.43</v>
      </c>
      <c r="Q151" s="26">
        <v>0.39</v>
      </c>
      <c r="R151" s="26">
        <v>0.35</v>
      </c>
    </row>
    <row r="152" ht="14.25" customHeight="1">
      <c r="A152" s="18" t="s">
        <v>302</v>
      </c>
      <c r="B152" s="18" t="s">
        <v>303</v>
      </c>
      <c r="C152" s="19" t="s">
        <v>304</v>
      </c>
      <c r="D152" s="29" t="s">
        <v>333</v>
      </c>
      <c r="E152" s="22" t="s">
        <v>334</v>
      </c>
      <c r="F152" s="22" t="s">
        <v>20</v>
      </c>
      <c r="G152" s="23">
        <v>14990.0</v>
      </c>
      <c r="H152" s="23">
        <v>5876.0</v>
      </c>
      <c r="I152" s="24">
        <v>2807.0</v>
      </c>
      <c r="J152" s="25"/>
      <c r="K152" s="25"/>
      <c r="L152" s="22">
        <v>2807.0</v>
      </c>
      <c r="M152" s="22">
        <v>3007.0</v>
      </c>
      <c r="N152" s="22">
        <v>3208.0</v>
      </c>
      <c r="O152" s="14"/>
      <c r="P152" s="26">
        <v>0.43</v>
      </c>
      <c r="Q152" s="26">
        <v>0.39</v>
      </c>
      <c r="R152" s="26">
        <v>0.35</v>
      </c>
    </row>
    <row r="153" ht="14.25" customHeight="1">
      <c r="A153" s="18" t="s">
        <v>302</v>
      </c>
      <c r="B153" s="18" t="s">
        <v>303</v>
      </c>
      <c r="C153" s="19" t="s">
        <v>304</v>
      </c>
      <c r="D153" s="29" t="s">
        <v>335</v>
      </c>
      <c r="E153" s="22" t="s">
        <v>336</v>
      </c>
      <c r="F153" s="22" t="s">
        <v>20</v>
      </c>
      <c r="G153" s="23">
        <v>14990.0</v>
      </c>
      <c r="H153" s="23">
        <v>5876.0</v>
      </c>
      <c r="I153" s="24">
        <v>2807.0</v>
      </c>
      <c r="J153" s="25"/>
      <c r="K153" s="25"/>
      <c r="L153" s="22">
        <v>2807.0</v>
      </c>
      <c r="M153" s="22">
        <v>3007.0</v>
      </c>
      <c r="N153" s="22">
        <v>3208.0</v>
      </c>
      <c r="O153" s="14"/>
      <c r="P153" s="26">
        <v>0.43</v>
      </c>
      <c r="Q153" s="26">
        <v>0.39</v>
      </c>
      <c r="R153" s="26">
        <v>0.35</v>
      </c>
    </row>
    <row r="154" ht="14.25" customHeight="1">
      <c r="A154" s="18" t="s">
        <v>302</v>
      </c>
      <c r="B154" s="18" t="s">
        <v>303</v>
      </c>
      <c r="C154" s="19" t="s">
        <v>304</v>
      </c>
      <c r="D154" s="29" t="s">
        <v>337</v>
      </c>
      <c r="E154" s="22" t="s">
        <v>338</v>
      </c>
      <c r="F154" s="22" t="s">
        <v>20</v>
      </c>
      <c r="G154" s="23">
        <v>14990.0</v>
      </c>
      <c r="H154" s="23">
        <v>5876.0</v>
      </c>
      <c r="I154" s="24">
        <v>2807.0</v>
      </c>
      <c r="J154" s="25"/>
      <c r="K154" s="25"/>
      <c r="L154" s="22">
        <v>2807.0</v>
      </c>
      <c r="M154" s="22">
        <v>3007.0</v>
      </c>
      <c r="N154" s="22">
        <v>3208.0</v>
      </c>
      <c r="O154" s="14"/>
      <c r="P154" s="26">
        <v>0.43</v>
      </c>
      <c r="Q154" s="26">
        <v>0.39</v>
      </c>
      <c r="R154" s="26">
        <v>0.35</v>
      </c>
    </row>
    <row r="155" ht="14.25" customHeight="1">
      <c r="A155" s="18" t="s">
        <v>302</v>
      </c>
      <c r="B155" s="18" t="s">
        <v>303</v>
      </c>
      <c r="C155" s="19" t="s">
        <v>304</v>
      </c>
      <c r="D155" s="29" t="s">
        <v>339</v>
      </c>
      <c r="E155" s="22" t="s">
        <v>340</v>
      </c>
      <c r="F155" s="22" t="s">
        <v>20</v>
      </c>
      <c r="G155" s="23">
        <v>14990.0</v>
      </c>
      <c r="H155" s="23">
        <v>5876.0</v>
      </c>
      <c r="I155" s="24">
        <v>2807.0</v>
      </c>
      <c r="J155" s="25"/>
      <c r="K155" s="25"/>
      <c r="L155" s="22">
        <v>2807.0</v>
      </c>
      <c r="M155" s="22">
        <v>3007.0</v>
      </c>
      <c r="N155" s="22">
        <v>3208.0</v>
      </c>
      <c r="O155" s="14"/>
      <c r="P155" s="26">
        <v>0.43</v>
      </c>
      <c r="Q155" s="26">
        <v>0.39</v>
      </c>
      <c r="R155" s="26">
        <v>0.35</v>
      </c>
    </row>
    <row r="156" ht="14.25" customHeight="1">
      <c r="A156" s="18" t="s">
        <v>302</v>
      </c>
      <c r="B156" s="18" t="s">
        <v>303</v>
      </c>
      <c r="C156" s="19" t="s">
        <v>304</v>
      </c>
      <c r="D156" s="29" t="s">
        <v>341</v>
      </c>
      <c r="E156" s="22" t="s">
        <v>342</v>
      </c>
      <c r="F156" s="22" t="s">
        <v>20</v>
      </c>
      <c r="G156" s="23">
        <v>14990.0</v>
      </c>
      <c r="H156" s="23">
        <v>5876.0</v>
      </c>
      <c r="I156" s="24">
        <v>2807.0</v>
      </c>
      <c r="J156" s="25"/>
      <c r="K156" s="25"/>
      <c r="L156" s="22">
        <v>2807.0</v>
      </c>
      <c r="M156" s="22">
        <v>3007.0</v>
      </c>
      <c r="N156" s="22">
        <v>3208.0</v>
      </c>
      <c r="O156" s="14"/>
      <c r="P156" s="26">
        <v>0.43</v>
      </c>
      <c r="Q156" s="26">
        <v>0.39</v>
      </c>
      <c r="R156" s="26">
        <v>0.35</v>
      </c>
    </row>
    <row r="157" ht="14.25" customHeight="1">
      <c r="A157" s="18" t="s">
        <v>302</v>
      </c>
      <c r="B157" s="18" t="s">
        <v>303</v>
      </c>
      <c r="C157" s="19" t="s">
        <v>304</v>
      </c>
      <c r="D157" s="29" t="s">
        <v>343</v>
      </c>
      <c r="E157" s="22" t="s">
        <v>344</v>
      </c>
      <c r="F157" s="22" t="s">
        <v>20</v>
      </c>
      <c r="G157" s="23">
        <v>14990.0</v>
      </c>
      <c r="H157" s="23">
        <v>5876.0</v>
      </c>
      <c r="I157" s="24">
        <v>2807.0</v>
      </c>
      <c r="J157" s="25"/>
      <c r="K157" s="25"/>
      <c r="L157" s="22">
        <v>2807.0</v>
      </c>
      <c r="M157" s="22">
        <v>3007.0</v>
      </c>
      <c r="N157" s="22">
        <v>3208.0</v>
      </c>
      <c r="O157" s="14"/>
      <c r="P157" s="26">
        <v>0.43</v>
      </c>
      <c r="Q157" s="26">
        <v>0.39</v>
      </c>
      <c r="R157" s="26">
        <v>0.35</v>
      </c>
    </row>
    <row r="158" ht="14.25" customHeight="1">
      <c r="A158" s="18" t="s">
        <v>302</v>
      </c>
      <c r="B158" s="18" t="s">
        <v>303</v>
      </c>
      <c r="C158" s="19" t="s">
        <v>345</v>
      </c>
      <c r="D158" s="20" t="s">
        <v>346</v>
      </c>
      <c r="E158" s="21" t="s">
        <v>347</v>
      </c>
      <c r="F158" s="21" t="s">
        <v>20</v>
      </c>
      <c r="G158" s="23">
        <v>19990.0</v>
      </c>
      <c r="H158" s="23">
        <v>7641.0</v>
      </c>
      <c r="I158" s="24">
        <v>3218.0</v>
      </c>
      <c r="J158" s="25"/>
      <c r="K158" s="25"/>
      <c r="L158" s="22">
        <v>3218.0</v>
      </c>
      <c r="M158" s="22">
        <v>3448.0</v>
      </c>
      <c r="N158" s="22">
        <v>3678.0</v>
      </c>
      <c r="O158" s="14"/>
      <c r="P158" s="26">
        <v>0.5</v>
      </c>
      <c r="Q158" s="26">
        <v>0.46</v>
      </c>
      <c r="R158" s="26">
        <v>0.43</v>
      </c>
    </row>
    <row r="159" ht="14.25" customHeight="1">
      <c r="A159" s="18" t="s">
        <v>302</v>
      </c>
      <c r="B159" s="18" t="s">
        <v>303</v>
      </c>
      <c r="C159" s="19" t="s">
        <v>345</v>
      </c>
      <c r="D159" s="20" t="s">
        <v>348</v>
      </c>
      <c r="E159" s="21" t="s">
        <v>349</v>
      </c>
      <c r="F159" s="21" t="s">
        <v>20</v>
      </c>
      <c r="G159" s="23">
        <v>19990.0</v>
      </c>
      <c r="H159" s="23">
        <v>7641.0</v>
      </c>
      <c r="I159" s="24">
        <v>3218.0</v>
      </c>
      <c r="J159" s="25"/>
      <c r="K159" s="25"/>
      <c r="L159" s="22">
        <v>3218.0</v>
      </c>
      <c r="M159" s="22">
        <v>3448.0</v>
      </c>
      <c r="N159" s="22">
        <v>3678.0</v>
      </c>
      <c r="O159" s="14"/>
      <c r="P159" s="26">
        <v>0.5</v>
      </c>
      <c r="Q159" s="26">
        <v>0.46</v>
      </c>
      <c r="R159" s="26">
        <v>0.43</v>
      </c>
    </row>
    <row r="160" ht="14.25" customHeight="1">
      <c r="A160" s="18" t="s">
        <v>302</v>
      </c>
      <c r="B160" s="18" t="s">
        <v>303</v>
      </c>
      <c r="C160" s="19" t="s">
        <v>345</v>
      </c>
      <c r="D160" s="20" t="s">
        <v>350</v>
      </c>
      <c r="E160" s="21" t="s">
        <v>351</v>
      </c>
      <c r="F160" s="21" t="s">
        <v>20</v>
      </c>
      <c r="G160" s="23">
        <v>19990.0</v>
      </c>
      <c r="H160" s="23">
        <v>7641.0</v>
      </c>
      <c r="I160" s="24">
        <v>3218.0</v>
      </c>
      <c r="J160" s="25"/>
      <c r="K160" s="25"/>
      <c r="L160" s="22">
        <v>3218.0</v>
      </c>
      <c r="M160" s="22">
        <v>3448.0</v>
      </c>
      <c r="N160" s="22">
        <v>3678.0</v>
      </c>
      <c r="O160" s="14"/>
      <c r="P160" s="26">
        <v>0.5</v>
      </c>
      <c r="Q160" s="26">
        <v>0.46</v>
      </c>
      <c r="R160" s="26">
        <v>0.43</v>
      </c>
    </row>
    <row r="161" ht="14.25" customHeight="1">
      <c r="A161" s="18" t="s">
        <v>302</v>
      </c>
      <c r="B161" s="18" t="s">
        <v>303</v>
      </c>
      <c r="C161" s="19" t="s">
        <v>345</v>
      </c>
      <c r="D161" s="20" t="s">
        <v>352</v>
      </c>
      <c r="E161" s="21" t="s">
        <v>353</v>
      </c>
      <c r="F161" s="21" t="s">
        <v>20</v>
      </c>
      <c r="G161" s="23">
        <v>19990.0</v>
      </c>
      <c r="H161" s="23">
        <v>7641.0</v>
      </c>
      <c r="I161" s="24">
        <v>3218.0</v>
      </c>
      <c r="J161" s="25"/>
      <c r="K161" s="25"/>
      <c r="L161" s="22">
        <v>3218.0</v>
      </c>
      <c r="M161" s="22">
        <v>3448.0</v>
      </c>
      <c r="N161" s="22">
        <v>3678.0</v>
      </c>
      <c r="O161" s="14"/>
      <c r="P161" s="26">
        <v>0.5</v>
      </c>
      <c r="Q161" s="26">
        <v>0.46</v>
      </c>
      <c r="R161" s="26">
        <v>0.43</v>
      </c>
    </row>
    <row r="162" ht="14.25" customHeight="1">
      <c r="A162" s="18" t="s">
        <v>302</v>
      </c>
      <c r="B162" s="18" t="s">
        <v>303</v>
      </c>
      <c r="C162" s="19" t="s">
        <v>345</v>
      </c>
      <c r="D162" s="20" t="s">
        <v>354</v>
      </c>
      <c r="E162" s="21" t="s">
        <v>355</v>
      </c>
      <c r="F162" s="21" t="s">
        <v>20</v>
      </c>
      <c r="G162" s="23">
        <v>19990.0</v>
      </c>
      <c r="H162" s="23">
        <v>7641.0</v>
      </c>
      <c r="I162" s="24">
        <v>3218.0</v>
      </c>
      <c r="J162" s="25"/>
      <c r="K162" s="25"/>
      <c r="L162" s="22">
        <v>3218.0</v>
      </c>
      <c r="M162" s="22">
        <v>3448.0</v>
      </c>
      <c r="N162" s="22">
        <v>3678.0</v>
      </c>
      <c r="O162" s="14"/>
      <c r="P162" s="26">
        <v>0.5</v>
      </c>
      <c r="Q162" s="26">
        <v>0.46</v>
      </c>
      <c r="R162" s="26">
        <v>0.43</v>
      </c>
    </row>
    <row r="163" ht="14.25" customHeight="1">
      <c r="A163" s="18" t="s">
        <v>302</v>
      </c>
      <c r="B163" s="18" t="s">
        <v>303</v>
      </c>
      <c r="C163" s="19" t="s">
        <v>345</v>
      </c>
      <c r="D163" s="20" t="s">
        <v>356</v>
      </c>
      <c r="E163" s="21" t="s">
        <v>357</v>
      </c>
      <c r="F163" s="21" t="s">
        <v>20</v>
      </c>
      <c r="G163" s="23">
        <v>19990.0</v>
      </c>
      <c r="H163" s="23">
        <v>7641.0</v>
      </c>
      <c r="I163" s="24">
        <v>3557.0</v>
      </c>
      <c r="J163" s="25"/>
      <c r="K163" s="25"/>
      <c r="L163" s="22">
        <v>3557.0</v>
      </c>
      <c r="M163" s="22">
        <v>3811.0</v>
      </c>
      <c r="N163" s="22">
        <v>4065.0</v>
      </c>
      <c r="O163" s="14"/>
      <c r="P163" s="26">
        <v>0.45</v>
      </c>
      <c r="Q163" s="26">
        <v>0.41</v>
      </c>
      <c r="R163" s="26">
        <v>0.37</v>
      </c>
    </row>
    <row r="164" ht="14.25" customHeight="1">
      <c r="A164" s="18" t="s">
        <v>302</v>
      </c>
      <c r="B164" s="18" t="s">
        <v>303</v>
      </c>
      <c r="C164" s="19" t="s">
        <v>345</v>
      </c>
      <c r="D164" s="20" t="s">
        <v>358</v>
      </c>
      <c r="E164" s="21" t="s">
        <v>359</v>
      </c>
      <c r="F164" s="21" t="s">
        <v>20</v>
      </c>
      <c r="G164" s="23">
        <v>19990.0</v>
      </c>
      <c r="H164" s="23">
        <v>7641.0</v>
      </c>
      <c r="I164" s="24">
        <v>3557.0</v>
      </c>
      <c r="J164" s="25"/>
      <c r="K164" s="25"/>
      <c r="L164" s="22">
        <v>3557.0</v>
      </c>
      <c r="M164" s="22">
        <v>3811.0</v>
      </c>
      <c r="N164" s="22">
        <v>4065.0</v>
      </c>
      <c r="O164" s="14"/>
      <c r="P164" s="26">
        <v>0.45</v>
      </c>
      <c r="Q164" s="26">
        <v>0.41</v>
      </c>
      <c r="R164" s="26">
        <v>0.37</v>
      </c>
    </row>
    <row r="165" ht="14.25" customHeight="1">
      <c r="A165" s="18" t="s">
        <v>302</v>
      </c>
      <c r="B165" s="18" t="s">
        <v>303</v>
      </c>
      <c r="C165" s="19" t="s">
        <v>345</v>
      </c>
      <c r="D165" s="20" t="s">
        <v>360</v>
      </c>
      <c r="E165" s="21" t="s">
        <v>361</v>
      </c>
      <c r="F165" s="21" t="s">
        <v>20</v>
      </c>
      <c r="G165" s="23">
        <v>19990.0</v>
      </c>
      <c r="H165" s="23">
        <v>7641.0</v>
      </c>
      <c r="I165" s="24">
        <v>3557.0</v>
      </c>
      <c r="J165" s="25"/>
      <c r="K165" s="25"/>
      <c r="L165" s="22">
        <v>3557.0</v>
      </c>
      <c r="M165" s="22">
        <v>3811.0</v>
      </c>
      <c r="N165" s="22">
        <v>4065.0</v>
      </c>
      <c r="O165" s="14"/>
      <c r="P165" s="26">
        <v>0.45</v>
      </c>
      <c r="Q165" s="26">
        <v>0.41</v>
      </c>
      <c r="R165" s="26">
        <v>0.37</v>
      </c>
    </row>
    <row r="166" ht="14.25" customHeight="1">
      <c r="A166" s="18" t="s">
        <v>302</v>
      </c>
      <c r="B166" s="18" t="s">
        <v>303</v>
      </c>
      <c r="C166" s="19" t="s">
        <v>345</v>
      </c>
      <c r="D166" s="20" t="s">
        <v>362</v>
      </c>
      <c r="E166" s="21" t="s">
        <v>363</v>
      </c>
      <c r="F166" s="21" t="s">
        <v>20</v>
      </c>
      <c r="G166" s="23">
        <v>19990.0</v>
      </c>
      <c r="H166" s="23">
        <v>7641.0</v>
      </c>
      <c r="I166" s="24">
        <v>3101.0</v>
      </c>
      <c r="J166" s="25"/>
      <c r="K166" s="25"/>
      <c r="L166" s="22">
        <v>3101.0</v>
      </c>
      <c r="M166" s="22">
        <v>3322.0</v>
      </c>
      <c r="N166" s="22">
        <v>3544.0</v>
      </c>
      <c r="O166" s="14"/>
      <c r="P166" s="26">
        <v>0.52</v>
      </c>
      <c r="Q166" s="26">
        <v>0.48</v>
      </c>
      <c r="R166" s="26">
        <v>0.45</v>
      </c>
    </row>
    <row r="167" ht="14.25" customHeight="1">
      <c r="A167" s="18" t="s">
        <v>302</v>
      </c>
      <c r="B167" s="18" t="s">
        <v>303</v>
      </c>
      <c r="C167" s="19" t="s">
        <v>345</v>
      </c>
      <c r="D167" s="20" t="s">
        <v>364</v>
      </c>
      <c r="E167" s="21" t="s">
        <v>365</v>
      </c>
      <c r="F167" s="21" t="s">
        <v>20</v>
      </c>
      <c r="G167" s="23">
        <v>19990.0</v>
      </c>
      <c r="H167" s="23">
        <v>7641.0</v>
      </c>
      <c r="I167" s="24">
        <v>3101.0</v>
      </c>
      <c r="J167" s="25"/>
      <c r="K167" s="25"/>
      <c r="L167" s="22">
        <v>3101.0</v>
      </c>
      <c r="M167" s="22">
        <v>3322.0</v>
      </c>
      <c r="N167" s="22">
        <v>3544.0</v>
      </c>
      <c r="O167" s="14"/>
      <c r="P167" s="26">
        <v>0.52</v>
      </c>
      <c r="Q167" s="26">
        <v>0.48</v>
      </c>
      <c r="R167" s="26">
        <v>0.45</v>
      </c>
    </row>
    <row r="168" ht="14.25" customHeight="1">
      <c r="A168" s="18" t="s">
        <v>302</v>
      </c>
      <c r="B168" s="18" t="s">
        <v>303</v>
      </c>
      <c r="C168" s="19" t="s">
        <v>345</v>
      </c>
      <c r="D168" s="20" t="s">
        <v>366</v>
      </c>
      <c r="E168" s="21" t="s">
        <v>367</v>
      </c>
      <c r="F168" s="21" t="s">
        <v>20</v>
      </c>
      <c r="G168" s="23">
        <v>19990.0</v>
      </c>
      <c r="H168" s="23">
        <v>7641.0</v>
      </c>
      <c r="I168" s="24">
        <v>3101.0</v>
      </c>
      <c r="J168" s="25"/>
      <c r="K168" s="25"/>
      <c r="L168" s="22">
        <v>3101.0</v>
      </c>
      <c r="M168" s="22">
        <v>3322.0</v>
      </c>
      <c r="N168" s="22">
        <v>3544.0</v>
      </c>
      <c r="O168" s="14"/>
      <c r="P168" s="26">
        <v>0.52</v>
      </c>
      <c r="Q168" s="26">
        <v>0.48</v>
      </c>
      <c r="R168" s="26">
        <v>0.45</v>
      </c>
    </row>
    <row r="169" ht="14.25" customHeight="1">
      <c r="A169" s="18" t="s">
        <v>302</v>
      </c>
      <c r="B169" s="18" t="s">
        <v>303</v>
      </c>
      <c r="C169" s="19" t="s">
        <v>345</v>
      </c>
      <c r="D169" s="20" t="s">
        <v>368</v>
      </c>
      <c r="E169" s="21" t="s">
        <v>369</v>
      </c>
      <c r="F169" s="21" t="s">
        <v>20</v>
      </c>
      <c r="G169" s="23">
        <v>19990.0</v>
      </c>
      <c r="H169" s="23">
        <v>7641.0</v>
      </c>
      <c r="I169" s="24">
        <v>3101.0</v>
      </c>
      <c r="J169" s="25"/>
      <c r="K169" s="25"/>
      <c r="L169" s="22">
        <v>3101.0</v>
      </c>
      <c r="M169" s="22">
        <v>3322.0</v>
      </c>
      <c r="N169" s="22">
        <v>3544.0</v>
      </c>
      <c r="O169" s="14"/>
      <c r="P169" s="26">
        <v>0.52</v>
      </c>
      <c r="Q169" s="26">
        <v>0.48</v>
      </c>
      <c r="R169" s="26">
        <v>0.45</v>
      </c>
    </row>
    <row r="170" ht="14.25" customHeight="1">
      <c r="A170" s="18" t="s">
        <v>302</v>
      </c>
      <c r="B170" s="18" t="s">
        <v>303</v>
      </c>
      <c r="C170" s="19" t="s">
        <v>345</v>
      </c>
      <c r="D170" s="20" t="s">
        <v>370</v>
      </c>
      <c r="E170" s="21" t="s">
        <v>371</v>
      </c>
      <c r="F170" s="21" t="s">
        <v>20</v>
      </c>
      <c r="G170" s="23">
        <v>19990.0</v>
      </c>
      <c r="H170" s="23">
        <v>7641.0</v>
      </c>
      <c r="I170" s="24">
        <v>3101.0</v>
      </c>
      <c r="J170" s="25"/>
      <c r="K170" s="25"/>
      <c r="L170" s="22">
        <v>3101.0</v>
      </c>
      <c r="M170" s="22">
        <v>3322.0</v>
      </c>
      <c r="N170" s="22">
        <v>3544.0</v>
      </c>
      <c r="O170" s="14"/>
      <c r="P170" s="26">
        <v>0.52</v>
      </c>
      <c r="Q170" s="26">
        <v>0.48</v>
      </c>
      <c r="R170" s="26">
        <v>0.45</v>
      </c>
    </row>
    <row r="171" ht="14.25" customHeight="1">
      <c r="A171" s="18" t="s">
        <v>302</v>
      </c>
      <c r="B171" s="18" t="s">
        <v>303</v>
      </c>
      <c r="C171" s="19" t="s">
        <v>345</v>
      </c>
      <c r="D171" s="20" t="s">
        <v>372</v>
      </c>
      <c r="E171" s="21" t="s">
        <v>373</v>
      </c>
      <c r="F171" s="21" t="s">
        <v>20</v>
      </c>
      <c r="G171" s="23">
        <v>19990.0</v>
      </c>
      <c r="H171" s="23">
        <v>7641.0</v>
      </c>
      <c r="I171" s="24">
        <v>3101.0</v>
      </c>
      <c r="J171" s="25"/>
      <c r="K171" s="25"/>
      <c r="L171" s="22">
        <v>3101.0</v>
      </c>
      <c r="M171" s="22">
        <v>3322.0</v>
      </c>
      <c r="N171" s="22">
        <v>3544.0</v>
      </c>
      <c r="O171" s="14"/>
      <c r="P171" s="26">
        <v>0.52</v>
      </c>
      <c r="Q171" s="26">
        <v>0.48</v>
      </c>
      <c r="R171" s="26">
        <v>0.45</v>
      </c>
    </row>
    <row r="172" ht="14.25" customHeight="1">
      <c r="A172" s="18" t="s">
        <v>302</v>
      </c>
      <c r="B172" s="18" t="s">
        <v>303</v>
      </c>
      <c r="C172" s="19" t="s">
        <v>374</v>
      </c>
      <c r="D172" s="20" t="s">
        <v>375</v>
      </c>
      <c r="E172" s="21" t="s">
        <v>376</v>
      </c>
      <c r="F172" s="21" t="s">
        <v>20</v>
      </c>
      <c r="G172" s="23">
        <v>24990.0</v>
      </c>
      <c r="H172" s="23">
        <v>7641.0</v>
      </c>
      <c r="I172" s="24">
        <v>5923.0</v>
      </c>
      <c r="J172" s="25"/>
      <c r="K172" s="25"/>
      <c r="L172" s="22">
        <v>5923.0</v>
      </c>
      <c r="M172" s="22">
        <v>6346.0</v>
      </c>
      <c r="N172" s="22">
        <v>6769.0</v>
      </c>
      <c r="O172" s="14"/>
      <c r="P172" s="26">
        <v>0.08</v>
      </c>
      <c r="Q172" s="26">
        <v>0.01</v>
      </c>
      <c r="R172" s="26">
        <v>-0.05</v>
      </c>
    </row>
    <row r="173" ht="14.25" customHeight="1">
      <c r="A173" s="18" t="s">
        <v>302</v>
      </c>
      <c r="B173" s="18" t="s">
        <v>303</v>
      </c>
      <c r="C173" s="19" t="s">
        <v>374</v>
      </c>
      <c r="D173" s="20" t="s">
        <v>377</v>
      </c>
      <c r="E173" s="21" t="s">
        <v>378</v>
      </c>
      <c r="F173" s="21" t="s">
        <v>20</v>
      </c>
      <c r="G173" s="23">
        <v>24990.0</v>
      </c>
      <c r="H173" s="23">
        <v>7641.0</v>
      </c>
      <c r="I173" s="24">
        <v>5923.0</v>
      </c>
      <c r="J173" s="25"/>
      <c r="K173" s="25"/>
      <c r="L173" s="22">
        <v>5923.0</v>
      </c>
      <c r="M173" s="22">
        <v>6346.0</v>
      </c>
      <c r="N173" s="22">
        <v>6769.0</v>
      </c>
      <c r="O173" s="14"/>
      <c r="P173" s="26">
        <v>0.08</v>
      </c>
      <c r="Q173" s="26">
        <v>0.01</v>
      </c>
      <c r="R173" s="26">
        <v>-0.05</v>
      </c>
    </row>
    <row r="174" ht="14.25" customHeight="1">
      <c r="A174" s="18" t="s">
        <v>302</v>
      </c>
      <c r="B174" s="18" t="s">
        <v>303</v>
      </c>
      <c r="C174" s="19" t="s">
        <v>374</v>
      </c>
      <c r="D174" s="20" t="s">
        <v>379</v>
      </c>
      <c r="E174" s="21" t="s">
        <v>380</v>
      </c>
      <c r="F174" s="21" t="s">
        <v>20</v>
      </c>
      <c r="G174" s="23">
        <v>24990.0</v>
      </c>
      <c r="H174" s="23">
        <v>7641.0</v>
      </c>
      <c r="I174" s="24">
        <v>5923.0</v>
      </c>
      <c r="J174" s="25"/>
      <c r="K174" s="25"/>
      <c r="L174" s="22">
        <v>5923.0</v>
      </c>
      <c r="M174" s="22">
        <v>6346.0</v>
      </c>
      <c r="N174" s="22">
        <v>6769.0</v>
      </c>
      <c r="O174" s="14"/>
      <c r="P174" s="26">
        <v>0.08</v>
      </c>
      <c r="Q174" s="26">
        <v>0.01</v>
      </c>
      <c r="R174" s="26">
        <v>-0.05</v>
      </c>
    </row>
    <row r="175" ht="14.25" customHeight="1">
      <c r="A175" s="18" t="s">
        <v>302</v>
      </c>
      <c r="B175" s="18" t="s">
        <v>303</v>
      </c>
      <c r="C175" s="19" t="s">
        <v>374</v>
      </c>
      <c r="D175" s="20" t="s">
        <v>381</v>
      </c>
      <c r="E175" s="21" t="s">
        <v>382</v>
      </c>
      <c r="F175" s="21" t="s">
        <v>20</v>
      </c>
      <c r="G175" s="23">
        <v>24990.0</v>
      </c>
      <c r="H175" s="23">
        <v>7641.0</v>
      </c>
      <c r="I175" s="24">
        <v>5924.0</v>
      </c>
      <c r="J175" s="25"/>
      <c r="K175" s="25"/>
      <c r="L175" s="22">
        <v>5924.0</v>
      </c>
      <c r="M175" s="22">
        <v>6347.0</v>
      </c>
      <c r="N175" s="22">
        <v>6770.0</v>
      </c>
      <c r="O175" s="14"/>
      <c r="P175" s="26">
        <v>0.08</v>
      </c>
      <c r="Q175" s="26">
        <v>0.01</v>
      </c>
      <c r="R175" s="26">
        <v>-0.05</v>
      </c>
    </row>
    <row r="176" ht="14.25" customHeight="1">
      <c r="A176" s="18" t="s">
        <v>302</v>
      </c>
      <c r="B176" s="18" t="s">
        <v>303</v>
      </c>
      <c r="C176" s="19" t="s">
        <v>374</v>
      </c>
      <c r="D176" s="20" t="s">
        <v>383</v>
      </c>
      <c r="E176" s="21" t="s">
        <v>384</v>
      </c>
      <c r="F176" s="21" t="s">
        <v>20</v>
      </c>
      <c r="G176" s="23">
        <v>24990.0</v>
      </c>
      <c r="H176" s="23">
        <v>7641.0</v>
      </c>
      <c r="I176" s="24">
        <v>5923.0</v>
      </c>
      <c r="J176" s="25"/>
      <c r="K176" s="25"/>
      <c r="L176" s="22">
        <v>5923.0</v>
      </c>
      <c r="M176" s="22">
        <v>6346.0</v>
      </c>
      <c r="N176" s="22">
        <v>6769.0</v>
      </c>
      <c r="O176" s="14"/>
      <c r="P176" s="26">
        <v>0.08</v>
      </c>
      <c r="Q176" s="26">
        <v>0.01</v>
      </c>
      <c r="R176" s="26">
        <v>-0.05</v>
      </c>
    </row>
    <row r="177" ht="14.25" customHeight="1">
      <c r="A177" s="18" t="s">
        <v>302</v>
      </c>
      <c r="B177" s="18" t="s">
        <v>303</v>
      </c>
      <c r="C177" s="19" t="s">
        <v>374</v>
      </c>
      <c r="D177" s="20" t="s">
        <v>385</v>
      </c>
      <c r="E177" s="21" t="s">
        <v>386</v>
      </c>
      <c r="F177" s="21" t="s">
        <v>20</v>
      </c>
      <c r="G177" s="23">
        <v>24990.0</v>
      </c>
      <c r="H177" s="23">
        <v>7641.0</v>
      </c>
      <c r="I177" s="24">
        <v>5923.0</v>
      </c>
      <c r="J177" s="25"/>
      <c r="K177" s="25"/>
      <c r="L177" s="22">
        <v>5923.0</v>
      </c>
      <c r="M177" s="22">
        <v>6346.0</v>
      </c>
      <c r="N177" s="22">
        <v>6769.0</v>
      </c>
      <c r="O177" s="14"/>
      <c r="P177" s="26">
        <v>0.08</v>
      </c>
      <c r="Q177" s="26">
        <v>0.01</v>
      </c>
      <c r="R177" s="26">
        <v>-0.05</v>
      </c>
    </row>
    <row r="178" ht="14.25" customHeight="1">
      <c r="A178" s="18" t="s">
        <v>302</v>
      </c>
      <c r="B178" s="18" t="s">
        <v>303</v>
      </c>
      <c r="C178" s="19" t="s">
        <v>374</v>
      </c>
      <c r="D178" s="20" t="s">
        <v>387</v>
      </c>
      <c r="E178" s="21" t="s">
        <v>388</v>
      </c>
      <c r="F178" s="21" t="s">
        <v>20</v>
      </c>
      <c r="G178" s="23">
        <v>24990.0</v>
      </c>
      <c r="H178" s="23">
        <v>7641.0</v>
      </c>
      <c r="I178" s="24">
        <v>5924.0</v>
      </c>
      <c r="J178" s="25"/>
      <c r="K178" s="25"/>
      <c r="L178" s="22">
        <v>5924.0</v>
      </c>
      <c r="M178" s="22">
        <v>6347.0</v>
      </c>
      <c r="N178" s="22">
        <v>6770.0</v>
      </c>
      <c r="O178" s="14"/>
      <c r="P178" s="26">
        <v>0.08</v>
      </c>
      <c r="Q178" s="26">
        <v>0.01</v>
      </c>
      <c r="R178" s="26">
        <v>-0.05</v>
      </c>
    </row>
    <row r="179" ht="14.25" customHeight="1">
      <c r="A179" s="18" t="s">
        <v>302</v>
      </c>
      <c r="B179" s="18" t="s">
        <v>303</v>
      </c>
      <c r="C179" s="19" t="s">
        <v>374</v>
      </c>
      <c r="D179" s="20" t="s">
        <v>389</v>
      </c>
      <c r="E179" s="21" t="s">
        <v>390</v>
      </c>
      <c r="F179" s="21" t="s">
        <v>20</v>
      </c>
      <c r="G179" s="23">
        <v>24990.0</v>
      </c>
      <c r="H179" s="23">
        <v>7641.0</v>
      </c>
      <c r="I179" s="24">
        <v>5923.0</v>
      </c>
      <c r="J179" s="25"/>
      <c r="K179" s="25"/>
      <c r="L179" s="22">
        <v>5923.0</v>
      </c>
      <c r="M179" s="22">
        <v>6346.0</v>
      </c>
      <c r="N179" s="22">
        <v>6769.0</v>
      </c>
      <c r="O179" s="14"/>
      <c r="P179" s="26">
        <v>0.08</v>
      </c>
      <c r="Q179" s="26">
        <v>0.01</v>
      </c>
      <c r="R179" s="26">
        <v>-0.05</v>
      </c>
    </row>
    <row r="180" ht="14.25" customHeight="1">
      <c r="A180" s="18" t="s">
        <v>302</v>
      </c>
      <c r="B180" s="18" t="s">
        <v>303</v>
      </c>
      <c r="C180" s="19" t="s">
        <v>374</v>
      </c>
      <c r="D180" s="20" t="s">
        <v>391</v>
      </c>
      <c r="E180" s="21" t="s">
        <v>392</v>
      </c>
      <c r="F180" s="21" t="s">
        <v>20</v>
      </c>
      <c r="G180" s="23">
        <v>24990.0</v>
      </c>
      <c r="H180" s="23">
        <v>7641.0</v>
      </c>
      <c r="I180" s="24">
        <v>5924.0</v>
      </c>
      <c r="J180" s="25"/>
      <c r="K180" s="25"/>
      <c r="L180" s="22">
        <v>5924.0</v>
      </c>
      <c r="M180" s="22">
        <v>6347.0</v>
      </c>
      <c r="N180" s="22">
        <v>6770.0</v>
      </c>
      <c r="O180" s="14"/>
      <c r="P180" s="26">
        <v>0.08</v>
      </c>
      <c r="Q180" s="26">
        <v>0.01</v>
      </c>
      <c r="R180" s="26">
        <v>-0.05</v>
      </c>
    </row>
    <row r="181" ht="14.25" customHeight="1">
      <c r="A181" s="18" t="s">
        <v>302</v>
      </c>
      <c r="B181" s="18" t="s">
        <v>303</v>
      </c>
      <c r="C181" s="19" t="s">
        <v>374</v>
      </c>
      <c r="D181" s="20" t="s">
        <v>393</v>
      </c>
      <c r="E181" s="21" t="s">
        <v>394</v>
      </c>
      <c r="F181" s="21" t="s">
        <v>20</v>
      </c>
      <c r="G181" s="23">
        <v>24990.0</v>
      </c>
      <c r="H181" s="23">
        <v>7641.0</v>
      </c>
      <c r="I181" s="24">
        <v>5923.0</v>
      </c>
      <c r="J181" s="25"/>
      <c r="K181" s="25"/>
      <c r="L181" s="22">
        <v>5923.0</v>
      </c>
      <c r="M181" s="22">
        <v>6346.0</v>
      </c>
      <c r="N181" s="22">
        <v>6769.0</v>
      </c>
      <c r="O181" s="14"/>
      <c r="P181" s="26">
        <v>0.08</v>
      </c>
      <c r="Q181" s="26">
        <v>0.01</v>
      </c>
      <c r="R181" s="26">
        <v>-0.05</v>
      </c>
    </row>
    <row r="182" ht="14.25" customHeight="1">
      <c r="A182" s="18" t="s">
        <v>302</v>
      </c>
      <c r="B182" s="18" t="s">
        <v>303</v>
      </c>
      <c r="C182" s="19" t="s">
        <v>374</v>
      </c>
      <c r="D182" s="20" t="s">
        <v>395</v>
      </c>
      <c r="E182" s="21" t="s">
        <v>396</v>
      </c>
      <c r="F182" s="21" t="s">
        <v>20</v>
      </c>
      <c r="G182" s="23">
        <v>24990.0</v>
      </c>
      <c r="H182" s="23">
        <v>7641.0</v>
      </c>
      <c r="I182" s="24">
        <v>5923.0</v>
      </c>
      <c r="J182" s="25"/>
      <c r="K182" s="25"/>
      <c r="L182" s="22">
        <v>5923.0</v>
      </c>
      <c r="M182" s="22">
        <v>6346.0</v>
      </c>
      <c r="N182" s="22">
        <v>6769.0</v>
      </c>
      <c r="O182" s="14"/>
      <c r="P182" s="26">
        <v>0.08</v>
      </c>
      <c r="Q182" s="26">
        <v>0.01</v>
      </c>
      <c r="R182" s="26">
        <v>-0.05</v>
      </c>
    </row>
    <row r="183" ht="14.25" customHeight="1">
      <c r="A183" s="18" t="s">
        <v>302</v>
      </c>
      <c r="B183" s="18" t="s">
        <v>303</v>
      </c>
      <c r="C183" s="19" t="s">
        <v>374</v>
      </c>
      <c r="D183" s="20" t="s">
        <v>397</v>
      </c>
      <c r="E183" s="21" t="s">
        <v>398</v>
      </c>
      <c r="F183" s="21" t="s">
        <v>20</v>
      </c>
      <c r="G183" s="23">
        <v>24990.0</v>
      </c>
      <c r="H183" s="23">
        <v>7641.0</v>
      </c>
      <c r="I183" s="24">
        <v>5923.0</v>
      </c>
      <c r="J183" s="25"/>
      <c r="K183" s="25"/>
      <c r="L183" s="22">
        <v>5923.0</v>
      </c>
      <c r="M183" s="22">
        <v>6346.0</v>
      </c>
      <c r="N183" s="22">
        <v>6769.0</v>
      </c>
      <c r="O183" s="14"/>
      <c r="P183" s="26">
        <v>0.08</v>
      </c>
      <c r="Q183" s="26">
        <v>0.01</v>
      </c>
      <c r="R183" s="26">
        <v>-0.05</v>
      </c>
    </row>
    <row r="184" ht="14.25" customHeight="1">
      <c r="A184" s="18" t="s">
        <v>302</v>
      </c>
      <c r="B184" s="18" t="s">
        <v>303</v>
      </c>
      <c r="C184" s="19" t="s">
        <v>374</v>
      </c>
      <c r="D184" s="20" t="s">
        <v>399</v>
      </c>
      <c r="E184" s="21" t="s">
        <v>400</v>
      </c>
      <c r="F184" s="21" t="s">
        <v>20</v>
      </c>
      <c r="G184" s="23">
        <v>24990.0</v>
      </c>
      <c r="H184" s="23">
        <v>7641.0</v>
      </c>
      <c r="I184" s="24">
        <v>5923.0</v>
      </c>
      <c r="J184" s="25"/>
      <c r="K184" s="25"/>
      <c r="L184" s="22">
        <v>5923.0</v>
      </c>
      <c r="M184" s="22">
        <v>6346.0</v>
      </c>
      <c r="N184" s="22">
        <v>6769.0</v>
      </c>
      <c r="O184" s="14"/>
      <c r="P184" s="26">
        <v>0.08</v>
      </c>
      <c r="Q184" s="26">
        <v>0.01</v>
      </c>
      <c r="R184" s="26">
        <v>-0.05</v>
      </c>
    </row>
    <row r="185" ht="14.25" customHeight="1">
      <c r="A185" s="18" t="s">
        <v>302</v>
      </c>
      <c r="B185" s="18" t="s">
        <v>303</v>
      </c>
      <c r="C185" s="19" t="s">
        <v>374</v>
      </c>
      <c r="D185" s="20" t="s">
        <v>401</v>
      </c>
      <c r="E185" s="21" t="s">
        <v>402</v>
      </c>
      <c r="F185" s="21" t="s">
        <v>20</v>
      </c>
      <c r="G185" s="23">
        <v>24990.0</v>
      </c>
      <c r="H185" s="23">
        <v>7641.0</v>
      </c>
      <c r="I185" s="24">
        <v>5924.0</v>
      </c>
      <c r="J185" s="25"/>
      <c r="K185" s="25"/>
      <c r="L185" s="22">
        <v>5924.0</v>
      </c>
      <c r="M185" s="22">
        <v>6347.0</v>
      </c>
      <c r="N185" s="22">
        <v>6770.0</v>
      </c>
      <c r="O185" s="14"/>
      <c r="P185" s="26">
        <v>0.08</v>
      </c>
      <c r="Q185" s="26">
        <v>0.01</v>
      </c>
      <c r="R185" s="26">
        <v>-0.05</v>
      </c>
    </row>
    <row r="186" ht="14.25" customHeight="1">
      <c r="A186" s="18" t="s">
        <v>302</v>
      </c>
      <c r="B186" s="18" t="s">
        <v>303</v>
      </c>
      <c r="C186" s="19" t="s">
        <v>374</v>
      </c>
      <c r="D186" s="20" t="s">
        <v>403</v>
      </c>
      <c r="E186" s="21" t="s">
        <v>404</v>
      </c>
      <c r="F186" s="21" t="s">
        <v>20</v>
      </c>
      <c r="G186" s="23">
        <v>24990.0</v>
      </c>
      <c r="H186" s="23">
        <v>7641.0</v>
      </c>
      <c r="I186" s="24">
        <v>5923.0</v>
      </c>
      <c r="J186" s="25"/>
      <c r="K186" s="25"/>
      <c r="L186" s="22">
        <v>5923.0</v>
      </c>
      <c r="M186" s="22">
        <v>6346.0</v>
      </c>
      <c r="N186" s="22">
        <v>6769.0</v>
      </c>
      <c r="O186" s="14"/>
      <c r="P186" s="26">
        <v>0.08</v>
      </c>
      <c r="Q186" s="26">
        <v>0.01</v>
      </c>
      <c r="R186" s="26">
        <v>-0.05</v>
      </c>
    </row>
    <row r="187" ht="14.25" customHeight="1">
      <c r="A187" s="18" t="s">
        <v>302</v>
      </c>
      <c r="B187" s="18" t="s">
        <v>303</v>
      </c>
      <c r="C187" s="19" t="s">
        <v>374</v>
      </c>
      <c r="D187" s="29" t="s">
        <v>405</v>
      </c>
      <c r="E187" s="22" t="s">
        <v>406</v>
      </c>
      <c r="F187" s="22" t="s">
        <v>193</v>
      </c>
      <c r="G187" s="23">
        <v>29990.0</v>
      </c>
      <c r="H187" s="23">
        <v>14700.0</v>
      </c>
      <c r="I187" s="24">
        <v>8108.0</v>
      </c>
      <c r="J187" s="25"/>
      <c r="K187" s="25"/>
      <c r="L187" s="22">
        <v>8108.0</v>
      </c>
      <c r="M187" s="22">
        <v>8687.0</v>
      </c>
      <c r="N187" s="22">
        <v>9266.0</v>
      </c>
      <c r="O187" s="14"/>
      <c r="P187" s="26">
        <v>0.34</v>
      </c>
      <c r="Q187" s="26">
        <v>0.3</v>
      </c>
      <c r="R187" s="26">
        <v>0.25</v>
      </c>
    </row>
    <row r="188" ht="14.25" customHeight="1">
      <c r="A188" s="18" t="s">
        <v>302</v>
      </c>
      <c r="B188" s="18" t="s">
        <v>303</v>
      </c>
      <c r="C188" s="19" t="s">
        <v>374</v>
      </c>
      <c r="D188" s="29" t="s">
        <v>407</v>
      </c>
      <c r="E188" s="22" t="s">
        <v>408</v>
      </c>
      <c r="F188" s="22" t="s">
        <v>193</v>
      </c>
      <c r="G188" s="23">
        <v>29990.0</v>
      </c>
      <c r="H188" s="23">
        <v>14700.0</v>
      </c>
      <c r="I188" s="24">
        <v>8108.0</v>
      </c>
      <c r="J188" s="25"/>
      <c r="K188" s="25"/>
      <c r="L188" s="22">
        <v>8108.0</v>
      </c>
      <c r="M188" s="22">
        <v>8687.0</v>
      </c>
      <c r="N188" s="22">
        <v>9266.0</v>
      </c>
      <c r="O188" s="14"/>
      <c r="P188" s="26">
        <v>0.34</v>
      </c>
      <c r="Q188" s="26">
        <v>0.3</v>
      </c>
      <c r="R188" s="26">
        <v>0.25</v>
      </c>
    </row>
    <row r="189" ht="14.25" customHeight="1">
      <c r="A189" s="18" t="s">
        <v>302</v>
      </c>
      <c r="B189" s="18" t="s">
        <v>303</v>
      </c>
      <c r="C189" s="19" t="s">
        <v>374</v>
      </c>
      <c r="D189" s="29" t="s">
        <v>409</v>
      </c>
      <c r="E189" s="22" t="s">
        <v>410</v>
      </c>
      <c r="F189" s="22" t="s">
        <v>193</v>
      </c>
      <c r="G189" s="23">
        <v>29990.0</v>
      </c>
      <c r="H189" s="23">
        <v>14700.0</v>
      </c>
      <c r="I189" s="24">
        <v>8108.0</v>
      </c>
      <c r="J189" s="25"/>
      <c r="K189" s="25"/>
      <c r="L189" s="22">
        <v>8108.0</v>
      </c>
      <c r="M189" s="22">
        <v>8687.0</v>
      </c>
      <c r="N189" s="22">
        <v>9266.0</v>
      </c>
      <c r="O189" s="14"/>
      <c r="P189" s="26">
        <v>0.34</v>
      </c>
      <c r="Q189" s="26">
        <v>0.3</v>
      </c>
      <c r="R189" s="26">
        <v>0.25</v>
      </c>
    </row>
    <row r="190" ht="14.25" customHeight="1">
      <c r="A190" s="18" t="s">
        <v>302</v>
      </c>
      <c r="B190" s="18" t="s">
        <v>303</v>
      </c>
      <c r="C190" s="19" t="s">
        <v>374</v>
      </c>
      <c r="D190" s="29" t="s">
        <v>411</v>
      </c>
      <c r="E190" s="22" t="s">
        <v>412</v>
      </c>
      <c r="F190" s="22" t="s">
        <v>193</v>
      </c>
      <c r="G190" s="23">
        <v>29990.0</v>
      </c>
      <c r="H190" s="23">
        <v>14700.0</v>
      </c>
      <c r="I190" s="24">
        <v>8108.0</v>
      </c>
      <c r="J190" s="25"/>
      <c r="K190" s="25"/>
      <c r="L190" s="22">
        <v>8108.0</v>
      </c>
      <c r="M190" s="22">
        <v>8687.0</v>
      </c>
      <c r="N190" s="22">
        <v>9266.0</v>
      </c>
      <c r="O190" s="14"/>
      <c r="P190" s="26">
        <v>0.34</v>
      </c>
      <c r="Q190" s="26">
        <v>0.3</v>
      </c>
      <c r="R190" s="26">
        <v>0.25</v>
      </c>
    </row>
    <row r="191" ht="14.25" customHeight="1">
      <c r="A191" s="18" t="s">
        <v>302</v>
      </c>
      <c r="B191" s="18" t="s">
        <v>303</v>
      </c>
      <c r="C191" s="19" t="s">
        <v>374</v>
      </c>
      <c r="D191" s="29" t="s">
        <v>413</v>
      </c>
      <c r="E191" s="22" t="s">
        <v>414</v>
      </c>
      <c r="F191" s="22" t="s">
        <v>193</v>
      </c>
      <c r="G191" s="23">
        <v>29990.0</v>
      </c>
      <c r="H191" s="23">
        <v>14700.0</v>
      </c>
      <c r="I191" s="24">
        <v>8108.0</v>
      </c>
      <c r="J191" s="25"/>
      <c r="K191" s="25"/>
      <c r="L191" s="22">
        <v>8108.0</v>
      </c>
      <c r="M191" s="22">
        <v>8687.0</v>
      </c>
      <c r="N191" s="22">
        <v>9266.0</v>
      </c>
      <c r="O191" s="14"/>
      <c r="P191" s="26">
        <v>0.34</v>
      </c>
      <c r="Q191" s="26">
        <v>0.3</v>
      </c>
      <c r="R191" s="26">
        <v>0.25</v>
      </c>
    </row>
    <row r="192" ht="14.25" customHeight="1">
      <c r="A192" s="18" t="s">
        <v>302</v>
      </c>
      <c r="B192" s="18" t="s">
        <v>303</v>
      </c>
      <c r="C192" s="19" t="s">
        <v>374</v>
      </c>
      <c r="D192" s="29" t="s">
        <v>415</v>
      </c>
      <c r="E192" s="22" t="s">
        <v>416</v>
      </c>
      <c r="F192" s="22" t="s">
        <v>193</v>
      </c>
      <c r="G192" s="23">
        <v>29990.0</v>
      </c>
      <c r="H192" s="23">
        <v>14700.0</v>
      </c>
      <c r="I192" s="24">
        <v>8108.0</v>
      </c>
      <c r="J192" s="25"/>
      <c r="K192" s="25"/>
      <c r="L192" s="22">
        <v>8108.0</v>
      </c>
      <c r="M192" s="22">
        <v>8687.0</v>
      </c>
      <c r="N192" s="22">
        <v>9266.0</v>
      </c>
      <c r="O192" s="14"/>
      <c r="P192" s="26">
        <v>0.34</v>
      </c>
      <c r="Q192" s="26">
        <v>0.3</v>
      </c>
      <c r="R192" s="26">
        <v>0.25</v>
      </c>
    </row>
    <row r="193" ht="14.25" customHeight="1">
      <c r="A193" s="18" t="s">
        <v>302</v>
      </c>
      <c r="B193" s="18" t="s">
        <v>303</v>
      </c>
      <c r="C193" s="19" t="s">
        <v>374</v>
      </c>
      <c r="D193" s="29" t="s">
        <v>417</v>
      </c>
      <c r="E193" s="22" t="s">
        <v>418</v>
      </c>
      <c r="F193" s="22" t="s">
        <v>193</v>
      </c>
      <c r="G193" s="23">
        <v>29990.0</v>
      </c>
      <c r="H193" s="23">
        <v>14700.0</v>
      </c>
      <c r="I193" s="24">
        <v>8108.0</v>
      </c>
      <c r="J193" s="25"/>
      <c r="K193" s="25"/>
      <c r="L193" s="22">
        <v>8108.0</v>
      </c>
      <c r="M193" s="22">
        <v>8687.0</v>
      </c>
      <c r="N193" s="22">
        <v>9266.0</v>
      </c>
      <c r="O193" s="14"/>
      <c r="P193" s="26">
        <v>0.34</v>
      </c>
      <c r="Q193" s="26">
        <v>0.3</v>
      </c>
      <c r="R193" s="26">
        <v>0.25</v>
      </c>
    </row>
    <row r="194" ht="14.25" customHeight="1">
      <c r="A194" s="18" t="s">
        <v>302</v>
      </c>
      <c r="B194" s="18" t="s">
        <v>303</v>
      </c>
      <c r="C194" s="19" t="s">
        <v>374</v>
      </c>
      <c r="D194" s="29" t="s">
        <v>419</v>
      </c>
      <c r="E194" s="22" t="s">
        <v>420</v>
      </c>
      <c r="F194" s="22" t="s">
        <v>193</v>
      </c>
      <c r="G194" s="23">
        <v>29990.0</v>
      </c>
      <c r="H194" s="23">
        <v>14700.0</v>
      </c>
      <c r="I194" s="24">
        <v>8108.0</v>
      </c>
      <c r="J194" s="25"/>
      <c r="K194" s="25"/>
      <c r="L194" s="22">
        <v>8108.0</v>
      </c>
      <c r="M194" s="22">
        <v>8687.0</v>
      </c>
      <c r="N194" s="22">
        <v>9266.0</v>
      </c>
      <c r="O194" s="14"/>
      <c r="P194" s="26">
        <v>0.34</v>
      </c>
      <c r="Q194" s="26">
        <v>0.3</v>
      </c>
      <c r="R194" s="26">
        <v>0.25</v>
      </c>
    </row>
    <row r="195" ht="14.25" customHeight="1">
      <c r="A195" s="18" t="s">
        <v>302</v>
      </c>
      <c r="B195" s="18" t="s">
        <v>303</v>
      </c>
      <c r="C195" s="19" t="s">
        <v>374</v>
      </c>
      <c r="D195" s="29" t="s">
        <v>421</v>
      </c>
      <c r="E195" s="22" t="s">
        <v>422</v>
      </c>
      <c r="F195" s="22" t="s">
        <v>193</v>
      </c>
      <c r="G195" s="23">
        <v>29990.0</v>
      </c>
      <c r="H195" s="23">
        <v>14700.0</v>
      </c>
      <c r="I195" s="24">
        <v>8108.0</v>
      </c>
      <c r="J195" s="25"/>
      <c r="K195" s="25"/>
      <c r="L195" s="22">
        <v>8108.0</v>
      </c>
      <c r="M195" s="22">
        <v>8687.0</v>
      </c>
      <c r="N195" s="22">
        <v>9266.0</v>
      </c>
      <c r="O195" s="14"/>
      <c r="P195" s="26">
        <v>0.34</v>
      </c>
      <c r="Q195" s="26">
        <v>0.3</v>
      </c>
      <c r="R195" s="26">
        <v>0.25</v>
      </c>
    </row>
    <row r="196" ht="14.25" customHeight="1">
      <c r="A196" s="18" t="s">
        <v>302</v>
      </c>
      <c r="B196" s="18" t="s">
        <v>303</v>
      </c>
      <c r="C196" s="19" t="s">
        <v>374</v>
      </c>
      <c r="D196" s="29" t="s">
        <v>423</v>
      </c>
      <c r="E196" s="22" t="s">
        <v>424</v>
      </c>
      <c r="F196" s="22" t="s">
        <v>193</v>
      </c>
      <c r="G196" s="23">
        <v>29990.0</v>
      </c>
      <c r="H196" s="23">
        <v>14700.0</v>
      </c>
      <c r="I196" s="24">
        <v>8108.0</v>
      </c>
      <c r="J196" s="25"/>
      <c r="K196" s="25"/>
      <c r="L196" s="22">
        <v>8108.0</v>
      </c>
      <c r="M196" s="22">
        <v>8687.0</v>
      </c>
      <c r="N196" s="22">
        <v>9266.0</v>
      </c>
      <c r="O196" s="14"/>
      <c r="P196" s="26">
        <v>0.34</v>
      </c>
      <c r="Q196" s="26">
        <v>0.3</v>
      </c>
      <c r="R196" s="26">
        <v>0.25</v>
      </c>
    </row>
    <row r="197" ht="14.25" customHeight="1">
      <c r="A197" s="18" t="s">
        <v>302</v>
      </c>
      <c r="B197" s="18" t="s">
        <v>303</v>
      </c>
      <c r="C197" s="19" t="s">
        <v>374</v>
      </c>
      <c r="D197" s="29" t="s">
        <v>425</v>
      </c>
      <c r="E197" s="22" t="s">
        <v>426</v>
      </c>
      <c r="F197" s="22" t="s">
        <v>193</v>
      </c>
      <c r="G197" s="23">
        <v>29990.0</v>
      </c>
      <c r="H197" s="23">
        <v>14700.0</v>
      </c>
      <c r="I197" s="24">
        <v>8108.0</v>
      </c>
      <c r="J197" s="25"/>
      <c r="K197" s="25"/>
      <c r="L197" s="22">
        <v>8108.0</v>
      </c>
      <c r="M197" s="22">
        <v>8687.0</v>
      </c>
      <c r="N197" s="22">
        <v>9266.0</v>
      </c>
      <c r="O197" s="14"/>
      <c r="P197" s="26">
        <v>0.34</v>
      </c>
      <c r="Q197" s="26">
        <v>0.3</v>
      </c>
      <c r="R197" s="26">
        <v>0.25</v>
      </c>
    </row>
    <row r="198" ht="14.25" customHeight="1">
      <c r="A198" s="18" t="s">
        <v>302</v>
      </c>
      <c r="B198" s="18" t="s">
        <v>303</v>
      </c>
      <c r="C198" s="19" t="s">
        <v>374</v>
      </c>
      <c r="D198" s="29" t="s">
        <v>427</v>
      </c>
      <c r="E198" s="22" t="s">
        <v>428</v>
      </c>
      <c r="F198" s="22" t="s">
        <v>193</v>
      </c>
      <c r="G198" s="23">
        <v>29990.0</v>
      </c>
      <c r="H198" s="23">
        <v>14700.0</v>
      </c>
      <c r="I198" s="24">
        <v>8108.0</v>
      </c>
      <c r="J198" s="25"/>
      <c r="K198" s="25"/>
      <c r="L198" s="22">
        <v>8108.0</v>
      </c>
      <c r="M198" s="22">
        <v>8687.0</v>
      </c>
      <c r="N198" s="22">
        <v>9266.0</v>
      </c>
      <c r="O198" s="14"/>
      <c r="P198" s="26">
        <v>0.34</v>
      </c>
      <c r="Q198" s="26">
        <v>0.3</v>
      </c>
      <c r="R198" s="26">
        <v>0.25</v>
      </c>
    </row>
    <row r="199" ht="14.25" customHeight="1">
      <c r="A199" s="18" t="s">
        <v>302</v>
      </c>
      <c r="B199" s="18" t="s">
        <v>303</v>
      </c>
      <c r="C199" s="19" t="s">
        <v>374</v>
      </c>
      <c r="D199" s="29" t="s">
        <v>429</v>
      </c>
      <c r="E199" s="22" t="s">
        <v>430</v>
      </c>
      <c r="F199" s="22" t="s">
        <v>193</v>
      </c>
      <c r="G199" s="23">
        <v>29990.0</v>
      </c>
      <c r="H199" s="23">
        <v>14700.0</v>
      </c>
      <c r="I199" s="24">
        <v>8108.0</v>
      </c>
      <c r="J199" s="25"/>
      <c r="K199" s="25"/>
      <c r="L199" s="22">
        <v>8108.0</v>
      </c>
      <c r="M199" s="22">
        <v>8687.0</v>
      </c>
      <c r="N199" s="22">
        <v>9266.0</v>
      </c>
      <c r="O199" s="14"/>
      <c r="P199" s="26">
        <v>0.34</v>
      </c>
      <c r="Q199" s="26">
        <v>0.3</v>
      </c>
      <c r="R199" s="26">
        <v>0.25</v>
      </c>
    </row>
    <row r="200" ht="14.25" customHeight="1">
      <c r="A200" s="18" t="s">
        <v>302</v>
      </c>
      <c r="B200" s="18" t="s">
        <v>303</v>
      </c>
      <c r="C200" s="19" t="s">
        <v>374</v>
      </c>
      <c r="D200" s="29" t="s">
        <v>431</v>
      </c>
      <c r="E200" s="22" t="s">
        <v>432</v>
      </c>
      <c r="F200" s="22" t="s">
        <v>193</v>
      </c>
      <c r="G200" s="23">
        <v>29990.0</v>
      </c>
      <c r="H200" s="23">
        <v>14700.0</v>
      </c>
      <c r="I200" s="24">
        <v>8108.0</v>
      </c>
      <c r="J200" s="25"/>
      <c r="K200" s="25"/>
      <c r="L200" s="22">
        <v>8108.0</v>
      </c>
      <c r="M200" s="22">
        <v>8687.0</v>
      </c>
      <c r="N200" s="22">
        <v>9266.0</v>
      </c>
      <c r="O200" s="14"/>
      <c r="P200" s="26">
        <v>0.34</v>
      </c>
      <c r="Q200" s="26">
        <v>0.3</v>
      </c>
      <c r="R200" s="26">
        <v>0.25</v>
      </c>
    </row>
    <row r="201" ht="14.25" customHeight="1">
      <c r="A201" s="18" t="s">
        <v>302</v>
      </c>
      <c r="B201" s="18" t="s">
        <v>303</v>
      </c>
      <c r="C201" s="19" t="s">
        <v>374</v>
      </c>
      <c r="D201" s="29" t="s">
        <v>433</v>
      </c>
      <c r="E201" s="22" t="s">
        <v>434</v>
      </c>
      <c r="F201" s="22" t="s">
        <v>193</v>
      </c>
      <c r="G201" s="23">
        <v>29990.0</v>
      </c>
      <c r="H201" s="23">
        <v>14700.0</v>
      </c>
      <c r="I201" s="24">
        <v>8108.0</v>
      </c>
      <c r="J201" s="25"/>
      <c r="K201" s="25"/>
      <c r="L201" s="22">
        <v>8108.0</v>
      </c>
      <c r="M201" s="22">
        <v>8687.0</v>
      </c>
      <c r="N201" s="22">
        <v>9266.0</v>
      </c>
      <c r="O201" s="14"/>
      <c r="P201" s="26">
        <v>0.34</v>
      </c>
      <c r="Q201" s="26">
        <v>0.3</v>
      </c>
      <c r="R201" s="26">
        <v>0.25</v>
      </c>
    </row>
    <row r="202" ht="14.25" customHeight="1">
      <c r="A202" s="18" t="s">
        <v>302</v>
      </c>
      <c r="B202" s="18" t="s">
        <v>303</v>
      </c>
      <c r="C202" s="19" t="s">
        <v>374</v>
      </c>
      <c r="D202" s="29" t="s">
        <v>435</v>
      </c>
      <c r="E202" s="22" t="s">
        <v>436</v>
      </c>
      <c r="F202" s="22" t="s">
        <v>193</v>
      </c>
      <c r="G202" s="23">
        <v>29990.0</v>
      </c>
      <c r="H202" s="23">
        <v>14700.0</v>
      </c>
      <c r="I202" s="24">
        <v>8108.0</v>
      </c>
      <c r="J202" s="25"/>
      <c r="K202" s="25"/>
      <c r="L202" s="22">
        <v>8108.0</v>
      </c>
      <c r="M202" s="22">
        <v>8687.0</v>
      </c>
      <c r="N202" s="22">
        <v>9266.0</v>
      </c>
      <c r="O202" s="14"/>
      <c r="P202" s="26">
        <v>0.34</v>
      </c>
      <c r="Q202" s="26">
        <v>0.3</v>
      </c>
      <c r="R202" s="26">
        <v>0.25</v>
      </c>
    </row>
    <row r="203" ht="14.25" customHeight="1">
      <c r="A203" s="18" t="s">
        <v>302</v>
      </c>
      <c r="B203" s="18" t="s">
        <v>303</v>
      </c>
      <c r="C203" s="19" t="s">
        <v>374</v>
      </c>
      <c r="D203" s="29" t="s">
        <v>437</v>
      </c>
      <c r="E203" s="22" t="s">
        <v>438</v>
      </c>
      <c r="F203" s="22" t="s">
        <v>193</v>
      </c>
      <c r="G203" s="23">
        <v>29990.0</v>
      </c>
      <c r="H203" s="23">
        <v>14700.0</v>
      </c>
      <c r="I203" s="24">
        <v>8108.0</v>
      </c>
      <c r="J203" s="25"/>
      <c r="K203" s="25"/>
      <c r="L203" s="22">
        <v>8108.0</v>
      </c>
      <c r="M203" s="22">
        <v>8687.0</v>
      </c>
      <c r="N203" s="22">
        <v>9266.0</v>
      </c>
      <c r="O203" s="14"/>
      <c r="P203" s="26">
        <v>0.34</v>
      </c>
      <c r="Q203" s="26">
        <v>0.3</v>
      </c>
      <c r="R203" s="26">
        <v>0.25</v>
      </c>
    </row>
    <row r="204" ht="14.25" customHeight="1">
      <c r="A204" s="18" t="s">
        <v>302</v>
      </c>
      <c r="B204" s="18" t="s">
        <v>303</v>
      </c>
      <c r="C204" s="19" t="s">
        <v>374</v>
      </c>
      <c r="D204" s="29" t="s">
        <v>439</v>
      </c>
      <c r="E204" s="22" t="s">
        <v>440</v>
      </c>
      <c r="F204" s="22" t="s">
        <v>193</v>
      </c>
      <c r="G204" s="23">
        <v>29990.0</v>
      </c>
      <c r="H204" s="23">
        <v>14700.0</v>
      </c>
      <c r="I204" s="24">
        <v>8108.0</v>
      </c>
      <c r="J204" s="25"/>
      <c r="K204" s="25"/>
      <c r="L204" s="22">
        <v>8108.0</v>
      </c>
      <c r="M204" s="22">
        <v>8687.0</v>
      </c>
      <c r="N204" s="22">
        <v>9266.0</v>
      </c>
      <c r="O204" s="14"/>
      <c r="P204" s="26">
        <v>0.34</v>
      </c>
      <c r="Q204" s="26">
        <v>0.3</v>
      </c>
      <c r="R204" s="26">
        <v>0.25</v>
      </c>
    </row>
    <row r="205" ht="14.25" customHeight="1">
      <c r="A205" s="18" t="s">
        <v>302</v>
      </c>
      <c r="B205" s="18" t="s">
        <v>303</v>
      </c>
      <c r="C205" s="19" t="s">
        <v>374</v>
      </c>
      <c r="D205" s="29" t="s">
        <v>441</v>
      </c>
      <c r="E205" s="22" t="s">
        <v>442</v>
      </c>
      <c r="F205" s="22" t="s">
        <v>193</v>
      </c>
      <c r="G205" s="23">
        <v>29990.0</v>
      </c>
      <c r="H205" s="23">
        <v>14700.0</v>
      </c>
      <c r="I205" s="24">
        <v>8108.0</v>
      </c>
      <c r="J205" s="25"/>
      <c r="K205" s="25"/>
      <c r="L205" s="22">
        <v>8108.0</v>
      </c>
      <c r="M205" s="22">
        <v>8687.0</v>
      </c>
      <c r="N205" s="22">
        <v>9266.0</v>
      </c>
      <c r="O205" s="14"/>
      <c r="P205" s="26">
        <v>0.34</v>
      </c>
      <c r="Q205" s="26">
        <v>0.3</v>
      </c>
      <c r="R205" s="26">
        <v>0.25</v>
      </c>
    </row>
    <row r="206" ht="14.25" customHeight="1">
      <c r="A206" s="18" t="s">
        <v>302</v>
      </c>
      <c r="B206" s="18" t="s">
        <v>303</v>
      </c>
      <c r="C206" s="19" t="s">
        <v>374</v>
      </c>
      <c r="D206" s="29" t="s">
        <v>443</v>
      </c>
      <c r="E206" s="22" t="s">
        <v>444</v>
      </c>
      <c r="F206" s="22" t="s">
        <v>193</v>
      </c>
      <c r="G206" s="23">
        <v>29990.0</v>
      </c>
      <c r="H206" s="23">
        <v>14700.0</v>
      </c>
      <c r="I206" s="24">
        <v>8108.0</v>
      </c>
      <c r="J206" s="25"/>
      <c r="K206" s="25"/>
      <c r="L206" s="22">
        <v>8108.0</v>
      </c>
      <c r="M206" s="22">
        <v>8687.0</v>
      </c>
      <c r="N206" s="22">
        <v>9266.0</v>
      </c>
      <c r="O206" s="14"/>
      <c r="P206" s="26">
        <v>0.34</v>
      </c>
      <c r="Q206" s="26">
        <v>0.3</v>
      </c>
      <c r="R206" s="26">
        <v>0.25</v>
      </c>
    </row>
    <row r="207" ht="14.25" customHeight="1">
      <c r="A207" s="18" t="s">
        <v>302</v>
      </c>
      <c r="B207" s="18" t="s">
        <v>303</v>
      </c>
      <c r="C207" s="19" t="s">
        <v>374</v>
      </c>
      <c r="D207" s="29" t="s">
        <v>445</v>
      </c>
      <c r="E207" s="22" t="s">
        <v>446</v>
      </c>
      <c r="F207" s="22" t="s">
        <v>193</v>
      </c>
      <c r="G207" s="23">
        <v>29990.0</v>
      </c>
      <c r="H207" s="23">
        <v>14700.0</v>
      </c>
      <c r="I207" s="24">
        <v>8108.0</v>
      </c>
      <c r="J207" s="25"/>
      <c r="K207" s="25"/>
      <c r="L207" s="22">
        <v>8108.0</v>
      </c>
      <c r="M207" s="22">
        <v>8687.0</v>
      </c>
      <c r="N207" s="22">
        <v>9266.0</v>
      </c>
      <c r="O207" s="14"/>
      <c r="P207" s="26">
        <v>0.34</v>
      </c>
      <c r="Q207" s="26">
        <v>0.3</v>
      </c>
      <c r="R207" s="26">
        <v>0.25</v>
      </c>
    </row>
    <row r="208" ht="14.25" customHeight="1">
      <c r="A208" s="18" t="s">
        <v>302</v>
      </c>
      <c r="B208" s="18" t="s">
        <v>303</v>
      </c>
      <c r="C208" s="19" t="s">
        <v>374</v>
      </c>
      <c r="D208" s="29" t="s">
        <v>447</v>
      </c>
      <c r="E208" s="22" t="s">
        <v>448</v>
      </c>
      <c r="F208" s="22" t="s">
        <v>193</v>
      </c>
      <c r="G208" s="23">
        <v>29990.0</v>
      </c>
      <c r="H208" s="23">
        <v>14700.0</v>
      </c>
      <c r="I208" s="24">
        <v>8108.0</v>
      </c>
      <c r="J208" s="25"/>
      <c r="K208" s="25"/>
      <c r="L208" s="22">
        <v>8108.0</v>
      </c>
      <c r="M208" s="22">
        <v>8687.0</v>
      </c>
      <c r="N208" s="22">
        <v>9266.0</v>
      </c>
      <c r="O208" s="14"/>
      <c r="P208" s="26">
        <v>0.34</v>
      </c>
      <c r="Q208" s="26">
        <v>0.3</v>
      </c>
      <c r="R208" s="26">
        <v>0.25</v>
      </c>
    </row>
    <row r="209" ht="14.25" customHeight="1">
      <c r="A209" s="18" t="s">
        <v>302</v>
      </c>
      <c r="B209" s="18" t="s">
        <v>303</v>
      </c>
      <c r="C209" s="19" t="s">
        <v>374</v>
      </c>
      <c r="D209" s="29" t="s">
        <v>449</v>
      </c>
      <c r="E209" s="22" t="s">
        <v>450</v>
      </c>
      <c r="F209" s="22" t="s">
        <v>193</v>
      </c>
      <c r="G209" s="23">
        <v>29990.0</v>
      </c>
      <c r="H209" s="23">
        <v>14700.0</v>
      </c>
      <c r="I209" s="24">
        <v>8108.0</v>
      </c>
      <c r="J209" s="25"/>
      <c r="K209" s="25"/>
      <c r="L209" s="22">
        <v>8108.0</v>
      </c>
      <c r="M209" s="22">
        <v>8687.0</v>
      </c>
      <c r="N209" s="22">
        <v>9266.0</v>
      </c>
      <c r="O209" s="14"/>
      <c r="P209" s="26">
        <v>0.34</v>
      </c>
      <c r="Q209" s="26">
        <v>0.3</v>
      </c>
      <c r="R209" s="26">
        <v>0.25</v>
      </c>
    </row>
    <row r="210" ht="14.25" customHeight="1">
      <c r="A210" s="18" t="s">
        <v>302</v>
      </c>
      <c r="B210" s="18" t="s">
        <v>303</v>
      </c>
      <c r="C210" s="19" t="s">
        <v>451</v>
      </c>
      <c r="D210" s="20" t="s">
        <v>452</v>
      </c>
      <c r="E210" s="21" t="s">
        <v>453</v>
      </c>
      <c r="F210" s="21" t="s">
        <v>20</v>
      </c>
      <c r="G210" s="23">
        <v>12990.0</v>
      </c>
      <c r="H210" s="23">
        <v>5876.0</v>
      </c>
      <c r="I210" s="24">
        <v>3310.0</v>
      </c>
      <c r="J210" s="25"/>
      <c r="K210" s="25"/>
      <c r="L210" s="22">
        <v>3310.0</v>
      </c>
      <c r="M210" s="22">
        <v>3546.0</v>
      </c>
      <c r="N210" s="22">
        <v>3783.0</v>
      </c>
      <c r="O210" s="14"/>
      <c r="P210" s="26">
        <v>0.33</v>
      </c>
      <c r="Q210" s="26">
        <v>0.28</v>
      </c>
      <c r="R210" s="26">
        <v>0.23</v>
      </c>
    </row>
    <row r="211" ht="14.25" customHeight="1">
      <c r="A211" s="18" t="s">
        <v>302</v>
      </c>
      <c r="B211" s="18" t="s">
        <v>303</v>
      </c>
      <c r="C211" s="19" t="s">
        <v>451</v>
      </c>
      <c r="D211" s="20" t="s">
        <v>454</v>
      </c>
      <c r="E211" s="21" t="s">
        <v>455</v>
      </c>
      <c r="F211" s="21" t="s">
        <v>20</v>
      </c>
      <c r="G211" s="23">
        <v>12990.0</v>
      </c>
      <c r="H211" s="23">
        <v>5876.0</v>
      </c>
      <c r="I211" s="24">
        <v>3310.0</v>
      </c>
      <c r="J211" s="25"/>
      <c r="K211" s="25"/>
      <c r="L211" s="22">
        <v>3310.0</v>
      </c>
      <c r="M211" s="22">
        <v>3546.0</v>
      </c>
      <c r="N211" s="22">
        <v>3783.0</v>
      </c>
      <c r="O211" s="14"/>
      <c r="P211" s="26">
        <v>0.33</v>
      </c>
      <c r="Q211" s="26">
        <v>0.28</v>
      </c>
      <c r="R211" s="26">
        <v>0.23</v>
      </c>
    </row>
    <row r="212" ht="14.25" customHeight="1">
      <c r="A212" s="18" t="s">
        <v>302</v>
      </c>
      <c r="B212" s="18" t="s">
        <v>456</v>
      </c>
      <c r="C212" s="19" t="s">
        <v>457</v>
      </c>
      <c r="D212" s="20" t="s">
        <v>458</v>
      </c>
      <c r="E212" s="21">
        <v>1.56415E12</v>
      </c>
      <c r="F212" s="21" t="s">
        <v>179</v>
      </c>
      <c r="G212" s="23">
        <v>19990.0</v>
      </c>
      <c r="H212" s="23">
        <v>5876.0</v>
      </c>
      <c r="I212" s="24">
        <v>2701.0</v>
      </c>
      <c r="J212" s="25"/>
      <c r="K212" s="25"/>
      <c r="L212" s="22">
        <v>2701.0</v>
      </c>
      <c r="M212" s="22">
        <v>2894.0</v>
      </c>
      <c r="N212" s="22">
        <v>3087.0</v>
      </c>
      <c r="O212" s="14"/>
      <c r="P212" s="26">
        <v>0.45</v>
      </c>
      <c r="Q212" s="26">
        <v>0.41</v>
      </c>
      <c r="R212" s="26">
        <v>0.37</v>
      </c>
    </row>
    <row r="213" ht="14.25" customHeight="1">
      <c r="A213" s="18" t="s">
        <v>302</v>
      </c>
      <c r="B213" s="18" t="s">
        <v>456</v>
      </c>
      <c r="C213" s="19" t="s">
        <v>457</v>
      </c>
      <c r="D213" s="20" t="s">
        <v>459</v>
      </c>
      <c r="E213" s="21">
        <v>1.56634E12</v>
      </c>
      <c r="F213" s="21" t="s">
        <v>179</v>
      </c>
      <c r="G213" s="23">
        <v>19990.0</v>
      </c>
      <c r="H213" s="23">
        <v>5876.0</v>
      </c>
      <c r="I213" s="24">
        <v>2673.0</v>
      </c>
      <c r="J213" s="25"/>
      <c r="K213" s="25"/>
      <c r="L213" s="22">
        <v>2673.0</v>
      </c>
      <c r="M213" s="22">
        <v>2864.0</v>
      </c>
      <c r="N213" s="22">
        <v>3055.0</v>
      </c>
      <c r="O213" s="14"/>
      <c r="P213" s="26">
        <v>0.46</v>
      </c>
      <c r="Q213" s="26">
        <v>0.42</v>
      </c>
      <c r="R213" s="26">
        <v>0.38</v>
      </c>
    </row>
    <row r="214" ht="14.25" customHeight="1">
      <c r="A214" s="18" t="s">
        <v>302</v>
      </c>
      <c r="B214" s="18" t="s">
        <v>456</v>
      </c>
      <c r="C214" s="19" t="s">
        <v>457</v>
      </c>
      <c r="D214" s="20" t="s">
        <v>460</v>
      </c>
      <c r="E214" s="21">
        <v>1.56415E12</v>
      </c>
      <c r="F214" s="21" t="s">
        <v>179</v>
      </c>
      <c r="G214" s="23">
        <v>19990.0</v>
      </c>
      <c r="H214" s="23">
        <v>5876.0</v>
      </c>
      <c r="I214" s="24">
        <v>2841.0</v>
      </c>
      <c r="J214" s="25"/>
      <c r="K214" s="25"/>
      <c r="L214" s="22">
        <v>2841.0</v>
      </c>
      <c r="M214" s="22">
        <v>3044.0</v>
      </c>
      <c r="N214" s="22">
        <v>3247.0</v>
      </c>
      <c r="O214" s="14"/>
      <c r="P214" s="26">
        <v>0.42</v>
      </c>
      <c r="Q214" s="26">
        <v>0.38</v>
      </c>
      <c r="R214" s="26">
        <v>0.34</v>
      </c>
    </row>
    <row r="215" ht="14.25" customHeight="1">
      <c r="A215" s="18" t="s">
        <v>302</v>
      </c>
      <c r="B215" s="18" t="s">
        <v>456</v>
      </c>
      <c r="C215" s="19" t="s">
        <v>457</v>
      </c>
      <c r="D215" s="20" t="s">
        <v>461</v>
      </c>
      <c r="E215" s="21">
        <v>1.59249E12</v>
      </c>
      <c r="F215" s="21" t="s">
        <v>179</v>
      </c>
      <c r="G215" s="23">
        <v>19990.0</v>
      </c>
      <c r="H215" s="23">
        <v>5876.0</v>
      </c>
      <c r="I215" s="24">
        <v>2711.0</v>
      </c>
      <c r="J215" s="25"/>
      <c r="K215" s="25"/>
      <c r="L215" s="22">
        <v>2711.0</v>
      </c>
      <c r="M215" s="22">
        <v>2905.0</v>
      </c>
      <c r="N215" s="22">
        <v>3098.0</v>
      </c>
      <c r="O215" s="14"/>
      <c r="P215" s="26">
        <v>0.45</v>
      </c>
      <c r="Q215" s="26">
        <v>0.41</v>
      </c>
      <c r="R215" s="26">
        <v>0.37</v>
      </c>
    </row>
    <row r="216" ht="14.25" customHeight="1">
      <c r="A216" s="18" t="s">
        <v>302</v>
      </c>
      <c r="B216" s="18" t="s">
        <v>456</v>
      </c>
      <c r="C216" s="19" t="s">
        <v>457</v>
      </c>
      <c r="D216" s="20" t="s">
        <v>462</v>
      </c>
      <c r="E216" s="21">
        <v>1.59709E12</v>
      </c>
      <c r="F216" s="21" t="s">
        <v>179</v>
      </c>
      <c r="G216" s="23">
        <v>24990.0</v>
      </c>
      <c r="H216" s="23">
        <v>8818.0</v>
      </c>
      <c r="I216" s="24">
        <v>4869.0</v>
      </c>
      <c r="J216" s="25"/>
      <c r="K216" s="25"/>
      <c r="L216" s="22">
        <v>4869.0</v>
      </c>
      <c r="M216" s="22">
        <v>5217.0</v>
      </c>
      <c r="N216" s="22">
        <v>5565.0</v>
      </c>
      <c r="O216" s="14"/>
      <c r="P216" s="26">
        <v>0.34</v>
      </c>
      <c r="Q216" s="26">
        <v>0.3</v>
      </c>
      <c r="R216" s="26">
        <v>0.25</v>
      </c>
    </row>
    <row r="217" ht="14.25" customHeight="1">
      <c r="A217" s="18" t="s">
        <v>302</v>
      </c>
      <c r="B217" s="18" t="s">
        <v>456</v>
      </c>
      <c r="C217" s="19" t="s">
        <v>457</v>
      </c>
      <c r="D217" s="20" t="s">
        <v>463</v>
      </c>
      <c r="E217" s="21">
        <v>1.5971E12</v>
      </c>
      <c r="F217" s="21" t="s">
        <v>179</v>
      </c>
      <c r="G217" s="23">
        <v>24990.0</v>
      </c>
      <c r="H217" s="23">
        <v>8818.0</v>
      </c>
      <c r="I217" s="24">
        <v>5171.0</v>
      </c>
      <c r="J217" s="25"/>
      <c r="K217" s="25"/>
      <c r="L217" s="22">
        <v>5171.0</v>
      </c>
      <c r="M217" s="22">
        <v>5540.0</v>
      </c>
      <c r="N217" s="22">
        <v>5910.0</v>
      </c>
      <c r="O217" s="14"/>
      <c r="P217" s="26">
        <v>0.3</v>
      </c>
      <c r="Q217" s="26">
        <v>0.25</v>
      </c>
      <c r="R217" s="26">
        <v>0.2</v>
      </c>
    </row>
    <row r="218" ht="14.25" customHeight="1">
      <c r="A218" s="18" t="s">
        <v>302</v>
      </c>
      <c r="B218" s="18" t="s">
        <v>456</v>
      </c>
      <c r="C218" s="19" t="s">
        <v>457</v>
      </c>
      <c r="D218" s="20" t="s">
        <v>464</v>
      </c>
      <c r="E218" s="21">
        <v>1.53789E12</v>
      </c>
      <c r="F218" s="21" t="s">
        <v>134</v>
      </c>
      <c r="G218" s="23">
        <v>24990.0</v>
      </c>
      <c r="H218" s="23">
        <v>7641.0</v>
      </c>
      <c r="I218" s="24">
        <v>4182.0</v>
      </c>
      <c r="J218" s="25"/>
      <c r="K218" s="25"/>
      <c r="L218" s="22">
        <v>4182.0</v>
      </c>
      <c r="M218" s="22">
        <v>4481.0</v>
      </c>
      <c r="N218" s="22">
        <v>4779.0</v>
      </c>
      <c r="O218" s="14"/>
      <c r="P218" s="26">
        <v>0.35</v>
      </c>
      <c r="Q218" s="26">
        <v>0.3</v>
      </c>
      <c r="R218" s="26">
        <v>0.26</v>
      </c>
    </row>
    <row r="219" ht="14.25" customHeight="1">
      <c r="A219" s="18" t="s">
        <v>302</v>
      </c>
      <c r="B219" s="18" t="s">
        <v>456</v>
      </c>
      <c r="C219" s="19" t="s">
        <v>457</v>
      </c>
      <c r="D219" s="20" t="s">
        <v>465</v>
      </c>
      <c r="E219" s="21" t="s">
        <v>466</v>
      </c>
      <c r="F219" s="21" t="s">
        <v>20</v>
      </c>
      <c r="G219" s="23">
        <v>29990.0</v>
      </c>
      <c r="H219" s="23">
        <v>11759.0</v>
      </c>
      <c r="I219" s="24">
        <v>4766.0</v>
      </c>
      <c r="J219" s="25"/>
      <c r="K219" s="25"/>
      <c r="L219" s="22">
        <v>4766.0</v>
      </c>
      <c r="M219" s="22">
        <v>5106.0</v>
      </c>
      <c r="N219" s="22">
        <v>5447.0</v>
      </c>
      <c r="O219" s="14"/>
      <c r="P219" s="26">
        <v>0.52</v>
      </c>
      <c r="Q219" s="26">
        <v>0.48</v>
      </c>
      <c r="R219" s="26">
        <v>0.45</v>
      </c>
    </row>
    <row r="220" ht="14.25" customHeight="1">
      <c r="A220" s="18" t="s">
        <v>302</v>
      </c>
      <c r="B220" s="18" t="s">
        <v>456</v>
      </c>
      <c r="C220" s="19" t="s">
        <v>457</v>
      </c>
      <c r="D220" s="20" t="s">
        <v>467</v>
      </c>
      <c r="E220" s="21">
        <v>6.86589E13</v>
      </c>
      <c r="F220" s="21" t="s">
        <v>179</v>
      </c>
      <c r="G220" s="23">
        <v>24990.0</v>
      </c>
      <c r="H220" s="23">
        <v>8818.0</v>
      </c>
      <c r="I220" s="24">
        <v>5411.0</v>
      </c>
      <c r="J220" s="25"/>
      <c r="K220" s="25"/>
      <c r="L220" s="22">
        <v>5411.0</v>
      </c>
      <c r="M220" s="22">
        <v>5797.0</v>
      </c>
      <c r="N220" s="22">
        <v>6184.0</v>
      </c>
      <c r="O220" s="14"/>
      <c r="P220" s="26">
        <v>0.27</v>
      </c>
      <c r="Q220" s="26">
        <v>0.22</v>
      </c>
      <c r="R220" s="26">
        <v>0.17</v>
      </c>
    </row>
    <row r="221" ht="14.25" customHeight="1">
      <c r="A221" s="18" t="s">
        <v>302</v>
      </c>
      <c r="B221" s="18" t="s">
        <v>456</v>
      </c>
      <c r="C221" s="19" t="s">
        <v>457</v>
      </c>
      <c r="D221" s="20" t="s">
        <v>468</v>
      </c>
      <c r="E221" s="21">
        <v>6.86589E13</v>
      </c>
      <c r="F221" s="21" t="s">
        <v>179</v>
      </c>
      <c r="G221" s="23">
        <v>24990.0</v>
      </c>
      <c r="H221" s="23">
        <v>8818.0</v>
      </c>
      <c r="I221" s="24">
        <v>5366.0</v>
      </c>
      <c r="J221" s="25"/>
      <c r="K221" s="25"/>
      <c r="L221" s="22">
        <v>5366.0</v>
      </c>
      <c r="M221" s="22">
        <v>5749.0</v>
      </c>
      <c r="N221" s="22">
        <v>6133.0</v>
      </c>
      <c r="O221" s="14"/>
      <c r="P221" s="26">
        <v>0.28</v>
      </c>
      <c r="Q221" s="26">
        <v>0.22</v>
      </c>
      <c r="R221" s="26">
        <v>0.17</v>
      </c>
    </row>
    <row r="222" ht="14.25" customHeight="1">
      <c r="A222" s="18" t="s">
        <v>302</v>
      </c>
      <c r="B222" s="18" t="s">
        <v>456</v>
      </c>
      <c r="C222" s="19" t="s">
        <v>457</v>
      </c>
      <c r="D222" s="20" t="s">
        <v>469</v>
      </c>
      <c r="E222" s="21" t="s">
        <v>470</v>
      </c>
      <c r="F222" s="21" t="s">
        <v>20</v>
      </c>
      <c r="G222" s="23">
        <v>39990.0</v>
      </c>
      <c r="H222" s="23">
        <v>13524.0</v>
      </c>
      <c r="I222" s="24">
        <v>9453.0</v>
      </c>
      <c r="J222" s="25"/>
      <c r="K222" s="25"/>
      <c r="L222" s="22">
        <v>9453.0</v>
      </c>
      <c r="M222" s="22">
        <v>10128.0</v>
      </c>
      <c r="N222" s="22">
        <v>10803.0</v>
      </c>
      <c r="O222" s="14"/>
      <c r="P222" s="26">
        <v>0.17</v>
      </c>
      <c r="Q222" s="26">
        <v>0.11</v>
      </c>
      <c r="R222" s="26">
        <v>0.05</v>
      </c>
    </row>
    <row r="223" ht="14.25" customHeight="1">
      <c r="A223" s="18" t="s">
        <v>302</v>
      </c>
      <c r="B223" s="18" t="s">
        <v>456</v>
      </c>
      <c r="C223" s="19" t="s">
        <v>457</v>
      </c>
      <c r="D223" s="20" t="s">
        <v>471</v>
      </c>
      <c r="E223" s="21" t="s">
        <v>472</v>
      </c>
      <c r="F223" s="21" t="s">
        <v>20</v>
      </c>
      <c r="G223" s="23">
        <v>39990.0</v>
      </c>
      <c r="H223" s="23">
        <v>13524.0</v>
      </c>
      <c r="I223" s="24">
        <v>9467.0</v>
      </c>
      <c r="J223" s="25"/>
      <c r="K223" s="25"/>
      <c r="L223" s="22">
        <v>9467.0</v>
      </c>
      <c r="M223" s="22">
        <v>10143.0</v>
      </c>
      <c r="N223" s="22">
        <v>10819.0</v>
      </c>
      <c r="O223" s="14"/>
      <c r="P223" s="26">
        <v>0.17</v>
      </c>
      <c r="Q223" s="26">
        <v>0.11</v>
      </c>
      <c r="R223" s="26">
        <v>0.05</v>
      </c>
    </row>
    <row r="224" ht="14.25" customHeight="1">
      <c r="A224" s="18" t="s">
        <v>302</v>
      </c>
      <c r="B224" s="18" t="s">
        <v>456</v>
      </c>
      <c r="C224" s="19" t="s">
        <v>457</v>
      </c>
      <c r="D224" s="20" t="s">
        <v>473</v>
      </c>
      <c r="E224" s="21" t="s">
        <v>474</v>
      </c>
      <c r="F224" s="21" t="s">
        <v>20</v>
      </c>
      <c r="G224" s="23">
        <v>19990.0</v>
      </c>
      <c r="H224" s="23">
        <v>7641.0</v>
      </c>
      <c r="I224" s="24">
        <v>2580.0</v>
      </c>
      <c r="J224" s="25"/>
      <c r="K224" s="25"/>
      <c r="L224" s="22">
        <v>2580.0</v>
      </c>
      <c r="M224" s="22">
        <v>2764.0</v>
      </c>
      <c r="N224" s="22">
        <v>2949.0</v>
      </c>
      <c r="O224" s="14"/>
      <c r="P224" s="26">
        <v>0.6</v>
      </c>
      <c r="Q224" s="26">
        <v>0.57</v>
      </c>
      <c r="R224" s="26">
        <v>0.54</v>
      </c>
    </row>
    <row r="225" ht="14.25" customHeight="1">
      <c r="A225" s="18" t="s">
        <v>302</v>
      </c>
      <c r="B225" s="18" t="s">
        <v>456</v>
      </c>
      <c r="C225" s="19" t="s">
        <v>457</v>
      </c>
      <c r="D225" s="20" t="s">
        <v>475</v>
      </c>
      <c r="E225" s="21" t="s">
        <v>476</v>
      </c>
      <c r="F225" s="21" t="s">
        <v>20</v>
      </c>
      <c r="G225" s="23">
        <v>29990.0</v>
      </c>
      <c r="H225" s="23">
        <v>9994.0</v>
      </c>
      <c r="I225" s="24">
        <v>6668.0</v>
      </c>
      <c r="J225" s="25"/>
      <c r="K225" s="25"/>
      <c r="L225" s="22">
        <v>6668.0</v>
      </c>
      <c r="M225" s="22">
        <v>7144.0</v>
      </c>
      <c r="N225" s="22">
        <v>7621.0</v>
      </c>
      <c r="O225" s="14"/>
      <c r="P225" s="26">
        <v>0.21</v>
      </c>
      <c r="Q225" s="26">
        <v>0.15</v>
      </c>
      <c r="R225" s="26">
        <v>0.09</v>
      </c>
    </row>
    <row r="226" ht="14.25" customHeight="1">
      <c r="A226" s="18" t="s">
        <v>302</v>
      </c>
      <c r="B226" s="18" t="s">
        <v>456</v>
      </c>
      <c r="C226" s="19" t="s">
        <v>457</v>
      </c>
      <c r="D226" s="20" t="s">
        <v>477</v>
      </c>
      <c r="E226" s="21" t="s">
        <v>478</v>
      </c>
      <c r="F226" s="21" t="s">
        <v>20</v>
      </c>
      <c r="G226" s="23">
        <v>29990.0</v>
      </c>
      <c r="H226" s="23">
        <v>9994.0</v>
      </c>
      <c r="I226" s="24">
        <v>6668.0</v>
      </c>
      <c r="J226" s="25"/>
      <c r="K226" s="25"/>
      <c r="L226" s="22">
        <v>6668.0</v>
      </c>
      <c r="M226" s="22">
        <v>7144.0</v>
      </c>
      <c r="N226" s="22">
        <v>7621.0</v>
      </c>
      <c r="O226" s="14"/>
      <c r="P226" s="26">
        <v>0.21</v>
      </c>
      <c r="Q226" s="26">
        <v>0.15</v>
      </c>
      <c r="R226" s="26">
        <v>0.09</v>
      </c>
    </row>
    <row r="227" ht="14.25" customHeight="1">
      <c r="A227" s="18" t="s">
        <v>302</v>
      </c>
      <c r="B227" s="18" t="s">
        <v>456</v>
      </c>
      <c r="C227" s="19" t="s">
        <v>457</v>
      </c>
      <c r="D227" s="20" t="s">
        <v>479</v>
      </c>
      <c r="E227" s="21" t="s">
        <v>480</v>
      </c>
      <c r="F227" s="22" t="s">
        <v>20</v>
      </c>
      <c r="G227" s="23">
        <v>29990.0</v>
      </c>
      <c r="H227" s="23">
        <v>9994.0</v>
      </c>
      <c r="I227" s="24">
        <v>6664.0</v>
      </c>
      <c r="J227" s="25"/>
      <c r="K227" s="25"/>
      <c r="L227" s="22">
        <v>6664.0</v>
      </c>
      <c r="M227" s="22">
        <v>7140.0</v>
      </c>
      <c r="N227" s="22">
        <v>7616.0</v>
      </c>
      <c r="O227" s="14"/>
      <c r="P227" s="26">
        <v>0.21</v>
      </c>
      <c r="Q227" s="26">
        <v>0.15</v>
      </c>
      <c r="R227" s="26">
        <v>0.09</v>
      </c>
    </row>
    <row r="228" ht="14.25" customHeight="1">
      <c r="A228" s="18" t="s">
        <v>302</v>
      </c>
      <c r="B228" s="18" t="s">
        <v>456</v>
      </c>
      <c r="C228" s="19" t="s">
        <v>457</v>
      </c>
      <c r="D228" s="20" t="s">
        <v>481</v>
      </c>
      <c r="E228" s="21" t="s">
        <v>482</v>
      </c>
      <c r="F228" s="22" t="s">
        <v>20</v>
      </c>
      <c r="G228" s="23">
        <v>29990.0</v>
      </c>
      <c r="H228" s="23">
        <v>9994.0</v>
      </c>
      <c r="I228" s="24">
        <v>6229.0</v>
      </c>
      <c r="J228" s="25"/>
      <c r="K228" s="25"/>
      <c r="L228" s="22">
        <v>6229.0</v>
      </c>
      <c r="M228" s="22">
        <v>6674.0</v>
      </c>
      <c r="N228" s="22">
        <v>7119.0</v>
      </c>
      <c r="O228" s="14"/>
      <c r="P228" s="26">
        <v>0.26</v>
      </c>
      <c r="Q228" s="26">
        <v>0.21</v>
      </c>
      <c r="R228" s="26">
        <v>0.15</v>
      </c>
    </row>
    <row r="229" ht="14.25" customHeight="1">
      <c r="A229" s="18" t="s">
        <v>302</v>
      </c>
      <c r="B229" s="18" t="s">
        <v>456</v>
      </c>
      <c r="C229" s="19" t="s">
        <v>483</v>
      </c>
      <c r="D229" s="20" t="s">
        <v>484</v>
      </c>
      <c r="E229" s="21">
        <v>1.60685E12</v>
      </c>
      <c r="F229" s="21" t="s">
        <v>134</v>
      </c>
      <c r="G229" s="23">
        <v>39990.0</v>
      </c>
      <c r="H229" s="23">
        <v>11759.0</v>
      </c>
      <c r="I229" s="24">
        <v>11319.0</v>
      </c>
      <c r="J229" s="25"/>
      <c r="K229" s="25"/>
      <c r="L229" s="22">
        <v>11319.0</v>
      </c>
      <c r="M229" s="22">
        <v>12127.0</v>
      </c>
      <c r="N229" s="22">
        <v>12936.0</v>
      </c>
      <c r="O229" s="14"/>
      <c r="P229" s="26">
        <v>-0.15</v>
      </c>
      <c r="Q229" s="26">
        <v>-0.23</v>
      </c>
      <c r="R229" s="26">
        <v>-0.31</v>
      </c>
    </row>
    <row r="230" ht="14.25" customHeight="1">
      <c r="A230" s="18" t="s">
        <v>302</v>
      </c>
      <c r="B230" s="18" t="s">
        <v>456</v>
      </c>
      <c r="C230" s="19" t="s">
        <v>483</v>
      </c>
      <c r="D230" s="20" t="s">
        <v>485</v>
      </c>
      <c r="E230" s="21">
        <v>6.78985E13</v>
      </c>
      <c r="F230" s="21" t="s">
        <v>134</v>
      </c>
      <c r="G230" s="23">
        <v>24990.0</v>
      </c>
      <c r="H230" s="23">
        <v>8818.0</v>
      </c>
      <c r="I230" s="24">
        <v>4716.0</v>
      </c>
      <c r="J230" s="25"/>
      <c r="K230" s="25"/>
      <c r="L230" s="22">
        <v>4716.0</v>
      </c>
      <c r="M230" s="22">
        <v>5053.0</v>
      </c>
      <c r="N230" s="22">
        <v>5390.0</v>
      </c>
      <c r="O230" s="14"/>
      <c r="P230" s="26">
        <v>0.36</v>
      </c>
      <c r="Q230" s="26">
        <v>0.32</v>
      </c>
      <c r="R230" s="26">
        <v>0.27</v>
      </c>
    </row>
    <row r="231" ht="14.25" customHeight="1">
      <c r="A231" s="18" t="s">
        <v>302</v>
      </c>
      <c r="B231" s="18" t="s">
        <v>456</v>
      </c>
      <c r="C231" s="19" t="s">
        <v>483</v>
      </c>
      <c r="D231" s="20" t="s">
        <v>486</v>
      </c>
      <c r="E231" s="21">
        <v>6.78985E13</v>
      </c>
      <c r="F231" s="21" t="s">
        <v>134</v>
      </c>
      <c r="G231" s="23">
        <v>24990.0</v>
      </c>
      <c r="H231" s="23">
        <v>8818.0</v>
      </c>
      <c r="I231" s="24">
        <v>4710.0</v>
      </c>
      <c r="J231" s="25"/>
      <c r="K231" s="25"/>
      <c r="L231" s="22">
        <v>4710.0</v>
      </c>
      <c r="M231" s="22">
        <v>5046.0</v>
      </c>
      <c r="N231" s="22">
        <v>5383.0</v>
      </c>
      <c r="O231" s="14"/>
      <c r="P231" s="26">
        <v>0.36</v>
      </c>
      <c r="Q231" s="26">
        <v>0.32</v>
      </c>
      <c r="R231" s="26">
        <v>0.27</v>
      </c>
    </row>
    <row r="232" ht="14.25" customHeight="1">
      <c r="A232" s="18" t="s">
        <v>302</v>
      </c>
      <c r="B232" s="18" t="s">
        <v>456</v>
      </c>
      <c r="C232" s="19" t="s">
        <v>483</v>
      </c>
      <c r="D232" s="20" t="s">
        <v>487</v>
      </c>
      <c r="E232" s="21">
        <v>6.78985E13</v>
      </c>
      <c r="F232" s="21" t="s">
        <v>134</v>
      </c>
      <c r="G232" s="23">
        <v>24990.0</v>
      </c>
      <c r="H232" s="23">
        <v>8818.0</v>
      </c>
      <c r="I232" s="24">
        <v>4599.0</v>
      </c>
      <c r="J232" s="25"/>
      <c r="K232" s="25"/>
      <c r="L232" s="22">
        <v>4599.0</v>
      </c>
      <c r="M232" s="22">
        <v>4927.0</v>
      </c>
      <c r="N232" s="22">
        <v>5256.0</v>
      </c>
      <c r="O232" s="14"/>
      <c r="P232" s="26">
        <v>0.38</v>
      </c>
      <c r="Q232" s="26">
        <v>0.34</v>
      </c>
      <c r="R232" s="26">
        <v>0.29</v>
      </c>
    </row>
    <row r="233" ht="14.25" customHeight="1">
      <c r="A233" s="18" t="s">
        <v>302</v>
      </c>
      <c r="B233" s="18" t="s">
        <v>456</v>
      </c>
      <c r="C233" s="19" t="s">
        <v>483</v>
      </c>
      <c r="D233" s="20" t="s">
        <v>488</v>
      </c>
      <c r="E233" s="21">
        <v>6.78985E13</v>
      </c>
      <c r="F233" s="21" t="s">
        <v>134</v>
      </c>
      <c r="G233" s="23">
        <v>24990.0</v>
      </c>
      <c r="H233" s="23">
        <v>8818.0</v>
      </c>
      <c r="I233" s="24">
        <v>4490.0</v>
      </c>
      <c r="J233" s="25"/>
      <c r="K233" s="25"/>
      <c r="L233" s="22">
        <v>4490.0</v>
      </c>
      <c r="M233" s="22">
        <v>4811.0</v>
      </c>
      <c r="N233" s="22">
        <v>5131.0</v>
      </c>
      <c r="O233" s="14"/>
      <c r="P233" s="26">
        <v>0.39</v>
      </c>
      <c r="Q233" s="26">
        <v>0.35</v>
      </c>
      <c r="R233" s="26">
        <v>0.31</v>
      </c>
    </row>
    <row r="234" ht="14.25" customHeight="1">
      <c r="A234" s="18" t="s">
        <v>302</v>
      </c>
      <c r="B234" s="18" t="s">
        <v>456</v>
      </c>
      <c r="C234" s="19" t="s">
        <v>483</v>
      </c>
      <c r="D234" s="20" t="s">
        <v>489</v>
      </c>
      <c r="E234" s="21" t="s">
        <v>490</v>
      </c>
      <c r="F234" s="21" t="s">
        <v>20</v>
      </c>
      <c r="G234" s="23">
        <v>49990.0</v>
      </c>
      <c r="H234" s="23">
        <v>17641.0</v>
      </c>
      <c r="I234" s="24">
        <v>10174.0</v>
      </c>
      <c r="J234" s="25"/>
      <c r="K234" s="25"/>
      <c r="L234" s="22">
        <v>10174.0</v>
      </c>
      <c r="M234" s="22">
        <v>10901.0</v>
      </c>
      <c r="N234" s="22">
        <v>11627.0</v>
      </c>
      <c r="O234" s="14"/>
      <c r="P234" s="26">
        <v>0.31</v>
      </c>
      <c r="Q234" s="26">
        <v>0.26</v>
      </c>
      <c r="R234" s="26">
        <v>0.22</v>
      </c>
    </row>
    <row r="235" ht="14.25" customHeight="1">
      <c r="A235" s="18" t="s">
        <v>302</v>
      </c>
      <c r="B235" s="18" t="s">
        <v>456</v>
      </c>
      <c r="C235" s="19" t="s">
        <v>483</v>
      </c>
      <c r="D235" s="20" t="s">
        <v>491</v>
      </c>
      <c r="E235" s="21" t="s">
        <v>492</v>
      </c>
      <c r="F235" s="21" t="s">
        <v>20</v>
      </c>
      <c r="G235" s="23">
        <v>49990.0</v>
      </c>
      <c r="H235" s="23">
        <v>17641.0</v>
      </c>
      <c r="I235" s="24">
        <v>10891.0</v>
      </c>
      <c r="J235" s="25"/>
      <c r="K235" s="25"/>
      <c r="L235" s="22">
        <v>10891.0</v>
      </c>
      <c r="M235" s="22">
        <v>11668.0</v>
      </c>
      <c r="N235" s="22">
        <v>12446.0</v>
      </c>
      <c r="O235" s="14"/>
      <c r="P235" s="26">
        <v>0.27</v>
      </c>
      <c r="Q235" s="26">
        <v>0.21</v>
      </c>
      <c r="R235" s="26">
        <v>0.16</v>
      </c>
    </row>
    <row r="236" ht="14.25" customHeight="1">
      <c r="A236" s="18" t="s">
        <v>302</v>
      </c>
      <c r="B236" s="18" t="s">
        <v>456</v>
      </c>
      <c r="C236" s="19" t="s">
        <v>483</v>
      </c>
      <c r="D236" s="20" t="s">
        <v>493</v>
      </c>
      <c r="E236" s="21" t="s">
        <v>494</v>
      </c>
      <c r="F236" s="21" t="s">
        <v>20</v>
      </c>
      <c r="G236" s="23">
        <v>39990.0</v>
      </c>
      <c r="H236" s="23">
        <v>11759.0</v>
      </c>
      <c r="I236" s="24">
        <v>8447.0</v>
      </c>
      <c r="J236" s="25"/>
      <c r="K236" s="25"/>
      <c r="L236" s="22">
        <v>8447.0</v>
      </c>
      <c r="M236" s="22">
        <v>9050.0</v>
      </c>
      <c r="N236" s="22">
        <v>9654.0</v>
      </c>
      <c r="O236" s="14"/>
      <c r="P236" s="26">
        <v>0.15</v>
      </c>
      <c r="Q236" s="26">
        <v>0.08</v>
      </c>
      <c r="R236" s="26">
        <v>0.02</v>
      </c>
    </row>
    <row r="237" ht="14.25" customHeight="1">
      <c r="A237" s="18" t="s">
        <v>302</v>
      </c>
      <c r="B237" s="18" t="s">
        <v>456</v>
      </c>
      <c r="C237" s="19" t="s">
        <v>483</v>
      </c>
      <c r="D237" s="20" t="s">
        <v>495</v>
      </c>
      <c r="E237" s="21" t="s">
        <v>496</v>
      </c>
      <c r="F237" s="21" t="s">
        <v>20</v>
      </c>
      <c r="G237" s="23">
        <v>39990.0</v>
      </c>
      <c r="H237" s="23">
        <v>11759.0</v>
      </c>
      <c r="I237" s="24">
        <v>8447.0</v>
      </c>
      <c r="J237" s="25"/>
      <c r="K237" s="25"/>
      <c r="L237" s="22">
        <v>8447.0</v>
      </c>
      <c r="M237" s="22">
        <v>9050.0</v>
      </c>
      <c r="N237" s="22">
        <v>9654.0</v>
      </c>
      <c r="O237" s="14"/>
      <c r="P237" s="26">
        <v>0.15</v>
      </c>
      <c r="Q237" s="26">
        <v>0.08</v>
      </c>
      <c r="R237" s="26">
        <v>0.02</v>
      </c>
    </row>
    <row r="238" ht="14.25" customHeight="1">
      <c r="A238" s="18" t="s">
        <v>302</v>
      </c>
      <c r="B238" s="18" t="s">
        <v>456</v>
      </c>
      <c r="C238" s="19" t="s">
        <v>483</v>
      </c>
      <c r="D238" s="20" t="s">
        <v>497</v>
      </c>
      <c r="E238" s="21" t="s">
        <v>498</v>
      </c>
      <c r="F238" s="21" t="s">
        <v>20</v>
      </c>
      <c r="G238" s="23">
        <v>39990.0</v>
      </c>
      <c r="H238" s="23">
        <v>11759.0</v>
      </c>
      <c r="I238" s="24">
        <v>8447.0</v>
      </c>
      <c r="J238" s="25"/>
      <c r="K238" s="25"/>
      <c r="L238" s="22">
        <v>8447.0</v>
      </c>
      <c r="M238" s="22">
        <v>9050.0</v>
      </c>
      <c r="N238" s="22">
        <v>9654.0</v>
      </c>
      <c r="O238" s="14"/>
      <c r="P238" s="26">
        <v>0.15</v>
      </c>
      <c r="Q238" s="26">
        <v>0.08</v>
      </c>
      <c r="R238" s="26">
        <v>0.02</v>
      </c>
    </row>
    <row r="239" ht="14.25" customHeight="1">
      <c r="A239" s="18" t="s">
        <v>302</v>
      </c>
      <c r="B239" s="18" t="s">
        <v>456</v>
      </c>
      <c r="C239" s="19" t="s">
        <v>483</v>
      </c>
      <c r="D239" s="20" t="s">
        <v>499</v>
      </c>
      <c r="E239" s="21" t="s">
        <v>500</v>
      </c>
      <c r="F239" s="21" t="s">
        <v>20</v>
      </c>
      <c r="G239" s="23">
        <v>39990.0</v>
      </c>
      <c r="H239" s="23">
        <v>11759.0</v>
      </c>
      <c r="I239" s="24">
        <v>8447.0</v>
      </c>
      <c r="J239" s="25"/>
      <c r="K239" s="25"/>
      <c r="L239" s="22">
        <v>8447.0</v>
      </c>
      <c r="M239" s="22">
        <v>9050.0</v>
      </c>
      <c r="N239" s="22">
        <v>9654.0</v>
      </c>
      <c r="O239" s="14"/>
      <c r="P239" s="26">
        <v>0.15</v>
      </c>
      <c r="Q239" s="26">
        <v>0.08</v>
      </c>
      <c r="R239" s="26">
        <v>0.02</v>
      </c>
    </row>
    <row r="240" ht="14.25" customHeight="1">
      <c r="A240" s="18" t="s">
        <v>302</v>
      </c>
      <c r="B240" s="18" t="s">
        <v>456</v>
      </c>
      <c r="C240" s="19" t="s">
        <v>483</v>
      </c>
      <c r="D240" s="20" t="s">
        <v>501</v>
      </c>
      <c r="E240" s="21" t="s">
        <v>502</v>
      </c>
      <c r="F240" s="21" t="s">
        <v>20</v>
      </c>
      <c r="G240" s="23">
        <v>29990.0</v>
      </c>
      <c r="H240" s="23">
        <v>8818.0</v>
      </c>
      <c r="I240" s="24">
        <v>5887.0</v>
      </c>
      <c r="J240" s="25"/>
      <c r="K240" s="25"/>
      <c r="L240" s="22">
        <v>5887.0</v>
      </c>
      <c r="M240" s="22">
        <v>6307.0</v>
      </c>
      <c r="N240" s="22">
        <v>6728.0</v>
      </c>
      <c r="O240" s="14"/>
      <c r="P240" s="26">
        <v>0.21</v>
      </c>
      <c r="Q240" s="26">
        <v>0.15</v>
      </c>
      <c r="R240" s="26">
        <v>0.09</v>
      </c>
    </row>
    <row r="241" ht="14.25" customHeight="1">
      <c r="A241" s="18" t="s">
        <v>302</v>
      </c>
      <c r="B241" s="18" t="s">
        <v>456</v>
      </c>
      <c r="C241" s="19" t="s">
        <v>483</v>
      </c>
      <c r="D241" s="20" t="s">
        <v>503</v>
      </c>
      <c r="E241" s="21" t="s">
        <v>504</v>
      </c>
      <c r="F241" s="21" t="s">
        <v>20</v>
      </c>
      <c r="G241" s="23">
        <v>29990.0</v>
      </c>
      <c r="H241" s="23">
        <v>8818.0</v>
      </c>
      <c r="I241" s="24">
        <v>5916.0</v>
      </c>
      <c r="J241" s="25"/>
      <c r="K241" s="25"/>
      <c r="L241" s="22">
        <v>5916.0</v>
      </c>
      <c r="M241" s="22">
        <v>6339.0</v>
      </c>
      <c r="N241" s="22">
        <v>6761.0</v>
      </c>
      <c r="O241" s="14"/>
      <c r="P241" s="26">
        <v>0.2</v>
      </c>
      <c r="Q241" s="26">
        <v>0.14</v>
      </c>
      <c r="R241" s="26">
        <v>0.09</v>
      </c>
    </row>
    <row r="242" ht="14.25" customHeight="1">
      <c r="A242" s="18" t="s">
        <v>302</v>
      </c>
      <c r="B242" s="18" t="s">
        <v>456</v>
      </c>
      <c r="C242" s="19" t="s">
        <v>483</v>
      </c>
      <c r="D242" s="20" t="s">
        <v>505</v>
      </c>
      <c r="E242" s="21" t="s">
        <v>506</v>
      </c>
      <c r="F242" s="21" t="s">
        <v>20</v>
      </c>
      <c r="G242" s="23">
        <v>29990.0</v>
      </c>
      <c r="H242" s="23">
        <v>8818.0</v>
      </c>
      <c r="I242" s="24">
        <v>5754.0</v>
      </c>
      <c r="J242" s="25"/>
      <c r="K242" s="25"/>
      <c r="L242" s="22">
        <v>5754.0</v>
      </c>
      <c r="M242" s="22">
        <v>6165.0</v>
      </c>
      <c r="N242" s="22">
        <v>6576.0</v>
      </c>
      <c r="O242" s="14"/>
      <c r="P242" s="26">
        <v>0.22</v>
      </c>
      <c r="Q242" s="26">
        <v>0.17</v>
      </c>
      <c r="R242" s="26">
        <v>0.11</v>
      </c>
    </row>
    <row r="243" ht="14.25" customHeight="1">
      <c r="A243" s="18" t="s">
        <v>302</v>
      </c>
      <c r="B243" s="18" t="s">
        <v>456</v>
      </c>
      <c r="C243" s="19" t="s">
        <v>483</v>
      </c>
      <c r="D243" s="20" t="s">
        <v>507</v>
      </c>
      <c r="E243" s="21" t="s">
        <v>508</v>
      </c>
      <c r="F243" s="21" t="s">
        <v>20</v>
      </c>
      <c r="G243" s="23">
        <v>29990.0</v>
      </c>
      <c r="H243" s="23">
        <v>8818.0</v>
      </c>
      <c r="I243" s="24">
        <v>5933.0</v>
      </c>
      <c r="J243" s="25"/>
      <c r="K243" s="25"/>
      <c r="L243" s="22">
        <v>5933.0</v>
      </c>
      <c r="M243" s="22">
        <v>6357.0</v>
      </c>
      <c r="N243" s="22">
        <v>6781.0</v>
      </c>
      <c r="O243" s="14"/>
      <c r="P243" s="26">
        <v>0.2</v>
      </c>
      <c r="Q243" s="26">
        <v>0.14</v>
      </c>
      <c r="R243" s="26">
        <v>0.08</v>
      </c>
    </row>
    <row r="244" ht="14.25" customHeight="1">
      <c r="A244" s="18" t="s">
        <v>302</v>
      </c>
      <c r="B244" s="18" t="s">
        <v>456</v>
      </c>
      <c r="C244" s="19" t="s">
        <v>483</v>
      </c>
      <c r="D244" s="20" t="s">
        <v>509</v>
      </c>
      <c r="E244" s="21">
        <v>6.79338E13</v>
      </c>
      <c r="F244" s="21" t="s">
        <v>179</v>
      </c>
      <c r="G244" s="23">
        <v>21990.0</v>
      </c>
      <c r="H244" s="23">
        <v>8818.0</v>
      </c>
      <c r="I244" s="24">
        <v>4782.0</v>
      </c>
      <c r="J244" s="25"/>
      <c r="K244" s="25"/>
      <c r="L244" s="22">
        <v>4782.0</v>
      </c>
      <c r="M244" s="22">
        <v>5124.0</v>
      </c>
      <c r="N244" s="22">
        <v>5465.0</v>
      </c>
      <c r="O244" s="14"/>
      <c r="P244" s="26">
        <v>0.35</v>
      </c>
      <c r="Q244" s="26">
        <v>0.31</v>
      </c>
      <c r="R244" s="26">
        <v>0.26</v>
      </c>
    </row>
    <row r="245" ht="14.25" customHeight="1">
      <c r="A245" s="18" t="s">
        <v>302</v>
      </c>
      <c r="B245" s="18" t="s">
        <v>456</v>
      </c>
      <c r="C245" s="19" t="s">
        <v>483</v>
      </c>
      <c r="D245" s="20" t="s">
        <v>510</v>
      </c>
      <c r="E245" s="21">
        <v>6.79338E13</v>
      </c>
      <c r="F245" s="21" t="s">
        <v>179</v>
      </c>
      <c r="G245" s="23">
        <v>21990.0</v>
      </c>
      <c r="H245" s="23">
        <v>8818.0</v>
      </c>
      <c r="I245" s="24">
        <v>4781.0</v>
      </c>
      <c r="J245" s="25"/>
      <c r="K245" s="25"/>
      <c r="L245" s="22">
        <v>4781.0</v>
      </c>
      <c r="M245" s="22">
        <v>5122.0</v>
      </c>
      <c r="N245" s="22">
        <v>5464.0</v>
      </c>
      <c r="O245" s="14"/>
      <c r="P245" s="26">
        <v>0.35</v>
      </c>
      <c r="Q245" s="26">
        <v>0.31</v>
      </c>
      <c r="R245" s="26">
        <v>0.26</v>
      </c>
    </row>
    <row r="246" ht="14.25" customHeight="1">
      <c r="A246" s="18" t="s">
        <v>302</v>
      </c>
      <c r="B246" s="18" t="s">
        <v>456</v>
      </c>
      <c r="C246" s="19" t="s">
        <v>483</v>
      </c>
      <c r="D246" s="20" t="s">
        <v>511</v>
      </c>
      <c r="E246" s="21">
        <v>6.79338E13</v>
      </c>
      <c r="F246" s="21" t="s">
        <v>179</v>
      </c>
      <c r="G246" s="23">
        <v>21990.0</v>
      </c>
      <c r="H246" s="23">
        <v>8818.0</v>
      </c>
      <c r="I246" s="24">
        <v>4776.0</v>
      </c>
      <c r="J246" s="25"/>
      <c r="K246" s="25"/>
      <c r="L246" s="22">
        <v>4776.0</v>
      </c>
      <c r="M246" s="22">
        <v>5117.0</v>
      </c>
      <c r="N246" s="22">
        <v>5458.0</v>
      </c>
      <c r="O246" s="14"/>
      <c r="P246" s="26">
        <v>0.36</v>
      </c>
      <c r="Q246" s="26">
        <v>0.31</v>
      </c>
      <c r="R246" s="26">
        <v>0.26</v>
      </c>
    </row>
    <row r="247" ht="14.25" customHeight="1">
      <c r="A247" s="18" t="s">
        <v>302</v>
      </c>
      <c r="B247" s="18" t="s">
        <v>456</v>
      </c>
      <c r="C247" s="19" t="s">
        <v>483</v>
      </c>
      <c r="D247" s="20" t="s">
        <v>512</v>
      </c>
      <c r="E247" s="21">
        <v>6.79338E13</v>
      </c>
      <c r="F247" s="21" t="s">
        <v>179</v>
      </c>
      <c r="G247" s="23">
        <v>21990.0</v>
      </c>
      <c r="H247" s="23">
        <v>8818.0</v>
      </c>
      <c r="I247" s="24">
        <v>4781.0</v>
      </c>
      <c r="J247" s="25"/>
      <c r="K247" s="25"/>
      <c r="L247" s="22">
        <v>4781.0</v>
      </c>
      <c r="M247" s="22">
        <v>5122.0</v>
      </c>
      <c r="N247" s="22">
        <v>5464.0</v>
      </c>
      <c r="O247" s="14"/>
      <c r="P247" s="26">
        <v>0.35</v>
      </c>
      <c r="Q247" s="26">
        <v>0.31</v>
      </c>
      <c r="R247" s="26">
        <v>0.26</v>
      </c>
    </row>
    <row r="248" ht="14.25" customHeight="1">
      <c r="A248" s="18" t="s">
        <v>302</v>
      </c>
      <c r="B248" s="18" t="s">
        <v>513</v>
      </c>
      <c r="C248" s="19" t="s">
        <v>514</v>
      </c>
      <c r="D248" s="20" t="s">
        <v>515</v>
      </c>
      <c r="E248" s="21">
        <v>1.54282E12</v>
      </c>
      <c r="F248" s="21" t="s">
        <v>134</v>
      </c>
      <c r="G248" s="23">
        <v>9990.0</v>
      </c>
      <c r="H248" s="23">
        <v>3524.0</v>
      </c>
      <c r="I248" s="24">
        <v>1976.0</v>
      </c>
      <c r="J248" s="25"/>
      <c r="K248" s="25"/>
      <c r="L248" s="22">
        <v>1976.0</v>
      </c>
      <c r="M248" s="22">
        <v>2117.0</v>
      </c>
      <c r="N248" s="22">
        <v>2258.0</v>
      </c>
      <c r="O248" s="14"/>
      <c r="P248" s="26">
        <v>0.33</v>
      </c>
      <c r="Q248" s="26">
        <v>0.28</v>
      </c>
      <c r="R248" s="26">
        <v>0.24</v>
      </c>
    </row>
    <row r="249" ht="14.25" customHeight="1">
      <c r="A249" s="18" t="s">
        <v>302</v>
      </c>
      <c r="B249" s="18" t="s">
        <v>513</v>
      </c>
      <c r="C249" s="19" t="s">
        <v>514</v>
      </c>
      <c r="D249" s="20" t="s">
        <v>516</v>
      </c>
      <c r="E249" s="21">
        <v>1.52354E12</v>
      </c>
      <c r="F249" s="21" t="s">
        <v>134</v>
      </c>
      <c r="G249" s="23">
        <v>36990.0</v>
      </c>
      <c r="H249" s="23">
        <v>11759.0</v>
      </c>
      <c r="I249" s="24">
        <v>11468.0</v>
      </c>
      <c r="J249" s="25"/>
      <c r="K249" s="25"/>
      <c r="L249" s="22">
        <v>11468.0</v>
      </c>
      <c r="M249" s="22">
        <v>12287.0</v>
      </c>
      <c r="N249" s="22">
        <v>13106.0</v>
      </c>
      <c r="O249" s="14"/>
      <c r="P249" s="26">
        <v>-0.16</v>
      </c>
      <c r="Q249" s="26">
        <v>-0.24</v>
      </c>
      <c r="R249" s="26">
        <v>-0.33</v>
      </c>
    </row>
    <row r="250" ht="14.25" customHeight="1">
      <c r="A250" s="18" t="s">
        <v>302</v>
      </c>
      <c r="B250" s="18" t="s">
        <v>513</v>
      </c>
      <c r="C250" s="19" t="s">
        <v>514</v>
      </c>
      <c r="D250" s="20" t="s">
        <v>517</v>
      </c>
      <c r="E250" s="21">
        <v>1.51361E12</v>
      </c>
      <c r="F250" s="21" t="s">
        <v>134</v>
      </c>
      <c r="G250" s="23">
        <v>14990.0</v>
      </c>
      <c r="H250" s="23">
        <v>5876.0</v>
      </c>
      <c r="I250" s="24">
        <v>3379.0</v>
      </c>
      <c r="J250" s="25"/>
      <c r="K250" s="25"/>
      <c r="L250" s="22">
        <v>3379.0</v>
      </c>
      <c r="M250" s="22">
        <v>3620.0</v>
      </c>
      <c r="N250" s="22">
        <v>3862.0</v>
      </c>
      <c r="O250" s="14"/>
      <c r="P250" s="26">
        <v>0.32</v>
      </c>
      <c r="Q250" s="26">
        <v>0.27</v>
      </c>
      <c r="R250" s="26">
        <v>0.22</v>
      </c>
    </row>
    <row r="251" ht="14.25" customHeight="1">
      <c r="A251" s="18" t="s">
        <v>302</v>
      </c>
      <c r="B251" s="18" t="s">
        <v>513</v>
      </c>
      <c r="C251" s="19" t="s">
        <v>514</v>
      </c>
      <c r="D251" s="20" t="s">
        <v>518</v>
      </c>
      <c r="E251" s="21">
        <v>1.6503E12</v>
      </c>
      <c r="F251" s="21" t="s">
        <v>134</v>
      </c>
      <c r="G251" s="23">
        <v>79990.0</v>
      </c>
      <c r="H251" s="23">
        <v>29406.0</v>
      </c>
      <c r="I251" s="24">
        <v>25193.0</v>
      </c>
      <c r="J251" s="25"/>
      <c r="K251" s="25"/>
      <c r="L251" s="22">
        <v>25193.0</v>
      </c>
      <c r="M251" s="22">
        <v>26992.0</v>
      </c>
      <c r="N251" s="22">
        <v>28792.0</v>
      </c>
      <c r="O251" s="14"/>
      <c r="P251" s="26">
        <v>-0.02</v>
      </c>
      <c r="Q251" s="26">
        <v>-0.09</v>
      </c>
      <c r="R251" s="26">
        <v>-0.17</v>
      </c>
    </row>
    <row r="252" ht="14.25" customHeight="1">
      <c r="A252" s="18" t="s">
        <v>302</v>
      </c>
      <c r="B252" s="18" t="s">
        <v>513</v>
      </c>
      <c r="C252" s="19" t="s">
        <v>519</v>
      </c>
      <c r="D252" s="20" t="s">
        <v>520</v>
      </c>
      <c r="E252" s="21">
        <v>1.61538E12</v>
      </c>
      <c r="F252" s="21" t="s">
        <v>20</v>
      </c>
      <c r="G252" s="23">
        <v>59990.0</v>
      </c>
      <c r="H252" s="23">
        <v>29406.0</v>
      </c>
      <c r="I252" s="24">
        <v>16015.0</v>
      </c>
      <c r="J252" s="25"/>
      <c r="K252" s="25"/>
      <c r="L252" s="22">
        <v>16015.0</v>
      </c>
      <c r="M252" s="22">
        <v>17159.0</v>
      </c>
      <c r="N252" s="22">
        <v>18303.0</v>
      </c>
      <c r="O252" s="14"/>
      <c r="P252" s="26">
        <v>0.35</v>
      </c>
      <c r="Q252" s="26">
        <v>0.31</v>
      </c>
      <c r="R252" s="26">
        <v>0.26</v>
      </c>
    </row>
    <row r="253" ht="14.25" customHeight="1">
      <c r="A253" s="18" t="s">
        <v>302</v>
      </c>
      <c r="B253" s="18" t="s">
        <v>513</v>
      </c>
      <c r="C253" s="19" t="s">
        <v>519</v>
      </c>
      <c r="D253" s="20" t="s">
        <v>521</v>
      </c>
      <c r="E253" s="21">
        <v>1.57142E12</v>
      </c>
      <c r="F253" s="21" t="s">
        <v>20</v>
      </c>
      <c r="G253" s="23">
        <v>79990.0</v>
      </c>
      <c r="H253" s="23">
        <v>35288.0</v>
      </c>
      <c r="I253" s="24">
        <v>29430.0</v>
      </c>
      <c r="J253" s="25"/>
      <c r="K253" s="25"/>
      <c r="L253" s="22">
        <v>29430.0</v>
      </c>
      <c r="M253" s="22">
        <v>31532.0</v>
      </c>
      <c r="N253" s="22">
        <v>33634.0</v>
      </c>
      <c r="O253" s="14"/>
      <c r="P253" s="26">
        <v>0.01</v>
      </c>
      <c r="Q253" s="26">
        <v>-0.06</v>
      </c>
      <c r="R253" s="26">
        <v>-0.13</v>
      </c>
    </row>
    <row r="254" ht="14.25" customHeight="1">
      <c r="A254" s="18" t="s">
        <v>302</v>
      </c>
      <c r="B254" s="18" t="s">
        <v>513</v>
      </c>
      <c r="C254" s="19" t="s">
        <v>519</v>
      </c>
      <c r="D254" s="20" t="s">
        <v>522</v>
      </c>
      <c r="E254" s="21">
        <v>1.61538E12</v>
      </c>
      <c r="F254" s="21" t="s">
        <v>20</v>
      </c>
      <c r="G254" s="23">
        <v>99990.0</v>
      </c>
      <c r="H254" s="23">
        <v>47053.0</v>
      </c>
      <c r="I254" s="24">
        <v>34842.0</v>
      </c>
      <c r="J254" s="25"/>
      <c r="K254" s="25"/>
      <c r="L254" s="22">
        <v>34842.0</v>
      </c>
      <c r="M254" s="22">
        <v>37331.0</v>
      </c>
      <c r="N254" s="22">
        <v>39820.0</v>
      </c>
      <c r="O254" s="14"/>
      <c r="P254" s="26">
        <v>0.12</v>
      </c>
      <c r="Q254" s="26">
        <v>0.06</v>
      </c>
      <c r="R254" s="26">
        <v>-0.01</v>
      </c>
    </row>
    <row r="255" ht="14.25" customHeight="1">
      <c r="A255" s="18" t="s">
        <v>302</v>
      </c>
      <c r="B255" s="18" t="s">
        <v>523</v>
      </c>
      <c r="C255" s="19" t="s">
        <v>524</v>
      </c>
      <c r="D255" s="20" t="s">
        <v>525</v>
      </c>
      <c r="E255" s="21">
        <v>1.62742E12</v>
      </c>
      <c r="F255" s="21" t="s">
        <v>20</v>
      </c>
      <c r="G255" s="23">
        <v>19990.0</v>
      </c>
      <c r="H255" s="23">
        <v>8818.0</v>
      </c>
      <c r="I255" s="24">
        <v>5509.0</v>
      </c>
      <c r="J255" s="25"/>
      <c r="K255" s="25"/>
      <c r="L255" s="22">
        <v>5509.0</v>
      </c>
      <c r="M255" s="22">
        <v>5902.0</v>
      </c>
      <c r="N255" s="22">
        <v>6296.0</v>
      </c>
      <c r="O255" s="14"/>
      <c r="P255" s="26">
        <v>0.26</v>
      </c>
      <c r="Q255" s="26">
        <v>0.2</v>
      </c>
      <c r="R255" s="26">
        <v>0.15</v>
      </c>
    </row>
    <row r="256" ht="14.25" customHeight="1">
      <c r="A256" s="18" t="s">
        <v>302</v>
      </c>
      <c r="B256" s="18" t="s">
        <v>526</v>
      </c>
      <c r="C256" s="19" t="s">
        <v>527</v>
      </c>
      <c r="D256" s="20" t="s">
        <v>528</v>
      </c>
      <c r="E256" s="21" t="s">
        <v>529</v>
      </c>
      <c r="F256" s="21" t="s">
        <v>20</v>
      </c>
      <c r="G256" s="23">
        <v>19990.0</v>
      </c>
      <c r="H256" s="23">
        <v>5876.0</v>
      </c>
      <c r="I256" s="24">
        <v>3967.0</v>
      </c>
      <c r="J256" s="25"/>
      <c r="K256" s="25"/>
      <c r="L256" s="22">
        <v>3967.0</v>
      </c>
      <c r="M256" s="22">
        <v>4250.0</v>
      </c>
      <c r="N256" s="22">
        <v>4534.0</v>
      </c>
      <c r="O256" s="14"/>
      <c r="P256" s="26">
        <v>0.2</v>
      </c>
      <c r="Q256" s="26">
        <v>0.14</v>
      </c>
      <c r="R256" s="26">
        <v>0.08</v>
      </c>
    </row>
    <row r="257" ht="14.25" customHeight="1">
      <c r="A257" s="18" t="s">
        <v>302</v>
      </c>
      <c r="B257" s="18" t="s">
        <v>526</v>
      </c>
      <c r="C257" s="19" t="s">
        <v>527</v>
      </c>
      <c r="D257" s="20" t="s">
        <v>530</v>
      </c>
      <c r="E257" s="21" t="s">
        <v>531</v>
      </c>
      <c r="F257" s="21" t="s">
        <v>20</v>
      </c>
      <c r="G257" s="23">
        <v>19990.0</v>
      </c>
      <c r="H257" s="23">
        <v>5876.0</v>
      </c>
      <c r="I257" s="24">
        <v>3821.0</v>
      </c>
      <c r="J257" s="25"/>
      <c r="K257" s="25"/>
      <c r="L257" s="22">
        <v>3821.0</v>
      </c>
      <c r="M257" s="22">
        <v>4094.0</v>
      </c>
      <c r="N257" s="22">
        <v>4367.0</v>
      </c>
      <c r="O257" s="14"/>
      <c r="P257" s="26">
        <v>0.23</v>
      </c>
      <c r="Q257" s="26">
        <v>0.17</v>
      </c>
      <c r="R257" s="26">
        <v>0.12</v>
      </c>
    </row>
    <row r="258" ht="14.25" customHeight="1">
      <c r="A258" s="18" t="s">
        <v>302</v>
      </c>
      <c r="B258" s="18" t="s">
        <v>526</v>
      </c>
      <c r="C258" s="19" t="s">
        <v>527</v>
      </c>
      <c r="D258" s="20" t="s">
        <v>532</v>
      </c>
      <c r="E258" s="21" t="s">
        <v>533</v>
      </c>
      <c r="F258" s="21" t="s">
        <v>20</v>
      </c>
      <c r="G258" s="23">
        <v>19990.0</v>
      </c>
      <c r="H258" s="23">
        <v>5876.0</v>
      </c>
      <c r="I258" s="24">
        <v>3821.0</v>
      </c>
      <c r="J258" s="25"/>
      <c r="K258" s="25"/>
      <c r="L258" s="22">
        <v>3821.0</v>
      </c>
      <c r="M258" s="22">
        <v>4094.0</v>
      </c>
      <c r="N258" s="22">
        <v>4367.0</v>
      </c>
      <c r="O258" s="14"/>
      <c r="P258" s="26">
        <v>0.23</v>
      </c>
      <c r="Q258" s="26">
        <v>0.17</v>
      </c>
      <c r="R258" s="26">
        <v>0.12</v>
      </c>
    </row>
    <row r="259" ht="14.25" customHeight="1">
      <c r="A259" s="18" t="s">
        <v>302</v>
      </c>
      <c r="B259" s="18" t="s">
        <v>526</v>
      </c>
      <c r="C259" s="19" t="s">
        <v>527</v>
      </c>
      <c r="D259" s="20" t="s">
        <v>534</v>
      </c>
      <c r="E259" s="21">
        <v>1.6237E12</v>
      </c>
      <c r="F259" s="21" t="s">
        <v>20</v>
      </c>
      <c r="G259" s="23">
        <v>16990.0</v>
      </c>
      <c r="H259" s="23">
        <v>7641.0</v>
      </c>
      <c r="I259" s="24">
        <v>2779.0</v>
      </c>
      <c r="J259" s="25"/>
      <c r="K259" s="25"/>
      <c r="L259" s="22">
        <v>2779.0</v>
      </c>
      <c r="M259" s="22">
        <v>2977.0</v>
      </c>
      <c r="N259" s="22">
        <v>3176.0</v>
      </c>
      <c r="O259" s="14"/>
      <c r="P259" s="26">
        <v>0.57</v>
      </c>
      <c r="Q259" s="26">
        <v>0.54</v>
      </c>
      <c r="R259" s="26">
        <v>0.51</v>
      </c>
    </row>
    <row r="260" ht="14.25" customHeight="1">
      <c r="A260" s="18" t="s">
        <v>302</v>
      </c>
      <c r="B260" s="18" t="s">
        <v>526</v>
      </c>
      <c r="C260" s="19" t="s">
        <v>527</v>
      </c>
      <c r="D260" s="20" t="s">
        <v>535</v>
      </c>
      <c r="E260" s="21" t="s">
        <v>536</v>
      </c>
      <c r="F260" s="22" t="s">
        <v>20</v>
      </c>
      <c r="G260" s="23">
        <v>19990.0</v>
      </c>
      <c r="H260" s="23">
        <v>11759.0</v>
      </c>
      <c r="I260" s="24">
        <v>4569.0</v>
      </c>
      <c r="J260" s="25"/>
      <c r="K260" s="25"/>
      <c r="L260" s="22">
        <v>4569.0</v>
      </c>
      <c r="M260" s="22">
        <v>4895.0</v>
      </c>
      <c r="N260" s="22">
        <v>5222.0</v>
      </c>
      <c r="O260" s="14"/>
      <c r="P260" s="26">
        <v>0.54</v>
      </c>
      <c r="Q260" s="26">
        <v>0.5</v>
      </c>
      <c r="R260" s="26">
        <v>0.47</v>
      </c>
    </row>
    <row r="261" ht="14.25" customHeight="1">
      <c r="A261" s="18" t="s">
        <v>302</v>
      </c>
      <c r="B261" s="18" t="s">
        <v>526</v>
      </c>
      <c r="C261" s="19" t="s">
        <v>537</v>
      </c>
      <c r="D261" s="20" t="s">
        <v>538</v>
      </c>
      <c r="E261" s="21">
        <v>1.6237E12</v>
      </c>
      <c r="F261" s="21" t="s">
        <v>20</v>
      </c>
      <c r="G261" s="23">
        <v>39990.0</v>
      </c>
      <c r="H261" s="23">
        <v>14700.0</v>
      </c>
      <c r="I261" s="24">
        <v>10478.0</v>
      </c>
      <c r="J261" s="25"/>
      <c r="K261" s="25"/>
      <c r="L261" s="22">
        <v>10478.0</v>
      </c>
      <c r="M261" s="22">
        <v>11226.0</v>
      </c>
      <c r="N261" s="22">
        <v>11975.0</v>
      </c>
      <c r="O261" s="14"/>
      <c r="P261" s="26">
        <v>0.15</v>
      </c>
      <c r="Q261" s="26">
        <v>0.09</v>
      </c>
      <c r="R261" s="26">
        <v>0.03</v>
      </c>
    </row>
    <row r="262" ht="14.25" customHeight="1">
      <c r="A262" s="18" t="s">
        <v>302</v>
      </c>
      <c r="B262" s="18" t="s">
        <v>526</v>
      </c>
      <c r="C262" s="19" t="s">
        <v>537</v>
      </c>
      <c r="D262" s="20" t="s">
        <v>539</v>
      </c>
      <c r="E262" s="21" t="s">
        <v>540</v>
      </c>
      <c r="F262" s="21" t="s">
        <v>20</v>
      </c>
      <c r="G262" s="23">
        <v>59990.0</v>
      </c>
      <c r="H262" s="23">
        <v>20582.0</v>
      </c>
      <c r="I262" s="24">
        <v>11086.0</v>
      </c>
      <c r="J262" s="25"/>
      <c r="K262" s="25"/>
      <c r="L262" s="22">
        <v>11086.0</v>
      </c>
      <c r="M262" s="22">
        <v>11878.0</v>
      </c>
      <c r="N262" s="22">
        <v>12670.0</v>
      </c>
      <c r="O262" s="14"/>
      <c r="P262" s="26">
        <v>0.36</v>
      </c>
      <c r="Q262" s="26">
        <v>0.31</v>
      </c>
      <c r="R262" s="26">
        <v>0.27</v>
      </c>
    </row>
    <row r="263" ht="14.25" customHeight="1">
      <c r="A263" s="18" t="s">
        <v>302</v>
      </c>
      <c r="B263" s="18" t="s">
        <v>526</v>
      </c>
      <c r="C263" s="19" t="s">
        <v>537</v>
      </c>
      <c r="D263" s="20" t="s">
        <v>541</v>
      </c>
      <c r="E263" s="21" t="s">
        <v>542</v>
      </c>
      <c r="F263" s="21" t="s">
        <v>179</v>
      </c>
      <c r="G263" s="23">
        <v>59990.0</v>
      </c>
      <c r="H263" s="23">
        <v>20582.0</v>
      </c>
      <c r="I263" s="24">
        <v>10698.0</v>
      </c>
      <c r="J263" s="25"/>
      <c r="K263" s="25"/>
      <c r="L263" s="22">
        <v>10698.0</v>
      </c>
      <c r="M263" s="22">
        <v>11462.0</v>
      </c>
      <c r="N263" s="22">
        <v>12226.0</v>
      </c>
      <c r="O263" s="14"/>
      <c r="P263" s="26">
        <v>0.38</v>
      </c>
      <c r="Q263" s="26">
        <v>0.34</v>
      </c>
      <c r="R263" s="26">
        <v>0.29</v>
      </c>
    </row>
    <row r="264" ht="14.25" customHeight="1">
      <c r="A264" s="18" t="s">
        <v>302</v>
      </c>
      <c r="B264" s="18" t="s">
        <v>526</v>
      </c>
      <c r="C264" s="19" t="s">
        <v>537</v>
      </c>
      <c r="D264" s="20" t="s">
        <v>543</v>
      </c>
      <c r="E264" s="21" t="s">
        <v>544</v>
      </c>
      <c r="F264" s="21" t="s">
        <v>179</v>
      </c>
      <c r="G264" s="23">
        <v>59990.0</v>
      </c>
      <c r="H264" s="23">
        <v>20582.0</v>
      </c>
      <c r="I264" s="24">
        <v>11122.0</v>
      </c>
      <c r="J264" s="25"/>
      <c r="K264" s="25"/>
      <c r="L264" s="22">
        <v>11122.0</v>
      </c>
      <c r="M264" s="22">
        <v>11916.0</v>
      </c>
      <c r="N264" s="22">
        <v>12711.0</v>
      </c>
      <c r="O264" s="14"/>
      <c r="P264" s="26">
        <v>0.36</v>
      </c>
      <c r="Q264" s="26">
        <v>0.31</v>
      </c>
      <c r="R264" s="26">
        <v>0.27</v>
      </c>
    </row>
    <row r="265" ht="14.25" customHeight="1">
      <c r="A265" s="18" t="s">
        <v>302</v>
      </c>
      <c r="B265" s="18" t="s">
        <v>526</v>
      </c>
      <c r="C265" s="19" t="s">
        <v>537</v>
      </c>
      <c r="D265" s="20" t="s">
        <v>545</v>
      </c>
      <c r="E265" s="21" t="s">
        <v>546</v>
      </c>
      <c r="F265" s="21" t="s">
        <v>179</v>
      </c>
      <c r="G265" s="23">
        <v>79990.0</v>
      </c>
      <c r="H265" s="23">
        <v>26465.0</v>
      </c>
      <c r="I265" s="24">
        <v>13199.0</v>
      </c>
      <c r="J265" s="25"/>
      <c r="K265" s="25"/>
      <c r="L265" s="22">
        <v>13199.0</v>
      </c>
      <c r="M265" s="22">
        <v>14142.0</v>
      </c>
      <c r="N265" s="22">
        <v>15085.0</v>
      </c>
      <c r="O265" s="14"/>
      <c r="P265" s="26">
        <v>0.41</v>
      </c>
      <c r="Q265" s="26">
        <v>0.36</v>
      </c>
      <c r="R265" s="26">
        <v>0.32</v>
      </c>
    </row>
    <row r="266" ht="14.25" customHeight="1">
      <c r="A266" s="18" t="s">
        <v>302</v>
      </c>
      <c r="B266" s="18" t="s">
        <v>526</v>
      </c>
      <c r="C266" s="19" t="s">
        <v>537</v>
      </c>
      <c r="D266" s="20" t="s">
        <v>547</v>
      </c>
      <c r="E266" s="21" t="s">
        <v>548</v>
      </c>
      <c r="F266" s="21" t="s">
        <v>179</v>
      </c>
      <c r="G266" s="23">
        <v>79990.0</v>
      </c>
      <c r="H266" s="23">
        <v>26465.0</v>
      </c>
      <c r="I266" s="24">
        <v>12910.0</v>
      </c>
      <c r="J266" s="25"/>
      <c r="K266" s="25"/>
      <c r="L266" s="22">
        <v>12910.0</v>
      </c>
      <c r="M266" s="22">
        <v>13832.0</v>
      </c>
      <c r="N266" s="22">
        <v>14755.0</v>
      </c>
      <c r="O266" s="14"/>
      <c r="P266" s="26">
        <v>0.42</v>
      </c>
      <c r="Q266" s="26">
        <v>0.38</v>
      </c>
      <c r="R266" s="26">
        <v>0.34</v>
      </c>
    </row>
    <row r="267" ht="14.25" customHeight="1">
      <c r="A267" s="18" t="s">
        <v>302</v>
      </c>
      <c r="B267" s="18" t="s">
        <v>526</v>
      </c>
      <c r="C267" s="19" t="s">
        <v>537</v>
      </c>
      <c r="D267" s="20" t="s">
        <v>549</v>
      </c>
      <c r="E267" s="21" t="s">
        <v>550</v>
      </c>
      <c r="F267" s="21" t="s">
        <v>20</v>
      </c>
      <c r="G267" s="23">
        <v>79990.0</v>
      </c>
      <c r="H267" s="23">
        <v>26465.0</v>
      </c>
      <c r="I267" s="24">
        <v>12746.0</v>
      </c>
      <c r="J267" s="25"/>
      <c r="K267" s="25"/>
      <c r="L267" s="22">
        <v>12746.0</v>
      </c>
      <c r="M267" s="22">
        <v>13656.0</v>
      </c>
      <c r="N267" s="22">
        <v>14567.0</v>
      </c>
      <c r="O267" s="14"/>
      <c r="P267" s="26">
        <v>0.43</v>
      </c>
      <c r="Q267" s="26">
        <v>0.39</v>
      </c>
      <c r="R267" s="26">
        <v>0.34</v>
      </c>
    </row>
    <row r="268" ht="14.25" customHeight="1">
      <c r="A268" s="18" t="s">
        <v>302</v>
      </c>
      <c r="B268" s="18" t="s">
        <v>526</v>
      </c>
      <c r="C268" s="19" t="s">
        <v>537</v>
      </c>
      <c r="D268" s="20" t="s">
        <v>551</v>
      </c>
      <c r="E268" s="21">
        <v>1.6566E12</v>
      </c>
      <c r="F268" s="21" t="s">
        <v>134</v>
      </c>
      <c r="G268" s="23">
        <v>89990.0</v>
      </c>
      <c r="H268" s="23">
        <v>35288.0</v>
      </c>
      <c r="I268" s="24">
        <v>23649.0</v>
      </c>
      <c r="J268" s="25"/>
      <c r="K268" s="25"/>
      <c r="L268" s="22">
        <v>23649.0</v>
      </c>
      <c r="M268" s="22">
        <v>25338.0</v>
      </c>
      <c r="N268" s="22">
        <v>27027.0</v>
      </c>
      <c r="O268" s="14"/>
      <c r="P268" s="26">
        <v>0.2</v>
      </c>
      <c r="Q268" s="26">
        <v>0.15</v>
      </c>
      <c r="R268" s="26">
        <v>0.09</v>
      </c>
    </row>
    <row r="269" ht="14.25" customHeight="1">
      <c r="A269" s="18" t="s">
        <v>302</v>
      </c>
      <c r="B269" s="18" t="s">
        <v>526</v>
      </c>
      <c r="C269" s="19" t="s">
        <v>537</v>
      </c>
      <c r="D269" s="20" t="s">
        <v>552</v>
      </c>
      <c r="E269" s="21">
        <v>1.6566E12</v>
      </c>
      <c r="F269" s="21" t="s">
        <v>134</v>
      </c>
      <c r="G269" s="23">
        <v>89990.0</v>
      </c>
      <c r="H269" s="23">
        <v>35288.0</v>
      </c>
      <c r="I269" s="24">
        <v>23649.0</v>
      </c>
      <c r="J269" s="25"/>
      <c r="K269" s="25"/>
      <c r="L269" s="22">
        <v>23649.0</v>
      </c>
      <c r="M269" s="22">
        <v>25338.0</v>
      </c>
      <c r="N269" s="22">
        <v>27027.0</v>
      </c>
      <c r="O269" s="14"/>
      <c r="P269" s="26">
        <v>0.2</v>
      </c>
      <c r="Q269" s="26">
        <v>0.15</v>
      </c>
      <c r="R269" s="26">
        <v>0.09</v>
      </c>
    </row>
    <row r="270" ht="14.25" customHeight="1">
      <c r="A270" s="18" t="s">
        <v>302</v>
      </c>
      <c r="B270" s="18" t="s">
        <v>526</v>
      </c>
      <c r="C270" s="19" t="s">
        <v>553</v>
      </c>
      <c r="D270" s="29" t="s">
        <v>554</v>
      </c>
      <c r="E270" s="22" t="s">
        <v>555</v>
      </c>
      <c r="F270" s="22" t="s">
        <v>134</v>
      </c>
      <c r="G270" s="23">
        <v>129990.0</v>
      </c>
      <c r="H270" s="23">
        <v>47053.0</v>
      </c>
      <c r="I270" s="24">
        <v>37358.0</v>
      </c>
      <c r="J270" s="25"/>
      <c r="K270" s="25"/>
      <c r="L270" s="22">
        <v>37358.0</v>
      </c>
      <c r="M270" s="22">
        <v>40026.0</v>
      </c>
      <c r="N270" s="22">
        <v>42695.0</v>
      </c>
      <c r="O270" s="14"/>
      <c r="P270" s="26">
        <v>0.06</v>
      </c>
      <c r="Q270" s="26">
        <v>-0.01</v>
      </c>
      <c r="R270" s="26">
        <v>-0.08</v>
      </c>
    </row>
    <row r="271" ht="14.25" customHeight="1">
      <c r="A271" s="18" t="s">
        <v>302</v>
      </c>
      <c r="B271" s="18" t="s">
        <v>526</v>
      </c>
      <c r="C271" s="19" t="s">
        <v>553</v>
      </c>
      <c r="D271" s="20" t="s">
        <v>556</v>
      </c>
      <c r="E271" s="21" t="s">
        <v>557</v>
      </c>
      <c r="F271" s="21" t="s">
        <v>20</v>
      </c>
      <c r="G271" s="23">
        <v>99990.0</v>
      </c>
      <c r="H271" s="23">
        <v>35288.0</v>
      </c>
      <c r="I271" s="24">
        <v>30320.0</v>
      </c>
      <c r="J271" s="25"/>
      <c r="K271" s="25"/>
      <c r="L271" s="22">
        <v>30320.0</v>
      </c>
      <c r="M271" s="22">
        <v>32486.0</v>
      </c>
      <c r="N271" s="22">
        <v>34652.0</v>
      </c>
      <c r="O271" s="14"/>
      <c r="P271" s="26">
        <v>-0.02</v>
      </c>
      <c r="Q271" s="26">
        <v>-0.1</v>
      </c>
      <c r="R271" s="26">
        <v>-0.17</v>
      </c>
    </row>
    <row r="272" ht="14.25" customHeight="1">
      <c r="A272" s="18" t="s">
        <v>302</v>
      </c>
      <c r="B272" s="18" t="s">
        <v>526</v>
      </c>
      <c r="C272" s="19" t="s">
        <v>553</v>
      </c>
      <c r="D272" s="20" t="s">
        <v>558</v>
      </c>
      <c r="E272" s="19" t="s">
        <v>559</v>
      </c>
      <c r="F272" s="21" t="s">
        <v>20</v>
      </c>
      <c r="G272" s="23">
        <v>129990.0</v>
      </c>
      <c r="H272" s="23">
        <v>52935.0</v>
      </c>
      <c r="I272" s="23">
        <v>38172.0</v>
      </c>
      <c r="J272" s="37"/>
      <c r="K272" s="22"/>
      <c r="L272" s="22">
        <v>38172.0</v>
      </c>
      <c r="M272" s="22">
        <v>40898.0</v>
      </c>
      <c r="N272" s="22">
        <v>43625.0</v>
      </c>
      <c r="O272" s="14"/>
      <c r="P272" s="26">
        <v>0.14</v>
      </c>
      <c r="Q272" s="26">
        <v>0.08</v>
      </c>
      <c r="R272" s="26">
        <v>0.02</v>
      </c>
    </row>
    <row r="273" ht="14.25" customHeight="1">
      <c r="A273" s="18" t="s">
        <v>302</v>
      </c>
      <c r="B273" s="18" t="s">
        <v>526</v>
      </c>
      <c r="C273" s="19" t="s">
        <v>553</v>
      </c>
      <c r="D273" s="20" t="s">
        <v>560</v>
      </c>
      <c r="E273" s="19" t="s">
        <v>561</v>
      </c>
      <c r="F273" s="21" t="s">
        <v>20</v>
      </c>
      <c r="G273" s="23">
        <v>149990.0</v>
      </c>
      <c r="H273" s="23">
        <v>58818.0</v>
      </c>
      <c r="I273" s="23">
        <v>44697.0</v>
      </c>
      <c r="J273" s="37"/>
      <c r="K273" s="22"/>
      <c r="L273" s="22">
        <v>44697.0</v>
      </c>
      <c r="M273" s="22">
        <v>47889.0</v>
      </c>
      <c r="N273" s="22">
        <v>51082.0</v>
      </c>
      <c r="O273" s="14"/>
      <c r="P273" s="26">
        <v>0.1</v>
      </c>
      <c r="Q273" s="26">
        <v>0.03</v>
      </c>
      <c r="R273" s="26">
        <v>-0.03</v>
      </c>
    </row>
    <row r="274" ht="14.25" customHeight="1">
      <c r="A274" s="18" t="s">
        <v>302</v>
      </c>
      <c r="B274" s="18" t="s">
        <v>526</v>
      </c>
      <c r="C274" s="19" t="s">
        <v>175</v>
      </c>
      <c r="D274" s="20" t="s">
        <v>562</v>
      </c>
      <c r="E274" s="38">
        <v>1.56685E12</v>
      </c>
      <c r="F274" s="21" t="s">
        <v>20</v>
      </c>
      <c r="G274" s="23">
        <v>39990.0</v>
      </c>
      <c r="H274" s="23">
        <v>17641.0</v>
      </c>
      <c r="I274" s="23">
        <v>10207.0</v>
      </c>
      <c r="J274" s="37"/>
      <c r="K274" s="22"/>
      <c r="L274" s="22">
        <v>10207.0</v>
      </c>
      <c r="M274" s="22">
        <v>10936.0</v>
      </c>
      <c r="N274" s="22">
        <v>11665.0</v>
      </c>
      <c r="O274" s="14"/>
      <c r="P274" s="26">
        <v>0.31</v>
      </c>
      <c r="Q274" s="26">
        <v>0.26</v>
      </c>
      <c r="R274" s="26">
        <v>0.21</v>
      </c>
    </row>
    <row r="275" ht="14.25" customHeight="1">
      <c r="A275" s="18" t="s">
        <v>302</v>
      </c>
      <c r="B275" s="18" t="s">
        <v>526</v>
      </c>
      <c r="C275" s="19" t="s">
        <v>175</v>
      </c>
      <c r="D275" s="20" t="s">
        <v>563</v>
      </c>
      <c r="E275" s="19" t="s">
        <v>564</v>
      </c>
      <c r="F275" s="22" t="s">
        <v>20</v>
      </c>
      <c r="G275" s="23">
        <v>42990.0</v>
      </c>
      <c r="H275" s="23">
        <v>20582.0</v>
      </c>
      <c r="I275" s="23">
        <v>13088.0</v>
      </c>
      <c r="J275" s="37"/>
      <c r="K275" s="22"/>
      <c r="L275" s="22">
        <v>13088.0</v>
      </c>
      <c r="M275" s="22">
        <v>14023.0</v>
      </c>
      <c r="N275" s="22">
        <v>14958.0</v>
      </c>
      <c r="O275" s="14"/>
      <c r="P275" s="26">
        <v>0.24</v>
      </c>
      <c r="Q275" s="26">
        <v>0.19</v>
      </c>
      <c r="R275" s="26">
        <v>0.14</v>
      </c>
    </row>
    <row r="276" ht="14.25" customHeight="1">
      <c r="A276" s="18" t="s">
        <v>302</v>
      </c>
      <c r="B276" s="18" t="s">
        <v>526</v>
      </c>
      <c r="C276" s="19" t="s">
        <v>175</v>
      </c>
      <c r="D276" s="20" t="s">
        <v>565</v>
      </c>
      <c r="E276" s="19" t="s">
        <v>566</v>
      </c>
      <c r="F276" s="22" t="s">
        <v>20</v>
      </c>
      <c r="G276" s="23">
        <v>42990.0</v>
      </c>
      <c r="H276" s="23">
        <v>20582.0</v>
      </c>
      <c r="I276" s="23">
        <v>13276.0</v>
      </c>
      <c r="J276" s="37"/>
      <c r="K276" s="22"/>
      <c r="L276" s="22">
        <v>13276.0</v>
      </c>
      <c r="M276" s="22">
        <v>14224.0</v>
      </c>
      <c r="N276" s="22">
        <v>15173.0</v>
      </c>
      <c r="O276" s="14"/>
      <c r="P276" s="26">
        <v>0.23</v>
      </c>
      <c r="Q276" s="26">
        <v>0.18</v>
      </c>
      <c r="R276" s="26">
        <v>0.12</v>
      </c>
    </row>
    <row r="277" ht="14.25" customHeight="1">
      <c r="A277" s="18" t="s">
        <v>302</v>
      </c>
      <c r="B277" s="18" t="s">
        <v>526</v>
      </c>
      <c r="C277" s="19" t="s">
        <v>175</v>
      </c>
      <c r="D277" s="20" t="s">
        <v>567</v>
      </c>
      <c r="E277" s="19" t="s">
        <v>568</v>
      </c>
      <c r="F277" s="21" t="s">
        <v>134</v>
      </c>
      <c r="G277" s="23">
        <v>39990.0</v>
      </c>
      <c r="H277" s="23">
        <v>14700.0</v>
      </c>
      <c r="I277" s="23">
        <v>8877.0</v>
      </c>
      <c r="J277" s="37"/>
      <c r="K277" s="22"/>
      <c r="L277" s="22">
        <v>8877.0</v>
      </c>
      <c r="M277" s="22">
        <v>9511.0</v>
      </c>
      <c r="N277" s="22">
        <v>10145.0</v>
      </c>
      <c r="O277" s="14"/>
      <c r="P277" s="26">
        <v>0.28</v>
      </c>
      <c r="Q277" s="26">
        <v>0.23</v>
      </c>
      <c r="R277" s="26">
        <v>0.18</v>
      </c>
    </row>
    <row r="278" ht="14.25" customHeight="1">
      <c r="A278" s="18" t="s">
        <v>302</v>
      </c>
      <c r="B278" s="18" t="s">
        <v>526</v>
      </c>
      <c r="C278" s="19" t="s">
        <v>175</v>
      </c>
      <c r="D278" s="20" t="s">
        <v>569</v>
      </c>
      <c r="E278" s="19" t="s">
        <v>570</v>
      </c>
      <c r="F278" s="21" t="s">
        <v>134</v>
      </c>
      <c r="G278" s="23">
        <v>39990.0</v>
      </c>
      <c r="H278" s="23">
        <v>14700.0</v>
      </c>
      <c r="I278" s="23">
        <v>9078.0</v>
      </c>
      <c r="J278" s="37"/>
      <c r="K278" s="22"/>
      <c r="L278" s="22">
        <v>9078.0</v>
      </c>
      <c r="M278" s="22">
        <v>9727.0</v>
      </c>
      <c r="N278" s="22">
        <v>10375.0</v>
      </c>
      <c r="O278" s="14"/>
      <c r="P278" s="26">
        <v>0.27</v>
      </c>
      <c r="Q278" s="26">
        <v>0.21</v>
      </c>
      <c r="R278" s="26">
        <v>0.16</v>
      </c>
    </row>
    <row r="279" ht="14.25" customHeight="1">
      <c r="A279" s="18" t="s">
        <v>302</v>
      </c>
      <c r="B279" s="18" t="s">
        <v>526</v>
      </c>
      <c r="C279" s="19" t="s">
        <v>175</v>
      </c>
      <c r="D279" s="20" t="s">
        <v>571</v>
      </c>
      <c r="E279" s="19" t="s">
        <v>572</v>
      </c>
      <c r="F279" s="21" t="s">
        <v>20</v>
      </c>
      <c r="G279" s="23">
        <v>39990.0</v>
      </c>
      <c r="H279" s="23">
        <v>14700.0</v>
      </c>
      <c r="I279" s="23">
        <v>9408.0</v>
      </c>
      <c r="J279" s="37"/>
      <c r="K279" s="22"/>
      <c r="L279" s="22">
        <v>9408.0</v>
      </c>
      <c r="M279" s="22">
        <v>10080.0</v>
      </c>
      <c r="N279" s="22">
        <v>10752.0</v>
      </c>
      <c r="O279" s="14"/>
      <c r="P279" s="26">
        <v>0.24</v>
      </c>
      <c r="Q279" s="26">
        <v>0.18</v>
      </c>
      <c r="R279" s="26">
        <v>0.13</v>
      </c>
    </row>
    <row r="280" ht="14.25" customHeight="1">
      <c r="A280" s="18" t="s">
        <v>302</v>
      </c>
      <c r="B280" s="18" t="s">
        <v>526</v>
      </c>
      <c r="C280" s="19" t="s">
        <v>175</v>
      </c>
      <c r="D280" s="20" t="s">
        <v>573</v>
      </c>
      <c r="E280" s="19" t="s">
        <v>574</v>
      </c>
      <c r="F280" s="21" t="s">
        <v>20</v>
      </c>
      <c r="G280" s="23">
        <v>49990.0</v>
      </c>
      <c r="H280" s="23">
        <v>20582.0</v>
      </c>
      <c r="I280" s="23">
        <v>13527.0</v>
      </c>
      <c r="J280" s="37"/>
      <c r="K280" s="22"/>
      <c r="L280" s="22">
        <v>13527.0</v>
      </c>
      <c r="M280" s="22">
        <v>14493.0</v>
      </c>
      <c r="N280" s="22">
        <v>15459.0</v>
      </c>
      <c r="O280" s="14"/>
      <c r="P280" s="26">
        <v>0.22</v>
      </c>
      <c r="Q280" s="26">
        <v>0.16</v>
      </c>
      <c r="R280" s="26">
        <v>0.11</v>
      </c>
    </row>
    <row r="281" ht="14.25" customHeight="1">
      <c r="A281" s="18" t="s">
        <v>302</v>
      </c>
      <c r="B281" s="18" t="s">
        <v>526</v>
      </c>
      <c r="C281" s="19" t="s">
        <v>175</v>
      </c>
      <c r="D281" s="20" t="s">
        <v>575</v>
      </c>
      <c r="E281" s="19" t="s">
        <v>576</v>
      </c>
      <c r="F281" s="21" t="s">
        <v>20</v>
      </c>
      <c r="G281" s="23">
        <v>49990.0</v>
      </c>
      <c r="H281" s="23">
        <v>20582.0</v>
      </c>
      <c r="I281" s="23">
        <v>13527.0</v>
      </c>
      <c r="J281" s="37"/>
      <c r="K281" s="22"/>
      <c r="L281" s="22">
        <v>13527.0</v>
      </c>
      <c r="M281" s="22">
        <v>14493.0</v>
      </c>
      <c r="N281" s="22">
        <v>15459.0</v>
      </c>
      <c r="O281" s="14"/>
      <c r="P281" s="26">
        <v>0.22</v>
      </c>
      <c r="Q281" s="26">
        <v>0.16</v>
      </c>
      <c r="R281" s="26">
        <v>0.11</v>
      </c>
    </row>
    <row r="282" ht="14.25" customHeight="1">
      <c r="A282" s="18" t="s">
        <v>302</v>
      </c>
      <c r="B282" s="18" t="s">
        <v>526</v>
      </c>
      <c r="C282" s="19" t="s">
        <v>175</v>
      </c>
      <c r="D282" s="20" t="s">
        <v>577</v>
      </c>
      <c r="E282" s="38">
        <v>1.6237E12</v>
      </c>
      <c r="F282" s="21" t="s">
        <v>20</v>
      </c>
      <c r="G282" s="23">
        <v>29990.0</v>
      </c>
      <c r="H282" s="23">
        <v>13524.0</v>
      </c>
      <c r="I282" s="23">
        <v>9555.0</v>
      </c>
      <c r="J282" s="37"/>
      <c r="K282" s="22"/>
      <c r="L282" s="22">
        <v>9555.0</v>
      </c>
      <c r="M282" s="22">
        <v>10237.0</v>
      </c>
      <c r="N282" s="22">
        <v>10920.0</v>
      </c>
      <c r="O282" s="14"/>
      <c r="P282" s="26">
        <v>0.16</v>
      </c>
      <c r="Q282" s="26">
        <v>0.1</v>
      </c>
      <c r="R282" s="26">
        <v>0.04</v>
      </c>
    </row>
    <row r="283" ht="14.25" customHeight="1">
      <c r="A283" s="18" t="s">
        <v>302</v>
      </c>
      <c r="B283" s="18" t="s">
        <v>526</v>
      </c>
      <c r="C283" s="19" t="s">
        <v>175</v>
      </c>
      <c r="D283" s="20" t="s">
        <v>578</v>
      </c>
      <c r="E283" s="38">
        <v>1.6237E12</v>
      </c>
      <c r="F283" s="21" t="s">
        <v>20</v>
      </c>
      <c r="G283" s="23">
        <v>29990.0</v>
      </c>
      <c r="H283" s="23">
        <v>13524.0</v>
      </c>
      <c r="I283" s="23">
        <v>9491.0</v>
      </c>
      <c r="J283" s="37"/>
      <c r="K283" s="22"/>
      <c r="L283" s="22">
        <v>9491.0</v>
      </c>
      <c r="M283" s="22">
        <v>10169.0</v>
      </c>
      <c r="N283" s="22">
        <v>10847.0</v>
      </c>
      <c r="O283" s="14"/>
      <c r="P283" s="26">
        <v>0.16</v>
      </c>
      <c r="Q283" s="26">
        <v>0.11</v>
      </c>
      <c r="R283" s="26">
        <v>0.05</v>
      </c>
    </row>
    <row r="284" ht="14.25" customHeight="1">
      <c r="A284" s="18" t="s">
        <v>302</v>
      </c>
      <c r="B284" s="18" t="s">
        <v>526</v>
      </c>
      <c r="C284" s="19" t="s">
        <v>175</v>
      </c>
      <c r="D284" s="20" t="s">
        <v>579</v>
      </c>
      <c r="E284" s="19" t="s">
        <v>580</v>
      </c>
      <c r="F284" s="22" t="s">
        <v>20</v>
      </c>
      <c r="G284" s="23">
        <v>44990.0</v>
      </c>
      <c r="H284" s="23">
        <v>23524.0</v>
      </c>
      <c r="I284" s="23">
        <v>14090.0</v>
      </c>
      <c r="J284" s="37"/>
      <c r="K284" s="22"/>
      <c r="L284" s="22">
        <v>14090.0</v>
      </c>
      <c r="M284" s="22">
        <v>15096.0</v>
      </c>
      <c r="N284" s="22">
        <v>16103.0</v>
      </c>
      <c r="O284" s="14"/>
      <c r="P284" s="26">
        <v>0.29</v>
      </c>
      <c r="Q284" s="26">
        <v>0.24</v>
      </c>
      <c r="R284" s="26">
        <v>0.19</v>
      </c>
    </row>
    <row r="285" ht="14.25" customHeight="1">
      <c r="A285" s="18" t="s">
        <v>302</v>
      </c>
      <c r="B285" s="18" t="s">
        <v>526</v>
      </c>
      <c r="C285" s="19" t="s">
        <v>175</v>
      </c>
      <c r="D285" s="20" t="s">
        <v>581</v>
      </c>
      <c r="E285" s="19" t="s">
        <v>582</v>
      </c>
      <c r="F285" s="22" t="s">
        <v>20</v>
      </c>
      <c r="G285" s="23">
        <v>44990.0</v>
      </c>
      <c r="H285" s="23">
        <v>23524.0</v>
      </c>
      <c r="I285" s="23">
        <v>14093.0</v>
      </c>
      <c r="J285" s="37"/>
      <c r="K285" s="22"/>
      <c r="L285" s="22">
        <v>14093.0</v>
      </c>
      <c r="M285" s="22">
        <v>15100.0</v>
      </c>
      <c r="N285" s="22">
        <v>16106.0</v>
      </c>
      <c r="O285" s="14"/>
      <c r="P285" s="26">
        <v>0.29</v>
      </c>
      <c r="Q285" s="26">
        <v>0.24</v>
      </c>
      <c r="R285" s="26">
        <v>0.19</v>
      </c>
    </row>
    <row r="286" ht="14.25" customHeight="1">
      <c r="A286" s="18" t="s">
        <v>302</v>
      </c>
      <c r="B286" s="18" t="s">
        <v>526</v>
      </c>
      <c r="C286" s="19" t="s">
        <v>175</v>
      </c>
      <c r="D286" s="20" t="s">
        <v>583</v>
      </c>
      <c r="E286" s="38">
        <v>1.66187E12</v>
      </c>
      <c r="F286" s="21" t="s">
        <v>134</v>
      </c>
      <c r="G286" s="23">
        <v>29990.0</v>
      </c>
      <c r="H286" s="23">
        <v>13524.0</v>
      </c>
      <c r="I286" s="23">
        <v>8280.0</v>
      </c>
      <c r="J286" s="37"/>
      <c r="K286" s="22"/>
      <c r="L286" s="22">
        <v>8280.0</v>
      </c>
      <c r="M286" s="22">
        <v>8871.0</v>
      </c>
      <c r="N286" s="22">
        <v>9463.0</v>
      </c>
      <c r="O286" s="14"/>
      <c r="P286" s="26">
        <v>0.27</v>
      </c>
      <c r="Q286" s="26">
        <v>0.22</v>
      </c>
      <c r="R286" s="26">
        <v>0.17</v>
      </c>
    </row>
    <row r="287" ht="14.25" customHeight="1">
      <c r="A287" s="18" t="s">
        <v>302</v>
      </c>
      <c r="B287" s="18" t="s">
        <v>526</v>
      </c>
      <c r="C287" s="19" t="s">
        <v>175</v>
      </c>
      <c r="D287" s="20" t="s">
        <v>584</v>
      </c>
      <c r="E287" s="38">
        <v>1.66187E12</v>
      </c>
      <c r="F287" s="21" t="s">
        <v>134</v>
      </c>
      <c r="G287" s="23">
        <v>29990.0</v>
      </c>
      <c r="H287" s="23">
        <v>13524.0</v>
      </c>
      <c r="I287" s="23">
        <v>8380.0</v>
      </c>
      <c r="J287" s="37"/>
      <c r="K287" s="22"/>
      <c r="L287" s="22">
        <v>8380.0</v>
      </c>
      <c r="M287" s="22">
        <v>8979.0</v>
      </c>
      <c r="N287" s="22">
        <v>9577.0</v>
      </c>
      <c r="O287" s="14"/>
      <c r="P287" s="26">
        <v>0.26</v>
      </c>
      <c r="Q287" s="26">
        <v>0.21</v>
      </c>
      <c r="R287" s="26">
        <v>0.16</v>
      </c>
    </row>
    <row r="288" ht="14.25" customHeight="1">
      <c r="A288" s="18" t="s">
        <v>302</v>
      </c>
      <c r="B288" s="18" t="s">
        <v>526</v>
      </c>
      <c r="C288" s="19" t="s">
        <v>175</v>
      </c>
      <c r="D288" s="20" t="s">
        <v>585</v>
      </c>
      <c r="E288" s="19" t="s">
        <v>586</v>
      </c>
      <c r="F288" s="22" t="s">
        <v>20</v>
      </c>
      <c r="G288" s="23">
        <v>79990.0</v>
      </c>
      <c r="H288" s="23">
        <v>41171.0</v>
      </c>
      <c r="I288" s="23">
        <v>23842.0</v>
      </c>
      <c r="J288" s="37"/>
      <c r="K288" s="22"/>
      <c r="L288" s="22">
        <v>23842.0</v>
      </c>
      <c r="M288" s="22">
        <v>25545.0</v>
      </c>
      <c r="N288" s="22">
        <v>27248.0</v>
      </c>
      <c r="O288" s="14"/>
      <c r="P288" s="26">
        <v>0.31</v>
      </c>
      <c r="Q288" s="26">
        <v>0.26</v>
      </c>
      <c r="R288" s="26">
        <v>0.21</v>
      </c>
    </row>
    <row r="289" ht="14.25" customHeight="1">
      <c r="A289" s="18" t="s">
        <v>302</v>
      </c>
      <c r="B289" s="18" t="s">
        <v>526</v>
      </c>
      <c r="C289" s="19" t="s">
        <v>175</v>
      </c>
      <c r="D289" s="20" t="s">
        <v>587</v>
      </c>
      <c r="E289" s="19" t="s">
        <v>588</v>
      </c>
      <c r="F289" s="21" t="s">
        <v>20</v>
      </c>
      <c r="G289" s="23">
        <v>89990.0</v>
      </c>
      <c r="H289" s="23">
        <v>41171.0</v>
      </c>
      <c r="I289" s="23">
        <v>18448.0</v>
      </c>
      <c r="J289" s="37"/>
      <c r="K289" s="22"/>
      <c r="L289" s="22">
        <v>18448.0</v>
      </c>
      <c r="M289" s="22">
        <v>19766.0</v>
      </c>
      <c r="N289" s="22">
        <v>21083.0</v>
      </c>
      <c r="O289" s="14"/>
      <c r="P289" s="26">
        <v>0.47</v>
      </c>
      <c r="Q289" s="26">
        <v>0.43</v>
      </c>
      <c r="R289" s="26">
        <v>0.39</v>
      </c>
    </row>
    <row r="290" ht="14.25" customHeight="1">
      <c r="A290" s="18" t="s">
        <v>302</v>
      </c>
      <c r="B290" s="18" t="s">
        <v>526</v>
      </c>
      <c r="C290" s="19" t="s">
        <v>175</v>
      </c>
      <c r="D290" s="20" t="s">
        <v>589</v>
      </c>
      <c r="E290" s="38">
        <v>1.66187E12</v>
      </c>
      <c r="F290" s="21" t="s">
        <v>20</v>
      </c>
      <c r="G290" s="23">
        <v>39990.0</v>
      </c>
      <c r="H290" s="23">
        <v>17641.0</v>
      </c>
      <c r="I290" s="23">
        <v>9493.0</v>
      </c>
      <c r="J290" s="37"/>
      <c r="K290" s="22"/>
      <c r="L290" s="22">
        <v>9493.0</v>
      </c>
      <c r="M290" s="22">
        <v>10171.0</v>
      </c>
      <c r="N290" s="22">
        <v>10849.0</v>
      </c>
      <c r="O290" s="14"/>
      <c r="P290" s="26">
        <v>0.36</v>
      </c>
      <c r="Q290" s="26">
        <v>0.31</v>
      </c>
      <c r="R290" s="26">
        <v>0.27</v>
      </c>
    </row>
    <row r="291" ht="14.25" customHeight="1">
      <c r="A291" s="18" t="s">
        <v>302</v>
      </c>
      <c r="B291" s="18" t="s">
        <v>526</v>
      </c>
      <c r="C291" s="19" t="s">
        <v>175</v>
      </c>
      <c r="D291" s="20" t="s">
        <v>590</v>
      </c>
      <c r="E291" s="38">
        <v>1.66187E12</v>
      </c>
      <c r="F291" s="21" t="s">
        <v>20</v>
      </c>
      <c r="G291" s="23">
        <v>39990.0</v>
      </c>
      <c r="H291" s="23">
        <v>17641.0</v>
      </c>
      <c r="I291" s="23">
        <v>9465.0</v>
      </c>
      <c r="J291" s="37"/>
      <c r="K291" s="22"/>
      <c r="L291" s="22">
        <v>9465.0</v>
      </c>
      <c r="M291" s="22">
        <v>10141.0</v>
      </c>
      <c r="N291" s="22">
        <v>10817.0</v>
      </c>
      <c r="O291" s="14"/>
      <c r="P291" s="26">
        <v>0.36</v>
      </c>
      <c r="Q291" s="26">
        <v>0.32</v>
      </c>
      <c r="R291" s="26">
        <v>0.27</v>
      </c>
    </row>
    <row r="292" ht="14.25" customHeight="1">
      <c r="A292" s="18" t="s">
        <v>302</v>
      </c>
      <c r="B292" s="18" t="s">
        <v>526</v>
      </c>
      <c r="C292" s="19" t="s">
        <v>591</v>
      </c>
      <c r="D292" s="20" t="s">
        <v>592</v>
      </c>
      <c r="E292" s="19" t="s">
        <v>593</v>
      </c>
      <c r="F292" s="22" t="s">
        <v>20</v>
      </c>
      <c r="G292" s="23">
        <v>19990.0</v>
      </c>
      <c r="H292" s="23">
        <v>8818.0</v>
      </c>
      <c r="I292" s="23">
        <v>4855.0</v>
      </c>
      <c r="J292" s="37"/>
      <c r="K292" s="22"/>
      <c r="L292" s="22">
        <v>4855.0</v>
      </c>
      <c r="M292" s="22">
        <v>5202.0</v>
      </c>
      <c r="N292" s="22">
        <v>5549.0</v>
      </c>
      <c r="O292" s="14"/>
      <c r="P292" s="26">
        <v>0.34</v>
      </c>
      <c r="Q292" s="26">
        <v>0.3</v>
      </c>
      <c r="R292" s="26">
        <v>0.25</v>
      </c>
    </row>
    <row r="293" ht="14.25" customHeight="1">
      <c r="A293" s="18" t="s">
        <v>302</v>
      </c>
      <c r="B293" s="18" t="s">
        <v>526</v>
      </c>
      <c r="C293" s="19" t="s">
        <v>591</v>
      </c>
      <c r="D293" s="20" t="s">
        <v>594</v>
      </c>
      <c r="E293" s="19" t="s">
        <v>595</v>
      </c>
      <c r="F293" s="21" t="s">
        <v>20</v>
      </c>
      <c r="G293" s="23">
        <v>24990.0</v>
      </c>
      <c r="H293" s="23">
        <v>7641.0</v>
      </c>
      <c r="I293" s="23">
        <v>4731.0</v>
      </c>
      <c r="J293" s="37"/>
      <c r="K293" s="22"/>
      <c r="L293" s="22">
        <v>4731.0</v>
      </c>
      <c r="M293" s="22">
        <v>5069.0</v>
      </c>
      <c r="N293" s="22">
        <v>5407.0</v>
      </c>
      <c r="O293" s="14"/>
      <c r="P293" s="26">
        <v>0.26</v>
      </c>
      <c r="Q293" s="26">
        <v>0.21</v>
      </c>
      <c r="R293" s="26">
        <v>0.16</v>
      </c>
    </row>
    <row r="294" ht="14.25" customHeight="1">
      <c r="A294" s="18" t="s">
        <v>302</v>
      </c>
      <c r="B294" s="18" t="s">
        <v>526</v>
      </c>
      <c r="C294" s="19" t="s">
        <v>591</v>
      </c>
      <c r="D294" s="20" t="s">
        <v>596</v>
      </c>
      <c r="E294" s="19" t="s">
        <v>597</v>
      </c>
      <c r="F294" s="21" t="s">
        <v>20</v>
      </c>
      <c r="G294" s="23">
        <v>24990.0</v>
      </c>
      <c r="H294" s="23">
        <v>7641.0</v>
      </c>
      <c r="I294" s="23">
        <v>4731.0</v>
      </c>
      <c r="J294" s="37"/>
      <c r="K294" s="22"/>
      <c r="L294" s="22">
        <v>4731.0</v>
      </c>
      <c r="M294" s="22">
        <v>5069.0</v>
      </c>
      <c r="N294" s="22">
        <v>5407.0</v>
      </c>
      <c r="O294" s="14"/>
      <c r="P294" s="26">
        <v>0.26</v>
      </c>
      <c r="Q294" s="26">
        <v>0.21</v>
      </c>
      <c r="R294" s="26">
        <v>0.16</v>
      </c>
    </row>
    <row r="295" ht="14.25" customHeight="1">
      <c r="A295" s="18" t="s">
        <v>302</v>
      </c>
      <c r="B295" s="18" t="s">
        <v>598</v>
      </c>
      <c r="C295" s="19" t="s">
        <v>599</v>
      </c>
      <c r="D295" s="20" t="s">
        <v>600</v>
      </c>
      <c r="E295" s="19" t="s">
        <v>601</v>
      </c>
      <c r="F295" s="21" t="s">
        <v>179</v>
      </c>
      <c r="G295" s="23">
        <v>24990.0</v>
      </c>
      <c r="H295" s="23">
        <v>11759.0</v>
      </c>
      <c r="I295" s="23">
        <v>4038.0</v>
      </c>
      <c r="J295" s="37"/>
      <c r="K295" s="22"/>
      <c r="L295" s="22">
        <v>4038.0</v>
      </c>
      <c r="M295" s="22">
        <v>4326.0</v>
      </c>
      <c r="N295" s="22">
        <v>4615.0</v>
      </c>
      <c r="O295" s="14"/>
      <c r="P295" s="26">
        <v>0.59</v>
      </c>
      <c r="Q295" s="26">
        <v>0.56</v>
      </c>
      <c r="R295" s="26">
        <v>0.53</v>
      </c>
    </row>
    <row r="296" ht="14.25" customHeight="1">
      <c r="A296" s="18" t="s">
        <v>302</v>
      </c>
      <c r="B296" s="18" t="s">
        <v>598</v>
      </c>
      <c r="C296" s="19" t="s">
        <v>599</v>
      </c>
      <c r="D296" s="20" t="s">
        <v>602</v>
      </c>
      <c r="E296" s="19" t="s">
        <v>603</v>
      </c>
      <c r="F296" s="21" t="s">
        <v>179</v>
      </c>
      <c r="G296" s="23">
        <v>24990.0</v>
      </c>
      <c r="H296" s="23">
        <v>11759.0</v>
      </c>
      <c r="I296" s="23">
        <v>3942.0</v>
      </c>
      <c r="J296" s="37"/>
      <c r="K296" s="22"/>
      <c r="L296" s="22">
        <v>3942.0</v>
      </c>
      <c r="M296" s="22">
        <v>4224.0</v>
      </c>
      <c r="N296" s="22">
        <v>4505.0</v>
      </c>
      <c r="O296" s="14"/>
      <c r="P296" s="26">
        <v>0.6</v>
      </c>
      <c r="Q296" s="26">
        <v>0.57</v>
      </c>
      <c r="R296" s="26">
        <v>0.54</v>
      </c>
    </row>
    <row r="297" ht="14.25" customHeight="1">
      <c r="A297" s="18" t="s">
        <v>302</v>
      </c>
      <c r="B297" s="18" t="s">
        <v>598</v>
      </c>
      <c r="C297" s="19" t="s">
        <v>599</v>
      </c>
      <c r="D297" s="20" t="s">
        <v>604</v>
      </c>
      <c r="E297" s="19" t="s">
        <v>605</v>
      </c>
      <c r="F297" s="21" t="s">
        <v>179</v>
      </c>
      <c r="G297" s="23">
        <v>24990.0</v>
      </c>
      <c r="H297" s="23">
        <v>11759.0</v>
      </c>
      <c r="I297" s="23">
        <v>3986.0</v>
      </c>
      <c r="J297" s="37"/>
      <c r="K297" s="22"/>
      <c r="L297" s="22">
        <v>3986.0</v>
      </c>
      <c r="M297" s="22">
        <v>4271.0</v>
      </c>
      <c r="N297" s="22">
        <v>4555.0</v>
      </c>
      <c r="O297" s="14"/>
      <c r="P297" s="26">
        <v>0.6</v>
      </c>
      <c r="Q297" s="26">
        <v>0.57</v>
      </c>
      <c r="R297" s="26">
        <v>0.54</v>
      </c>
    </row>
    <row r="298" ht="14.25" customHeight="1">
      <c r="A298" s="18" t="s">
        <v>302</v>
      </c>
      <c r="B298" s="18" t="s">
        <v>598</v>
      </c>
      <c r="C298" s="19" t="s">
        <v>599</v>
      </c>
      <c r="D298" s="20" t="s">
        <v>606</v>
      </c>
      <c r="E298" s="19" t="s">
        <v>607</v>
      </c>
      <c r="F298" s="21" t="s">
        <v>179</v>
      </c>
      <c r="G298" s="23">
        <v>24990.0</v>
      </c>
      <c r="H298" s="23">
        <v>11759.0</v>
      </c>
      <c r="I298" s="23">
        <v>4034.0</v>
      </c>
      <c r="J298" s="37"/>
      <c r="K298" s="22"/>
      <c r="L298" s="22">
        <v>4034.0</v>
      </c>
      <c r="M298" s="22">
        <v>4322.0</v>
      </c>
      <c r="N298" s="22">
        <v>4610.0</v>
      </c>
      <c r="O298" s="14"/>
      <c r="P298" s="26">
        <v>0.59</v>
      </c>
      <c r="Q298" s="26">
        <v>0.56</v>
      </c>
      <c r="R298" s="26">
        <v>0.53</v>
      </c>
    </row>
    <row r="299" ht="14.25" customHeight="1">
      <c r="A299" s="18" t="s">
        <v>302</v>
      </c>
      <c r="B299" s="18" t="s">
        <v>598</v>
      </c>
      <c r="C299" s="19" t="s">
        <v>599</v>
      </c>
      <c r="D299" s="20" t="s">
        <v>608</v>
      </c>
      <c r="E299" s="19" t="s">
        <v>609</v>
      </c>
      <c r="F299" s="21" t="s">
        <v>179</v>
      </c>
      <c r="G299" s="23">
        <v>24990.0</v>
      </c>
      <c r="H299" s="23">
        <v>11759.0</v>
      </c>
      <c r="I299" s="23">
        <v>3828.0</v>
      </c>
      <c r="J299" s="37"/>
      <c r="K299" s="22"/>
      <c r="L299" s="22">
        <v>3828.0</v>
      </c>
      <c r="M299" s="22">
        <v>4101.0</v>
      </c>
      <c r="N299" s="22">
        <v>4375.0</v>
      </c>
      <c r="O299" s="14"/>
      <c r="P299" s="26">
        <v>0.61</v>
      </c>
      <c r="Q299" s="26">
        <v>0.58</v>
      </c>
      <c r="R299" s="26">
        <v>0.56</v>
      </c>
    </row>
    <row r="300" ht="14.25" customHeight="1">
      <c r="A300" s="18" t="s">
        <v>302</v>
      </c>
      <c r="B300" s="18" t="s">
        <v>598</v>
      </c>
      <c r="C300" s="19" t="s">
        <v>599</v>
      </c>
      <c r="D300" s="20" t="s">
        <v>610</v>
      </c>
      <c r="E300" s="19" t="s">
        <v>611</v>
      </c>
      <c r="F300" s="21" t="s">
        <v>179</v>
      </c>
      <c r="G300" s="23">
        <v>24990.0</v>
      </c>
      <c r="H300" s="23">
        <v>11759.0</v>
      </c>
      <c r="I300" s="23">
        <v>3905.0</v>
      </c>
      <c r="J300" s="37"/>
      <c r="K300" s="22"/>
      <c r="L300" s="22">
        <v>3905.0</v>
      </c>
      <c r="M300" s="22">
        <v>4184.0</v>
      </c>
      <c r="N300" s="22">
        <v>4463.0</v>
      </c>
      <c r="O300" s="14"/>
      <c r="P300" s="26">
        <v>0.6</v>
      </c>
      <c r="Q300" s="26">
        <v>0.58</v>
      </c>
      <c r="R300" s="26">
        <v>0.55</v>
      </c>
    </row>
    <row r="301" ht="14.25" customHeight="1">
      <c r="A301" s="18" t="s">
        <v>302</v>
      </c>
      <c r="B301" s="18" t="s">
        <v>598</v>
      </c>
      <c r="C301" s="19" t="s">
        <v>599</v>
      </c>
      <c r="D301" s="20" t="s">
        <v>612</v>
      </c>
      <c r="E301" s="38">
        <v>1.65999E12</v>
      </c>
      <c r="F301" s="21" t="s">
        <v>134</v>
      </c>
      <c r="G301" s="23">
        <v>21990.0</v>
      </c>
      <c r="H301" s="23">
        <v>7641.0</v>
      </c>
      <c r="I301" s="23">
        <v>3637.0</v>
      </c>
      <c r="J301" s="37"/>
      <c r="K301" s="22"/>
      <c r="L301" s="22">
        <v>3637.0</v>
      </c>
      <c r="M301" s="22">
        <v>3897.0</v>
      </c>
      <c r="N301" s="22">
        <v>4157.0</v>
      </c>
      <c r="O301" s="14"/>
      <c r="P301" s="26">
        <v>0.43</v>
      </c>
      <c r="Q301" s="26">
        <v>0.39</v>
      </c>
      <c r="R301" s="26">
        <v>0.35</v>
      </c>
    </row>
    <row r="302" ht="14.25" customHeight="1">
      <c r="A302" s="18" t="s">
        <v>302</v>
      </c>
      <c r="B302" s="18" t="s">
        <v>598</v>
      </c>
      <c r="C302" s="19" t="s">
        <v>599</v>
      </c>
      <c r="D302" s="20" t="s">
        <v>613</v>
      </c>
      <c r="E302" s="38">
        <v>1.65999E12</v>
      </c>
      <c r="F302" s="21" t="s">
        <v>134</v>
      </c>
      <c r="G302" s="23">
        <v>21990.0</v>
      </c>
      <c r="H302" s="23">
        <v>7641.0</v>
      </c>
      <c r="I302" s="23">
        <v>3494.0</v>
      </c>
      <c r="J302" s="37"/>
      <c r="K302" s="22"/>
      <c r="L302" s="22">
        <v>3494.0</v>
      </c>
      <c r="M302" s="22">
        <v>3744.0</v>
      </c>
      <c r="N302" s="22">
        <v>3993.0</v>
      </c>
      <c r="O302" s="14"/>
      <c r="P302" s="26">
        <v>0.46</v>
      </c>
      <c r="Q302" s="26">
        <v>0.42</v>
      </c>
      <c r="R302" s="26">
        <v>0.38</v>
      </c>
    </row>
    <row r="303" ht="14.25" customHeight="1">
      <c r="A303" s="18" t="s">
        <v>302</v>
      </c>
      <c r="B303" s="18" t="s">
        <v>598</v>
      </c>
      <c r="C303" s="19" t="s">
        <v>599</v>
      </c>
      <c r="D303" s="20" t="s">
        <v>614</v>
      </c>
      <c r="E303" s="38">
        <v>6.83133E13</v>
      </c>
      <c r="F303" s="21" t="s">
        <v>134</v>
      </c>
      <c r="G303" s="23">
        <v>21990.0</v>
      </c>
      <c r="H303" s="23">
        <v>7641.0</v>
      </c>
      <c r="I303" s="23">
        <v>3578.0</v>
      </c>
      <c r="J303" s="37"/>
      <c r="K303" s="22"/>
      <c r="L303" s="22">
        <v>3578.0</v>
      </c>
      <c r="M303" s="22">
        <v>3834.0</v>
      </c>
      <c r="N303" s="22">
        <v>4089.0</v>
      </c>
      <c r="O303" s="14"/>
      <c r="P303" s="26">
        <v>0.44</v>
      </c>
      <c r="Q303" s="26">
        <v>0.4</v>
      </c>
      <c r="R303" s="26">
        <v>0.36</v>
      </c>
    </row>
    <row r="304" ht="14.25" customHeight="1">
      <c r="A304" s="18" t="s">
        <v>302</v>
      </c>
      <c r="B304" s="18" t="s">
        <v>598</v>
      </c>
      <c r="C304" s="19" t="s">
        <v>599</v>
      </c>
      <c r="D304" s="20" t="s">
        <v>615</v>
      </c>
      <c r="E304" s="38">
        <v>6.83214E13</v>
      </c>
      <c r="F304" s="21" t="s">
        <v>134</v>
      </c>
      <c r="G304" s="23">
        <v>21990.0</v>
      </c>
      <c r="H304" s="23">
        <v>7641.0</v>
      </c>
      <c r="I304" s="23">
        <v>3550.0</v>
      </c>
      <c r="J304" s="37"/>
      <c r="K304" s="22"/>
      <c r="L304" s="22">
        <v>3550.0</v>
      </c>
      <c r="M304" s="22">
        <v>3804.0</v>
      </c>
      <c r="N304" s="22">
        <v>4057.0</v>
      </c>
      <c r="O304" s="14"/>
      <c r="P304" s="26">
        <v>0.45</v>
      </c>
      <c r="Q304" s="26">
        <v>0.41</v>
      </c>
      <c r="R304" s="26">
        <v>0.37</v>
      </c>
    </row>
    <row r="305" ht="14.25" customHeight="1">
      <c r="A305" s="18" t="s">
        <v>302</v>
      </c>
      <c r="B305" s="18" t="s">
        <v>598</v>
      </c>
      <c r="C305" s="19" t="s">
        <v>599</v>
      </c>
      <c r="D305" s="20" t="s">
        <v>616</v>
      </c>
      <c r="E305" s="19" t="s">
        <v>617</v>
      </c>
      <c r="F305" s="21" t="s">
        <v>134</v>
      </c>
      <c r="G305" s="23">
        <v>19990.0</v>
      </c>
      <c r="H305" s="23">
        <v>7641.0</v>
      </c>
      <c r="I305" s="23">
        <v>3898.0</v>
      </c>
      <c r="J305" s="37"/>
      <c r="K305" s="22"/>
      <c r="L305" s="22">
        <v>3898.0</v>
      </c>
      <c r="M305" s="22">
        <v>4176.0</v>
      </c>
      <c r="N305" s="22">
        <v>4455.0</v>
      </c>
      <c r="O305" s="14"/>
      <c r="P305" s="26">
        <v>0.39</v>
      </c>
      <c r="Q305" s="26">
        <v>0.35</v>
      </c>
      <c r="R305" s="26">
        <v>0.31</v>
      </c>
    </row>
    <row r="306" ht="14.25" customHeight="1">
      <c r="A306" s="18" t="s">
        <v>302</v>
      </c>
      <c r="B306" s="18" t="s">
        <v>598</v>
      </c>
      <c r="C306" s="19" t="s">
        <v>599</v>
      </c>
      <c r="D306" s="20" t="s">
        <v>618</v>
      </c>
      <c r="E306" s="19" t="s">
        <v>619</v>
      </c>
      <c r="F306" s="21" t="s">
        <v>134</v>
      </c>
      <c r="G306" s="23">
        <v>19990.0</v>
      </c>
      <c r="H306" s="23">
        <v>7641.0</v>
      </c>
      <c r="I306" s="23">
        <v>3920.0</v>
      </c>
      <c r="J306" s="37"/>
      <c r="K306" s="22"/>
      <c r="L306" s="22">
        <v>3920.0</v>
      </c>
      <c r="M306" s="22">
        <v>4200.0</v>
      </c>
      <c r="N306" s="22">
        <v>4480.0</v>
      </c>
      <c r="O306" s="14"/>
      <c r="P306" s="26">
        <v>0.39</v>
      </c>
      <c r="Q306" s="26">
        <v>0.35</v>
      </c>
      <c r="R306" s="26">
        <v>0.3</v>
      </c>
    </row>
    <row r="307" ht="14.25" customHeight="1">
      <c r="A307" s="18" t="s">
        <v>302</v>
      </c>
      <c r="B307" s="18" t="s">
        <v>598</v>
      </c>
      <c r="C307" s="19" t="s">
        <v>599</v>
      </c>
      <c r="D307" s="20" t="s">
        <v>620</v>
      </c>
      <c r="E307" s="19" t="s">
        <v>621</v>
      </c>
      <c r="F307" s="21" t="s">
        <v>134</v>
      </c>
      <c r="G307" s="23">
        <v>19990.0</v>
      </c>
      <c r="H307" s="23">
        <v>7641.0</v>
      </c>
      <c r="I307" s="23">
        <v>4236.0</v>
      </c>
      <c r="J307" s="37"/>
      <c r="K307" s="22"/>
      <c r="L307" s="22">
        <v>4236.0</v>
      </c>
      <c r="M307" s="22">
        <v>4539.0</v>
      </c>
      <c r="N307" s="22">
        <v>4841.0</v>
      </c>
      <c r="O307" s="14"/>
      <c r="P307" s="26">
        <v>0.34</v>
      </c>
      <c r="Q307" s="26">
        <v>0.29</v>
      </c>
      <c r="R307" s="26">
        <v>0.25</v>
      </c>
    </row>
    <row r="308" ht="14.25" customHeight="1">
      <c r="A308" s="18" t="s">
        <v>302</v>
      </c>
      <c r="B308" s="18" t="s">
        <v>598</v>
      </c>
      <c r="C308" s="19" t="s">
        <v>599</v>
      </c>
      <c r="D308" s="20" t="s">
        <v>622</v>
      </c>
      <c r="E308" s="19" t="s">
        <v>623</v>
      </c>
      <c r="F308" s="21" t="s">
        <v>134</v>
      </c>
      <c r="G308" s="23">
        <v>19990.0</v>
      </c>
      <c r="H308" s="23">
        <v>7641.0</v>
      </c>
      <c r="I308" s="23">
        <v>3929.0</v>
      </c>
      <c r="J308" s="37"/>
      <c r="K308" s="22"/>
      <c r="L308" s="22">
        <v>3929.0</v>
      </c>
      <c r="M308" s="22">
        <v>4210.0</v>
      </c>
      <c r="N308" s="22">
        <v>4490.0</v>
      </c>
      <c r="O308" s="14"/>
      <c r="P308" s="26">
        <v>0.39</v>
      </c>
      <c r="Q308" s="26">
        <v>0.34</v>
      </c>
      <c r="R308" s="26">
        <v>0.3</v>
      </c>
    </row>
    <row r="309" ht="14.25" customHeight="1">
      <c r="A309" s="18" t="s">
        <v>302</v>
      </c>
      <c r="B309" s="18" t="s">
        <v>598</v>
      </c>
      <c r="C309" s="19" t="s">
        <v>599</v>
      </c>
      <c r="D309" s="20" t="s">
        <v>624</v>
      </c>
      <c r="E309" s="19" t="s">
        <v>625</v>
      </c>
      <c r="F309" s="21" t="s">
        <v>134</v>
      </c>
      <c r="G309" s="23">
        <v>19990.0</v>
      </c>
      <c r="H309" s="23">
        <v>7641.0</v>
      </c>
      <c r="I309" s="23">
        <v>4246.0</v>
      </c>
      <c r="J309" s="37"/>
      <c r="K309" s="22"/>
      <c r="L309" s="22">
        <v>4246.0</v>
      </c>
      <c r="M309" s="22">
        <v>4549.0</v>
      </c>
      <c r="N309" s="22">
        <v>4852.0</v>
      </c>
      <c r="O309" s="14"/>
      <c r="P309" s="26">
        <v>0.34</v>
      </c>
      <c r="Q309" s="26">
        <v>0.29</v>
      </c>
      <c r="R309" s="26">
        <v>0.24</v>
      </c>
    </row>
    <row r="310" ht="14.25" customHeight="1">
      <c r="A310" s="18" t="s">
        <v>302</v>
      </c>
      <c r="B310" s="18" t="s">
        <v>598</v>
      </c>
      <c r="C310" s="19" t="s">
        <v>599</v>
      </c>
      <c r="D310" s="20" t="s">
        <v>626</v>
      </c>
      <c r="E310" s="19" t="s">
        <v>627</v>
      </c>
      <c r="F310" s="21" t="s">
        <v>179</v>
      </c>
      <c r="G310" s="23">
        <v>21990.0</v>
      </c>
      <c r="H310" s="23">
        <v>8818.0</v>
      </c>
      <c r="I310" s="23">
        <v>4357.0</v>
      </c>
      <c r="J310" s="37"/>
      <c r="K310" s="22"/>
      <c r="L310" s="22">
        <v>4357.0</v>
      </c>
      <c r="M310" s="22">
        <v>4668.0</v>
      </c>
      <c r="N310" s="22">
        <v>4980.0</v>
      </c>
      <c r="O310" s="14"/>
      <c r="P310" s="26">
        <v>0.41</v>
      </c>
      <c r="Q310" s="26">
        <v>0.37</v>
      </c>
      <c r="R310" s="26">
        <v>0.33</v>
      </c>
    </row>
    <row r="311" ht="14.25" customHeight="1">
      <c r="A311" s="18" t="s">
        <v>302</v>
      </c>
      <c r="B311" s="18" t="s">
        <v>598</v>
      </c>
      <c r="C311" s="19" t="s">
        <v>599</v>
      </c>
      <c r="D311" s="20" t="s">
        <v>628</v>
      </c>
      <c r="E311" s="19" t="s">
        <v>629</v>
      </c>
      <c r="F311" s="21" t="s">
        <v>179</v>
      </c>
      <c r="G311" s="23">
        <v>21990.0</v>
      </c>
      <c r="H311" s="23">
        <v>8818.0</v>
      </c>
      <c r="I311" s="23">
        <v>4684.0</v>
      </c>
      <c r="J311" s="37"/>
      <c r="K311" s="22"/>
      <c r="L311" s="22">
        <v>4684.0</v>
      </c>
      <c r="M311" s="22">
        <v>5019.0</v>
      </c>
      <c r="N311" s="22">
        <v>5353.0</v>
      </c>
      <c r="O311" s="14"/>
      <c r="P311" s="26">
        <v>0.37</v>
      </c>
      <c r="Q311" s="26">
        <v>0.32</v>
      </c>
      <c r="R311" s="26">
        <v>0.28</v>
      </c>
    </row>
    <row r="312" ht="14.25" customHeight="1">
      <c r="A312" s="18" t="s">
        <v>302</v>
      </c>
      <c r="B312" s="18" t="s">
        <v>598</v>
      </c>
      <c r="C312" s="19" t="s">
        <v>599</v>
      </c>
      <c r="D312" s="20" t="s">
        <v>630</v>
      </c>
      <c r="E312" s="19" t="s">
        <v>631</v>
      </c>
      <c r="F312" s="21" t="s">
        <v>179</v>
      </c>
      <c r="G312" s="23">
        <v>21990.0</v>
      </c>
      <c r="H312" s="23">
        <v>8818.0</v>
      </c>
      <c r="I312" s="23">
        <v>4690.0</v>
      </c>
      <c r="J312" s="37"/>
      <c r="K312" s="22"/>
      <c r="L312" s="22">
        <v>4690.0</v>
      </c>
      <c r="M312" s="22">
        <v>5025.0</v>
      </c>
      <c r="N312" s="22">
        <v>5360.0</v>
      </c>
      <c r="O312" s="14"/>
      <c r="P312" s="26">
        <v>0.37</v>
      </c>
      <c r="Q312" s="26">
        <v>0.32</v>
      </c>
      <c r="R312" s="26">
        <v>0.28</v>
      </c>
    </row>
    <row r="313" ht="14.25" customHeight="1">
      <c r="A313" s="18" t="s">
        <v>302</v>
      </c>
      <c r="B313" s="18" t="s">
        <v>598</v>
      </c>
      <c r="C313" s="19" t="s">
        <v>599</v>
      </c>
      <c r="D313" s="20" t="s">
        <v>632</v>
      </c>
      <c r="E313" s="19" t="s">
        <v>633</v>
      </c>
      <c r="F313" s="21" t="s">
        <v>179</v>
      </c>
      <c r="G313" s="23">
        <v>21990.0</v>
      </c>
      <c r="H313" s="23">
        <v>8818.0</v>
      </c>
      <c r="I313" s="23">
        <v>4758.0</v>
      </c>
      <c r="J313" s="37"/>
      <c r="K313" s="22"/>
      <c r="L313" s="22">
        <v>4758.0</v>
      </c>
      <c r="M313" s="22">
        <v>5098.0</v>
      </c>
      <c r="N313" s="22">
        <v>5438.0</v>
      </c>
      <c r="O313" s="14"/>
      <c r="P313" s="26">
        <v>0.36</v>
      </c>
      <c r="Q313" s="26">
        <v>0.31</v>
      </c>
      <c r="R313" s="26">
        <v>0.27</v>
      </c>
    </row>
    <row r="314" ht="14.25" customHeight="1">
      <c r="A314" s="18" t="s">
        <v>302</v>
      </c>
      <c r="B314" s="18" t="s">
        <v>598</v>
      </c>
      <c r="C314" s="19" t="s">
        <v>599</v>
      </c>
      <c r="D314" s="20" t="s">
        <v>634</v>
      </c>
      <c r="E314" s="19" t="s">
        <v>635</v>
      </c>
      <c r="F314" s="21" t="s">
        <v>179</v>
      </c>
      <c r="G314" s="23">
        <v>21990.0</v>
      </c>
      <c r="H314" s="23">
        <v>8818.0</v>
      </c>
      <c r="I314" s="23">
        <v>4751.0</v>
      </c>
      <c r="J314" s="37"/>
      <c r="K314" s="22"/>
      <c r="L314" s="22">
        <v>4751.0</v>
      </c>
      <c r="M314" s="22">
        <v>5090.0</v>
      </c>
      <c r="N314" s="22">
        <v>5430.0</v>
      </c>
      <c r="O314" s="14"/>
      <c r="P314" s="26">
        <v>0.36</v>
      </c>
      <c r="Q314" s="26">
        <v>0.31</v>
      </c>
      <c r="R314" s="26">
        <v>0.27</v>
      </c>
    </row>
    <row r="315" ht="14.25" customHeight="1">
      <c r="A315" s="18" t="s">
        <v>302</v>
      </c>
      <c r="B315" s="18" t="s">
        <v>598</v>
      </c>
      <c r="C315" s="19" t="s">
        <v>599</v>
      </c>
      <c r="D315" s="20" t="s">
        <v>636</v>
      </c>
      <c r="E315" s="19" t="s">
        <v>637</v>
      </c>
      <c r="F315" s="21" t="s">
        <v>20</v>
      </c>
      <c r="G315" s="23">
        <v>21990.0</v>
      </c>
      <c r="H315" s="23">
        <v>5876.0</v>
      </c>
      <c r="I315" s="23">
        <v>3794.0</v>
      </c>
      <c r="J315" s="37"/>
      <c r="K315" s="22"/>
      <c r="L315" s="22">
        <v>3794.0</v>
      </c>
      <c r="M315" s="22">
        <v>4065.0</v>
      </c>
      <c r="N315" s="22">
        <v>4336.0</v>
      </c>
      <c r="O315" s="14"/>
      <c r="P315" s="26">
        <v>0.23</v>
      </c>
      <c r="Q315" s="26">
        <v>0.18</v>
      </c>
      <c r="R315" s="26">
        <v>0.12</v>
      </c>
    </row>
    <row r="316" ht="14.25" customHeight="1">
      <c r="A316" s="18" t="s">
        <v>302</v>
      </c>
      <c r="B316" s="18" t="s">
        <v>598</v>
      </c>
      <c r="C316" s="19" t="s">
        <v>599</v>
      </c>
      <c r="D316" s="20" t="s">
        <v>638</v>
      </c>
      <c r="E316" s="19" t="s">
        <v>639</v>
      </c>
      <c r="F316" s="21" t="s">
        <v>20</v>
      </c>
      <c r="G316" s="23">
        <v>21990.0</v>
      </c>
      <c r="H316" s="23">
        <v>7641.0</v>
      </c>
      <c r="I316" s="23">
        <v>3794.0</v>
      </c>
      <c r="J316" s="37"/>
      <c r="K316" s="22"/>
      <c r="L316" s="22">
        <v>3794.0</v>
      </c>
      <c r="M316" s="22">
        <v>4065.0</v>
      </c>
      <c r="N316" s="22">
        <v>4336.0</v>
      </c>
      <c r="O316" s="14"/>
      <c r="P316" s="26">
        <v>0.41</v>
      </c>
      <c r="Q316" s="26">
        <v>0.37</v>
      </c>
      <c r="R316" s="26">
        <v>0.32</v>
      </c>
    </row>
    <row r="317" ht="14.25" customHeight="1">
      <c r="A317" s="18" t="s">
        <v>302</v>
      </c>
      <c r="B317" s="18" t="s">
        <v>598</v>
      </c>
      <c r="C317" s="19" t="s">
        <v>599</v>
      </c>
      <c r="D317" s="20" t="s">
        <v>640</v>
      </c>
      <c r="E317" s="19" t="s">
        <v>641</v>
      </c>
      <c r="F317" s="21" t="s">
        <v>20</v>
      </c>
      <c r="G317" s="23">
        <v>21990.0</v>
      </c>
      <c r="H317" s="23">
        <v>7641.0</v>
      </c>
      <c r="I317" s="23">
        <v>3794.0</v>
      </c>
      <c r="J317" s="37"/>
      <c r="K317" s="22"/>
      <c r="L317" s="22">
        <v>3794.0</v>
      </c>
      <c r="M317" s="22">
        <v>4065.0</v>
      </c>
      <c r="N317" s="22">
        <v>4336.0</v>
      </c>
      <c r="O317" s="14"/>
      <c r="P317" s="26">
        <v>0.41</v>
      </c>
      <c r="Q317" s="26">
        <v>0.37</v>
      </c>
      <c r="R317" s="26">
        <v>0.32</v>
      </c>
    </row>
    <row r="318" ht="14.25" customHeight="1">
      <c r="A318" s="18" t="s">
        <v>302</v>
      </c>
      <c r="B318" s="18" t="s">
        <v>598</v>
      </c>
      <c r="C318" s="19" t="s">
        <v>599</v>
      </c>
      <c r="D318" s="20" t="s">
        <v>642</v>
      </c>
      <c r="E318" s="19" t="s">
        <v>643</v>
      </c>
      <c r="F318" s="21" t="s">
        <v>20</v>
      </c>
      <c r="G318" s="23">
        <v>21990.0</v>
      </c>
      <c r="H318" s="23">
        <v>7641.0</v>
      </c>
      <c r="I318" s="23">
        <v>3794.0</v>
      </c>
      <c r="J318" s="37"/>
      <c r="K318" s="22"/>
      <c r="L318" s="22">
        <v>3794.0</v>
      </c>
      <c r="M318" s="22">
        <v>4065.0</v>
      </c>
      <c r="N318" s="22">
        <v>4336.0</v>
      </c>
      <c r="O318" s="14"/>
      <c r="P318" s="26">
        <v>0.41</v>
      </c>
      <c r="Q318" s="26">
        <v>0.37</v>
      </c>
      <c r="R318" s="26">
        <v>0.32</v>
      </c>
    </row>
    <row r="319" ht="14.25" customHeight="1">
      <c r="A319" s="18" t="s">
        <v>302</v>
      </c>
      <c r="B319" s="18" t="s">
        <v>598</v>
      </c>
      <c r="C319" s="19" t="s">
        <v>599</v>
      </c>
      <c r="D319" s="20" t="s">
        <v>644</v>
      </c>
      <c r="E319" s="19" t="s">
        <v>645</v>
      </c>
      <c r="F319" s="21" t="s">
        <v>20</v>
      </c>
      <c r="G319" s="23">
        <v>21990.0</v>
      </c>
      <c r="H319" s="23">
        <v>7641.0</v>
      </c>
      <c r="I319" s="23">
        <v>3794.0</v>
      </c>
      <c r="J319" s="37"/>
      <c r="K319" s="22"/>
      <c r="L319" s="22">
        <v>3794.0</v>
      </c>
      <c r="M319" s="22">
        <v>4065.0</v>
      </c>
      <c r="N319" s="22">
        <v>4336.0</v>
      </c>
      <c r="O319" s="14"/>
      <c r="P319" s="26">
        <v>0.41</v>
      </c>
      <c r="Q319" s="26">
        <v>0.37</v>
      </c>
      <c r="R319" s="26">
        <v>0.32</v>
      </c>
    </row>
    <row r="320" ht="14.25" customHeight="1">
      <c r="A320" s="18" t="s">
        <v>302</v>
      </c>
      <c r="B320" s="18" t="s">
        <v>598</v>
      </c>
      <c r="C320" s="19" t="s">
        <v>599</v>
      </c>
      <c r="D320" s="20" t="s">
        <v>646</v>
      </c>
      <c r="E320" s="19" t="s">
        <v>647</v>
      </c>
      <c r="F320" s="21" t="s">
        <v>20</v>
      </c>
      <c r="G320" s="23">
        <v>21990.0</v>
      </c>
      <c r="H320" s="23">
        <v>7641.0</v>
      </c>
      <c r="I320" s="23">
        <v>3794.0</v>
      </c>
      <c r="J320" s="37"/>
      <c r="K320" s="22"/>
      <c r="L320" s="22">
        <v>3794.0</v>
      </c>
      <c r="M320" s="22">
        <v>4065.0</v>
      </c>
      <c r="N320" s="22">
        <v>4336.0</v>
      </c>
      <c r="O320" s="14"/>
      <c r="P320" s="26">
        <v>0.41</v>
      </c>
      <c r="Q320" s="26">
        <v>0.37</v>
      </c>
      <c r="R320" s="26">
        <v>0.32</v>
      </c>
    </row>
    <row r="321" ht="14.25" customHeight="1">
      <c r="A321" s="18" t="s">
        <v>302</v>
      </c>
      <c r="B321" s="18" t="s">
        <v>598</v>
      </c>
      <c r="C321" s="19" t="s">
        <v>599</v>
      </c>
      <c r="D321" s="20" t="s">
        <v>648</v>
      </c>
      <c r="E321" s="19" t="s">
        <v>649</v>
      </c>
      <c r="F321" s="21" t="s">
        <v>20</v>
      </c>
      <c r="G321" s="23">
        <v>21990.0</v>
      </c>
      <c r="H321" s="23">
        <v>7641.0</v>
      </c>
      <c r="I321" s="23">
        <v>3794.0</v>
      </c>
      <c r="J321" s="37"/>
      <c r="K321" s="22"/>
      <c r="L321" s="22">
        <v>3794.0</v>
      </c>
      <c r="M321" s="22">
        <v>4065.0</v>
      </c>
      <c r="N321" s="22">
        <v>4336.0</v>
      </c>
      <c r="O321" s="14"/>
      <c r="P321" s="26">
        <v>0.41</v>
      </c>
      <c r="Q321" s="26">
        <v>0.37</v>
      </c>
      <c r="R321" s="26">
        <v>0.32</v>
      </c>
    </row>
    <row r="322" ht="14.25" customHeight="1">
      <c r="A322" s="18" t="s">
        <v>302</v>
      </c>
      <c r="B322" s="18" t="s">
        <v>598</v>
      </c>
      <c r="C322" s="19" t="s">
        <v>599</v>
      </c>
      <c r="D322" s="20" t="s">
        <v>650</v>
      </c>
      <c r="E322" s="19" t="s">
        <v>651</v>
      </c>
      <c r="F322" s="21" t="s">
        <v>20</v>
      </c>
      <c r="G322" s="23">
        <v>21990.0</v>
      </c>
      <c r="H322" s="23">
        <v>7641.0</v>
      </c>
      <c r="I322" s="23">
        <v>3794.0</v>
      </c>
      <c r="J322" s="37"/>
      <c r="K322" s="22"/>
      <c r="L322" s="22">
        <v>3794.0</v>
      </c>
      <c r="M322" s="22">
        <v>4065.0</v>
      </c>
      <c r="N322" s="22">
        <v>4336.0</v>
      </c>
      <c r="O322" s="14"/>
      <c r="P322" s="26">
        <v>0.41</v>
      </c>
      <c r="Q322" s="26">
        <v>0.37</v>
      </c>
      <c r="R322" s="26">
        <v>0.32</v>
      </c>
    </row>
    <row r="323" ht="14.25" customHeight="1">
      <c r="A323" s="18" t="s">
        <v>302</v>
      </c>
      <c r="B323" s="18" t="s">
        <v>598</v>
      </c>
      <c r="C323" s="19" t="s">
        <v>599</v>
      </c>
      <c r="D323" s="20" t="s">
        <v>652</v>
      </c>
      <c r="E323" s="19" t="s">
        <v>653</v>
      </c>
      <c r="F323" s="21" t="s">
        <v>179</v>
      </c>
      <c r="G323" s="23">
        <v>19990.0</v>
      </c>
      <c r="H323" s="23">
        <v>7641.0</v>
      </c>
      <c r="I323" s="23">
        <v>3269.0</v>
      </c>
      <c r="J323" s="37"/>
      <c r="K323" s="22"/>
      <c r="L323" s="22">
        <v>3269.0</v>
      </c>
      <c r="M323" s="22">
        <v>3502.0</v>
      </c>
      <c r="N323" s="22">
        <v>3736.0</v>
      </c>
      <c r="O323" s="14"/>
      <c r="P323" s="26">
        <v>0.49</v>
      </c>
      <c r="Q323" s="26">
        <v>0.45</v>
      </c>
      <c r="R323" s="26">
        <v>0.42</v>
      </c>
    </row>
    <row r="324" ht="14.25" customHeight="1">
      <c r="A324" s="18" t="s">
        <v>302</v>
      </c>
      <c r="B324" s="18" t="s">
        <v>598</v>
      </c>
      <c r="C324" s="19" t="s">
        <v>599</v>
      </c>
      <c r="D324" s="20" t="s">
        <v>654</v>
      </c>
      <c r="E324" s="38" t="s">
        <v>655</v>
      </c>
      <c r="F324" s="21" t="s">
        <v>179</v>
      </c>
      <c r="G324" s="23">
        <v>19990.0</v>
      </c>
      <c r="H324" s="23">
        <v>7641.0</v>
      </c>
      <c r="I324" s="23">
        <v>3261.0</v>
      </c>
      <c r="J324" s="37"/>
      <c r="K324" s="22"/>
      <c r="L324" s="22">
        <v>3261.0</v>
      </c>
      <c r="M324" s="22">
        <v>3494.0</v>
      </c>
      <c r="N324" s="22">
        <v>3727.0</v>
      </c>
      <c r="O324" s="14"/>
      <c r="P324" s="26">
        <v>0.49</v>
      </c>
      <c r="Q324" s="26">
        <v>0.46</v>
      </c>
      <c r="R324" s="26">
        <v>0.42</v>
      </c>
    </row>
    <row r="325" ht="14.25" customHeight="1">
      <c r="A325" s="18" t="s">
        <v>302</v>
      </c>
      <c r="B325" s="18" t="s">
        <v>598</v>
      </c>
      <c r="C325" s="19" t="s">
        <v>599</v>
      </c>
      <c r="D325" s="20" t="s">
        <v>656</v>
      </c>
      <c r="E325" s="38" t="s">
        <v>657</v>
      </c>
      <c r="F325" s="21" t="s">
        <v>179</v>
      </c>
      <c r="G325" s="23">
        <v>19990.0</v>
      </c>
      <c r="H325" s="23">
        <v>7641.0</v>
      </c>
      <c r="I325" s="23">
        <v>3275.0</v>
      </c>
      <c r="J325" s="37"/>
      <c r="K325" s="22"/>
      <c r="L325" s="22">
        <v>3275.0</v>
      </c>
      <c r="M325" s="22">
        <v>3509.0</v>
      </c>
      <c r="N325" s="22">
        <v>3743.0</v>
      </c>
      <c r="O325" s="14"/>
      <c r="P325" s="26">
        <v>0.49</v>
      </c>
      <c r="Q325" s="26">
        <v>0.45</v>
      </c>
      <c r="R325" s="26">
        <v>0.42</v>
      </c>
    </row>
    <row r="326" ht="14.25" customHeight="1">
      <c r="A326" s="18" t="s">
        <v>302</v>
      </c>
      <c r="B326" s="18" t="s">
        <v>598</v>
      </c>
      <c r="C326" s="19" t="s">
        <v>599</v>
      </c>
      <c r="D326" s="20" t="s">
        <v>658</v>
      </c>
      <c r="E326" s="19" t="s">
        <v>659</v>
      </c>
      <c r="F326" s="21" t="s">
        <v>179</v>
      </c>
      <c r="G326" s="23">
        <v>19990.0</v>
      </c>
      <c r="H326" s="23">
        <v>7641.0</v>
      </c>
      <c r="I326" s="23">
        <v>3249.0</v>
      </c>
      <c r="J326" s="37"/>
      <c r="K326" s="22"/>
      <c r="L326" s="22">
        <v>3249.0</v>
      </c>
      <c r="M326" s="22">
        <v>3481.0</v>
      </c>
      <c r="N326" s="22">
        <v>3713.0</v>
      </c>
      <c r="O326" s="14"/>
      <c r="P326" s="26">
        <v>0.49</v>
      </c>
      <c r="Q326" s="26">
        <v>0.46</v>
      </c>
      <c r="R326" s="26">
        <v>0.42</v>
      </c>
    </row>
    <row r="327" ht="14.25" customHeight="1">
      <c r="A327" s="18" t="s">
        <v>302</v>
      </c>
      <c r="B327" s="18" t="s">
        <v>598</v>
      </c>
      <c r="C327" s="19" t="s">
        <v>599</v>
      </c>
      <c r="D327" s="20" t="s">
        <v>660</v>
      </c>
      <c r="E327" s="19" t="s">
        <v>661</v>
      </c>
      <c r="F327" s="21" t="s">
        <v>179</v>
      </c>
      <c r="G327" s="23">
        <v>21990.0</v>
      </c>
      <c r="H327" s="23">
        <v>11759.0</v>
      </c>
      <c r="I327" s="23">
        <v>3481.0</v>
      </c>
      <c r="J327" s="37"/>
      <c r="K327" s="22"/>
      <c r="L327" s="22">
        <v>3481.0</v>
      </c>
      <c r="M327" s="22">
        <v>3730.0</v>
      </c>
      <c r="N327" s="22">
        <v>3978.0</v>
      </c>
      <c r="O327" s="14"/>
      <c r="P327" s="26">
        <v>0.65</v>
      </c>
      <c r="Q327" s="26">
        <v>0.62</v>
      </c>
      <c r="R327" s="26">
        <v>0.6</v>
      </c>
    </row>
    <row r="328" ht="14.25" customHeight="1">
      <c r="A328" s="18" t="s">
        <v>302</v>
      </c>
      <c r="B328" s="18" t="s">
        <v>598</v>
      </c>
      <c r="C328" s="19" t="s">
        <v>599</v>
      </c>
      <c r="D328" s="20" t="s">
        <v>662</v>
      </c>
      <c r="E328" s="19" t="s">
        <v>663</v>
      </c>
      <c r="F328" s="21" t="s">
        <v>179</v>
      </c>
      <c r="G328" s="23">
        <v>21990.0</v>
      </c>
      <c r="H328" s="23">
        <v>11759.0</v>
      </c>
      <c r="I328" s="23">
        <v>3502.0</v>
      </c>
      <c r="J328" s="37"/>
      <c r="K328" s="22"/>
      <c r="L328" s="22">
        <v>3502.0</v>
      </c>
      <c r="M328" s="22">
        <v>3752.0</v>
      </c>
      <c r="N328" s="22">
        <v>4002.0</v>
      </c>
      <c r="O328" s="14"/>
      <c r="P328" s="26">
        <v>0.65</v>
      </c>
      <c r="Q328" s="26">
        <v>0.62</v>
      </c>
      <c r="R328" s="26">
        <v>0.59</v>
      </c>
    </row>
    <row r="329" ht="14.25" customHeight="1">
      <c r="A329" s="18" t="s">
        <v>302</v>
      </c>
      <c r="B329" s="18" t="s">
        <v>598</v>
      </c>
      <c r="C329" s="19" t="s">
        <v>599</v>
      </c>
      <c r="D329" s="20" t="s">
        <v>664</v>
      </c>
      <c r="E329" s="38" t="s">
        <v>665</v>
      </c>
      <c r="F329" s="21" t="s">
        <v>179</v>
      </c>
      <c r="G329" s="23">
        <v>21990.0</v>
      </c>
      <c r="H329" s="23">
        <v>11759.0</v>
      </c>
      <c r="I329" s="23">
        <v>3540.0</v>
      </c>
      <c r="J329" s="37"/>
      <c r="K329" s="22"/>
      <c r="L329" s="22">
        <v>3540.0</v>
      </c>
      <c r="M329" s="22">
        <v>3793.0</v>
      </c>
      <c r="N329" s="22">
        <v>4046.0</v>
      </c>
      <c r="O329" s="14"/>
      <c r="P329" s="26">
        <v>0.64</v>
      </c>
      <c r="Q329" s="26">
        <v>0.62</v>
      </c>
      <c r="R329" s="26">
        <v>0.59</v>
      </c>
    </row>
    <row r="330" ht="14.25" customHeight="1">
      <c r="A330" s="18" t="s">
        <v>302</v>
      </c>
      <c r="B330" s="18" t="s">
        <v>598</v>
      </c>
      <c r="C330" s="19" t="s">
        <v>599</v>
      </c>
      <c r="D330" s="20" t="s">
        <v>666</v>
      </c>
      <c r="E330" s="38" t="s">
        <v>667</v>
      </c>
      <c r="F330" s="21" t="s">
        <v>179</v>
      </c>
      <c r="G330" s="23">
        <v>21990.0</v>
      </c>
      <c r="H330" s="23">
        <v>11759.0</v>
      </c>
      <c r="I330" s="23">
        <v>3501.0</v>
      </c>
      <c r="J330" s="37"/>
      <c r="K330" s="22"/>
      <c r="L330" s="22">
        <v>3501.0</v>
      </c>
      <c r="M330" s="22">
        <v>3751.0</v>
      </c>
      <c r="N330" s="22">
        <v>4001.0</v>
      </c>
      <c r="O330" s="14"/>
      <c r="P330" s="26">
        <v>0.65</v>
      </c>
      <c r="Q330" s="26">
        <v>0.62</v>
      </c>
      <c r="R330" s="26">
        <v>0.6</v>
      </c>
    </row>
    <row r="331" ht="14.25" customHeight="1">
      <c r="A331" s="18" t="s">
        <v>302</v>
      </c>
      <c r="B331" s="18" t="s">
        <v>598</v>
      </c>
      <c r="C331" s="19" t="s">
        <v>599</v>
      </c>
      <c r="D331" s="20" t="s">
        <v>668</v>
      </c>
      <c r="E331" s="38" t="s">
        <v>669</v>
      </c>
      <c r="F331" s="21" t="s">
        <v>179</v>
      </c>
      <c r="G331" s="23">
        <v>21990.0</v>
      </c>
      <c r="H331" s="23">
        <v>11759.0</v>
      </c>
      <c r="I331" s="23">
        <v>3502.0</v>
      </c>
      <c r="J331" s="37"/>
      <c r="K331" s="22"/>
      <c r="L331" s="22">
        <v>3502.0</v>
      </c>
      <c r="M331" s="22">
        <v>3752.0</v>
      </c>
      <c r="N331" s="22">
        <v>4002.0</v>
      </c>
      <c r="O331" s="14"/>
      <c r="P331" s="26">
        <v>0.65</v>
      </c>
      <c r="Q331" s="26">
        <v>0.62</v>
      </c>
      <c r="R331" s="26">
        <v>0.59</v>
      </c>
    </row>
    <row r="332" ht="14.25" customHeight="1">
      <c r="A332" s="18" t="s">
        <v>302</v>
      </c>
      <c r="B332" s="18" t="s">
        <v>598</v>
      </c>
      <c r="C332" s="19" t="s">
        <v>599</v>
      </c>
      <c r="D332" s="20" t="s">
        <v>670</v>
      </c>
      <c r="E332" s="38" t="s">
        <v>671</v>
      </c>
      <c r="F332" s="21" t="s">
        <v>179</v>
      </c>
      <c r="G332" s="23">
        <v>4990.0</v>
      </c>
      <c r="H332" s="23">
        <v>2347.0</v>
      </c>
      <c r="I332" s="23">
        <v>853.0</v>
      </c>
      <c r="J332" s="37"/>
      <c r="K332" s="22"/>
      <c r="L332" s="22">
        <v>853.0</v>
      </c>
      <c r="M332" s="22">
        <v>914.0</v>
      </c>
      <c r="N332" s="22">
        <v>975.0</v>
      </c>
      <c r="O332" s="14"/>
      <c r="P332" s="26">
        <v>0.57</v>
      </c>
      <c r="Q332" s="26">
        <v>0.54</v>
      </c>
      <c r="R332" s="26">
        <v>0.51</v>
      </c>
    </row>
    <row r="333" ht="14.25" customHeight="1">
      <c r="A333" s="18" t="s">
        <v>302</v>
      </c>
      <c r="B333" s="18" t="s">
        <v>598</v>
      </c>
      <c r="C333" s="19" t="s">
        <v>599</v>
      </c>
      <c r="D333" s="20" t="s">
        <v>672</v>
      </c>
      <c r="E333" s="38" t="s">
        <v>673</v>
      </c>
      <c r="F333" s="21" t="s">
        <v>179</v>
      </c>
      <c r="G333" s="23">
        <v>4990.0</v>
      </c>
      <c r="H333" s="23">
        <v>2347.0</v>
      </c>
      <c r="I333" s="23">
        <v>859.0</v>
      </c>
      <c r="J333" s="37"/>
      <c r="K333" s="22"/>
      <c r="L333" s="22">
        <v>859.0</v>
      </c>
      <c r="M333" s="22">
        <v>920.0</v>
      </c>
      <c r="N333" s="22">
        <v>982.0</v>
      </c>
      <c r="O333" s="14"/>
      <c r="P333" s="26">
        <v>0.56</v>
      </c>
      <c r="Q333" s="26">
        <v>0.53</v>
      </c>
      <c r="R333" s="26">
        <v>0.5</v>
      </c>
    </row>
    <row r="334" ht="14.25" customHeight="1">
      <c r="A334" s="18" t="s">
        <v>302</v>
      </c>
      <c r="B334" s="18" t="s">
        <v>598</v>
      </c>
      <c r="C334" s="19" t="s">
        <v>599</v>
      </c>
      <c r="D334" s="20" t="s">
        <v>674</v>
      </c>
      <c r="E334" s="38" t="s">
        <v>675</v>
      </c>
      <c r="F334" s="22" t="s">
        <v>20</v>
      </c>
      <c r="G334" s="23">
        <v>21990.0</v>
      </c>
      <c r="H334" s="23">
        <v>8818.0</v>
      </c>
      <c r="I334" s="23">
        <v>5690.0</v>
      </c>
      <c r="J334" s="37"/>
      <c r="K334" s="22"/>
      <c r="L334" s="22">
        <v>5690.0</v>
      </c>
      <c r="M334" s="22">
        <v>6096.0</v>
      </c>
      <c r="N334" s="22">
        <v>6503.0</v>
      </c>
      <c r="O334" s="14"/>
      <c r="P334" s="26">
        <v>0.23</v>
      </c>
      <c r="Q334" s="26">
        <v>0.18</v>
      </c>
      <c r="R334" s="26">
        <v>0.12</v>
      </c>
    </row>
    <row r="335" ht="14.25" customHeight="1">
      <c r="A335" s="18" t="s">
        <v>302</v>
      </c>
      <c r="B335" s="18" t="s">
        <v>598</v>
      </c>
      <c r="C335" s="19" t="s">
        <v>599</v>
      </c>
      <c r="D335" s="20" t="s">
        <v>676</v>
      </c>
      <c r="E335" s="38" t="s">
        <v>677</v>
      </c>
      <c r="F335" s="22" t="s">
        <v>20</v>
      </c>
      <c r="G335" s="23">
        <v>21990.0</v>
      </c>
      <c r="H335" s="23">
        <v>8818.0</v>
      </c>
      <c r="I335" s="23">
        <v>5690.0</v>
      </c>
      <c r="J335" s="37"/>
      <c r="K335" s="22"/>
      <c r="L335" s="22">
        <v>5690.0</v>
      </c>
      <c r="M335" s="22">
        <v>6096.0</v>
      </c>
      <c r="N335" s="22">
        <v>6503.0</v>
      </c>
      <c r="O335" s="14"/>
      <c r="P335" s="26">
        <v>0.23</v>
      </c>
      <c r="Q335" s="26">
        <v>0.18</v>
      </c>
      <c r="R335" s="26">
        <v>0.12</v>
      </c>
    </row>
    <row r="336" ht="14.25" customHeight="1">
      <c r="A336" s="18" t="s">
        <v>302</v>
      </c>
      <c r="B336" s="18" t="s">
        <v>598</v>
      </c>
      <c r="C336" s="19" t="s">
        <v>599</v>
      </c>
      <c r="D336" s="20" t="s">
        <v>678</v>
      </c>
      <c r="E336" s="38" t="s">
        <v>679</v>
      </c>
      <c r="F336" s="22" t="s">
        <v>20</v>
      </c>
      <c r="G336" s="23">
        <v>21990.0</v>
      </c>
      <c r="H336" s="23">
        <v>8818.0</v>
      </c>
      <c r="I336" s="23">
        <v>5690.0</v>
      </c>
      <c r="J336" s="37"/>
      <c r="K336" s="22"/>
      <c r="L336" s="22">
        <v>5690.0</v>
      </c>
      <c r="M336" s="22">
        <v>6096.0</v>
      </c>
      <c r="N336" s="22">
        <v>6503.0</v>
      </c>
      <c r="O336" s="14"/>
      <c r="P336" s="26">
        <v>0.23</v>
      </c>
      <c r="Q336" s="26">
        <v>0.18</v>
      </c>
      <c r="R336" s="26">
        <v>0.12</v>
      </c>
    </row>
    <row r="337" ht="14.25" customHeight="1">
      <c r="A337" s="18" t="s">
        <v>302</v>
      </c>
      <c r="B337" s="18" t="s">
        <v>598</v>
      </c>
      <c r="C337" s="19" t="s">
        <v>599</v>
      </c>
      <c r="D337" s="20" t="s">
        <v>680</v>
      </c>
      <c r="E337" s="38" t="s">
        <v>681</v>
      </c>
      <c r="F337" s="22" t="s">
        <v>20</v>
      </c>
      <c r="G337" s="23">
        <v>21990.0</v>
      </c>
      <c r="H337" s="23">
        <v>8818.0</v>
      </c>
      <c r="I337" s="23">
        <v>5690.0</v>
      </c>
      <c r="J337" s="37"/>
      <c r="K337" s="22"/>
      <c r="L337" s="22">
        <v>5690.0</v>
      </c>
      <c r="M337" s="22">
        <v>6096.0</v>
      </c>
      <c r="N337" s="22">
        <v>6503.0</v>
      </c>
      <c r="O337" s="14"/>
      <c r="P337" s="26">
        <v>0.23</v>
      </c>
      <c r="Q337" s="26">
        <v>0.18</v>
      </c>
      <c r="R337" s="26">
        <v>0.12</v>
      </c>
    </row>
    <row r="338" ht="14.25" customHeight="1">
      <c r="A338" s="18" t="s">
        <v>302</v>
      </c>
      <c r="B338" s="18" t="s">
        <v>598</v>
      </c>
      <c r="C338" s="19" t="s">
        <v>599</v>
      </c>
      <c r="D338" s="20" t="s">
        <v>682</v>
      </c>
      <c r="E338" s="38" t="s">
        <v>683</v>
      </c>
      <c r="F338" s="22" t="s">
        <v>20</v>
      </c>
      <c r="G338" s="23">
        <v>21990.0</v>
      </c>
      <c r="H338" s="23">
        <v>8818.0</v>
      </c>
      <c r="I338" s="23">
        <v>5690.0</v>
      </c>
      <c r="J338" s="37"/>
      <c r="K338" s="22"/>
      <c r="L338" s="22">
        <v>5690.0</v>
      </c>
      <c r="M338" s="22">
        <v>6096.0</v>
      </c>
      <c r="N338" s="22">
        <v>6503.0</v>
      </c>
      <c r="O338" s="14"/>
      <c r="P338" s="26">
        <v>0.23</v>
      </c>
      <c r="Q338" s="26">
        <v>0.18</v>
      </c>
      <c r="R338" s="26">
        <v>0.12</v>
      </c>
    </row>
    <row r="339" ht="14.25" customHeight="1">
      <c r="A339" s="18" t="s">
        <v>302</v>
      </c>
      <c r="B339" s="18" t="s">
        <v>598</v>
      </c>
      <c r="C339" s="19" t="s">
        <v>599</v>
      </c>
      <c r="D339" s="20" t="s">
        <v>684</v>
      </c>
      <c r="E339" s="38" t="s">
        <v>685</v>
      </c>
      <c r="F339" s="22" t="s">
        <v>20</v>
      </c>
      <c r="G339" s="23">
        <v>19990.0</v>
      </c>
      <c r="H339" s="23">
        <v>7641.0</v>
      </c>
      <c r="I339" s="23">
        <v>4188.0</v>
      </c>
      <c r="J339" s="37"/>
      <c r="K339" s="22"/>
      <c r="L339" s="22">
        <v>4188.0</v>
      </c>
      <c r="M339" s="22">
        <v>4487.0</v>
      </c>
      <c r="N339" s="22">
        <v>4786.0</v>
      </c>
      <c r="O339" s="14"/>
      <c r="P339" s="26">
        <v>0.35</v>
      </c>
      <c r="Q339" s="26">
        <v>0.3</v>
      </c>
      <c r="R339" s="26">
        <v>0.25</v>
      </c>
    </row>
    <row r="340" ht="14.25" customHeight="1">
      <c r="A340" s="18" t="s">
        <v>302</v>
      </c>
      <c r="B340" s="18" t="s">
        <v>598</v>
      </c>
      <c r="C340" s="19" t="s">
        <v>599</v>
      </c>
      <c r="D340" s="20" t="s">
        <v>686</v>
      </c>
      <c r="E340" s="38" t="s">
        <v>687</v>
      </c>
      <c r="F340" s="22" t="s">
        <v>20</v>
      </c>
      <c r="G340" s="23">
        <v>19990.0</v>
      </c>
      <c r="H340" s="23">
        <v>7641.0</v>
      </c>
      <c r="I340" s="23">
        <v>4188.0</v>
      </c>
      <c r="J340" s="37"/>
      <c r="K340" s="22"/>
      <c r="L340" s="22">
        <v>4188.0</v>
      </c>
      <c r="M340" s="22">
        <v>4487.0</v>
      </c>
      <c r="N340" s="22">
        <v>4786.0</v>
      </c>
      <c r="O340" s="14"/>
      <c r="P340" s="26">
        <v>0.35</v>
      </c>
      <c r="Q340" s="26">
        <v>0.3</v>
      </c>
      <c r="R340" s="26">
        <v>0.25</v>
      </c>
    </row>
    <row r="341" ht="14.25" customHeight="1">
      <c r="A341" s="18" t="s">
        <v>302</v>
      </c>
      <c r="B341" s="18" t="s">
        <v>598</v>
      </c>
      <c r="C341" s="19" t="s">
        <v>599</v>
      </c>
      <c r="D341" s="20" t="s">
        <v>688</v>
      </c>
      <c r="E341" s="38" t="s">
        <v>689</v>
      </c>
      <c r="F341" s="22" t="s">
        <v>20</v>
      </c>
      <c r="G341" s="23">
        <v>19990.0</v>
      </c>
      <c r="H341" s="23">
        <v>7641.0</v>
      </c>
      <c r="I341" s="23">
        <v>4188.0</v>
      </c>
      <c r="J341" s="37"/>
      <c r="K341" s="22"/>
      <c r="L341" s="22">
        <v>4188.0</v>
      </c>
      <c r="M341" s="22">
        <v>4487.0</v>
      </c>
      <c r="N341" s="22">
        <v>4786.0</v>
      </c>
      <c r="O341" s="14"/>
      <c r="P341" s="26">
        <v>0.35</v>
      </c>
      <c r="Q341" s="26">
        <v>0.3</v>
      </c>
      <c r="R341" s="26">
        <v>0.25</v>
      </c>
    </row>
    <row r="342" ht="14.25" customHeight="1">
      <c r="A342" s="18" t="s">
        <v>302</v>
      </c>
      <c r="B342" s="18" t="s">
        <v>598</v>
      </c>
      <c r="C342" s="19" t="s">
        <v>599</v>
      </c>
      <c r="D342" s="29" t="s">
        <v>690</v>
      </c>
      <c r="E342" s="39" t="s">
        <v>691</v>
      </c>
      <c r="F342" s="22" t="s">
        <v>20</v>
      </c>
      <c r="G342" s="23">
        <v>24990.0</v>
      </c>
      <c r="H342" s="23">
        <v>9994.0</v>
      </c>
      <c r="I342" s="23">
        <v>4282.0</v>
      </c>
      <c r="J342" s="37"/>
      <c r="K342" s="22"/>
      <c r="L342" s="22">
        <v>4282.0</v>
      </c>
      <c r="M342" s="22">
        <v>4588.0</v>
      </c>
      <c r="N342" s="22">
        <v>4894.0</v>
      </c>
      <c r="O342" s="14"/>
      <c r="P342" s="26">
        <v>0.49</v>
      </c>
      <c r="Q342" s="26">
        <v>0.45</v>
      </c>
      <c r="R342" s="26">
        <v>0.42</v>
      </c>
    </row>
    <row r="343" ht="14.25" customHeight="1">
      <c r="A343" s="18" t="s">
        <v>302</v>
      </c>
      <c r="B343" s="18" t="s">
        <v>598</v>
      </c>
      <c r="C343" s="19" t="s">
        <v>599</v>
      </c>
      <c r="D343" s="29" t="s">
        <v>692</v>
      </c>
      <c r="E343" s="39" t="s">
        <v>693</v>
      </c>
      <c r="F343" s="22" t="s">
        <v>20</v>
      </c>
      <c r="G343" s="23">
        <v>24990.0</v>
      </c>
      <c r="H343" s="23">
        <v>9994.0</v>
      </c>
      <c r="I343" s="23">
        <v>4073.0</v>
      </c>
      <c r="J343" s="37"/>
      <c r="K343" s="22"/>
      <c r="L343" s="22">
        <v>4073.0</v>
      </c>
      <c r="M343" s="22">
        <v>4364.0</v>
      </c>
      <c r="N343" s="22">
        <v>4655.0</v>
      </c>
      <c r="O343" s="14"/>
      <c r="P343" s="26">
        <v>0.52</v>
      </c>
      <c r="Q343" s="26">
        <v>0.48</v>
      </c>
      <c r="R343" s="26">
        <v>0.45</v>
      </c>
    </row>
    <row r="344" ht="14.25" customHeight="1">
      <c r="A344" s="18" t="s">
        <v>302</v>
      </c>
      <c r="B344" s="18" t="s">
        <v>598</v>
      </c>
      <c r="C344" s="19" t="s">
        <v>599</v>
      </c>
      <c r="D344" s="29" t="s">
        <v>694</v>
      </c>
      <c r="E344" s="39" t="s">
        <v>695</v>
      </c>
      <c r="F344" s="22" t="s">
        <v>20</v>
      </c>
      <c r="G344" s="23">
        <v>24990.0</v>
      </c>
      <c r="H344" s="23">
        <v>9994.0</v>
      </c>
      <c r="I344" s="23">
        <v>4133.0</v>
      </c>
      <c r="J344" s="37"/>
      <c r="K344" s="22"/>
      <c r="L344" s="22">
        <v>4133.0</v>
      </c>
      <c r="M344" s="22">
        <v>4428.0</v>
      </c>
      <c r="N344" s="22">
        <v>4723.0</v>
      </c>
      <c r="O344" s="14"/>
      <c r="P344" s="26">
        <v>0.51</v>
      </c>
      <c r="Q344" s="26">
        <v>0.47</v>
      </c>
      <c r="R344" s="26">
        <v>0.44</v>
      </c>
    </row>
    <row r="345" ht="14.25" customHeight="1">
      <c r="A345" s="18" t="s">
        <v>302</v>
      </c>
      <c r="B345" s="18" t="s">
        <v>598</v>
      </c>
      <c r="C345" s="19" t="s">
        <v>599</v>
      </c>
      <c r="D345" s="29" t="s">
        <v>696</v>
      </c>
      <c r="E345" s="39" t="s">
        <v>697</v>
      </c>
      <c r="F345" s="22" t="s">
        <v>20</v>
      </c>
      <c r="G345" s="23">
        <v>24990.0</v>
      </c>
      <c r="H345" s="23">
        <v>9994.0</v>
      </c>
      <c r="I345" s="23">
        <v>4291.0</v>
      </c>
      <c r="J345" s="37"/>
      <c r="K345" s="22"/>
      <c r="L345" s="22">
        <v>4291.0</v>
      </c>
      <c r="M345" s="22">
        <v>4597.0</v>
      </c>
      <c r="N345" s="22">
        <v>4904.0</v>
      </c>
      <c r="O345" s="14"/>
      <c r="P345" s="26">
        <v>0.49</v>
      </c>
      <c r="Q345" s="26">
        <v>0.45</v>
      </c>
      <c r="R345" s="26">
        <v>0.42</v>
      </c>
    </row>
    <row r="346" ht="14.25" customHeight="1">
      <c r="A346" s="18" t="s">
        <v>302</v>
      </c>
      <c r="B346" s="18" t="s">
        <v>598</v>
      </c>
      <c r="C346" s="19" t="s">
        <v>599</v>
      </c>
      <c r="D346" s="29" t="s">
        <v>698</v>
      </c>
      <c r="E346" s="39" t="s">
        <v>699</v>
      </c>
      <c r="F346" s="22" t="s">
        <v>20</v>
      </c>
      <c r="G346" s="23">
        <v>24990.0</v>
      </c>
      <c r="H346" s="23">
        <v>9994.0</v>
      </c>
      <c r="I346" s="23">
        <v>4158.0</v>
      </c>
      <c r="J346" s="37"/>
      <c r="K346" s="22"/>
      <c r="L346" s="22">
        <v>4158.0</v>
      </c>
      <c r="M346" s="22">
        <v>4455.0</v>
      </c>
      <c r="N346" s="22">
        <v>4752.0</v>
      </c>
      <c r="O346" s="14"/>
      <c r="P346" s="26">
        <v>0.5</v>
      </c>
      <c r="Q346" s="26">
        <v>0.47</v>
      </c>
      <c r="R346" s="26">
        <v>0.43</v>
      </c>
    </row>
    <row r="347" ht="14.25" customHeight="1">
      <c r="A347" s="18" t="s">
        <v>302</v>
      </c>
      <c r="B347" s="18" t="s">
        <v>598</v>
      </c>
      <c r="C347" s="19" t="s">
        <v>599</v>
      </c>
      <c r="D347" s="29" t="s">
        <v>700</v>
      </c>
      <c r="E347" s="39" t="s">
        <v>701</v>
      </c>
      <c r="F347" s="22" t="s">
        <v>20</v>
      </c>
      <c r="G347" s="23">
        <v>24990.0</v>
      </c>
      <c r="H347" s="23">
        <v>9994.0</v>
      </c>
      <c r="I347" s="23">
        <v>4319.0</v>
      </c>
      <c r="J347" s="37"/>
      <c r="K347" s="22"/>
      <c r="L347" s="22">
        <v>4319.0</v>
      </c>
      <c r="M347" s="22">
        <v>4627.0</v>
      </c>
      <c r="N347" s="22">
        <v>4936.0</v>
      </c>
      <c r="O347" s="14"/>
      <c r="P347" s="26">
        <v>0.49</v>
      </c>
      <c r="Q347" s="26">
        <v>0.45</v>
      </c>
      <c r="R347" s="26">
        <v>0.41</v>
      </c>
    </row>
    <row r="348" ht="14.25" customHeight="1">
      <c r="A348" s="18" t="s">
        <v>302</v>
      </c>
      <c r="B348" s="18" t="s">
        <v>598</v>
      </c>
      <c r="C348" s="19" t="s">
        <v>599</v>
      </c>
      <c r="D348" s="29" t="s">
        <v>702</v>
      </c>
      <c r="E348" s="39" t="s">
        <v>703</v>
      </c>
      <c r="F348" s="22" t="s">
        <v>193</v>
      </c>
      <c r="G348" s="23">
        <v>119990.0</v>
      </c>
      <c r="H348" s="23">
        <v>52935.0</v>
      </c>
      <c r="I348" s="23">
        <v>30268.0</v>
      </c>
      <c r="J348" s="37"/>
      <c r="K348" s="22"/>
      <c r="L348" s="22">
        <v>30268.0</v>
      </c>
      <c r="M348" s="22">
        <v>32430.0</v>
      </c>
      <c r="N348" s="22">
        <v>34592.0</v>
      </c>
      <c r="O348" s="14"/>
      <c r="P348" s="26">
        <v>0.32</v>
      </c>
      <c r="Q348" s="26">
        <v>0.27</v>
      </c>
      <c r="R348" s="26">
        <v>0.22</v>
      </c>
    </row>
    <row r="349" ht="14.25" customHeight="1">
      <c r="A349" s="18" t="s">
        <v>302</v>
      </c>
      <c r="B349" s="18" t="s">
        <v>598</v>
      </c>
      <c r="C349" s="19" t="s">
        <v>704</v>
      </c>
      <c r="D349" s="20" t="s">
        <v>705</v>
      </c>
      <c r="E349" s="38" t="s">
        <v>706</v>
      </c>
      <c r="F349" s="21" t="s">
        <v>179</v>
      </c>
      <c r="G349" s="23">
        <v>16990.0</v>
      </c>
      <c r="H349" s="23">
        <v>7641.0</v>
      </c>
      <c r="I349" s="23">
        <v>2973.0</v>
      </c>
      <c r="J349" s="37"/>
      <c r="K349" s="22"/>
      <c r="L349" s="22">
        <v>2973.0</v>
      </c>
      <c r="M349" s="22">
        <v>3185.0</v>
      </c>
      <c r="N349" s="22">
        <v>3398.0</v>
      </c>
      <c r="O349" s="14"/>
      <c r="P349" s="26">
        <v>0.54</v>
      </c>
      <c r="Q349" s="26">
        <v>0.5</v>
      </c>
      <c r="R349" s="26">
        <v>0.47</v>
      </c>
    </row>
    <row r="350" ht="14.25" customHeight="1">
      <c r="A350" s="18" t="s">
        <v>302</v>
      </c>
      <c r="B350" s="18" t="s">
        <v>598</v>
      </c>
      <c r="C350" s="19" t="s">
        <v>704</v>
      </c>
      <c r="D350" s="20" t="s">
        <v>707</v>
      </c>
      <c r="E350" s="38" t="s">
        <v>708</v>
      </c>
      <c r="F350" s="21" t="s">
        <v>179</v>
      </c>
      <c r="G350" s="23">
        <v>16990.0</v>
      </c>
      <c r="H350" s="23">
        <v>7641.0</v>
      </c>
      <c r="I350" s="23">
        <v>2903.0</v>
      </c>
      <c r="J350" s="37"/>
      <c r="K350" s="22"/>
      <c r="L350" s="22">
        <v>2903.0</v>
      </c>
      <c r="M350" s="22">
        <v>3110.0</v>
      </c>
      <c r="N350" s="22">
        <v>3318.0</v>
      </c>
      <c r="O350" s="14"/>
      <c r="P350" s="26">
        <v>0.55</v>
      </c>
      <c r="Q350" s="26">
        <v>0.52</v>
      </c>
      <c r="R350" s="26">
        <v>0.48</v>
      </c>
    </row>
    <row r="351" ht="14.25" customHeight="1">
      <c r="A351" s="18" t="s">
        <v>302</v>
      </c>
      <c r="B351" s="18" t="s">
        <v>598</v>
      </c>
      <c r="C351" s="19" t="s">
        <v>704</v>
      </c>
      <c r="D351" s="20" t="s">
        <v>709</v>
      </c>
      <c r="E351" s="38" t="s">
        <v>710</v>
      </c>
      <c r="F351" s="21" t="s">
        <v>179</v>
      </c>
      <c r="G351" s="23">
        <v>16990.0</v>
      </c>
      <c r="H351" s="23">
        <v>7641.0</v>
      </c>
      <c r="I351" s="23">
        <v>2743.0</v>
      </c>
      <c r="J351" s="37"/>
      <c r="K351" s="22"/>
      <c r="L351" s="22">
        <v>2743.0</v>
      </c>
      <c r="M351" s="22">
        <v>2939.0</v>
      </c>
      <c r="N351" s="22">
        <v>3135.0</v>
      </c>
      <c r="O351" s="14"/>
      <c r="P351" s="26">
        <v>0.57</v>
      </c>
      <c r="Q351" s="26">
        <v>0.54</v>
      </c>
      <c r="R351" s="26">
        <v>0.51</v>
      </c>
    </row>
    <row r="352" ht="14.25" customHeight="1">
      <c r="A352" s="18" t="s">
        <v>302</v>
      </c>
      <c r="B352" s="18" t="s">
        <v>598</v>
      </c>
      <c r="C352" s="19" t="s">
        <v>704</v>
      </c>
      <c r="D352" s="20" t="s">
        <v>711</v>
      </c>
      <c r="E352" s="38" t="s">
        <v>712</v>
      </c>
      <c r="F352" s="21" t="s">
        <v>179</v>
      </c>
      <c r="G352" s="23">
        <v>16990.0</v>
      </c>
      <c r="H352" s="23">
        <v>7641.0</v>
      </c>
      <c r="I352" s="23">
        <v>2990.0</v>
      </c>
      <c r="J352" s="37"/>
      <c r="K352" s="22"/>
      <c r="L352" s="22">
        <v>2990.0</v>
      </c>
      <c r="M352" s="22">
        <v>3204.0</v>
      </c>
      <c r="N352" s="22">
        <v>3417.0</v>
      </c>
      <c r="O352" s="14"/>
      <c r="P352" s="26">
        <v>0.53</v>
      </c>
      <c r="Q352" s="26">
        <v>0.5</v>
      </c>
      <c r="R352" s="26">
        <v>0.47</v>
      </c>
    </row>
    <row r="353" ht="14.25" customHeight="1">
      <c r="A353" s="18" t="s">
        <v>302</v>
      </c>
      <c r="B353" s="18" t="s">
        <v>598</v>
      </c>
      <c r="C353" s="19" t="s">
        <v>704</v>
      </c>
      <c r="D353" s="20" t="s">
        <v>713</v>
      </c>
      <c r="E353" s="38" t="s">
        <v>714</v>
      </c>
      <c r="F353" s="21" t="s">
        <v>179</v>
      </c>
      <c r="G353" s="23">
        <v>16990.0</v>
      </c>
      <c r="H353" s="23">
        <v>7641.0</v>
      </c>
      <c r="I353" s="23">
        <v>2826.0</v>
      </c>
      <c r="J353" s="37"/>
      <c r="K353" s="22"/>
      <c r="L353" s="22">
        <v>2826.0</v>
      </c>
      <c r="M353" s="22">
        <v>3028.0</v>
      </c>
      <c r="N353" s="22">
        <v>3230.0</v>
      </c>
      <c r="O353" s="14"/>
      <c r="P353" s="26">
        <v>0.56</v>
      </c>
      <c r="Q353" s="26">
        <v>0.53</v>
      </c>
      <c r="R353" s="26">
        <v>0.5</v>
      </c>
    </row>
    <row r="354" ht="14.25" customHeight="1">
      <c r="A354" s="18" t="s">
        <v>302</v>
      </c>
      <c r="B354" s="18" t="s">
        <v>598</v>
      </c>
      <c r="C354" s="19" t="s">
        <v>704</v>
      </c>
      <c r="D354" s="20" t="s">
        <v>715</v>
      </c>
      <c r="E354" s="38" t="s">
        <v>716</v>
      </c>
      <c r="F354" s="21" t="s">
        <v>179</v>
      </c>
      <c r="G354" s="23">
        <v>16990.0</v>
      </c>
      <c r="H354" s="23">
        <v>7641.0</v>
      </c>
      <c r="I354" s="23">
        <v>2934.0</v>
      </c>
      <c r="J354" s="37"/>
      <c r="K354" s="22"/>
      <c r="L354" s="22">
        <v>2934.0</v>
      </c>
      <c r="M354" s="22">
        <v>3144.0</v>
      </c>
      <c r="N354" s="22">
        <v>3353.0</v>
      </c>
      <c r="O354" s="14"/>
      <c r="P354" s="26">
        <v>0.54</v>
      </c>
      <c r="Q354" s="26">
        <v>0.51</v>
      </c>
      <c r="R354" s="26">
        <v>0.48</v>
      </c>
    </row>
    <row r="355" ht="14.25" customHeight="1">
      <c r="A355" s="18" t="s">
        <v>302</v>
      </c>
      <c r="B355" s="18" t="s">
        <v>598</v>
      </c>
      <c r="C355" s="19" t="s">
        <v>704</v>
      </c>
      <c r="D355" s="20" t="s">
        <v>717</v>
      </c>
      <c r="E355" s="38" t="s">
        <v>718</v>
      </c>
      <c r="F355" s="21" t="s">
        <v>179</v>
      </c>
      <c r="G355" s="23">
        <v>14990.0</v>
      </c>
      <c r="H355" s="23">
        <v>7641.0</v>
      </c>
      <c r="I355" s="23">
        <v>3052.0</v>
      </c>
      <c r="J355" s="37"/>
      <c r="K355" s="22"/>
      <c r="L355" s="22">
        <v>3052.0</v>
      </c>
      <c r="M355" s="22">
        <v>3270.0</v>
      </c>
      <c r="N355" s="22">
        <v>3488.0</v>
      </c>
      <c r="O355" s="14"/>
      <c r="P355" s="26">
        <v>0.52</v>
      </c>
      <c r="Q355" s="26">
        <v>0.49</v>
      </c>
      <c r="R355" s="26">
        <v>0.46</v>
      </c>
    </row>
    <row r="356" ht="14.25" customHeight="1">
      <c r="A356" s="18" t="s">
        <v>302</v>
      </c>
      <c r="B356" s="18" t="s">
        <v>598</v>
      </c>
      <c r="C356" s="19" t="s">
        <v>704</v>
      </c>
      <c r="D356" s="20" t="s">
        <v>719</v>
      </c>
      <c r="E356" s="38" t="s">
        <v>720</v>
      </c>
      <c r="F356" s="21" t="s">
        <v>179</v>
      </c>
      <c r="G356" s="23">
        <v>14990.0</v>
      </c>
      <c r="H356" s="23">
        <v>7641.0</v>
      </c>
      <c r="I356" s="23">
        <v>3064.0</v>
      </c>
      <c r="J356" s="37"/>
      <c r="K356" s="22"/>
      <c r="L356" s="22">
        <v>3064.0</v>
      </c>
      <c r="M356" s="22">
        <v>3283.0</v>
      </c>
      <c r="N356" s="22">
        <v>3502.0</v>
      </c>
      <c r="O356" s="14"/>
      <c r="P356" s="26">
        <v>0.52</v>
      </c>
      <c r="Q356" s="26">
        <v>0.49</v>
      </c>
      <c r="R356" s="26">
        <v>0.45</v>
      </c>
    </row>
    <row r="357" ht="14.25" customHeight="1">
      <c r="A357" s="18" t="s">
        <v>302</v>
      </c>
      <c r="B357" s="18" t="s">
        <v>598</v>
      </c>
      <c r="C357" s="19" t="s">
        <v>704</v>
      </c>
      <c r="D357" s="20" t="s">
        <v>721</v>
      </c>
      <c r="E357" s="19" t="s">
        <v>722</v>
      </c>
      <c r="F357" s="21" t="s">
        <v>179</v>
      </c>
      <c r="G357" s="23">
        <v>14990.0</v>
      </c>
      <c r="H357" s="23">
        <v>7641.0</v>
      </c>
      <c r="I357" s="23">
        <v>3053.0</v>
      </c>
      <c r="J357" s="37"/>
      <c r="K357" s="22"/>
      <c r="L357" s="22">
        <v>3053.0</v>
      </c>
      <c r="M357" s="22">
        <v>3271.0</v>
      </c>
      <c r="N357" s="22">
        <v>3489.0</v>
      </c>
      <c r="O357" s="14"/>
      <c r="P357" s="26">
        <v>0.52</v>
      </c>
      <c r="Q357" s="26">
        <v>0.49</v>
      </c>
      <c r="R357" s="26">
        <v>0.46</v>
      </c>
    </row>
    <row r="358" ht="14.25" customHeight="1">
      <c r="A358" s="18" t="s">
        <v>302</v>
      </c>
      <c r="B358" s="18" t="s">
        <v>598</v>
      </c>
      <c r="C358" s="19" t="s">
        <v>704</v>
      </c>
      <c r="D358" s="20" t="s">
        <v>723</v>
      </c>
      <c r="E358" s="19" t="s">
        <v>724</v>
      </c>
      <c r="F358" s="21" t="s">
        <v>179</v>
      </c>
      <c r="G358" s="23">
        <v>14990.0</v>
      </c>
      <c r="H358" s="23">
        <v>7641.0</v>
      </c>
      <c r="I358" s="23">
        <v>3062.0</v>
      </c>
      <c r="J358" s="37"/>
      <c r="K358" s="22"/>
      <c r="L358" s="22">
        <v>3062.0</v>
      </c>
      <c r="M358" s="22">
        <v>3281.0</v>
      </c>
      <c r="N358" s="22">
        <v>3499.0</v>
      </c>
      <c r="O358" s="14"/>
      <c r="P358" s="26">
        <v>0.52</v>
      </c>
      <c r="Q358" s="26">
        <v>0.49</v>
      </c>
      <c r="R358" s="26">
        <v>0.46</v>
      </c>
    </row>
    <row r="359" ht="14.25" customHeight="1">
      <c r="A359" s="18" t="s">
        <v>302</v>
      </c>
      <c r="B359" s="18" t="s">
        <v>598</v>
      </c>
      <c r="C359" s="19" t="s">
        <v>704</v>
      </c>
      <c r="D359" s="20" t="s">
        <v>725</v>
      </c>
      <c r="E359" s="19" t="s">
        <v>726</v>
      </c>
      <c r="F359" s="21" t="s">
        <v>179</v>
      </c>
      <c r="G359" s="23">
        <v>16990.0</v>
      </c>
      <c r="H359" s="23">
        <v>5288.0</v>
      </c>
      <c r="I359" s="23">
        <v>2873.0</v>
      </c>
      <c r="J359" s="37"/>
      <c r="K359" s="22"/>
      <c r="L359" s="22">
        <v>2873.0</v>
      </c>
      <c r="M359" s="22">
        <v>3078.0</v>
      </c>
      <c r="N359" s="22">
        <v>3283.0</v>
      </c>
      <c r="O359" s="14"/>
      <c r="P359" s="26">
        <v>0.35</v>
      </c>
      <c r="Q359" s="26">
        <v>0.31</v>
      </c>
      <c r="R359" s="26">
        <v>0.26</v>
      </c>
    </row>
    <row r="360" ht="14.25" customHeight="1">
      <c r="A360" s="18" t="s">
        <v>302</v>
      </c>
      <c r="B360" s="18" t="s">
        <v>598</v>
      </c>
      <c r="C360" s="19" t="s">
        <v>704</v>
      </c>
      <c r="D360" s="20" t="s">
        <v>727</v>
      </c>
      <c r="E360" s="38" t="s">
        <v>728</v>
      </c>
      <c r="F360" s="21" t="s">
        <v>179</v>
      </c>
      <c r="G360" s="23">
        <v>16990.0</v>
      </c>
      <c r="H360" s="23">
        <v>5288.0</v>
      </c>
      <c r="I360" s="23">
        <v>2867.0</v>
      </c>
      <c r="J360" s="37"/>
      <c r="K360" s="22"/>
      <c r="L360" s="22">
        <v>2867.0</v>
      </c>
      <c r="M360" s="22">
        <v>3072.0</v>
      </c>
      <c r="N360" s="22">
        <v>3277.0</v>
      </c>
      <c r="O360" s="14"/>
      <c r="P360" s="26">
        <v>0.35</v>
      </c>
      <c r="Q360" s="26">
        <v>0.31</v>
      </c>
      <c r="R360" s="26">
        <v>0.26</v>
      </c>
    </row>
    <row r="361" ht="14.25" customHeight="1">
      <c r="A361" s="18" t="s">
        <v>302</v>
      </c>
      <c r="B361" s="18" t="s">
        <v>598</v>
      </c>
      <c r="C361" s="19" t="s">
        <v>704</v>
      </c>
      <c r="D361" s="20" t="s">
        <v>729</v>
      </c>
      <c r="E361" s="38" t="s">
        <v>730</v>
      </c>
      <c r="F361" s="21" t="s">
        <v>179</v>
      </c>
      <c r="G361" s="23">
        <v>16990.0</v>
      </c>
      <c r="H361" s="23">
        <v>5288.0</v>
      </c>
      <c r="I361" s="23">
        <v>2871.0</v>
      </c>
      <c r="J361" s="37"/>
      <c r="K361" s="22"/>
      <c r="L361" s="22">
        <v>2871.0</v>
      </c>
      <c r="M361" s="22">
        <v>3076.0</v>
      </c>
      <c r="N361" s="22">
        <v>3281.0</v>
      </c>
      <c r="O361" s="14"/>
      <c r="P361" s="26">
        <v>0.35</v>
      </c>
      <c r="Q361" s="26">
        <v>0.31</v>
      </c>
      <c r="R361" s="26">
        <v>0.26</v>
      </c>
    </row>
    <row r="362" ht="14.25" customHeight="1">
      <c r="A362" s="18" t="s">
        <v>302</v>
      </c>
      <c r="B362" s="18" t="s">
        <v>598</v>
      </c>
      <c r="C362" s="19" t="s">
        <v>704</v>
      </c>
      <c r="D362" s="20" t="s">
        <v>731</v>
      </c>
      <c r="E362" s="38" t="s">
        <v>732</v>
      </c>
      <c r="F362" s="21" t="s">
        <v>179</v>
      </c>
      <c r="G362" s="23">
        <v>16990.0</v>
      </c>
      <c r="H362" s="23">
        <v>5288.0</v>
      </c>
      <c r="I362" s="23">
        <v>2872.0</v>
      </c>
      <c r="J362" s="37"/>
      <c r="K362" s="22"/>
      <c r="L362" s="22">
        <v>2872.0</v>
      </c>
      <c r="M362" s="22">
        <v>3077.0</v>
      </c>
      <c r="N362" s="22">
        <v>3282.0</v>
      </c>
      <c r="O362" s="14"/>
      <c r="P362" s="26">
        <v>0.35</v>
      </c>
      <c r="Q362" s="26">
        <v>0.31</v>
      </c>
      <c r="R362" s="26">
        <v>0.26</v>
      </c>
    </row>
    <row r="363" ht="14.25" customHeight="1">
      <c r="A363" s="18" t="s">
        <v>302</v>
      </c>
      <c r="B363" s="18" t="s">
        <v>598</v>
      </c>
      <c r="C363" s="19" t="s">
        <v>704</v>
      </c>
      <c r="D363" s="20" t="s">
        <v>733</v>
      </c>
      <c r="E363" s="19" t="s">
        <v>734</v>
      </c>
      <c r="F363" s="21" t="s">
        <v>179</v>
      </c>
      <c r="G363" s="23">
        <v>16990.0</v>
      </c>
      <c r="H363" s="23">
        <v>5288.0</v>
      </c>
      <c r="I363" s="23">
        <v>2871.0</v>
      </c>
      <c r="J363" s="37"/>
      <c r="K363" s="22"/>
      <c r="L363" s="22">
        <v>2871.0</v>
      </c>
      <c r="M363" s="22">
        <v>3076.0</v>
      </c>
      <c r="N363" s="22">
        <v>3281.0</v>
      </c>
      <c r="O363" s="14"/>
      <c r="P363" s="26">
        <v>0.35</v>
      </c>
      <c r="Q363" s="26">
        <v>0.31</v>
      </c>
      <c r="R363" s="26">
        <v>0.26</v>
      </c>
    </row>
    <row r="364" ht="14.25" customHeight="1">
      <c r="A364" s="18" t="s">
        <v>302</v>
      </c>
      <c r="B364" s="18" t="s">
        <v>598</v>
      </c>
      <c r="C364" s="19" t="s">
        <v>735</v>
      </c>
      <c r="D364" s="20" t="s">
        <v>736</v>
      </c>
      <c r="E364" s="19" t="s">
        <v>737</v>
      </c>
      <c r="F364" s="21" t="s">
        <v>179</v>
      </c>
      <c r="G364" s="23">
        <v>29990.0</v>
      </c>
      <c r="H364" s="23">
        <v>11759.0</v>
      </c>
      <c r="I364" s="23">
        <v>7194.0</v>
      </c>
      <c r="J364" s="37"/>
      <c r="K364" s="22"/>
      <c r="L364" s="22">
        <v>7194.0</v>
      </c>
      <c r="M364" s="22">
        <v>7708.0</v>
      </c>
      <c r="N364" s="22">
        <v>8222.0</v>
      </c>
      <c r="O364" s="14"/>
      <c r="P364" s="26">
        <v>0.27</v>
      </c>
      <c r="Q364" s="26">
        <v>0.22</v>
      </c>
      <c r="R364" s="26">
        <v>0.17</v>
      </c>
    </row>
    <row r="365" ht="14.25" customHeight="1">
      <c r="A365" s="18" t="s">
        <v>302</v>
      </c>
      <c r="B365" s="18" t="s">
        <v>598</v>
      </c>
      <c r="C365" s="19" t="s">
        <v>735</v>
      </c>
      <c r="D365" s="20" t="s">
        <v>738</v>
      </c>
      <c r="E365" s="19" t="s">
        <v>739</v>
      </c>
      <c r="F365" s="21" t="s">
        <v>179</v>
      </c>
      <c r="G365" s="23">
        <v>29990.0</v>
      </c>
      <c r="H365" s="23">
        <v>11759.0</v>
      </c>
      <c r="I365" s="23">
        <v>7187.0</v>
      </c>
      <c r="J365" s="37"/>
      <c r="K365" s="22"/>
      <c r="L365" s="22">
        <v>7187.0</v>
      </c>
      <c r="M365" s="22">
        <v>7700.0</v>
      </c>
      <c r="N365" s="22">
        <v>8214.0</v>
      </c>
      <c r="O365" s="14"/>
      <c r="P365" s="26">
        <v>0.27</v>
      </c>
      <c r="Q365" s="26">
        <v>0.22</v>
      </c>
      <c r="R365" s="26">
        <v>0.17</v>
      </c>
    </row>
    <row r="366" ht="14.25" customHeight="1">
      <c r="A366" s="18" t="s">
        <v>302</v>
      </c>
      <c r="B366" s="18" t="s">
        <v>598</v>
      </c>
      <c r="C366" s="19" t="s">
        <v>735</v>
      </c>
      <c r="D366" s="20" t="s">
        <v>740</v>
      </c>
      <c r="E366" s="19" t="s">
        <v>741</v>
      </c>
      <c r="F366" s="21" t="s">
        <v>179</v>
      </c>
      <c r="G366" s="23">
        <v>29990.0</v>
      </c>
      <c r="H366" s="23">
        <v>11759.0</v>
      </c>
      <c r="I366" s="23">
        <v>7179.0</v>
      </c>
      <c r="J366" s="37"/>
      <c r="K366" s="22"/>
      <c r="L366" s="22">
        <v>7179.0</v>
      </c>
      <c r="M366" s="22">
        <v>7692.0</v>
      </c>
      <c r="N366" s="22">
        <v>8205.0</v>
      </c>
      <c r="O366" s="14"/>
      <c r="P366" s="26">
        <v>0.27</v>
      </c>
      <c r="Q366" s="26">
        <v>0.22</v>
      </c>
      <c r="R366" s="26">
        <v>0.17</v>
      </c>
    </row>
    <row r="367" ht="14.25" customHeight="1">
      <c r="A367" s="18" t="s">
        <v>302</v>
      </c>
      <c r="B367" s="18" t="s">
        <v>598</v>
      </c>
      <c r="C367" s="19" t="s">
        <v>735</v>
      </c>
      <c r="D367" s="20" t="s">
        <v>742</v>
      </c>
      <c r="E367" s="19" t="s">
        <v>743</v>
      </c>
      <c r="F367" s="21" t="s">
        <v>179</v>
      </c>
      <c r="G367" s="23">
        <v>29990.0</v>
      </c>
      <c r="H367" s="23">
        <v>11759.0</v>
      </c>
      <c r="I367" s="23">
        <v>7338.0</v>
      </c>
      <c r="J367" s="37"/>
      <c r="K367" s="22"/>
      <c r="L367" s="22">
        <v>7338.0</v>
      </c>
      <c r="M367" s="22">
        <v>7862.0</v>
      </c>
      <c r="N367" s="22">
        <v>8386.0</v>
      </c>
      <c r="O367" s="14"/>
      <c r="P367" s="26">
        <v>0.26</v>
      </c>
      <c r="Q367" s="26">
        <v>0.2</v>
      </c>
      <c r="R367" s="26">
        <v>0.15</v>
      </c>
    </row>
    <row r="368" ht="14.25" customHeight="1">
      <c r="A368" s="18" t="s">
        <v>302</v>
      </c>
      <c r="B368" s="18" t="s">
        <v>598</v>
      </c>
      <c r="C368" s="19" t="s">
        <v>735</v>
      </c>
      <c r="D368" s="20" t="s">
        <v>744</v>
      </c>
      <c r="E368" s="19" t="s">
        <v>745</v>
      </c>
      <c r="F368" s="21" t="s">
        <v>134</v>
      </c>
      <c r="G368" s="23">
        <v>29990.0</v>
      </c>
      <c r="H368" s="23">
        <v>12935.0</v>
      </c>
      <c r="I368" s="23">
        <v>6254.0</v>
      </c>
      <c r="J368" s="37"/>
      <c r="K368" s="22"/>
      <c r="L368" s="22">
        <v>6254.0</v>
      </c>
      <c r="M368" s="22">
        <v>6701.0</v>
      </c>
      <c r="N368" s="22">
        <v>7147.0</v>
      </c>
      <c r="O368" s="14"/>
      <c r="P368" s="26">
        <v>0.42</v>
      </c>
      <c r="Q368" s="26">
        <v>0.38</v>
      </c>
      <c r="R368" s="26">
        <v>0.34</v>
      </c>
    </row>
    <row r="369" ht="14.25" customHeight="1">
      <c r="A369" s="18" t="s">
        <v>302</v>
      </c>
      <c r="B369" s="18" t="s">
        <v>598</v>
      </c>
      <c r="C369" s="19" t="s">
        <v>735</v>
      </c>
      <c r="D369" s="20" t="s">
        <v>746</v>
      </c>
      <c r="E369" s="38">
        <v>1.62742E12</v>
      </c>
      <c r="F369" s="21" t="s">
        <v>134</v>
      </c>
      <c r="G369" s="23">
        <v>24990.0</v>
      </c>
      <c r="H369" s="23">
        <v>9994.0</v>
      </c>
      <c r="I369" s="23">
        <v>5171.0</v>
      </c>
      <c r="J369" s="37"/>
      <c r="K369" s="22"/>
      <c r="L369" s="22">
        <v>5171.0</v>
      </c>
      <c r="M369" s="22">
        <v>5540.0</v>
      </c>
      <c r="N369" s="22">
        <v>5910.0</v>
      </c>
      <c r="O369" s="14"/>
      <c r="P369" s="26">
        <v>0.38</v>
      </c>
      <c r="Q369" s="26">
        <v>0.34</v>
      </c>
      <c r="R369" s="26">
        <v>0.3</v>
      </c>
    </row>
    <row r="370" ht="14.25" customHeight="1">
      <c r="A370" s="18" t="s">
        <v>302</v>
      </c>
      <c r="B370" s="18" t="s">
        <v>598</v>
      </c>
      <c r="C370" s="19" t="s">
        <v>735</v>
      </c>
      <c r="D370" s="20" t="s">
        <v>747</v>
      </c>
      <c r="E370" s="38">
        <v>1.62742E12</v>
      </c>
      <c r="F370" s="21" t="s">
        <v>134</v>
      </c>
      <c r="G370" s="23">
        <v>24990.0</v>
      </c>
      <c r="H370" s="23">
        <v>9994.0</v>
      </c>
      <c r="I370" s="23">
        <v>5246.0</v>
      </c>
      <c r="J370" s="37"/>
      <c r="K370" s="22"/>
      <c r="L370" s="22">
        <v>5246.0</v>
      </c>
      <c r="M370" s="22">
        <v>5621.0</v>
      </c>
      <c r="N370" s="22">
        <v>5995.0</v>
      </c>
      <c r="O370" s="14"/>
      <c r="P370" s="26">
        <v>0.38</v>
      </c>
      <c r="Q370" s="26">
        <v>0.33</v>
      </c>
      <c r="R370" s="26">
        <v>0.29</v>
      </c>
    </row>
    <row r="371" ht="14.25" customHeight="1">
      <c r="A371" s="18" t="s">
        <v>302</v>
      </c>
      <c r="B371" s="18" t="s">
        <v>748</v>
      </c>
      <c r="C371" s="19" t="s">
        <v>749</v>
      </c>
      <c r="D371" s="20" t="s">
        <v>750</v>
      </c>
      <c r="E371" s="19" t="s">
        <v>751</v>
      </c>
      <c r="F371" s="21" t="s">
        <v>179</v>
      </c>
      <c r="G371" s="23">
        <v>59990.0</v>
      </c>
      <c r="H371" s="23">
        <v>20161.0</v>
      </c>
      <c r="I371" s="23">
        <v>13057.0</v>
      </c>
      <c r="J371" s="37"/>
      <c r="K371" s="22"/>
      <c r="L371" s="22">
        <v>13057.0</v>
      </c>
      <c r="M371" s="22">
        <v>13990.0</v>
      </c>
      <c r="N371" s="22">
        <v>14922.0</v>
      </c>
      <c r="O371" s="14"/>
      <c r="P371" s="26">
        <v>0.23</v>
      </c>
      <c r="Q371" s="26">
        <v>0.17</v>
      </c>
      <c r="R371" s="26">
        <v>0.12</v>
      </c>
    </row>
    <row r="372" ht="14.25" customHeight="1">
      <c r="A372" s="18" t="s">
        <v>302</v>
      </c>
      <c r="B372" s="18" t="s">
        <v>748</v>
      </c>
      <c r="C372" s="19" t="s">
        <v>749</v>
      </c>
      <c r="D372" s="20" t="s">
        <v>752</v>
      </c>
      <c r="E372" s="19" t="s">
        <v>753</v>
      </c>
      <c r="F372" s="21" t="s">
        <v>179</v>
      </c>
      <c r="G372" s="23">
        <v>59990.0</v>
      </c>
      <c r="H372" s="23">
        <v>20161.0</v>
      </c>
      <c r="I372" s="23">
        <v>12753.0</v>
      </c>
      <c r="J372" s="37"/>
      <c r="K372" s="22"/>
      <c r="L372" s="22">
        <v>12753.0</v>
      </c>
      <c r="M372" s="22">
        <v>13664.0</v>
      </c>
      <c r="N372" s="22">
        <v>14575.0</v>
      </c>
      <c r="O372" s="14"/>
      <c r="P372" s="26">
        <v>0.25</v>
      </c>
      <c r="Q372" s="26">
        <v>0.19</v>
      </c>
      <c r="R372" s="26">
        <v>0.14</v>
      </c>
    </row>
    <row r="373" ht="14.25" customHeight="1">
      <c r="A373" s="18" t="s">
        <v>302</v>
      </c>
      <c r="B373" s="18" t="s">
        <v>748</v>
      </c>
      <c r="C373" s="19" t="s">
        <v>749</v>
      </c>
      <c r="D373" s="20" t="s">
        <v>754</v>
      </c>
      <c r="E373" s="19" t="s">
        <v>755</v>
      </c>
      <c r="F373" s="21" t="s">
        <v>179</v>
      </c>
      <c r="G373" s="23">
        <v>59990.0</v>
      </c>
      <c r="H373" s="23">
        <v>20161.0</v>
      </c>
      <c r="I373" s="23">
        <v>13074.0</v>
      </c>
      <c r="J373" s="37"/>
      <c r="K373" s="22"/>
      <c r="L373" s="22">
        <v>13074.0</v>
      </c>
      <c r="M373" s="22">
        <v>14008.0</v>
      </c>
      <c r="N373" s="22">
        <v>14942.0</v>
      </c>
      <c r="O373" s="14"/>
      <c r="P373" s="26">
        <v>0.23</v>
      </c>
      <c r="Q373" s="26">
        <v>0.17</v>
      </c>
      <c r="R373" s="26">
        <v>0.12</v>
      </c>
    </row>
    <row r="374" ht="14.25" customHeight="1">
      <c r="A374" s="18" t="s">
        <v>302</v>
      </c>
      <c r="B374" s="18" t="s">
        <v>748</v>
      </c>
      <c r="C374" s="19" t="s">
        <v>749</v>
      </c>
      <c r="D374" s="20" t="s">
        <v>756</v>
      </c>
      <c r="E374" s="38">
        <v>1.65282E12</v>
      </c>
      <c r="F374" s="21" t="s">
        <v>134</v>
      </c>
      <c r="G374" s="23">
        <v>39990.0</v>
      </c>
      <c r="H374" s="23">
        <v>10077.0</v>
      </c>
      <c r="I374" s="23">
        <v>11663.0</v>
      </c>
      <c r="J374" s="37"/>
      <c r="K374" s="22"/>
      <c r="L374" s="22">
        <v>11663.0</v>
      </c>
      <c r="M374" s="22">
        <v>12496.0</v>
      </c>
      <c r="N374" s="22">
        <v>13329.0</v>
      </c>
      <c r="O374" s="14"/>
      <c r="P374" s="26">
        <v>-0.38</v>
      </c>
      <c r="Q374" s="26">
        <v>-0.48</v>
      </c>
      <c r="R374" s="26">
        <v>-0.57</v>
      </c>
    </row>
    <row r="375" ht="14.25" customHeight="1">
      <c r="A375" s="18" t="s">
        <v>302</v>
      </c>
      <c r="B375" s="18" t="s">
        <v>748</v>
      </c>
      <c r="C375" s="19" t="s">
        <v>749</v>
      </c>
      <c r="D375" s="20" t="s">
        <v>757</v>
      </c>
      <c r="E375" s="38">
        <v>1.65282E12</v>
      </c>
      <c r="F375" s="21" t="s">
        <v>134</v>
      </c>
      <c r="G375" s="23">
        <v>39990.0</v>
      </c>
      <c r="H375" s="23">
        <v>10077.0</v>
      </c>
      <c r="I375" s="23">
        <v>11664.0</v>
      </c>
      <c r="J375" s="37"/>
      <c r="K375" s="22"/>
      <c r="L375" s="22">
        <v>11664.0</v>
      </c>
      <c r="M375" s="22">
        <v>12497.0</v>
      </c>
      <c r="N375" s="22">
        <v>13330.0</v>
      </c>
      <c r="O375" s="14"/>
      <c r="P375" s="26">
        <v>-0.38</v>
      </c>
      <c r="Q375" s="26">
        <v>-0.48</v>
      </c>
      <c r="R375" s="26">
        <v>-0.57</v>
      </c>
    </row>
    <row r="376" ht="14.25" customHeight="1">
      <c r="A376" s="18" t="s">
        <v>302</v>
      </c>
      <c r="B376" s="18" t="s">
        <v>748</v>
      </c>
      <c r="C376" s="19" t="s">
        <v>749</v>
      </c>
      <c r="D376" s="20" t="s">
        <v>758</v>
      </c>
      <c r="E376" s="38">
        <v>1.65282E12</v>
      </c>
      <c r="F376" s="21" t="s">
        <v>134</v>
      </c>
      <c r="G376" s="23">
        <v>39990.0</v>
      </c>
      <c r="H376" s="23">
        <v>10077.0</v>
      </c>
      <c r="I376" s="23">
        <v>11663.0</v>
      </c>
      <c r="J376" s="37"/>
      <c r="K376" s="22"/>
      <c r="L376" s="22">
        <v>11663.0</v>
      </c>
      <c r="M376" s="22">
        <v>12496.0</v>
      </c>
      <c r="N376" s="22">
        <v>13329.0</v>
      </c>
      <c r="O376" s="14"/>
      <c r="P376" s="26">
        <v>-0.38</v>
      </c>
      <c r="Q376" s="26">
        <v>-0.48</v>
      </c>
      <c r="R376" s="26">
        <v>-0.57</v>
      </c>
    </row>
    <row r="377" ht="14.25" customHeight="1">
      <c r="A377" s="18" t="s">
        <v>302</v>
      </c>
      <c r="B377" s="18" t="s">
        <v>748</v>
      </c>
      <c r="C377" s="19" t="s">
        <v>749</v>
      </c>
      <c r="D377" s="20" t="s">
        <v>759</v>
      </c>
      <c r="E377" s="38">
        <v>6.81135E13</v>
      </c>
      <c r="F377" s="21" t="s">
        <v>134</v>
      </c>
      <c r="G377" s="23">
        <v>39990.0</v>
      </c>
      <c r="H377" s="23">
        <v>10077.0</v>
      </c>
      <c r="I377" s="23">
        <v>10263.0</v>
      </c>
      <c r="J377" s="37"/>
      <c r="K377" s="22"/>
      <c r="L377" s="22">
        <v>10263.0</v>
      </c>
      <c r="M377" s="22">
        <v>10996.0</v>
      </c>
      <c r="N377" s="22">
        <v>11729.0</v>
      </c>
      <c r="O377" s="14"/>
      <c r="P377" s="26">
        <v>-0.21</v>
      </c>
      <c r="Q377" s="26">
        <v>-0.3</v>
      </c>
      <c r="R377" s="26">
        <v>-0.39</v>
      </c>
    </row>
    <row r="378" ht="14.25" customHeight="1">
      <c r="A378" s="18" t="s">
        <v>302</v>
      </c>
      <c r="B378" s="18" t="s">
        <v>748</v>
      </c>
      <c r="C378" s="19" t="s">
        <v>749</v>
      </c>
      <c r="D378" s="20" t="s">
        <v>760</v>
      </c>
      <c r="E378" s="38">
        <v>1.63909E12</v>
      </c>
      <c r="F378" s="21" t="s">
        <v>134</v>
      </c>
      <c r="G378" s="23">
        <v>49990.0</v>
      </c>
      <c r="H378" s="23">
        <v>16800.0</v>
      </c>
      <c r="I378" s="23">
        <v>15891.0</v>
      </c>
      <c r="J378" s="37"/>
      <c r="K378" s="22"/>
      <c r="L378" s="22">
        <v>15891.0</v>
      </c>
      <c r="M378" s="22">
        <v>17026.0</v>
      </c>
      <c r="N378" s="22">
        <v>18161.0</v>
      </c>
      <c r="O378" s="14"/>
      <c r="P378" s="26">
        <v>-0.13</v>
      </c>
      <c r="Q378" s="26">
        <v>-0.21</v>
      </c>
      <c r="R378" s="26">
        <v>-0.29</v>
      </c>
    </row>
    <row r="379" ht="14.25" customHeight="1">
      <c r="A379" s="18" t="s">
        <v>302</v>
      </c>
      <c r="B379" s="18" t="s">
        <v>748</v>
      </c>
      <c r="C379" s="19" t="s">
        <v>749</v>
      </c>
      <c r="D379" s="20" t="s">
        <v>761</v>
      </c>
      <c r="E379" s="38">
        <v>6.78983E13</v>
      </c>
      <c r="F379" s="21" t="s">
        <v>134</v>
      </c>
      <c r="G379" s="23">
        <v>49990.0</v>
      </c>
      <c r="H379" s="23">
        <v>16800.0</v>
      </c>
      <c r="I379" s="23">
        <v>17336.0</v>
      </c>
      <c r="J379" s="37"/>
      <c r="K379" s="22"/>
      <c r="L379" s="22">
        <v>17336.0</v>
      </c>
      <c r="M379" s="22">
        <v>18574.0</v>
      </c>
      <c r="N379" s="22">
        <v>19813.0</v>
      </c>
      <c r="O379" s="14"/>
      <c r="P379" s="26">
        <v>-0.23</v>
      </c>
      <c r="Q379" s="26">
        <v>-0.32</v>
      </c>
      <c r="R379" s="26">
        <v>-0.4</v>
      </c>
    </row>
    <row r="380" ht="14.25" customHeight="1">
      <c r="A380" s="18" t="s">
        <v>302</v>
      </c>
      <c r="B380" s="18" t="s">
        <v>748</v>
      </c>
      <c r="C380" s="19" t="s">
        <v>749</v>
      </c>
      <c r="D380" s="20" t="s">
        <v>762</v>
      </c>
      <c r="E380" s="38">
        <v>1.63909E12</v>
      </c>
      <c r="F380" s="21" t="s">
        <v>134</v>
      </c>
      <c r="G380" s="23">
        <v>49990.0</v>
      </c>
      <c r="H380" s="23">
        <v>16800.0</v>
      </c>
      <c r="I380" s="23">
        <v>14619.0</v>
      </c>
      <c r="J380" s="37"/>
      <c r="K380" s="22"/>
      <c r="L380" s="22">
        <v>14619.0</v>
      </c>
      <c r="M380" s="22">
        <v>15663.0</v>
      </c>
      <c r="N380" s="22">
        <v>16707.0</v>
      </c>
      <c r="O380" s="14"/>
      <c r="P380" s="26">
        <v>-0.04</v>
      </c>
      <c r="Q380" s="26">
        <v>-0.11</v>
      </c>
      <c r="R380" s="26">
        <v>-0.18</v>
      </c>
    </row>
    <row r="381" ht="14.25" customHeight="1">
      <c r="A381" s="18" t="s">
        <v>302</v>
      </c>
      <c r="B381" s="18" t="s">
        <v>748</v>
      </c>
      <c r="C381" s="19" t="s">
        <v>749</v>
      </c>
      <c r="D381" s="20" t="s">
        <v>763</v>
      </c>
      <c r="E381" s="38">
        <v>6.78983E13</v>
      </c>
      <c r="F381" s="21" t="s">
        <v>134</v>
      </c>
      <c r="G381" s="23">
        <v>49990.0</v>
      </c>
      <c r="H381" s="23">
        <v>16800.0</v>
      </c>
      <c r="I381" s="23">
        <v>15495.0</v>
      </c>
      <c r="J381" s="37"/>
      <c r="K381" s="22"/>
      <c r="L381" s="22">
        <v>15495.0</v>
      </c>
      <c r="M381" s="22">
        <v>16602.0</v>
      </c>
      <c r="N381" s="22">
        <v>17709.0</v>
      </c>
      <c r="O381" s="14"/>
      <c r="P381" s="26">
        <v>-0.1</v>
      </c>
      <c r="Q381" s="26">
        <v>-0.18</v>
      </c>
      <c r="R381" s="26">
        <v>-0.25</v>
      </c>
    </row>
    <row r="382" ht="14.25" customHeight="1">
      <c r="A382" s="18" t="s">
        <v>302</v>
      </c>
      <c r="B382" s="18" t="s">
        <v>748</v>
      </c>
      <c r="C382" s="19" t="s">
        <v>749</v>
      </c>
      <c r="D382" s="20" t="s">
        <v>764</v>
      </c>
      <c r="E382" s="38">
        <v>1.63909E12</v>
      </c>
      <c r="F382" s="21" t="s">
        <v>134</v>
      </c>
      <c r="G382" s="23">
        <v>49990.0</v>
      </c>
      <c r="H382" s="23">
        <v>16800.0</v>
      </c>
      <c r="I382" s="23">
        <v>15956.0</v>
      </c>
      <c r="J382" s="37"/>
      <c r="K382" s="22"/>
      <c r="L382" s="22">
        <v>15956.0</v>
      </c>
      <c r="M382" s="22">
        <v>17096.0</v>
      </c>
      <c r="N382" s="22">
        <v>18235.0</v>
      </c>
      <c r="O382" s="14"/>
      <c r="P382" s="26">
        <v>-0.13</v>
      </c>
      <c r="Q382" s="26">
        <v>-0.21</v>
      </c>
      <c r="R382" s="26">
        <v>-0.29</v>
      </c>
    </row>
    <row r="383" ht="14.25" customHeight="1">
      <c r="A383" s="18" t="s">
        <v>302</v>
      </c>
      <c r="B383" s="18" t="s">
        <v>748</v>
      </c>
      <c r="C383" s="19" t="s">
        <v>748</v>
      </c>
      <c r="D383" s="20" t="s">
        <v>765</v>
      </c>
      <c r="E383" s="38">
        <v>1.61601E12</v>
      </c>
      <c r="F383" s="21" t="s">
        <v>134</v>
      </c>
      <c r="G383" s="23">
        <v>35990.0</v>
      </c>
      <c r="H383" s="23">
        <v>20161.0</v>
      </c>
      <c r="I383" s="23">
        <v>14452.0</v>
      </c>
      <c r="J383" s="37"/>
      <c r="K383" s="22"/>
      <c r="L383" s="22">
        <v>14452.0</v>
      </c>
      <c r="M383" s="22">
        <v>15484.0</v>
      </c>
      <c r="N383" s="22">
        <v>16517.0</v>
      </c>
      <c r="O383" s="14"/>
      <c r="P383" s="26">
        <v>0.15</v>
      </c>
      <c r="Q383" s="26">
        <v>0.09</v>
      </c>
      <c r="R383" s="26">
        <v>0.03</v>
      </c>
    </row>
    <row r="384" ht="14.25" customHeight="1">
      <c r="A384" s="18" t="s">
        <v>302</v>
      </c>
      <c r="B384" s="18" t="s">
        <v>748</v>
      </c>
      <c r="C384" s="19" t="s">
        <v>748</v>
      </c>
      <c r="D384" s="20" t="s">
        <v>766</v>
      </c>
      <c r="E384" s="19" t="s">
        <v>767</v>
      </c>
      <c r="F384" s="21" t="s">
        <v>134</v>
      </c>
      <c r="G384" s="23">
        <v>99990.0</v>
      </c>
      <c r="H384" s="23">
        <v>33607.0</v>
      </c>
      <c r="I384" s="23">
        <v>20283.0</v>
      </c>
      <c r="J384" s="37"/>
      <c r="K384" s="22"/>
      <c r="L384" s="22">
        <v>20283.0</v>
      </c>
      <c r="M384" s="22">
        <v>21732.0</v>
      </c>
      <c r="N384" s="22">
        <v>23181.0</v>
      </c>
      <c r="O384" s="14"/>
      <c r="P384" s="26">
        <v>0.28</v>
      </c>
      <c r="Q384" s="26">
        <v>0.23</v>
      </c>
      <c r="R384" s="26">
        <v>0.18</v>
      </c>
    </row>
    <row r="385" ht="14.25" customHeight="1">
      <c r="A385" s="18" t="s">
        <v>302</v>
      </c>
      <c r="B385" s="18" t="s">
        <v>748</v>
      </c>
      <c r="C385" s="19" t="s">
        <v>748</v>
      </c>
      <c r="D385" s="20" t="s">
        <v>768</v>
      </c>
      <c r="E385" s="19" t="s">
        <v>769</v>
      </c>
      <c r="F385" s="21" t="s">
        <v>134</v>
      </c>
      <c r="G385" s="23">
        <v>99990.0</v>
      </c>
      <c r="H385" s="23">
        <v>33607.0</v>
      </c>
      <c r="I385" s="23">
        <v>20478.0</v>
      </c>
      <c r="J385" s="37"/>
      <c r="K385" s="22"/>
      <c r="L385" s="22">
        <v>20478.0</v>
      </c>
      <c r="M385" s="22">
        <v>21941.0</v>
      </c>
      <c r="N385" s="22">
        <v>23403.0</v>
      </c>
      <c r="O385" s="14"/>
      <c r="P385" s="26">
        <v>0.27</v>
      </c>
      <c r="Q385" s="26">
        <v>0.22</v>
      </c>
      <c r="R385" s="26">
        <v>0.17</v>
      </c>
    </row>
    <row r="386" ht="14.25" customHeight="1">
      <c r="A386" s="18" t="s">
        <v>302</v>
      </c>
      <c r="B386" s="18" t="s">
        <v>748</v>
      </c>
      <c r="C386" s="19" t="s">
        <v>748</v>
      </c>
      <c r="D386" s="20" t="s">
        <v>770</v>
      </c>
      <c r="E386" s="19" t="s">
        <v>771</v>
      </c>
      <c r="F386" s="21" t="s">
        <v>134</v>
      </c>
      <c r="G386" s="23">
        <v>99990.0</v>
      </c>
      <c r="H386" s="23">
        <v>33607.0</v>
      </c>
      <c r="I386" s="23">
        <v>19724.0</v>
      </c>
      <c r="J386" s="37"/>
      <c r="K386" s="22"/>
      <c r="L386" s="22">
        <v>19724.0</v>
      </c>
      <c r="M386" s="22">
        <v>21133.0</v>
      </c>
      <c r="N386" s="22">
        <v>22542.0</v>
      </c>
      <c r="O386" s="14"/>
      <c r="P386" s="26">
        <v>0.3</v>
      </c>
      <c r="Q386" s="26">
        <v>0.25</v>
      </c>
      <c r="R386" s="26">
        <v>0.2</v>
      </c>
    </row>
    <row r="387" ht="14.25" customHeight="1">
      <c r="A387" s="18" t="s">
        <v>302</v>
      </c>
      <c r="B387" s="18" t="s">
        <v>748</v>
      </c>
      <c r="C387" s="19" t="s">
        <v>748</v>
      </c>
      <c r="D387" s="20" t="s">
        <v>772</v>
      </c>
      <c r="E387" s="19" t="s">
        <v>773</v>
      </c>
      <c r="F387" s="21" t="s">
        <v>20</v>
      </c>
      <c r="G387" s="23">
        <v>79990.0</v>
      </c>
      <c r="H387" s="23">
        <v>29406.0</v>
      </c>
      <c r="I387" s="23">
        <v>23092.0</v>
      </c>
      <c r="J387" s="37"/>
      <c r="K387" s="22"/>
      <c r="L387" s="22">
        <v>23092.0</v>
      </c>
      <c r="M387" s="22">
        <v>24741.0</v>
      </c>
      <c r="N387" s="22">
        <v>26391.0</v>
      </c>
      <c r="O387" s="14"/>
      <c r="P387" s="26">
        <v>0.07</v>
      </c>
      <c r="Q387" s="26">
        <v>0.0</v>
      </c>
      <c r="R387" s="26">
        <v>-0.07</v>
      </c>
    </row>
    <row r="388" ht="14.25" customHeight="1">
      <c r="A388" s="18" t="s">
        <v>302</v>
      </c>
      <c r="B388" s="18" t="s">
        <v>748</v>
      </c>
      <c r="C388" s="19" t="s">
        <v>748</v>
      </c>
      <c r="D388" s="20" t="s">
        <v>774</v>
      </c>
      <c r="E388" s="19" t="s">
        <v>775</v>
      </c>
      <c r="F388" s="21" t="s">
        <v>20</v>
      </c>
      <c r="G388" s="23">
        <v>79990.0</v>
      </c>
      <c r="H388" s="23">
        <v>29406.0</v>
      </c>
      <c r="I388" s="23">
        <v>22124.0</v>
      </c>
      <c r="J388" s="37"/>
      <c r="K388" s="22"/>
      <c r="L388" s="22">
        <v>22124.0</v>
      </c>
      <c r="M388" s="22">
        <v>23704.0</v>
      </c>
      <c r="N388" s="22">
        <v>25285.0</v>
      </c>
      <c r="O388" s="14"/>
      <c r="P388" s="26">
        <v>0.1</v>
      </c>
      <c r="Q388" s="26">
        <v>0.04</v>
      </c>
      <c r="R388" s="26">
        <v>-0.02</v>
      </c>
    </row>
    <row r="389" ht="14.25" customHeight="1">
      <c r="A389" s="18" t="s">
        <v>302</v>
      </c>
      <c r="B389" s="18" t="s">
        <v>748</v>
      </c>
      <c r="C389" s="19" t="s">
        <v>748</v>
      </c>
      <c r="D389" s="20" t="s">
        <v>776</v>
      </c>
      <c r="E389" s="38">
        <v>1.63909E12</v>
      </c>
      <c r="F389" s="21" t="s">
        <v>134</v>
      </c>
      <c r="G389" s="23">
        <v>74990.0</v>
      </c>
      <c r="H389" s="23">
        <v>40329.0</v>
      </c>
      <c r="I389" s="23">
        <v>18810.0</v>
      </c>
      <c r="J389" s="37"/>
      <c r="K389" s="22"/>
      <c r="L389" s="22">
        <v>18810.0</v>
      </c>
      <c r="M389" s="22">
        <v>20154.0</v>
      </c>
      <c r="N389" s="22">
        <v>21497.0</v>
      </c>
      <c r="O389" s="14"/>
      <c r="P389" s="26">
        <v>0.44</v>
      </c>
      <c r="Q389" s="26">
        <v>0.41</v>
      </c>
      <c r="R389" s="26">
        <v>0.37</v>
      </c>
    </row>
    <row r="390" ht="14.25" customHeight="1">
      <c r="A390" s="18" t="s">
        <v>302</v>
      </c>
      <c r="B390" s="18" t="s">
        <v>748</v>
      </c>
      <c r="C390" s="19" t="s">
        <v>748</v>
      </c>
      <c r="D390" s="20" t="s">
        <v>777</v>
      </c>
      <c r="E390" s="38">
        <v>1.63909E12</v>
      </c>
      <c r="F390" s="21" t="s">
        <v>134</v>
      </c>
      <c r="G390" s="23">
        <v>74990.0</v>
      </c>
      <c r="H390" s="23">
        <v>40329.0</v>
      </c>
      <c r="I390" s="23">
        <v>23441.0</v>
      </c>
      <c r="J390" s="37"/>
      <c r="K390" s="22"/>
      <c r="L390" s="22">
        <v>23441.0</v>
      </c>
      <c r="M390" s="22">
        <v>25115.0</v>
      </c>
      <c r="N390" s="22">
        <v>26790.0</v>
      </c>
      <c r="O390" s="14"/>
      <c r="P390" s="26">
        <v>0.31</v>
      </c>
      <c r="Q390" s="26">
        <v>0.26</v>
      </c>
      <c r="R390" s="26">
        <v>0.21</v>
      </c>
    </row>
    <row r="391" ht="14.25" customHeight="1">
      <c r="A391" s="18" t="s">
        <v>302</v>
      </c>
      <c r="B391" s="18" t="s">
        <v>748</v>
      </c>
      <c r="C391" s="19" t="s">
        <v>748</v>
      </c>
      <c r="D391" s="20" t="s">
        <v>778</v>
      </c>
      <c r="E391" s="38">
        <v>1.63909E12</v>
      </c>
      <c r="F391" s="21" t="s">
        <v>134</v>
      </c>
      <c r="G391" s="23">
        <v>74990.0</v>
      </c>
      <c r="H391" s="23">
        <v>40329.0</v>
      </c>
      <c r="I391" s="23">
        <v>21964.0</v>
      </c>
      <c r="J391" s="37"/>
      <c r="K391" s="22"/>
      <c r="L391" s="22">
        <v>21964.0</v>
      </c>
      <c r="M391" s="22">
        <v>23533.0</v>
      </c>
      <c r="N391" s="22">
        <v>25102.0</v>
      </c>
      <c r="O391" s="14"/>
      <c r="P391" s="26">
        <v>0.35</v>
      </c>
      <c r="Q391" s="26">
        <v>0.31</v>
      </c>
      <c r="R391" s="26">
        <v>0.26</v>
      </c>
    </row>
    <row r="392" ht="14.25" customHeight="1">
      <c r="A392" s="18" t="s">
        <v>302</v>
      </c>
      <c r="B392" s="18" t="s">
        <v>748</v>
      </c>
      <c r="C392" s="19" t="s">
        <v>748</v>
      </c>
      <c r="D392" s="20" t="s">
        <v>779</v>
      </c>
      <c r="E392" s="38">
        <v>1.65282E12</v>
      </c>
      <c r="F392" s="21" t="s">
        <v>134</v>
      </c>
      <c r="G392" s="23">
        <v>69990.0</v>
      </c>
      <c r="H392" s="23">
        <v>33607.0</v>
      </c>
      <c r="I392" s="23">
        <v>20256.0</v>
      </c>
      <c r="J392" s="37"/>
      <c r="K392" s="22"/>
      <c r="L392" s="22">
        <v>20256.0</v>
      </c>
      <c r="M392" s="22">
        <v>21703.0</v>
      </c>
      <c r="N392" s="22">
        <v>23150.0</v>
      </c>
      <c r="O392" s="14"/>
      <c r="P392" s="26">
        <v>0.28</v>
      </c>
      <c r="Q392" s="26">
        <v>0.23</v>
      </c>
      <c r="R392" s="26">
        <v>0.18</v>
      </c>
    </row>
    <row r="393" ht="14.25" customHeight="1">
      <c r="A393" s="18" t="s">
        <v>302</v>
      </c>
      <c r="B393" s="18" t="s">
        <v>748</v>
      </c>
      <c r="C393" s="19" t="s">
        <v>748</v>
      </c>
      <c r="D393" s="20" t="s">
        <v>780</v>
      </c>
      <c r="E393" s="38">
        <v>1.65282E12</v>
      </c>
      <c r="F393" s="21" t="s">
        <v>134</v>
      </c>
      <c r="G393" s="23">
        <v>69990.0</v>
      </c>
      <c r="H393" s="23">
        <v>33607.0</v>
      </c>
      <c r="I393" s="23">
        <v>20647.0</v>
      </c>
      <c r="J393" s="37"/>
      <c r="K393" s="22"/>
      <c r="L393" s="22">
        <v>20647.0</v>
      </c>
      <c r="M393" s="22">
        <v>22122.0</v>
      </c>
      <c r="N393" s="22">
        <v>23597.0</v>
      </c>
      <c r="O393" s="14"/>
      <c r="P393" s="26">
        <v>0.27</v>
      </c>
      <c r="Q393" s="26">
        <v>0.22</v>
      </c>
      <c r="R393" s="26">
        <v>0.16</v>
      </c>
    </row>
    <row r="394" ht="14.25" customHeight="1">
      <c r="A394" s="18" t="s">
        <v>302</v>
      </c>
      <c r="B394" s="18" t="s">
        <v>748</v>
      </c>
      <c r="C394" s="19" t="s">
        <v>748</v>
      </c>
      <c r="D394" s="20" t="s">
        <v>781</v>
      </c>
      <c r="E394" s="38">
        <v>1.65282E12</v>
      </c>
      <c r="F394" s="21" t="s">
        <v>134</v>
      </c>
      <c r="G394" s="23">
        <v>69990.0</v>
      </c>
      <c r="H394" s="23">
        <v>33607.0</v>
      </c>
      <c r="I394" s="23">
        <v>20635.0</v>
      </c>
      <c r="J394" s="37"/>
      <c r="K394" s="22"/>
      <c r="L394" s="22">
        <v>20635.0</v>
      </c>
      <c r="M394" s="22">
        <v>22109.0</v>
      </c>
      <c r="N394" s="22">
        <v>23583.0</v>
      </c>
      <c r="O394" s="14"/>
      <c r="P394" s="26">
        <v>0.27</v>
      </c>
      <c r="Q394" s="26">
        <v>0.22</v>
      </c>
      <c r="R394" s="26">
        <v>0.16</v>
      </c>
    </row>
    <row r="395" ht="14.25" customHeight="1">
      <c r="A395" s="18" t="s">
        <v>302</v>
      </c>
      <c r="B395" s="18" t="s">
        <v>748</v>
      </c>
      <c r="C395" s="19" t="s">
        <v>748</v>
      </c>
      <c r="D395" s="20" t="s">
        <v>782</v>
      </c>
      <c r="E395" s="38">
        <v>1.65282E12</v>
      </c>
      <c r="F395" s="21" t="s">
        <v>134</v>
      </c>
      <c r="G395" s="23">
        <v>69990.0</v>
      </c>
      <c r="H395" s="23">
        <v>33607.0</v>
      </c>
      <c r="I395" s="23">
        <v>18668.0</v>
      </c>
      <c r="J395" s="37"/>
      <c r="K395" s="22"/>
      <c r="L395" s="22">
        <v>18668.0</v>
      </c>
      <c r="M395" s="22">
        <v>20001.0</v>
      </c>
      <c r="N395" s="22">
        <v>21335.0</v>
      </c>
      <c r="O395" s="14"/>
      <c r="P395" s="26">
        <v>0.34</v>
      </c>
      <c r="Q395" s="26">
        <v>0.29</v>
      </c>
      <c r="R395" s="26">
        <v>0.24</v>
      </c>
    </row>
    <row r="396" ht="14.25" customHeight="1">
      <c r="A396" s="18" t="s">
        <v>302</v>
      </c>
      <c r="B396" s="18" t="s">
        <v>748</v>
      </c>
      <c r="C396" s="19" t="s">
        <v>748</v>
      </c>
      <c r="D396" s="20" t="s">
        <v>783</v>
      </c>
      <c r="E396" s="19" t="s">
        <v>784</v>
      </c>
      <c r="F396" s="21" t="s">
        <v>20</v>
      </c>
      <c r="G396" s="23">
        <v>59990.0</v>
      </c>
      <c r="H396" s="23">
        <v>26465.0</v>
      </c>
      <c r="I396" s="23">
        <v>22305.0</v>
      </c>
      <c r="J396" s="37"/>
      <c r="K396" s="22"/>
      <c r="L396" s="22">
        <v>22305.0</v>
      </c>
      <c r="M396" s="22">
        <v>23898.0</v>
      </c>
      <c r="N396" s="22">
        <v>25491.0</v>
      </c>
      <c r="O396" s="14"/>
      <c r="P396" s="26">
        <v>0.0</v>
      </c>
      <c r="Q396" s="26">
        <v>-0.07</v>
      </c>
      <c r="R396" s="26">
        <v>-0.15</v>
      </c>
    </row>
    <row r="397" ht="14.25" customHeight="1">
      <c r="A397" s="18" t="s">
        <v>302</v>
      </c>
      <c r="B397" s="18" t="s">
        <v>748</v>
      </c>
      <c r="C397" s="19" t="s">
        <v>748</v>
      </c>
      <c r="D397" s="20" t="s">
        <v>785</v>
      </c>
      <c r="E397" s="19" t="s">
        <v>786</v>
      </c>
      <c r="F397" s="21" t="s">
        <v>20</v>
      </c>
      <c r="G397" s="23">
        <v>59990.0</v>
      </c>
      <c r="H397" s="23">
        <v>23524.0</v>
      </c>
      <c r="I397" s="23">
        <v>20434.0</v>
      </c>
      <c r="J397" s="37"/>
      <c r="K397" s="22"/>
      <c r="L397" s="22">
        <v>20434.0</v>
      </c>
      <c r="M397" s="22">
        <v>21893.0</v>
      </c>
      <c r="N397" s="22">
        <v>23353.0</v>
      </c>
      <c r="O397" s="14"/>
      <c r="P397" s="26">
        <v>-0.03</v>
      </c>
      <c r="Q397" s="26">
        <v>-0.11</v>
      </c>
      <c r="R397" s="26">
        <v>-0.18</v>
      </c>
    </row>
    <row r="398" ht="14.25" customHeight="1">
      <c r="A398" s="18" t="s">
        <v>302</v>
      </c>
      <c r="B398" s="18" t="s">
        <v>748</v>
      </c>
      <c r="C398" s="19" t="s">
        <v>748</v>
      </c>
      <c r="D398" s="20" t="s">
        <v>787</v>
      </c>
      <c r="E398" s="19" t="s">
        <v>788</v>
      </c>
      <c r="F398" s="21" t="s">
        <v>20</v>
      </c>
      <c r="G398" s="23">
        <v>59990.0</v>
      </c>
      <c r="H398" s="23">
        <v>26465.0</v>
      </c>
      <c r="I398" s="23">
        <v>21769.0</v>
      </c>
      <c r="J398" s="37"/>
      <c r="K398" s="22"/>
      <c r="L398" s="22">
        <v>21769.0</v>
      </c>
      <c r="M398" s="22">
        <v>23324.0</v>
      </c>
      <c r="N398" s="22">
        <v>24879.0</v>
      </c>
      <c r="O398" s="14"/>
      <c r="P398" s="26">
        <v>0.02</v>
      </c>
      <c r="Q398" s="26">
        <v>-0.05</v>
      </c>
      <c r="R398" s="26">
        <v>-0.12</v>
      </c>
    </row>
    <row r="399" ht="14.25" customHeight="1">
      <c r="A399" s="18" t="s">
        <v>302</v>
      </c>
      <c r="B399" s="18" t="s">
        <v>748</v>
      </c>
      <c r="C399" s="19" t="s">
        <v>748</v>
      </c>
      <c r="D399" s="20" t="s">
        <v>789</v>
      </c>
      <c r="E399" s="38">
        <v>1.63909E12</v>
      </c>
      <c r="F399" s="21" t="s">
        <v>134</v>
      </c>
      <c r="G399" s="23">
        <v>69990.0</v>
      </c>
      <c r="H399" s="23">
        <v>40329.0</v>
      </c>
      <c r="I399" s="23">
        <v>21290.0</v>
      </c>
      <c r="J399" s="37"/>
      <c r="K399" s="22"/>
      <c r="L399" s="22">
        <v>21290.0</v>
      </c>
      <c r="M399" s="22">
        <v>22811.0</v>
      </c>
      <c r="N399" s="22">
        <v>24331.0</v>
      </c>
      <c r="O399" s="14"/>
      <c r="P399" s="26">
        <v>0.37</v>
      </c>
      <c r="Q399" s="26">
        <v>0.33</v>
      </c>
      <c r="R399" s="26">
        <v>0.28</v>
      </c>
    </row>
    <row r="400" ht="14.25" customHeight="1">
      <c r="A400" s="18" t="s">
        <v>302</v>
      </c>
      <c r="B400" s="18" t="s">
        <v>748</v>
      </c>
      <c r="C400" s="19" t="s">
        <v>748</v>
      </c>
      <c r="D400" s="20" t="s">
        <v>790</v>
      </c>
      <c r="E400" s="38">
        <v>1.63909E12</v>
      </c>
      <c r="F400" s="21" t="s">
        <v>134</v>
      </c>
      <c r="G400" s="23">
        <v>69990.0</v>
      </c>
      <c r="H400" s="23">
        <v>40329.0</v>
      </c>
      <c r="I400" s="23">
        <v>21819.0</v>
      </c>
      <c r="J400" s="37"/>
      <c r="K400" s="22"/>
      <c r="L400" s="22">
        <v>21819.0</v>
      </c>
      <c r="M400" s="22">
        <v>23377.0</v>
      </c>
      <c r="N400" s="22">
        <v>24936.0</v>
      </c>
      <c r="O400" s="14"/>
      <c r="P400" s="26">
        <v>0.36</v>
      </c>
      <c r="Q400" s="26">
        <v>0.31</v>
      </c>
      <c r="R400" s="26">
        <v>0.26</v>
      </c>
    </row>
    <row r="401" ht="14.25" customHeight="1">
      <c r="A401" s="18" t="s">
        <v>302</v>
      </c>
      <c r="B401" s="18" t="s">
        <v>748</v>
      </c>
      <c r="C401" s="19" t="s">
        <v>748</v>
      </c>
      <c r="D401" s="20" t="s">
        <v>791</v>
      </c>
      <c r="E401" s="38">
        <v>1.63909E12</v>
      </c>
      <c r="F401" s="21" t="s">
        <v>134</v>
      </c>
      <c r="G401" s="23">
        <v>69990.0</v>
      </c>
      <c r="H401" s="23">
        <v>40329.0</v>
      </c>
      <c r="I401" s="23">
        <v>21249.0</v>
      </c>
      <c r="J401" s="37"/>
      <c r="K401" s="22"/>
      <c r="L401" s="22">
        <v>21249.0</v>
      </c>
      <c r="M401" s="22">
        <v>22767.0</v>
      </c>
      <c r="N401" s="22">
        <v>24285.0</v>
      </c>
      <c r="O401" s="14"/>
      <c r="P401" s="26">
        <v>0.37</v>
      </c>
      <c r="Q401" s="26">
        <v>0.33</v>
      </c>
      <c r="R401" s="26">
        <v>0.28</v>
      </c>
    </row>
    <row r="402" ht="14.25" customHeight="1">
      <c r="A402" s="18" t="s">
        <v>302</v>
      </c>
      <c r="B402" s="18" t="s">
        <v>748</v>
      </c>
      <c r="C402" s="19" t="s">
        <v>748</v>
      </c>
      <c r="D402" s="20" t="s">
        <v>792</v>
      </c>
      <c r="E402" s="19" t="s">
        <v>793</v>
      </c>
      <c r="F402" s="21" t="s">
        <v>179</v>
      </c>
      <c r="G402" s="23">
        <v>129990.0</v>
      </c>
      <c r="H402" s="23">
        <v>50413.0</v>
      </c>
      <c r="I402" s="23">
        <v>29150.0</v>
      </c>
      <c r="J402" s="37"/>
      <c r="K402" s="22"/>
      <c r="L402" s="22">
        <v>29150.0</v>
      </c>
      <c r="M402" s="22">
        <v>31232.0</v>
      </c>
      <c r="N402" s="22">
        <v>33314.0</v>
      </c>
      <c r="O402" s="14"/>
      <c r="P402" s="26">
        <v>0.31</v>
      </c>
      <c r="Q402" s="26">
        <v>0.26</v>
      </c>
      <c r="R402" s="26">
        <v>0.21</v>
      </c>
    </row>
    <row r="403" ht="14.25" customHeight="1">
      <c r="A403" s="18" t="s">
        <v>302</v>
      </c>
      <c r="B403" s="18" t="s">
        <v>748</v>
      </c>
      <c r="C403" s="19" t="s">
        <v>748</v>
      </c>
      <c r="D403" s="20" t="s">
        <v>794</v>
      </c>
      <c r="E403" s="19" t="s">
        <v>795</v>
      </c>
      <c r="F403" s="21" t="s">
        <v>179</v>
      </c>
      <c r="G403" s="23">
        <v>129990.0</v>
      </c>
      <c r="H403" s="23">
        <v>50413.0</v>
      </c>
      <c r="I403" s="23">
        <v>28872.0</v>
      </c>
      <c r="J403" s="37"/>
      <c r="K403" s="22"/>
      <c r="L403" s="22">
        <v>28872.0</v>
      </c>
      <c r="M403" s="22">
        <v>30934.0</v>
      </c>
      <c r="N403" s="22">
        <v>32997.0</v>
      </c>
      <c r="O403" s="14"/>
      <c r="P403" s="26">
        <v>0.32</v>
      </c>
      <c r="Q403" s="26">
        <v>0.27</v>
      </c>
      <c r="R403" s="26">
        <v>0.22</v>
      </c>
    </row>
    <row r="404" ht="14.25" customHeight="1">
      <c r="A404" s="18" t="s">
        <v>302</v>
      </c>
      <c r="B404" s="18" t="s">
        <v>796</v>
      </c>
      <c r="C404" s="19" t="s">
        <v>797</v>
      </c>
      <c r="D404" s="20" t="s">
        <v>798</v>
      </c>
      <c r="E404" s="19" t="s">
        <v>799</v>
      </c>
      <c r="F404" s="22" t="s">
        <v>20</v>
      </c>
      <c r="G404" s="23">
        <v>24990.0</v>
      </c>
      <c r="H404" s="23">
        <v>12935.0</v>
      </c>
      <c r="I404" s="23">
        <v>6314.0</v>
      </c>
      <c r="J404" s="37"/>
      <c r="K404" s="22"/>
      <c r="L404" s="22">
        <v>6314.0</v>
      </c>
      <c r="M404" s="22">
        <v>6765.0</v>
      </c>
      <c r="N404" s="22">
        <v>7216.0</v>
      </c>
      <c r="O404" s="14"/>
      <c r="P404" s="26">
        <v>0.42</v>
      </c>
      <c r="Q404" s="26">
        <v>0.38</v>
      </c>
      <c r="R404" s="26">
        <v>0.34</v>
      </c>
    </row>
    <row r="405" ht="14.25" customHeight="1">
      <c r="A405" s="18" t="s">
        <v>302</v>
      </c>
      <c r="B405" s="18" t="s">
        <v>796</v>
      </c>
      <c r="C405" s="19" t="s">
        <v>797</v>
      </c>
      <c r="D405" s="20" t="s">
        <v>800</v>
      </c>
      <c r="E405" s="19" t="s">
        <v>801</v>
      </c>
      <c r="F405" s="22" t="s">
        <v>20</v>
      </c>
      <c r="G405" s="23">
        <v>24990.0</v>
      </c>
      <c r="H405" s="23">
        <v>12935.0</v>
      </c>
      <c r="I405" s="23">
        <v>6314.0</v>
      </c>
      <c r="J405" s="37"/>
      <c r="K405" s="22"/>
      <c r="L405" s="22">
        <v>6314.0</v>
      </c>
      <c r="M405" s="22">
        <v>6765.0</v>
      </c>
      <c r="N405" s="22">
        <v>7216.0</v>
      </c>
      <c r="O405" s="14"/>
      <c r="P405" s="26">
        <v>0.42</v>
      </c>
      <c r="Q405" s="26">
        <v>0.38</v>
      </c>
      <c r="R405" s="26">
        <v>0.34</v>
      </c>
    </row>
    <row r="406" ht="14.25" customHeight="1">
      <c r="A406" s="18" t="s">
        <v>302</v>
      </c>
      <c r="B406" s="18" t="s">
        <v>796</v>
      </c>
      <c r="C406" s="19" t="s">
        <v>797</v>
      </c>
      <c r="D406" s="20" t="s">
        <v>802</v>
      </c>
      <c r="E406" s="19" t="s">
        <v>803</v>
      </c>
      <c r="F406" s="22" t="s">
        <v>20</v>
      </c>
      <c r="G406" s="23">
        <v>24990.0</v>
      </c>
      <c r="H406" s="23">
        <v>12935.0</v>
      </c>
      <c r="I406" s="23">
        <v>6645.0</v>
      </c>
      <c r="J406" s="37"/>
      <c r="K406" s="22"/>
      <c r="L406" s="22">
        <v>6645.0</v>
      </c>
      <c r="M406" s="22">
        <v>7120.0</v>
      </c>
      <c r="N406" s="22">
        <v>7594.0</v>
      </c>
      <c r="O406" s="14"/>
      <c r="P406" s="26">
        <v>0.39</v>
      </c>
      <c r="Q406" s="26">
        <v>0.35</v>
      </c>
      <c r="R406" s="26">
        <v>0.3</v>
      </c>
    </row>
    <row r="407" ht="14.25" customHeight="1">
      <c r="A407" s="18" t="s">
        <v>302</v>
      </c>
      <c r="B407" s="18" t="s">
        <v>796</v>
      </c>
      <c r="C407" s="19" t="s">
        <v>797</v>
      </c>
      <c r="D407" s="20" t="s">
        <v>804</v>
      </c>
      <c r="E407" s="19" t="s">
        <v>805</v>
      </c>
      <c r="F407" s="22" t="s">
        <v>20</v>
      </c>
      <c r="G407" s="23">
        <v>24990.0</v>
      </c>
      <c r="H407" s="23">
        <v>12935.0</v>
      </c>
      <c r="I407" s="23">
        <v>6314.0</v>
      </c>
      <c r="J407" s="37"/>
      <c r="K407" s="22"/>
      <c r="L407" s="22">
        <v>6314.0</v>
      </c>
      <c r="M407" s="22">
        <v>6765.0</v>
      </c>
      <c r="N407" s="22">
        <v>7216.0</v>
      </c>
      <c r="O407" s="14"/>
      <c r="P407" s="26">
        <v>0.42</v>
      </c>
      <c r="Q407" s="26">
        <v>0.38</v>
      </c>
      <c r="R407" s="26">
        <v>0.34</v>
      </c>
    </row>
    <row r="408" ht="14.25" customHeight="1">
      <c r="A408" s="18" t="s">
        <v>302</v>
      </c>
      <c r="B408" s="18" t="s">
        <v>796</v>
      </c>
      <c r="C408" s="19" t="s">
        <v>797</v>
      </c>
      <c r="D408" s="20" t="s">
        <v>806</v>
      </c>
      <c r="E408" s="19" t="s">
        <v>807</v>
      </c>
      <c r="F408" s="22" t="s">
        <v>20</v>
      </c>
      <c r="G408" s="23">
        <v>24990.0</v>
      </c>
      <c r="H408" s="23">
        <v>12935.0</v>
      </c>
      <c r="I408" s="23">
        <v>6314.0</v>
      </c>
      <c r="J408" s="37"/>
      <c r="K408" s="22"/>
      <c r="L408" s="22">
        <v>6314.0</v>
      </c>
      <c r="M408" s="22">
        <v>6765.0</v>
      </c>
      <c r="N408" s="22">
        <v>7216.0</v>
      </c>
      <c r="O408" s="14"/>
      <c r="P408" s="26">
        <v>0.42</v>
      </c>
      <c r="Q408" s="26">
        <v>0.38</v>
      </c>
      <c r="R408" s="26">
        <v>0.34</v>
      </c>
    </row>
    <row r="409" ht="14.25" customHeight="1">
      <c r="A409" s="18" t="s">
        <v>302</v>
      </c>
      <c r="B409" s="18" t="s">
        <v>796</v>
      </c>
      <c r="C409" s="19" t="s">
        <v>797</v>
      </c>
      <c r="D409" s="20" t="s">
        <v>808</v>
      </c>
      <c r="E409" s="19" t="s">
        <v>809</v>
      </c>
      <c r="F409" s="22" t="s">
        <v>20</v>
      </c>
      <c r="G409" s="23">
        <v>24990.0</v>
      </c>
      <c r="H409" s="23">
        <v>12935.0</v>
      </c>
      <c r="I409" s="23">
        <v>6314.0</v>
      </c>
      <c r="J409" s="37"/>
      <c r="K409" s="22"/>
      <c r="L409" s="22">
        <v>6314.0</v>
      </c>
      <c r="M409" s="22">
        <v>6765.0</v>
      </c>
      <c r="N409" s="22">
        <v>7216.0</v>
      </c>
      <c r="O409" s="14"/>
      <c r="P409" s="26">
        <v>0.42</v>
      </c>
      <c r="Q409" s="26">
        <v>0.38</v>
      </c>
      <c r="R409" s="26">
        <v>0.34</v>
      </c>
    </row>
    <row r="410" ht="14.25" customHeight="1">
      <c r="A410" s="18" t="s">
        <v>302</v>
      </c>
      <c r="B410" s="18" t="s">
        <v>796</v>
      </c>
      <c r="C410" s="19" t="s">
        <v>797</v>
      </c>
      <c r="D410" s="20" t="s">
        <v>810</v>
      </c>
      <c r="E410" s="19" t="s">
        <v>811</v>
      </c>
      <c r="F410" s="22" t="s">
        <v>20</v>
      </c>
      <c r="G410" s="23">
        <v>24990.0</v>
      </c>
      <c r="H410" s="23">
        <v>12935.0</v>
      </c>
      <c r="I410" s="23">
        <v>6487.0</v>
      </c>
      <c r="J410" s="37"/>
      <c r="K410" s="22"/>
      <c r="L410" s="22">
        <v>6487.0</v>
      </c>
      <c r="M410" s="22">
        <v>6950.0</v>
      </c>
      <c r="N410" s="22">
        <v>7414.0</v>
      </c>
      <c r="O410" s="14"/>
      <c r="P410" s="26">
        <v>0.4</v>
      </c>
      <c r="Q410" s="26">
        <v>0.36</v>
      </c>
      <c r="R410" s="26">
        <v>0.32</v>
      </c>
    </row>
    <row r="411" ht="14.25" customHeight="1">
      <c r="A411" s="18" t="s">
        <v>302</v>
      </c>
      <c r="B411" s="18" t="s">
        <v>796</v>
      </c>
      <c r="C411" s="19" t="s">
        <v>797</v>
      </c>
      <c r="D411" s="20" t="s">
        <v>812</v>
      </c>
      <c r="E411" s="19" t="s">
        <v>813</v>
      </c>
      <c r="F411" s="22" t="s">
        <v>20</v>
      </c>
      <c r="G411" s="23">
        <v>24990.0</v>
      </c>
      <c r="H411" s="23">
        <v>12935.0</v>
      </c>
      <c r="I411" s="23">
        <v>6314.0</v>
      </c>
      <c r="J411" s="37"/>
      <c r="K411" s="22"/>
      <c r="L411" s="22">
        <v>6314.0</v>
      </c>
      <c r="M411" s="22">
        <v>6765.0</v>
      </c>
      <c r="N411" s="22">
        <v>7216.0</v>
      </c>
      <c r="O411" s="14"/>
      <c r="P411" s="26">
        <v>0.42</v>
      </c>
      <c r="Q411" s="26">
        <v>0.38</v>
      </c>
      <c r="R411" s="26">
        <v>0.34</v>
      </c>
    </row>
    <row r="412" ht="14.25" customHeight="1">
      <c r="A412" s="18" t="s">
        <v>302</v>
      </c>
      <c r="B412" s="18" t="s">
        <v>796</v>
      </c>
      <c r="C412" s="19" t="s">
        <v>797</v>
      </c>
      <c r="D412" s="20" t="s">
        <v>814</v>
      </c>
      <c r="E412" s="19" t="s">
        <v>815</v>
      </c>
      <c r="F412" s="22" t="s">
        <v>20</v>
      </c>
      <c r="G412" s="23">
        <v>34990.0</v>
      </c>
      <c r="H412" s="23">
        <v>17641.0</v>
      </c>
      <c r="I412" s="23">
        <v>9203.0</v>
      </c>
      <c r="J412" s="37"/>
      <c r="K412" s="22"/>
      <c r="L412" s="22">
        <v>9203.0</v>
      </c>
      <c r="M412" s="22">
        <v>9860.0</v>
      </c>
      <c r="N412" s="22">
        <v>10518.0</v>
      </c>
      <c r="O412" s="14"/>
      <c r="P412" s="26">
        <v>0.38</v>
      </c>
      <c r="Q412" s="26">
        <v>0.33</v>
      </c>
      <c r="R412" s="26">
        <v>0.29</v>
      </c>
    </row>
    <row r="413" ht="14.25" customHeight="1">
      <c r="A413" s="18" t="s">
        <v>302</v>
      </c>
      <c r="B413" s="18" t="s">
        <v>796</v>
      </c>
      <c r="C413" s="19" t="s">
        <v>797</v>
      </c>
      <c r="D413" s="20" t="s">
        <v>816</v>
      </c>
      <c r="E413" s="19" t="s">
        <v>817</v>
      </c>
      <c r="F413" s="22" t="s">
        <v>20</v>
      </c>
      <c r="G413" s="23">
        <v>34990.0</v>
      </c>
      <c r="H413" s="23">
        <v>17641.0</v>
      </c>
      <c r="I413" s="23">
        <v>9203.0</v>
      </c>
      <c r="J413" s="37"/>
      <c r="K413" s="22"/>
      <c r="L413" s="22">
        <v>9203.0</v>
      </c>
      <c r="M413" s="22">
        <v>9860.0</v>
      </c>
      <c r="N413" s="22">
        <v>10518.0</v>
      </c>
      <c r="O413" s="14"/>
      <c r="P413" s="26">
        <v>0.38</v>
      </c>
      <c r="Q413" s="26">
        <v>0.33</v>
      </c>
      <c r="R413" s="26">
        <v>0.29</v>
      </c>
    </row>
    <row r="414" ht="14.25" customHeight="1">
      <c r="A414" s="18" t="s">
        <v>302</v>
      </c>
      <c r="B414" s="18" t="s">
        <v>796</v>
      </c>
      <c r="C414" s="19" t="s">
        <v>797</v>
      </c>
      <c r="D414" s="20" t="s">
        <v>818</v>
      </c>
      <c r="E414" s="19" t="s">
        <v>819</v>
      </c>
      <c r="F414" s="22" t="s">
        <v>20</v>
      </c>
      <c r="G414" s="23">
        <v>34990.0</v>
      </c>
      <c r="H414" s="23">
        <v>17641.0</v>
      </c>
      <c r="I414" s="23">
        <v>9466.0</v>
      </c>
      <c r="J414" s="37"/>
      <c r="K414" s="22"/>
      <c r="L414" s="22">
        <v>9466.0</v>
      </c>
      <c r="M414" s="22">
        <v>10142.0</v>
      </c>
      <c r="N414" s="22">
        <v>10818.0</v>
      </c>
      <c r="O414" s="14"/>
      <c r="P414" s="26">
        <v>0.36</v>
      </c>
      <c r="Q414" s="26">
        <v>0.32</v>
      </c>
      <c r="R414" s="26">
        <v>0.27</v>
      </c>
    </row>
    <row r="415" ht="14.25" customHeight="1">
      <c r="A415" s="18" t="s">
        <v>302</v>
      </c>
      <c r="B415" s="18" t="s">
        <v>796</v>
      </c>
      <c r="C415" s="19" t="s">
        <v>797</v>
      </c>
      <c r="D415" s="20" t="s">
        <v>820</v>
      </c>
      <c r="E415" s="19" t="s">
        <v>821</v>
      </c>
      <c r="F415" s="22" t="s">
        <v>20</v>
      </c>
      <c r="G415" s="23">
        <v>34990.0</v>
      </c>
      <c r="H415" s="23">
        <v>17641.0</v>
      </c>
      <c r="I415" s="23">
        <v>9203.0</v>
      </c>
      <c r="J415" s="37"/>
      <c r="K415" s="22"/>
      <c r="L415" s="22">
        <v>9203.0</v>
      </c>
      <c r="M415" s="22">
        <v>9860.0</v>
      </c>
      <c r="N415" s="22">
        <v>10518.0</v>
      </c>
      <c r="O415" s="14"/>
      <c r="P415" s="26">
        <v>0.38</v>
      </c>
      <c r="Q415" s="26">
        <v>0.33</v>
      </c>
      <c r="R415" s="26">
        <v>0.29</v>
      </c>
    </row>
    <row r="416" ht="14.25" customHeight="1">
      <c r="A416" s="18" t="s">
        <v>302</v>
      </c>
      <c r="B416" s="18" t="s">
        <v>796</v>
      </c>
      <c r="C416" s="19" t="s">
        <v>797</v>
      </c>
      <c r="D416" s="20" t="s">
        <v>822</v>
      </c>
      <c r="E416" s="19" t="s">
        <v>823</v>
      </c>
      <c r="F416" s="22" t="s">
        <v>20</v>
      </c>
      <c r="G416" s="23">
        <v>34990.0</v>
      </c>
      <c r="H416" s="23">
        <v>17641.0</v>
      </c>
      <c r="I416" s="23">
        <v>9203.0</v>
      </c>
      <c r="J416" s="37"/>
      <c r="K416" s="22"/>
      <c r="L416" s="22">
        <v>9203.0</v>
      </c>
      <c r="M416" s="22">
        <v>9860.0</v>
      </c>
      <c r="N416" s="22">
        <v>10518.0</v>
      </c>
      <c r="O416" s="14"/>
      <c r="P416" s="26">
        <v>0.38</v>
      </c>
      <c r="Q416" s="26">
        <v>0.33</v>
      </c>
      <c r="R416" s="26">
        <v>0.29</v>
      </c>
    </row>
    <row r="417" ht="14.25" customHeight="1">
      <c r="A417" s="18" t="s">
        <v>302</v>
      </c>
      <c r="B417" s="18" t="s">
        <v>796</v>
      </c>
      <c r="C417" s="19" t="s">
        <v>797</v>
      </c>
      <c r="D417" s="20" t="s">
        <v>824</v>
      </c>
      <c r="E417" s="19" t="s">
        <v>825</v>
      </c>
      <c r="F417" s="22" t="s">
        <v>20</v>
      </c>
      <c r="G417" s="23">
        <v>34990.0</v>
      </c>
      <c r="H417" s="23">
        <v>17641.0</v>
      </c>
      <c r="I417" s="23">
        <v>9203.0</v>
      </c>
      <c r="J417" s="37"/>
      <c r="K417" s="22"/>
      <c r="L417" s="22">
        <v>9203.0</v>
      </c>
      <c r="M417" s="22">
        <v>9860.0</v>
      </c>
      <c r="N417" s="22">
        <v>10518.0</v>
      </c>
      <c r="O417" s="14"/>
      <c r="P417" s="26">
        <v>0.38</v>
      </c>
      <c r="Q417" s="26">
        <v>0.33</v>
      </c>
      <c r="R417" s="26">
        <v>0.29</v>
      </c>
    </row>
    <row r="418" ht="14.25" customHeight="1">
      <c r="A418" s="18" t="s">
        <v>302</v>
      </c>
      <c r="B418" s="18" t="s">
        <v>796</v>
      </c>
      <c r="C418" s="19" t="s">
        <v>797</v>
      </c>
      <c r="D418" s="20" t="s">
        <v>826</v>
      </c>
      <c r="E418" s="19" t="s">
        <v>827</v>
      </c>
      <c r="F418" s="22" t="s">
        <v>20</v>
      </c>
      <c r="G418" s="23">
        <v>34990.0</v>
      </c>
      <c r="H418" s="23">
        <v>17641.0</v>
      </c>
      <c r="I418" s="23">
        <v>9466.0</v>
      </c>
      <c r="J418" s="37"/>
      <c r="K418" s="22"/>
      <c r="L418" s="22">
        <v>9466.0</v>
      </c>
      <c r="M418" s="22">
        <v>10142.0</v>
      </c>
      <c r="N418" s="22">
        <v>10818.0</v>
      </c>
      <c r="O418" s="14"/>
      <c r="P418" s="26">
        <v>0.36</v>
      </c>
      <c r="Q418" s="26">
        <v>0.32</v>
      </c>
      <c r="R418" s="26">
        <v>0.27</v>
      </c>
    </row>
    <row r="419" ht="14.25" customHeight="1">
      <c r="A419" s="18" t="s">
        <v>302</v>
      </c>
      <c r="B419" s="18" t="s">
        <v>796</v>
      </c>
      <c r="C419" s="19" t="s">
        <v>797</v>
      </c>
      <c r="D419" s="20" t="s">
        <v>828</v>
      </c>
      <c r="E419" s="19" t="s">
        <v>829</v>
      </c>
      <c r="F419" s="22" t="s">
        <v>20</v>
      </c>
      <c r="G419" s="23">
        <v>34990.0</v>
      </c>
      <c r="H419" s="23">
        <v>17641.0</v>
      </c>
      <c r="I419" s="23">
        <v>9203.0</v>
      </c>
      <c r="J419" s="37"/>
      <c r="K419" s="22"/>
      <c r="L419" s="22">
        <v>9203.0</v>
      </c>
      <c r="M419" s="22">
        <v>9860.0</v>
      </c>
      <c r="N419" s="22">
        <v>10518.0</v>
      </c>
      <c r="O419" s="14"/>
      <c r="P419" s="26">
        <v>0.38</v>
      </c>
      <c r="Q419" s="26">
        <v>0.33</v>
      </c>
      <c r="R419" s="26">
        <v>0.29</v>
      </c>
    </row>
    <row r="420" ht="14.25" customHeight="1">
      <c r="A420" s="18" t="s">
        <v>302</v>
      </c>
      <c r="B420" s="18" t="s">
        <v>796</v>
      </c>
      <c r="C420" s="19" t="s">
        <v>830</v>
      </c>
      <c r="D420" s="20" t="s">
        <v>831</v>
      </c>
      <c r="E420" s="19" t="s">
        <v>832</v>
      </c>
      <c r="F420" s="21" t="s">
        <v>20</v>
      </c>
      <c r="G420" s="23">
        <v>59990.0</v>
      </c>
      <c r="H420" s="23">
        <v>29406.0</v>
      </c>
      <c r="I420" s="23">
        <v>19438.0</v>
      </c>
      <c r="J420" s="37"/>
      <c r="K420" s="22"/>
      <c r="L420" s="22">
        <v>19438.0</v>
      </c>
      <c r="M420" s="22">
        <v>20826.0</v>
      </c>
      <c r="N420" s="22">
        <v>22215.0</v>
      </c>
      <c r="O420" s="14"/>
      <c r="P420" s="26">
        <v>0.21</v>
      </c>
      <c r="Q420" s="26">
        <v>0.16</v>
      </c>
      <c r="R420" s="26">
        <v>0.1</v>
      </c>
    </row>
    <row r="421" ht="14.25" customHeight="1">
      <c r="A421" s="18" t="s">
        <v>302</v>
      </c>
      <c r="B421" s="18" t="s">
        <v>796</v>
      </c>
      <c r="C421" s="19" t="s">
        <v>830</v>
      </c>
      <c r="D421" s="20" t="s">
        <v>833</v>
      </c>
      <c r="E421" s="19" t="s">
        <v>834</v>
      </c>
      <c r="F421" s="21" t="s">
        <v>20</v>
      </c>
      <c r="G421" s="23">
        <v>59990.0</v>
      </c>
      <c r="H421" s="23">
        <v>29406.0</v>
      </c>
      <c r="I421" s="23">
        <v>19438.0</v>
      </c>
      <c r="J421" s="37"/>
      <c r="K421" s="22"/>
      <c r="L421" s="22">
        <v>19438.0</v>
      </c>
      <c r="M421" s="22">
        <v>20826.0</v>
      </c>
      <c r="N421" s="22">
        <v>22215.0</v>
      </c>
      <c r="O421" s="14"/>
      <c r="P421" s="26">
        <v>0.21</v>
      </c>
      <c r="Q421" s="26">
        <v>0.16</v>
      </c>
      <c r="R421" s="26">
        <v>0.1</v>
      </c>
    </row>
    <row r="422" ht="14.25" customHeight="1">
      <c r="A422" s="18" t="s">
        <v>302</v>
      </c>
      <c r="B422" s="18" t="s">
        <v>796</v>
      </c>
      <c r="C422" s="19" t="s">
        <v>830</v>
      </c>
      <c r="D422" s="20" t="s">
        <v>835</v>
      </c>
      <c r="E422" s="19" t="s">
        <v>836</v>
      </c>
      <c r="F422" s="21" t="s">
        <v>20</v>
      </c>
      <c r="G422" s="23">
        <v>59990.0</v>
      </c>
      <c r="H422" s="23">
        <v>29406.0</v>
      </c>
      <c r="I422" s="23">
        <v>19438.0</v>
      </c>
      <c r="J422" s="37"/>
      <c r="K422" s="22"/>
      <c r="L422" s="22">
        <v>19438.0</v>
      </c>
      <c r="M422" s="22">
        <v>20826.0</v>
      </c>
      <c r="N422" s="22">
        <v>22215.0</v>
      </c>
      <c r="O422" s="14"/>
      <c r="P422" s="26">
        <v>0.21</v>
      </c>
      <c r="Q422" s="26">
        <v>0.16</v>
      </c>
      <c r="R422" s="26">
        <v>0.1</v>
      </c>
    </row>
    <row r="423" ht="14.25" customHeight="1">
      <c r="A423" s="18" t="s">
        <v>302</v>
      </c>
      <c r="B423" s="18" t="s">
        <v>796</v>
      </c>
      <c r="C423" s="19" t="s">
        <v>830</v>
      </c>
      <c r="D423" s="20" t="s">
        <v>837</v>
      </c>
      <c r="E423" s="19" t="s">
        <v>838</v>
      </c>
      <c r="F423" s="21" t="s">
        <v>20</v>
      </c>
      <c r="G423" s="23">
        <v>59990.0</v>
      </c>
      <c r="H423" s="23">
        <v>29406.0</v>
      </c>
      <c r="I423" s="23">
        <v>19437.0</v>
      </c>
      <c r="J423" s="37"/>
      <c r="K423" s="22"/>
      <c r="L423" s="22">
        <v>19437.0</v>
      </c>
      <c r="M423" s="22">
        <v>20825.0</v>
      </c>
      <c r="N423" s="22">
        <v>22214.0</v>
      </c>
      <c r="O423" s="14"/>
      <c r="P423" s="26">
        <v>0.21</v>
      </c>
      <c r="Q423" s="26">
        <v>0.16</v>
      </c>
      <c r="R423" s="26">
        <v>0.1</v>
      </c>
    </row>
    <row r="424" ht="14.25" customHeight="1">
      <c r="A424" s="18" t="s">
        <v>302</v>
      </c>
      <c r="B424" s="18" t="s">
        <v>796</v>
      </c>
      <c r="C424" s="19" t="s">
        <v>830</v>
      </c>
      <c r="D424" s="20" t="s">
        <v>839</v>
      </c>
      <c r="E424" s="19" t="s">
        <v>840</v>
      </c>
      <c r="F424" s="21" t="s">
        <v>20</v>
      </c>
      <c r="G424" s="23">
        <v>59990.0</v>
      </c>
      <c r="H424" s="23">
        <v>29406.0</v>
      </c>
      <c r="I424" s="23">
        <v>19438.0</v>
      </c>
      <c r="J424" s="37"/>
      <c r="K424" s="22"/>
      <c r="L424" s="22">
        <v>19438.0</v>
      </c>
      <c r="M424" s="22">
        <v>20826.0</v>
      </c>
      <c r="N424" s="22">
        <v>22215.0</v>
      </c>
      <c r="O424" s="14"/>
      <c r="P424" s="26">
        <v>0.21</v>
      </c>
      <c r="Q424" s="26">
        <v>0.16</v>
      </c>
      <c r="R424" s="26">
        <v>0.1</v>
      </c>
    </row>
    <row r="425" ht="14.25" customHeight="1">
      <c r="A425" s="18" t="s">
        <v>302</v>
      </c>
      <c r="B425" s="18" t="s">
        <v>796</v>
      </c>
      <c r="C425" s="19" t="s">
        <v>830</v>
      </c>
      <c r="D425" s="20" t="s">
        <v>841</v>
      </c>
      <c r="E425" s="19" t="s">
        <v>842</v>
      </c>
      <c r="F425" s="21" t="s">
        <v>20</v>
      </c>
      <c r="G425" s="23">
        <v>59990.0</v>
      </c>
      <c r="H425" s="23">
        <v>29406.0</v>
      </c>
      <c r="I425" s="23">
        <v>19438.0</v>
      </c>
      <c r="J425" s="37"/>
      <c r="K425" s="22"/>
      <c r="L425" s="22">
        <v>19438.0</v>
      </c>
      <c r="M425" s="22">
        <v>20826.0</v>
      </c>
      <c r="N425" s="22">
        <v>22215.0</v>
      </c>
      <c r="O425" s="14"/>
      <c r="P425" s="26">
        <v>0.21</v>
      </c>
      <c r="Q425" s="26">
        <v>0.16</v>
      </c>
      <c r="R425" s="26">
        <v>0.1</v>
      </c>
    </row>
    <row r="426" ht="14.25" customHeight="1">
      <c r="A426" s="18" t="s">
        <v>302</v>
      </c>
      <c r="B426" s="18" t="s">
        <v>796</v>
      </c>
      <c r="C426" s="19" t="s">
        <v>830</v>
      </c>
      <c r="D426" s="20" t="s">
        <v>843</v>
      </c>
      <c r="E426" s="19" t="s">
        <v>844</v>
      </c>
      <c r="F426" s="21" t="s">
        <v>20</v>
      </c>
      <c r="G426" s="23">
        <v>59990.0</v>
      </c>
      <c r="H426" s="23">
        <v>29406.0</v>
      </c>
      <c r="I426" s="23">
        <v>19438.0</v>
      </c>
      <c r="J426" s="37"/>
      <c r="K426" s="22"/>
      <c r="L426" s="22">
        <v>19438.0</v>
      </c>
      <c r="M426" s="22">
        <v>20826.0</v>
      </c>
      <c r="N426" s="22">
        <v>22215.0</v>
      </c>
      <c r="O426" s="14"/>
      <c r="P426" s="26">
        <v>0.21</v>
      </c>
      <c r="Q426" s="26">
        <v>0.16</v>
      </c>
      <c r="R426" s="26">
        <v>0.1</v>
      </c>
    </row>
    <row r="427" ht="14.25" customHeight="1">
      <c r="A427" s="18" t="s">
        <v>302</v>
      </c>
      <c r="B427" s="18" t="s">
        <v>796</v>
      </c>
      <c r="C427" s="19" t="s">
        <v>830</v>
      </c>
      <c r="D427" s="20" t="s">
        <v>845</v>
      </c>
      <c r="E427" s="19" t="s">
        <v>846</v>
      </c>
      <c r="F427" s="21" t="s">
        <v>20</v>
      </c>
      <c r="G427" s="23">
        <v>59990.0</v>
      </c>
      <c r="H427" s="23">
        <v>29406.0</v>
      </c>
      <c r="I427" s="23">
        <v>19438.0</v>
      </c>
      <c r="J427" s="37"/>
      <c r="K427" s="22"/>
      <c r="L427" s="22">
        <v>19438.0</v>
      </c>
      <c r="M427" s="22">
        <v>20826.0</v>
      </c>
      <c r="N427" s="22">
        <v>22215.0</v>
      </c>
      <c r="O427" s="14"/>
      <c r="P427" s="26">
        <v>0.21</v>
      </c>
      <c r="Q427" s="26">
        <v>0.16</v>
      </c>
      <c r="R427" s="26">
        <v>0.1</v>
      </c>
    </row>
    <row r="428" ht="14.25" customHeight="1">
      <c r="A428" s="18" t="s">
        <v>302</v>
      </c>
      <c r="B428" s="18" t="s">
        <v>796</v>
      </c>
      <c r="C428" s="19" t="s">
        <v>830</v>
      </c>
      <c r="D428" s="20" t="s">
        <v>847</v>
      </c>
      <c r="E428" s="19" t="s">
        <v>848</v>
      </c>
      <c r="F428" s="22" t="s">
        <v>20</v>
      </c>
      <c r="G428" s="23">
        <v>49990.0</v>
      </c>
      <c r="H428" s="23">
        <v>23524.0</v>
      </c>
      <c r="I428" s="23">
        <v>12521.0</v>
      </c>
      <c r="J428" s="37"/>
      <c r="K428" s="22"/>
      <c r="L428" s="22">
        <v>12521.0</v>
      </c>
      <c r="M428" s="22">
        <v>13415.0</v>
      </c>
      <c r="N428" s="22">
        <v>14310.0</v>
      </c>
      <c r="O428" s="14"/>
      <c r="P428" s="26">
        <v>0.37</v>
      </c>
      <c r="Q428" s="26">
        <v>0.32</v>
      </c>
      <c r="R428" s="26">
        <v>0.28</v>
      </c>
    </row>
    <row r="429" ht="14.25" customHeight="1">
      <c r="A429" s="18" t="s">
        <v>302</v>
      </c>
      <c r="B429" s="18" t="s">
        <v>796</v>
      </c>
      <c r="C429" s="19" t="s">
        <v>830</v>
      </c>
      <c r="D429" s="20" t="s">
        <v>849</v>
      </c>
      <c r="E429" s="19" t="s">
        <v>850</v>
      </c>
      <c r="F429" s="22" t="s">
        <v>20</v>
      </c>
      <c r="G429" s="23">
        <v>49990.0</v>
      </c>
      <c r="H429" s="23">
        <v>23524.0</v>
      </c>
      <c r="I429" s="23">
        <v>12521.0</v>
      </c>
      <c r="J429" s="37"/>
      <c r="K429" s="22"/>
      <c r="L429" s="22">
        <v>12521.0</v>
      </c>
      <c r="M429" s="22">
        <v>13415.0</v>
      </c>
      <c r="N429" s="22">
        <v>14310.0</v>
      </c>
      <c r="O429" s="14"/>
      <c r="P429" s="26">
        <v>0.37</v>
      </c>
      <c r="Q429" s="26">
        <v>0.32</v>
      </c>
      <c r="R429" s="26">
        <v>0.28</v>
      </c>
    </row>
    <row r="430" ht="14.25" customHeight="1">
      <c r="A430" s="18" t="s">
        <v>302</v>
      </c>
      <c r="B430" s="18" t="s">
        <v>796</v>
      </c>
      <c r="C430" s="19" t="s">
        <v>830</v>
      </c>
      <c r="D430" s="20" t="s">
        <v>851</v>
      </c>
      <c r="E430" s="19" t="s">
        <v>852</v>
      </c>
      <c r="F430" s="22" t="s">
        <v>20</v>
      </c>
      <c r="G430" s="23">
        <v>49990.0</v>
      </c>
      <c r="H430" s="23">
        <v>23524.0</v>
      </c>
      <c r="I430" s="23">
        <v>12521.0</v>
      </c>
      <c r="J430" s="37"/>
      <c r="K430" s="22"/>
      <c r="L430" s="22">
        <v>12521.0</v>
      </c>
      <c r="M430" s="22">
        <v>13415.0</v>
      </c>
      <c r="N430" s="22">
        <v>14310.0</v>
      </c>
      <c r="O430" s="14"/>
      <c r="P430" s="26">
        <v>0.37</v>
      </c>
      <c r="Q430" s="26">
        <v>0.32</v>
      </c>
      <c r="R430" s="26">
        <v>0.28</v>
      </c>
    </row>
    <row r="431" ht="14.25" customHeight="1">
      <c r="A431" s="18" t="s">
        <v>302</v>
      </c>
      <c r="B431" s="18" t="s">
        <v>796</v>
      </c>
      <c r="C431" s="19" t="s">
        <v>830</v>
      </c>
      <c r="D431" s="20" t="s">
        <v>853</v>
      </c>
      <c r="E431" s="19" t="s">
        <v>854</v>
      </c>
      <c r="F431" s="22" t="s">
        <v>20</v>
      </c>
      <c r="G431" s="23">
        <v>49990.0</v>
      </c>
      <c r="H431" s="23">
        <v>23524.0</v>
      </c>
      <c r="I431" s="23">
        <v>12521.0</v>
      </c>
      <c r="J431" s="37"/>
      <c r="K431" s="22"/>
      <c r="L431" s="22">
        <v>12521.0</v>
      </c>
      <c r="M431" s="22">
        <v>13415.0</v>
      </c>
      <c r="N431" s="22">
        <v>14310.0</v>
      </c>
      <c r="O431" s="14"/>
      <c r="P431" s="26">
        <v>0.37</v>
      </c>
      <c r="Q431" s="26">
        <v>0.32</v>
      </c>
      <c r="R431" s="26">
        <v>0.28</v>
      </c>
    </row>
    <row r="432" ht="14.25" customHeight="1">
      <c r="A432" s="18" t="s">
        <v>302</v>
      </c>
      <c r="B432" s="18" t="s">
        <v>796</v>
      </c>
      <c r="C432" s="19" t="s">
        <v>830</v>
      </c>
      <c r="D432" s="20" t="s">
        <v>855</v>
      </c>
      <c r="E432" s="19" t="s">
        <v>856</v>
      </c>
      <c r="F432" s="22" t="s">
        <v>20</v>
      </c>
      <c r="G432" s="23">
        <v>49990.0</v>
      </c>
      <c r="H432" s="23">
        <v>23524.0</v>
      </c>
      <c r="I432" s="23">
        <v>12521.0</v>
      </c>
      <c r="J432" s="37"/>
      <c r="K432" s="22"/>
      <c r="L432" s="22">
        <v>12521.0</v>
      </c>
      <c r="M432" s="22">
        <v>13415.0</v>
      </c>
      <c r="N432" s="22">
        <v>14310.0</v>
      </c>
      <c r="O432" s="14"/>
      <c r="P432" s="26">
        <v>0.37</v>
      </c>
      <c r="Q432" s="26">
        <v>0.32</v>
      </c>
      <c r="R432" s="26">
        <v>0.28</v>
      </c>
    </row>
    <row r="433" ht="14.25" customHeight="1">
      <c r="A433" s="18" t="s">
        <v>302</v>
      </c>
      <c r="B433" s="18" t="s">
        <v>796</v>
      </c>
      <c r="C433" s="19" t="s">
        <v>830</v>
      </c>
      <c r="D433" s="20" t="s">
        <v>857</v>
      </c>
      <c r="E433" s="19" t="s">
        <v>858</v>
      </c>
      <c r="F433" s="22" t="s">
        <v>20</v>
      </c>
      <c r="G433" s="23">
        <v>49990.0</v>
      </c>
      <c r="H433" s="23">
        <v>23524.0</v>
      </c>
      <c r="I433" s="23">
        <v>12521.0</v>
      </c>
      <c r="J433" s="37"/>
      <c r="K433" s="22"/>
      <c r="L433" s="22">
        <v>12521.0</v>
      </c>
      <c r="M433" s="22">
        <v>13415.0</v>
      </c>
      <c r="N433" s="22">
        <v>14310.0</v>
      </c>
      <c r="O433" s="14"/>
      <c r="P433" s="26">
        <v>0.37</v>
      </c>
      <c r="Q433" s="26">
        <v>0.32</v>
      </c>
      <c r="R433" s="26">
        <v>0.28</v>
      </c>
    </row>
    <row r="434" ht="14.25" customHeight="1">
      <c r="A434" s="18" t="s">
        <v>302</v>
      </c>
      <c r="B434" s="18" t="s">
        <v>796</v>
      </c>
      <c r="C434" s="19" t="s">
        <v>830</v>
      </c>
      <c r="D434" s="20" t="s">
        <v>859</v>
      </c>
      <c r="E434" s="19" t="s">
        <v>860</v>
      </c>
      <c r="F434" s="22" t="s">
        <v>20</v>
      </c>
      <c r="G434" s="23">
        <v>49990.0</v>
      </c>
      <c r="H434" s="23">
        <v>23524.0</v>
      </c>
      <c r="I434" s="23">
        <v>12521.0</v>
      </c>
      <c r="J434" s="37"/>
      <c r="K434" s="22"/>
      <c r="L434" s="22">
        <v>12521.0</v>
      </c>
      <c r="M434" s="22">
        <v>13415.0</v>
      </c>
      <c r="N434" s="22">
        <v>14310.0</v>
      </c>
      <c r="O434" s="14"/>
      <c r="P434" s="26">
        <v>0.37</v>
      </c>
      <c r="Q434" s="26">
        <v>0.32</v>
      </c>
      <c r="R434" s="26">
        <v>0.28</v>
      </c>
    </row>
    <row r="435" ht="14.25" customHeight="1">
      <c r="A435" s="18" t="s">
        <v>302</v>
      </c>
      <c r="B435" s="18" t="s">
        <v>796</v>
      </c>
      <c r="C435" s="19" t="s">
        <v>830</v>
      </c>
      <c r="D435" s="20" t="s">
        <v>861</v>
      </c>
      <c r="E435" s="19" t="s">
        <v>862</v>
      </c>
      <c r="F435" s="22" t="s">
        <v>20</v>
      </c>
      <c r="G435" s="23">
        <v>49990.0</v>
      </c>
      <c r="H435" s="23">
        <v>23524.0</v>
      </c>
      <c r="I435" s="23">
        <v>12521.0</v>
      </c>
      <c r="J435" s="37"/>
      <c r="K435" s="22"/>
      <c r="L435" s="22">
        <v>12521.0</v>
      </c>
      <c r="M435" s="22">
        <v>13415.0</v>
      </c>
      <c r="N435" s="22">
        <v>14310.0</v>
      </c>
      <c r="O435" s="14"/>
      <c r="P435" s="26">
        <v>0.37</v>
      </c>
      <c r="Q435" s="26">
        <v>0.32</v>
      </c>
      <c r="R435" s="26">
        <v>0.28</v>
      </c>
    </row>
    <row r="436" ht="14.25" customHeight="1">
      <c r="A436" s="18" t="s">
        <v>302</v>
      </c>
      <c r="B436" s="18" t="s">
        <v>796</v>
      </c>
      <c r="C436" s="19" t="s">
        <v>830</v>
      </c>
      <c r="D436" s="20" t="s">
        <v>863</v>
      </c>
      <c r="E436" s="19" t="s">
        <v>864</v>
      </c>
      <c r="F436" s="22" t="s">
        <v>20</v>
      </c>
      <c r="G436" s="23">
        <v>59990.0</v>
      </c>
      <c r="H436" s="23">
        <v>31171.0</v>
      </c>
      <c r="I436" s="23">
        <v>15945.0</v>
      </c>
      <c r="J436" s="37"/>
      <c r="K436" s="22"/>
      <c r="L436" s="22">
        <v>15945.0</v>
      </c>
      <c r="M436" s="22">
        <v>17084.0</v>
      </c>
      <c r="N436" s="22">
        <v>18223.0</v>
      </c>
      <c r="O436" s="14"/>
      <c r="P436" s="26">
        <v>0.39</v>
      </c>
      <c r="Q436" s="26">
        <v>0.35</v>
      </c>
      <c r="R436" s="26">
        <v>0.3</v>
      </c>
    </row>
    <row r="437" ht="14.25" customHeight="1">
      <c r="A437" s="18" t="s">
        <v>302</v>
      </c>
      <c r="B437" s="18" t="s">
        <v>796</v>
      </c>
      <c r="C437" s="19" t="s">
        <v>830</v>
      </c>
      <c r="D437" s="20" t="s">
        <v>865</v>
      </c>
      <c r="E437" s="19" t="s">
        <v>866</v>
      </c>
      <c r="F437" s="22" t="s">
        <v>20</v>
      </c>
      <c r="G437" s="23">
        <v>59990.0</v>
      </c>
      <c r="H437" s="23">
        <v>31171.0</v>
      </c>
      <c r="I437" s="23">
        <v>15945.0</v>
      </c>
      <c r="J437" s="37"/>
      <c r="K437" s="22"/>
      <c r="L437" s="22">
        <v>15945.0</v>
      </c>
      <c r="M437" s="22">
        <v>17084.0</v>
      </c>
      <c r="N437" s="22">
        <v>18223.0</v>
      </c>
      <c r="O437" s="14"/>
      <c r="P437" s="26">
        <v>0.39</v>
      </c>
      <c r="Q437" s="26">
        <v>0.35</v>
      </c>
      <c r="R437" s="26">
        <v>0.3</v>
      </c>
    </row>
    <row r="438" ht="14.25" customHeight="1">
      <c r="A438" s="18" t="s">
        <v>302</v>
      </c>
      <c r="B438" s="18" t="s">
        <v>796</v>
      </c>
      <c r="C438" s="19" t="s">
        <v>830</v>
      </c>
      <c r="D438" s="20" t="s">
        <v>867</v>
      </c>
      <c r="E438" s="19" t="s">
        <v>868</v>
      </c>
      <c r="F438" s="22" t="s">
        <v>20</v>
      </c>
      <c r="G438" s="23">
        <v>59990.0</v>
      </c>
      <c r="H438" s="23">
        <v>31171.0</v>
      </c>
      <c r="I438" s="23">
        <v>15945.0</v>
      </c>
      <c r="J438" s="37"/>
      <c r="K438" s="22"/>
      <c r="L438" s="22">
        <v>15945.0</v>
      </c>
      <c r="M438" s="22">
        <v>17084.0</v>
      </c>
      <c r="N438" s="22">
        <v>18223.0</v>
      </c>
      <c r="O438" s="14"/>
      <c r="P438" s="26">
        <v>0.39</v>
      </c>
      <c r="Q438" s="26">
        <v>0.35</v>
      </c>
      <c r="R438" s="26">
        <v>0.3</v>
      </c>
    </row>
    <row r="439" ht="14.25" customHeight="1">
      <c r="A439" s="18" t="s">
        <v>302</v>
      </c>
      <c r="B439" s="18" t="s">
        <v>796</v>
      </c>
      <c r="C439" s="19" t="s">
        <v>830</v>
      </c>
      <c r="D439" s="20" t="s">
        <v>869</v>
      </c>
      <c r="E439" s="19" t="s">
        <v>870</v>
      </c>
      <c r="F439" s="22" t="s">
        <v>20</v>
      </c>
      <c r="G439" s="23">
        <v>59990.0</v>
      </c>
      <c r="H439" s="23">
        <v>31171.0</v>
      </c>
      <c r="I439" s="23">
        <v>15945.0</v>
      </c>
      <c r="J439" s="37"/>
      <c r="K439" s="22"/>
      <c r="L439" s="22">
        <v>15945.0</v>
      </c>
      <c r="M439" s="22">
        <v>17084.0</v>
      </c>
      <c r="N439" s="22">
        <v>18223.0</v>
      </c>
      <c r="O439" s="14"/>
      <c r="P439" s="26">
        <v>0.39</v>
      </c>
      <c r="Q439" s="26">
        <v>0.35</v>
      </c>
      <c r="R439" s="26">
        <v>0.3</v>
      </c>
    </row>
    <row r="440" ht="14.25" customHeight="1">
      <c r="A440" s="18" t="s">
        <v>302</v>
      </c>
      <c r="B440" s="18" t="s">
        <v>796</v>
      </c>
      <c r="C440" s="19" t="s">
        <v>830</v>
      </c>
      <c r="D440" s="20" t="s">
        <v>871</v>
      </c>
      <c r="E440" s="19" t="s">
        <v>872</v>
      </c>
      <c r="F440" s="22" t="s">
        <v>20</v>
      </c>
      <c r="G440" s="23">
        <v>59990.0</v>
      </c>
      <c r="H440" s="23">
        <v>31171.0</v>
      </c>
      <c r="I440" s="23">
        <v>15945.0</v>
      </c>
      <c r="J440" s="37"/>
      <c r="K440" s="22"/>
      <c r="L440" s="22">
        <v>15945.0</v>
      </c>
      <c r="M440" s="22">
        <v>17084.0</v>
      </c>
      <c r="N440" s="22">
        <v>18223.0</v>
      </c>
      <c r="O440" s="14"/>
      <c r="P440" s="26">
        <v>0.39</v>
      </c>
      <c r="Q440" s="26">
        <v>0.35</v>
      </c>
      <c r="R440" s="26">
        <v>0.3</v>
      </c>
    </row>
    <row r="441" ht="14.25" customHeight="1">
      <c r="A441" s="18" t="s">
        <v>302</v>
      </c>
      <c r="B441" s="18" t="s">
        <v>796</v>
      </c>
      <c r="C441" s="19" t="s">
        <v>830</v>
      </c>
      <c r="D441" s="20" t="s">
        <v>873</v>
      </c>
      <c r="E441" s="19" t="s">
        <v>874</v>
      </c>
      <c r="F441" s="22" t="s">
        <v>20</v>
      </c>
      <c r="G441" s="23">
        <v>59990.0</v>
      </c>
      <c r="H441" s="23">
        <v>31171.0</v>
      </c>
      <c r="I441" s="23">
        <v>15945.0</v>
      </c>
      <c r="J441" s="37"/>
      <c r="K441" s="22"/>
      <c r="L441" s="22">
        <v>15945.0</v>
      </c>
      <c r="M441" s="22">
        <v>17084.0</v>
      </c>
      <c r="N441" s="22">
        <v>18223.0</v>
      </c>
      <c r="O441" s="14"/>
      <c r="P441" s="26">
        <v>0.39</v>
      </c>
      <c r="Q441" s="26">
        <v>0.35</v>
      </c>
      <c r="R441" s="26">
        <v>0.3</v>
      </c>
    </row>
    <row r="442" ht="14.25" customHeight="1">
      <c r="A442" s="18" t="s">
        <v>302</v>
      </c>
      <c r="B442" s="18" t="s">
        <v>796</v>
      </c>
      <c r="C442" s="19" t="s">
        <v>830</v>
      </c>
      <c r="D442" s="20" t="s">
        <v>875</v>
      </c>
      <c r="E442" s="19" t="s">
        <v>876</v>
      </c>
      <c r="F442" s="22" t="s">
        <v>20</v>
      </c>
      <c r="G442" s="23">
        <v>59990.0</v>
      </c>
      <c r="H442" s="23">
        <v>31171.0</v>
      </c>
      <c r="I442" s="23">
        <v>15945.0</v>
      </c>
      <c r="J442" s="37"/>
      <c r="K442" s="22"/>
      <c r="L442" s="22">
        <v>15945.0</v>
      </c>
      <c r="M442" s="22">
        <v>17084.0</v>
      </c>
      <c r="N442" s="22">
        <v>18223.0</v>
      </c>
      <c r="O442" s="14"/>
      <c r="P442" s="26">
        <v>0.39</v>
      </c>
      <c r="Q442" s="26">
        <v>0.35</v>
      </c>
      <c r="R442" s="26">
        <v>0.3</v>
      </c>
    </row>
    <row r="443" ht="14.25" customHeight="1">
      <c r="A443" s="18" t="s">
        <v>302</v>
      </c>
      <c r="B443" s="18" t="s">
        <v>796</v>
      </c>
      <c r="C443" s="19" t="s">
        <v>830</v>
      </c>
      <c r="D443" s="20" t="s">
        <v>877</v>
      </c>
      <c r="E443" s="19" t="s">
        <v>878</v>
      </c>
      <c r="F443" s="22" t="s">
        <v>20</v>
      </c>
      <c r="G443" s="23">
        <v>59990.0</v>
      </c>
      <c r="H443" s="23">
        <v>31171.0</v>
      </c>
      <c r="I443" s="23">
        <v>15945.0</v>
      </c>
      <c r="J443" s="37"/>
      <c r="K443" s="22"/>
      <c r="L443" s="22">
        <v>15945.0</v>
      </c>
      <c r="M443" s="22">
        <v>17084.0</v>
      </c>
      <c r="N443" s="22">
        <v>18223.0</v>
      </c>
      <c r="O443" s="14"/>
      <c r="P443" s="26">
        <v>0.39</v>
      </c>
      <c r="Q443" s="26">
        <v>0.35</v>
      </c>
      <c r="R443" s="26">
        <v>0.3</v>
      </c>
    </row>
    <row r="444" ht="14.25" customHeight="1">
      <c r="A444" s="18" t="s">
        <v>302</v>
      </c>
      <c r="B444" s="18" t="s">
        <v>796</v>
      </c>
      <c r="C444" s="19" t="s">
        <v>830</v>
      </c>
      <c r="D444" s="20" t="s">
        <v>879</v>
      </c>
      <c r="E444" s="19" t="s">
        <v>880</v>
      </c>
      <c r="F444" s="22" t="s">
        <v>20</v>
      </c>
      <c r="G444" s="23">
        <v>24990.0</v>
      </c>
      <c r="H444" s="23">
        <v>12935.0</v>
      </c>
      <c r="I444" s="23">
        <v>6100.0</v>
      </c>
      <c r="J444" s="37"/>
      <c r="K444" s="22"/>
      <c r="L444" s="22">
        <v>6100.0</v>
      </c>
      <c r="M444" s="22">
        <v>6536.0</v>
      </c>
      <c r="N444" s="22">
        <v>6971.0</v>
      </c>
      <c r="O444" s="14"/>
      <c r="P444" s="26">
        <v>0.44</v>
      </c>
      <c r="Q444" s="26">
        <v>0.4</v>
      </c>
      <c r="R444" s="26">
        <v>0.36</v>
      </c>
    </row>
    <row r="445" ht="14.25" customHeight="1">
      <c r="A445" s="18" t="s">
        <v>302</v>
      </c>
      <c r="B445" s="18" t="s">
        <v>796</v>
      </c>
      <c r="C445" s="19" t="s">
        <v>830</v>
      </c>
      <c r="D445" s="20" t="s">
        <v>881</v>
      </c>
      <c r="E445" s="19" t="s">
        <v>882</v>
      </c>
      <c r="F445" s="22" t="s">
        <v>20</v>
      </c>
      <c r="G445" s="23">
        <v>24990.0</v>
      </c>
      <c r="H445" s="23">
        <v>12935.0</v>
      </c>
      <c r="I445" s="23">
        <v>6100.0</v>
      </c>
      <c r="J445" s="37"/>
      <c r="K445" s="22"/>
      <c r="L445" s="22">
        <v>6100.0</v>
      </c>
      <c r="M445" s="22">
        <v>6536.0</v>
      </c>
      <c r="N445" s="22">
        <v>6971.0</v>
      </c>
      <c r="O445" s="14"/>
      <c r="P445" s="26">
        <v>0.44</v>
      </c>
      <c r="Q445" s="26">
        <v>0.4</v>
      </c>
      <c r="R445" s="26">
        <v>0.36</v>
      </c>
    </row>
    <row r="446" ht="14.25" customHeight="1">
      <c r="A446" s="18" t="s">
        <v>302</v>
      </c>
      <c r="B446" s="18" t="s">
        <v>796</v>
      </c>
      <c r="C446" s="19" t="s">
        <v>830</v>
      </c>
      <c r="D446" s="20" t="s">
        <v>883</v>
      </c>
      <c r="E446" s="19" t="s">
        <v>884</v>
      </c>
      <c r="F446" s="22" t="s">
        <v>20</v>
      </c>
      <c r="G446" s="23">
        <v>24990.0</v>
      </c>
      <c r="H446" s="23">
        <v>12935.0</v>
      </c>
      <c r="I446" s="23">
        <v>6274.0</v>
      </c>
      <c r="J446" s="37"/>
      <c r="K446" s="22"/>
      <c r="L446" s="22">
        <v>6274.0</v>
      </c>
      <c r="M446" s="22">
        <v>6722.0</v>
      </c>
      <c r="N446" s="22">
        <v>7170.0</v>
      </c>
      <c r="O446" s="14"/>
      <c r="P446" s="26">
        <v>0.42</v>
      </c>
      <c r="Q446" s="26">
        <v>0.38</v>
      </c>
      <c r="R446" s="26">
        <v>0.34</v>
      </c>
    </row>
    <row r="447" ht="14.25" customHeight="1">
      <c r="A447" s="18" t="s">
        <v>302</v>
      </c>
      <c r="B447" s="18" t="s">
        <v>796</v>
      </c>
      <c r="C447" s="19" t="s">
        <v>830</v>
      </c>
      <c r="D447" s="20" t="s">
        <v>885</v>
      </c>
      <c r="E447" s="19" t="s">
        <v>886</v>
      </c>
      <c r="F447" s="22" t="s">
        <v>20</v>
      </c>
      <c r="G447" s="23">
        <v>24990.0</v>
      </c>
      <c r="H447" s="23">
        <v>12935.0</v>
      </c>
      <c r="I447" s="23">
        <v>6100.0</v>
      </c>
      <c r="J447" s="37"/>
      <c r="K447" s="22"/>
      <c r="L447" s="22">
        <v>6100.0</v>
      </c>
      <c r="M447" s="22">
        <v>6536.0</v>
      </c>
      <c r="N447" s="22">
        <v>6971.0</v>
      </c>
      <c r="O447" s="14"/>
      <c r="P447" s="26">
        <v>0.44</v>
      </c>
      <c r="Q447" s="26">
        <v>0.4</v>
      </c>
      <c r="R447" s="26">
        <v>0.36</v>
      </c>
    </row>
    <row r="448" ht="14.25" customHeight="1">
      <c r="A448" s="18" t="s">
        <v>302</v>
      </c>
      <c r="B448" s="18" t="s">
        <v>796</v>
      </c>
      <c r="C448" s="19" t="s">
        <v>830</v>
      </c>
      <c r="D448" s="20" t="s">
        <v>887</v>
      </c>
      <c r="E448" s="19" t="s">
        <v>888</v>
      </c>
      <c r="F448" s="22" t="s">
        <v>20</v>
      </c>
      <c r="G448" s="23">
        <v>24990.0</v>
      </c>
      <c r="H448" s="23">
        <v>12935.0</v>
      </c>
      <c r="I448" s="23">
        <v>6100.0</v>
      </c>
      <c r="J448" s="37"/>
      <c r="K448" s="22"/>
      <c r="L448" s="22">
        <v>6100.0</v>
      </c>
      <c r="M448" s="22">
        <v>6536.0</v>
      </c>
      <c r="N448" s="22">
        <v>6971.0</v>
      </c>
      <c r="O448" s="14"/>
      <c r="P448" s="26">
        <v>0.44</v>
      </c>
      <c r="Q448" s="26">
        <v>0.4</v>
      </c>
      <c r="R448" s="26">
        <v>0.36</v>
      </c>
    </row>
    <row r="449" ht="14.25" customHeight="1">
      <c r="A449" s="18" t="s">
        <v>302</v>
      </c>
      <c r="B449" s="18" t="s">
        <v>796</v>
      </c>
      <c r="C449" s="19" t="s">
        <v>830</v>
      </c>
      <c r="D449" s="20" t="s">
        <v>889</v>
      </c>
      <c r="E449" s="19" t="s">
        <v>890</v>
      </c>
      <c r="F449" s="22" t="s">
        <v>20</v>
      </c>
      <c r="G449" s="23">
        <v>24990.0</v>
      </c>
      <c r="H449" s="23">
        <v>12935.0</v>
      </c>
      <c r="I449" s="23">
        <v>6100.0</v>
      </c>
      <c r="J449" s="37"/>
      <c r="K449" s="22"/>
      <c r="L449" s="22">
        <v>6100.0</v>
      </c>
      <c r="M449" s="22">
        <v>6536.0</v>
      </c>
      <c r="N449" s="22">
        <v>6971.0</v>
      </c>
      <c r="O449" s="14"/>
      <c r="P449" s="26">
        <v>0.44</v>
      </c>
      <c r="Q449" s="26">
        <v>0.4</v>
      </c>
      <c r="R449" s="26">
        <v>0.36</v>
      </c>
    </row>
    <row r="450" ht="14.25" customHeight="1">
      <c r="A450" s="18" t="s">
        <v>302</v>
      </c>
      <c r="B450" s="18" t="s">
        <v>796</v>
      </c>
      <c r="C450" s="19" t="s">
        <v>830</v>
      </c>
      <c r="D450" s="20" t="s">
        <v>891</v>
      </c>
      <c r="E450" s="19" t="s">
        <v>892</v>
      </c>
      <c r="F450" s="22" t="s">
        <v>20</v>
      </c>
      <c r="G450" s="23">
        <v>24990.0</v>
      </c>
      <c r="H450" s="23">
        <v>12935.0</v>
      </c>
      <c r="I450" s="23">
        <v>6434.0</v>
      </c>
      <c r="J450" s="37"/>
      <c r="K450" s="22"/>
      <c r="L450" s="22">
        <v>6434.0</v>
      </c>
      <c r="M450" s="22">
        <v>6894.0</v>
      </c>
      <c r="N450" s="22">
        <v>7353.0</v>
      </c>
      <c r="O450" s="14"/>
      <c r="P450" s="26">
        <v>0.41</v>
      </c>
      <c r="Q450" s="26">
        <v>0.37</v>
      </c>
      <c r="R450" s="26">
        <v>0.32</v>
      </c>
    </row>
    <row r="451" ht="14.25" customHeight="1">
      <c r="A451" s="18" t="s">
        <v>302</v>
      </c>
      <c r="B451" s="18" t="s">
        <v>796</v>
      </c>
      <c r="C451" s="19" t="s">
        <v>830</v>
      </c>
      <c r="D451" s="20" t="s">
        <v>893</v>
      </c>
      <c r="E451" s="19" t="s">
        <v>894</v>
      </c>
      <c r="F451" s="22" t="s">
        <v>20</v>
      </c>
      <c r="G451" s="23">
        <v>24990.0</v>
      </c>
      <c r="H451" s="23">
        <v>12935.0</v>
      </c>
      <c r="I451" s="23">
        <v>6100.0</v>
      </c>
      <c r="J451" s="37"/>
      <c r="K451" s="22"/>
      <c r="L451" s="22">
        <v>6100.0</v>
      </c>
      <c r="M451" s="22">
        <v>6536.0</v>
      </c>
      <c r="N451" s="22">
        <v>6971.0</v>
      </c>
      <c r="O451" s="14"/>
      <c r="P451" s="26">
        <v>0.44</v>
      </c>
      <c r="Q451" s="26">
        <v>0.4</v>
      </c>
      <c r="R451" s="26">
        <v>0.36</v>
      </c>
    </row>
    <row r="452" ht="14.25" customHeight="1">
      <c r="A452" s="18" t="s">
        <v>302</v>
      </c>
      <c r="B452" s="18" t="s">
        <v>796</v>
      </c>
      <c r="C452" s="19" t="s">
        <v>895</v>
      </c>
      <c r="D452" s="20" t="s">
        <v>896</v>
      </c>
      <c r="E452" s="19" t="s">
        <v>897</v>
      </c>
      <c r="F452" s="21" t="s">
        <v>20</v>
      </c>
      <c r="G452" s="23">
        <v>99990.0</v>
      </c>
      <c r="H452" s="23">
        <v>41171.0</v>
      </c>
      <c r="I452" s="23">
        <v>29567.0</v>
      </c>
      <c r="J452" s="37"/>
      <c r="K452" s="22"/>
      <c r="L452" s="22">
        <v>29567.0</v>
      </c>
      <c r="M452" s="22">
        <v>31679.0</v>
      </c>
      <c r="N452" s="22">
        <v>33791.0</v>
      </c>
      <c r="O452" s="14"/>
      <c r="P452" s="26">
        <v>0.15</v>
      </c>
      <c r="Q452" s="26">
        <v>0.08</v>
      </c>
      <c r="R452" s="26">
        <v>0.02</v>
      </c>
    </row>
    <row r="453" ht="14.25" customHeight="1">
      <c r="A453" s="18" t="s">
        <v>302</v>
      </c>
      <c r="B453" s="18" t="s">
        <v>796</v>
      </c>
      <c r="C453" s="19" t="s">
        <v>895</v>
      </c>
      <c r="D453" s="20" t="s">
        <v>898</v>
      </c>
      <c r="E453" s="19" t="s">
        <v>899</v>
      </c>
      <c r="F453" s="21" t="s">
        <v>20</v>
      </c>
      <c r="G453" s="23">
        <v>99990.0</v>
      </c>
      <c r="H453" s="23">
        <v>41171.0</v>
      </c>
      <c r="I453" s="23">
        <v>29567.0</v>
      </c>
      <c r="J453" s="37"/>
      <c r="K453" s="22"/>
      <c r="L453" s="22">
        <v>29567.0</v>
      </c>
      <c r="M453" s="22">
        <v>31679.0</v>
      </c>
      <c r="N453" s="22">
        <v>33791.0</v>
      </c>
      <c r="O453" s="14"/>
      <c r="P453" s="26">
        <v>0.15</v>
      </c>
      <c r="Q453" s="26">
        <v>0.08</v>
      </c>
      <c r="R453" s="26">
        <v>0.02</v>
      </c>
    </row>
    <row r="454" ht="14.25" customHeight="1">
      <c r="A454" s="18" t="s">
        <v>302</v>
      </c>
      <c r="B454" s="18" t="s">
        <v>796</v>
      </c>
      <c r="C454" s="19" t="s">
        <v>895</v>
      </c>
      <c r="D454" s="20" t="s">
        <v>900</v>
      </c>
      <c r="E454" s="19" t="s">
        <v>901</v>
      </c>
      <c r="F454" s="21" t="s">
        <v>20</v>
      </c>
      <c r="G454" s="23">
        <v>99990.0</v>
      </c>
      <c r="H454" s="23">
        <v>41171.0</v>
      </c>
      <c r="I454" s="23">
        <v>29567.0</v>
      </c>
      <c r="J454" s="37"/>
      <c r="K454" s="22"/>
      <c r="L454" s="22">
        <v>29567.0</v>
      </c>
      <c r="M454" s="22">
        <v>31679.0</v>
      </c>
      <c r="N454" s="22">
        <v>33791.0</v>
      </c>
      <c r="O454" s="14"/>
      <c r="P454" s="26">
        <v>0.15</v>
      </c>
      <c r="Q454" s="26">
        <v>0.08</v>
      </c>
      <c r="R454" s="26">
        <v>0.02</v>
      </c>
    </row>
    <row r="455" ht="14.25" customHeight="1">
      <c r="A455" s="18" t="s">
        <v>302</v>
      </c>
      <c r="B455" s="18" t="s">
        <v>796</v>
      </c>
      <c r="C455" s="19" t="s">
        <v>895</v>
      </c>
      <c r="D455" s="20" t="s">
        <v>902</v>
      </c>
      <c r="E455" s="19" t="s">
        <v>903</v>
      </c>
      <c r="F455" s="21" t="s">
        <v>20</v>
      </c>
      <c r="G455" s="23">
        <v>99990.0</v>
      </c>
      <c r="H455" s="23">
        <v>41171.0</v>
      </c>
      <c r="I455" s="23">
        <v>29567.0</v>
      </c>
      <c r="J455" s="37"/>
      <c r="K455" s="22"/>
      <c r="L455" s="22">
        <v>29567.0</v>
      </c>
      <c r="M455" s="22">
        <v>31679.0</v>
      </c>
      <c r="N455" s="22">
        <v>33791.0</v>
      </c>
      <c r="O455" s="14"/>
      <c r="P455" s="26">
        <v>0.15</v>
      </c>
      <c r="Q455" s="26">
        <v>0.08</v>
      </c>
      <c r="R455" s="26">
        <v>0.02</v>
      </c>
    </row>
    <row r="456" ht="14.25" customHeight="1">
      <c r="A456" s="18" t="s">
        <v>302</v>
      </c>
      <c r="B456" s="18" t="s">
        <v>796</v>
      </c>
      <c r="C456" s="19" t="s">
        <v>895</v>
      </c>
      <c r="D456" s="20" t="s">
        <v>904</v>
      </c>
      <c r="E456" s="19" t="s">
        <v>905</v>
      </c>
      <c r="F456" s="21" t="s">
        <v>20</v>
      </c>
      <c r="G456" s="23">
        <v>99990.0</v>
      </c>
      <c r="H456" s="23">
        <v>41171.0</v>
      </c>
      <c r="I456" s="23">
        <v>29567.0</v>
      </c>
      <c r="J456" s="37"/>
      <c r="K456" s="22"/>
      <c r="L456" s="22">
        <v>29567.0</v>
      </c>
      <c r="M456" s="22">
        <v>31679.0</v>
      </c>
      <c r="N456" s="22">
        <v>33791.0</v>
      </c>
      <c r="O456" s="14"/>
      <c r="P456" s="26">
        <v>0.15</v>
      </c>
      <c r="Q456" s="26">
        <v>0.08</v>
      </c>
      <c r="R456" s="26">
        <v>0.02</v>
      </c>
    </row>
    <row r="457" ht="14.25" customHeight="1">
      <c r="A457" s="18" t="s">
        <v>302</v>
      </c>
      <c r="B457" s="18" t="s">
        <v>796</v>
      </c>
      <c r="C457" s="19" t="s">
        <v>895</v>
      </c>
      <c r="D457" s="20" t="s">
        <v>906</v>
      </c>
      <c r="E457" s="19" t="s">
        <v>907</v>
      </c>
      <c r="F457" s="21" t="s">
        <v>20</v>
      </c>
      <c r="G457" s="23">
        <v>99990.0</v>
      </c>
      <c r="H457" s="23">
        <v>41171.0</v>
      </c>
      <c r="I457" s="23">
        <v>29567.0</v>
      </c>
      <c r="J457" s="37"/>
      <c r="K457" s="22"/>
      <c r="L457" s="22">
        <v>29567.0</v>
      </c>
      <c r="M457" s="22">
        <v>31679.0</v>
      </c>
      <c r="N457" s="22">
        <v>33791.0</v>
      </c>
      <c r="O457" s="14"/>
      <c r="P457" s="26">
        <v>0.15</v>
      </c>
      <c r="Q457" s="26">
        <v>0.08</v>
      </c>
      <c r="R457" s="26">
        <v>0.02</v>
      </c>
    </row>
    <row r="458" ht="14.25" customHeight="1">
      <c r="A458" s="18" t="s">
        <v>302</v>
      </c>
      <c r="B458" s="18" t="s">
        <v>796</v>
      </c>
      <c r="C458" s="19" t="s">
        <v>895</v>
      </c>
      <c r="D458" s="20" t="s">
        <v>908</v>
      </c>
      <c r="E458" s="19" t="s">
        <v>909</v>
      </c>
      <c r="F458" s="21" t="s">
        <v>20</v>
      </c>
      <c r="G458" s="23">
        <v>99990.0</v>
      </c>
      <c r="H458" s="23">
        <v>41171.0</v>
      </c>
      <c r="I458" s="23">
        <v>29567.0</v>
      </c>
      <c r="J458" s="37"/>
      <c r="K458" s="22"/>
      <c r="L458" s="22">
        <v>29567.0</v>
      </c>
      <c r="M458" s="22">
        <v>31679.0</v>
      </c>
      <c r="N458" s="22">
        <v>33791.0</v>
      </c>
      <c r="O458" s="14"/>
      <c r="P458" s="26">
        <v>0.15</v>
      </c>
      <c r="Q458" s="26">
        <v>0.08</v>
      </c>
      <c r="R458" s="26">
        <v>0.02</v>
      </c>
    </row>
    <row r="459" ht="14.25" customHeight="1">
      <c r="A459" s="18" t="s">
        <v>302</v>
      </c>
      <c r="B459" s="18" t="s">
        <v>796</v>
      </c>
      <c r="C459" s="19" t="s">
        <v>895</v>
      </c>
      <c r="D459" s="20" t="s">
        <v>910</v>
      </c>
      <c r="E459" s="19" t="s">
        <v>911</v>
      </c>
      <c r="F459" s="21" t="s">
        <v>20</v>
      </c>
      <c r="G459" s="23">
        <v>99990.0</v>
      </c>
      <c r="H459" s="23">
        <v>41171.0</v>
      </c>
      <c r="I459" s="23">
        <v>29567.0</v>
      </c>
      <c r="J459" s="37"/>
      <c r="K459" s="22"/>
      <c r="L459" s="22">
        <v>29567.0</v>
      </c>
      <c r="M459" s="22">
        <v>31679.0</v>
      </c>
      <c r="N459" s="22">
        <v>33791.0</v>
      </c>
      <c r="O459" s="14"/>
      <c r="P459" s="26">
        <v>0.15</v>
      </c>
      <c r="Q459" s="26">
        <v>0.08</v>
      </c>
      <c r="R459" s="26">
        <v>0.02</v>
      </c>
    </row>
    <row r="460" ht="14.25" customHeight="1">
      <c r="A460" s="18" t="s">
        <v>302</v>
      </c>
      <c r="B460" s="18" t="s">
        <v>796</v>
      </c>
      <c r="C460" s="19" t="s">
        <v>895</v>
      </c>
      <c r="D460" s="20" t="s">
        <v>912</v>
      </c>
      <c r="E460" s="19" t="s">
        <v>913</v>
      </c>
      <c r="F460" s="21" t="s">
        <v>20</v>
      </c>
      <c r="G460" s="23">
        <v>99990.0</v>
      </c>
      <c r="H460" s="23">
        <v>41171.0</v>
      </c>
      <c r="I460" s="23">
        <v>22503.0</v>
      </c>
      <c r="J460" s="37"/>
      <c r="K460" s="22"/>
      <c r="L460" s="22">
        <v>22503.0</v>
      </c>
      <c r="M460" s="22">
        <v>24110.0</v>
      </c>
      <c r="N460" s="22">
        <v>25718.0</v>
      </c>
      <c r="O460" s="14"/>
      <c r="P460" s="26">
        <v>0.35</v>
      </c>
      <c r="Q460" s="26">
        <v>0.3</v>
      </c>
      <c r="R460" s="26">
        <v>0.26</v>
      </c>
    </row>
    <row r="461" ht="14.25" customHeight="1">
      <c r="A461" s="18" t="s">
        <v>302</v>
      </c>
      <c r="B461" s="18" t="s">
        <v>796</v>
      </c>
      <c r="C461" s="19" t="s">
        <v>895</v>
      </c>
      <c r="D461" s="20" t="s">
        <v>914</v>
      </c>
      <c r="E461" s="19" t="s">
        <v>915</v>
      </c>
      <c r="F461" s="21" t="s">
        <v>20</v>
      </c>
      <c r="G461" s="23">
        <v>99990.0</v>
      </c>
      <c r="H461" s="23">
        <v>41171.0</v>
      </c>
      <c r="I461" s="23">
        <v>21445.0</v>
      </c>
      <c r="J461" s="37"/>
      <c r="K461" s="22"/>
      <c r="L461" s="22">
        <v>21445.0</v>
      </c>
      <c r="M461" s="22">
        <v>22977.0</v>
      </c>
      <c r="N461" s="22">
        <v>24509.0</v>
      </c>
      <c r="O461" s="14"/>
      <c r="P461" s="26">
        <v>0.38</v>
      </c>
      <c r="Q461" s="26">
        <v>0.34</v>
      </c>
      <c r="R461" s="26">
        <v>0.29</v>
      </c>
    </row>
    <row r="462" ht="14.25" customHeight="1">
      <c r="A462" s="18" t="s">
        <v>302</v>
      </c>
      <c r="B462" s="18" t="s">
        <v>796</v>
      </c>
      <c r="C462" s="19" t="s">
        <v>895</v>
      </c>
      <c r="D462" s="20" t="s">
        <v>916</v>
      </c>
      <c r="E462" s="19" t="s">
        <v>917</v>
      </c>
      <c r="F462" s="21" t="s">
        <v>20</v>
      </c>
      <c r="G462" s="23">
        <v>99990.0</v>
      </c>
      <c r="H462" s="23">
        <v>41171.0</v>
      </c>
      <c r="I462" s="23">
        <v>21445.0</v>
      </c>
      <c r="J462" s="37"/>
      <c r="K462" s="22"/>
      <c r="L462" s="22">
        <v>21445.0</v>
      </c>
      <c r="M462" s="22">
        <v>22977.0</v>
      </c>
      <c r="N462" s="22">
        <v>24509.0</v>
      </c>
      <c r="O462" s="14"/>
      <c r="P462" s="26">
        <v>0.38</v>
      </c>
      <c r="Q462" s="26">
        <v>0.34</v>
      </c>
      <c r="R462" s="26">
        <v>0.29</v>
      </c>
    </row>
    <row r="463" ht="14.25" customHeight="1">
      <c r="A463" s="18" t="s">
        <v>302</v>
      </c>
      <c r="B463" s="18" t="s">
        <v>796</v>
      </c>
      <c r="C463" s="19" t="s">
        <v>895</v>
      </c>
      <c r="D463" s="20" t="s">
        <v>918</v>
      </c>
      <c r="E463" s="19" t="s">
        <v>919</v>
      </c>
      <c r="F463" s="21" t="s">
        <v>20</v>
      </c>
      <c r="G463" s="23">
        <v>99990.0</v>
      </c>
      <c r="H463" s="23">
        <v>41171.0</v>
      </c>
      <c r="I463" s="23">
        <v>21445.0</v>
      </c>
      <c r="J463" s="37"/>
      <c r="K463" s="22"/>
      <c r="L463" s="22">
        <v>21445.0</v>
      </c>
      <c r="M463" s="22">
        <v>22977.0</v>
      </c>
      <c r="N463" s="22">
        <v>24509.0</v>
      </c>
      <c r="O463" s="14"/>
      <c r="P463" s="26">
        <v>0.38</v>
      </c>
      <c r="Q463" s="26">
        <v>0.34</v>
      </c>
      <c r="R463" s="26">
        <v>0.29</v>
      </c>
    </row>
    <row r="464" ht="14.25" customHeight="1">
      <c r="A464" s="18" t="s">
        <v>302</v>
      </c>
      <c r="B464" s="18" t="s">
        <v>796</v>
      </c>
      <c r="C464" s="19" t="s">
        <v>895</v>
      </c>
      <c r="D464" s="20" t="s">
        <v>920</v>
      </c>
      <c r="E464" s="19" t="s">
        <v>921</v>
      </c>
      <c r="F464" s="21" t="s">
        <v>20</v>
      </c>
      <c r="G464" s="23">
        <v>99990.0</v>
      </c>
      <c r="H464" s="23">
        <v>41171.0</v>
      </c>
      <c r="I464" s="23">
        <v>21445.0</v>
      </c>
      <c r="J464" s="37"/>
      <c r="K464" s="22"/>
      <c r="L464" s="22">
        <v>21445.0</v>
      </c>
      <c r="M464" s="22">
        <v>22977.0</v>
      </c>
      <c r="N464" s="22">
        <v>24509.0</v>
      </c>
      <c r="O464" s="14"/>
      <c r="P464" s="26">
        <v>0.38</v>
      </c>
      <c r="Q464" s="26">
        <v>0.34</v>
      </c>
      <c r="R464" s="26">
        <v>0.29</v>
      </c>
    </row>
    <row r="465" ht="14.25" customHeight="1">
      <c r="A465" s="18" t="s">
        <v>302</v>
      </c>
      <c r="B465" s="18" t="s">
        <v>796</v>
      </c>
      <c r="C465" s="19" t="s">
        <v>895</v>
      </c>
      <c r="D465" s="20" t="s">
        <v>922</v>
      </c>
      <c r="E465" s="19" t="s">
        <v>923</v>
      </c>
      <c r="F465" s="21" t="s">
        <v>20</v>
      </c>
      <c r="G465" s="23">
        <v>99990.0</v>
      </c>
      <c r="H465" s="23">
        <v>41171.0</v>
      </c>
      <c r="I465" s="23">
        <v>21445.0</v>
      </c>
      <c r="J465" s="37"/>
      <c r="K465" s="22"/>
      <c r="L465" s="22">
        <v>21445.0</v>
      </c>
      <c r="M465" s="22">
        <v>22977.0</v>
      </c>
      <c r="N465" s="22">
        <v>24509.0</v>
      </c>
      <c r="O465" s="14"/>
      <c r="P465" s="26">
        <v>0.38</v>
      </c>
      <c r="Q465" s="26">
        <v>0.34</v>
      </c>
      <c r="R465" s="26">
        <v>0.29</v>
      </c>
    </row>
    <row r="466" ht="14.25" customHeight="1">
      <c r="A466" s="18" t="s">
        <v>302</v>
      </c>
      <c r="B466" s="18" t="s">
        <v>796</v>
      </c>
      <c r="C466" s="19" t="s">
        <v>895</v>
      </c>
      <c r="D466" s="20" t="s">
        <v>924</v>
      </c>
      <c r="E466" s="19" t="s">
        <v>925</v>
      </c>
      <c r="F466" s="21" t="s">
        <v>20</v>
      </c>
      <c r="G466" s="23">
        <v>99990.0</v>
      </c>
      <c r="H466" s="23">
        <v>41171.0</v>
      </c>
      <c r="I466" s="23">
        <v>21445.0</v>
      </c>
      <c r="J466" s="37"/>
      <c r="K466" s="22"/>
      <c r="L466" s="22">
        <v>21445.0</v>
      </c>
      <c r="M466" s="22">
        <v>22977.0</v>
      </c>
      <c r="N466" s="22">
        <v>24509.0</v>
      </c>
      <c r="O466" s="14"/>
      <c r="P466" s="26">
        <v>0.38</v>
      </c>
      <c r="Q466" s="26">
        <v>0.34</v>
      </c>
      <c r="R466" s="26">
        <v>0.29</v>
      </c>
    </row>
    <row r="467" ht="14.25" customHeight="1">
      <c r="A467" s="18" t="s">
        <v>302</v>
      </c>
      <c r="B467" s="18" t="s">
        <v>796</v>
      </c>
      <c r="C467" s="19" t="s">
        <v>895</v>
      </c>
      <c r="D467" s="20" t="s">
        <v>926</v>
      </c>
      <c r="E467" s="19" t="s">
        <v>927</v>
      </c>
      <c r="F467" s="21" t="s">
        <v>20</v>
      </c>
      <c r="G467" s="23">
        <v>99990.0</v>
      </c>
      <c r="H467" s="23">
        <v>41171.0</v>
      </c>
      <c r="I467" s="23">
        <v>21445.0</v>
      </c>
      <c r="J467" s="37"/>
      <c r="K467" s="22"/>
      <c r="L467" s="22">
        <v>21445.0</v>
      </c>
      <c r="M467" s="22">
        <v>22977.0</v>
      </c>
      <c r="N467" s="22">
        <v>24509.0</v>
      </c>
      <c r="O467" s="14"/>
      <c r="P467" s="26">
        <v>0.38</v>
      </c>
      <c r="Q467" s="26">
        <v>0.34</v>
      </c>
      <c r="R467" s="26">
        <v>0.29</v>
      </c>
    </row>
    <row r="468" ht="14.25" customHeight="1">
      <c r="A468" s="18" t="s">
        <v>302</v>
      </c>
      <c r="B468" s="18" t="s">
        <v>796</v>
      </c>
      <c r="C468" s="19" t="s">
        <v>895</v>
      </c>
      <c r="D468" s="20" t="s">
        <v>928</v>
      </c>
      <c r="E468" s="19" t="s">
        <v>929</v>
      </c>
      <c r="F468" s="21" t="s">
        <v>20</v>
      </c>
      <c r="G468" s="23">
        <v>119990.0</v>
      </c>
      <c r="H468" s="23">
        <v>52935.0</v>
      </c>
      <c r="I468" s="23">
        <v>28202.0</v>
      </c>
      <c r="J468" s="37"/>
      <c r="K468" s="22"/>
      <c r="L468" s="22">
        <v>28202.0</v>
      </c>
      <c r="M468" s="22">
        <v>30216.0</v>
      </c>
      <c r="N468" s="22">
        <v>32231.0</v>
      </c>
      <c r="O468" s="14"/>
      <c r="P468" s="26">
        <v>0.37</v>
      </c>
      <c r="Q468" s="26">
        <v>0.32</v>
      </c>
      <c r="R468" s="26">
        <v>0.28</v>
      </c>
    </row>
    <row r="469" ht="14.25" customHeight="1">
      <c r="A469" s="18" t="s">
        <v>302</v>
      </c>
      <c r="B469" s="18" t="s">
        <v>796</v>
      </c>
      <c r="C469" s="19" t="s">
        <v>895</v>
      </c>
      <c r="D469" s="20" t="s">
        <v>930</v>
      </c>
      <c r="E469" s="19" t="s">
        <v>931</v>
      </c>
      <c r="F469" s="21" t="s">
        <v>20</v>
      </c>
      <c r="G469" s="23">
        <v>119990.0</v>
      </c>
      <c r="H469" s="23">
        <v>52935.0</v>
      </c>
      <c r="I469" s="23">
        <v>28202.0</v>
      </c>
      <c r="J469" s="37"/>
      <c r="K469" s="22"/>
      <c r="L469" s="22">
        <v>28202.0</v>
      </c>
      <c r="M469" s="22">
        <v>30216.0</v>
      </c>
      <c r="N469" s="22">
        <v>32231.0</v>
      </c>
      <c r="O469" s="14"/>
      <c r="P469" s="26">
        <v>0.37</v>
      </c>
      <c r="Q469" s="26">
        <v>0.32</v>
      </c>
      <c r="R469" s="26">
        <v>0.28</v>
      </c>
    </row>
    <row r="470" ht="14.25" customHeight="1">
      <c r="A470" s="18" t="s">
        <v>302</v>
      </c>
      <c r="B470" s="18" t="s">
        <v>796</v>
      </c>
      <c r="C470" s="19" t="s">
        <v>895</v>
      </c>
      <c r="D470" s="20" t="s">
        <v>932</v>
      </c>
      <c r="E470" s="19" t="s">
        <v>933</v>
      </c>
      <c r="F470" s="21" t="s">
        <v>20</v>
      </c>
      <c r="G470" s="23">
        <v>119990.0</v>
      </c>
      <c r="H470" s="23">
        <v>52935.0</v>
      </c>
      <c r="I470" s="23">
        <v>28202.0</v>
      </c>
      <c r="J470" s="37"/>
      <c r="K470" s="22"/>
      <c r="L470" s="22">
        <v>28202.0</v>
      </c>
      <c r="M470" s="22">
        <v>30216.0</v>
      </c>
      <c r="N470" s="22">
        <v>32231.0</v>
      </c>
      <c r="O470" s="14"/>
      <c r="P470" s="26">
        <v>0.37</v>
      </c>
      <c r="Q470" s="26">
        <v>0.32</v>
      </c>
      <c r="R470" s="26">
        <v>0.28</v>
      </c>
    </row>
    <row r="471" ht="14.25" customHeight="1">
      <c r="A471" s="18" t="s">
        <v>302</v>
      </c>
      <c r="B471" s="18" t="s">
        <v>796</v>
      </c>
      <c r="C471" s="19" t="s">
        <v>895</v>
      </c>
      <c r="D471" s="20" t="s">
        <v>934</v>
      </c>
      <c r="E471" s="19" t="s">
        <v>935</v>
      </c>
      <c r="F471" s="21" t="s">
        <v>20</v>
      </c>
      <c r="G471" s="23">
        <v>119990.0</v>
      </c>
      <c r="H471" s="23">
        <v>52935.0</v>
      </c>
      <c r="I471" s="23">
        <v>28202.0</v>
      </c>
      <c r="J471" s="37"/>
      <c r="K471" s="22"/>
      <c r="L471" s="22">
        <v>28202.0</v>
      </c>
      <c r="M471" s="22">
        <v>30216.0</v>
      </c>
      <c r="N471" s="22">
        <v>32231.0</v>
      </c>
      <c r="O471" s="14"/>
      <c r="P471" s="26">
        <v>0.37</v>
      </c>
      <c r="Q471" s="26">
        <v>0.32</v>
      </c>
      <c r="R471" s="26">
        <v>0.28</v>
      </c>
    </row>
    <row r="472" ht="14.25" customHeight="1">
      <c r="A472" s="18" t="s">
        <v>302</v>
      </c>
      <c r="B472" s="18" t="s">
        <v>796</v>
      </c>
      <c r="C472" s="19" t="s">
        <v>895</v>
      </c>
      <c r="D472" s="29" t="s">
        <v>936</v>
      </c>
      <c r="E472" s="16" t="s">
        <v>937</v>
      </c>
      <c r="F472" s="22" t="s">
        <v>193</v>
      </c>
      <c r="G472" s="23">
        <v>119990.0</v>
      </c>
      <c r="H472" s="23">
        <v>52935.0</v>
      </c>
      <c r="I472" s="23">
        <v>30268.0</v>
      </c>
      <c r="J472" s="37"/>
      <c r="K472" s="22"/>
      <c r="L472" s="22">
        <v>30268.0</v>
      </c>
      <c r="M472" s="22">
        <v>32430.0</v>
      </c>
      <c r="N472" s="22">
        <v>34592.0</v>
      </c>
      <c r="O472" s="14"/>
      <c r="P472" s="26">
        <v>0.32</v>
      </c>
      <c r="Q472" s="26">
        <v>0.27</v>
      </c>
      <c r="R472" s="26">
        <v>0.22</v>
      </c>
    </row>
    <row r="473" ht="14.25" customHeight="1">
      <c r="A473" s="18" t="s">
        <v>302</v>
      </c>
      <c r="B473" s="18" t="s">
        <v>796</v>
      </c>
      <c r="C473" s="19" t="s">
        <v>895</v>
      </c>
      <c r="D473" s="29" t="s">
        <v>938</v>
      </c>
      <c r="E473" s="16" t="s">
        <v>939</v>
      </c>
      <c r="F473" s="22" t="s">
        <v>193</v>
      </c>
      <c r="G473" s="23">
        <v>119990.0</v>
      </c>
      <c r="H473" s="23">
        <v>52935.0</v>
      </c>
      <c r="I473" s="23">
        <v>30268.0</v>
      </c>
      <c r="J473" s="37"/>
      <c r="K473" s="22"/>
      <c r="L473" s="22">
        <v>30268.0</v>
      </c>
      <c r="M473" s="22">
        <v>32430.0</v>
      </c>
      <c r="N473" s="22">
        <v>34592.0</v>
      </c>
      <c r="O473" s="14"/>
      <c r="P473" s="26">
        <v>0.32</v>
      </c>
      <c r="Q473" s="26">
        <v>0.27</v>
      </c>
      <c r="R473" s="26">
        <v>0.22</v>
      </c>
    </row>
    <row r="474" ht="14.25" customHeight="1">
      <c r="A474" s="18" t="s">
        <v>302</v>
      </c>
      <c r="B474" s="18" t="s">
        <v>796</v>
      </c>
      <c r="C474" s="19" t="s">
        <v>895</v>
      </c>
      <c r="D474" s="29" t="s">
        <v>940</v>
      </c>
      <c r="E474" s="16" t="s">
        <v>941</v>
      </c>
      <c r="F474" s="22" t="s">
        <v>193</v>
      </c>
      <c r="G474" s="23">
        <v>119990.0</v>
      </c>
      <c r="H474" s="23">
        <v>52935.0</v>
      </c>
      <c r="I474" s="23">
        <v>30268.0</v>
      </c>
      <c r="J474" s="37"/>
      <c r="K474" s="22"/>
      <c r="L474" s="22">
        <v>30268.0</v>
      </c>
      <c r="M474" s="22">
        <v>32430.0</v>
      </c>
      <c r="N474" s="22">
        <v>34592.0</v>
      </c>
      <c r="O474" s="14"/>
      <c r="P474" s="26">
        <v>0.32</v>
      </c>
      <c r="Q474" s="26">
        <v>0.27</v>
      </c>
      <c r="R474" s="26">
        <v>0.22</v>
      </c>
    </row>
    <row r="475" ht="14.25" customHeight="1">
      <c r="A475" s="18" t="s">
        <v>302</v>
      </c>
      <c r="B475" s="18" t="s">
        <v>796</v>
      </c>
      <c r="C475" s="19" t="s">
        <v>895</v>
      </c>
      <c r="D475" s="29" t="s">
        <v>942</v>
      </c>
      <c r="E475" s="16" t="s">
        <v>943</v>
      </c>
      <c r="F475" s="22" t="s">
        <v>193</v>
      </c>
      <c r="G475" s="23">
        <v>119990.0</v>
      </c>
      <c r="H475" s="23">
        <v>52935.0</v>
      </c>
      <c r="I475" s="23">
        <v>30268.0</v>
      </c>
      <c r="J475" s="37"/>
      <c r="K475" s="22"/>
      <c r="L475" s="22">
        <v>30268.0</v>
      </c>
      <c r="M475" s="22">
        <v>32430.0</v>
      </c>
      <c r="N475" s="22">
        <v>34592.0</v>
      </c>
      <c r="O475" s="14"/>
      <c r="P475" s="26">
        <v>0.32</v>
      </c>
      <c r="Q475" s="26">
        <v>0.27</v>
      </c>
      <c r="R475" s="26">
        <v>0.22</v>
      </c>
    </row>
    <row r="476" ht="14.25" customHeight="1">
      <c r="A476" s="18" t="s">
        <v>302</v>
      </c>
      <c r="B476" s="18" t="s">
        <v>796</v>
      </c>
      <c r="C476" s="19" t="s">
        <v>895</v>
      </c>
      <c r="D476" s="29" t="s">
        <v>944</v>
      </c>
      <c r="E476" s="16" t="s">
        <v>945</v>
      </c>
      <c r="F476" s="22" t="s">
        <v>193</v>
      </c>
      <c r="G476" s="23">
        <v>119990.0</v>
      </c>
      <c r="H476" s="23">
        <v>52935.0</v>
      </c>
      <c r="I476" s="23">
        <v>30268.0</v>
      </c>
      <c r="J476" s="37"/>
      <c r="K476" s="22"/>
      <c r="L476" s="22">
        <v>30268.0</v>
      </c>
      <c r="M476" s="22">
        <v>32430.0</v>
      </c>
      <c r="N476" s="22">
        <v>34592.0</v>
      </c>
      <c r="O476" s="14"/>
      <c r="P476" s="26">
        <v>0.32</v>
      </c>
      <c r="Q476" s="26">
        <v>0.27</v>
      </c>
      <c r="R476" s="26">
        <v>0.22</v>
      </c>
    </row>
    <row r="477" ht="14.25" customHeight="1">
      <c r="A477" s="18" t="s">
        <v>302</v>
      </c>
      <c r="B477" s="18" t="s">
        <v>796</v>
      </c>
      <c r="C477" s="19" t="s">
        <v>895</v>
      </c>
      <c r="D477" s="29" t="s">
        <v>946</v>
      </c>
      <c r="E477" s="16" t="s">
        <v>947</v>
      </c>
      <c r="F477" s="22" t="s">
        <v>193</v>
      </c>
      <c r="G477" s="23">
        <v>119990.0</v>
      </c>
      <c r="H477" s="23">
        <v>52935.0</v>
      </c>
      <c r="I477" s="23">
        <v>30268.0</v>
      </c>
      <c r="J477" s="37"/>
      <c r="K477" s="22"/>
      <c r="L477" s="22">
        <v>30268.0</v>
      </c>
      <c r="M477" s="22">
        <v>32430.0</v>
      </c>
      <c r="N477" s="22">
        <v>34592.0</v>
      </c>
      <c r="O477" s="14"/>
      <c r="P477" s="26">
        <v>0.32</v>
      </c>
      <c r="Q477" s="26">
        <v>0.27</v>
      </c>
      <c r="R477" s="26">
        <v>0.22</v>
      </c>
    </row>
    <row r="478" ht="14.25" customHeight="1">
      <c r="A478" s="18" t="s">
        <v>302</v>
      </c>
      <c r="B478" s="18" t="s">
        <v>796</v>
      </c>
      <c r="C478" s="19" t="s">
        <v>895</v>
      </c>
      <c r="D478" s="29" t="s">
        <v>948</v>
      </c>
      <c r="E478" s="16" t="s">
        <v>949</v>
      </c>
      <c r="F478" s="22" t="s">
        <v>193</v>
      </c>
      <c r="G478" s="23">
        <v>119990.0</v>
      </c>
      <c r="H478" s="23">
        <v>52935.0</v>
      </c>
      <c r="I478" s="23">
        <v>30268.0</v>
      </c>
      <c r="J478" s="37"/>
      <c r="K478" s="22"/>
      <c r="L478" s="22">
        <v>30268.0</v>
      </c>
      <c r="M478" s="22">
        <v>32430.0</v>
      </c>
      <c r="N478" s="22">
        <v>34592.0</v>
      </c>
      <c r="O478" s="14"/>
      <c r="P478" s="26">
        <v>0.32</v>
      </c>
      <c r="Q478" s="26">
        <v>0.27</v>
      </c>
      <c r="R478" s="26">
        <v>0.22</v>
      </c>
    </row>
    <row r="479" ht="14.25" customHeight="1">
      <c r="A479" s="18" t="s">
        <v>302</v>
      </c>
      <c r="B479" s="18" t="s">
        <v>796</v>
      </c>
      <c r="C479" s="19" t="s">
        <v>895</v>
      </c>
      <c r="D479" s="29" t="s">
        <v>950</v>
      </c>
      <c r="E479" s="16" t="s">
        <v>951</v>
      </c>
      <c r="F479" s="22" t="s">
        <v>193</v>
      </c>
      <c r="G479" s="23">
        <v>119990.0</v>
      </c>
      <c r="H479" s="23">
        <v>52935.0</v>
      </c>
      <c r="I479" s="23">
        <v>30268.0</v>
      </c>
      <c r="J479" s="37"/>
      <c r="K479" s="22"/>
      <c r="L479" s="22">
        <v>30268.0</v>
      </c>
      <c r="M479" s="22">
        <v>32430.0</v>
      </c>
      <c r="N479" s="22">
        <v>34592.0</v>
      </c>
      <c r="O479" s="14"/>
      <c r="P479" s="26">
        <v>0.32</v>
      </c>
      <c r="Q479" s="26">
        <v>0.27</v>
      </c>
      <c r="R479" s="26">
        <v>0.22</v>
      </c>
    </row>
    <row r="480" ht="14.25" customHeight="1">
      <c r="A480" s="18" t="s">
        <v>302</v>
      </c>
      <c r="B480" s="18" t="s">
        <v>796</v>
      </c>
      <c r="C480" s="19" t="s">
        <v>895</v>
      </c>
      <c r="D480" s="29" t="s">
        <v>952</v>
      </c>
      <c r="E480" s="16" t="s">
        <v>953</v>
      </c>
      <c r="F480" s="22" t="s">
        <v>193</v>
      </c>
      <c r="G480" s="23">
        <v>119990.0</v>
      </c>
      <c r="H480" s="23">
        <v>52935.0</v>
      </c>
      <c r="I480" s="23">
        <v>30268.0</v>
      </c>
      <c r="J480" s="37"/>
      <c r="K480" s="22"/>
      <c r="L480" s="22">
        <v>30268.0</v>
      </c>
      <c r="M480" s="22">
        <v>32430.0</v>
      </c>
      <c r="N480" s="22">
        <v>34592.0</v>
      </c>
      <c r="O480" s="14"/>
      <c r="P480" s="26">
        <v>0.32</v>
      </c>
      <c r="Q480" s="26">
        <v>0.27</v>
      </c>
      <c r="R480" s="26">
        <v>0.22</v>
      </c>
    </row>
    <row r="481" ht="14.25" customHeight="1">
      <c r="A481" s="18" t="s">
        <v>302</v>
      </c>
      <c r="B481" s="18" t="s">
        <v>796</v>
      </c>
      <c r="C481" s="19" t="s">
        <v>954</v>
      </c>
      <c r="D481" s="20" t="s">
        <v>955</v>
      </c>
      <c r="E481" s="19" t="s">
        <v>956</v>
      </c>
      <c r="F481" s="21" t="s">
        <v>20</v>
      </c>
      <c r="G481" s="23">
        <v>59990.0</v>
      </c>
      <c r="H481" s="23">
        <v>23524.0</v>
      </c>
      <c r="I481" s="23">
        <v>15472.0</v>
      </c>
      <c r="J481" s="37"/>
      <c r="K481" s="22"/>
      <c r="L481" s="22">
        <v>15472.0</v>
      </c>
      <c r="M481" s="22">
        <v>16577.0</v>
      </c>
      <c r="N481" s="22">
        <v>17682.0</v>
      </c>
      <c r="O481" s="14"/>
      <c r="P481" s="26">
        <v>0.22</v>
      </c>
      <c r="Q481" s="26">
        <v>0.16</v>
      </c>
      <c r="R481" s="26">
        <v>0.11</v>
      </c>
    </row>
    <row r="482" ht="14.25" customHeight="1">
      <c r="A482" s="18" t="s">
        <v>302</v>
      </c>
      <c r="B482" s="18" t="s">
        <v>796</v>
      </c>
      <c r="C482" s="19" t="s">
        <v>954</v>
      </c>
      <c r="D482" s="20" t="s">
        <v>957</v>
      </c>
      <c r="E482" s="19" t="s">
        <v>958</v>
      </c>
      <c r="F482" s="21" t="s">
        <v>20</v>
      </c>
      <c r="G482" s="23">
        <v>59990.0</v>
      </c>
      <c r="H482" s="23">
        <v>23524.0</v>
      </c>
      <c r="I482" s="23">
        <v>15472.0</v>
      </c>
      <c r="J482" s="37"/>
      <c r="K482" s="22"/>
      <c r="L482" s="22">
        <v>15472.0</v>
      </c>
      <c r="M482" s="22">
        <v>16577.0</v>
      </c>
      <c r="N482" s="22">
        <v>17682.0</v>
      </c>
      <c r="O482" s="14"/>
      <c r="P482" s="26">
        <v>0.22</v>
      </c>
      <c r="Q482" s="26">
        <v>0.16</v>
      </c>
      <c r="R482" s="26">
        <v>0.11</v>
      </c>
    </row>
    <row r="483" ht="14.25" customHeight="1">
      <c r="A483" s="18" t="s">
        <v>302</v>
      </c>
      <c r="B483" s="18" t="s">
        <v>796</v>
      </c>
      <c r="C483" s="19" t="s">
        <v>954</v>
      </c>
      <c r="D483" s="20" t="s">
        <v>959</v>
      </c>
      <c r="E483" s="19" t="s">
        <v>960</v>
      </c>
      <c r="F483" s="21" t="s">
        <v>20</v>
      </c>
      <c r="G483" s="23">
        <v>59990.0</v>
      </c>
      <c r="H483" s="23">
        <v>23524.0</v>
      </c>
      <c r="I483" s="23">
        <v>15472.0</v>
      </c>
      <c r="J483" s="37"/>
      <c r="K483" s="22"/>
      <c r="L483" s="22">
        <v>15472.0</v>
      </c>
      <c r="M483" s="22">
        <v>16577.0</v>
      </c>
      <c r="N483" s="22">
        <v>17682.0</v>
      </c>
      <c r="O483" s="14"/>
      <c r="P483" s="26">
        <v>0.22</v>
      </c>
      <c r="Q483" s="26">
        <v>0.16</v>
      </c>
      <c r="R483" s="26">
        <v>0.11</v>
      </c>
    </row>
    <row r="484" ht="14.25" customHeight="1">
      <c r="A484" s="18" t="s">
        <v>302</v>
      </c>
      <c r="B484" s="18" t="s">
        <v>796</v>
      </c>
      <c r="C484" s="19" t="s">
        <v>954</v>
      </c>
      <c r="D484" s="20" t="s">
        <v>961</v>
      </c>
      <c r="E484" s="19" t="s">
        <v>962</v>
      </c>
      <c r="F484" s="21" t="s">
        <v>20</v>
      </c>
      <c r="G484" s="23">
        <v>59990.0</v>
      </c>
      <c r="H484" s="23">
        <v>23524.0</v>
      </c>
      <c r="I484" s="23">
        <v>15472.0</v>
      </c>
      <c r="J484" s="37"/>
      <c r="K484" s="22"/>
      <c r="L484" s="22">
        <v>15472.0</v>
      </c>
      <c r="M484" s="22">
        <v>16577.0</v>
      </c>
      <c r="N484" s="22">
        <v>17682.0</v>
      </c>
      <c r="O484" s="14"/>
      <c r="P484" s="26">
        <v>0.22</v>
      </c>
      <c r="Q484" s="26">
        <v>0.16</v>
      </c>
      <c r="R484" s="26">
        <v>0.11</v>
      </c>
    </row>
    <row r="485" ht="14.25" customHeight="1">
      <c r="A485" s="18" t="s">
        <v>302</v>
      </c>
      <c r="B485" s="18" t="s">
        <v>796</v>
      </c>
      <c r="C485" s="19" t="s">
        <v>954</v>
      </c>
      <c r="D485" s="20" t="s">
        <v>963</v>
      </c>
      <c r="E485" s="19" t="s">
        <v>964</v>
      </c>
      <c r="F485" s="21" t="s">
        <v>20</v>
      </c>
      <c r="G485" s="23">
        <v>59990.0</v>
      </c>
      <c r="H485" s="23">
        <v>23524.0</v>
      </c>
      <c r="I485" s="23">
        <v>15472.0</v>
      </c>
      <c r="J485" s="37"/>
      <c r="K485" s="22"/>
      <c r="L485" s="22">
        <v>15472.0</v>
      </c>
      <c r="M485" s="22">
        <v>16577.0</v>
      </c>
      <c r="N485" s="22">
        <v>17682.0</v>
      </c>
      <c r="O485" s="14"/>
      <c r="P485" s="26">
        <v>0.22</v>
      </c>
      <c r="Q485" s="26">
        <v>0.16</v>
      </c>
      <c r="R485" s="26">
        <v>0.11</v>
      </c>
    </row>
    <row r="486" ht="14.25" customHeight="1">
      <c r="A486" s="18" t="s">
        <v>302</v>
      </c>
      <c r="B486" s="18" t="s">
        <v>796</v>
      </c>
      <c r="C486" s="19" t="s">
        <v>954</v>
      </c>
      <c r="D486" s="20" t="s">
        <v>965</v>
      </c>
      <c r="E486" s="19" t="s">
        <v>966</v>
      </c>
      <c r="F486" s="21" t="s">
        <v>20</v>
      </c>
      <c r="G486" s="23">
        <v>59990.0</v>
      </c>
      <c r="H486" s="23">
        <v>23524.0</v>
      </c>
      <c r="I486" s="23">
        <v>15472.0</v>
      </c>
      <c r="J486" s="37"/>
      <c r="K486" s="22"/>
      <c r="L486" s="22">
        <v>15472.0</v>
      </c>
      <c r="M486" s="22">
        <v>16577.0</v>
      </c>
      <c r="N486" s="22">
        <v>17682.0</v>
      </c>
      <c r="O486" s="14"/>
      <c r="P486" s="26">
        <v>0.22</v>
      </c>
      <c r="Q486" s="26">
        <v>0.16</v>
      </c>
      <c r="R486" s="26">
        <v>0.11</v>
      </c>
    </row>
    <row r="487" ht="14.25" customHeight="1">
      <c r="A487" s="18" t="s">
        <v>302</v>
      </c>
      <c r="B487" s="18" t="s">
        <v>796</v>
      </c>
      <c r="C487" s="19" t="s">
        <v>954</v>
      </c>
      <c r="D487" s="20" t="s">
        <v>967</v>
      </c>
      <c r="E487" s="19" t="s">
        <v>968</v>
      </c>
      <c r="F487" s="21" t="s">
        <v>20</v>
      </c>
      <c r="G487" s="23">
        <v>59990.0</v>
      </c>
      <c r="H487" s="23">
        <v>23524.0</v>
      </c>
      <c r="I487" s="23">
        <v>15472.0</v>
      </c>
      <c r="J487" s="37"/>
      <c r="K487" s="22"/>
      <c r="L487" s="22">
        <v>15472.0</v>
      </c>
      <c r="M487" s="22">
        <v>16577.0</v>
      </c>
      <c r="N487" s="22">
        <v>17682.0</v>
      </c>
      <c r="O487" s="14"/>
      <c r="P487" s="26">
        <v>0.22</v>
      </c>
      <c r="Q487" s="26">
        <v>0.16</v>
      </c>
      <c r="R487" s="26">
        <v>0.11</v>
      </c>
    </row>
    <row r="488" ht="14.25" customHeight="1">
      <c r="A488" s="18" t="s">
        <v>302</v>
      </c>
      <c r="B488" s="18" t="s">
        <v>796</v>
      </c>
      <c r="C488" s="19" t="s">
        <v>954</v>
      </c>
      <c r="D488" s="20" t="s">
        <v>969</v>
      </c>
      <c r="E488" s="19" t="s">
        <v>970</v>
      </c>
      <c r="F488" s="21" t="s">
        <v>20</v>
      </c>
      <c r="G488" s="23">
        <v>59990.0</v>
      </c>
      <c r="H488" s="23">
        <v>23524.0</v>
      </c>
      <c r="I488" s="23">
        <v>15472.0</v>
      </c>
      <c r="J488" s="37"/>
      <c r="K488" s="22"/>
      <c r="L488" s="22">
        <v>15472.0</v>
      </c>
      <c r="M488" s="22">
        <v>16577.0</v>
      </c>
      <c r="N488" s="22">
        <v>17682.0</v>
      </c>
      <c r="O488" s="14"/>
      <c r="P488" s="26">
        <v>0.22</v>
      </c>
      <c r="Q488" s="26">
        <v>0.16</v>
      </c>
      <c r="R488" s="26">
        <v>0.11</v>
      </c>
    </row>
    <row r="489" ht="14.25" customHeight="1">
      <c r="A489" s="18" t="s">
        <v>302</v>
      </c>
      <c r="B489" s="18" t="s">
        <v>796</v>
      </c>
      <c r="C489" s="19" t="s">
        <v>954</v>
      </c>
      <c r="D489" s="20" t="s">
        <v>971</v>
      </c>
      <c r="E489" s="19" t="s">
        <v>972</v>
      </c>
      <c r="F489" s="21" t="s">
        <v>20</v>
      </c>
      <c r="G489" s="23">
        <v>59990.0</v>
      </c>
      <c r="H489" s="23">
        <v>23524.0</v>
      </c>
      <c r="I489" s="23">
        <v>14363.0</v>
      </c>
      <c r="J489" s="37"/>
      <c r="K489" s="22"/>
      <c r="L489" s="22">
        <v>14363.0</v>
      </c>
      <c r="M489" s="22">
        <v>15389.0</v>
      </c>
      <c r="N489" s="22">
        <v>16415.0</v>
      </c>
      <c r="O489" s="14"/>
      <c r="P489" s="26">
        <v>0.27</v>
      </c>
      <c r="Q489" s="26">
        <v>0.22</v>
      </c>
      <c r="R489" s="26">
        <v>0.17</v>
      </c>
    </row>
    <row r="490" ht="14.25" customHeight="1">
      <c r="A490" s="18" t="s">
        <v>302</v>
      </c>
      <c r="B490" s="18" t="s">
        <v>796</v>
      </c>
      <c r="C490" s="19" t="s">
        <v>954</v>
      </c>
      <c r="D490" s="20" t="s">
        <v>973</v>
      </c>
      <c r="E490" s="19" t="s">
        <v>974</v>
      </c>
      <c r="F490" s="21" t="s">
        <v>20</v>
      </c>
      <c r="G490" s="23">
        <v>59990.0</v>
      </c>
      <c r="H490" s="23">
        <v>23524.0</v>
      </c>
      <c r="I490" s="23">
        <v>14363.0</v>
      </c>
      <c r="J490" s="37"/>
      <c r="K490" s="22"/>
      <c r="L490" s="22">
        <v>14363.0</v>
      </c>
      <c r="M490" s="22">
        <v>15389.0</v>
      </c>
      <c r="N490" s="22">
        <v>16415.0</v>
      </c>
      <c r="O490" s="14"/>
      <c r="P490" s="26">
        <v>0.27</v>
      </c>
      <c r="Q490" s="26">
        <v>0.22</v>
      </c>
      <c r="R490" s="26">
        <v>0.17</v>
      </c>
    </row>
    <row r="491" ht="14.25" customHeight="1">
      <c r="A491" s="18" t="s">
        <v>302</v>
      </c>
      <c r="B491" s="18" t="s">
        <v>796</v>
      </c>
      <c r="C491" s="19" t="s">
        <v>954</v>
      </c>
      <c r="D491" s="20" t="s">
        <v>975</v>
      </c>
      <c r="E491" s="19" t="s">
        <v>976</v>
      </c>
      <c r="F491" s="21" t="s">
        <v>20</v>
      </c>
      <c r="G491" s="23">
        <v>59990.0</v>
      </c>
      <c r="H491" s="23">
        <v>23524.0</v>
      </c>
      <c r="I491" s="23">
        <v>14363.0</v>
      </c>
      <c r="J491" s="37"/>
      <c r="K491" s="22"/>
      <c r="L491" s="22">
        <v>14363.0</v>
      </c>
      <c r="M491" s="22">
        <v>15389.0</v>
      </c>
      <c r="N491" s="22">
        <v>16415.0</v>
      </c>
      <c r="O491" s="14"/>
      <c r="P491" s="26">
        <v>0.27</v>
      </c>
      <c r="Q491" s="26">
        <v>0.22</v>
      </c>
      <c r="R491" s="26">
        <v>0.17</v>
      </c>
    </row>
    <row r="492" ht="14.25" customHeight="1">
      <c r="A492" s="18" t="s">
        <v>302</v>
      </c>
      <c r="B492" s="18" t="s">
        <v>796</v>
      </c>
      <c r="C492" s="19" t="s">
        <v>954</v>
      </c>
      <c r="D492" s="20" t="s">
        <v>977</v>
      </c>
      <c r="E492" s="19" t="s">
        <v>978</v>
      </c>
      <c r="F492" s="21" t="s">
        <v>20</v>
      </c>
      <c r="G492" s="23">
        <v>59990.0</v>
      </c>
      <c r="H492" s="23">
        <v>23524.0</v>
      </c>
      <c r="I492" s="23">
        <v>14363.0</v>
      </c>
      <c r="J492" s="37"/>
      <c r="K492" s="22"/>
      <c r="L492" s="22">
        <v>14363.0</v>
      </c>
      <c r="M492" s="22">
        <v>15389.0</v>
      </c>
      <c r="N492" s="22">
        <v>16415.0</v>
      </c>
      <c r="O492" s="14"/>
      <c r="P492" s="26">
        <v>0.27</v>
      </c>
      <c r="Q492" s="26">
        <v>0.22</v>
      </c>
      <c r="R492" s="26">
        <v>0.17</v>
      </c>
    </row>
    <row r="493" ht="14.25" customHeight="1">
      <c r="A493" s="18" t="s">
        <v>302</v>
      </c>
      <c r="B493" s="18" t="s">
        <v>796</v>
      </c>
      <c r="C493" s="19" t="s">
        <v>954</v>
      </c>
      <c r="D493" s="20" t="s">
        <v>979</v>
      </c>
      <c r="E493" s="19" t="s">
        <v>980</v>
      </c>
      <c r="F493" s="21" t="s">
        <v>20</v>
      </c>
      <c r="G493" s="23">
        <v>59990.0</v>
      </c>
      <c r="H493" s="23">
        <v>23524.0</v>
      </c>
      <c r="I493" s="23">
        <v>14363.0</v>
      </c>
      <c r="J493" s="37"/>
      <c r="K493" s="22"/>
      <c r="L493" s="22">
        <v>14363.0</v>
      </c>
      <c r="M493" s="22">
        <v>15389.0</v>
      </c>
      <c r="N493" s="22">
        <v>16415.0</v>
      </c>
      <c r="O493" s="14"/>
      <c r="P493" s="26">
        <v>0.27</v>
      </c>
      <c r="Q493" s="26">
        <v>0.22</v>
      </c>
      <c r="R493" s="26">
        <v>0.17</v>
      </c>
    </row>
    <row r="494" ht="14.25" customHeight="1">
      <c r="A494" s="18" t="s">
        <v>302</v>
      </c>
      <c r="B494" s="18" t="s">
        <v>796</v>
      </c>
      <c r="C494" s="19" t="s">
        <v>954</v>
      </c>
      <c r="D494" s="20" t="s">
        <v>981</v>
      </c>
      <c r="E494" s="19" t="s">
        <v>982</v>
      </c>
      <c r="F494" s="21" t="s">
        <v>20</v>
      </c>
      <c r="G494" s="23">
        <v>59990.0</v>
      </c>
      <c r="H494" s="23">
        <v>23524.0</v>
      </c>
      <c r="I494" s="23">
        <v>14363.0</v>
      </c>
      <c r="J494" s="37"/>
      <c r="K494" s="22"/>
      <c r="L494" s="22">
        <v>14363.0</v>
      </c>
      <c r="M494" s="22">
        <v>15389.0</v>
      </c>
      <c r="N494" s="22">
        <v>16415.0</v>
      </c>
      <c r="O494" s="14"/>
      <c r="P494" s="26">
        <v>0.27</v>
      </c>
      <c r="Q494" s="26">
        <v>0.22</v>
      </c>
      <c r="R494" s="26">
        <v>0.17</v>
      </c>
    </row>
    <row r="495" ht="14.25" customHeight="1">
      <c r="A495" s="18" t="s">
        <v>302</v>
      </c>
      <c r="B495" s="18" t="s">
        <v>796</v>
      </c>
      <c r="C495" s="19" t="s">
        <v>954</v>
      </c>
      <c r="D495" s="20" t="s">
        <v>983</v>
      </c>
      <c r="E495" s="19" t="s">
        <v>984</v>
      </c>
      <c r="F495" s="21" t="s">
        <v>20</v>
      </c>
      <c r="G495" s="23">
        <v>59990.0</v>
      </c>
      <c r="H495" s="23">
        <v>23524.0</v>
      </c>
      <c r="I495" s="23">
        <v>14363.0</v>
      </c>
      <c r="J495" s="37"/>
      <c r="K495" s="22"/>
      <c r="L495" s="22">
        <v>14363.0</v>
      </c>
      <c r="M495" s="22">
        <v>15389.0</v>
      </c>
      <c r="N495" s="22">
        <v>16415.0</v>
      </c>
      <c r="O495" s="14"/>
      <c r="P495" s="26">
        <v>0.27</v>
      </c>
      <c r="Q495" s="26">
        <v>0.22</v>
      </c>
      <c r="R495" s="26">
        <v>0.17</v>
      </c>
    </row>
    <row r="496" ht="14.25" customHeight="1">
      <c r="A496" s="18" t="s">
        <v>302</v>
      </c>
      <c r="B496" s="18" t="s">
        <v>796</v>
      </c>
      <c r="C496" s="19" t="s">
        <v>954</v>
      </c>
      <c r="D496" s="20" t="s">
        <v>985</v>
      </c>
      <c r="E496" s="19" t="s">
        <v>986</v>
      </c>
      <c r="F496" s="21" t="s">
        <v>20</v>
      </c>
      <c r="G496" s="23">
        <v>59990.0</v>
      </c>
      <c r="H496" s="23">
        <v>23524.0</v>
      </c>
      <c r="I496" s="23">
        <v>14363.0</v>
      </c>
      <c r="J496" s="37"/>
      <c r="K496" s="22"/>
      <c r="L496" s="22">
        <v>14363.0</v>
      </c>
      <c r="M496" s="22">
        <v>15389.0</v>
      </c>
      <c r="N496" s="22">
        <v>16415.0</v>
      </c>
      <c r="O496" s="14"/>
      <c r="P496" s="26">
        <v>0.27</v>
      </c>
      <c r="Q496" s="26">
        <v>0.22</v>
      </c>
      <c r="R496" s="26">
        <v>0.17</v>
      </c>
    </row>
    <row r="497" ht="14.25" customHeight="1">
      <c r="A497" s="18" t="s">
        <v>302</v>
      </c>
      <c r="B497" s="18" t="s">
        <v>796</v>
      </c>
      <c r="C497" s="19" t="s">
        <v>954</v>
      </c>
      <c r="D497" s="20" t="s">
        <v>987</v>
      </c>
      <c r="E497" s="19" t="s">
        <v>988</v>
      </c>
      <c r="F497" s="21" t="s">
        <v>20</v>
      </c>
      <c r="G497" s="23">
        <v>49990.0</v>
      </c>
      <c r="H497" s="23">
        <v>17641.0</v>
      </c>
      <c r="I497" s="23">
        <v>8553.0</v>
      </c>
      <c r="J497" s="37"/>
      <c r="K497" s="22"/>
      <c r="L497" s="22">
        <v>8553.0</v>
      </c>
      <c r="M497" s="22">
        <v>9164.0</v>
      </c>
      <c r="N497" s="22">
        <v>9775.0</v>
      </c>
      <c r="O497" s="14"/>
      <c r="P497" s="26">
        <v>0.42</v>
      </c>
      <c r="Q497" s="26">
        <v>0.38</v>
      </c>
      <c r="R497" s="26">
        <v>0.34</v>
      </c>
    </row>
    <row r="498" ht="14.25" customHeight="1">
      <c r="A498" s="18" t="s">
        <v>302</v>
      </c>
      <c r="B498" s="18" t="s">
        <v>796</v>
      </c>
      <c r="C498" s="19" t="s">
        <v>954</v>
      </c>
      <c r="D498" s="20" t="s">
        <v>989</v>
      </c>
      <c r="E498" s="19" t="s">
        <v>990</v>
      </c>
      <c r="F498" s="21" t="s">
        <v>20</v>
      </c>
      <c r="G498" s="23">
        <v>49990.0</v>
      </c>
      <c r="H498" s="23">
        <v>17641.0</v>
      </c>
      <c r="I498" s="23">
        <v>8553.0</v>
      </c>
      <c r="J498" s="37"/>
      <c r="K498" s="22"/>
      <c r="L498" s="22">
        <v>8553.0</v>
      </c>
      <c r="M498" s="22">
        <v>9164.0</v>
      </c>
      <c r="N498" s="22">
        <v>9775.0</v>
      </c>
      <c r="O498" s="14"/>
      <c r="P498" s="26">
        <v>0.42</v>
      </c>
      <c r="Q498" s="26">
        <v>0.38</v>
      </c>
      <c r="R498" s="26">
        <v>0.34</v>
      </c>
    </row>
    <row r="499" ht="14.25" customHeight="1">
      <c r="A499" s="18" t="s">
        <v>302</v>
      </c>
      <c r="B499" s="18" t="s">
        <v>796</v>
      </c>
      <c r="C499" s="19" t="s">
        <v>954</v>
      </c>
      <c r="D499" s="20" t="s">
        <v>991</v>
      </c>
      <c r="E499" s="19" t="s">
        <v>992</v>
      </c>
      <c r="F499" s="21" t="s">
        <v>20</v>
      </c>
      <c r="G499" s="23">
        <v>49990.0</v>
      </c>
      <c r="H499" s="23">
        <v>17641.0</v>
      </c>
      <c r="I499" s="23">
        <v>8553.0</v>
      </c>
      <c r="J499" s="37"/>
      <c r="K499" s="22"/>
      <c r="L499" s="22">
        <v>8553.0</v>
      </c>
      <c r="M499" s="22">
        <v>9164.0</v>
      </c>
      <c r="N499" s="22">
        <v>9775.0</v>
      </c>
      <c r="O499" s="14"/>
      <c r="P499" s="26">
        <v>0.42</v>
      </c>
      <c r="Q499" s="26">
        <v>0.38</v>
      </c>
      <c r="R499" s="26">
        <v>0.34</v>
      </c>
    </row>
    <row r="500" ht="14.25" customHeight="1">
      <c r="A500" s="18" t="s">
        <v>302</v>
      </c>
      <c r="B500" s="18" t="s">
        <v>796</v>
      </c>
      <c r="C500" s="19" t="s">
        <v>954</v>
      </c>
      <c r="D500" s="20" t="s">
        <v>993</v>
      </c>
      <c r="E500" s="19" t="s">
        <v>994</v>
      </c>
      <c r="F500" s="21" t="s">
        <v>20</v>
      </c>
      <c r="G500" s="23">
        <v>49990.0</v>
      </c>
      <c r="H500" s="23">
        <v>17641.0</v>
      </c>
      <c r="I500" s="23">
        <v>8553.0</v>
      </c>
      <c r="J500" s="37"/>
      <c r="K500" s="22"/>
      <c r="L500" s="22">
        <v>8553.0</v>
      </c>
      <c r="M500" s="22">
        <v>9164.0</v>
      </c>
      <c r="N500" s="22">
        <v>9775.0</v>
      </c>
      <c r="O500" s="14"/>
      <c r="P500" s="26">
        <v>0.42</v>
      </c>
      <c r="Q500" s="26">
        <v>0.38</v>
      </c>
      <c r="R500" s="26">
        <v>0.34</v>
      </c>
    </row>
    <row r="501" ht="14.25" customHeight="1">
      <c r="A501" s="18" t="s">
        <v>302</v>
      </c>
      <c r="B501" s="18" t="s">
        <v>796</v>
      </c>
      <c r="C501" s="19" t="s">
        <v>954</v>
      </c>
      <c r="D501" s="20" t="s">
        <v>995</v>
      </c>
      <c r="E501" s="19" t="s">
        <v>996</v>
      </c>
      <c r="F501" s="21" t="s">
        <v>20</v>
      </c>
      <c r="G501" s="23">
        <v>49990.0</v>
      </c>
      <c r="H501" s="23">
        <v>17641.0</v>
      </c>
      <c r="I501" s="23">
        <v>8553.0</v>
      </c>
      <c r="J501" s="37"/>
      <c r="K501" s="22"/>
      <c r="L501" s="22">
        <v>8553.0</v>
      </c>
      <c r="M501" s="22">
        <v>9164.0</v>
      </c>
      <c r="N501" s="22">
        <v>9775.0</v>
      </c>
      <c r="O501" s="14"/>
      <c r="P501" s="26">
        <v>0.42</v>
      </c>
      <c r="Q501" s="26">
        <v>0.38</v>
      </c>
      <c r="R501" s="26">
        <v>0.34</v>
      </c>
    </row>
    <row r="502" ht="14.25" customHeight="1">
      <c r="A502" s="18" t="s">
        <v>302</v>
      </c>
      <c r="B502" s="18" t="s">
        <v>796</v>
      </c>
      <c r="C502" s="19" t="s">
        <v>954</v>
      </c>
      <c r="D502" s="20" t="s">
        <v>997</v>
      </c>
      <c r="E502" s="19" t="s">
        <v>998</v>
      </c>
      <c r="F502" s="21" t="s">
        <v>20</v>
      </c>
      <c r="G502" s="23">
        <v>49990.0</v>
      </c>
      <c r="H502" s="23">
        <v>17641.0</v>
      </c>
      <c r="I502" s="23">
        <v>8553.0</v>
      </c>
      <c r="J502" s="37"/>
      <c r="K502" s="22"/>
      <c r="L502" s="22">
        <v>8553.0</v>
      </c>
      <c r="M502" s="22">
        <v>9164.0</v>
      </c>
      <c r="N502" s="22">
        <v>9775.0</v>
      </c>
      <c r="O502" s="14"/>
      <c r="P502" s="26">
        <v>0.42</v>
      </c>
      <c r="Q502" s="26">
        <v>0.38</v>
      </c>
      <c r="R502" s="26">
        <v>0.34</v>
      </c>
    </row>
    <row r="503" ht="14.25" customHeight="1">
      <c r="A503" s="18" t="s">
        <v>302</v>
      </c>
      <c r="B503" s="18" t="s">
        <v>796</v>
      </c>
      <c r="C503" s="19" t="s">
        <v>954</v>
      </c>
      <c r="D503" s="20" t="s">
        <v>999</v>
      </c>
      <c r="E503" s="19" t="s">
        <v>1000</v>
      </c>
      <c r="F503" s="21" t="s">
        <v>20</v>
      </c>
      <c r="G503" s="23">
        <v>49990.0</v>
      </c>
      <c r="H503" s="23">
        <v>17641.0</v>
      </c>
      <c r="I503" s="23">
        <v>8553.0</v>
      </c>
      <c r="J503" s="37"/>
      <c r="K503" s="22"/>
      <c r="L503" s="22">
        <v>8553.0</v>
      </c>
      <c r="M503" s="22">
        <v>9164.0</v>
      </c>
      <c r="N503" s="22">
        <v>9775.0</v>
      </c>
      <c r="O503" s="14"/>
      <c r="P503" s="26">
        <v>0.42</v>
      </c>
      <c r="Q503" s="26">
        <v>0.38</v>
      </c>
      <c r="R503" s="26">
        <v>0.34</v>
      </c>
    </row>
    <row r="504" ht="14.25" customHeight="1">
      <c r="A504" s="18" t="s">
        <v>302</v>
      </c>
      <c r="B504" s="18" t="s">
        <v>796</v>
      </c>
      <c r="C504" s="19" t="s">
        <v>954</v>
      </c>
      <c r="D504" s="20" t="s">
        <v>1001</v>
      </c>
      <c r="E504" s="19" t="s">
        <v>1002</v>
      </c>
      <c r="F504" s="21" t="s">
        <v>20</v>
      </c>
      <c r="G504" s="23">
        <v>49990.0</v>
      </c>
      <c r="H504" s="23">
        <v>17641.0</v>
      </c>
      <c r="I504" s="23">
        <v>8553.0</v>
      </c>
      <c r="J504" s="37"/>
      <c r="K504" s="22"/>
      <c r="L504" s="22">
        <v>8553.0</v>
      </c>
      <c r="M504" s="22">
        <v>9164.0</v>
      </c>
      <c r="N504" s="22">
        <v>9775.0</v>
      </c>
      <c r="O504" s="14"/>
      <c r="P504" s="26">
        <v>0.42</v>
      </c>
      <c r="Q504" s="26">
        <v>0.38</v>
      </c>
      <c r="R504" s="26">
        <v>0.34</v>
      </c>
    </row>
    <row r="505" ht="14.25" customHeight="1">
      <c r="A505" s="18" t="s">
        <v>302</v>
      </c>
      <c r="B505" s="18" t="s">
        <v>796</v>
      </c>
      <c r="C505" s="19" t="s">
        <v>954</v>
      </c>
      <c r="D505" s="20" t="s">
        <v>1003</v>
      </c>
      <c r="E505" s="19" t="s">
        <v>1004</v>
      </c>
      <c r="F505" s="21" t="s">
        <v>20</v>
      </c>
      <c r="G505" s="23">
        <v>49990.0</v>
      </c>
      <c r="H505" s="23">
        <v>17641.0</v>
      </c>
      <c r="I505" s="23">
        <v>14101.0</v>
      </c>
      <c r="J505" s="37"/>
      <c r="K505" s="22"/>
      <c r="L505" s="22">
        <v>14101.0</v>
      </c>
      <c r="M505" s="22">
        <v>15108.0</v>
      </c>
      <c r="N505" s="22">
        <v>16115.0</v>
      </c>
      <c r="O505" s="14"/>
      <c r="P505" s="26">
        <v>0.05</v>
      </c>
      <c r="Q505" s="26">
        <v>-0.02</v>
      </c>
      <c r="R505" s="26">
        <v>-0.09</v>
      </c>
    </row>
    <row r="506" ht="14.25" customHeight="1">
      <c r="A506" s="18" t="s">
        <v>302</v>
      </c>
      <c r="B506" s="18" t="s">
        <v>796</v>
      </c>
      <c r="C506" s="19" t="s">
        <v>954</v>
      </c>
      <c r="D506" s="20" t="s">
        <v>1005</v>
      </c>
      <c r="E506" s="19" t="s">
        <v>1006</v>
      </c>
      <c r="F506" s="21" t="s">
        <v>20</v>
      </c>
      <c r="G506" s="23">
        <v>49990.0</v>
      </c>
      <c r="H506" s="23">
        <v>17641.0</v>
      </c>
      <c r="I506" s="23">
        <v>14101.0</v>
      </c>
      <c r="J506" s="37"/>
      <c r="K506" s="22"/>
      <c r="L506" s="22">
        <v>14101.0</v>
      </c>
      <c r="M506" s="22">
        <v>15108.0</v>
      </c>
      <c r="N506" s="22">
        <v>16115.0</v>
      </c>
      <c r="O506" s="14"/>
      <c r="P506" s="26">
        <v>0.05</v>
      </c>
      <c r="Q506" s="26">
        <v>-0.02</v>
      </c>
      <c r="R506" s="26">
        <v>-0.09</v>
      </c>
    </row>
    <row r="507" ht="14.25" customHeight="1">
      <c r="A507" s="18" t="s">
        <v>302</v>
      </c>
      <c r="B507" s="18" t="s">
        <v>796</v>
      </c>
      <c r="C507" s="19" t="s">
        <v>954</v>
      </c>
      <c r="D507" s="20" t="s">
        <v>1007</v>
      </c>
      <c r="E507" s="19" t="s">
        <v>1008</v>
      </c>
      <c r="F507" s="21" t="s">
        <v>20</v>
      </c>
      <c r="G507" s="23">
        <v>49990.0</v>
      </c>
      <c r="H507" s="23">
        <v>17641.0</v>
      </c>
      <c r="I507" s="23">
        <v>14101.0</v>
      </c>
      <c r="J507" s="37"/>
      <c r="K507" s="22"/>
      <c r="L507" s="22">
        <v>14101.0</v>
      </c>
      <c r="M507" s="22">
        <v>15108.0</v>
      </c>
      <c r="N507" s="22">
        <v>16115.0</v>
      </c>
      <c r="O507" s="14"/>
      <c r="P507" s="26">
        <v>0.05</v>
      </c>
      <c r="Q507" s="26">
        <v>-0.02</v>
      </c>
      <c r="R507" s="26">
        <v>-0.09</v>
      </c>
    </row>
    <row r="508" ht="14.25" customHeight="1">
      <c r="A508" s="18" t="s">
        <v>302</v>
      </c>
      <c r="B508" s="18" t="s">
        <v>796</v>
      </c>
      <c r="C508" s="19" t="s">
        <v>954</v>
      </c>
      <c r="D508" s="20" t="s">
        <v>1009</v>
      </c>
      <c r="E508" s="19" t="s">
        <v>1010</v>
      </c>
      <c r="F508" s="21" t="s">
        <v>20</v>
      </c>
      <c r="G508" s="23">
        <v>49990.0</v>
      </c>
      <c r="H508" s="23">
        <v>17641.0</v>
      </c>
      <c r="I508" s="23">
        <v>14101.0</v>
      </c>
      <c r="J508" s="37"/>
      <c r="K508" s="22"/>
      <c r="L508" s="22">
        <v>14101.0</v>
      </c>
      <c r="M508" s="22">
        <v>15108.0</v>
      </c>
      <c r="N508" s="22">
        <v>16115.0</v>
      </c>
      <c r="O508" s="14"/>
      <c r="P508" s="26">
        <v>0.05</v>
      </c>
      <c r="Q508" s="26">
        <v>-0.02</v>
      </c>
      <c r="R508" s="26">
        <v>-0.09</v>
      </c>
    </row>
    <row r="509" ht="14.25" customHeight="1">
      <c r="A509" s="18" t="s">
        <v>302</v>
      </c>
      <c r="B509" s="18" t="s">
        <v>796</v>
      </c>
      <c r="C509" s="19" t="s">
        <v>954</v>
      </c>
      <c r="D509" s="20" t="s">
        <v>1011</v>
      </c>
      <c r="E509" s="19" t="s">
        <v>1012</v>
      </c>
      <c r="F509" s="21" t="s">
        <v>20</v>
      </c>
      <c r="G509" s="23">
        <v>49990.0</v>
      </c>
      <c r="H509" s="23">
        <v>17641.0</v>
      </c>
      <c r="I509" s="23">
        <v>14101.0</v>
      </c>
      <c r="J509" s="37"/>
      <c r="K509" s="22"/>
      <c r="L509" s="22">
        <v>14101.0</v>
      </c>
      <c r="M509" s="22">
        <v>15108.0</v>
      </c>
      <c r="N509" s="22">
        <v>16115.0</v>
      </c>
      <c r="O509" s="14"/>
      <c r="P509" s="26">
        <v>0.05</v>
      </c>
      <c r="Q509" s="26">
        <v>-0.02</v>
      </c>
      <c r="R509" s="26">
        <v>-0.09</v>
      </c>
    </row>
    <row r="510" ht="14.25" customHeight="1">
      <c r="A510" s="18" t="s">
        <v>302</v>
      </c>
      <c r="B510" s="18" t="s">
        <v>796</v>
      </c>
      <c r="C510" s="19" t="s">
        <v>954</v>
      </c>
      <c r="D510" s="20" t="s">
        <v>1013</v>
      </c>
      <c r="E510" s="19" t="s">
        <v>1014</v>
      </c>
      <c r="F510" s="21" t="s">
        <v>20</v>
      </c>
      <c r="G510" s="23">
        <v>49990.0</v>
      </c>
      <c r="H510" s="23">
        <v>17641.0</v>
      </c>
      <c r="I510" s="23">
        <v>14101.0</v>
      </c>
      <c r="J510" s="37"/>
      <c r="K510" s="22"/>
      <c r="L510" s="22">
        <v>14101.0</v>
      </c>
      <c r="M510" s="22">
        <v>15108.0</v>
      </c>
      <c r="N510" s="22">
        <v>16115.0</v>
      </c>
      <c r="O510" s="14"/>
      <c r="P510" s="26">
        <v>0.05</v>
      </c>
      <c r="Q510" s="26">
        <v>-0.02</v>
      </c>
      <c r="R510" s="26">
        <v>-0.09</v>
      </c>
    </row>
    <row r="511" ht="14.25" customHeight="1">
      <c r="A511" s="18" t="s">
        <v>302</v>
      </c>
      <c r="B511" s="18" t="s">
        <v>796</v>
      </c>
      <c r="C511" s="19" t="s">
        <v>954</v>
      </c>
      <c r="D511" s="20" t="s">
        <v>1015</v>
      </c>
      <c r="E511" s="19" t="s">
        <v>1016</v>
      </c>
      <c r="F511" s="21" t="s">
        <v>20</v>
      </c>
      <c r="G511" s="23">
        <v>49990.0</v>
      </c>
      <c r="H511" s="23">
        <v>17641.0</v>
      </c>
      <c r="I511" s="23">
        <v>14101.0</v>
      </c>
      <c r="J511" s="37"/>
      <c r="K511" s="22"/>
      <c r="L511" s="22">
        <v>14101.0</v>
      </c>
      <c r="M511" s="22">
        <v>15108.0</v>
      </c>
      <c r="N511" s="22">
        <v>16115.0</v>
      </c>
      <c r="O511" s="14"/>
      <c r="P511" s="26">
        <v>0.05</v>
      </c>
      <c r="Q511" s="26">
        <v>-0.02</v>
      </c>
      <c r="R511" s="26">
        <v>-0.09</v>
      </c>
    </row>
    <row r="512" ht="14.25" customHeight="1">
      <c r="A512" s="18" t="s">
        <v>302</v>
      </c>
      <c r="B512" s="18" t="s">
        <v>796</v>
      </c>
      <c r="C512" s="19" t="s">
        <v>954</v>
      </c>
      <c r="D512" s="20" t="s">
        <v>1017</v>
      </c>
      <c r="E512" s="19" t="s">
        <v>1018</v>
      </c>
      <c r="F512" s="21" t="s">
        <v>20</v>
      </c>
      <c r="G512" s="23">
        <v>49990.0</v>
      </c>
      <c r="H512" s="23">
        <v>17641.0</v>
      </c>
      <c r="I512" s="23">
        <v>14101.0</v>
      </c>
      <c r="J512" s="37"/>
      <c r="K512" s="22"/>
      <c r="L512" s="22">
        <v>14101.0</v>
      </c>
      <c r="M512" s="22">
        <v>15108.0</v>
      </c>
      <c r="N512" s="22">
        <v>16115.0</v>
      </c>
      <c r="O512" s="14"/>
      <c r="P512" s="26">
        <v>0.05</v>
      </c>
      <c r="Q512" s="26">
        <v>-0.02</v>
      </c>
      <c r="R512" s="26">
        <v>-0.09</v>
      </c>
    </row>
    <row r="513" ht="14.25" customHeight="1">
      <c r="A513" s="18" t="s">
        <v>302</v>
      </c>
      <c r="B513" s="18" t="s">
        <v>796</v>
      </c>
      <c r="C513" s="19" t="s">
        <v>954</v>
      </c>
      <c r="D513" s="20" t="s">
        <v>1019</v>
      </c>
      <c r="E513" s="19" t="s">
        <v>1020</v>
      </c>
      <c r="F513" s="21" t="s">
        <v>20</v>
      </c>
      <c r="G513" s="23">
        <v>69990.0</v>
      </c>
      <c r="H513" s="23">
        <v>29406.0</v>
      </c>
      <c r="I513" s="23">
        <v>17137.0</v>
      </c>
      <c r="J513" s="37"/>
      <c r="K513" s="22"/>
      <c r="L513" s="22">
        <v>17137.0</v>
      </c>
      <c r="M513" s="22">
        <v>18361.0</v>
      </c>
      <c r="N513" s="22">
        <v>19585.0</v>
      </c>
      <c r="O513" s="14"/>
      <c r="P513" s="26">
        <v>0.31</v>
      </c>
      <c r="Q513" s="26">
        <v>0.26</v>
      </c>
      <c r="R513" s="26">
        <v>0.21</v>
      </c>
    </row>
    <row r="514" ht="14.25" customHeight="1">
      <c r="A514" s="18" t="s">
        <v>302</v>
      </c>
      <c r="B514" s="18" t="s">
        <v>796</v>
      </c>
      <c r="C514" s="19" t="s">
        <v>954</v>
      </c>
      <c r="D514" s="20" t="s">
        <v>1021</v>
      </c>
      <c r="E514" s="19" t="s">
        <v>1022</v>
      </c>
      <c r="F514" s="21" t="s">
        <v>20</v>
      </c>
      <c r="G514" s="23">
        <v>69990.0</v>
      </c>
      <c r="H514" s="23">
        <v>29406.0</v>
      </c>
      <c r="I514" s="23">
        <v>17137.0</v>
      </c>
      <c r="J514" s="37"/>
      <c r="K514" s="22"/>
      <c r="L514" s="22">
        <v>17137.0</v>
      </c>
      <c r="M514" s="22">
        <v>18361.0</v>
      </c>
      <c r="N514" s="22">
        <v>19585.0</v>
      </c>
      <c r="O514" s="14"/>
      <c r="P514" s="26">
        <v>0.31</v>
      </c>
      <c r="Q514" s="26">
        <v>0.26</v>
      </c>
      <c r="R514" s="26">
        <v>0.21</v>
      </c>
    </row>
    <row r="515" ht="14.25" customHeight="1">
      <c r="A515" s="18" t="s">
        <v>302</v>
      </c>
      <c r="B515" s="18" t="s">
        <v>796</v>
      </c>
      <c r="C515" s="19" t="s">
        <v>954</v>
      </c>
      <c r="D515" s="20" t="s">
        <v>1023</v>
      </c>
      <c r="E515" s="19" t="s">
        <v>1024</v>
      </c>
      <c r="F515" s="21" t="s">
        <v>20</v>
      </c>
      <c r="G515" s="23">
        <v>69990.0</v>
      </c>
      <c r="H515" s="23">
        <v>29406.0</v>
      </c>
      <c r="I515" s="23">
        <v>17137.0</v>
      </c>
      <c r="J515" s="37"/>
      <c r="K515" s="22"/>
      <c r="L515" s="22">
        <v>17137.0</v>
      </c>
      <c r="M515" s="22">
        <v>18361.0</v>
      </c>
      <c r="N515" s="22">
        <v>19585.0</v>
      </c>
      <c r="O515" s="14"/>
      <c r="P515" s="26">
        <v>0.31</v>
      </c>
      <c r="Q515" s="26">
        <v>0.26</v>
      </c>
      <c r="R515" s="26">
        <v>0.21</v>
      </c>
    </row>
    <row r="516" ht="14.25" customHeight="1">
      <c r="A516" s="18" t="s">
        <v>302</v>
      </c>
      <c r="B516" s="18" t="s">
        <v>796</v>
      </c>
      <c r="C516" s="19" t="s">
        <v>954</v>
      </c>
      <c r="D516" s="20" t="s">
        <v>1025</v>
      </c>
      <c r="E516" s="19" t="s">
        <v>1026</v>
      </c>
      <c r="F516" s="21" t="s">
        <v>20</v>
      </c>
      <c r="G516" s="23">
        <v>69990.0</v>
      </c>
      <c r="H516" s="23">
        <v>29406.0</v>
      </c>
      <c r="I516" s="23">
        <v>17137.0</v>
      </c>
      <c r="J516" s="37"/>
      <c r="K516" s="22"/>
      <c r="L516" s="22">
        <v>17137.0</v>
      </c>
      <c r="M516" s="22">
        <v>18361.0</v>
      </c>
      <c r="N516" s="22">
        <v>19585.0</v>
      </c>
      <c r="O516" s="14"/>
      <c r="P516" s="26">
        <v>0.31</v>
      </c>
      <c r="Q516" s="26">
        <v>0.26</v>
      </c>
      <c r="R516" s="26">
        <v>0.21</v>
      </c>
    </row>
    <row r="517" ht="14.25" customHeight="1">
      <c r="A517" s="18" t="s">
        <v>302</v>
      </c>
      <c r="B517" s="18" t="s">
        <v>796</v>
      </c>
      <c r="C517" s="19" t="s">
        <v>954</v>
      </c>
      <c r="D517" s="20" t="s">
        <v>1027</v>
      </c>
      <c r="E517" s="19" t="s">
        <v>1028</v>
      </c>
      <c r="F517" s="21" t="s">
        <v>20</v>
      </c>
      <c r="G517" s="23">
        <v>69990.0</v>
      </c>
      <c r="H517" s="23">
        <v>29406.0</v>
      </c>
      <c r="I517" s="23">
        <v>17137.0</v>
      </c>
      <c r="J517" s="37"/>
      <c r="K517" s="22"/>
      <c r="L517" s="22">
        <v>17137.0</v>
      </c>
      <c r="M517" s="22">
        <v>18361.0</v>
      </c>
      <c r="N517" s="22">
        <v>19585.0</v>
      </c>
      <c r="O517" s="14"/>
      <c r="P517" s="26">
        <v>0.31</v>
      </c>
      <c r="Q517" s="26">
        <v>0.26</v>
      </c>
      <c r="R517" s="26">
        <v>0.21</v>
      </c>
    </row>
    <row r="518" ht="14.25" customHeight="1">
      <c r="A518" s="18" t="s">
        <v>302</v>
      </c>
      <c r="B518" s="18" t="s">
        <v>796</v>
      </c>
      <c r="C518" s="19" t="s">
        <v>954</v>
      </c>
      <c r="D518" s="20" t="s">
        <v>1029</v>
      </c>
      <c r="E518" s="19" t="s">
        <v>1030</v>
      </c>
      <c r="F518" s="21" t="s">
        <v>20</v>
      </c>
      <c r="G518" s="23">
        <v>69990.0</v>
      </c>
      <c r="H518" s="23">
        <v>29406.0</v>
      </c>
      <c r="I518" s="23">
        <v>17137.0</v>
      </c>
      <c r="J518" s="37"/>
      <c r="K518" s="22"/>
      <c r="L518" s="22">
        <v>17137.0</v>
      </c>
      <c r="M518" s="22">
        <v>18361.0</v>
      </c>
      <c r="N518" s="22">
        <v>19585.0</v>
      </c>
      <c r="O518" s="14"/>
      <c r="P518" s="26">
        <v>0.31</v>
      </c>
      <c r="Q518" s="26">
        <v>0.26</v>
      </c>
      <c r="R518" s="26">
        <v>0.21</v>
      </c>
    </row>
    <row r="519" ht="14.25" customHeight="1">
      <c r="A519" s="18" t="s">
        <v>302</v>
      </c>
      <c r="B519" s="18" t="s">
        <v>796</v>
      </c>
      <c r="C519" s="19" t="s">
        <v>954</v>
      </c>
      <c r="D519" s="20" t="s">
        <v>1031</v>
      </c>
      <c r="E519" s="19" t="s">
        <v>1032</v>
      </c>
      <c r="F519" s="21" t="s">
        <v>20</v>
      </c>
      <c r="G519" s="23">
        <v>69990.0</v>
      </c>
      <c r="H519" s="23">
        <v>29406.0</v>
      </c>
      <c r="I519" s="23">
        <v>17137.0</v>
      </c>
      <c r="J519" s="37"/>
      <c r="K519" s="22"/>
      <c r="L519" s="22">
        <v>17137.0</v>
      </c>
      <c r="M519" s="22">
        <v>18361.0</v>
      </c>
      <c r="N519" s="22">
        <v>19585.0</v>
      </c>
      <c r="O519" s="14"/>
      <c r="P519" s="26">
        <v>0.31</v>
      </c>
      <c r="Q519" s="26">
        <v>0.26</v>
      </c>
      <c r="R519" s="26">
        <v>0.21</v>
      </c>
    </row>
    <row r="520" ht="14.25" customHeight="1">
      <c r="A520" s="18" t="s">
        <v>302</v>
      </c>
      <c r="B520" s="18" t="s">
        <v>796</v>
      </c>
      <c r="C520" s="19" t="s">
        <v>954</v>
      </c>
      <c r="D520" s="20" t="s">
        <v>1033</v>
      </c>
      <c r="E520" s="19" t="s">
        <v>1034</v>
      </c>
      <c r="F520" s="21" t="s">
        <v>20</v>
      </c>
      <c r="G520" s="23">
        <v>69990.0</v>
      </c>
      <c r="H520" s="23">
        <v>29406.0</v>
      </c>
      <c r="I520" s="23">
        <v>17137.0</v>
      </c>
      <c r="J520" s="37"/>
      <c r="K520" s="22"/>
      <c r="L520" s="22">
        <v>17137.0</v>
      </c>
      <c r="M520" s="22">
        <v>18361.0</v>
      </c>
      <c r="N520" s="22">
        <v>19585.0</v>
      </c>
      <c r="O520" s="14"/>
      <c r="P520" s="26">
        <v>0.31</v>
      </c>
      <c r="Q520" s="26">
        <v>0.26</v>
      </c>
      <c r="R520" s="26">
        <v>0.21</v>
      </c>
    </row>
    <row r="521" ht="14.25" customHeight="1">
      <c r="A521" s="18" t="s">
        <v>302</v>
      </c>
      <c r="B521" s="18" t="s">
        <v>796</v>
      </c>
      <c r="C521" s="19" t="s">
        <v>954</v>
      </c>
      <c r="D521" s="20" t="s">
        <v>1035</v>
      </c>
      <c r="E521" s="19" t="s">
        <v>1036</v>
      </c>
      <c r="F521" s="22" t="s">
        <v>20</v>
      </c>
      <c r="G521" s="23">
        <v>39990.0</v>
      </c>
      <c r="H521" s="23">
        <v>19406.0</v>
      </c>
      <c r="I521" s="23">
        <v>8026.0</v>
      </c>
      <c r="J521" s="37"/>
      <c r="K521" s="22"/>
      <c r="L521" s="22">
        <v>8026.0</v>
      </c>
      <c r="M521" s="22">
        <v>8599.0</v>
      </c>
      <c r="N521" s="22">
        <v>9173.0</v>
      </c>
      <c r="O521" s="14"/>
      <c r="P521" s="26">
        <v>0.51</v>
      </c>
      <c r="Q521" s="26">
        <v>0.47</v>
      </c>
      <c r="R521" s="26">
        <v>0.44</v>
      </c>
    </row>
    <row r="522" ht="14.25" customHeight="1">
      <c r="A522" s="18" t="s">
        <v>302</v>
      </c>
      <c r="B522" s="18" t="s">
        <v>796</v>
      </c>
      <c r="C522" s="19" t="s">
        <v>954</v>
      </c>
      <c r="D522" s="20" t="s">
        <v>1037</v>
      </c>
      <c r="E522" s="19" t="s">
        <v>1038</v>
      </c>
      <c r="F522" s="22" t="s">
        <v>20</v>
      </c>
      <c r="G522" s="23">
        <v>39990.0</v>
      </c>
      <c r="H522" s="23">
        <v>19406.0</v>
      </c>
      <c r="I522" s="23">
        <v>8026.0</v>
      </c>
      <c r="J522" s="37"/>
      <c r="K522" s="22"/>
      <c r="L522" s="22">
        <v>8026.0</v>
      </c>
      <c r="M522" s="22">
        <v>8599.0</v>
      </c>
      <c r="N522" s="22">
        <v>9173.0</v>
      </c>
      <c r="O522" s="14"/>
      <c r="P522" s="26">
        <v>0.51</v>
      </c>
      <c r="Q522" s="26">
        <v>0.47</v>
      </c>
      <c r="R522" s="26">
        <v>0.44</v>
      </c>
    </row>
    <row r="523" ht="14.25" customHeight="1">
      <c r="A523" s="18" t="s">
        <v>302</v>
      </c>
      <c r="B523" s="18" t="s">
        <v>796</v>
      </c>
      <c r="C523" s="19" t="s">
        <v>954</v>
      </c>
      <c r="D523" s="20" t="s">
        <v>1039</v>
      </c>
      <c r="E523" s="19" t="s">
        <v>1040</v>
      </c>
      <c r="F523" s="22" t="s">
        <v>20</v>
      </c>
      <c r="G523" s="23">
        <v>39990.0</v>
      </c>
      <c r="H523" s="23">
        <v>19406.0</v>
      </c>
      <c r="I523" s="23">
        <v>8026.0</v>
      </c>
      <c r="J523" s="37"/>
      <c r="K523" s="22"/>
      <c r="L523" s="22">
        <v>8026.0</v>
      </c>
      <c r="M523" s="22">
        <v>8599.0</v>
      </c>
      <c r="N523" s="22">
        <v>9173.0</v>
      </c>
      <c r="O523" s="14"/>
      <c r="P523" s="26">
        <v>0.51</v>
      </c>
      <c r="Q523" s="26">
        <v>0.47</v>
      </c>
      <c r="R523" s="26">
        <v>0.44</v>
      </c>
    </row>
    <row r="524" ht="14.25" customHeight="1">
      <c r="A524" s="18" t="s">
        <v>302</v>
      </c>
      <c r="B524" s="18" t="s">
        <v>796</v>
      </c>
      <c r="C524" s="19" t="s">
        <v>954</v>
      </c>
      <c r="D524" s="20" t="s">
        <v>1041</v>
      </c>
      <c r="E524" s="19" t="s">
        <v>1042</v>
      </c>
      <c r="F524" s="22" t="s">
        <v>20</v>
      </c>
      <c r="G524" s="23">
        <v>39990.0</v>
      </c>
      <c r="H524" s="23">
        <v>19406.0</v>
      </c>
      <c r="I524" s="23">
        <v>8026.0</v>
      </c>
      <c r="J524" s="37"/>
      <c r="K524" s="22"/>
      <c r="L524" s="22">
        <v>8026.0</v>
      </c>
      <c r="M524" s="22">
        <v>8599.0</v>
      </c>
      <c r="N524" s="22">
        <v>9173.0</v>
      </c>
      <c r="O524" s="14"/>
      <c r="P524" s="26">
        <v>0.51</v>
      </c>
      <c r="Q524" s="26">
        <v>0.47</v>
      </c>
      <c r="R524" s="26">
        <v>0.44</v>
      </c>
    </row>
    <row r="525" ht="14.25" customHeight="1">
      <c r="A525" s="18" t="s">
        <v>302</v>
      </c>
      <c r="B525" s="18" t="s">
        <v>796</v>
      </c>
      <c r="C525" s="19" t="s">
        <v>954</v>
      </c>
      <c r="D525" s="20" t="s">
        <v>1043</v>
      </c>
      <c r="E525" s="19" t="s">
        <v>1044</v>
      </c>
      <c r="F525" s="22" t="s">
        <v>20</v>
      </c>
      <c r="G525" s="23">
        <v>39990.0</v>
      </c>
      <c r="H525" s="23">
        <v>19406.0</v>
      </c>
      <c r="I525" s="23">
        <v>8026.0</v>
      </c>
      <c r="J525" s="37"/>
      <c r="K525" s="22"/>
      <c r="L525" s="22">
        <v>8026.0</v>
      </c>
      <c r="M525" s="22">
        <v>8599.0</v>
      </c>
      <c r="N525" s="22">
        <v>9173.0</v>
      </c>
      <c r="O525" s="14"/>
      <c r="P525" s="26">
        <v>0.51</v>
      </c>
      <c r="Q525" s="26">
        <v>0.47</v>
      </c>
      <c r="R525" s="26">
        <v>0.44</v>
      </c>
    </row>
    <row r="526" ht="14.25" customHeight="1">
      <c r="A526" s="18" t="s">
        <v>302</v>
      </c>
      <c r="B526" s="18" t="s">
        <v>796</v>
      </c>
      <c r="C526" s="19" t="s">
        <v>954</v>
      </c>
      <c r="D526" s="20" t="s">
        <v>1045</v>
      </c>
      <c r="E526" s="19" t="s">
        <v>1046</v>
      </c>
      <c r="F526" s="22" t="s">
        <v>20</v>
      </c>
      <c r="G526" s="23">
        <v>39990.0</v>
      </c>
      <c r="H526" s="23">
        <v>19406.0</v>
      </c>
      <c r="I526" s="23">
        <v>8026.0</v>
      </c>
      <c r="J526" s="37"/>
      <c r="K526" s="22"/>
      <c r="L526" s="22">
        <v>8026.0</v>
      </c>
      <c r="M526" s="22">
        <v>8599.0</v>
      </c>
      <c r="N526" s="22">
        <v>9173.0</v>
      </c>
      <c r="O526" s="14"/>
      <c r="P526" s="26">
        <v>0.51</v>
      </c>
      <c r="Q526" s="26">
        <v>0.47</v>
      </c>
      <c r="R526" s="26">
        <v>0.44</v>
      </c>
    </row>
    <row r="527" ht="14.25" customHeight="1">
      <c r="A527" s="18" t="s">
        <v>302</v>
      </c>
      <c r="B527" s="18" t="s">
        <v>796</v>
      </c>
      <c r="C527" s="19" t="s">
        <v>954</v>
      </c>
      <c r="D527" s="20" t="s">
        <v>1047</v>
      </c>
      <c r="E527" s="19" t="s">
        <v>1048</v>
      </c>
      <c r="F527" s="22" t="s">
        <v>20</v>
      </c>
      <c r="G527" s="23">
        <v>39990.0</v>
      </c>
      <c r="H527" s="23">
        <v>19406.0</v>
      </c>
      <c r="I527" s="23">
        <v>8026.0</v>
      </c>
      <c r="J527" s="37"/>
      <c r="K527" s="22"/>
      <c r="L527" s="22">
        <v>8026.0</v>
      </c>
      <c r="M527" s="22">
        <v>8599.0</v>
      </c>
      <c r="N527" s="22">
        <v>9173.0</v>
      </c>
      <c r="O527" s="14"/>
      <c r="P527" s="26">
        <v>0.51</v>
      </c>
      <c r="Q527" s="26">
        <v>0.47</v>
      </c>
      <c r="R527" s="26">
        <v>0.44</v>
      </c>
    </row>
    <row r="528" ht="14.25" customHeight="1">
      <c r="A528" s="18" t="s">
        <v>302</v>
      </c>
      <c r="B528" s="18" t="s">
        <v>796</v>
      </c>
      <c r="C528" s="19" t="s">
        <v>954</v>
      </c>
      <c r="D528" s="20" t="s">
        <v>1049</v>
      </c>
      <c r="E528" s="19" t="s">
        <v>1050</v>
      </c>
      <c r="F528" s="22" t="s">
        <v>20</v>
      </c>
      <c r="G528" s="23">
        <v>39990.0</v>
      </c>
      <c r="H528" s="23">
        <v>19406.0</v>
      </c>
      <c r="I528" s="23">
        <v>8026.0</v>
      </c>
      <c r="J528" s="37"/>
      <c r="K528" s="22"/>
      <c r="L528" s="22">
        <v>8026.0</v>
      </c>
      <c r="M528" s="22">
        <v>8599.0</v>
      </c>
      <c r="N528" s="22">
        <v>9173.0</v>
      </c>
      <c r="O528" s="14"/>
      <c r="P528" s="26">
        <v>0.51</v>
      </c>
      <c r="Q528" s="26">
        <v>0.47</v>
      </c>
      <c r="R528" s="26">
        <v>0.44</v>
      </c>
    </row>
    <row r="529" ht="14.25" customHeight="1">
      <c r="A529" s="18" t="s">
        <v>302</v>
      </c>
      <c r="B529" s="18" t="s">
        <v>796</v>
      </c>
      <c r="C529" s="19" t="s">
        <v>954</v>
      </c>
      <c r="D529" s="20" t="s">
        <v>1051</v>
      </c>
      <c r="E529" s="19" t="s">
        <v>1052</v>
      </c>
      <c r="F529" s="22" t="s">
        <v>20</v>
      </c>
      <c r="G529" s="23">
        <v>44990.0</v>
      </c>
      <c r="H529" s="23">
        <v>23524.0</v>
      </c>
      <c r="I529" s="23">
        <v>9096.0</v>
      </c>
      <c r="J529" s="37"/>
      <c r="K529" s="22"/>
      <c r="L529" s="22">
        <v>9096.0</v>
      </c>
      <c r="M529" s="22">
        <v>9746.0</v>
      </c>
      <c r="N529" s="22">
        <v>10395.0</v>
      </c>
      <c r="O529" s="14"/>
      <c r="P529" s="26">
        <v>0.54</v>
      </c>
      <c r="Q529" s="26">
        <v>0.51</v>
      </c>
      <c r="R529" s="26">
        <v>0.47</v>
      </c>
    </row>
    <row r="530" ht="14.25" customHeight="1">
      <c r="A530" s="18" t="s">
        <v>302</v>
      </c>
      <c r="B530" s="18" t="s">
        <v>796</v>
      </c>
      <c r="C530" s="19" t="s">
        <v>954</v>
      </c>
      <c r="D530" s="20" t="s">
        <v>1053</v>
      </c>
      <c r="E530" s="19" t="s">
        <v>1054</v>
      </c>
      <c r="F530" s="22" t="s">
        <v>20</v>
      </c>
      <c r="G530" s="23">
        <v>44990.0</v>
      </c>
      <c r="H530" s="23">
        <v>23524.0</v>
      </c>
      <c r="I530" s="23">
        <v>9096.0</v>
      </c>
      <c r="J530" s="37"/>
      <c r="K530" s="22"/>
      <c r="L530" s="22">
        <v>9096.0</v>
      </c>
      <c r="M530" s="22">
        <v>9746.0</v>
      </c>
      <c r="N530" s="22">
        <v>10395.0</v>
      </c>
      <c r="O530" s="14"/>
      <c r="P530" s="26">
        <v>0.54</v>
      </c>
      <c r="Q530" s="26">
        <v>0.51</v>
      </c>
      <c r="R530" s="26">
        <v>0.47</v>
      </c>
    </row>
    <row r="531" ht="14.25" customHeight="1">
      <c r="A531" s="18" t="s">
        <v>302</v>
      </c>
      <c r="B531" s="18" t="s">
        <v>796</v>
      </c>
      <c r="C531" s="19" t="s">
        <v>954</v>
      </c>
      <c r="D531" s="20" t="s">
        <v>1055</v>
      </c>
      <c r="E531" s="38" t="s">
        <v>1056</v>
      </c>
      <c r="F531" s="22" t="s">
        <v>20</v>
      </c>
      <c r="G531" s="23">
        <v>44990.0</v>
      </c>
      <c r="H531" s="23">
        <v>23524.0</v>
      </c>
      <c r="I531" s="23">
        <v>9096.0</v>
      </c>
      <c r="J531" s="37"/>
      <c r="K531" s="22"/>
      <c r="L531" s="22">
        <v>9096.0</v>
      </c>
      <c r="M531" s="22">
        <v>9746.0</v>
      </c>
      <c r="N531" s="22">
        <v>10395.0</v>
      </c>
      <c r="O531" s="14"/>
      <c r="P531" s="26">
        <v>0.54</v>
      </c>
      <c r="Q531" s="26">
        <v>0.51</v>
      </c>
      <c r="R531" s="26">
        <v>0.47</v>
      </c>
    </row>
    <row r="532" ht="14.25" customHeight="1">
      <c r="A532" s="18" t="s">
        <v>302</v>
      </c>
      <c r="B532" s="18" t="s">
        <v>796</v>
      </c>
      <c r="C532" s="19" t="s">
        <v>954</v>
      </c>
      <c r="D532" s="20" t="s">
        <v>1057</v>
      </c>
      <c r="E532" s="38" t="s">
        <v>1058</v>
      </c>
      <c r="F532" s="22" t="s">
        <v>20</v>
      </c>
      <c r="G532" s="23">
        <v>44990.0</v>
      </c>
      <c r="H532" s="23">
        <v>23524.0</v>
      </c>
      <c r="I532" s="23">
        <v>9096.0</v>
      </c>
      <c r="J532" s="37"/>
      <c r="K532" s="22"/>
      <c r="L532" s="22">
        <v>9096.0</v>
      </c>
      <c r="M532" s="22">
        <v>9746.0</v>
      </c>
      <c r="N532" s="22">
        <v>10395.0</v>
      </c>
      <c r="O532" s="14"/>
      <c r="P532" s="26">
        <v>0.54</v>
      </c>
      <c r="Q532" s="26">
        <v>0.51</v>
      </c>
      <c r="R532" s="26">
        <v>0.47</v>
      </c>
    </row>
    <row r="533" ht="14.25" customHeight="1">
      <c r="A533" s="18" t="s">
        <v>302</v>
      </c>
      <c r="B533" s="18" t="s">
        <v>796</v>
      </c>
      <c r="C533" s="19" t="s">
        <v>954</v>
      </c>
      <c r="D533" s="20" t="s">
        <v>1059</v>
      </c>
      <c r="E533" s="19" t="s">
        <v>1060</v>
      </c>
      <c r="F533" s="22" t="s">
        <v>20</v>
      </c>
      <c r="G533" s="23">
        <v>44990.0</v>
      </c>
      <c r="H533" s="23">
        <v>23524.0</v>
      </c>
      <c r="I533" s="23">
        <v>9096.0</v>
      </c>
      <c r="J533" s="37"/>
      <c r="K533" s="22"/>
      <c r="L533" s="22">
        <v>9096.0</v>
      </c>
      <c r="M533" s="22">
        <v>9746.0</v>
      </c>
      <c r="N533" s="22">
        <v>10395.0</v>
      </c>
      <c r="O533" s="14"/>
      <c r="P533" s="26">
        <v>0.54</v>
      </c>
      <c r="Q533" s="26">
        <v>0.51</v>
      </c>
      <c r="R533" s="26">
        <v>0.47</v>
      </c>
    </row>
    <row r="534" ht="14.25" customHeight="1">
      <c r="A534" s="18" t="s">
        <v>302</v>
      </c>
      <c r="B534" s="18" t="s">
        <v>796</v>
      </c>
      <c r="C534" s="19" t="s">
        <v>954</v>
      </c>
      <c r="D534" s="20" t="s">
        <v>1061</v>
      </c>
      <c r="E534" s="19" t="s">
        <v>1062</v>
      </c>
      <c r="F534" s="22" t="s">
        <v>20</v>
      </c>
      <c r="G534" s="23">
        <v>44990.0</v>
      </c>
      <c r="H534" s="23">
        <v>23524.0</v>
      </c>
      <c r="I534" s="23">
        <v>9096.0</v>
      </c>
      <c r="J534" s="37"/>
      <c r="K534" s="22"/>
      <c r="L534" s="22">
        <v>9096.0</v>
      </c>
      <c r="M534" s="22">
        <v>9746.0</v>
      </c>
      <c r="N534" s="22">
        <v>10395.0</v>
      </c>
      <c r="O534" s="14"/>
      <c r="P534" s="26">
        <v>0.54</v>
      </c>
      <c r="Q534" s="26">
        <v>0.51</v>
      </c>
      <c r="R534" s="26">
        <v>0.47</v>
      </c>
    </row>
    <row r="535" ht="14.25" customHeight="1">
      <c r="A535" s="18" t="s">
        <v>302</v>
      </c>
      <c r="B535" s="18" t="s">
        <v>796</v>
      </c>
      <c r="C535" s="19" t="s">
        <v>954</v>
      </c>
      <c r="D535" s="20" t="s">
        <v>1063</v>
      </c>
      <c r="E535" s="19" t="s">
        <v>1064</v>
      </c>
      <c r="F535" s="22" t="s">
        <v>20</v>
      </c>
      <c r="G535" s="23">
        <v>44990.0</v>
      </c>
      <c r="H535" s="23">
        <v>23524.0</v>
      </c>
      <c r="I535" s="23">
        <v>9096.0</v>
      </c>
      <c r="J535" s="37"/>
      <c r="K535" s="22"/>
      <c r="L535" s="22">
        <v>9096.0</v>
      </c>
      <c r="M535" s="22">
        <v>9746.0</v>
      </c>
      <c r="N535" s="22">
        <v>10395.0</v>
      </c>
      <c r="O535" s="14"/>
      <c r="P535" s="26">
        <v>0.54</v>
      </c>
      <c r="Q535" s="26">
        <v>0.51</v>
      </c>
      <c r="R535" s="26">
        <v>0.47</v>
      </c>
    </row>
    <row r="536" ht="14.25" customHeight="1">
      <c r="A536" s="18" t="s">
        <v>302</v>
      </c>
      <c r="B536" s="18" t="s">
        <v>796</v>
      </c>
      <c r="C536" s="19" t="s">
        <v>954</v>
      </c>
      <c r="D536" s="20" t="s">
        <v>1065</v>
      </c>
      <c r="E536" s="19" t="s">
        <v>1066</v>
      </c>
      <c r="F536" s="22" t="s">
        <v>20</v>
      </c>
      <c r="G536" s="23">
        <v>44990.0</v>
      </c>
      <c r="H536" s="23">
        <v>23524.0</v>
      </c>
      <c r="I536" s="23">
        <v>9096.0</v>
      </c>
      <c r="J536" s="37"/>
      <c r="K536" s="22"/>
      <c r="L536" s="22">
        <v>9096.0</v>
      </c>
      <c r="M536" s="22">
        <v>9746.0</v>
      </c>
      <c r="N536" s="22">
        <v>10395.0</v>
      </c>
      <c r="O536" s="14"/>
      <c r="P536" s="26">
        <v>0.54</v>
      </c>
      <c r="Q536" s="26">
        <v>0.51</v>
      </c>
      <c r="R536" s="26">
        <v>0.47</v>
      </c>
    </row>
    <row r="537" ht="14.25" customHeight="1">
      <c r="A537" s="18" t="s">
        <v>302</v>
      </c>
      <c r="B537" s="18" t="s">
        <v>796</v>
      </c>
      <c r="C537" s="19" t="s">
        <v>1067</v>
      </c>
      <c r="D537" s="20" t="s">
        <v>1068</v>
      </c>
      <c r="E537" s="38" t="s">
        <v>1069</v>
      </c>
      <c r="F537" s="21" t="s">
        <v>20</v>
      </c>
      <c r="G537" s="23">
        <v>22990.0</v>
      </c>
      <c r="H537" s="23">
        <v>7641.0</v>
      </c>
      <c r="I537" s="23">
        <v>5875.0</v>
      </c>
      <c r="J537" s="37"/>
      <c r="K537" s="22"/>
      <c r="L537" s="22">
        <v>5875.0</v>
      </c>
      <c r="M537" s="22">
        <v>6295.0</v>
      </c>
      <c r="N537" s="22">
        <v>6714.0</v>
      </c>
      <c r="O537" s="14"/>
      <c r="P537" s="26">
        <v>0.09</v>
      </c>
      <c r="Q537" s="26">
        <v>0.02</v>
      </c>
      <c r="R537" s="26">
        <v>-0.05</v>
      </c>
    </row>
    <row r="538" ht="14.25" customHeight="1">
      <c r="A538" s="18" t="s">
        <v>302</v>
      </c>
      <c r="B538" s="18" t="s">
        <v>796</v>
      </c>
      <c r="C538" s="19" t="s">
        <v>1067</v>
      </c>
      <c r="D538" s="20" t="s">
        <v>1070</v>
      </c>
      <c r="E538" s="38" t="s">
        <v>1071</v>
      </c>
      <c r="F538" s="21" t="s">
        <v>20</v>
      </c>
      <c r="G538" s="23">
        <v>22990.0</v>
      </c>
      <c r="H538" s="23">
        <v>7641.0</v>
      </c>
      <c r="I538" s="23">
        <v>5875.0</v>
      </c>
      <c r="J538" s="37"/>
      <c r="K538" s="22"/>
      <c r="L538" s="22">
        <v>5875.0</v>
      </c>
      <c r="M538" s="22">
        <v>6295.0</v>
      </c>
      <c r="N538" s="22">
        <v>6714.0</v>
      </c>
      <c r="O538" s="14"/>
      <c r="P538" s="26">
        <v>0.09</v>
      </c>
      <c r="Q538" s="26">
        <v>0.02</v>
      </c>
      <c r="R538" s="26">
        <v>-0.05</v>
      </c>
    </row>
    <row r="539" ht="14.25" customHeight="1">
      <c r="A539" s="18" t="s">
        <v>302</v>
      </c>
      <c r="B539" s="18" t="s">
        <v>796</v>
      </c>
      <c r="C539" s="19" t="s">
        <v>1067</v>
      </c>
      <c r="D539" s="20" t="s">
        <v>1072</v>
      </c>
      <c r="E539" s="19" t="s">
        <v>1073</v>
      </c>
      <c r="F539" s="21" t="s">
        <v>20</v>
      </c>
      <c r="G539" s="23">
        <v>22990.0</v>
      </c>
      <c r="H539" s="23">
        <v>7641.0</v>
      </c>
      <c r="I539" s="23">
        <v>5875.0</v>
      </c>
      <c r="J539" s="37"/>
      <c r="K539" s="22"/>
      <c r="L539" s="22">
        <v>5875.0</v>
      </c>
      <c r="M539" s="22">
        <v>6295.0</v>
      </c>
      <c r="N539" s="22">
        <v>6714.0</v>
      </c>
      <c r="O539" s="14"/>
      <c r="P539" s="26">
        <v>0.09</v>
      </c>
      <c r="Q539" s="26">
        <v>0.02</v>
      </c>
      <c r="R539" s="26">
        <v>-0.05</v>
      </c>
    </row>
    <row r="540" ht="14.25" customHeight="1">
      <c r="A540" s="18" t="s">
        <v>302</v>
      </c>
      <c r="B540" s="18" t="s">
        <v>796</v>
      </c>
      <c r="C540" s="19" t="s">
        <v>1067</v>
      </c>
      <c r="D540" s="20" t="s">
        <v>1074</v>
      </c>
      <c r="E540" s="38" t="s">
        <v>1075</v>
      </c>
      <c r="F540" s="21" t="s">
        <v>20</v>
      </c>
      <c r="G540" s="23">
        <v>22990.0</v>
      </c>
      <c r="H540" s="23">
        <v>7641.0</v>
      </c>
      <c r="I540" s="23">
        <v>5875.0</v>
      </c>
      <c r="J540" s="37"/>
      <c r="K540" s="22"/>
      <c r="L540" s="22">
        <v>5875.0</v>
      </c>
      <c r="M540" s="22">
        <v>6295.0</v>
      </c>
      <c r="N540" s="22">
        <v>6714.0</v>
      </c>
      <c r="O540" s="14"/>
      <c r="P540" s="26">
        <v>0.09</v>
      </c>
      <c r="Q540" s="26">
        <v>0.02</v>
      </c>
      <c r="R540" s="26">
        <v>-0.05</v>
      </c>
    </row>
    <row r="541" ht="14.25" customHeight="1">
      <c r="A541" s="18" t="s">
        <v>302</v>
      </c>
      <c r="B541" s="18" t="s">
        <v>796</v>
      </c>
      <c r="C541" s="19" t="s">
        <v>1067</v>
      </c>
      <c r="D541" s="20" t="s">
        <v>1076</v>
      </c>
      <c r="E541" s="38" t="s">
        <v>1077</v>
      </c>
      <c r="F541" s="21" t="s">
        <v>20</v>
      </c>
      <c r="G541" s="23">
        <v>22990.0</v>
      </c>
      <c r="H541" s="23">
        <v>7641.0</v>
      </c>
      <c r="I541" s="23">
        <v>5875.0</v>
      </c>
      <c r="J541" s="37"/>
      <c r="K541" s="22"/>
      <c r="L541" s="22">
        <v>5875.0</v>
      </c>
      <c r="M541" s="22">
        <v>6295.0</v>
      </c>
      <c r="N541" s="22">
        <v>6714.0</v>
      </c>
      <c r="O541" s="14"/>
      <c r="P541" s="26">
        <v>0.09</v>
      </c>
      <c r="Q541" s="26">
        <v>0.02</v>
      </c>
      <c r="R541" s="26">
        <v>-0.05</v>
      </c>
    </row>
    <row r="542" ht="14.25" customHeight="1">
      <c r="A542" s="18" t="s">
        <v>302</v>
      </c>
      <c r="B542" s="18" t="s">
        <v>796</v>
      </c>
      <c r="C542" s="19" t="s">
        <v>1067</v>
      </c>
      <c r="D542" s="20" t="s">
        <v>1078</v>
      </c>
      <c r="E542" s="38" t="s">
        <v>1079</v>
      </c>
      <c r="F542" s="21" t="s">
        <v>20</v>
      </c>
      <c r="G542" s="23">
        <v>22990.0</v>
      </c>
      <c r="H542" s="23">
        <v>7641.0</v>
      </c>
      <c r="I542" s="23">
        <v>5875.0</v>
      </c>
      <c r="J542" s="37"/>
      <c r="K542" s="22"/>
      <c r="L542" s="22">
        <v>5875.0</v>
      </c>
      <c r="M542" s="22">
        <v>6295.0</v>
      </c>
      <c r="N542" s="22">
        <v>6714.0</v>
      </c>
      <c r="O542" s="14"/>
      <c r="P542" s="26">
        <v>0.09</v>
      </c>
      <c r="Q542" s="26">
        <v>0.02</v>
      </c>
      <c r="R542" s="26">
        <v>-0.05</v>
      </c>
    </row>
    <row r="543" ht="14.25" customHeight="1">
      <c r="A543" s="18" t="s">
        <v>302</v>
      </c>
      <c r="B543" s="18" t="s">
        <v>796</v>
      </c>
      <c r="C543" s="19" t="s">
        <v>1067</v>
      </c>
      <c r="D543" s="20" t="s">
        <v>1080</v>
      </c>
      <c r="E543" s="38" t="s">
        <v>1081</v>
      </c>
      <c r="F543" s="21" t="s">
        <v>20</v>
      </c>
      <c r="G543" s="23">
        <v>22990.0</v>
      </c>
      <c r="H543" s="23">
        <v>7641.0</v>
      </c>
      <c r="I543" s="23">
        <v>5875.0</v>
      </c>
      <c r="J543" s="37"/>
      <c r="K543" s="22"/>
      <c r="L543" s="22">
        <v>5875.0</v>
      </c>
      <c r="M543" s="22">
        <v>6295.0</v>
      </c>
      <c r="N543" s="22">
        <v>6714.0</v>
      </c>
      <c r="O543" s="14"/>
      <c r="P543" s="26">
        <v>0.09</v>
      </c>
      <c r="Q543" s="26">
        <v>0.02</v>
      </c>
      <c r="R543" s="26">
        <v>-0.05</v>
      </c>
    </row>
    <row r="544" ht="14.25" customHeight="1">
      <c r="A544" s="18" t="s">
        <v>302</v>
      </c>
      <c r="B544" s="18" t="s">
        <v>796</v>
      </c>
      <c r="C544" s="19" t="s">
        <v>1067</v>
      </c>
      <c r="D544" s="20" t="s">
        <v>1082</v>
      </c>
      <c r="E544" s="38" t="s">
        <v>1083</v>
      </c>
      <c r="F544" s="21" t="s">
        <v>20</v>
      </c>
      <c r="G544" s="23">
        <v>22990.0</v>
      </c>
      <c r="H544" s="23">
        <v>7641.0</v>
      </c>
      <c r="I544" s="23">
        <v>5875.0</v>
      </c>
      <c r="J544" s="37"/>
      <c r="K544" s="22"/>
      <c r="L544" s="22">
        <v>5875.0</v>
      </c>
      <c r="M544" s="22">
        <v>6295.0</v>
      </c>
      <c r="N544" s="22">
        <v>6714.0</v>
      </c>
      <c r="O544" s="14"/>
      <c r="P544" s="26">
        <v>0.09</v>
      </c>
      <c r="Q544" s="26">
        <v>0.02</v>
      </c>
      <c r="R544" s="26">
        <v>-0.05</v>
      </c>
    </row>
    <row r="545" ht="14.25" customHeight="1">
      <c r="A545" s="18" t="s">
        <v>302</v>
      </c>
      <c r="B545" s="18" t="s">
        <v>796</v>
      </c>
      <c r="C545" s="19" t="s">
        <v>1067</v>
      </c>
      <c r="D545" s="20" t="s">
        <v>1084</v>
      </c>
      <c r="E545" s="38" t="s">
        <v>1085</v>
      </c>
      <c r="F545" s="21" t="s">
        <v>20</v>
      </c>
      <c r="G545" s="23">
        <v>22990.0</v>
      </c>
      <c r="H545" s="23">
        <v>7641.0</v>
      </c>
      <c r="I545" s="23">
        <v>5875.0</v>
      </c>
      <c r="J545" s="37"/>
      <c r="K545" s="22"/>
      <c r="L545" s="22">
        <v>5875.0</v>
      </c>
      <c r="M545" s="22">
        <v>6295.0</v>
      </c>
      <c r="N545" s="22">
        <v>6714.0</v>
      </c>
      <c r="O545" s="14"/>
      <c r="P545" s="26">
        <v>0.09</v>
      </c>
      <c r="Q545" s="26">
        <v>0.02</v>
      </c>
      <c r="R545" s="26">
        <v>-0.05</v>
      </c>
    </row>
    <row r="546" ht="14.25" customHeight="1">
      <c r="A546" s="18" t="s">
        <v>302</v>
      </c>
      <c r="B546" s="18" t="s">
        <v>796</v>
      </c>
      <c r="C546" s="19" t="s">
        <v>1067</v>
      </c>
      <c r="D546" s="20" t="s">
        <v>1086</v>
      </c>
      <c r="E546" s="38" t="s">
        <v>1087</v>
      </c>
      <c r="F546" s="21" t="s">
        <v>20</v>
      </c>
      <c r="G546" s="23">
        <v>22990.0</v>
      </c>
      <c r="H546" s="23">
        <v>7641.0</v>
      </c>
      <c r="I546" s="23">
        <v>5875.0</v>
      </c>
      <c r="J546" s="37"/>
      <c r="K546" s="22"/>
      <c r="L546" s="22">
        <v>5875.0</v>
      </c>
      <c r="M546" s="22">
        <v>6295.0</v>
      </c>
      <c r="N546" s="22">
        <v>6714.0</v>
      </c>
      <c r="O546" s="14"/>
      <c r="P546" s="26">
        <v>0.09</v>
      </c>
      <c r="Q546" s="26">
        <v>0.02</v>
      </c>
      <c r="R546" s="26">
        <v>-0.05</v>
      </c>
    </row>
    <row r="547" ht="14.25" customHeight="1">
      <c r="A547" s="18" t="s">
        <v>302</v>
      </c>
      <c r="B547" s="18" t="s">
        <v>796</v>
      </c>
      <c r="C547" s="19" t="s">
        <v>1067</v>
      </c>
      <c r="D547" s="20" t="s">
        <v>1088</v>
      </c>
      <c r="E547" s="38" t="s">
        <v>1089</v>
      </c>
      <c r="F547" s="21" t="s">
        <v>20</v>
      </c>
      <c r="G547" s="23">
        <v>22990.0</v>
      </c>
      <c r="H547" s="23">
        <v>7641.0</v>
      </c>
      <c r="I547" s="23">
        <v>5875.0</v>
      </c>
      <c r="J547" s="37"/>
      <c r="K547" s="22"/>
      <c r="L547" s="22">
        <v>5875.0</v>
      </c>
      <c r="M547" s="22">
        <v>6295.0</v>
      </c>
      <c r="N547" s="22">
        <v>6714.0</v>
      </c>
      <c r="O547" s="14"/>
      <c r="P547" s="26">
        <v>0.09</v>
      </c>
      <c r="Q547" s="26">
        <v>0.02</v>
      </c>
      <c r="R547" s="26">
        <v>-0.05</v>
      </c>
    </row>
    <row r="548" ht="14.25" customHeight="1">
      <c r="A548" s="18" t="s">
        <v>302</v>
      </c>
      <c r="B548" s="18" t="s">
        <v>796</v>
      </c>
      <c r="C548" s="19" t="s">
        <v>1067</v>
      </c>
      <c r="D548" s="20" t="s">
        <v>1090</v>
      </c>
      <c r="E548" s="38" t="s">
        <v>1091</v>
      </c>
      <c r="F548" s="21" t="s">
        <v>20</v>
      </c>
      <c r="G548" s="23">
        <v>22990.0</v>
      </c>
      <c r="H548" s="23">
        <v>7641.0</v>
      </c>
      <c r="I548" s="23">
        <v>5875.0</v>
      </c>
      <c r="J548" s="37"/>
      <c r="K548" s="22"/>
      <c r="L548" s="22">
        <v>5875.0</v>
      </c>
      <c r="M548" s="22">
        <v>6295.0</v>
      </c>
      <c r="N548" s="22">
        <v>6714.0</v>
      </c>
      <c r="O548" s="14"/>
      <c r="P548" s="26">
        <v>0.09</v>
      </c>
      <c r="Q548" s="26">
        <v>0.02</v>
      </c>
      <c r="R548" s="26">
        <v>-0.05</v>
      </c>
    </row>
    <row r="549" ht="14.25" customHeight="1">
      <c r="A549" s="18" t="s">
        <v>302</v>
      </c>
      <c r="B549" s="18" t="s">
        <v>796</v>
      </c>
      <c r="C549" s="19" t="s">
        <v>1067</v>
      </c>
      <c r="D549" s="20" t="s">
        <v>1092</v>
      </c>
      <c r="E549" s="38" t="s">
        <v>1093</v>
      </c>
      <c r="F549" s="21" t="s">
        <v>20</v>
      </c>
      <c r="G549" s="23">
        <v>29990.0</v>
      </c>
      <c r="H549" s="23">
        <v>11759.0</v>
      </c>
      <c r="I549" s="23">
        <v>7834.0</v>
      </c>
      <c r="J549" s="37"/>
      <c r="K549" s="22"/>
      <c r="L549" s="22">
        <v>7834.0</v>
      </c>
      <c r="M549" s="22">
        <v>8394.0</v>
      </c>
      <c r="N549" s="22">
        <v>8953.0</v>
      </c>
      <c r="O549" s="14"/>
      <c r="P549" s="26">
        <v>0.21</v>
      </c>
      <c r="Q549" s="26">
        <v>0.15</v>
      </c>
      <c r="R549" s="26">
        <v>0.09</v>
      </c>
    </row>
    <row r="550" ht="14.25" customHeight="1">
      <c r="A550" s="18" t="s">
        <v>302</v>
      </c>
      <c r="B550" s="18" t="s">
        <v>796</v>
      </c>
      <c r="C550" s="19" t="s">
        <v>1067</v>
      </c>
      <c r="D550" s="20" t="s">
        <v>1094</v>
      </c>
      <c r="E550" s="38" t="s">
        <v>1095</v>
      </c>
      <c r="F550" s="21" t="s">
        <v>20</v>
      </c>
      <c r="G550" s="23">
        <v>29990.0</v>
      </c>
      <c r="H550" s="23">
        <v>11759.0</v>
      </c>
      <c r="I550" s="23">
        <v>7834.0</v>
      </c>
      <c r="J550" s="37"/>
      <c r="K550" s="22"/>
      <c r="L550" s="22">
        <v>7834.0</v>
      </c>
      <c r="M550" s="22">
        <v>8394.0</v>
      </c>
      <c r="N550" s="22">
        <v>8953.0</v>
      </c>
      <c r="O550" s="14"/>
      <c r="P550" s="26">
        <v>0.21</v>
      </c>
      <c r="Q550" s="26">
        <v>0.15</v>
      </c>
      <c r="R550" s="26">
        <v>0.09</v>
      </c>
    </row>
    <row r="551" ht="14.25" customHeight="1">
      <c r="A551" s="18" t="s">
        <v>302</v>
      </c>
      <c r="B551" s="18" t="s">
        <v>796</v>
      </c>
      <c r="C551" s="19" t="s">
        <v>1067</v>
      </c>
      <c r="D551" s="20" t="s">
        <v>1096</v>
      </c>
      <c r="E551" s="38" t="s">
        <v>1097</v>
      </c>
      <c r="F551" s="21" t="s">
        <v>20</v>
      </c>
      <c r="G551" s="23">
        <v>29990.0</v>
      </c>
      <c r="H551" s="23">
        <v>11759.0</v>
      </c>
      <c r="I551" s="23">
        <v>7834.0</v>
      </c>
      <c r="J551" s="37"/>
      <c r="K551" s="22"/>
      <c r="L551" s="22">
        <v>7834.0</v>
      </c>
      <c r="M551" s="22">
        <v>8394.0</v>
      </c>
      <c r="N551" s="22">
        <v>8953.0</v>
      </c>
      <c r="O551" s="14"/>
      <c r="P551" s="26">
        <v>0.21</v>
      </c>
      <c r="Q551" s="26">
        <v>0.15</v>
      </c>
      <c r="R551" s="26">
        <v>0.09</v>
      </c>
    </row>
    <row r="552" ht="14.25" customHeight="1">
      <c r="A552" s="18" t="s">
        <v>302</v>
      </c>
      <c r="B552" s="18" t="s">
        <v>796</v>
      </c>
      <c r="C552" s="19" t="s">
        <v>1067</v>
      </c>
      <c r="D552" s="20" t="s">
        <v>1098</v>
      </c>
      <c r="E552" s="38" t="s">
        <v>1099</v>
      </c>
      <c r="F552" s="21" t="s">
        <v>20</v>
      </c>
      <c r="G552" s="23">
        <v>29990.0</v>
      </c>
      <c r="H552" s="23">
        <v>11759.0</v>
      </c>
      <c r="I552" s="23">
        <v>7834.0</v>
      </c>
      <c r="J552" s="37"/>
      <c r="K552" s="22"/>
      <c r="L552" s="22">
        <v>7834.0</v>
      </c>
      <c r="M552" s="22">
        <v>8394.0</v>
      </c>
      <c r="N552" s="22">
        <v>8953.0</v>
      </c>
      <c r="O552" s="14"/>
      <c r="P552" s="26">
        <v>0.21</v>
      </c>
      <c r="Q552" s="26">
        <v>0.15</v>
      </c>
      <c r="R552" s="26">
        <v>0.09</v>
      </c>
    </row>
    <row r="553" ht="14.25" customHeight="1">
      <c r="A553" s="18" t="s">
        <v>302</v>
      </c>
      <c r="B553" s="18" t="s">
        <v>796</v>
      </c>
      <c r="C553" s="19" t="s">
        <v>1067</v>
      </c>
      <c r="D553" s="20" t="s">
        <v>1100</v>
      </c>
      <c r="E553" s="38" t="s">
        <v>1101</v>
      </c>
      <c r="F553" s="22" t="s">
        <v>20</v>
      </c>
      <c r="G553" s="23">
        <v>16990.0</v>
      </c>
      <c r="H553" s="23">
        <v>7641.0</v>
      </c>
      <c r="I553" s="23">
        <v>3853.0</v>
      </c>
      <c r="J553" s="37"/>
      <c r="K553" s="22"/>
      <c r="L553" s="22">
        <v>3853.0</v>
      </c>
      <c r="M553" s="22">
        <v>4128.0</v>
      </c>
      <c r="N553" s="22">
        <v>4403.0</v>
      </c>
      <c r="O553" s="14"/>
      <c r="P553" s="26">
        <v>0.4</v>
      </c>
      <c r="Q553" s="26">
        <v>0.36</v>
      </c>
      <c r="R553" s="26">
        <v>0.31</v>
      </c>
    </row>
    <row r="554" ht="14.25" customHeight="1">
      <c r="A554" s="18" t="s">
        <v>302</v>
      </c>
      <c r="B554" s="18" t="s">
        <v>796</v>
      </c>
      <c r="C554" s="19" t="s">
        <v>1067</v>
      </c>
      <c r="D554" s="20" t="s">
        <v>1102</v>
      </c>
      <c r="E554" s="38" t="s">
        <v>1103</v>
      </c>
      <c r="F554" s="22" t="s">
        <v>20</v>
      </c>
      <c r="G554" s="23">
        <v>16990.0</v>
      </c>
      <c r="H554" s="23">
        <v>7641.0</v>
      </c>
      <c r="I554" s="23">
        <v>3853.0</v>
      </c>
      <c r="J554" s="37"/>
      <c r="K554" s="22"/>
      <c r="L554" s="22">
        <v>3853.0</v>
      </c>
      <c r="M554" s="22">
        <v>4128.0</v>
      </c>
      <c r="N554" s="22">
        <v>4403.0</v>
      </c>
      <c r="O554" s="14"/>
      <c r="P554" s="26">
        <v>0.4</v>
      </c>
      <c r="Q554" s="26">
        <v>0.36</v>
      </c>
      <c r="R554" s="26">
        <v>0.31</v>
      </c>
    </row>
    <row r="555" ht="14.25" customHeight="1">
      <c r="A555" s="18" t="s">
        <v>302</v>
      </c>
      <c r="B555" s="18" t="s">
        <v>796</v>
      </c>
      <c r="C555" s="19" t="s">
        <v>1067</v>
      </c>
      <c r="D555" s="20" t="s">
        <v>1104</v>
      </c>
      <c r="E555" s="38" t="s">
        <v>1105</v>
      </c>
      <c r="F555" s="22" t="s">
        <v>20</v>
      </c>
      <c r="G555" s="23">
        <v>16990.0</v>
      </c>
      <c r="H555" s="23">
        <v>7641.0</v>
      </c>
      <c r="I555" s="23">
        <v>3853.0</v>
      </c>
      <c r="J555" s="37"/>
      <c r="K555" s="22"/>
      <c r="L555" s="22">
        <v>3853.0</v>
      </c>
      <c r="M555" s="22">
        <v>4128.0</v>
      </c>
      <c r="N555" s="22">
        <v>4403.0</v>
      </c>
      <c r="O555" s="14"/>
      <c r="P555" s="26">
        <v>0.4</v>
      </c>
      <c r="Q555" s="26">
        <v>0.36</v>
      </c>
      <c r="R555" s="26">
        <v>0.31</v>
      </c>
    </row>
    <row r="556" ht="14.25" customHeight="1">
      <c r="A556" s="18" t="s">
        <v>302</v>
      </c>
      <c r="B556" s="18" t="s">
        <v>796</v>
      </c>
      <c r="C556" s="19" t="s">
        <v>1067</v>
      </c>
      <c r="D556" s="20" t="s">
        <v>1106</v>
      </c>
      <c r="E556" s="38" t="s">
        <v>1107</v>
      </c>
      <c r="F556" s="22" t="s">
        <v>20</v>
      </c>
      <c r="G556" s="23">
        <v>16990.0</v>
      </c>
      <c r="H556" s="23">
        <v>7641.0</v>
      </c>
      <c r="I556" s="23">
        <v>3853.0</v>
      </c>
      <c r="J556" s="37"/>
      <c r="K556" s="22"/>
      <c r="L556" s="22">
        <v>3853.0</v>
      </c>
      <c r="M556" s="22">
        <v>4128.0</v>
      </c>
      <c r="N556" s="22">
        <v>4403.0</v>
      </c>
      <c r="O556" s="14"/>
      <c r="P556" s="26">
        <v>0.4</v>
      </c>
      <c r="Q556" s="26">
        <v>0.36</v>
      </c>
      <c r="R556" s="26">
        <v>0.31</v>
      </c>
    </row>
    <row r="557" ht="14.25" customHeight="1">
      <c r="A557" s="18" t="s">
        <v>302</v>
      </c>
      <c r="B557" s="18" t="s">
        <v>796</v>
      </c>
      <c r="C557" s="19" t="s">
        <v>1067</v>
      </c>
      <c r="D557" s="20" t="s">
        <v>1108</v>
      </c>
      <c r="E557" s="38" t="s">
        <v>1109</v>
      </c>
      <c r="F557" s="22" t="s">
        <v>20</v>
      </c>
      <c r="G557" s="23">
        <v>16990.0</v>
      </c>
      <c r="H557" s="23">
        <v>7641.0</v>
      </c>
      <c r="I557" s="23">
        <v>3853.0</v>
      </c>
      <c r="J557" s="37"/>
      <c r="K557" s="37"/>
      <c r="L557" s="22">
        <v>3853.0</v>
      </c>
      <c r="M557" s="22">
        <v>4128.0</v>
      </c>
      <c r="N557" s="22">
        <v>4403.0</v>
      </c>
      <c r="O557" s="37"/>
      <c r="P557" s="26">
        <v>0.4</v>
      </c>
      <c r="Q557" s="26">
        <v>0.36</v>
      </c>
      <c r="R557" s="26">
        <v>0.31</v>
      </c>
    </row>
    <row r="558" ht="14.25" customHeight="1">
      <c r="A558" s="18" t="s">
        <v>302</v>
      </c>
      <c r="B558" s="18" t="s">
        <v>796</v>
      </c>
      <c r="C558" s="19" t="s">
        <v>1067</v>
      </c>
      <c r="D558" s="20" t="s">
        <v>1110</v>
      </c>
      <c r="E558" s="38" t="s">
        <v>1111</v>
      </c>
      <c r="F558" s="22" t="s">
        <v>20</v>
      </c>
      <c r="G558" s="23">
        <v>16990.0</v>
      </c>
      <c r="H558" s="23">
        <v>7641.0</v>
      </c>
      <c r="I558" s="23">
        <v>3853.0</v>
      </c>
      <c r="J558" s="37"/>
      <c r="K558" s="37"/>
      <c r="L558" s="22">
        <v>3853.0</v>
      </c>
      <c r="M558" s="22">
        <v>4128.0</v>
      </c>
      <c r="N558" s="22">
        <v>4403.0</v>
      </c>
      <c r="O558" s="37"/>
      <c r="P558" s="26">
        <v>0.4</v>
      </c>
      <c r="Q558" s="26">
        <v>0.36</v>
      </c>
      <c r="R558" s="26">
        <v>0.31</v>
      </c>
    </row>
    <row r="559" ht="14.25" customHeight="1">
      <c r="A559" s="18" t="s">
        <v>302</v>
      </c>
      <c r="B559" s="18" t="s">
        <v>796</v>
      </c>
      <c r="C559" s="19" t="s">
        <v>1067</v>
      </c>
      <c r="D559" s="20" t="s">
        <v>1112</v>
      </c>
      <c r="E559" s="38" t="s">
        <v>1113</v>
      </c>
      <c r="F559" s="16" t="s">
        <v>20</v>
      </c>
      <c r="G559" s="23">
        <v>16990.0</v>
      </c>
      <c r="H559" s="23">
        <v>7641.0</v>
      </c>
      <c r="I559" s="23">
        <v>3853.0</v>
      </c>
      <c r="J559" s="37"/>
      <c r="K559" s="37"/>
      <c r="L559" s="22">
        <v>3853.0</v>
      </c>
      <c r="M559" s="22">
        <v>4128.0</v>
      </c>
      <c r="N559" s="22">
        <v>4403.0</v>
      </c>
      <c r="O559" s="37"/>
      <c r="P559" s="26">
        <v>0.4</v>
      </c>
      <c r="Q559" s="26">
        <v>0.36</v>
      </c>
      <c r="R559" s="26">
        <v>0.31</v>
      </c>
    </row>
    <row r="560" ht="14.25" customHeight="1">
      <c r="A560" s="18" t="s">
        <v>302</v>
      </c>
      <c r="B560" s="18" t="s">
        <v>796</v>
      </c>
      <c r="C560" s="19" t="s">
        <v>1067</v>
      </c>
      <c r="D560" s="20" t="s">
        <v>1114</v>
      </c>
      <c r="E560" s="38" t="s">
        <v>1115</v>
      </c>
      <c r="F560" s="16" t="s">
        <v>20</v>
      </c>
      <c r="G560" s="23">
        <v>16990.0</v>
      </c>
      <c r="H560" s="23">
        <v>7641.0</v>
      </c>
      <c r="I560" s="23">
        <v>3853.0</v>
      </c>
      <c r="J560" s="37"/>
      <c r="K560" s="37"/>
      <c r="L560" s="22">
        <v>3853.0</v>
      </c>
      <c r="M560" s="22">
        <v>4128.0</v>
      </c>
      <c r="N560" s="22">
        <v>4403.0</v>
      </c>
      <c r="O560" s="37"/>
      <c r="P560" s="26">
        <v>0.4</v>
      </c>
      <c r="Q560" s="26">
        <v>0.36</v>
      </c>
      <c r="R560" s="26">
        <v>0.31</v>
      </c>
    </row>
    <row r="561" ht="14.25" customHeight="1">
      <c r="A561" s="18" t="s">
        <v>302</v>
      </c>
      <c r="B561" s="18" t="s">
        <v>796</v>
      </c>
      <c r="C561" s="19" t="s">
        <v>1067</v>
      </c>
      <c r="D561" s="20" t="s">
        <v>1116</v>
      </c>
      <c r="E561" s="38" t="s">
        <v>1117</v>
      </c>
      <c r="F561" s="16" t="s">
        <v>20</v>
      </c>
      <c r="G561" s="23">
        <v>16990.0</v>
      </c>
      <c r="H561" s="23">
        <v>7641.0</v>
      </c>
      <c r="I561" s="23">
        <v>3933.0</v>
      </c>
      <c r="J561" s="37"/>
      <c r="K561" s="37"/>
      <c r="L561" s="22">
        <v>3933.0</v>
      </c>
      <c r="M561" s="22">
        <v>4214.0</v>
      </c>
      <c r="N561" s="22">
        <v>4495.0</v>
      </c>
      <c r="O561" s="37"/>
      <c r="P561" s="26">
        <v>0.39</v>
      </c>
      <c r="Q561" s="26">
        <v>0.34</v>
      </c>
      <c r="R561" s="26">
        <v>0.3</v>
      </c>
    </row>
    <row r="562" ht="14.25" customHeight="1">
      <c r="A562" s="18" t="s">
        <v>302</v>
      </c>
      <c r="B562" s="18" t="s">
        <v>796</v>
      </c>
      <c r="C562" s="19" t="s">
        <v>1067</v>
      </c>
      <c r="D562" s="20" t="s">
        <v>1116</v>
      </c>
      <c r="E562" s="39" t="s">
        <v>1118</v>
      </c>
      <c r="F562" s="16" t="s">
        <v>20</v>
      </c>
      <c r="G562" s="23">
        <v>16990.0</v>
      </c>
      <c r="H562" s="23">
        <v>5876.0</v>
      </c>
      <c r="I562" s="23">
        <v>3853.0</v>
      </c>
      <c r="J562" s="37"/>
      <c r="K562" s="37"/>
      <c r="L562" s="22">
        <v>3853.0</v>
      </c>
      <c r="M562" s="22">
        <v>4128.0</v>
      </c>
      <c r="N562" s="22">
        <v>4403.0</v>
      </c>
      <c r="O562" s="37"/>
      <c r="P562" s="26">
        <v>0.22</v>
      </c>
      <c r="Q562" s="26">
        <v>0.16</v>
      </c>
      <c r="R562" s="26">
        <v>0.11</v>
      </c>
    </row>
    <row r="563" ht="14.25" customHeight="1">
      <c r="A563" s="18" t="s">
        <v>302</v>
      </c>
      <c r="B563" s="18" t="s">
        <v>796</v>
      </c>
      <c r="C563" s="19" t="s">
        <v>1067</v>
      </c>
      <c r="D563" s="20" t="s">
        <v>1119</v>
      </c>
      <c r="E563" s="38" t="s">
        <v>1120</v>
      </c>
      <c r="F563" s="16" t="s">
        <v>20</v>
      </c>
      <c r="G563" s="23">
        <v>16990.0</v>
      </c>
      <c r="H563" s="23">
        <v>7641.0</v>
      </c>
      <c r="I563" s="23">
        <v>3933.0</v>
      </c>
      <c r="J563" s="37"/>
      <c r="K563" s="37"/>
      <c r="L563" s="22">
        <v>3933.0</v>
      </c>
      <c r="M563" s="22">
        <v>4214.0</v>
      </c>
      <c r="N563" s="22">
        <v>4495.0</v>
      </c>
      <c r="O563" s="37"/>
      <c r="P563" s="26">
        <v>0.39</v>
      </c>
      <c r="Q563" s="26">
        <v>0.34</v>
      </c>
      <c r="R563" s="26">
        <v>0.3</v>
      </c>
    </row>
    <row r="564" ht="14.25" customHeight="1">
      <c r="A564" s="18" t="s">
        <v>302</v>
      </c>
      <c r="B564" s="18" t="s">
        <v>796</v>
      </c>
      <c r="C564" s="19" t="s">
        <v>1067</v>
      </c>
      <c r="D564" s="20" t="s">
        <v>1119</v>
      </c>
      <c r="E564" s="16" t="s">
        <v>1121</v>
      </c>
      <c r="F564" s="16" t="s">
        <v>20</v>
      </c>
      <c r="G564" s="23">
        <v>16990.0</v>
      </c>
      <c r="H564" s="23">
        <v>5876.0</v>
      </c>
      <c r="I564" s="23">
        <v>3853.0</v>
      </c>
      <c r="J564" s="37"/>
      <c r="K564" s="37"/>
      <c r="L564" s="22">
        <v>3853.0</v>
      </c>
      <c r="M564" s="22">
        <v>4128.0</v>
      </c>
      <c r="N564" s="22">
        <v>4403.0</v>
      </c>
      <c r="O564" s="37"/>
      <c r="P564" s="26">
        <v>0.22</v>
      </c>
      <c r="Q564" s="26">
        <v>0.16</v>
      </c>
      <c r="R564" s="26">
        <v>0.11</v>
      </c>
    </row>
    <row r="565" ht="14.25" customHeight="1">
      <c r="A565" s="18" t="s">
        <v>302</v>
      </c>
      <c r="B565" s="18" t="s">
        <v>796</v>
      </c>
      <c r="C565" s="19" t="s">
        <v>1067</v>
      </c>
      <c r="D565" s="20" t="s">
        <v>1122</v>
      </c>
      <c r="E565" s="19" t="s">
        <v>1123</v>
      </c>
      <c r="F565" s="16" t="s">
        <v>20</v>
      </c>
      <c r="G565" s="23">
        <v>16990.0</v>
      </c>
      <c r="H565" s="23">
        <v>7641.0</v>
      </c>
      <c r="I565" s="23">
        <v>3933.0</v>
      </c>
      <c r="J565" s="37"/>
      <c r="K565" s="37"/>
      <c r="L565" s="22">
        <v>3933.0</v>
      </c>
      <c r="M565" s="22">
        <v>4214.0</v>
      </c>
      <c r="N565" s="22">
        <v>4495.0</v>
      </c>
      <c r="O565" s="37"/>
      <c r="P565" s="26">
        <v>0.39</v>
      </c>
      <c r="Q565" s="26">
        <v>0.34</v>
      </c>
      <c r="R565" s="26">
        <v>0.3</v>
      </c>
    </row>
    <row r="566" ht="14.25" customHeight="1">
      <c r="A566" s="18" t="s">
        <v>302</v>
      </c>
      <c r="B566" s="18" t="s">
        <v>796</v>
      </c>
      <c r="C566" s="19" t="s">
        <v>1067</v>
      </c>
      <c r="D566" s="20" t="s">
        <v>1122</v>
      </c>
      <c r="E566" s="39" t="s">
        <v>1124</v>
      </c>
      <c r="F566" s="16" t="s">
        <v>20</v>
      </c>
      <c r="G566" s="23">
        <v>16990.0</v>
      </c>
      <c r="H566" s="23">
        <v>5876.0</v>
      </c>
      <c r="I566" s="23">
        <v>3853.0</v>
      </c>
      <c r="J566" s="37"/>
      <c r="K566" s="37"/>
      <c r="L566" s="22">
        <v>3853.0</v>
      </c>
      <c r="M566" s="22">
        <v>4128.0</v>
      </c>
      <c r="N566" s="22">
        <v>4403.0</v>
      </c>
      <c r="O566" s="37"/>
      <c r="P566" s="26">
        <v>0.22</v>
      </c>
      <c r="Q566" s="26">
        <v>0.16</v>
      </c>
      <c r="R566" s="26">
        <v>0.11</v>
      </c>
    </row>
    <row r="567" ht="14.25" customHeight="1">
      <c r="A567" s="18" t="s">
        <v>302</v>
      </c>
      <c r="B567" s="18" t="s">
        <v>796</v>
      </c>
      <c r="C567" s="19" t="s">
        <v>1067</v>
      </c>
      <c r="D567" s="20" t="s">
        <v>1125</v>
      </c>
      <c r="E567" s="38" t="s">
        <v>1126</v>
      </c>
      <c r="F567" s="16" t="s">
        <v>20</v>
      </c>
      <c r="G567" s="23">
        <v>16990.0</v>
      </c>
      <c r="H567" s="23">
        <v>7641.0</v>
      </c>
      <c r="I567" s="23">
        <v>3933.0</v>
      </c>
      <c r="J567" s="37"/>
      <c r="K567" s="37"/>
      <c r="L567" s="22">
        <v>3933.0</v>
      </c>
      <c r="M567" s="22">
        <v>4214.0</v>
      </c>
      <c r="N567" s="22">
        <v>4495.0</v>
      </c>
      <c r="O567" s="37"/>
      <c r="P567" s="26">
        <v>0.39</v>
      </c>
      <c r="Q567" s="26">
        <v>0.34</v>
      </c>
      <c r="R567" s="26">
        <v>0.3</v>
      </c>
    </row>
    <row r="568" ht="14.25" customHeight="1">
      <c r="A568" s="18" t="s">
        <v>302</v>
      </c>
      <c r="B568" s="18" t="s">
        <v>796</v>
      </c>
      <c r="C568" s="19" t="s">
        <v>1067</v>
      </c>
      <c r="D568" s="20" t="s">
        <v>1125</v>
      </c>
      <c r="E568" s="39" t="s">
        <v>1127</v>
      </c>
      <c r="F568" s="16" t="s">
        <v>20</v>
      </c>
      <c r="G568" s="23">
        <v>16990.0</v>
      </c>
      <c r="H568" s="23">
        <v>5876.0</v>
      </c>
      <c r="I568" s="23">
        <v>3853.0</v>
      </c>
      <c r="J568" s="37"/>
      <c r="K568" s="37"/>
      <c r="L568" s="22">
        <v>3853.0</v>
      </c>
      <c r="M568" s="22">
        <v>4128.0</v>
      </c>
      <c r="N568" s="22">
        <v>4403.0</v>
      </c>
      <c r="O568" s="37"/>
      <c r="P568" s="26">
        <v>0.22</v>
      </c>
      <c r="Q568" s="26">
        <v>0.16</v>
      </c>
      <c r="R568" s="26">
        <v>0.11</v>
      </c>
    </row>
    <row r="569" ht="14.25" customHeight="1">
      <c r="A569" s="18" t="s">
        <v>302</v>
      </c>
      <c r="B569" s="18" t="s">
        <v>796</v>
      </c>
      <c r="C569" s="19" t="s">
        <v>1067</v>
      </c>
      <c r="D569" s="20" t="s">
        <v>1128</v>
      </c>
      <c r="E569" s="38" t="s">
        <v>1129</v>
      </c>
      <c r="F569" s="16" t="s">
        <v>20</v>
      </c>
      <c r="G569" s="23">
        <v>21990.0</v>
      </c>
      <c r="H569" s="23">
        <v>9994.0</v>
      </c>
      <c r="I569" s="23">
        <v>5137.0</v>
      </c>
      <c r="J569" s="37"/>
      <c r="K569" s="37"/>
      <c r="L569" s="22">
        <v>5137.0</v>
      </c>
      <c r="M569" s="22">
        <v>5504.0</v>
      </c>
      <c r="N569" s="22">
        <v>5871.0</v>
      </c>
      <c r="O569" s="37"/>
      <c r="P569" s="26">
        <v>0.39</v>
      </c>
      <c r="Q569" s="26">
        <v>0.34</v>
      </c>
      <c r="R569" s="26">
        <v>0.3</v>
      </c>
    </row>
    <row r="570" ht="14.25" customHeight="1">
      <c r="A570" s="18" t="s">
        <v>302</v>
      </c>
      <c r="B570" s="18" t="s">
        <v>796</v>
      </c>
      <c r="C570" s="19" t="s">
        <v>1067</v>
      </c>
      <c r="D570" s="20" t="s">
        <v>1130</v>
      </c>
      <c r="E570" s="19" t="s">
        <v>1131</v>
      </c>
      <c r="F570" s="16" t="s">
        <v>20</v>
      </c>
      <c r="G570" s="23">
        <v>21990.0</v>
      </c>
      <c r="H570" s="23">
        <v>9994.0</v>
      </c>
      <c r="I570" s="23">
        <v>5137.0</v>
      </c>
      <c r="J570" s="37"/>
      <c r="K570" s="37"/>
      <c r="L570" s="22">
        <v>5137.0</v>
      </c>
      <c r="M570" s="22">
        <v>5504.0</v>
      </c>
      <c r="N570" s="22">
        <v>5871.0</v>
      </c>
      <c r="O570" s="37"/>
      <c r="P570" s="26">
        <v>0.39</v>
      </c>
      <c r="Q570" s="26">
        <v>0.34</v>
      </c>
      <c r="R570" s="26">
        <v>0.3</v>
      </c>
    </row>
    <row r="571" ht="14.25" customHeight="1">
      <c r="A571" s="18" t="s">
        <v>302</v>
      </c>
      <c r="B571" s="18" t="s">
        <v>796</v>
      </c>
      <c r="C571" s="19" t="s">
        <v>1067</v>
      </c>
      <c r="D571" s="20" t="s">
        <v>1132</v>
      </c>
      <c r="E571" s="19" t="s">
        <v>1133</v>
      </c>
      <c r="F571" s="16" t="s">
        <v>20</v>
      </c>
      <c r="G571" s="23">
        <v>21990.0</v>
      </c>
      <c r="H571" s="23">
        <v>9994.0</v>
      </c>
      <c r="I571" s="23">
        <v>5137.0</v>
      </c>
      <c r="J571" s="37"/>
      <c r="K571" s="37"/>
      <c r="L571" s="22">
        <v>5137.0</v>
      </c>
      <c r="M571" s="22">
        <v>5504.0</v>
      </c>
      <c r="N571" s="22">
        <v>5871.0</v>
      </c>
      <c r="O571" s="37"/>
      <c r="P571" s="26">
        <v>0.39</v>
      </c>
      <c r="Q571" s="26">
        <v>0.34</v>
      </c>
      <c r="R571" s="26">
        <v>0.3</v>
      </c>
    </row>
    <row r="572" ht="14.25" customHeight="1">
      <c r="A572" s="18" t="s">
        <v>302</v>
      </c>
      <c r="B572" s="18" t="s">
        <v>796</v>
      </c>
      <c r="C572" s="19" t="s">
        <v>1067</v>
      </c>
      <c r="D572" s="20" t="s">
        <v>1134</v>
      </c>
      <c r="E572" s="38" t="s">
        <v>1135</v>
      </c>
      <c r="F572" s="16" t="s">
        <v>20</v>
      </c>
      <c r="G572" s="23">
        <v>21990.0</v>
      </c>
      <c r="H572" s="23">
        <v>9994.0</v>
      </c>
      <c r="I572" s="23">
        <v>5137.0</v>
      </c>
      <c r="J572" s="37"/>
      <c r="K572" s="37"/>
      <c r="L572" s="22">
        <v>5137.0</v>
      </c>
      <c r="M572" s="22">
        <v>5504.0</v>
      </c>
      <c r="N572" s="22">
        <v>5871.0</v>
      </c>
      <c r="O572" s="37"/>
      <c r="P572" s="26">
        <v>0.39</v>
      </c>
      <c r="Q572" s="26">
        <v>0.34</v>
      </c>
      <c r="R572" s="26">
        <v>0.3</v>
      </c>
    </row>
    <row r="573" ht="14.25" customHeight="1">
      <c r="A573" s="18" t="s">
        <v>302</v>
      </c>
      <c r="B573" s="18" t="s">
        <v>796</v>
      </c>
      <c r="C573" s="19" t="s">
        <v>1067</v>
      </c>
      <c r="D573" s="20" t="s">
        <v>1136</v>
      </c>
      <c r="E573" s="38" t="s">
        <v>1137</v>
      </c>
      <c r="F573" s="16" t="s">
        <v>20</v>
      </c>
      <c r="G573" s="23">
        <v>21990.0</v>
      </c>
      <c r="H573" s="23">
        <v>9994.0</v>
      </c>
      <c r="I573" s="23">
        <v>5137.0</v>
      </c>
      <c r="J573" s="37"/>
      <c r="K573" s="37"/>
      <c r="L573" s="22">
        <v>5137.0</v>
      </c>
      <c r="M573" s="22">
        <v>5504.0</v>
      </c>
      <c r="N573" s="22">
        <v>5871.0</v>
      </c>
      <c r="O573" s="37"/>
      <c r="P573" s="26">
        <v>0.39</v>
      </c>
      <c r="Q573" s="26">
        <v>0.34</v>
      </c>
      <c r="R573" s="26">
        <v>0.3</v>
      </c>
    </row>
    <row r="574" ht="14.25" customHeight="1">
      <c r="A574" s="18" t="s">
        <v>302</v>
      </c>
      <c r="B574" s="18" t="s">
        <v>796</v>
      </c>
      <c r="C574" s="19" t="s">
        <v>1067</v>
      </c>
      <c r="D574" s="20" t="s">
        <v>1138</v>
      </c>
      <c r="E574" s="19" t="s">
        <v>1139</v>
      </c>
      <c r="F574" s="16" t="s">
        <v>20</v>
      </c>
      <c r="G574" s="23">
        <v>21990.0</v>
      </c>
      <c r="H574" s="23">
        <v>9994.0</v>
      </c>
      <c r="I574" s="23">
        <v>5137.0</v>
      </c>
      <c r="J574" s="37"/>
      <c r="K574" s="37"/>
      <c r="L574" s="22">
        <v>5137.0</v>
      </c>
      <c r="M574" s="22">
        <v>5504.0</v>
      </c>
      <c r="N574" s="22">
        <v>5871.0</v>
      </c>
      <c r="O574" s="37"/>
      <c r="P574" s="26">
        <v>0.39</v>
      </c>
      <c r="Q574" s="26">
        <v>0.34</v>
      </c>
      <c r="R574" s="26">
        <v>0.3</v>
      </c>
    </row>
    <row r="575" ht="14.25" customHeight="1">
      <c r="A575" s="18" t="s">
        <v>302</v>
      </c>
      <c r="B575" s="18" t="s">
        <v>796</v>
      </c>
      <c r="C575" s="19" t="s">
        <v>1067</v>
      </c>
      <c r="D575" s="20" t="s">
        <v>1140</v>
      </c>
      <c r="E575" s="19" t="s">
        <v>1141</v>
      </c>
      <c r="F575" s="16" t="s">
        <v>20</v>
      </c>
      <c r="G575" s="23">
        <v>21990.0</v>
      </c>
      <c r="H575" s="23">
        <v>9994.0</v>
      </c>
      <c r="I575" s="23">
        <v>5137.0</v>
      </c>
      <c r="J575" s="37"/>
      <c r="K575" s="37"/>
      <c r="L575" s="22">
        <v>5137.0</v>
      </c>
      <c r="M575" s="22">
        <v>5504.0</v>
      </c>
      <c r="N575" s="22">
        <v>5871.0</v>
      </c>
      <c r="O575" s="37"/>
      <c r="P575" s="26">
        <v>0.39</v>
      </c>
      <c r="Q575" s="26">
        <v>0.34</v>
      </c>
      <c r="R575" s="26">
        <v>0.3</v>
      </c>
    </row>
    <row r="576" ht="14.25" customHeight="1">
      <c r="A576" s="18" t="s">
        <v>302</v>
      </c>
      <c r="B576" s="18" t="s">
        <v>796</v>
      </c>
      <c r="C576" s="19" t="s">
        <v>1067</v>
      </c>
      <c r="D576" s="20" t="s">
        <v>1142</v>
      </c>
      <c r="E576" s="19" t="s">
        <v>1143</v>
      </c>
      <c r="F576" s="16" t="s">
        <v>20</v>
      </c>
      <c r="G576" s="23">
        <v>21990.0</v>
      </c>
      <c r="H576" s="23">
        <v>9994.0</v>
      </c>
      <c r="I576" s="23">
        <v>5137.0</v>
      </c>
      <c r="J576" s="37"/>
      <c r="K576" s="37"/>
      <c r="L576" s="22">
        <v>5137.0</v>
      </c>
      <c r="M576" s="22">
        <v>5504.0</v>
      </c>
      <c r="N576" s="22">
        <v>5871.0</v>
      </c>
      <c r="O576" s="37"/>
      <c r="P576" s="26">
        <v>0.39</v>
      </c>
      <c r="Q576" s="26">
        <v>0.34</v>
      </c>
      <c r="R576" s="26">
        <v>0.3</v>
      </c>
    </row>
    <row r="577" ht="14.25" customHeight="1">
      <c r="A577" s="18" t="s">
        <v>302</v>
      </c>
      <c r="B577" s="18" t="s">
        <v>796</v>
      </c>
      <c r="C577" s="19" t="s">
        <v>1067</v>
      </c>
      <c r="D577" s="20" t="s">
        <v>1144</v>
      </c>
      <c r="E577" s="19" t="s">
        <v>1145</v>
      </c>
      <c r="F577" s="16" t="s">
        <v>20</v>
      </c>
      <c r="G577" s="23">
        <v>21990.0</v>
      </c>
      <c r="H577" s="23">
        <v>9994.0</v>
      </c>
      <c r="I577" s="23">
        <v>5137.0</v>
      </c>
      <c r="J577" s="37"/>
      <c r="K577" s="37"/>
      <c r="L577" s="22">
        <v>5137.0</v>
      </c>
      <c r="M577" s="22">
        <v>5504.0</v>
      </c>
      <c r="N577" s="22">
        <v>5871.0</v>
      </c>
      <c r="O577" s="37"/>
      <c r="P577" s="26">
        <v>0.39</v>
      </c>
      <c r="Q577" s="26">
        <v>0.34</v>
      </c>
      <c r="R577" s="26">
        <v>0.3</v>
      </c>
    </row>
    <row r="578" ht="14.25" customHeight="1">
      <c r="A578" s="18" t="s">
        <v>302</v>
      </c>
      <c r="B578" s="18" t="s">
        <v>796</v>
      </c>
      <c r="C578" s="19" t="s">
        <v>1067</v>
      </c>
      <c r="D578" s="20" t="s">
        <v>1146</v>
      </c>
      <c r="E578" s="19" t="s">
        <v>1147</v>
      </c>
      <c r="F578" s="16" t="s">
        <v>20</v>
      </c>
      <c r="G578" s="23">
        <v>21990.0</v>
      </c>
      <c r="H578" s="23">
        <v>9994.0</v>
      </c>
      <c r="I578" s="23">
        <v>5137.0</v>
      </c>
      <c r="J578" s="37"/>
      <c r="K578" s="37"/>
      <c r="L578" s="22">
        <v>5137.0</v>
      </c>
      <c r="M578" s="22">
        <v>5504.0</v>
      </c>
      <c r="N578" s="22">
        <v>5871.0</v>
      </c>
      <c r="O578" s="37"/>
      <c r="P578" s="26">
        <v>0.39</v>
      </c>
      <c r="Q578" s="26">
        <v>0.34</v>
      </c>
      <c r="R578" s="26">
        <v>0.3</v>
      </c>
    </row>
    <row r="579" ht="14.25" customHeight="1">
      <c r="A579" s="18" t="s">
        <v>302</v>
      </c>
      <c r="B579" s="18" t="s">
        <v>796</v>
      </c>
      <c r="C579" s="19" t="s">
        <v>1067</v>
      </c>
      <c r="D579" s="20" t="s">
        <v>1148</v>
      </c>
      <c r="E579" s="19" t="s">
        <v>1149</v>
      </c>
      <c r="F579" s="16" t="s">
        <v>20</v>
      </c>
      <c r="G579" s="23">
        <v>21990.0</v>
      </c>
      <c r="H579" s="23">
        <v>9994.0</v>
      </c>
      <c r="I579" s="23">
        <v>5137.0</v>
      </c>
      <c r="J579" s="37"/>
      <c r="K579" s="37"/>
      <c r="L579" s="22">
        <v>5137.0</v>
      </c>
      <c r="M579" s="22">
        <v>5504.0</v>
      </c>
      <c r="N579" s="22">
        <v>5871.0</v>
      </c>
      <c r="O579" s="37"/>
      <c r="P579" s="26">
        <v>0.39</v>
      </c>
      <c r="Q579" s="26">
        <v>0.34</v>
      </c>
      <c r="R579" s="26">
        <v>0.3</v>
      </c>
    </row>
    <row r="580" ht="14.25" customHeight="1">
      <c r="A580" s="18" t="s">
        <v>302</v>
      </c>
      <c r="B580" s="18" t="s">
        <v>796</v>
      </c>
      <c r="C580" s="19" t="s">
        <v>1067</v>
      </c>
      <c r="D580" s="20" t="s">
        <v>1150</v>
      </c>
      <c r="E580" s="19" t="s">
        <v>1151</v>
      </c>
      <c r="F580" s="16" t="s">
        <v>20</v>
      </c>
      <c r="G580" s="23">
        <v>21990.0</v>
      </c>
      <c r="H580" s="23">
        <v>9994.0</v>
      </c>
      <c r="I580" s="23">
        <v>5137.0</v>
      </c>
      <c r="J580" s="37"/>
      <c r="K580" s="37"/>
      <c r="L580" s="22">
        <v>5137.0</v>
      </c>
      <c r="M580" s="22">
        <v>5504.0</v>
      </c>
      <c r="N580" s="22">
        <v>5871.0</v>
      </c>
      <c r="O580" s="37"/>
      <c r="P580" s="26">
        <v>0.39</v>
      </c>
      <c r="Q580" s="26">
        <v>0.34</v>
      </c>
      <c r="R580" s="26">
        <v>0.3</v>
      </c>
    </row>
    <row r="581" ht="14.25" customHeight="1">
      <c r="A581" s="18" t="s">
        <v>302</v>
      </c>
      <c r="B581" s="18" t="s">
        <v>796</v>
      </c>
      <c r="C581" s="19" t="s">
        <v>1067</v>
      </c>
      <c r="D581" s="20" t="s">
        <v>1152</v>
      </c>
      <c r="E581" s="19" t="s">
        <v>1153</v>
      </c>
      <c r="F581" s="16" t="s">
        <v>20</v>
      </c>
      <c r="G581" s="23">
        <v>21990.0</v>
      </c>
      <c r="H581" s="23">
        <v>9994.0</v>
      </c>
      <c r="I581" s="23">
        <v>5137.0</v>
      </c>
      <c r="J581" s="37"/>
      <c r="K581" s="37"/>
      <c r="L581" s="22">
        <v>5137.0</v>
      </c>
      <c r="M581" s="22">
        <v>5504.0</v>
      </c>
      <c r="N581" s="22">
        <v>5871.0</v>
      </c>
      <c r="O581" s="37"/>
      <c r="P581" s="26">
        <v>0.39</v>
      </c>
      <c r="Q581" s="26">
        <v>0.34</v>
      </c>
      <c r="R581" s="26">
        <v>0.3</v>
      </c>
    </row>
    <row r="582" ht="14.25" customHeight="1">
      <c r="A582" s="18" t="s">
        <v>302</v>
      </c>
      <c r="B582" s="18" t="s">
        <v>796</v>
      </c>
      <c r="C582" s="19" t="s">
        <v>1067</v>
      </c>
      <c r="D582" s="20" t="s">
        <v>1154</v>
      </c>
      <c r="E582" s="38" t="s">
        <v>1155</v>
      </c>
      <c r="F582" s="16" t="s">
        <v>20</v>
      </c>
      <c r="G582" s="23">
        <v>21990.0</v>
      </c>
      <c r="H582" s="23">
        <v>9994.0</v>
      </c>
      <c r="I582" s="23">
        <v>5137.0</v>
      </c>
      <c r="J582" s="37"/>
      <c r="K582" s="37"/>
      <c r="L582" s="22">
        <v>5137.0</v>
      </c>
      <c r="M582" s="22">
        <v>5504.0</v>
      </c>
      <c r="N582" s="22">
        <v>5871.0</v>
      </c>
      <c r="O582" s="37"/>
      <c r="P582" s="26">
        <v>0.39</v>
      </c>
      <c r="Q582" s="26">
        <v>0.34</v>
      </c>
      <c r="R582" s="26">
        <v>0.3</v>
      </c>
    </row>
    <row r="583" ht="14.25" customHeight="1">
      <c r="A583" s="18" t="s">
        <v>302</v>
      </c>
      <c r="B583" s="18" t="s">
        <v>796</v>
      </c>
      <c r="C583" s="19" t="s">
        <v>1067</v>
      </c>
      <c r="D583" s="20" t="s">
        <v>1156</v>
      </c>
      <c r="E583" s="38" t="s">
        <v>1157</v>
      </c>
      <c r="F583" s="16" t="s">
        <v>20</v>
      </c>
      <c r="G583" s="23">
        <v>21990.0</v>
      </c>
      <c r="H583" s="23">
        <v>9994.0</v>
      </c>
      <c r="I583" s="23">
        <v>5137.0</v>
      </c>
      <c r="J583" s="37"/>
      <c r="K583" s="37"/>
      <c r="L583" s="22">
        <v>5137.0</v>
      </c>
      <c r="M583" s="22">
        <v>5504.0</v>
      </c>
      <c r="N583" s="22">
        <v>5871.0</v>
      </c>
      <c r="O583" s="37"/>
      <c r="P583" s="26">
        <v>0.39</v>
      </c>
      <c r="Q583" s="26">
        <v>0.34</v>
      </c>
      <c r="R583" s="26">
        <v>0.3</v>
      </c>
    </row>
    <row r="584" ht="14.25" customHeight="1">
      <c r="A584" s="18" t="s">
        <v>302</v>
      </c>
      <c r="B584" s="18" t="s">
        <v>796</v>
      </c>
      <c r="C584" s="19" t="s">
        <v>1067</v>
      </c>
      <c r="D584" s="20" t="s">
        <v>1158</v>
      </c>
      <c r="E584" s="19" t="s">
        <v>1159</v>
      </c>
      <c r="F584" s="16" t="s">
        <v>20</v>
      </c>
      <c r="G584" s="23">
        <v>21990.0</v>
      </c>
      <c r="H584" s="23">
        <v>9994.0</v>
      </c>
      <c r="I584" s="23">
        <v>5137.0</v>
      </c>
      <c r="J584" s="37"/>
      <c r="K584" s="37"/>
      <c r="L584" s="22">
        <v>5137.0</v>
      </c>
      <c r="M584" s="22">
        <v>5504.0</v>
      </c>
      <c r="N584" s="22">
        <v>5871.0</v>
      </c>
      <c r="O584" s="37"/>
      <c r="P584" s="26">
        <v>0.39</v>
      </c>
      <c r="Q584" s="26">
        <v>0.34</v>
      </c>
      <c r="R584" s="26">
        <v>0.3</v>
      </c>
    </row>
    <row r="585" ht="14.25" customHeight="1">
      <c r="A585" s="18" t="s">
        <v>302</v>
      </c>
      <c r="B585" s="18" t="s">
        <v>796</v>
      </c>
      <c r="C585" s="19" t="s">
        <v>1067</v>
      </c>
      <c r="D585" s="20" t="s">
        <v>1160</v>
      </c>
      <c r="E585" s="19" t="s">
        <v>1161</v>
      </c>
      <c r="F585" s="16" t="s">
        <v>20</v>
      </c>
      <c r="G585" s="23">
        <v>21990.0</v>
      </c>
      <c r="H585" s="23">
        <v>9994.0</v>
      </c>
      <c r="I585" s="23">
        <v>5341.0</v>
      </c>
      <c r="J585" s="37"/>
      <c r="K585" s="37"/>
      <c r="L585" s="22">
        <v>5341.0</v>
      </c>
      <c r="M585" s="22">
        <v>5722.0</v>
      </c>
      <c r="N585" s="22">
        <v>6104.0</v>
      </c>
      <c r="O585" s="37"/>
      <c r="P585" s="26">
        <v>0.36</v>
      </c>
      <c r="Q585" s="26">
        <v>0.32</v>
      </c>
      <c r="R585" s="26">
        <v>0.27</v>
      </c>
    </row>
    <row r="586" ht="14.25" customHeight="1">
      <c r="A586" s="18" t="s">
        <v>302</v>
      </c>
      <c r="B586" s="18" t="s">
        <v>796</v>
      </c>
      <c r="C586" s="19" t="s">
        <v>1067</v>
      </c>
      <c r="D586" s="20" t="s">
        <v>1162</v>
      </c>
      <c r="E586" s="19" t="s">
        <v>1163</v>
      </c>
      <c r="F586" s="16" t="s">
        <v>20</v>
      </c>
      <c r="G586" s="23">
        <v>21990.0</v>
      </c>
      <c r="H586" s="23">
        <v>9994.0</v>
      </c>
      <c r="I586" s="23">
        <v>5187.0</v>
      </c>
      <c r="J586" s="37"/>
      <c r="K586" s="37"/>
      <c r="L586" s="22">
        <v>5187.0</v>
      </c>
      <c r="M586" s="22">
        <v>5557.0</v>
      </c>
      <c r="N586" s="22">
        <v>5928.0</v>
      </c>
      <c r="O586" s="37"/>
      <c r="P586" s="26">
        <v>0.38</v>
      </c>
      <c r="Q586" s="26">
        <v>0.34</v>
      </c>
      <c r="R586" s="26">
        <v>0.29</v>
      </c>
    </row>
    <row r="587" ht="14.25" customHeight="1">
      <c r="A587" s="18" t="s">
        <v>302</v>
      </c>
      <c r="B587" s="18" t="s">
        <v>796</v>
      </c>
      <c r="C587" s="19" t="s">
        <v>1067</v>
      </c>
      <c r="D587" s="20" t="s">
        <v>1164</v>
      </c>
      <c r="E587" s="19" t="s">
        <v>1165</v>
      </c>
      <c r="F587" s="16" t="s">
        <v>20</v>
      </c>
      <c r="G587" s="23">
        <v>21990.0</v>
      </c>
      <c r="H587" s="23">
        <v>9994.0</v>
      </c>
      <c r="I587" s="23">
        <v>5137.0</v>
      </c>
      <c r="J587" s="37"/>
      <c r="K587" s="37"/>
      <c r="L587" s="22">
        <v>5137.0</v>
      </c>
      <c r="M587" s="22">
        <v>5504.0</v>
      </c>
      <c r="N587" s="22">
        <v>5871.0</v>
      </c>
      <c r="O587" s="37"/>
      <c r="P587" s="26">
        <v>0.39</v>
      </c>
      <c r="Q587" s="26">
        <v>0.34</v>
      </c>
      <c r="R587" s="26">
        <v>0.3</v>
      </c>
    </row>
    <row r="588" ht="14.25" customHeight="1">
      <c r="A588" s="18" t="s">
        <v>302</v>
      </c>
      <c r="B588" s="18" t="s">
        <v>796</v>
      </c>
      <c r="C588" s="19" t="s">
        <v>1067</v>
      </c>
      <c r="D588" s="20" t="s">
        <v>1166</v>
      </c>
      <c r="E588" s="38" t="s">
        <v>1167</v>
      </c>
      <c r="F588" s="16" t="s">
        <v>20</v>
      </c>
      <c r="G588" s="23">
        <v>21990.0</v>
      </c>
      <c r="H588" s="23">
        <v>9994.0</v>
      </c>
      <c r="I588" s="23">
        <v>5242.0</v>
      </c>
      <c r="J588" s="37"/>
      <c r="K588" s="37"/>
      <c r="L588" s="22">
        <v>5242.0</v>
      </c>
      <c r="M588" s="22">
        <v>5616.0</v>
      </c>
      <c r="N588" s="22">
        <v>5991.0</v>
      </c>
      <c r="O588" s="37"/>
      <c r="P588" s="26">
        <v>0.38</v>
      </c>
      <c r="Q588" s="26">
        <v>0.33</v>
      </c>
      <c r="R588" s="26">
        <v>0.29</v>
      </c>
    </row>
    <row r="589" ht="14.25" customHeight="1">
      <c r="A589" s="18" t="s">
        <v>302</v>
      </c>
      <c r="B589" s="18" t="s">
        <v>1168</v>
      </c>
      <c r="C589" s="19" t="s">
        <v>1169</v>
      </c>
      <c r="D589" s="20" t="s">
        <v>1170</v>
      </c>
      <c r="E589" s="38">
        <v>1.64009E12</v>
      </c>
      <c r="F589" s="19" t="s">
        <v>134</v>
      </c>
      <c r="G589" s="23">
        <v>89990.0</v>
      </c>
      <c r="H589" s="23">
        <v>47053.0</v>
      </c>
      <c r="I589" s="23">
        <v>33474.0</v>
      </c>
      <c r="J589" s="37"/>
      <c r="K589" s="37"/>
      <c r="L589" s="22">
        <v>33474.0</v>
      </c>
      <c r="M589" s="22">
        <v>35865.0</v>
      </c>
      <c r="N589" s="22">
        <v>38256.0</v>
      </c>
      <c r="O589" s="37"/>
      <c r="P589" s="26">
        <v>0.15</v>
      </c>
      <c r="Q589" s="26">
        <v>0.09</v>
      </c>
      <c r="R589" s="26">
        <v>0.03</v>
      </c>
    </row>
    <row r="590" ht="14.25" customHeight="1">
      <c r="A590" s="18" t="s">
        <v>302</v>
      </c>
      <c r="B590" s="18" t="s">
        <v>1168</v>
      </c>
      <c r="C590" s="19" t="s">
        <v>1169</v>
      </c>
      <c r="D590" s="20" t="s">
        <v>1171</v>
      </c>
      <c r="E590" s="38">
        <v>1.49618E12</v>
      </c>
      <c r="F590" s="19" t="s">
        <v>134</v>
      </c>
      <c r="G590" s="23">
        <v>59990.0</v>
      </c>
      <c r="H590" s="23">
        <v>23524.0</v>
      </c>
      <c r="I590" s="23">
        <v>17423.0</v>
      </c>
      <c r="J590" s="37"/>
      <c r="K590" s="37"/>
      <c r="L590" s="22">
        <v>17423.0</v>
      </c>
      <c r="M590" s="22">
        <v>18667.0</v>
      </c>
      <c r="N590" s="22">
        <v>19912.0</v>
      </c>
      <c r="O590" s="37"/>
      <c r="P590" s="26">
        <v>0.12</v>
      </c>
      <c r="Q590" s="26">
        <v>0.06</v>
      </c>
      <c r="R590" s="26">
        <v>-0.01</v>
      </c>
    </row>
    <row r="591" ht="14.25" customHeight="1">
      <c r="A591" s="18" t="s">
        <v>302</v>
      </c>
      <c r="B591" s="18" t="s">
        <v>1168</v>
      </c>
      <c r="C591" s="19" t="s">
        <v>1169</v>
      </c>
      <c r="D591" s="20" t="s">
        <v>1172</v>
      </c>
      <c r="E591" s="38" t="s">
        <v>1173</v>
      </c>
      <c r="F591" s="19" t="s">
        <v>20</v>
      </c>
      <c r="G591" s="23">
        <v>199990.0</v>
      </c>
      <c r="H591" s="23">
        <v>105876.0</v>
      </c>
      <c r="I591" s="23">
        <v>64479.0</v>
      </c>
      <c r="J591" s="37"/>
      <c r="K591" s="37"/>
      <c r="L591" s="22">
        <v>64479.0</v>
      </c>
      <c r="M591" s="22">
        <v>69084.0</v>
      </c>
      <c r="N591" s="22">
        <v>73690.0</v>
      </c>
      <c r="O591" s="37"/>
      <c r="P591" s="26">
        <v>0.28</v>
      </c>
      <c r="Q591" s="26">
        <v>0.22</v>
      </c>
      <c r="R591" s="26">
        <v>0.17</v>
      </c>
    </row>
    <row r="592" ht="14.25" customHeight="1">
      <c r="A592" s="18" t="s">
        <v>302</v>
      </c>
      <c r="B592" s="18" t="s">
        <v>1168</v>
      </c>
      <c r="C592" s="19" t="s">
        <v>1169</v>
      </c>
      <c r="D592" s="20" t="s">
        <v>1174</v>
      </c>
      <c r="E592" s="38" t="s">
        <v>1175</v>
      </c>
      <c r="F592" s="19" t="s">
        <v>20</v>
      </c>
      <c r="G592" s="23">
        <v>99990.0</v>
      </c>
      <c r="H592" s="23">
        <v>41171.0</v>
      </c>
      <c r="I592" s="23">
        <v>22771.0</v>
      </c>
      <c r="J592" s="37"/>
      <c r="K592" s="37"/>
      <c r="L592" s="22">
        <v>22771.0</v>
      </c>
      <c r="M592" s="22">
        <v>24397.0</v>
      </c>
      <c r="N592" s="22">
        <v>26024.0</v>
      </c>
      <c r="O592" s="37"/>
      <c r="P592" s="26">
        <v>0.34</v>
      </c>
      <c r="Q592" s="26">
        <v>0.29</v>
      </c>
      <c r="R592" s="26">
        <v>0.25</v>
      </c>
    </row>
    <row r="593" ht="14.25" customHeight="1">
      <c r="A593" s="30" t="s">
        <v>302</v>
      </c>
      <c r="B593" s="18" t="s">
        <v>1168</v>
      </c>
      <c r="C593" s="19" t="s">
        <v>1169</v>
      </c>
      <c r="D593" s="29" t="s">
        <v>1176</v>
      </c>
      <c r="E593" s="39" t="s">
        <v>1177</v>
      </c>
      <c r="F593" s="16" t="s">
        <v>193</v>
      </c>
      <c r="G593" s="23">
        <v>199990.0</v>
      </c>
      <c r="H593" s="23">
        <v>105876.0</v>
      </c>
      <c r="I593" s="23">
        <v>63022.0</v>
      </c>
      <c r="J593" s="37"/>
      <c r="K593" s="37"/>
      <c r="L593" s="22">
        <v>63022.0</v>
      </c>
      <c r="M593" s="22">
        <v>67524.0</v>
      </c>
      <c r="N593" s="22">
        <v>72026.0</v>
      </c>
      <c r="O593" s="37"/>
      <c r="P593" s="26">
        <v>0.29</v>
      </c>
      <c r="Q593" s="26">
        <v>0.24</v>
      </c>
      <c r="R593" s="26">
        <v>0.19</v>
      </c>
    </row>
    <row r="594" ht="14.25" customHeight="1">
      <c r="A594" s="31" t="s">
        <v>1178</v>
      </c>
      <c r="B594" s="31"/>
      <c r="C594" s="31"/>
      <c r="D594" s="32"/>
      <c r="E594" s="40"/>
      <c r="F594" s="31"/>
      <c r="G594" s="34">
        <v>1.909844E7</v>
      </c>
      <c r="H594" s="34">
        <v>8043429.0</v>
      </c>
      <c r="I594" s="34">
        <v>4703705.0</v>
      </c>
      <c r="J594" s="37"/>
      <c r="K594" s="37"/>
      <c r="L594" s="22"/>
      <c r="M594" s="22"/>
      <c r="N594" s="22"/>
      <c r="O594" s="37"/>
      <c r="P594" s="14"/>
      <c r="Q594" s="14"/>
      <c r="R594" s="14"/>
    </row>
    <row r="595" ht="14.25" customHeight="1">
      <c r="A595" s="18" t="s">
        <v>1179</v>
      </c>
      <c r="B595" s="18" t="s">
        <v>1180</v>
      </c>
      <c r="C595" s="19" t="s">
        <v>1181</v>
      </c>
      <c r="D595" s="20" t="s">
        <v>1182</v>
      </c>
      <c r="E595" s="38" t="s">
        <v>1183</v>
      </c>
      <c r="F595" s="19" t="s">
        <v>20</v>
      </c>
      <c r="G595" s="23">
        <v>29990.0</v>
      </c>
      <c r="H595" s="23">
        <v>11759.0</v>
      </c>
      <c r="I595" s="23">
        <v>6858.0</v>
      </c>
      <c r="J595" s="37"/>
      <c r="K595" s="37"/>
      <c r="L595" s="22">
        <v>6858.0</v>
      </c>
      <c r="M595" s="22">
        <v>7348.0</v>
      </c>
      <c r="N595" s="22">
        <v>7838.0</v>
      </c>
      <c r="O595" s="37"/>
      <c r="P595" s="26">
        <v>0.31</v>
      </c>
      <c r="Q595" s="26">
        <v>0.26</v>
      </c>
      <c r="R595" s="26">
        <v>0.21</v>
      </c>
    </row>
    <row r="596" ht="14.25" customHeight="1">
      <c r="A596" s="18" t="s">
        <v>1179</v>
      </c>
      <c r="B596" s="18" t="s">
        <v>1180</v>
      </c>
      <c r="C596" s="19" t="s">
        <v>1181</v>
      </c>
      <c r="D596" s="20" t="s">
        <v>1184</v>
      </c>
      <c r="E596" s="38" t="s">
        <v>1185</v>
      </c>
      <c r="F596" s="19" t="s">
        <v>20</v>
      </c>
      <c r="G596" s="23">
        <v>24990.0</v>
      </c>
      <c r="H596" s="23">
        <v>11759.0</v>
      </c>
      <c r="I596" s="23">
        <v>5603.0</v>
      </c>
      <c r="J596" s="37"/>
      <c r="K596" s="37"/>
      <c r="L596" s="22">
        <v>5603.0</v>
      </c>
      <c r="M596" s="22">
        <v>6003.0</v>
      </c>
      <c r="N596" s="22">
        <v>6403.0</v>
      </c>
      <c r="O596" s="37"/>
      <c r="P596" s="26">
        <v>0.43</v>
      </c>
      <c r="Q596" s="26">
        <v>0.39</v>
      </c>
      <c r="R596" s="26">
        <v>0.35</v>
      </c>
    </row>
    <row r="597" ht="14.25" customHeight="1">
      <c r="A597" s="18" t="s">
        <v>1179</v>
      </c>
      <c r="B597" s="18" t="s">
        <v>1180</v>
      </c>
      <c r="C597" s="19" t="s">
        <v>1181</v>
      </c>
      <c r="D597" s="20" t="s">
        <v>1186</v>
      </c>
      <c r="E597" s="38" t="s">
        <v>1187</v>
      </c>
      <c r="F597" s="19" t="s">
        <v>20</v>
      </c>
      <c r="G597" s="23">
        <v>12990.0</v>
      </c>
      <c r="H597" s="23">
        <v>5876.0</v>
      </c>
      <c r="I597" s="23">
        <v>2471.0</v>
      </c>
      <c r="J597" s="37"/>
      <c r="K597" s="37"/>
      <c r="L597" s="22">
        <v>2471.0</v>
      </c>
      <c r="M597" s="22">
        <v>2648.0</v>
      </c>
      <c r="N597" s="22">
        <v>2824.0</v>
      </c>
      <c r="O597" s="37"/>
      <c r="P597" s="26">
        <v>0.5</v>
      </c>
      <c r="Q597" s="26">
        <v>0.46</v>
      </c>
      <c r="R597" s="26">
        <v>0.43</v>
      </c>
    </row>
    <row r="598" ht="14.25" customHeight="1">
      <c r="A598" s="18" t="s">
        <v>1179</v>
      </c>
      <c r="B598" s="18" t="s">
        <v>1180</v>
      </c>
      <c r="C598" s="19" t="s">
        <v>1181</v>
      </c>
      <c r="D598" s="20" t="s">
        <v>1188</v>
      </c>
      <c r="E598" s="38" t="s">
        <v>1189</v>
      </c>
      <c r="F598" s="19" t="s">
        <v>20</v>
      </c>
      <c r="G598" s="23">
        <v>34990.0</v>
      </c>
      <c r="H598" s="23">
        <v>11759.0</v>
      </c>
      <c r="I598" s="23">
        <v>7340.0</v>
      </c>
      <c r="J598" s="37"/>
      <c r="K598" s="37"/>
      <c r="L598" s="22">
        <v>7340.0</v>
      </c>
      <c r="M598" s="22">
        <v>7864.0</v>
      </c>
      <c r="N598" s="22">
        <v>8389.0</v>
      </c>
      <c r="O598" s="37"/>
      <c r="P598" s="26">
        <v>0.26</v>
      </c>
      <c r="Q598" s="26">
        <v>0.2</v>
      </c>
      <c r="R598" s="26">
        <v>0.15</v>
      </c>
    </row>
    <row r="599" ht="14.25" customHeight="1">
      <c r="A599" s="18" t="s">
        <v>1179</v>
      </c>
      <c r="B599" s="18" t="s">
        <v>1180</v>
      </c>
      <c r="C599" s="19" t="s">
        <v>1190</v>
      </c>
      <c r="D599" s="20" t="s">
        <v>1191</v>
      </c>
      <c r="E599" s="38">
        <v>6.68005E13</v>
      </c>
      <c r="F599" s="19" t="s">
        <v>20</v>
      </c>
      <c r="G599" s="23">
        <v>14990.0</v>
      </c>
      <c r="H599" s="23">
        <v>5876.0</v>
      </c>
      <c r="I599" s="23">
        <v>1340.0</v>
      </c>
      <c r="J599" s="37"/>
      <c r="K599" s="37"/>
      <c r="L599" s="22">
        <v>1340.0</v>
      </c>
      <c r="M599" s="22">
        <v>1436.0</v>
      </c>
      <c r="N599" s="22">
        <v>1531.0</v>
      </c>
      <c r="O599" s="37"/>
      <c r="P599" s="26">
        <v>0.73</v>
      </c>
      <c r="Q599" s="26">
        <v>0.71</v>
      </c>
      <c r="R599" s="26">
        <v>0.69</v>
      </c>
    </row>
    <row r="600" ht="14.25" customHeight="1">
      <c r="A600" s="18" t="s">
        <v>1179</v>
      </c>
      <c r="B600" s="18" t="s">
        <v>1180</v>
      </c>
      <c r="C600" s="19" t="s">
        <v>1190</v>
      </c>
      <c r="D600" s="20" t="s">
        <v>1192</v>
      </c>
      <c r="E600" s="38">
        <v>6.68005E13</v>
      </c>
      <c r="F600" s="19" t="s">
        <v>20</v>
      </c>
      <c r="G600" s="23">
        <v>8990.0</v>
      </c>
      <c r="H600" s="23">
        <v>4112.0</v>
      </c>
      <c r="I600" s="23">
        <v>691.0</v>
      </c>
      <c r="J600" s="37"/>
      <c r="K600" s="37"/>
      <c r="L600" s="22">
        <v>691.0</v>
      </c>
      <c r="M600" s="22">
        <v>740.0</v>
      </c>
      <c r="N600" s="22">
        <v>790.0</v>
      </c>
      <c r="O600" s="37"/>
      <c r="P600" s="26">
        <v>0.8</v>
      </c>
      <c r="Q600" s="26">
        <v>0.79</v>
      </c>
      <c r="R600" s="26">
        <v>0.77</v>
      </c>
    </row>
    <row r="601" ht="14.25" customHeight="1">
      <c r="A601" s="18" t="s">
        <v>1179</v>
      </c>
      <c r="B601" s="18" t="s">
        <v>1180</v>
      </c>
      <c r="C601" s="19" t="s">
        <v>1190</v>
      </c>
      <c r="D601" s="20" t="s">
        <v>1193</v>
      </c>
      <c r="E601" s="38">
        <v>6.68005E13</v>
      </c>
      <c r="F601" s="19" t="s">
        <v>20</v>
      </c>
      <c r="G601" s="23">
        <v>9990.0</v>
      </c>
      <c r="H601" s="23">
        <v>4700.0</v>
      </c>
      <c r="I601" s="23">
        <v>1589.0</v>
      </c>
      <c r="J601" s="37"/>
      <c r="K601" s="37"/>
      <c r="L601" s="22">
        <v>1589.0</v>
      </c>
      <c r="M601" s="22">
        <v>1702.0</v>
      </c>
      <c r="N601" s="22">
        <v>1816.0</v>
      </c>
      <c r="O601" s="37"/>
      <c r="P601" s="26">
        <v>0.6</v>
      </c>
      <c r="Q601" s="26">
        <v>0.57</v>
      </c>
      <c r="R601" s="26">
        <v>0.54</v>
      </c>
    </row>
    <row r="602" ht="14.25" customHeight="1">
      <c r="A602" s="18" t="s">
        <v>1179</v>
      </c>
      <c r="B602" s="18" t="s">
        <v>1180</v>
      </c>
      <c r="C602" s="19" t="s">
        <v>1190</v>
      </c>
      <c r="D602" s="20" t="s">
        <v>1194</v>
      </c>
      <c r="E602" s="38">
        <v>6.68005E13</v>
      </c>
      <c r="F602" s="19" t="s">
        <v>20</v>
      </c>
      <c r="G602" s="23">
        <v>8990.0</v>
      </c>
      <c r="H602" s="23">
        <v>3524.0</v>
      </c>
      <c r="I602" s="23">
        <v>1635.0</v>
      </c>
      <c r="J602" s="37"/>
      <c r="K602" s="37"/>
      <c r="L602" s="22">
        <v>1635.0</v>
      </c>
      <c r="M602" s="22">
        <v>1752.0</v>
      </c>
      <c r="N602" s="22">
        <v>1869.0</v>
      </c>
      <c r="O602" s="37"/>
      <c r="P602" s="26">
        <v>0.45</v>
      </c>
      <c r="Q602" s="26">
        <v>0.41</v>
      </c>
      <c r="R602" s="26">
        <v>0.37</v>
      </c>
    </row>
    <row r="603" ht="14.25" customHeight="1">
      <c r="A603" s="18" t="s">
        <v>1179</v>
      </c>
      <c r="B603" s="18" t="s">
        <v>1180</v>
      </c>
      <c r="C603" s="19" t="s">
        <v>1195</v>
      </c>
      <c r="D603" s="20" t="s">
        <v>1196</v>
      </c>
      <c r="E603" s="38">
        <v>1.6503E12</v>
      </c>
      <c r="F603" s="19" t="s">
        <v>179</v>
      </c>
      <c r="G603" s="23">
        <v>29990.0</v>
      </c>
      <c r="H603" s="23">
        <v>8818.0</v>
      </c>
      <c r="I603" s="23">
        <v>5411.0</v>
      </c>
      <c r="J603" s="37"/>
      <c r="K603" s="37"/>
      <c r="L603" s="22">
        <v>5411.0</v>
      </c>
      <c r="M603" s="22">
        <v>5797.0</v>
      </c>
      <c r="N603" s="22">
        <v>6184.0</v>
      </c>
      <c r="O603" s="37"/>
      <c r="P603" s="26">
        <v>0.27</v>
      </c>
      <c r="Q603" s="26">
        <v>0.22</v>
      </c>
      <c r="R603" s="26">
        <v>0.17</v>
      </c>
    </row>
    <row r="604" ht="14.25" customHeight="1">
      <c r="A604" s="18" t="s">
        <v>1179</v>
      </c>
      <c r="B604" s="18" t="s">
        <v>1180</v>
      </c>
      <c r="C604" s="19" t="s">
        <v>1195</v>
      </c>
      <c r="D604" s="20" t="s">
        <v>1197</v>
      </c>
      <c r="E604" s="38">
        <v>1.66086E12</v>
      </c>
      <c r="F604" s="19" t="s">
        <v>179</v>
      </c>
      <c r="G604" s="23">
        <v>14990.0</v>
      </c>
      <c r="H604" s="23">
        <v>5288.0</v>
      </c>
      <c r="I604" s="23">
        <v>1529.0</v>
      </c>
      <c r="J604" s="37"/>
      <c r="K604" s="37"/>
      <c r="L604" s="22">
        <v>1529.0</v>
      </c>
      <c r="M604" s="22">
        <v>1638.0</v>
      </c>
      <c r="N604" s="22">
        <v>1747.0</v>
      </c>
      <c r="O604" s="37"/>
      <c r="P604" s="26">
        <v>0.66</v>
      </c>
      <c r="Q604" s="26">
        <v>0.63</v>
      </c>
      <c r="R604" s="26">
        <v>0.61</v>
      </c>
    </row>
    <row r="605" ht="14.25" customHeight="1">
      <c r="A605" s="18" t="s">
        <v>1179</v>
      </c>
      <c r="B605" s="18" t="s">
        <v>1180</v>
      </c>
      <c r="C605" s="19" t="s">
        <v>1195</v>
      </c>
      <c r="D605" s="20" t="s">
        <v>1198</v>
      </c>
      <c r="E605" s="38">
        <v>6.79339E13</v>
      </c>
      <c r="F605" s="19" t="s">
        <v>134</v>
      </c>
      <c r="G605" s="23">
        <v>32990.0</v>
      </c>
      <c r="H605" s="23">
        <v>9994.0</v>
      </c>
      <c r="I605" s="23">
        <v>6108.0</v>
      </c>
      <c r="J605" s="37"/>
      <c r="K605" s="37"/>
      <c r="L605" s="22">
        <v>6108.0</v>
      </c>
      <c r="M605" s="22">
        <v>6544.0</v>
      </c>
      <c r="N605" s="22">
        <v>6981.0</v>
      </c>
      <c r="O605" s="37"/>
      <c r="P605" s="26">
        <v>0.27</v>
      </c>
      <c r="Q605" s="26">
        <v>0.22</v>
      </c>
      <c r="R605" s="26">
        <v>0.17</v>
      </c>
    </row>
    <row r="606" ht="14.25" customHeight="1">
      <c r="A606" s="18" t="s">
        <v>1179</v>
      </c>
      <c r="B606" s="18" t="s">
        <v>1180</v>
      </c>
      <c r="C606" s="19" t="s">
        <v>1195</v>
      </c>
      <c r="D606" s="20" t="s">
        <v>1199</v>
      </c>
      <c r="E606" s="38">
        <v>1.65421E12</v>
      </c>
      <c r="F606" s="19" t="s">
        <v>20</v>
      </c>
      <c r="G606" s="23">
        <v>16990.0</v>
      </c>
      <c r="H606" s="23">
        <v>7641.0</v>
      </c>
      <c r="I606" s="23">
        <v>1969.0</v>
      </c>
      <c r="J606" s="37"/>
      <c r="K606" s="37"/>
      <c r="L606" s="22">
        <v>1969.0</v>
      </c>
      <c r="M606" s="22">
        <v>2110.0</v>
      </c>
      <c r="N606" s="22">
        <v>2250.0</v>
      </c>
      <c r="O606" s="37"/>
      <c r="P606" s="26">
        <v>0.69</v>
      </c>
      <c r="Q606" s="26">
        <v>0.67</v>
      </c>
      <c r="R606" s="26">
        <v>0.65</v>
      </c>
    </row>
    <row r="607" ht="14.25" customHeight="1">
      <c r="A607" s="18" t="s">
        <v>1179</v>
      </c>
      <c r="B607" s="18" t="s">
        <v>1180</v>
      </c>
      <c r="C607" s="19" t="s">
        <v>1195</v>
      </c>
      <c r="D607" s="20" t="s">
        <v>1200</v>
      </c>
      <c r="E607" s="38">
        <v>1.65421E12</v>
      </c>
      <c r="F607" s="19" t="s">
        <v>20</v>
      </c>
      <c r="G607" s="23">
        <v>16990.0</v>
      </c>
      <c r="H607" s="23">
        <v>5876.0</v>
      </c>
      <c r="I607" s="23">
        <v>3550.0</v>
      </c>
      <c r="J607" s="37"/>
      <c r="K607" s="37"/>
      <c r="L607" s="22">
        <v>3550.0</v>
      </c>
      <c r="M607" s="22">
        <v>3804.0</v>
      </c>
      <c r="N607" s="22">
        <v>4057.0</v>
      </c>
      <c r="O607" s="37"/>
      <c r="P607" s="26">
        <v>0.28</v>
      </c>
      <c r="Q607" s="26">
        <v>0.23</v>
      </c>
      <c r="R607" s="26">
        <v>0.18</v>
      </c>
    </row>
    <row r="608" ht="14.25" customHeight="1">
      <c r="A608" s="18" t="s">
        <v>1179</v>
      </c>
      <c r="B608" s="18" t="s">
        <v>1180</v>
      </c>
      <c r="C608" s="19" t="s">
        <v>1195</v>
      </c>
      <c r="D608" s="20" t="s">
        <v>1201</v>
      </c>
      <c r="E608" s="38">
        <v>6.79339E13</v>
      </c>
      <c r="F608" s="19" t="s">
        <v>20</v>
      </c>
      <c r="G608" s="23">
        <v>18990.0</v>
      </c>
      <c r="H608" s="23">
        <v>6465.0</v>
      </c>
      <c r="I608" s="23">
        <v>4318.0</v>
      </c>
      <c r="J608" s="37"/>
      <c r="K608" s="37"/>
      <c r="L608" s="22">
        <v>4318.0</v>
      </c>
      <c r="M608" s="22">
        <v>4626.0</v>
      </c>
      <c r="N608" s="22">
        <v>4935.0</v>
      </c>
      <c r="O608" s="37"/>
      <c r="P608" s="26">
        <v>0.21</v>
      </c>
      <c r="Q608" s="26">
        <v>0.15</v>
      </c>
      <c r="R608" s="26">
        <v>0.09</v>
      </c>
    </row>
    <row r="609" ht="14.25" customHeight="1">
      <c r="A609" s="18" t="s">
        <v>1179</v>
      </c>
      <c r="B609" s="18" t="s">
        <v>1180</v>
      </c>
      <c r="C609" s="19" t="s">
        <v>1195</v>
      </c>
      <c r="D609" s="20" t="s">
        <v>1202</v>
      </c>
      <c r="E609" s="38">
        <v>6.79339E13</v>
      </c>
      <c r="F609" s="19" t="s">
        <v>20</v>
      </c>
      <c r="G609" s="23">
        <v>16990.0</v>
      </c>
      <c r="H609" s="23">
        <v>5288.0</v>
      </c>
      <c r="I609" s="23">
        <v>3567.0</v>
      </c>
      <c r="J609" s="37"/>
      <c r="K609" s="37"/>
      <c r="L609" s="22">
        <v>3567.0</v>
      </c>
      <c r="M609" s="22">
        <v>3822.0</v>
      </c>
      <c r="N609" s="22">
        <v>4077.0</v>
      </c>
      <c r="O609" s="37"/>
      <c r="P609" s="26">
        <v>0.2</v>
      </c>
      <c r="Q609" s="26">
        <v>0.14</v>
      </c>
      <c r="R609" s="26">
        <v>0.08</v>
      </c>
    </row>
    <row r="610" ht="14.25" customHeight="1">
      <c r="A610" s="18" t="s">
        <v>1179</v>
      </c>
      <c r="B610" s="18" t="s">
        <v>1180</v>
      </c>
      <c r="C610" s="19" t="s">
        <v>1195</v>
      </c>
      <c r="D610" s="20" t="s">
        <v>1203</v>
      </c>
      <c r="E610" s="38">
        <v>6.79339E13</v>
      </c>
      <c r="F610" s="19" t="s">
        <v>20</v>
      </c>
      <c r="G610" s="23">
        <v>16990.0</v>
      </c>
      <c r="H610" s="23">
        <v>7641.0</v>
      </c>
      <c r="I610" s="23">
        <v>3829.0</v>
      </c>
      <c r="J610" s="37"/>
      <c r="K610" s="37"/>
      <c r="L610" s="22">
        <v>3829.0</v>
      </c>
      <c r="M610" s="22">
        <v>4102.0</v>
      </c>
      <c r="N610" s="22">
        <v>4376.0</v>
      </c>
      <c r="O610" s="37"/>
      <c r="P610" s="26">
        <v>0.4</v>
      </c>
      <c r="Q610" s="26">
        <v>0.36</v>
      </c>
      <c r="R610" s="26">
        <v>0.32</v>
      </c>
    </row>
    <row r="611" ht="14.25" customHeight="1">
      <c r="A611" s="18" t="s">
        <v>1179</v>
      </c>
      <c r="B611" s="18" t="s">
        <v>1180</v>
      </c>
      <c r="C611" s="19" t="s">
        <v>1195</v>
      </c>
      <c r="D611" s="20" t="s">
        <v>1204</v>
      </c>
      <c r="E611" s="38">
        <v>6.79339E13</v>
      </c>
      <c r="F611" s="19" t="s">
        <v>179</v>
      </c>
      <c r="G611" s="23">
        <v>24990.0</v>
      </c>
      <c r="H611" s="23">
        <v>8818.0</v>
      </c>
      <c r="I611" s="23">
        <v>2618.0</v>
      </c>
      <c r="J611" s="37"/>
      <c r="K611" s="37"/>
      <c r="L611" s="22">
        <v>2618.0</v>
      </c>
      <c r="M611" s="22">
        <v>2805.0</v>
      </c>
      <c r="N611" s="22">
        <v>2992.0</v>
      </c>
      <c r="O611" s="37"/>
      <c r="P611" s="26">
        <v>0.65</v>
      </c>
      <c r="Q611" s="26">
        <v>0.62</v>
      </c>
      <c r="R611" s="26">
        <v>0.6</v>
      </c>
    </row>
    <row r="612" ht="14.25" customHeight="1">
      <c r="A612" s="18" t="s">
        <v>1179</v>
      </c>
      <c r="B612" s="18" t="s">
        <v>1180</v>
      </c>
      <c r="C612" s="19" t="s">
        <v>1195</v>
      </c>
      <c r="D612" s="20" t="s">
        <v>1205</v>
      </c>
      <c r="E612" s="38">
        <v>6.79339E13</v>
      </c>
      <c r="F612" s="19" t="s">
        <v>179</v>
      </c>
      <c r="G612" s="23">
        <v>29990.0</v>
      </c>
      <c r="H612" s="23">
        <v>11759.0</v>
      </c>
      <c r="I612" s="23">
        <v>3357.0</v>
      </c>
      <c r="J612" s="37"/>
      <c r="K612" s="37"/>
      <c r="L612" s="22">
        <v>3357.0</v>
      </c>
      <c r="M612" s="22">
        <v>3597.0</v>
      </c>
      <c r="N612" s="22">
        <v>3837.0</v>
      </c>
      <c r="O612" s="37"/>
      <c r="P612" s="26">
        <v>0.66</v>
      </c>
      <c r="Q612" s="26">
        <v>0.64</v>
      </c>
      <c r="R612" s="26">
        <v>0.61</v>
      </c>
    </row>
    <row r="613" ht="14.25" customHeight="1">
      <c r="A613" s="18" t="s">
        <v>1179</v>
      </c>
      <c r="B613" s="18" t="s">
        <v>1180</v>
      </c>
      <c r="C613" s="19" t="s">
        <v>1195</v>
      </c>
      <c r="D613" s="20" t="s">
        <v>1206</v>
      </c>
      <c r="E613" s="38">
        <v>6.79339E13</v>
      </c>
      <c r="F613" s="19" t="s">
        <v>20</v>
      </c>
      <c r="G613" s="23">
        <v>14990.0</v>
      </c>
      <c r="H613" s="23">
        <v>7641.0</v>
      </c>
      <c r="I613" s="23">
        <v>3110.0</v>
      </c>
      <c r="J613" s="37"/>
      <c r="K613" s="37"/>
      <c r="L613" s="22">
        <v>3110.0</v>
      </c>
      <c r="M613" s="22">
        <v>3332.0</v>
      </c>
      <c r="N613" s="22">
        <v>3554.0</v>
      </c>
      <c r="O613" s="37"/>
      <c r="P613" s="26">
        <v>0.52</v>
      </c>
      <c r="Q613" s="26">
        <v>0.48</v>
      </c>
      <c r="R613" s="26">
        <v>0.45</v>
      </c>
    </row>
    <row r="614" ht="14.25" customHeight="1">
      <c r="A614" s="18" t="s">
        <v>1179</v>
      </c>
      <c r="B614" s="18" t="s">
        <v>1180</v>
      </c>
      <c r="C614" s="19" t="s">
        <v>1195</v>
      </c>
      <c r="D614" s="20" t="s">
        <v>1207</v>
      </c>
      <c r="E614" s="38" t="s">
        <v>1208</v>
      </c>
      <c r="F614" s="16" t="s">
        <v>20</v>
      </c>
      <c r="G614" s="23">
        <v>24990.0</v>
      </c>
      <c r="H614" s="23">
        <v>12935.0</v>
      </c>
      <c r="I614" s="23">
        <v>7002.0</v>
      </c>
      <c r="J614" s="37"/>
      <c r="K614" s="37"/>
      <c r="L614" s="22">
        <v>7002.0</v>
      </c>
      <c r="M614" s="22">
        <v>7502.0</v>
      </c>
      <c r="N614" s="22">
        <v>8002.0</v>
      </c>
      <c r="O614" s="37"/>
      <c r="P614" s="26">
        <v>0.36</v>
      </c>
      <c r="Q614" s="26">
        <v>0.31</v>
      </c>
      <c r="R614" s="26">
        <v>0.26</v>
      </c>
    </row>
    <row r="615" ht="14.25" customHeight="1">
      <c r="A615" s="18" t="s">
        <v>1179</v>
      </c>
      <c r="B615" s="18" t="s">
        <v>1180</v>
      </c>
      <c r="C615" s="19" t="s">
        <v>1195</v>
      </c>
      <c r="D615" s="20" t="s">
        <v>1209</v>
      </c>
      <c r="E615" s="38" t="s">
        <v>1210</v>
      </c>
      <c r="F615" s="16" t="s">
        <v>20</v>
      </c>
      <c r="G615" s="23">
        <v>29990.0</v>
      </c>
      <c r="H615" s="23">
        <v>16465.0</v>
      </c>
      <c r="I615" s="23">
        <v>7642.0</v>
      </c>
      <c r="J615" s="37"/>
      <c r="K615" s="37"/>
      <c r="L615" s="22">
        <v>7642.0</v>
      </c>
      <c r="M615" s="22">
        <v>8188.0</v>
      </c>
      <c r="N615" s="22">
        <v>8734.0</v>
      </c>
      <c r="O615" s="37"/>
      <c r="P615" s="26">
        <v>0.45</v>
      </c>
      <c r="Q615" s="26">
        <v>0.41</v>
      </c>
      <c r="R615" s="26">
        <v>0.37</v>
      </c>
    </row>
    <row r="616" ht="14.25" customHeight="1">
      <c r="A616" s="18" t="s">
        <v>1179</v>
      </c>
      <c r="B616" s="18" t="s">
        <v>1180</v>
      </c>
      <c r="C616" s="19" t="s">
        <v>1195</v>
      </c>
      <c r="D616" s="20" t="s">
        <v>1211</v>
      </c>
      <c r="E616" s="38" t="s">
        <v>1212</v>
      </c>
      <c r="F616" s="16" t="s">
        <v>20</v>
      </c>
      <c r="G616" s="23">
        <v>27990.0</v>
      </c>
      <c r="H616" s="23">
        <v>14700.0</v>
      </c>
      <c r="I616" s="23">
        <v>7477.0</v>
      </c>
      <c r="J616" s="37"/>
      <c r="K616" s="37"/>
      <c r="L616" s="22">
        <v>7477.0</v>
      </c>
      <c r="M616" s="22">
        <v>8011.0</v>
      </c>
      <c r="N616" s="22">
        <v>8545.0</v>
      </c>
      <c r="O616" s="37"/>
      <c r="P616" s="26">
        <v>0.39</v>
      </c>
      <c r="Q616" s="26">
        <v>0.35</v>
      </c>
      <c r="R616" s="26">
        <v>0.31</v>
      </c>
    </row>
    <row r="617" ht="14.25" customHeight="1">
      <c r="A617" s="18" t="s">
        <v>1179</v>
      </c>
      <c r="B617" s="18" t="s">
        <v>1180</v>
      </c>
      <c r="C617" s="19" t="s">
        <v>1195</v>
      </c>
      <c r="D617" s="20" t="s">
        <v>1213</v>
      </c>
      <c r="E617" s="38" t="s">
        <v>1214</v>
      </c>
      <c r="F617" s="16" t="s">
        <v>20</v>
      </c>
      <c r="G617" s="23">
        <v>32990.0</v>
      </c>
      <c r="H617" s="23">
        <v>17641.0</v>
      </c>
      <c r="I617" s="23">
        <v>7818.0</v>
      </c>
      <c r="J617" s="37"/>
      <c r="K617" s="37"/>
      <c r="L617" s="22">
        <v>7818.0</v>
      </c>
      <c r="M617" s="22">
        <v>8376.0</v>
      </c>
      <c r="N617" s="22">
        <v>8935.0</v>
      </c>
      <c r="O617" s="37"/>
      <c r="P617" s="26">
        <v>0.47</v>
      </c>
      <c r="Q617" s="26">
        <v>0.43</v>
      </c>
      <c r="R617" s="26">
        <v>0.4</v>
      </c>
    </row>
    <row r="618" ht="14.25" customHeight="1">
      <c r="A618" s="18" t="s">
        <v>1179</v>
      </c>
      <c r="B618" s="18" t="s">
        <v>1180</v>
      </c>
      <c r="C618" s="19" t="s">
        <v>1195</v>
      </c>
      <c r="D618" s="20" t="s">
        <v>1215</v>
      </c>
      <c r="E618" s="38" t="s">
        <v>1216</v>
      </c>
      <c r="F618" s="16" t="s">
        <v>20</v>
      </c>
      <c r="G618" s="23">
        <v>19990.0</v>
      </c>
      <c r="H618" s="23">
        <v>9994.0</v>
      </c>
      <c r="I618" s="23">
        <v>4450.0</v>
      </c>
      <c r="J618" s="37"/>
      <c r="K618" s="37"/>
      <c r="L618" s="22">
        <v>4450.0</v>
      </c>
      <c r="M618" s="22">
        <v>4768.0</v>
      </c>
      <c r="N618" s="22">
        <v>5086.0</v>
      </c>
      <c r="O618" s="37"/>
      <c r="P618" s="26">
        <v>0.47</v>
      </c>
      <c r="Q618" s="26">
        <v>0.43</v>
      </c>
      <c r="R618" s="26">
        <v>0.39</v>
      </c>
    </row>
    <row r="619" ht="14.25" customHeight="1">
      <c r="A619" s="18" t="s">
        <v>1179</v>
      </c>
      <c r="B619" s="18" t="s">
        <v>1180</v>
      </c>
      <c r="C619" s="19" t="s">
        <v>1195</v>
      </c>
      <c r="D619" s="20" t="s">
        <v>1217</v>
      </c>
      <c r="E619" s="38" t="s">
        <v>1218</v>
      </c>
      <c r="F619" s="16" t="s">
        <v>20</v>
      </c>
      <c r="G619" s="23">
        <v>16990.0</v>
      </c>
      <c r="H619" s="23">
        <v>7641.0</v>
      </c>
      <c r="I619" s="23">
        <v>3696.0</v>
      </c>
      <c r="J619" s="37"/>
      <c r="K619" s="37"/>
      <c r="L619" s="22">
        <v>3696.0</v>
      </c>
      <c r="M619" s="22">
        <v>3960.0</v>
      </c>
      <c r="N619" s="22">
        <v>4224.0</v>
      </c>
      <c r="O619" s="37"/>
      <c r="P619" s="26">
        <v>0.42</v>
      </c>
      <c r="Q619" s="26">
        <v>0.38</v>
      </c>
      <c r="R619" s="26">
        <v>0.34</v>
      </c>
    </row>
    <row r="620" ht="14.25" customHeight="1">
      <c r="A620" s="18" t="s">
        <v>1179</v>
      </c>
      <c r="B620" s="18" t="s">
        <v>1219</v>
      </c>
      <c r="C620" s="19" t="s">
        <v>1220</v>
      </c>
      <c r="D620" s="20" t="s">
        <v>1221</v>
      </c>
      <c r="E620" s="38">
        <v>6.84329E13</v>
      </c>
      <c r="F620" s="19" t="s">
        <v>179</v>
      </c>
      <c r="G620" s="23">
        <v>49990.0</v>
      </c>
      <c r="H620" s="23">
        <v>20582.0</v>
      </c>
      <c r="I620" s="23">
        <v>15316.0</v>
      </c>
      <c r="J620" s="37"/>
      <c r="K620" s="37"/>
      <c r="L620" s="22">
        <v>15316.0</v>
      </c>
      <c r="M620" s="22">
        <v>16410.0</v>
      </c>
      <c r="N620" s="22">
        <v>17504.0</v>
      </c>
      <c r="O620" s="37"/>
      <c r="P620" s="26">
        <v>0.11</v>
      </c>
      <c r="Q620" s="26">
        <v>0.05</v>
      </c>
      <c r="R620" s="26">
        <v>-0.01</v>
      </c>
    </row>
    <row r="621" ht="14.25" customHeight="1">
      <c r="A621" s="18" t="s">
        <v>1179</v>
      </c>
      <c r="B621" s="18" t="s">
        <v>1219</v>
      </c>
      <c r="C621" s="19" t="s">
        <v>1220</v>
      </c>
      <c r="D621" s="20" t="s">
        <v>1222</v>
      </c>
      <c r="E621" s="38">
        <v>1.66086E12</v>
      </c>
      <c r="F621" s="19" t="s">
        <v>179</v>
      </c>
      <c r="G621" s="23">
        <v>49990.0</v>
      </c>
      <c r="H621" s="23">
        <v>20582.0</v>
      </c>
      <c r="I621" s="23">
        <v>14656.0</v>
      </c>
      <c r="J621" s="37"/>
      <c r="K621" s="37"/>
      <c r="L621" s="22">
        <v>14656.0</v>
      </c>
      <c r="M621" s="22">
        <v>15703.0</v>
      </c>
      <c r="N621" s="22">
        <v>16750.0</v>
      </c>
      <c r="O621" s="37"/>
      <c r="P621" s="26">
        <v>0.15</v>
      </c>
      <c r="Q621" s="26">
        <v>0.09</v>
      </c>
      <c r="R621" s="26">
        <v>0.03</v>
      </c>
    </row>
    <row r="622" ht="14.25" customHeight="1">
      <c r="A622" s="18" t="s">
        <v>1179</v>
      </c>
      <c r="B622" s="18" t="s">
        <v>1223</v>
      </c>
      <c r="C622" s="19" t="s">
        <v>1223</v>
      </c>
      <c r="D622" s="20" t="s">
        <v>1224</v>
      </c>
      <c r="E622" s="38">
        <v>1.62802E12</v>
      </c>
      <c r="F622" s="19" t="s">
        <v>20</v>
      </c>
      <c r="G622" s="23">
        <v>24990.0</v>
      </c>
      <c r="H622" s="23">
        <v>11759.0</v>
      </c>
      <c r="I622" s="23">
        <v>4535.0</v>
      </c>
      <c r="J622" s="37"/>
      <c r="K622" s="37"/>
      <c r="L622" s="22">
        <v>4535.0</v>
      </c>
      <c r="M622" s="22">
        <v>4859.0</v>
      </c>
      <c r="N622" s="22">
        <v>5183.0</v>
      </c>
      <c r="O622" s="37"/>
      <c r="P622" s="26">
        <v>0.54</v>
      </c>
      <c r="Q622" s="26">
        <v>0.51</v>
      </c>
      <c r="R622" s="26">
        <v>0.48</v>
      </c>
    </row>
    <row r="623" ht="14.25" customHeight="1">
      <c r="A623" s="18" t="s">
        <v>1179</v>
      </c>
      <c r="B623" s="18" t="s">
        <v>1225</v>
      </c>
      <c r="C623" s="19" t="s">
        <v>1226</v>
      </c>
      <c r="D623" s="20" t="s">
        <v>1227</v>
      </c>
      <c r="E623" s="19" t="s">
        <v>1228</v>
      </c>
      <c r="F623" s="19" t="s">
        <v>179</v>
      </c>
      <c r="G623" s="23">
        <v>79990.0</v>
      </c>
      <c r="H623" s="23">
        <v>29406.0</v>
      </c>
      <c r="I623" s="23">
        <v>19506.0</v>
      </c>
      <c r="J623" s="37"/>
      <c r="K623" s="37"/>
      <c r="L623" s="22">
        <v>19506.0</v>
      </c>
      <c r="M623" s="22">
        <v>20899.0</v>
      </c>
      <c r="N623" s="22">
        <v>22293.0</v>
      </c>
      <c r="O623" s="37"/>
      <c r="P623" s="26">
        <v>0.21</v>
      </c>
      <c r="Q623" s="26">
        <v>0.15</v>
      </c>
      <c r="R623" s="26">
        <v>0.1</v>
      </c>
    </row>
    <row r="624" ht="14.25" customHeight="1">
      <c r="A624" s="18" t="s">
        <v>1179</v>
      </c>
      <c r="B624" s="18" t="s">
        <v>1225</v>
      </c>
      <c r="C624" s="19" t="s">
        <v>1226</v>
      </c>
      <c r="D624" s="20" t="s">
        <v>1229</v>
      </c>
      <c r="E624" s="19" t="s">
        <v>1230</v>
      </c>
      <c r="F624" s="19" t="s">
        <v>20</v>
      </c>
      <c r="G624" s="23">
        <v>129990.0</v>
      </c>
      <c r="H624" s="23">
        <v>76465.0</v>
      </c>
      <c r="I624" s="23">
        <v>33252.0</v>
      </c>
      <c r="J624" s="37"/>
      <c r="K624" s="37"/>
      <c r="L624" s="22">
        <v>33252.0</v>
      </c>
      <c r="M624" s="22">
        <v>35627.0</v>
      </c>
      <c r="N624" s="22">
        <v>38002.0</v>
      </c>
      <c r="O624" s="37"/>
      <c r="P624" s="26">
        <v>0.48</v>
      </c>
      <c r="Q624" s="26">
        <v>0.45</v>
      </c>
      <c r="R624" s="26">
        <v>0.41</v>
      </c>
    </row>
    <row r="625" ht="14.25" customHeight="1">
      <c r="A625" s="18" t="s">
        <v>1179</v>
      </c>
      <c r="B625" s="18" t="s">
        <v>1225</v>
      </c>
      <c r="C625" s="19" t="s">
        <v>1226</v>
      </c>
      <c r="D625" s="20" t="s">
        <v>1231</v>
      </c>
      <c r="E625" s="38">
        <v>1.63485E12</v>
      </c>
      <c r="F625" s="19" t="s">
        <v>179</v>
      </c>
      <c r="G625" s="23">
        <v>149990.0</v>
      </c>
      <c r="H625" s="23">
        <v>52935.0</v>
      </c>
      <c r="I625" s="23">
        <v>45191.0</v>
      </c>
      <c r="J625" s="37"/>
      <c r="K625" s="37"/>
      <c r="L625" s="22">
        <v>45191.0</v>
      </c>
      <c r="M625" s="22">
        <v>48419.0</v>
      </c>
      <c r="N625" s="22">
        <v>51647.0</v>
      </c>
      <c r="O625" s="37"/>
      <c r="P625" s="26">
        <v>-0.02</v>
      </c>
      <c r="Q625" s="26">
        <v>-0.09</v>
      </c>
      <c r="R625" s="26">
        <v>-0.16</v>
      </c>
    </row>
    <row r="626" ht="14.25" customHeight="1">
      <c r="A626" s="18" t="s">
        <v>1179</v>
      </c>
      <c r="B626" s="18" t="s">
        <v>1225</v>
      </c>
      <c r="C626" s="19" t="s">
        <v>1226</v>
      </c>
      <c r="D626" s="20" t="s">
        <v>1232</v>
      </c>
      <c r="E626" s="38">
        <v>1.63596E12</v>
      </c>
      <c r="F626" s="19" t="s">
        <v>179</v>
      </c>
      <c r="G626" s="23">
        <v>129990.0</v>
      </c>
      <c r="H626" s="23">
        <v>52935.0</v>
      </c>
      <c r="I626" s="23">
        <v>28051.0</v>
      </c>
      <c r="J626" s="37"/>
      <c r="K626" s="37"/>
      <c r="L626" s="22">
        <v>28051.0</v>
      </c>
      <c r="M626" s="22">
        <v>30055.0</v>
      </c>
      <c r="N626" s="22">
        <v>32058.0</v>
      </c>
      <c r="O626" s="37"/>
      <c r="P626" s="26">
        <v>0.37</v>
      </c>
      <c r="Q626" s="26">
        <v>0.32</v>
      </c>
      <c r="R626" s="26">
        <v>0.28</v>
      </c>
    </row>
    <row r="627" ht="14.25" customHeight="1">
      <c r="A627" s="18" t="s">
        <v>1179</v>
      </c>
      <c r="B627" s="18" t="s">
        <v>1225</v>
      </c>
      <c r="C627" s="19" t="s">
        <v>1226</v>
      </c>
      <c r="D627" s="20" t="s">
        <v>1233</v>
      </c>
      <c r="E627" s="38" t="s">
        <v>1234</v>
      </c>
      <c r="F627" s="19" t="s">
        <v>179</v>
      </c>
      <c r="G627" s="23">
        <v>129990.0</v>
      </c>
      <c r="H627" s="23">
        <v>52935.0</v>
      </c>
      <c r="I627" s="23">
        <v>25978.0</v>
      </c>
      <c r="J627" s="37"/>
      <c r="K627" s="37"/>
      <c r="L627" s="22">
        <v>25978.0</v>
      </c>
      <c r="M627" s="22">
        <v>27833.0</v>
      </c>
      <c r="N627" s="22">
        <v>29689.0</v>
      </c>
      <c r="O627" s="37"/>
      <c r="P627" s="26">
        <v>0.42</v>
      </c>
      <c r="Q627" s="26">
        <v>0.37</v>
      </c>
      <c r="R627" s="26">
        <v>0.33</v>
      </c>
    </row>
    <row r="628" ht="14.25" customHeight="1">
      <c r="A628" s="18" t="s">
        <v>1179</v>
      </c>
      <c r="B628" s="18" t="s">
        <v>1225</v>
      </c>
      <c r="C628" s="19" t="s">
        <v>1226</v>
      </c>
      <c r="D628" s="20" t="s">
        <v>1235</v>
      </c>
      <c r="E628" s="38" t="s">
        <v>1236</v>
      </c>
      <c r="F628" s="19" t="s">
        <v>20</v>
      </c>
      <c r="G628" s="23">
        <v>199990.0</v>
      </c>
      <c r="H628" s="23">
        <v>70582.0</v>
      </c>
      <c r="I628" s="23">
        <v>55085.0</v>
      </c>
      <c r="J628" s="37"/>
      <c r="K628" s="37"/>
      <c r="L628" s="22">
        <v>55085.0</v>
      </c>
      <c r="M628" s="22">
        <v>59019.0</v>
      </c>
      <c r="N628" s="22">
        <v>62954.0</v>
      </c>
      <c r="O628" s="37"/>
      <c r="P628" s="26">
        <v>0.07</v>
      </c>
      <c r="Q628" s="26">
        <v>0.0</v>
      </c>
      <c r="R628" s="26">
        <v>-0.06</v>
      </c>
    </row>
    <row r="629" ht="14.25" customHeight="1">
      <c r="A629" s="18" t="s">
        <v>1179</v>
      </c>
      <c r="B629" s="18" t="s">
        <v>1225</v>
      </c>
      <c r="C629" s="19" t="s">
        <v>1226</v>
      </c>
      <c r="D629" s="20" t="s">
        <v>1237</v>
      </c>
      <c r="E629" s="38" t="s">
        <v>1238</v>
      </c>
      <c r="F629" s="19" t="s">
        <v>179</v>
      </c>
      <c r="G629" s="23">
        <v>169990.0</v>
      </c>
      <c r="H629" s="23">
        <v>64700.0</v>
      </c>
      <c r="I629" s="23">
        <v>34708.0</v>
      </c>
      <c r="J629" s="37"/>
      <c r="K629" s="37"/>
      <c r="L629" s="22">
        <v>34708.0</v>
      </c>
      <c r="M629" s="22">
        <v>37187.0</v>
      </c>
      <c r="N629" s="22">
        <v>39666.0</v>
      </c>
      <c r="O629" s="37"/>
      <c r="P629" s="26">
        <v>0.36</v>
      </c>
      <c r="Q629" s="26">
        <v>0.32</v>
      </c>
      <c r="R629" s="26">
        <v>0.27</v>
      </c>
    </row>
    <row r="630" ht="14.25" customHeight="1">
      <c r="A630" s="18" t="s">
        <v>1179</v>
      </c>
      <c r="B630" s="18" t="s">
        <v>1225</v>
      </c>
      <c r="C630" s="19" t="s">
        <v>1226</v>
      </c>
      <c r="D630" s="29" t="s">
        <v>1239</v>
      </c>
      <c r="E630" s="39" t="s">
        <v>1240</v>
      </c>
      <c r="F630" s="16" t="s">
        <v>193</v>
      </c>
      <c r="G630" s="23">
        <v>129990.0</v>
      </c>
      <c r="H630" s="23">
        <v>58818.0</v>
      </c>
      <c r="I630" s="23">
        <v>29511.0</v>
      </c>
      <c r="J630" s="37"/>
      <c r="K630" s="37"/>
      <c r="L630" s="22">
        <v>29511.0</v>
      </c>
      <c r="M630" s="22">
        <v>31619.0</v>
      </c>
      <c r="N630" s="22">
        <v>33727.0</v>
      </c>
      <c r="O630" s="37"/>
      <c r="P630" s="26">
        <v>0.4</v>
      </c>
      <c r="Q630" s="26">
        <v>0.36</v>
      </c>
      <c r="R630" s="26">
        <v>0.32</v>
      </c>
    </row>
    <row r="631" ht="14.25" customHeight="1">
      <c r="A631" s="18" t="s">
        <v>1179</v>
      </c>
      <c r="B631" s="18" t="s">
        <v>1225</v>
      </c>
      <c r="C631" s="19" t="s">
        <v>1226</v>
      </c>
      <c r="D631" s="29" t="s">
        <v>1241</v>
      </c>
      <c r="E631" s="39" t="s">
        <v>1242</v>
      </c>
      <c r="F631" s="16" t="s">
        <v>193</v>
      </c>
      <c r="G631" s="23">
        <v>169990.0</v>
      </c>
      <c r="H631" s="23">
        <v>76465.0</v>
      </c>
      <c r="I631" s="23">
        <v>37511.0</v>
      </c>
      <c r="J631" s="37"/>
      <c r="K631" s="37"/>
      <c r="L631" s="22">
        <v>37511.0</v>
      </c>
      <c r="M631" s="22">
        <v>40190.0</v>
      </c>
      <c r="N631" s="22">
        <v>42869.0</v>
      </c>
      <c r="O631" s="37"/>
      <c r="P631" s="26">
        <v>0.42</v>
      </c>
      <c r="Q631" s="26">
        <v>0.37</v>
      </c>
      <c r="R631" s="26">
        <v>0.33</v>
      </c>
    </row>
    <row r="632" ht="14.25" customHeight="1">
      <c r="A632" s="18" t="s">
        <v>1179</v>
      </c>
      <c r="B632" s="18" t="s">
        <v>1225</v>
      </c>
      <c r="C632" s="19" t="s">
        <v>1243</v>
      </c>
      <c r="D632" s="20" t="s">
        <v>1244</v>
      </c>
      <c r="E632" s="38" t="s">
        <v>1245</v>
      </c>
      <c r="F632" s="19" t="s">
        <v>20</v>
      </c>
      <c r="G632" s="23">
        <v>39990.0</v>
      </c>
      <c r="H632" s="23">
        <v>14700.0</v>
      </c>
      <c r="I632" s="23">
        <v>8188.0</v>
      </c>
      <c r="J632" s="37"/>
      <c r="K632" s="37"/>
      <c r="L632" s="22">
        <v>8188.0</v>
      </c>
      <c r="M632" s="22">
        <v>8773.0</v>
      </c>
      <c r="N632" s="22">
        <v>9358.0</v>
      </c>
      <c r="O632" s="37"/>
      <c r="P632" s="26">
        <v>0.34</v>
      </c>
      <c r="Q632" s="26">
        <v>0.29</v>
      </c>
      <c r="R632" s="26">
        <v>0.24</v>
      </c>
    </row>
    <row r="633" ht="14.25" customHeight="1">
      <c r="A633" s="18" t="s">
        <v>1179</v>
      </c>
      <c r="B633" s="18" t="s">
        <v>1225</v>
      </c>
      <c r="C633" s="19" t="s">
        <v>1243</v>
      </c>
      <c r="D633" s="20" t="s">
        <v>1246</v>
      </c>
      <c r="E633" s="38" t="s">
        <v>1247</v>
      </c>
      <c r="F633" s="19" t="s">
        <v>20</v>
      </c>
      <c r="G633" s="23">
        <v>34990.0</v>
      </c>
      <c r="H633" s="23">
        <v>11759.0</v>
      </c>
      <c r="I633" s="23">
        <v>5598.0</v>
      </c>
      <c r="J633" s="37"/>
      <c r="K633" s="37"/>
      <c r="L633" s="22">
        <v>5598.0</v>
      </c>
      <c r="M633" s="22">
        <v>5998.0</v>
      </c>
      <c r="N633" s="22">
        <v>6398.0</v>
      </c>
      <c r="O633" s="37"/>
      <c r="P633" s="26">
        <v>0.43</v>
      </c>
      <c r="Q633" s="26">
        <v>0.39</v>
      </c>
      <c r="R633" s="26">
        <v>0.35</v>
      </c>
    </row>
    <row r="634" ht="14.25" customHeight="1">
      <c r="A634" s="18" t="s">
        <v>1179</v>
      </c>
      <c r="B634" s="18" t="s">
        <v>1225</v>
      </c>
      <c r="C634" s="19" t="s">
        <v>1243</v>
      </c>
      <c r="D634" s="20" t="s">
        <v>1248</v>
      </c>
      <c r="E634" s="38" t="s">
        <v>1249</v>
      </c>
      <c r="F634" s="19" t="s">
        <v>20</v>
      </c>
      <c r="G634" s="23">
        <v>34990.0</v>
      </c>
      <c r="H634" s="23">
        <v>14700.0</v>
      </c>
      <c r="I634" s="23">
        <v>2936.0</v>
      </c>
      <c r="J634" s="37"/>
      <c r="K634" s="37"/>
      <c r="L634" s="22">
        <v>2936.0</v>
      </c>
      <c r="M634" s="22">
        <v>3146.0</v>
      </c>
      <c r="N634" s="22">
        <v>3355.0</v>
      </c>
      <c r="O634" s="37"/>
      <c r="P634" s="26">
        <v>0.76</v>
      </c>
      <c r="Q634" s="26">
        <v>0.75</v>
      </c>
      <c r="R634" s="26">
        <v>0.73</v>
      </c>
    </row>
    <row r="635" ht="14.25" customHeight="1">
      <c r="A635" s="18" t="s">
        <v>1179</v>
      </c>
      <c r="B635" s="18" t="s">
        <v>1225</v>
      </c>
      <c r="C635" s="19" t="s">
        <v>1243</v>
      </c>
      <c r="D635" s="20" t="s">
        <v>1250</v>
      </c>
      <c r="E635" s="38" t="s">
        <v>1251</v>
      </c>
      <c r="F635" s="19" t="s">
        <v>20</v>
      </c>
      <c r="G635" s="23">
        <v>29990.0</v>
      </c>
      <c r="H635" s="23">
        <v>11759.0</v>
      </c>
      <c r="I635" s="23">
        <v>6707.0</v>
      </c>
      <c r="J635" s="37"/>
      <c r="K635" s="37"/>
      <c r="L635" s="22">
        <v>6707.0</v>
      </c>
      <c r="M635" s="22">
        <v>7186.0</v>
      </c>
      <c r="N635" s="22">
        <v>7665.0</v>
      </c>
      <c r="O635" s="37"/>
      <c r="P635" s="26">
        <v>0.32</v>
      </c>
      <c r="Q635" s="26">
        <v>0.27</v>
      </c>
      <c r="R635" s="26">
        <v>0.22</v>
      </c>
    </row>
    <row r="636" ht="14.25" customHeight="1">
      <c r="A636" s="18" t="s">
        <v>1179</v>
      </c>
      <c r="B636" s="18" t="s">
        <v>1225</v>
      </c>
      <c r="C636" s="19" t="s">
        <v>1243</v>
      </c>
      <c r="D636" s="20" t="s">
        <v>1252</v>
      </c>
      <c r="E636" s="38" t="s">
        <v>1253</v>
      </c>
      <c r="F636" s="19" t="s">
        <v>20</v>
      </c>
      <c r="G636" s="23">
        <v>79990.0</v>
      </c>
      <c r="H636" s="23">
        <v>41171.0</v>
      </c>
      <c r="I636" s="23">
        <v>19949.0</v>
      </c>
      <c r="J636" s="37"/>
      <c r="K636" s="37"/>
      <c r="L636" s="22">
        <v>19949.0</v>
      </c>
      <c r="M636" s="22">
        <v>21374.0</v>
      </c>
      <c r="N636" s="22">
        <v>22799.0</v>
      </c>
      <c r="O636" s="37"/>
      <c r="P636" s="26">
        <v>0.42</v>
      </c>
      <c r="Q636" s="26">
        <v>0.38</v>
      </c>
      <c r="R636" s="26">
        <v>0.34</v>
      </c>
    </row>
    <row r="637" ht="14.25" customHeight="1">
      <c r="A637" s="18" t="s">
        <v>1179</v>
      </c>
      <c r="B637" s="18" t="s">
        <v>1225</v>
      </c>
      <c r="C637" s="19" t="s">
        <v>1243</v>
      </c>
      <c r="D637" s="20" t="s">
        <v>1254</v>
      </c>
      <c r="E637" s="38" t="s">
        <v>1255</v>
      </c>
      <c r="F637" s="19" t="s">
        <v>20</v>
      </c>
      <c r="G637" s="23">
        <v>49990.0</v>
      </c>
      <c r="H637" s="23">
        <v>17641.0</v>
      </c>
      <c r="I637" s="23">
        <v>10700.0</v>
      </c>
      <c r="J637" s="37"/>
      <c r="K637" s="37"/>
      <c r="L637" s="22">
        <v>10700.0</v>
      </c>
      <c r="M637" s="22">
        <v>11464.0</v>
      </c>
      <c r="N637" s="22">
        <v>12229.0</v>
      </c>
      <c r="O637" s="37"/>
      <c r="P637" s="26">
        <v>0.28</v>
      </c>
      <c r="Q637" s="26">
        <v>0.23</v>
      </c>
      <c r="R637" s="26">
        <v>0.18</v>
      </c>
    </row>
    <row r="638" ht="14.25" customHeight="1">
      <c r="A638" s="18" t="s">
        <v>1179</v>
      </c>
      <c r="B638" s="18" t="s">
        <v>1225</v>
      </c>
      <c r="C638" s="19" t="s">
        <v>1243</v>
      </c>
      <c r="D638" s="20" t="s">
        <v>1256</v>
      </c>
      <c r="E638" s="38" t="s">
        <v>1257</v>
      </c>
      <c r="F638" s="19" t="s">
        <v>20</v>
      </c>
      <c r="G638" s="23">
        <v>39990.0</v>
      </c>
      <c r="H638" s="23">
        <v>14700.0</v>
      </c>
      <c r="I638" s="23">
        <v>9218.0</v>
      </c>
      <c r="J638" s="37"/>
      <c r="K638" s="37"/>
      <c r="L638" s="22">
        <v>9218.0</v>
      </c>
      <c r="M638" s="22">
        <v>9876.0</v>
      </c>
      <c r="N638" s="22">
        <v>10535.0</v>
      </c>
      <c r="O638" s="37"/>
      <c r="P638" s="26">
        <v>0.25</v>
      </c>
      <c r="Q638" s="26">
        <v>0.2</v>
      </c>
      <c r="R638" s="26">
        <v>0.15</v>
      </c>
    </row>
    <row r="639" ht="14.25" customHeight="1">
      <c r="A639" s="18" t="s">
        <v>1179</v>
      </c>
      <c r="B639" s="18" t="s">
        <v>1225</v>
      </c>
      <c r="C639" s="19" t="s">
        <v>1243</v>
      </c>
      <c r="D639" s="20" t="s">
        <v>1258</v>
      </c>
      <c r="E639" s="38" t="s">
        <v>1259</v>
      </c>
      <c r="F639" s="16" t="s">
        <v>20</v>
      </c>
      <c r="G639" s="23">
        <v>14990.0</v>
      </c>
      <c r="H639" s="23">
        <v>11759.0</v>
      </c>
      <c r="I639" s="23">
        <v>3049.0</v>
      </c>
      <c r="J639" s="37"/>
      <c r="K639" s="37"/>
      <c r="L639" s="22">
        <v>3049.0</v>
      </c>
      <c r="M639" s="22">
        <v>3267.0</v>
      </c>
      <c r="N639" s="22">
        <v>3485.0</v>
      </c>
      <c r="O639" s="37"/>
      <c r="P639" s="26">
        <v>0.69</v>
      </c>
      <c r="Q639" s="26">
        <v>0.67</v>
      </c>
      <c r="R639" s="26">
        <v>0.65</v>
      </c>
    </row>
    <row r="640" ht="14.25" customHeight="1">
      <c r="A640" s="18" t="s">
        <v>1179</v>
      </c>
      <c r="B640" s="18" t="s">
        <v>1225</v>
      </c>
      <c r="C640" s="19" t="s">
        <v>1243</v>
      </c>
      <c r="D640" s="20" t="s">
        <v>1260</v>
      </c>
      <c r="E640" s="38" t="s">
        <v>1261</v>
      </c>
      <c r="F640" s="19" t="s">
        <v>20</v>
      </c>
      <c r="G640" s="23">
        <v>89990.0</v>
      </c>
      <c r="H640" s="23">
        <v>41171.0</v>
      </c>
      <c r="I640" s="23">
        <v>21523.0</v>
      </c>
      <c r="J640" s="37"/>
      <c r="K640" s="37"/>
      <c r="L640" s="22">
        <v>21523.0</v>
      </c>
      <c r="M640" s="22">
        <v>23060.0</v>
      </c>
      <c r="N640" s="22">
        <v>24598.0</v>
      </c>
      <c r="O640" s="37"/>
      <c r="P640" s="26">
        <v>0.38</v>
      </c>
      <c r="Q640" s="26">
        <v>0.33</v>
      </c>
      <c r="R640" s="26">
        <v>0.29</v>
      </c>
    </row>
    <row r="641" ht="14.25" customHeight="1">
      <c r="A641" s="18" t="s">
        <v>1179</v>
      </c>
      <c r="B641" s="18" t="s">
        <v>1225</v>
      </c>
      <c r="C641" s="19" t="s">
        <v>1243</v>
      </c>
      <c r="D641" s="20" t="s">
        <v>1262</v>
      </c>
      <c r="E641" s="38" t="s">
        <v>1263</v>
      </c>
      <c r="F641" s="19" t="s">
        <v>20</v>
      </c>
      <c r="G641" s="23">
        <v>69990.0</v>
      </c>
      <c r="H641" s="23">
        <v>35288.0</v>
      </c>
      <c r="I641" s="23">
        <v>14820.0</v>
      </c>
      <c r="J641" s="37"/>
      <c r="K641" s="37"/>
      <c r="L641" s="22">
        <v>14820.0</v>
      </c>
      <c r="M641" s="22">
        <v>15879.0</v>
      </c>
      <c r="N641" s="22">
        <v>16937.0</v>
      </c>
      <c r="O641" s="37"/>
      <c r="P641" s="26">
        <v>0.5</v>
      </c>
      <c r="Q641" s="26">
        <v>0.46</v>
      </c>
      <c r="R641" s="26">
        <v>0.43</v>
      </c>
    </row>
    <row r="642" ht="14.25" customHeight="1">
      <c r="A642" s="18" t="s">
        <v>1179</v>
      </c>
      <c r="B642" s="18" t="s">
        <v>1225</v>
      </c>
      <c r="C642" s="19" t="s">
        <v>1243</v>
      </c>
      <c r="D642" s="20" t="s">
        <v>1264</v>
      </c>
      <c r="E642" s="38" t="s">
        <v>1265</v>
      </c>
      <c r="F642" s="19" t="s">
        <v>20</v>
      </c>
      <c r="G642" s="23">
        <v>59990.0</v>
      </c>
      <c r="H642" s="23">
        <v>29406.0</v>
      </c>
      <c r="I642" s="23">
        <v>12796.0</v>
      </c>
      <c r="J642" s="37"/>
      <c r="K642" s="37"/>
      <c r="L642" s="22">
        <v>12796.0</v>
      </c>
      <c r="M642" s="22">
        <v>13710.0</v>
      </c>
      <c r="N642" s="22">
        <v>14624.0</v>
      </c>
      <c r="O642" s="37"/>
      <c r="P642" s="26">
        <v>0.48</v>
      </c>
      <c r="Q642" s="26">
        <v>0.45</v>
      </c>
      <c r="R642" s="26">
        <v>0.41</v>
      </c>
    </row>
    <row r="643" ht="14.25" customHeight="1">
      <c r="A643" s="18" t="s">
        <v>1179</v>
      </c>
      <c r="B643" s="18" t="s">
        <v>1225</v>
      </c>
      <c r="C643" s="19" t="s">
        <v>1243</v>
      </c>
      <c r="D643" s="29" t="s">
        <v>1266</v>
      </c>
      <c r="E643" s="39" t="s">
        <v>1267</v>
      </c>
      <c r="F643" s="16" t="s">
        <v>193</v>
      </c>
      <c r="G643" s="23">
        <v>49990.0</v>
      </c>
      <c r="H643" s="23">
        <v>17641.0</v>
      </c>
      <c r="I643" s="23">
        <v>10594.0</v>
      </c>
      <c r="J643" s="37"/>
      <c r="K643" s="37"/>
      <c r="L643" s="22">
        <v>10594.0</v>
      </c>
      <c r="M643" s="22">
        <v>11350.0</v>
      </c>
      <c r="N643" s="22">
        <v>12107.0</v>
      </c>
      <c r="O643" s="37"/>
      <c r="P643" s="26">
        <v>0.29</v>
      </c>
      <c r="Q643" s="26">
        <v>0.23</v>
      </c>
      <c r="R643" s="26">
        <v>0.18</v>
      </c>
    </row>
    <row r="644" ht="14.25" customHeight="1">
      <c r="A644" s="18" t="s">
        <v>1179</v>
      </c>
      <c r="B644" s="18" t="s">
        <v>1225</v>
      </c>
      <c r="C644" s="19" t="s">
        <v>1243</v>
      </c>
      <c r="D644" s="29" t="s">
        <v>1268</v>
      </c>
      <c r="E644" s="16" t="s">
        <v>1269</v>
      </c>
      <c r="F644" s="16" t="s">
        <v>193</v>
      </c>
      <c r="G644" s="23">
        <v>34990.0</v>
      </c>
      <c r="H644" s="23">
        <v>12935.0</v>
      </c>
      <c r="I644" s="23">
        <v>7729.0</v>
      </c>
      <c r="J644" s="37"/>
      <c r="K644" s="37"/>
      <c r="L644" s="22">
        <v>7729.0</v>
      </c>
      <c r="M644" s="22">
        <v>8281.0</v>
      </c>
      <c r="N644" s="22">
        <v>8833.0</v>
      </c>
      <c r="O644" s="37"/>
      <c r="P644" s="26">
        <v>0.29</v>
      </c>
      <c r="Q644" s="26">
        <v>0.24</v>
      </c>
      <c r="R644" s="26">
        <v>0.19</v>
      </c>
    </row>
    <row r="645" ht="14.25" customHeight="1">
      <c r="A645" s="18" t="s">
        <v>1179</v>
      </c>
      <c r="B645" s="18" t="s">
        <v>1225</v>
      </c>
      <c r="C645" s="19" t="s">
        <v>1270</v>
      </c>
      <c r="D645" s="20" t="s">
        <v>1271</v>
      </c>
      <c r="E645" s="38">
        <v>1.66086E12</v>
      </c>
      <c r="F645" s="19" t="s">
        <v>20</v>
      </c>
      <c r="G645" s="23">
        <v>14990.0</v>
      </c>
      <c r="H645" s="23">
        <v>5288.0</v>
      </c>
      <c r="I645" s="23">
        <v>3131.0</v>
      </c>
      <c r="J645" s="37"/>
      <c r="K645" s="37"/>
      <c r="L645" s="22">
        <v>3131.0</v>
      </c>
      <c r="M645" s="22">
        <v>3355.0</v>
      </c>
      <c r="N645" s="22">
        <v>3578.0</v>
      </c>
      <c r="O645" s="37"/>
      <c r="P645" s="26">
        <v>0.3</v>
      </c>
      <c r="Q645" s="26">
        <v>0.25</v>
      </c>
      <c r="R645" s="26">
        <v>0.19</v>
      </c>
    </row>
    <row r="646" ht="14.25" customHeight="1">
      <c r="A646" s="18" t="s">
        <v>1179</v>
      </c>
      <c r="B646" s="18" t="s">
        <v>1225</v>
      </c>
      <c r="C646" s="19" t="s">
        <v>1270</v>
      </c>
      <c r="D646" s="20" t="s">
        <v>1272</v>
      </c>
      <c r="E646" s="38">
        <v>1.66086E12</v>
      </c>
      <c r="F646" s="19" t="s">
        <v>20</v>
      </c>
      <c r="G646" s="23">
        <v>14990.0</v>
      </c>
      <c r="H646" s="23">
        <v>5876.0</v>
      </c>
      <c r="I646" s="23">
        <v>3578.0</v>
      </c>
      <c r="J646" s="37"/>
      <c r="K646" s="37"/>
      <c r="L646" s="22">
        <v>3578.0</v>
      </c>
      <c r="M646" s="22">
        <v>3834.0</v>
      </c>
      <c r="N646" s="22">
        <v>4089.0</v>
      </c>
      <c r="O646" s="37"/>
      <c r="P646" s="26">
        <v>0.28</v>
      </c>
      <c r="Q646" s="26">
        <v>0.22</v>
      </c>
      <c r="R646" s="26">
        <v>0.17</v>
      </c>
    </row>
    <row r="647" ht="14.25" customHeight="1">
      <c r="A647" s="18" t="s">
        <v>1179</v>
      </c>
      <c r="B647" s="18" t="s">
        <v>1225</v>
      </c>
      <c r="C647" s="19" t="s">
        <v>1270</v>
      </c>
      <c r="D647" s="20" t="s">
        <v>1273</v>
      </c>
      <c r="E647" s="38" t="s">
        <v>1274</v>
      </c>
      <c r="F647" s="19" t="s">
        <v>20</v>
      </c>
      <c r="G647" s="23">
        <v>14990.0</v>
      </c>
      <c r="H647" s="23">
        <v>5876.0</v>
      </c>
      <c r="I647" s="23">
        <v>3615.0</v>
      </c>
      <c r="J647" s="37"/>
      <c r="K647" s="37"/>
      <c r="L647" s="22">
        <v>3615.0</v>
      </c>
      <c r="M647" s="22">
        <v>3873.0</v>
      </c>
      <c r="N647" s="22">
        <v>4131.0</v>
      </c>
      <c r="O647" s="37"/>
      <c r="P647" s="26">
        <v>0.27</v>
      </c>
      <c r="Q647" s="26">
        <v>0.22</v>
      </c>
      <c r="R647" s="26">
        <v>0.16</v>
      </c>
    </row>
    <row r="648" ht="14.25" customHeight="1">
      <c r="A648" s="18" t="s">
        <v>1179</v>
      </c>
      <c r="B648" s="18" t="s">
        <v>1225</v>
      </c>
      <c r="C648" s="19" t="s">
        <v>1275</v>
      </c>
      <c r="D648" s="20" t="s">
        <v>1276</v>
      </c>
      <c r="E648" s="38" t="s">
        <v>1277</v>
      </c>
      <c r="F648" s="19" t="s">
        <v>20</v>
      </c>
      <c r="G648" s="23">
        <v>89990.0</v>
      </c>
      <c r="H648" s="23">
        <v>21759.0</v>
      </c>
      <c r="I648" s="23">
        <v>20545.0</v>
      </c>
      <c r="J648" s="37"/>
      <c r="K648" s="37"/>
      <c r="L648" s="22">
        <v>20545.0</v>
      </c>
      <c r="M648" s="22">
        <v>22012.0</v>
      </c>
      <c r="N648" s="22">
        <v>23480.0</v>
      </c>
      <c r="O648" s="37"/>
      <c r="P648" s="26">
        <v>-0.12</v>
      </c>
      <c r="Q648" s="26">
        <v>-0.2</v>
      </c>
      <c r="R648" s="26">
        <v>-0.28</v>
      </c>
    </row>
    <row r="649" ht="14.25" customHeight="1">
      <c r="A649" s="18" t="s">
        <v>1179</v>
      </c>
      <c r="B649" s="18" t="s">
        <v>1225</v>
      </c>
      <c r="C649" s="19" t="s">
        <v>1275</v>
      </c>
      <c r="D649" s="20" t="s">
        <v>1278</v>
      </c>
      <c r="E649" s="38" t="s">
        <v>1279</v>
      </c>
      <c r="F649" s="19" t="s">
        <v>20</v>
      </c>
      <c r="G649" s="23">
        <v>39990.0</v>
      </c>
      <c r="H649" s="23">
        <v>11759.0</v>
      </c>
      <c r="I649" s="23">
        <v>11206.0</v>
      </c>
      <c r="J649" s="37"/>
      <c r="K649" s="37"/>
      <c r="L649" s="22">
        <v>11206.0</v>
      </c>
      <c r="M649" s="22">
        <v>12006.0</v>
      </c>
      <c r="N649" s="22">
        <v>12807.0</v>
      </c>
      <c r="O649" s="37"/>
      <c r="P649" s="26">
        <v>-0.13</v>
      </c>
      <c r="Q649" s="26">
        <v>-0.22</v>
      </c>
      <c r="R649" s="26">
        <v>-0.3</v>
      </c>
    </row>
    <row r="650" ht="14.25" customHeight="1">
      <c r="A650" s="18" t="s">
        <v>1179</v>
      </c>
      <c r="B650" s="18" t="s">
        <v>1225</v>
      </c>
      <c r="C650" s="19" t="s">
        <v>1275</v>
      </c>
      <c r="D650" s="20" t="s">
        <v>1280</v>
      </c>
      <c r="E650" s="38" t="s">
        <v>1281</v>
      </c>
      <c r="F650" s="19" t="s">
        <v>20</v>
      </c>
      <c r="G650" s="23">
        <v>69990.0</v>
      </c>
      <c r="H650" s="23">
        <v>17641.0</v>
      </c>
      <c r="I650" s="23">
        <v>16774.0</v>
      </c>
      <c r="J650" s="37"/>
      <c r="K650" s="37"/>
      <c r="L650" s="22">
        <v>16774.0</v>
      </c>
      <c r="M650" s="22">
        <v>17972.0</v>
      </c>
      <c r="N650" s="22">
        <v>19170.0</v>
      </c>
      <c r="O650" s="37"/>
      <c r="P650" s="26">
        <v>-0.13</v>
      </c>
      <c r="Q650" s="26">
        <v>-0.21</v>
      </c>
      <c r="R650" s="26">
        <v>-0.29</v>
      </c>
    </row>
    <row r="651" ht="14.25" customHeight="1">
      <c r="A651" s="18" t="s">
        <v>1179</v>
      </c>
      <c r="B651" s="18" t="s">
        <v>1225</v>
      </c>
      <c r="C651" s="19" t="s">
        <v>1275</v>
      </c>
      <c r="D651" s="20" t="s">
        <v>1282</v>
      </c>
      <c r="E651" s="38">
        <v>1.63596E12</v>
      </c>
      <c r="F651" s="19" t="s">
        <v>179</v>
      </c>
      <c r="G651" s="23">
        <v>21990.0</v>
      </c>
      <c r="H651" s="23">
        <v>8818.0</v>
      </c>
      <c r="I651" s="23">
        <v>6263.0</v>
      </c>
      <c r="J651" s="37"/>
      <c r="K651" s="37"/>
      <c r="L651" s="22">
        <v>6263.0</v>
      </c>
      <c r="M651" s="22">
        <v>6710.0</v>
      </c>
      <c r="N651" s="22">
        <v>7158.0</v>
      </c>
      <c r="O651" s="37"/>
      <c r="P651" s="26">
        <v>0.15</v>
      </c>
      <c r="Q651" s="26">
        <v>0.09</v>
      </c>
      <c r="R651" s="26">
        <v>0.03</v>
      </c>
    </row>
    <row r="652" ht="14.25" customHeight="1">
      <c r="A652" s="18" t="s">
        <v>1179</v>
      </c>
      <c r="B652" s="18" t="s">
        <v>1225</v>
      </c>
      <c r="C652" s="19" t="s">
        <v>1275</v>
      </c>
      <c r="D652" s="20" t="s">
        <v>1283</v>
      </c>
      <c r="E652" s="38">
        <v>1.63596E12</v>
      </c>
      <c r="F652" s="19" t="s">
        <v>179</v>
      </c>
      <c r="G652" s="23">
        <v>29990.0</v>
      </c>
      <c r="H652" s="23">
        <v>12935.0</v>
      </c>
      <c r="I652" s="23">
        <v>8504.0</v>
      </c>
      <c r="J652" s="37"/>
      <c r="K652" s="37"/>
      <c r="L652" s="22">
        <v>8504.0</v>
      </c>
      <c r="M652" s="22">
        <v>9111.0</v>
      </c>
      <c r="N652" s="22">
        <v>9719.0</v>
      </c>
      <c r="O652" s="37"/>
      <c r="P652" s="26">
        <v>0.22</v>
      </c>
      <c r="Q652" s="26">
        <v>0.16</v>
      </c>
      <c r="R652" s="26">
        <v>0.11</v>
      </c>
    </row>
    <row r="653" ht="14.25" customHeight="1">
      <c r="A653" s="18" t="s">
        <v>1179</v>
      </c>
      <c r="B653" s="18" t="s">
        <v>1225</v>
      </c>
      <c r="C653" s="19" t="s">
        <v>1275</v>
      </c>
      <c r="D653" s="20" t="s">
        <v>1284</v>
      </c>
      <c r="E653" s="38" t="s">
        <v>1285</v>
      </c>
      <c r="F653" s="19" t="s">
        <v>20</v>
      </c>
      <c r="G653" s="23">
        <v>24990.0</v>
      </c>
      <c r="H653" s="23">
        <v>7641.0</v>
      </c>
      <c r="I653" s="23">
        <v>6904.0</v>
      </c>
      <c r="J653" s="37"/>
      <c r="K653" s="37"/>
      <c r="L653" s="22">
        <v>6904.0</v>
      </c>
      <c r="M653" s="22">
        <v>7397.0</v>
      </c>
      <c r="N653" s="22">
        <v>7890.0</v>
      </c>
      <c r="O653" s="37"/>
      <c r="P653" s="26">
        <v>-0.08</v>
      </c>
      <c r="Q653" s="26">
        <v>-0.15</v>
      </c>
      <c r="R653" s="26">
        <v>-0.23</v>
      </c>
    </row>
    <row r="654" ht="14.25" customHeight="1">
      <c r="A654" s="18" t="s">
        <v>1179</v>
      </c>
      <c r="B654" s="18" t="s">
        <v>1225</v>
      </c>
      <c r="C654" s="19" t="s">
        <v>1286</v>
      </c>
      <c r="D654" s="20" t="s">
        <v>1287</v>
      </c>
      <c r="E654" s="38">
        <v>6.81423E13</v>
      </c>
      <c r="F654" s="19" t="s">
        <v>134</v>
      </c>
      <c r="G654" s="23">
        <v>24990.0</v>
      </c>
      <c r="H654" s="23">
        <v>5288.0</v>
      </c>
      <c r="I654" s="23">
        <v>4048.0</v>
      </c>
      <c r="J654" s="37"/>
      <c r="K654" s="37"/>
      <c r="L654" s="22">
        <v>4048.0</v>
      </c>
      <c r="M654" s="22">
        <v>4337.0</v>
      </c>
      <c r="N654" s="22">
        <v>4626.0</v>
      </c>
      <c r="O654" s="37"/>
      <c r="P654" s="26">
        <v>0.09</v>
      </c>
      <c r="Q654" s="26">
        <v>0.02</v>
      </c>
      <c r="R654" s="26">
        <v>-0.04</v>
      </c>
    </row>
    <row r="655" ht="14.25" customHeight="1">
      <c r="A655" s="18" t="s">
        <v>1179</v>
      </c>
      <c r="B655" s="18" t="s">
        <v>1225</v>
      </c>
      <c r="C655" s="19" t="s">
        <v>1286</v>
      </c>
      <c r="D655" s="20" t="s">
        <v>1288</v>
      </c>
      <c r="E655" s="38">
        <v>6.81423E13</v>
      </c>
      <c r="F655" s="19" t="s">
        <v>134</v>
      </c>
      <c r="G655" s="23">
        <v>24990.0</v>
      </c>
      <c r="H655" s="23">
        <v>5288.0</v>
      </c>
      <c r="I655" s="23">
        <v>3817.0</v>
      </c>
      <c r="J655" s="37"/>
      <c r="K655" s="37"/>
      <c r="L655" s="22">
        <v>3817.0</v>
      </c>
      <c r="M655" s="22">
        <v>4090.0</v>
      </c>
      <c r="N655" s="22">
        <v>4362.0</v>
      </c>
      <c r="O655" s="37"/>
      <c r="P655" s="26">
        <v>0.14</v>
      </c>
      <c r="Q655" s="26">
        <v>0.08</v>
      </c>
      <c r="R655" s="26">
        <v>0.02</v>
      </c>
    </row>
    <row r="656" ht="14.25" customHeight="1">
      <c r="A656" s="18" t="s">
        <v>1179</v>
      </c>
      <c r="B656" s="18" t="s">
        <v>1225</v>
      </c>
      <c r="C656" s="19" t="s">
        <v>1286</v>
      </c>
      <c r="D656" s="20" t="s">
        <v>1289</v>
      </c>
      <c r="E656" s="38">
        <v>6.81423E13</v>
      </c>
      <c r="F656" s="19" t="s">
        <v>134</v>
      </c>
      <c r="G656" s="23">
        <v>24990.0</v>
      </c>
      <c r="H656" s="23">
        <v>5288.0</v>
      </c>
      <c r="I656" s="23">
        <v>3876.0</v>
      </c>
      <c r="J656" s="37"/>
      <c r="K656" s="37"/>
      <c r="L656" s="22">
        <v>3876.0</v>
      </c>
      <c r="M656" s="22">
        <v>4153.0</v>
      </c>
      <c r="N656" s="22">
        <v>4430.0</v>
      </c>
      <c r="O656" s="37"/>
      <c r="P656" s="26">
        <v>0.13</v>
      </c>
      <c r="Q656" s="26">
        <v>0.07</v>
      </c>
      <c r="R656" s="26">
        <v>0.0</v>
      </c>
    </row>
    <row r="657" ht="14.25" customHeight="1">
      <c r="A657" s="18" t="s">
        <v>1179</v>
      </c>
      <c r="B657" s="18" t="s">
        <v>1225</v>
      </c>
      <c r="C657" s="19" t="s">
        <v>1286</v>
      </c>
      <c r="D657" s="20" t="s">
        <v>1290</v>
      </c>
      <c r="E657" s="38">
        <v>6.68005E13</v>
      </c>
      <c r="F657" s="19" t="s">
        <v>134</v>
      </c>
      <c r="G657" s="23">
        <v>29990.0</v>
      </c>
      <c r="H657" s="23">
        <v>7641.0</v>
      </c>
      <c r="I657" s="23">
        <v>6113.0</v>
      </c>
      <c r="J657" s="37"/>
      <c r="K657" s="37"/>
      <c r="L657" s="22">
        <v>6113.0</v>
      </c>
      <c r="M657" s="22">
        <v>6550.0</v>
      </c>
      <c r="N657" s="22">
        <v>6986.0</v>
      </c>
      <c r="O657" s="37"/>
      <c r="P657" s="26">
        <v>0.05</v>
      </c>
      <c r="Q657" s="26">
        <v>-0.02</v>
      </c>
      <c r="R657" s="26">
        <v>-0.09</v>
      </c>
    </row>
    <row r="658" ht="14.25" customHeight="1">
      <c r="A658" s="18" t="s">
        <v>1179</v>
      </c>
      <c r="B658" s="18" t="s">
        <v>1225</v>
      </c>
      <c r="C658" s="19" t="s">
        <v>1286</v>
      </c>
      <c r="D658" s="20" t="s">
        <v>1291</v>
      </c>
      <c r="E658" s="38">
        <v>6.68005E13</v>
      </c>
      <c r="F658" s="19" t="s">
        <v>134</v>
      </c>
      <c r="G658" s="23">
        <v>29990.0</v>
      </c>
      <c r="H658" s="23">
        <v>7641.0</v>
      </c>
      <c r="I658" s="23">
        <v>6283.0</v>
      </c>
      <c r="J658" s="37"/>
      <c r="K658" s="37"/>
      <c r="L658" s="22">
        <v>6283.0</v>
      </c>
      <c r="M658" s="22">
        <v>6732.0</v>
      </c>
      <c r="N658" s="22">
        <v>7181.0</v>
      </c>
      <c r="O658" s="37"/>
      <c r="P658" s="26">
        <v>0.02</v>
      </c>
      <c r="Q658" s="26">
        <v>-0.05</v>
      </c>
      <c r="R658" s="26">
        <v>-0.12</v>
      </c>
    </row>
    <row r="659" ht="14.25" customHeight="1">
      <c r="A659" s="18" t="s">
        <v>1179</v>
      </c>
      <c r="B659" s="18" t="s">
        <v>1225</v>
      </c>
      <c r="C659" s="19" t="s">
        <v>1286</v>
      </c>
      <c r="D659" s="20" t="s">
        <v>1292</v>
      </c>
      <c r="E659" s="38">
        <v>6.68005E13</v>
      </c>
      <c r="F659" s="19" t="s">
        <v>134</v>
      </c>
      <c r="G659" s="23">
        <v>29990.0</v>
      </c>
      <c r="H659" s="23">
        <v>7641.0</v>
      </c>
      <c r="I659" s="23">
        <v>6067.0</v>
      </c>
      <c r="J659" s="37"/>
      <c r="K659" s="37"/>
      <c r="L659" s="22">
        <v>6067.0</v>
      </c>
      <c r="M659" s="22">
        <v>6500.0</v>
      </c>
      <c r="N659" s="22">
        <v>6934.0</v>
      </c>
      <c r="O659" s="37"/>
      <c r="P659" s="26">
        <v>0.06</v>
      </c>
      <c r="Q659" s="26">
        <v>-0.01</v>
      </c>
      <c r="R659" s="26">
        <v>-0.08</v>
      </c>
    </row>
    <row r="660" ht="14.25" customHeight="1">
      <c r="A660" s="18" t="s">
        <v>1179</v>
      </c>
      <c r="B660" s="18" t="s">
        <v>1225</v>
      </c>
      <c r="C660" s="19" t="s">
        <v>1293</v>
      </c>
      <c r="D660" s="20" t="s">
        <v>1294</v>
      </c>
      <c r="E660" s="38">
        <v>1.66086E12</v>
      </c>
      <c r="F660" s="19" t="s">
        <v>20</v>
      </c>
      <c r="G660" s="23">
        <v>14990.0</v>
      </c>
      <c r="H660" s="23">
        <v>5876.0</v>
      </c>
      <c r="I660" s="23">
        <v>2071.0</v>
      </c>
      <c r="J660" s="37"/>
      <c r="K660" s="37"/>
      <c r="L660" s="22">
        <v>2071.0</v>
      </c>
      <c r="M660" s="22">
        <v>2219.0</v>
      </c>
      <c r="N660" s="22">
        <v>2367.0</v>
      </c>
      <c r="O660" s="37"/>
      <c r="P660" s="26">
        <v>0.58</v>
      </c>
      <c r="Q660" s="26">
        <v>0.55</v>
      </c>
      <c r="R660" s="26">
        <v>0.52</v>
      </c>
    </row>
    <row r="661" ht="14.25" customHeight="1">
      <c r="A661" s="18" t="s">
        <v>1179</v>
      </c>
      <c r="B661" s="18" t="s">
        <v>1225</v>
      </c>
      <c r="C661" s="19" t="s">
        <v>1293</v>
      </c>
      <c r="D661" s="20" t="s">
        <v>1295</v>
      </c>
      <c r="E661" s="38">
        <v>1.63949E12</v>
      </c>
      <c r="F661" s="19" t="s">
        <v>20</v>
      </c>
      <c r="G661" s="23">
        <v>9990.0</v>
      </c>
      <c r="H661" s="23">
        <v>5876.0</v>
      </c>
      <c r="I661" s="23">
        <v>2846.0</v>
      </c>
      <c r="J661" s="37"/>
      <c r="K661" s="37"/>
      <c r="L661" s="22">
        <v>2846.0</v>
      </c>
      <c r="M661" s="22">
        <v>3049.0</v>
      </c>
      <c r="N661" s="22">
        <v>3253.0</v>
      </c>
      <c r="O661" s="37"/>
      <c r="P661" s="26">
        <v>0.42</v>
      </c>
      <c r="Q661" s="26">
        <v>0.38</v>
      </c>
      <c r="R661" s="26">
        <v>0.34</v>
      </c>
    </row>
    <row r="662" ht="14.25" customHeight="1">
      <c r="A662" s="18" t="s">
        <v>1179</v>
      </c>
      <c r="B662" s="18" t="s">
        <v>1225</v>
      </c>
      <c r="C662" s="19" t="s">
        <v>1293</v>
      </c>
      <c r="D662" s="20" t="s">
        <v>1296</v>
      </c>
      <c r="E662" s="38">
        <v>1.62973E12</v>
      </c>
      <c r="F662" s="19" t="s">
        <v>179</v>
      </c>
      <c r="G662" s="23">
        <v>29990.0</v>
      </c>
      <c r="H662" s="23">
        <v>11759.0</v>
      </c>
      <c r="I662" s="23">
        <v>5182.0</v>
      </c>
      <c r="J662" s="37"/>
      <c r="K662" s="37"/>
      <c r="L662" s="22">
        <v>5182.0</v>
      </c>
      <c r="M662" s="22">
        <v>5552.0</v>
      </c>
      <c r="N662" s="22">
        <v>5922.0</v>
      </c>
      <c r="O662" s="37"/>
      <c r="P662" s="26">
        <v>0.48</v>
      </c>
      <c r="Q662" s="26">
        <v>0.44</v>
      </c>
      <c r="R662" s="26">
        <v>0.4</v>
      </c>
    </row>
    <row r="663" ht="14.25" customHeight="1">
      <c r="A663" s="18" t="s">
        <v>1179</v>
      </c>
      <c r="B663" s="18" t="s">
        <v>1225</v>
      </c>
      <c r="C663" s="19" t="s">
        <v>1293</v>
      </c>
      <c r="D663" s="20" t="s">
        <v>1297</v>
      </c>
      <c r="E663" s="38">
        <v>1.62973E12</v>
      </c>
      <c r="F663" s="19" t="s">
        <v>179</v>
      </c>
      <c r="G663" s="23">
        <v>29990.0</v>
      </c>
      <c r="H663" s="23">
        <v>11759.0</v>
      </c>
      <c r="I663" s="23">
        <v>5109.0</v>
      </c>
      <c r="J663" s="37"/>
      <c r="K663" s="37"/>
      <c r="L663" s="22">
        <v>5109.0</v>
      </c>
      <c r="M663" s="22">
        <v>5474.0</v>
      </c>
      <c r="N663" s="22">
        <v>5839.0</v>
      </c>
      <c r="O663" s="37"/>
      <c r="P663" s="26">
        <v>0.48</v>
      </c>
      <c r="Q663" s="26">
        <v>0.45</v>
      </c>
      <c r="R663" s="26">
        <v>0.41</v>
      </c>
    </row>
    <row r="664" ht="14.25" customHeight="1">
      <c r="A664" s="18" t="s">
        <v>1179</v>
      </c>
      <c r="B664" s="18" t="s">
        <v>1225</v>
      </c>
      <c r="C664" s="19" t="s">
        <v>1293</v>
      </c>
      <c r="D664" s="20" t="s">
        <v>1298</v>
      </c>
      <c r="E664" s="38">
        <v>1.66086E12</v>
      </c>
      <c r="F664" s="19" t="s">
        <v>179</v>
      </c>
      <c r="G664" s="23">
        <v>12990.0</v>
      </c>
      <c r="H664" s="23">
        <v>5876.0</v>
      </c>
      <c r="I664" s="23">
        <v>3442.0</v>
      </c>
      <c r="J664" s="37"/>
      <c r="K664" s="37"/>
      <c r="L664" s="22">
        <v>3442.0</v>
      </c>
      <c r="M664" s="22">
        <v>3688.0</v>
      </c>
      <c r="N664" s="22">
        <v>3934.0</v>
      </c>
      <c r="O664" s="37"/>
      <c r="P664" s="26">
        <v>0.3</v>
      </c>
      <c r="Q664" s="26">
        <v>0.25</v>
      </c>
      <c r="R664" s="26">
        <v>0.2</v>
      </c>
    </row>
    <row r="665" ht="14.25" customHeight="1">
      <c r="A665" s="18" t="s">
        <v>1179</v>
      </c>
      <c r="B665" s="18" t="s">
        <v>1225</v>
      </c>
      <c r="C665" s="19" t="s">
        <v>1293</v>
      </c>
      <c r="D665" s="20" t="s">
        <v>1299</v>
      </c>
      <c r="E665" s="19" t="s">
        <v>1300</v>
      </c>
      <c r="F665" s="16" t="s">
        <v>20</v>
      </c>
      <c r="G665" s="23">
        <v>29990.0</v>
      </c>
      <c r="H665" s="23">
        <v>14700.0</v>
      </c>
      <c r="I665" s="23">
        <v>7263.0</v>
      </c>
      <c r="J665" s="37"/>
      <c r="K665" s="37"/>
      <c r="L665" s="22">
        <v>7263.0</v>
      </c>
      <c r="M665" s="22">
        <v>7782.0</v>
      </c>
      <c r="N665" s="22">
        <v>8301.0</v>
      </c>
      <c r="O665" s="37"/>
      <c r="P665" s="26">
        <v>0.41</v>
      </c>
      <c r="Q665" s="26">
        <v>0.37</v>
      </c>
      <c r="R665" s="26">
        <v>0.33</v>
      </c>
    </row>
    <row r="666" ht="14.25" customHeight="1">
      <c r="A666" s="18" t="s">
        <v>1179</v>
      </c>
      <c r="B666" s="18" t="s">
        <v>1301</v>
      </c>
      <c r="C666" s="19" t="s">
        <v>1302</v>
      </c>
      <c r="D666" s="20" t="s">
        <v>1303</v>
      </c>
      <c r="E666" s="38">
        <v>1.63037E12</v>
      </c>
      <c r="F666" s="19" t="s">
        <v>179</v>
      </c>
      <c r="G666" s="23">
        <v>19990.0</v>
      </c>
      <c r="H666" s="23">
        <v>6465.0</v>
      </c>
      <c r="I666" s="23">
        <v>3090.0</v>
      </c>
      <c r="J666" s="37"/>
      <c r="K666" s="37"/>
      <c r="L666" s="22">
        <v>3090.0</v>
      </c>
      <c r="M666" s="22">
        <v>3311.0</v>
      </c>
      <c r="N666" s="22">
        <v>3531.0</v>
      </c>
      <c r="O666" s="37"/>
      <c r="P666" s="26">
        <v>0.43</v>
      </c>
      <c r="Q666" s="26">
        <v>0.39</v>
      </c>
      <c r="R666" s="26">
        <v>0.35</v>
      </c>
    </row>
    <row r="667" ht="14.25" customHeight="1">
      <c r="A667" s="18" t="s">
        <v>1179</v>
      </c>
      <c r="B667" s="18" t="s">
        <v>1301</v>
      </c>
      <c r="C667" s="19" t="s">
        <v>1302</v>
      </c>
      <c r="D667" s="20" t="s">
        <v>1304</v>
      </c>
      <c r="E667" s="38">
        <v>1.62973E12</v>
      </c>
      <c r="F667" s="19" t="s">
        <v>179</v>
      </c>
      <c r="G667" s="23">
        <v>19990.0</v>
      </c>
      <c r="H667" s="23">
        <v>9994.0</v>
      </c>
      <c r="I667" s="23">
        <v>6730.0</v>
      </c>
      <c r="J667" s="37"/>
      <c r="K667" s="37"/>
      <c r="L667" s="22">
        <v>6730.0</v>
      </c>
      <c r="M667" s="22">
        <v>7211.0</v>
      </c>
      <c r="N667" s="22">
        <v>7691.0</v>
      </c>
      <c r="O667" s="37"/>
      <c r="P667" s="26">
        <v>0.2</v>
      </c>
      <c r="Q667" s="26">
        <v>0.14</v>
      </c>
      <c r="R667" s="26">
        <v>0.08</v>
      </c>
    </row>
    <row r="668" ht="14.25" customHeight="1">
      <c r="A668" s="18" t="s">
        <v>1179</v>
      </c>
      <c r="B668" s="18" t="s">
        <v>1301</v>
      </c>
      <c r="C668" s="19" t="s">
        <v>1302</v>
      </c>
      <c r="D668" s="20" t="s">
        <v>1305</v>
      </c>
      <c r="E668" s="38">
        <v>1.65283E12</v>
      </c>
      <c r="F668" s="19" t="s">
        <v>179</v>
      </c>
      <c r="G668" s="23">
        <v>29990.0</v>
      </c>
      <c r="H668" s="23">
        <v>13524.0</v>
      </c>
      <c r="I668" s="23">
        <v>5223.0</v>
      </c>
      <c r="J668" s="37"/>
      <c r="K668" s="37"/>
      <c r="L668" s="22">
        <v>5223.0</v>
      </c>
      <c r="M668" s="22">
        <v>5596.0</v>
      </c>
      <c r="N668" s="22">
        <v>5969.0</v>
      </c>
      <c r="O668" s="37"/>
      <c r="P668" s="26">
        <v>0.54</v>
      </c>
      <c r="Q668" s="26">
        <v>0.51</v>
      </c>
      <c r="R668" s="26">
        <v>0.47</v>
      </c>
    </row>
    <row r="669" ht="14.25" customHeight="1">
      <c r="A669" s="18" t="s">
        <v>1179</v>
      </c>
      <c r="B669" s="18" t="s">
        <v>1301</v>
      </c>
      <c r="C669" s="19" t="s">
        <v>1302</v>
      </c>
      <c r="D669" s="20" t="s">
        <v>1306</v>
      </c>
      <c r="E669" s="38" t="s">
        <v>1307</v>
      </c>
      <c r="F669" s="19" t="s">
        <v>179</v>
      </c>
      <c r="G669" s="23">
        <v>21990.0</v>
      </c>
      <c r="H669" s="23">
        <v>8818.0</v>
      </c>
      <c r="I669" s="23">
        <v>4861.0</v>
      </c>
      <c r="J669" s="37"/>
      <c r="K669" s="37"/>
      <c r="L669" s="22">
        <v>4861.0</v>
      </c>
      <c r="M669" s="22">
        <v>5208.0</v>
      </c>
      <c r="N669" s="22">
        <v>5555.0</v>
      </c>
      <c r="O669" s="37"/>
      <c r="P669" s="26">
        <v>0.34</v>
      </c>
      <c r="Q669" s="26">
        <v>0.3</v>
      </c>
      <c r="R669" s="26">
        <v>0.25</v>
      </c>
    </row>
    <row r="670" ht="14.25" customHeight="1">
      <c r="A670" s="18" t="s">
        <v>1179</v>
      </c>
      <c r="B670" s="18" t="s">
        <v>1301</v>
      </c>
      <c r="C670" s="19" t="s">
        <v>1308</v>
      </c>
      <c r="D670" s="20" t="s">
        <v>1309</v>
      </c>
      <c r="E670" s="38">
        <v>1.65421E12</v>
      </c>
      <c r="F670" s="19" t="s">
        <v>179</v>
      </c>
      <c r="G670" s="23">
        <v>9990.0</v>
      </c>
      <c r="H670" s="23">
        <v>3524.0</v>
      </c>
      <c r="I670" s="23">
        <v>1491.0</v>
      </c>
      <c r="J670" s="37"/>
      <c r="K670" s="37"/>
      <c r="L670" s="22">
        <v>1491.0</v>
      </c>
      <c r="M670" s="22">
        <v>1597.0</v>
      </c>
      <c r="N670" s="22">
        <v>1704.0</v>
      </c>
      <c r="O670" s="37"/>
      <c r="P670" s="26">
        <v>0.5</v>
      </c>
      <c r="Q670" s="26">
        <v>0.46</v>
      </c>
      <c r="R670" s="26">
        <v>0.42</v>
      </c>
    </row>
    <row r="671" ht="14.25" customHeight="1">
      <c r="A671" s="18" t="s">
        <v>1179</v>
      </c>
      <c r="B671" s="18" t="s">
        <v>1301</v>
      </c>
      <c r="C671" s="19" t="s">
        <v>1308</v>
      </c>
      <c r="D671" s="20" t="s">
        <v>1310</v>
      </c>
      <c r="E671" s="38">
        <v>1.65421E12</v>
      </c>
      <c r="F671" s="19" t="s">
        <v>179</v>
      </c>
      <c r="G671" s="23">
        <v>8990.0</v>
      </c>
      <c r="H671" s="23">
        <v>4112.0</v>
      </c>
      <c r="I671" s="23">
        <v>1900.0</v>
      </c>
      <c r="J671" s="37"/>
      <c r="K671" s="37"/>
      <c r="L671" s="22">
        <v>1900.0</v>
      </c>
      <c r="M671" s="22">
        <v>2036.0</v>
      </c>
      <c r="N671" s="22">
        <v>2171.0</v>
      </c>
      <c r="O671" s="37"/>
      <c r="P671" s="26">
        <v>0.45</v>
      </c>
      <c r="Q671" s="26">
        <v>0.41</v>
      </c>
      <c r="R671" s="26">
        <v>0.37</v>
      </c>
    </row>
    <row r="672" ht="14.25" customHeight="1">
      <c r="A672" s="18" t="s">
        <v>1179</v>
      </c>
      <c r="B672" s="18" t="s">
        <v>1301</v>
      </c>
      <c r="C672" s="19" t="s">
        <v>1308</v>
      </c>
      <c r="D672" s="20" t="s">
        <v>1311</v>
      </c>
      <c r="E672" s="38">
        <v>1.65421E12</v>
      </c>
      <c r="F672" s="19" t="s">
        <v>179</v>
      </c>
      <c r="G672" s="23">
        <v>8990.0</v>
      </c>
      <c r="H672" s="23">
        <v>4112.0</v>
      </c>
      <c r="I672" s="23">
        <v>1896.0</v>
      </c>
      <c r="J672" s="37"/>
      <c r="K672" s="37"/>
      <c r="L672" s="22">
        <v>1896.0</v>
      </c>
      <c r="M672" s="22">
        <v>2031.0</v>
      </c>
      <c r="N672" s="22">
        <v>2167.0</v>
      </c>
      <c r="O672" s="37"/>
      <c r="P672" s="26">
        <v>0.45</v>
      </c>
      <c r="Q672" s="26">
        <v>0.41</v>
      </c>
      <c r="R672" s="26">
        <v>0.37</v>
      </c>
    </row>
    <row r="673" ht="14.25" customHeight="1">
      <c r="A673" s="18" t="s">
        <v>1179</v>
      </c>
      <c r="B673" s="18" t="s">
        <v>1301</v>
      </c>
      <c r="C673" s="19" t="s">
        <v>735</v>
      </c>
      <c r="D673" s="20" t="s">
        <v>1312</v>
      </c>
      <c r="E673" s="38">
        <v>1.66086E12</v>
      </c>
      <c r="F673" s="19" t="s">
        <v>134</v>
      </c>
      <c r="G673" s="23">
        <v>29990.0</v>
      </c>
      <c r="H673" s="23">
        <v>14700.0</v>
      </c>
      <c r="I673" s="23">
        <v>9058.0</v>
      </c>
      <c r="J673" s="37"/>
      <c r="K673" s="37"/>
      <c r="L673" s="22">
        <v>9058.0</v>
      </c>
      <c r="M673" s="22">
        <v>9705.0</v>
      </c>
      <c r="N673" s="22">
        <v>10352.0</v>
      </c>
      <c r="O673" s="37"/>
      <c r="P673" s="26">
        <v>0.27</v>
      </c>
      <c r="Q673" s="26">
        <v>0.21</v>
      </c>
      <c r="R673" s="26">
        <v>0.16</v>
      </c>
    </row>
    <row r="674" ht="14.25" customHeight="1">
      <c r="A674" s="18" t="s">
        <v>1179</v>
      </c>
      <c r="B674" s="18" t="s">
        <v>1301</v>
      </c>
      <c r="C674" s="19" t="s">
        <v>735</v>
      </c>
      <c r="D674" s="20" t="s">
        <v>1313</v>
      </c>
      <c r="E674" s="38">
        <v>1.66086E12</v>
      </c>
      <c r="F674" s="19" t="s">
        <v>134</v>
      </c>
      <c r="G674" s="23">
        <v>29990.0</v>
      </c>
      <c r="H674" s="23">
        <v>14700.0</v>
      </c>
      <c r="I674" s="23">
        <v>9200.0</v>
      </c>
      <c r="J674" s="37"/>
      <c r="K674" s="37"/>
      <c r="L674" s="22">
        <v>9200.0</v>
      </c>
      <c r="M674" s="22">
        <v>9857.0</v>
      </c>
      <c r="N674" s="22">
        <v>10514.0</v>
      </c>
      <c r="O674" s="37"/>
      <c r="P674" s="26">
        <v>0.26</v>
      </c>
      <c r="Q674" s="26">
        <v>0.2</v>
      </c>
      <c r="R674" s="26">
        <v>0.15</v>
      </c>
    </row>
    <row r="675" ht="14.25" customHeight="1">
      <c r="A675" s="18" t="s">
        <v>1179</v>
      </c>
      <c r="B675" s="18" t="s">
        <v>1301</v>
      </c>
      <c r="C675" s="19" t="s">
        <v>735</v>
      </c>
      <c r="D675" s="20" t="s">
        <v>1314</v>
      </c>
      <c r="E675" s="38">
        <v>6.79514E13</v>
      </c>
      <c r="F675" s="19" t="s">
        <v>20</v>
      </c>
      <c r="G675" s="23">
        <v>24990.0</v>
      </c>
      <c r="H675" s="23">
        <v>6465.0</v>
      </c>
      <c r="I675" s="23">
        <v>3731.0</v>
      </c>
      <c r="J675" s="37"/>
      <c r="K675" s="37"/>
      <c r="L675" s="22">
        <v>3731.0</v>
      </c>
      <c r="M675" s="22">
        <v>3997.0</v>
      </c>
      <c r="N675" s="22">
        <v>4264.0</v>
      </c>
      <c r="O675" s="37"/>
      <c r="P675" s="26">
        <v>0.31</v>
      </c>
      <c r="Q675" s="26">
        <v>0.26</v>
      </c>
      <c r="R675" s="26">
        <v>0.22</v>
      </c>
    </row>
    <row r="676" ht="14.25" customHeight="1">
      <c r="A676" s="18" t="s">
        <v>1179</v>
      </c>
      <c r="B676" s="18" t="s">
        <v>1301</v>
      </c>
      <c r="C676" s="19" t="s">
        <v>735</v>
      </c>
      <c r="D676" s="20" t="s">
        <v>1315</v>
      </c>
      <c r="E676" s="38">
        <v>6.79514E13</v>
      </c>
      <c r="F676" s="19" t="s">
        <v>20</v>
      </c>
      <c r="G676" s="23">
        <v>24990.0</v>
      </c>
      <c r="H676" s="23">
        <v>6465.0</v>
      </c>
      <c r="I676" s="23">
        <v>3798.0</v>
      </c>
      <c r="J676" s="37"/>
      <c r="K676" s="37"/>
      <c r="L676" s="22">
        <v>3798.0</v>
      </c>
      <c r="M676" s="22">
        <v>4069.0</v>
      </c>
      <c r="N676" s="22">
        <v>4341.0</v>
      </c>
      <c r="O676" s="37"/>
      <c r="P676" s="26">
        <v>0.3</v>
      </c>
      <c r="Q676" s="26">
        <v>0.25</v>
      </c>
      <c r="R676" s="26">
        <v>0.2</v>
      </c>
    </row>
    <row r="677" ht="14.25" customHeight="1">
      <c r="A677" s="18" t="s">
        <v>1179</v>
      </c>
      <c r="B677" s="18" t="s">
        <v>1301</v>
      </c>
      <c r="C677" s="19" t="s">
        <v>735</v>
      </c>
      <c r="D677" s="20" t="s">
        <v>1316</v>
      </c>
      <c r="E677" s="38">
        <v>6.79514E13</v>
      </c>
      <c r="F677" s="19" t="s">
        <v>20</v>
      </c>
      <c r="G677" s="23">
        <v>24990.0</v>
      </c>
      <c r="H677" s="23">
        <v>6465.0</v>
      </c>
      <c r="I677" s="23">
        <v>3995.0</v>
      </c>
      <c r="J677" s="37"/>
      <c r="K677" s="37"/>
      <c r="L677" s="22">
        <v>3995.0</v>
      </c>
      <c r="M677" s="22">
        <v>4280.0</v>
      </c>
      <c r="N677" s="22">
        <v>4566.0</v>
      </c>
      <c r="O677" s="37"/>
      <c r="P677" s="26">
        <v>0.26</v>
      </c>
      <c r="Q677" s="26">
        <v>0.21</v>
      </c>
      <c r="R677" s="26">
        <v>0.16</v>
      </c>
    </row>
    <row r="678" ht="14.25" customHeight="1">
      <c r="A678" s="18" t="s">
        <v>1179</v>
      </c>
      <c r="B678" s="18" t="s">
        <v>1301</v>
      </c>
      <c r="C678" s="19" t="s">
        <v>735</v>
      </c>
      <c r="D678" s="20" t="s">
        <v>1317</v>
      </c>
      <c r="E678" s="19" t="s">
        <v>1318</v>
      </c>
      <c r="F678" s="19" t="s">
        <v>20</v>
      </c>
      <c r="G678" s="23">
        <v>21990.0</v>
      </c>
      <c r="H678" s="23">
        <v>9994.0</v>
      </c>
      <c r="I678" s="23">
        <v>3234.0</v>
      </c>
      <c r="J678" s="37"/>
      <c r="K678" s="37"/>
      <c r="L678" s="22">
        <v>3234.0</v>
      </c>
      <c r="M678" s="22">
        <v>3465.0</v>
      </c>
      <c r="N678" s="22">
        <v>3696.0</v>
      </c>
      <c r="O678" s="37"/>
      <c r="P678" s="26">
        <v>0.61</v>
      </c>
      <c r="Q678" s="26">
        <v>0.59</v>
      </c>
      <c r="R678" s="26">
        <v>0.56</v>
      </c>
    </row>
    <row r="679" ht="14.25" customHeight="1">
      <c r="A679" s="18" t="s">
        <v>1179</v>
      </c>
      <c r="B679" s="18" t="s">
        <v>1301</v>
      </c>
      <c r="C679" s="19" t="s">
        <v>735</v>
      </c>
      <c r="D679" s="20" t="s">
        <v>1319</v>
      </c>
      <c r="E679" s="19" t="s">
        <v>1320</v>
      </c>
      <c r="F679" s="19" t="s">
        <v>20</v>
      </c>
      <c r="G679" s="23">
        <v>21990.0</v>
      </c>
      <c r="H679" s="23">
        <v>9994.0</v>
      </c>
      <c r="I679" s="23">
        <v>3234.0</v>
      </c>
      <c r="J679" s="37"/>
      <c r="K679" s="37"/>
      <c r="L679" s="22">
        <v>3234.0</v>
      </c>
      <c r="M679" s="22">
        <v>3465.0</v>
      </c>
      <c r="N679" s="22">
        <v>3696.0</v>
      </c>
      <c r="O679" s="37"/>
      <c r="P679" s="26">
        <v>0.61</v>
      </c>
      <c r="Q679" s="26">
        <v>0.59</v>
      </c>
      <c r="R679" s="26">
        <v>0.56</v>
      </c>
    </row>
    <row r="680" ht="14.25" customHeight="1">
      <c r="A680" s="18" t="s">
        <v>1179</v>
      </c>
      <c r="B680" s="18" t="s">
        <v>1301</v>
      </c>
      <c r="C680" s="19" t="s">
        <v>735</v>
      </c>
      <c r="D680" s="20" t="s">
        <v>1321</v>
      </c>
      <c r="E680" s="19" t="s">
        <v>1322</v>
      </c>
      <c r="F680" s="19" t="s">
        <v>20</v>
      </c>
      <c r="G680" s="23">
        <v>21990.0</v>
      </c>
      <c r="H680" s="23">
        <v>9994.0</v>
      </c>
      <c r="I680" s="23">
        <v>3234.0</v>
      </c>
      <c r="J680" s="37"/>
      <c r="K680" s="37"/>
      <c r="L680" s="22">
        <v>3234.0</v>
      </c>
      <c r="M680" s="22">
        <v>3465.0</v>
      </c>
      <c r="N680" s="22">
        <v>3696.0</v>
      </c>
      <c r="O680" s="37"/>
      <c r="P680" s="26">
        <v>0.61</v>
      </c>
      <c r="Q680" s="26">
        <v>0.59</v>
      </c>
      <c r="R680" s="26">
        <v>0.56</v>
      </c>
    </row>
    <row r="681" ht="14.25" customHeight="1">
      <c r="A681" s="18" t="s">
        <v>1179</v>
      </c>
      <c r="B681" s="18" t="s">
        <v>1323</v>
      </c>
      <c r="C681" s="19" t="s">
        <v>1324</v>
      </c>
      <c r="D681" s="20" t="s">
        <v>1325</v>
      </c>
      <c r="E681" s="19" t="s">
        <v>1326</v>
      </c>
      <c r="F681" s="19" t="s">
        <v>134</v>
      </c>
      <c r="G681" s="23">
        <v>16990.0</v>
      </c>
      <c r="H681" s="23">
        <v>7641.0</v>
      </c>
      <c r="I681" s="23">
        <v>4290.0</v>
      </c>
      <c r="J681" s="37"/>
      <c r="K681" s="37"/>
      <c r="L681" s="22">
        <v>4290.0</v>
      </c>
      <c r="M681" s="22">
        <v>4596.0</v>
      </c>
      <c r="N681" s="22">
        <v>4903.0</v>
      </c>
      <c r="O681" s="37"/>
      <c r="P681" s="26">
        <v>0.33</v>
      </c>
      <c r="Q681" s="26">
        <v>0.28</v>
      </c>
      <c r="R681" s="26">
        <v>0.24</v>
      </c>
    </row>
    <row r="682" ht="14.25" customHeight="1">
      <c r="A682" s="18" t="s">
        <v>1179</v>
      </c>
      <c r="B682" s="18" t="s">
        <v>1323</v>
      </c>
      <c r="C682" s="19" t="s">
        <v>1324</v>
      </c>
      <c r="D682" s="20" t="s">
        <v>1327</v>
      </c>
      <c r="E682" s="38" t="s">
        <v>1328</v>
      </c>
      <c r="F682" s="19" t="s">
        <v>134</v>
      </c>
      <c r="G682" s="23">
        <v>16990.0</v>
      </c>
      <c r="H682" s="23">
        <v>7641.0</v>
      </c>
      <c r="I682" s="23">
        <v>4305.0</v>
      </c>
      <c r="J682" s="37"/>
      <c r="K682" s="37"/>
      <c r="L682" s="22">
        <v>4305.0</v>
      </c>
      <c r="M682" s="22">
        <v>4612.0</v>
      </c>
      <c r="N682" s="22">
        <v>4920.0</v>
      </c>
      <c r="O682" s="37"/>
      <c r="P682" s="26">
        <v>0.33</v>
      </c>
      <c r="Q682" s="26">
        <v>0.28</v>
      </c>
      <c r="R682" s="26">
        <v>0.23</v>
      </c>
    </row>
    <row r="683" ht="14.25" customHeight="1">
      <c r="A683" s="18" t="s">
        <v>1179</v>
      </c>
      <c r="B683" s="18" t="s">
        <v>1323</v>
      </c>
      <c r="C683" s="19" t="s">
        <v>1324</v>
      </c>
      <c r="D683" s="20" t="s">
        <v>1329</v>
      </c>
      <c r="E683" s="38" t="s">
        <v>1330</v>
      </c>
      <c r="F683" s="19" t="s">
        <v>134</v>
      </c>
      <c r="G683" s="23">
        <v>24990.0</v>
      </c>
      <c r="H683" s="23">
        <v>11759.0</v>
      </c>
      <c r="I683" s="23">
        <v>6874.0</v>
      </c>
      <c r="J683" s="37"/>
      <c r="K683" s="37"/>
      <c r="L683" s="22">
        <v>6874.0</v>
      </c>
      <c r="M683" s="22">
        <v>7365.0</v>
      </c>
      <c r="N683" s="22">
        <v>7856.0</v>
      </c>
      <c r="O683" s="37"/>
      <c r="P683" s="26">
        <v>0.3</v>
      </c>
      <c r="Q683" s="26">
        <v>0.25</v>
      </c>
      <c r="R683" s="26">
        <v>0.2</v>
      </c>
    </row>
    <row r="684" ht="14.25" customHeight="1">
      <c r="A684" s="18" t="s">
        <v>1179</v>
      </c>
      <c r="B684" s="18" t="s">
        <v>1323</v>
      </c>
      <c r="C684" s="19" t="s">
        <v>1324</v>
      </c>
      <c r="D684" s="20" t="s">
        <v>1331</v>
      </c>
      <c r="E684" s="38" t="s">
        <v>1332</v>
      </c>
      <c r="F684" s="19" t="s">
        <v>134</v>
      </c>
      <c r="G684" s="23">
        <v>24990.0</v>
      </c>
      <c r="H684" s="23">
        <v>11759.0</v>
      </c>
      <c r="I684" s="23">
        <v>6874.0</v>
      </c>
      <c r="J684" s="37"/>
      <c r="K684" s="37"/>
      <c r="L684" s="22">
        <v>6874.0</v>
      </c>
      <c r="M684" s="22">
        <v>7365.0</v>
      </c>
      <c r="N684" s="22">
        <v>7856.0</v>
      </c>
      <c r="O684" s="37"/>
      <c r="P684" s="26">
        <v>0.3</v>
      </c>
      <c r="Q684" s="26">
        <v>0.25</v>
      </c>
      <c r="R684" s="26">
        <v>0.2</v>
      </c>
    </row>
    <row r="685" ht="14.25" customHeight="1">
      <c r="A685" s="18" t="s">
        <v>1179</v>
      </c>
      <c r="B685" s="18" t="s">
        <v>1323</v>
      </c>
      <c r="C685" s="19" t="s">
        <v>1333</v>
      </c>
      <c r="D685" s="20" t="s">
        <v>1334</v>
      </c>
      <c r="E685" s="19" t="s">
        <v>1335</v>
      </c>
      <c r="F685" s="19" t="s">
        <v>20</v>
      </c>
      <c r="G685" s="23">
        <v>99990.0</v>
      </c>
      <c r="H685" s="23">
        <v>35288.0</v>
      </c>
      <c r="I685" s="23">
        <v>21353.0</v>
      </c>
      <c r="J685" s="37"/>
      <c r="K685" s="37"/>
      <c r="L685" s="22">
        <v>21353.0</v>
      </c>
      <c r="M685" s="22">
        <v>22878.0</v>
      </c>
      <c r="N685" s="22">
        <v>24403.0</v>
      </c>
      <c r="O685" s="37"/>
      <c r="P685" s="26">
        <v>0.28</v>
      </c>
      <c r="Q685" s="26">
        <v>0.23</v>
      </c>
      <c r="R685" s="26">
        <v>0.18</v>
      </c>
    </row>
    <row r="686" ht="14.25" customHeight="1">
      <c r="A686" s="18" t="s">
        <v>1179</v>
      </c>
      <c r="B686" s="18" t="s">
        <v>1323</v>
      </c>
      <c r="C686" s="19" t="s">
        <v>1333</v>
      </c>
      <c r="D686" s="20" t="s">
        <v>1336</v>
      </c>
      <c r="E686" s="38" t="s">
        <v>1337</v>
      </c>
      <c r="F686" s="19" t="s">
        <v>20</v>
      </c>
      <c r="G686" s="23">
        <v>119990.0</v>
      </c>
      <c r="H686" s="23">
        <v>47053.0</v>
      </c>
      <c r="I686" s="23">
        <v>27280.0</v>
      </c>
      <c r="J686" s="37"/>
      <c r="K686" s="37"/>
      <c r="L686" s="22">
        <v>27280.0</v>
      </c>
      <c r="M686" s="22">
        <v>29228.0</v>
      </c>
      <c r="N686" s="22">
        <v>31177.0</v>
      </c>
      <c r="O686" s="37"/>
      <c r="P686" s="26">
        <v>0.31</v>
      </c>
      <c r="Q686" s="26">
        <v>0.26</v>
      </c>
      <c r="R686" s="26">
        <v>0.21</v>
      </c>
    </row>
    <row r="687" ht="14.25" customHeight="1">
      <c r="A687" s="18" t="s">
        <v>1179</v>
      </c>
      <c r="B687" s="18" t="s">
        <v>1323</v>
      </c>
      <c r="C687" s="19" t="s">
        <v>1333</v>
      </c>
      <c r="D687" s="20" t="s">
        <v>1338</v>
      </c>
      <c r="E687" s="38" t="s">
        <v>1339</v>
      </c>
      <c r="F687" s="19" t="s">
        <v>20</v>
      </c>
      <c r="G687" s="23">
        <v>79990.0</v>
      </c>
      <c r="H687" s="23">
        <v>26465.0</v>
      </c>
      <c r="I687" s="23">
        <v>16414.0</v>
      </c>
      <c r="J687" s="37"/>
      <c r="K687" s="37"/>
      <c r="L687" s="22">
        <v>16414.0</v>
      </c>
      <c r="M687" s="22">
        <v>17586.0</v>
      </c>
      <c r="N687" s="22">
        <v>18759.0</v>
      </c>
      <c r="O687" s="37"/>
      <c r="P687" s="26">
        <v>0.26</v>
      </c>
      <c r="Q687" s="26">
        <v>0.21</v>
      </c>
      <c r="R687" s="26">
        <v>0.16</v>
      </c>
    </row>
    <row r="688" ht="14.25" customHeight="1">
      <c r="A688" s="18" t="s">
        <v>1179</v>
      </c>
      <c r="B688" s="18" t="s">
        <v>1323</v>
      </c>
      <c r="C688" s="19" t="s">
        <v>1340</v>
      </c>
      <c r="D688" s="20" t="s">
        <v>1341</v>
      </c>
      <c r="E688" s="38">
        <v>1.66086E12</v>
      </c>
      <c r="F688" s="19" t="s">
        <v>20</v>
      </c>
      <c r="G688" s="23">
        <v>9990.0</v>
      </c>
      <c r="H688" s="23">
        <v>5876.0</v>
      </c>
      <c r="I688" s="23">
        <v>4126.0</v>
      </c>
      <c r="J688" s="37"/>
      <c r="K688" s="37"/>
      <c r="L688" s="22">
        <v>4126.0</v>
      </c>
      <c r="M688" s="22">
        <v>4421.0</v>
      </c>
      <c r="N688" s="22">
        <v>4715.0</v>
      </c>
      <c r="O688" s="37"/>
      <c r="P688" s="26">
        <v>0.16</v>
      </c>
      <c r="Q688" s="26">
        <v>0.1</v>
      </c>
      <c r="R688" s="26">
        <v>0.05</v>
      </c>
    </row>
    <row r="689" ht="14.25" customHeight="1">
      <c r="A689" s="18" t="s">
        <v>1179</v>
      </c>
      <c r="B689" s="18" t="s">
        <v>1323</v>
      </c>
      <c r="C689" s="19" t="s">
        <v>1340</v>
      </c>
      <c r="D689" s="20" t="s">
        <v>1342</v>
      </c>
      <c r="E689" s="38">
        <v>1.66086E12</v>
      </c>
      <c r="F689" s="19" t="s">
        <v>20</v>
      </c>
      <c r="G689" s="23">
        <v>9990.0</v>
      </c>
      <c r="H689" s="23">
        <v>5876.0</v>
      </c>
      <c r="I689" s="23">
        <v>3890.0</v>
      </c>
      <c r="J689" s="37"/>
      <c r="K689" s="37"/>
      <c r="L689" s="22">
        <v>3890.0</v>
      </c>
      <c r="M689" s="22">
        <v>4168.0</v>
      </c>
      <c r="N689" s="22">
        <v>4446.0</v>
      </c>
      <c r="O689" s="37"/>
      <c r="P689" s="26">
        <v>0.21</v>
      </c>
      <c r="Q689" s="26">
        <v>0.16</v>
      </c>
      <c r="R689" s="26">
        <v>0.1</v>
      </c>
    </row>
    <row r="690" ht="14.25" customHeight="1">
      <c r="A690" s="18" t="s">
        <v>1179</v>
      </c>
      <c r="B690" s="18" t="s">
        <v>1323</v>
      </c>
      <c r="C690" s="19" t="s">
        <v>1340</v>
      </c>
      <c r="D690" s="20" t="s">
        <v>1343</v>
      </c>
      <c r="E690" s="38">
        <v>1.66086E12</v>
      </c>
      <c r="F690" s="19" t="s">
        <v>20</v>
      </c>
      <c r="G690" s="23">
        <v>7990.0</v>
      </c>
      <c r="H690" s="23">
        <v>4700.0</v>
      </c>
      <c r="I690" s="23">
        <v>3294.0</v>
      </c>
      <c r="J690" s="37"/>
      <c r="K690" s="37"/>
      <c r="L690" s="22">
        <v>3294.0</v>
      </c>
      <c r="M690" s="22">
        <v>3529.0</v>
      </c>
      <c r="N690" s="22">
        <v>3765.0</v>
      </c>
      <c r="O690" s="37"/>
      <c r="P690" s="26">
        <v>0.17</v>
      </c>
      <c r="Q690" s="26">
        <v>0.11</v>
      </c>
      <c r="R690" s="26">
        <v>0.05</v>
      </c>
    </row>
    <row r="691" ht="14.25" customHeight="1">
      <c r="A691" s="18" t="s">
        <v>1179</v>
      </c>
      <c r="B691" s="18" t="s">
        <v>1323</v>
      </c>
      <c r="C691" s="19" t="s">
        <v>1340</v>
      </c>
      <c r="D691" s="20" t="s">
        <v>1344</v>
      </c>
      <c r="E691" s="38">
        <v>1.66086E12</v>
      </c>
      <c r="F691" s="19" t="s">
        <v>20</v>
      </c>
      <c r="G691" s="23">
        <v>7990.0</v>
      </c>
      <c r="H691" s="23">
        <v>4700.0</v>
      </c>
      <c r="I691" s="23">
        <v>3257.0</v>
      </c>
      <c r="J691" s="37"/>
      <c r="K691" s="37"/>
      <c r="L691" s="22">
        <v>3257.0</v>
      </c>
      <c r="M691" s="22">
        <v>3490.0</v>
      </c>
      <c r="N691" s="22">
        <v>3722.0</v>
      </c>
      <c r="O691" s="37"/>
      <c r="P691" s="26">
        <v>0.18</v>
      </c>
      <c r="Q691" s="26">
        <v>0.12</v>
      </c>
      <c r="R691" s="26">
        <v>0.06</v>
      </c>
    </row>
    <row r="692" ht="14.25" customHeight="1">
      <c r="A692" s="18" t="s">
        <v>1179</v>
      </c>
      <c r="B692" s="18" t="s">
        <v>1323</v>
      </c>
      <c r="C692" s="19" t="s">
        <v>1340</v>
      </c>
      <c r="D692" s="20" t="s">
        <v>1345</v>
      </c>
      <c r="E692" s="38">
        <v>1.66086E12</v>
      </c>
      <c r="F692" s="19" t="s">
        <v>20</v>
      </c>
      <c r="G692" s="23">
        <v>6990.0</v>
      </c>
      <c r="H692" s="23">
        <v>4112.0</v>
      </c>
      <c r="I692" s="23">
        <v>1846.0</v>
      </c>
      <c r="J692" s="37"/>
      <c r="K692" s="37"/>
      <c r="L692" s="22">
        <v>1846.0</v>
      </c>
      <c r="M692" s="22">
        <v>1978.0</v>
      </c>
      <c r="N692" s="22">
        <v>2110.0</v>
      </c>
      <c r="O692" s="37"/>
      <c r="P692" s="26">
        <v>0.47</v>
      </c>
      <c r="Q692" s="26">
        <v>0.43</v>
      </c>
      <c r="R692" s="26">
        <v>0.39</v>
      </c>
    </row>
    <row r="693" ht="14.25" customHeight="1">
      <c r="A693" s="18" t="s">
        <v>1179</v>
      </c>
      <c r="B693" s="18" t="s">
        <v>1323</v>
      </c>
      <c r="C693" s="19" t="s">
        <v>1340</v>
      </c>
      <c r="D693" s="20" t="s">
        <v>1346</v>
      </c>
      <c r="E693" s="38">
        <v>1.66086E12</v>
      </c>
      <c r="F693" s="19" t="s">
        <v>20</v>
      </c>
      <c r="G693" s="23">
        <v>6990.0</v>
      </c>
      <c r="H693" s="23">
        <v>4112.0</v>
      </c>
      <c r="I693" s="23">
        <v>1884.0</v>
      </c>
      <c r="J693" s="37"/>
      <c r="K693" s="37"/>
      <c r="L693" s="22">
        <v>1884.0</v>
      </c>
      <c r="M693" s="22">
        <v>2019.0</v>
      </c>
      <c r="N693" s="22">
        <v>2153.0</v>
      </c>
      <c r="O693" s="37"/>
      <c r="P693" s="26">
        <v>0.45</v>
      </c>
      <c r="Q693" s="26">
        <v>0.42</v>
      </c>
      <c r="R693" s="26">
        <v>0.38</v>
      </c>
    </row>
    <row r="694" ht="14.25" customHeight="1">
      <c r="A694" s="18" t="s">
        <v>1179</v>
      </c>
      <c r="B694" s="18" t="s">
        <v>1323</v>
      </c>
      <c r="C694" s="19" t="s">
        <v>1340</v>
      </c>
      <c r="D694" s="20" t="s">
        <v>1347</v>
      </c>
      <c r="E694" s="38">
        <v>1.6503E12</v>
      </c>
      <c r="F694" s="19" t="s">
        <v>20</v>
      </c>
      <c r="G694" s="23">
        <v>14990.0</v>
      </c>
      <c r="H694" s="23">
        <v>5876.0</v>
      </c>
      <c r="I694" s="23">
        <v>3513.0</v>
      </c>
      <c r="J694" s="37"/>
      <c r="K694" s="37"/>
      <c r="L694" s="22">
        <v>3513.0</v>
      </c>
      <c r="M694" s="22">
        <v>3764.0</v>
      </c>
      <c r="N694" s="22">
        <v>4015.0</v>
      </c>
      <c r="O694" s="37"/>
      <c r="P694" s="26">
        <v>0.29</v>
      </c>
      <c r="Q694" s="26">
        <v>0.24</v>
      </c>
      <c r="R694" s="26">
        <v>0.19</v>
      </c>
    </row>
    <row r="695" ht="14.25" customHeight="1">
      <c r="A695" s="18" t="s">
        <v>1179</v>
      </c>
      <c r="B695" s="18" t="s">
        <v>1323</v>
      </c>
      <c r="C695" s="19" t="s">
        <v>1340</v>
      </c>
      <c r="D695" s="20" t="s">
        <v>1348</v>
      </c>
      <c r="E695" s="38">
        <v>1.6503E12</v>
      </c>
      <c r="F695" s="19" t="s">
        <v>20</v>
      </c>
      <c r="G695" s="23">
        <v>10990.0</v>
      </c>
      <c r="H695" s="23">
        <v>4700.0</v>
      </c>
      <c r="I695" s="23">
        <v>2431.0</v>
      </c>
      <c r="J695" s="37"/>
      <c r="K695" s="37"/>
      <c r="L695" s="22">
        <v>2431.0</v>
      </c>
      <c r="M695" s="22">
        <v>2605.0</v>
      </c>
      <c r="N695" s="22">
        <v>2778.0</v>
      </c>
      <c r="O695" s="37"/>
      <c r="P695" s="26">
        <v>0.38</v>
      </c>
      <c r="Q695" s="26">
        <v>0.34</v>
      </c>
      <c r="R695" s="26">
        <v>0.3</v>
      </c>
    </row>
    <row r="696" ht="14.25" customHeight="1">
      <c r="A696" s="18" t="s">
        <v>1179</v>
      </c>
      <c r="B696" s="18" t="s">
        <v>1323</v>
      </c>
      <c r="C696" s="19" t="s">
        <v>1340</v>
      </c>
      <c r="D696" s="20" t="s">
        <v>1349</v>
      </c>
      <c r="E696" s="38">
        <v>1.65419E12</v>
      </c>
      <c r="F696" s="19" t="s">
        <v>20</v>
      </c>
      <c r="G696" s="23">
        <v>14990.0</v>
      </c>
      <c r="H696" s="23">
        <v>6465.0</v>
      </c>
      <c r="I696" s="23">
        <v>3789.0</v>
      </c>
      <c r="J696" s="37"/>
      <c r="K696" s="37"/>
      <c r="L696" s="22">
        <v>3789.0</v>
      </c>
      <c r="M696" s="22">
        <v>4060.0</v>
      </c>
      <c r="N696" s="22">
        <v>4330.0</v>
      </c>
      <c r="O696" s="37"/>
      <c r="P696" s="26">
        <v>0.3</v>
      </c>
      <c r="Q696" s="26">
        <v>0.25</v>
      </c>
      <c r="R696" s="26">
        <v>0.2</v>
      </c>
    </row>
    <row r="697" ht="14.25" customHeight="1">
      <c r="A697" s="18" t="s">
        <v>1179</v>
      </c>
      <c r="B697" s="18" t="s">
        <v>1323</v>
      </c>
      <c r="C697" s="19" t="s">
        <v>1340</v>
      </c>
      <c r="D697" s="20" t="s">
        <v>1350</v>
      </c>
      <c r="E697" s="38">
        <v>1.65419E12</v>
      </c>
      <c r="F697" s="19" t="s">
        <v>20</v>
      </c>
      <c r="G697" s="23">
        <v>9990.0</v>
      </c>
      <c r="H697" s="23">
        <v>5288.0</v>
      </c>
      <c r="I697" s="23">
        <v>3046.0</v>
      </c>
      <c r="J697" s="37"/>
      <c r="K697" s="37"/>
      <c r="L697" s="22">
        <v>3046.0</v>
      </c>
      <c r="M697" s="22">
        <v>3264.0</v>
      </c>
      <c r="N697" s="22">
        <v>3481.0</v>
      </c>
      <c r="O697" s="37"/>
      <c r="P697" s="26">
        <v>0.31</v>
      </c>
      <c r="Q697" s="26">
        <v>0.27</v>
      </c>
      <c r="R697" s="26">
        <v>0.22</v>
      </c>
    </row>
    <row r="698" ht="14.25" customHeight="1">
      <c r="A698" s="18" t="s">
        <v>1179</v>
      </c>
      <c r="B698" s="18" t="s">
        <v>1323</v>
      </c>
      <c r="C698" s="19" t="s">
        <v>1340</v>
      </c>
      <c r="D698" s="20" t="s">
        <v>1351</v>
      </c>
      <c r="E698" s="38">
        <v>1.66086E12</v>
      </c>
      <c r="F698" s="19" t="s">
        <v>20</v>
      </c>
      <c r="G698" s="23">
        <v>29990.0</v>
      </c>
      <c r="H698" s="23">
        <v>11759.0</v>
      </c>
      <c r="I698" s="23">
        <v>6387.0</v>
      </c>
      <c r="J698" s="37"/>
      <c r="K698" s="37"/>
      <c r="L698" s="22">
        <v>6387.0</v>
      </c>
      <c r="M698" s="22">
        <v>6843.0</v>
      </c>
      <c r="N698" s="22">
        <v>7299.0</v>
      </c>
      <c r="O698" s="37"/>
      <c r="P698" s="26">
        <v>0.35</v>
      </c>
      <c r="Q698" s="26">
        <v>0.31</v>
      </c>
      <c r="R698" s="26">
        <v>0.26</v>
      </c>
    </row>
    <row r="699" ht="14.25" customHeight="1">
      <c r="A699" s="18" t="s">
        <v>1179</v>
      </c>
      <c r="B699" s="18" t="s">
        <v>1323</v>
      </c>
      <c r="C699" s="19" t="s">
        <v>1340</v>
      </c>
      <c r="D699" s="20" t="s">
        <v>1352</v>
      </c>
      <c r="E699" s="38">
        <v>1.65421E12</v>
      </c>
      <c r="F699" s="19" t="s">
        <v>20</v>
      </c>
      <c r="G699" s="23">
        <v>26990.0</v>
      </c>
      <c r="H699" s="23">
        <v>11759.0</v>
      </c>
      <c r="I699" s="23">
        <v>7505.0</v>
      </c>
      <c r="J699" s="37"/>
      <c r="K699" s="37"/>
      <c r="L699" s="22">
        <v>7505.0</v>
      </c>
      <c r="M699" s="22">
        <v>8041.0</v>
      </c>
      <c r="N699" s="22">
        <v>8577.0</v>
      </c>
      <c r="O699" s="37"/>
      <c r="P699" s="26">
        <v>0.24</v>
      </c>
      <c r="Q699" s="26">
        <v>0.19</v>
      </c>
      <c r="R699" s="26">
        <v>0.13</v>
      </c>
    </row>
    <row r="700" ht="14.25" customHeight="1">
      <c r="A700" s="18" t="s">
        <v>1179</v>
      </c>
      <c r="B700" s="18" t="s">
        <v>1323</v>
      </c>
      <c r="C700" s="19" t="s">
        <v>1340</v>
      </c>
      <c r="D700" s="20" t="s">
        <v>1353</v>
      </c>
      <c r="E700" s="38">
        <v>1.64563E12</v>
      </c>
      <c r="F700" s="19" t="s">
        <v>179</v>
      </c>
      <c r="G700" s="23">
        <v>19990.0</v>
      </c>
      <c r="H700" s="23">
        <v>6465.0</v>
      </c>
      <c r="I700" s="23">
        <v>4123.0</v>
      </c>
      <c r="J700" s="37"/>
      <c r="K700" s="37"/>
      <c r="L700" s="22">
        <v>4123.0</v>
      </c>
      <c r="M700" s="22">
        <v>4417.0</v>
      </c>
      <c r="N700" s="22">
        <v>4712.0</v>
      </c>
      <c r="O700" s="37"/>
      <c r="P700" s="26">
        <v>0.24</v>
      </c>
      <c r="Q700" s="26">
        <v>0.19</v>
      </c>
      <c r="R700" s="26">
        <v>0.13</v>
      </c>
    </row>
    <row r="701" ht="14.25" customHeight="1">
      <c r="A701" s="18" t="s">
        <v>1179</v>
      </c>
      <c r="B701" s="18" t="s">
        <v>1323</v>
      </c>
      <c r="C701" s="19" t="s">
        <v>1340</v>
      </c>
      <c r="D701" s="20" t="s">
        <v>1354</v>
      </c>
      <c r="E701" s="19" t="s">
        <v>1355</v>
      </c>
      <c r="F701" s="19" t="s">
        <v>179</v>
      </c>
      <c r="G701" s="23">
        <v>24990.0</v>
      </c>
      <c r="H701" s="23">
        <v>9994.0</v>
      </c>
      <c r="I701" s="23">
        <v>5128.0</v>
      </c>
      <c r="J701" s="37"/>
      <c r="K701" s="37"/>
      <c r="L701" s="22">
        <v>5128.0</v>
      </c>
      <c r="M701" s="22">
        <v>5494.0</v>
      </c>
      <c r="N701" s="22">
        <v>5861.0</v>
      </c>
      <c r="O701" s="37"/>
      <c r="P701" s="26">
        <v>0.39</v>
      </c>
      <c r="Q701" s="26">
        <v>0.35</v>
      </c>
      <c r="R701" s="26">
        <v>0.3</v>
      </c>
    </row>
    <row r="702" ht="14.25" customHeight="1">
      <c r="A702" s="18" t="s">
        <v>1179</v>
      </c>
      <c r="B702" s="18" t="s">
        <v>1323</v>
      </c>
      <c r="C702" s="19" t="s">
        <v>1340</v>
      </c>
      <c r="D702" s="20" t="s">
        <v>1356</v>
      </c>
      <c r="E702" s="38">
        <v>1.66086E12</v>
      </c>
      <c r="F702" s="19" t="s">
        <v>20</v>
      </c>
      <c r="G702" s="23">
        <v>29990.0</v>
      </c>
      <c r="H702" s="23">
        <v>11759.0</v>
      </c>
      <c r="I702" s="23">
        <v>8157.0</v>
      </c>
      <c r="J702" s="37"/>
      <c r="K702" s="37"/>
      <c r="L702" s="22">
        <v>8157.0</v>
      </c>
      <c r="M702" s="22">
        <v>8740.0</v>
      </c>
      <c r="N702" s="22">
        <v>9322.0</v>
      </c>
      <c r="O702" s="37"/>
      <c r="P702" s="26">
        <v>0.17</v>
      </c>
      <c r="Q702" s="26">
        <v>0.12</v>
      </c>
      <c r="R702" s="26">
        <v>0.06</v>
      </c>
    </row>
    <row r="703" ht="14.25" customHeight="1">
      <c r="A703" s="18" t="s">
        <v>1179</v>
      </c>
      <c r="B703" s="18" t="s">
        <v>1323</v>
      </c>
      <c r="C703" s="19" t="s">
        <v>1340</v>
      </c>
      <c r="D703" s="20" t="s">
        <v>1357</v>
      </c>
      <c r="E703" s="38">
        <v>1.62742E12</v>
      </c>
      <c r="F703" s="19" t="s">
        <v>179</v>
      </c>
      <c r="G703" s="23">
        <v>39990.0</v>
      </c>
      <c r="H703" s="23">
        <v>9994.0</v>
      </c>
      <c r="I703" s="23">
        <v>6843.0</v>
      </c>
      <c r="J703" s="37"/>
      <c r="K703" s="37"/>
      <c r="L703" s="22">
        <v>6843.0</v>
      </c>
      <c r="M703" s="22">
        <v>7332.0</v>
      </c>
      <c r="N703" s="22">
        <v>7821.0</v>
      </c>
      <c r="O703" s="37"/>
      <c r="P703" s="26">
        <v>0.19</v>
      </c>
      <c r="Q703" s="26">
        <v>0.13</v>
      </c>
      <c r="R703" s="26">
        <v>0.07</v>
      </c>
    </row>
    <row r="704" ht="14.25" customHeight="1">
      <c r="A704" s="18" t="s">
        <v>1179</v>
      </c>
      <c r="B704" s="18" t="s">
        <v>1323</v>
      </c>
      <c r="C704" s="19" t="s">
        <v>1340</v>
      </c>
      <c r="D704" s="20" t="s">
        <v>1358</v>
      </c>
      <c r="E704" s="38">
        <v>6.73277E13</v>
      </c>
      <c r="F704" s="19" t="s">
        <v>179</v>
      </c>
      <c r="G704" s="23">
        <v>39990.0</v>
      </c>
      <c r="H704" s="23">
        <v>9994.0</v>
      </c>
      <c r="I704" s="23">
        <v>7273.0</v>
      </c>
      <c r="J704" s="37"/>
      <c r="K704" s="37"/>
      <c r="L704" s="22">
        <v>7273.0</v>
      </c>
      <c r="M704" s="22">
        <v>7792.0</v>
      </c>
      <c r="N704" s="22">
        <v>8312.0</v>
      </c>
      <c r="O704" s="37"/>
      <c r="P704" s="26">
        <v>0.13</v>
      </c>
      <c r="Q704" s="26">
        <v>0.07</v>
      </c>
      <c r="R704" s="26">
        <v>0.01</v>
      </c>
    </row>
    <row r="705" ht="14.25" customHeight="1">
      <c r="A705" s="18" t="s">
        <v>1179</v>
      </c>
      <c r="B705" s="18" t="s">
        <v>1323</v>
      </c>
      <c r="C705" s="19" t="s">
        <v>1340</v>
      </c>
      <c r="D705" s="20" t="s">
        <v>1359</v>
      </c>
      <c r="E705" s="38">
        <v>1.66086E12</v>
      </c>
      <c r="F705" s="19" t="s">
        <v>20</v>
      </c>
      <c r="G705" s="23">
        <v>19990.0</v>
      </c>
      <c r="H705" s="23">
        <v>8818.0</v>
      </c>
      <c r="I705" s="23">
        <v>5693.0</v>
      </c>
      <c r="J705" s="37"/>
      <c r="K705" s="37"/>
      <c r="L705" s="22">
        <v>5693.0</v>
      </c>
      <c r="M705" s="22">
        <v>6100.0</v>
      </c>
      <c r="N705" s="22">
        <v>6506.0</v>
      </c>
      <c r="O705" s="37"/>
      <c r="P705" s="26">
        <v>0.23</v>
      </c>
      <c r="Q705" s="26">
        <v>0.18</v>
      </c>
      <c r="R705" s="26">
        <v>0.12</v>
      </c>
    </row>
    <row r="706" ht="14.25" customHeight="1">
      <c r="A706" s="18" t="s">
        <v>1179</v>
      </c>
      <c r="B706" s="18" t="s">
        <v>1323</v>
      </c>
      <c r="C706" s="19" t="s">
        <v>1340</v>
      </c>
      <c r="D706" s="20" t="s">
        <v>1360</v>
      </c>
      <c r="E706" s="19" t="s">
        <v>1361</v>
      </c>
      <c r="F706" s="19" t="s">
        <v>20</v>
      </c>
      <c r="G706" s="23">
        <v>12990.0</v>
      </c>
      <c r="H706" s="23">
        <v>5876.0</v>
      </c>
      <c r="I706" s="23">
        <v>2922.0</v>
      </c>
      <c r="J706" s="37"/>
      <c r="K706" s="37"/>
      <c r="L706" s="22">
        <v>2922.0</v>
      </c>
      <c r="M706" s="22">
        <v>3131.0</v>
      </c>
      <c r="N706" s="22">
        <v>3339.0</v>
      </c>
      <c r="O706" s="37"/>
      <c r="P706" s="26">
        <v>0.41</v>
      </c>
      <c r="Q706" s="26">
        <v>0.37</v>
      </c>
      <c r="R706" s="26">
        <v>0.32</v>
      </c>
    </row>
    <row r="707" ht="14.25" customHeight="1">
      <c r="A707" s="18" t="s">
        <v>1179</v>
      </c>
      <c r="B707" s="18" t="s">
        <v>1323</v>
      </c>
      <c r="C707" s="19" t="s">
        <v>1340</v>
      </c>
      <c r="D707" s="20" t="s">
        <v>1362</v>
      </c>
      <c r="E707" s="19" t="s">
        <v>1363</v>
      </c>
      <c r="F707" s="19" t="s">
        <v>20</v>
      </c>
      <c r="G707" s="23">
        <v>12990.0</v>
      </c>
      <c r="H707" s="23">
        <v>5876.0</v>
      </c>
      <c r="I707" s="23">
        <v>2878.0</v>
      </c>
      <c r="J707" s="37"/>
      <c r="K707" s="37"/>
      <c r="L707" s="22">
        <v>2878.0</v>
      </c>
      <c r="M707" s="22">
        <v>3084.0</v>
      </c>
      <c r="N707" s="22">
        <v>3289.0</v>
      </c>
      <c r="O707" s="37"/>
      <c r="P707" s="26">
        <v>0.42</v>
      </c>
      <c r="Q707" s="26">
        <v>0.38</v>
      </c>
      <c r="R707" s="26">
        <v>0.33</v>
      </c>
    </row>
    <row r="708" ht="14.25" customHeight="1">
      <c r="A708" s="18" t="s">
        <v>1179</v>
      </c>
      <c r="B708" s="18" t="s">
        <v>1323</v>
      </c>
      <c r="C708" s="19" t="s">
        <v>1340</v>
      </c>
      <c r="D708" s="20" t="s">
        <v>1364</v>
      </c>
      <c r="E708" s="19" t="s">
        <v>1365</v>
      </c>
      <c r="F708" s="19" t="s">
        <v>20</v>
      </c>
      <c r="G708" s="23">
        <v>12990.0</v>
      </c>
      <c r="H708" s="23">
        <v>5876.0</v>
      </c>
      <c r="I708" s="23">
        <v>2967.0</v>
      </c>
      <c r="J708" s="37"/>
      <c r="K708" s="37"/>
      <c r="L708" s="22">
        <v>2967.0</v>
      </c>
      <c r="M708" s="22">
        <v>3179.0</v>
      </c>
      <c r="N708" s="22">
        <v>3391.0</v>
      </c>
      <c r="O708" s="37"/>
      <c r="P708" s="26">
        <v>0.4</v>
      </c>
      <c r="Q708" s="26">
        <v>0.36</v>
      </c>
      <c r="R708" s="26">
        <v>0.31</v>
      </c>
    </row>
    <row r="709" ht="14.25" customHeight="1">
      <c r="A709" s="18" t="s">
        <v>1179</v>
      </c>
      <c r="B709" s="18" t="s">
        <v>1323</v>
      </c>
      <c r="C709" s="19" t="s">
        <v>1340</v>
      </c>
      <c r="D709" s="20" t="s">
        <v>1366</v>
      </c>
      <c r="E709" s="19" t="s">
        <v>1367</v>
      </c>
      <c r="F709" s="19" t="s">
        <v>20</v>
      </c>
      <c r="G709" s="23">
        <v>12990.0</v>
      </c>
      <c r="H709" s="23">
        <v>5876.0</v>
      </c>
      <c r="I709" s="23">
        <v>2965.0</v>
      </c>
      <c r="J709" s="37"/>
      <c r="K709" s="37"/>
      <c r="L709" s="22">
        <v>2965.0</v>
      </c>
      <c r="M709" s="22">
        <v>3177.0</v>
      </c>
      <c r="N709" s="22">
        <v>3389.0</v>
      </c>
      <c r="O709" s="37"/>
      <c r="P709" s="26">
        <v>0.4</v>
      </c>
      <c r="Q709" s="26">
        <v>0.36</v>
      </c>
      <c r="R709" s="26">
        <v>0.31</v>
      </c>
    </row>
    <row r="710" ht="14.25" customHeight="1">
      <c r="A710" s="18" t="s">
        <v>1179</v>
      </c>
      <c r="B710" s="18" t="s">
        <v>1323</v>
      </c>
      <c r="C710" s="19" t="s">
        <v>1368</v>
      </c>
      <c r="D710" s="20" t="s">
        <v>1369</v>
      </c>
      <c r="E710" s="19" t="s">
        <v>1370</v>
      </c>
      <c r="F710" s="19" t="s">
        <v>193</v>
      </c>
      <c r="G710" s="23">
        <v>24990.0</v>
      </c>
      <c r="H710" s="23">
        <v>11759.0</v>
      </c>
      <c r="I710" s="23">
        <v>5485.0</v>
      </c>
      <c r="J710" s="37"/>
      <c r="K710" s="37"/>
      <c r="L710" s="22">
        <v>5485.0</v>
      </c>
      <c r="M710" s="22">
        <v>5877.0</v>
      </c>
      <c r="N710" s="22">
        <v>6269.0</v>
      </c>
      <c r="O710" s="37"/>
      <c r="P710" s="26">
        <v>0.44</v>
      </c>
      <c r="Q710" s="26">
        <v>0.41</v>
      </c>
      <c r="R710" s="26">
        <v>0.37</v>
      </c>
    </row>
    <row r="711" ht="14.25" customHeight="1">
      <c r="A711" s="18" t="s">
        <v>1179</v>
      </c>
      <c r="B711" s="18" t="s">
        <v>1323</v>
      </c>
      <c r="C711" s="19" t="s">
        <v>1371</v>
      </c>
      <c r="D711" s="20" t="s">
        <v>1372</v>
      </c>
      <c r="E711" s="38">
        <v>1.66086E12</v>
      </c>
      <c r="F711" s="19" t="s">
        <v>20</v>
      </c>
      <c r="G711" s="23">
        <v>19990.0</v>
      </c>
      <c r="H711" s="23">
        <v>8818.0</v>
      </c>
      <c r="I711" s="23">
        <v>5496.0</v>
      </c>
      <c r="J711" s="37"/>
      <c r="K711" s="37"/>
      <c r="L711" s="22">
        <v>5496.0</v>
      </c>
      <c r="M711" s="22">
        <v>5889.0</v>
      </c>
      <c r="N711" s="22">
        <v>6281.0</v>
      </c>
      <c r="O711" s="37"/>
      <c r="P711" s="26">
        <v>0.26</v>
      </c>
      <c r="Q711" s="26">
        <v>0.21</v>
      </c>
      <c r="R711" s="26">
        <v>0.15</v>
      </c>
    </row>
    <row r="712" ht="14.25" customHeight="1">
      <c r="A712" s="18" t="s">
        <v>1179</v>
      </c>
      <c r="B712" s="18" t="s">
        <v>1323</v>
      </c>
      <c r="C712" s="19" t="s">
        <v>1371</v>
      </c>
      <c r="D712" s="20" t="s">
        <v>1373</v>
      </c>
      <c r="E712" s="38">
        <v>1.66086E12</v>
      </c>
      <c r="F712" s="19" t="s">
        <v>20</v>
      </c>
      <c r="G712" s="23">
        <v>18990.0</v>
      </c>
      <c r="H712" s="23">
        <v>7641.0</v>
      </c>
      <c r="I712" s="23">
        <v>3592.0</v>
      </c>
      <c r="J712" s="37"/>
      <c r="K712" s="37"/>
      <c r="L712" s="22">
        <v>3592.0</v>
      </c>
      <c r="M712" s="22">
        <v>3849.0</v>
      </c>
      <c r="N712" s="22">
        <v>4105.0</v>
      </c>
      <c r="O712" s="37"/>
      <c r="P712" s="26">
        <v>0.44</v>
      </c>
      <c r="Q712" s="26">
        <v>0.4</v>
      </c>
      <c r="R712" s="26">
        <v>0.36</v>
      </c>
    </row>
    <row r="713" ht="14.25" customHeight="1">
      <c r="A713" s="18" t="s">
        <v>1179</v>
      </c>
      <c r="B713" s="18" t="s">
        <v>1323</v>
      </c>
      <c r="C713" s="19" t="s">
        <v>1371</v>
      </c>
      <c r="D713" s="20" t="s">
        <v>1374</v>
      </c>
      <c r="E713" s="38">
        <v>1.62742E12</v>
      </c>
      <c r="F713" s="19" t="s">
        <v>179</v>
      </c>
      <c r="G713" s="23">
        <v>21990.0</v>
      </c>
      <c r="H713" s="23">
        <v>8818.0</v>
      </c>
      <c r="I713" s="23">
        <v>6222.0</v>
      </c>
      <c r="J713" s="37"/>
      <c r="K713" s="37"/>
      <c r="L713" s="22">
        <v>6222.0</v>
      </c>
      <c r="M713" s="22">
        <v>6666.0</v>
      </c>
      <c r="N713" s="22">
        <v>7111.0</v>
      </c>
      <c r="O713" s="37"/>
      <c r="P713" s="26">
        <v>0.16</v>
      </c>
      <c r="Q713" s="26">
        <v>0.1</v>
      </c>
      <c r="R713" s="26">
        <v>0.04</v>
      </c>
    </row>
    <row r="714" ht="14.25" customHeight="1">
      <c r="A714" s="18" t="s">
        <v>1179</v>
      </c>
      <c r="B714" s="18" t="s">
        <v>1323</v>
      </c>
      <c r="C714" s="19" t="s">
        <v>1371</v>
      </c>
      <c r="D714" s="20" t="s">
        <v>1375</v>
      </c>
      <c r="E714" s="19" t="s">
        <v>1376</v>
      </c>
      <c r="F714" s="16" t="s">
        <v>20</v>
      </c>
      <c r="G714" s="23">
        <v>24990.0</v>
      </c>
      <c r="H714" s="23">
        <v>12935.0</v>
      </c>
      <c r="I714" s="23">
        <v>6715.0</v>
      </c>
      <c r="J714" s="37"/>
      <c r="K714" s="37"/>
      <c r="L714" s="22">
        <v>6715.0</v>
      </c>
      <c r="M714" s="22">
        <v>7195.0</v>
      </c>
      <c r="N714" s="22">
        <v>7674.0</v>
      </c>
      <c r="O714" s="37"/>
      <c r="P714" s="26">
        <v>0.38</v>
      </c>
      <c r="Q714" s="26">
        <v>0.34</v>
      </c>
      <c r="R714" s="26">
        <v>0.29</v>
      </c>
    </row>
    <row r="715" ht="14.25" customHeight="1">
      <c r="A715" s="18" t="s">
        <v>1179</v>
      </c>
      <c r="B715" s="18" t="s">
        <v>1323</v>
      </c>
      <c r="C715" s="19" t="s">
        <v>1377</v>
      </c>
      <c r="D715" s="20" t="s">
        <v>1378</v>
      </c>
      <c r="E715" s="38">
        <v>6.85401E13</v>
      </c>
      <c r="F715" s="19" t="s">
        <v>179</v>
      </c>
      <c r="G715" s="23">
        <v>24990.0</v>
      </c>
      <c r="H715" s="23">
        <v>8818.0</v>
      </c>
      <c r="I715" s="23">
        <v>5209.0</v>
      </c>
      <c r="J715" s="37"/>
      <c r="K715" s="37"/>
      <c r="L715" s="22">
        <v>5209.0</v>
      </c>
      <c r="M715" s="22">
        <v>5581.0</v>
      </c>
      <c r="N715" s="22">
        <v>5953.0</v>
      </c>
      <c r="O715" s="37"/>
      <c r="P715" s="26">
        <v>0.3</v>
      </c>
      <c r="Q715" s="26">
        <v>0.25</v>
      </c>
      <c r="R715" s="26">
        <v>0.2</v>
      </c>
    </row>
    <row r="716" ht="14.25" customHeight="1">
      <c r="A716" s="18" t="s">
        <v>1179</v>
      </c>
      <c r="B716" s="18" t="s">
        <v>1323</v>
      </c>
      <c r="C716" s="19" t="s">
        <v>1377</v>
      </c>
      <c r="D716" s="20" t="s">
        <v>1379</v>
      </c>
      <c r="E716" s="38">
        <v>6.854E13</v>
      </c>
      <c r="F716" s="19" t="s">
        <v>179</v>
      </c>
      <c r="G716" s="23">
        <v>24990.0</v>
      </c>
      <c r="H716" s="23">
        <v>8818.0</v>
      </c>
      <c r="I716" s="23">
        <v>5367.0</v>
      </c>
      <c r="J716" s="37"/>
      <c r="K716" s="37"/>
      <c r="L716" s="22">
        <v>5367.0</v>
      </c>
      <c r="M716" s="22">
        <v>5750.0</v>
      </c>
      <c r="N716" s="22">
        <v>6134.0</v>
      </c>
      <c r="O716" s="37"/>
      <c r="P716" s="26">
        <v>0.28</v>
      </c>
      <c r="Q716" s="26">
        <v>0.22</v>
      </c>
      <c r="R716" s="26">
        <v>0.17</v>
      </c>
    </row>
    <row r="717" ht="14.25" customHeight="1">
      <c r="A717" s="18" t="s">
        <v>1179</v>
      </c>
      <c r="B717" s="18" t="s">
        <v>1323</v>
      </c>
      <c r="C717" s="19" t="s">
        <v>1377</v>
      </c>
      <c r="D717" s="20" t="s">
        <v>1380</v>
      </c>
      <c r="E717" s="38">
        <v>1.65999E12</v>
      </c>
      <c r="F717" s="19" t="s">
        <v>134</v>
      </c>
      <c r="G717" s="23">
        <v>32990.0</v>
      </c>
      <c r="H717" s="23">
        <v>6465.0</v>
      </c>
      <c r="I717" s="23">
        <v>4977.0</v>
      </c>
      <c r="J717" s="37"/>
      <c r="K717" s="37"/>
      <c r="L717" s="22">
        <v>4977.0</v>
      </c>
      <c r="M717" s="22">
        <v>5332.0</v>
      </c>
      <c r="N717" s="22">
        <v>5688.0</v>
      </c>
      <c r="O717" s="37"/>
      <c r="P717" s="26">
        <v>0.08</v>
      </c>
      <c r="Q717" s="26">
        <v>0.02</v>
      </c>
      <c r="R717" s="26">
        <v>-0.05</v>
      </c>
    </row>
    <row r="718" ht="14.25" customHeight="1">
      <c r="A718" s="18" t="s">
        <v>1179</v>
      </c>
      <c r="B718" s="18" t="s">
        <v>1323</v>
      </c>
      <c r="C718" s="19" t="s">
        <v>1377</v>
      </c>
      <c r="D718" s="20" t="s">
        <v>1381</v>
      </c>
      <c r="E718" s="38">
        <v>1.66086E12</v>
      </c>
      <c r="F718" s="19" t="s">
        <v>179</v>
      </c>
      <c r="G718" s="23">
        <v>29990.0</v>
      </c>
      <c r="H718" s="23">
        <v>11759.0</v>
      </c>
      <c r="I718" s="23">
        <v>6217.0</v>
      </c>
      <c r="J718" s="37"/>
      <c r="K718" s="37"/>
      <c r="L718" s="22">
        <v>6217.0</v>
      </c>
      <c r="M718" s="22">
        <v>6661.0</v>
      </c>
      <c r="N718" s="22">
        <v>7105.0</v>
      </c>
      <c r="O718" s="37"/>
      <c r="P718" s="26">
        <v>0.37</v>
      </c>
      <c r="Q718" s="26">
        <v>0.33</v>
      </c>
      <c r="R718" s="26">
        <v>0.28</v>
      </c>
    </row>
    <row r="719" ht="14.25" customHeight="1">
      <c r="A719" s="18" t="s">
        <v>1179</v>
      </c>
      <c r="B719" s="18" t="s">
        <v>1323</v>
      </c>
      <c r="C719" s="19" t="s">
        <v>1377</v>
      </c>
      <c r="D719" s="20" t="s">
        <v>1382</v>
      </c>
      <c r="E719" s="38">
        <v>1.66086E12</v>
      </c>
      <c r="F719" s="19" t="s">
        <v>179</v>
      </c>
      <c r="G719" s="23">
        <v>29990.0</v>
      </c>
      <c r="H719" s="23">
        <v>11759.0</v>
      </c>
      <c r="I719" s="23">
        <v>6143.0</v>
      </c>
      <c r="J719" s="37"/>
      <c r="K719" s="37"/>
      <c r="L719" s="22">
        <v>6143.0</v>
      </c>
      <c r="M719" s="22">
        <v>6582.0</v>
      </c>
      <c r="N719" s="22">
        <v>7021.0</v>
      </c>
      <c r="O719" s="37"/>
      <c r="P719" s="26">
        <v>0.38</v>
      </c>
      <c r="Q719" s="26">
        <v>0.33</v>
      </c>
      <c r="R719" s="26">
        <v>0.29</v>
      </c>
    </row>
    <row r="720" ht="14.25" customHeight="1">
      <c r="A720" s="18" t="s">
        <v>1179</v>
      </c>
      <c r="B720" s="18" t="s">
        <v>1323</v>
      </c>
      <c r="C720" s="19" t="s">
        <v>1377</v>
      </c>
      <c r="D720" s="20" t="s">
        <v>1383</v>
      </c>
      <c r="E720" s="19" t="s">
        <v>1384</v>
      </c>
      <c r="F720" s="16" t="s">
        <v>20</v>
      </c>
      <c r="G720" s="23">
        <v>24990.0</v>
      </c>
      <c r="H720" s="23">
        <v>11759.0</v>
      </c>
      <c r="I720" s="23">
        <v>6186.0</v>
      </c>
      <c r="J720" s="37"/>
      <c r="K720" s="37"/>
      <c r="L720" s="22">
        <v>6186.0</v>
      </c>
      <c r="M720" s="22">
        <v>6628.0</v>
      </c>
      <c r="N720" s="22">
        <v>7070.0</v>
      </c>
      <c r="O720" s="37"/>
      <c r="P720" s="26">
        <v>0.37</v>
      </c>
      <c r="Q720" s="26">
        <v>0.33</v>
      </c>
      <c r="R720" s="26">
        <v>0.28</v>
      </c>
    </row>
    <row r="721" ht="14.25" customHeight="1">
      <c r="A721" s="18" t="s">
        <v>1179</v>
      </c>
      <c r="B721" s="18" t="s">
        <v>1323</v>
      </c>
      <c r="C721" s="19" t="s">
        <v>1377</v>
      </c>
      <c r="D721" s="20" t="s">
        <v>1385</v>
      </c>
      <c r="E721" s="19" t="s">
        <v>1386</v>
      </c>
      <c r="F721" s="16" t="s">
        <v>20</v>
      </c>
      <c r="G721" s="23">
        <v>24990.0</v>
      </c>
      <c r="H721" s="23">
        <v>11759.0</v>
      </c>
      <c r="I721" s="23">
        <v>6181.0</v>
      </c>
      <c r="J721" s="37"/>
      <c r="K721" s="37"/>
      <c r="L721" s="22">
        <v>6181.0</v>
      </c>
      <c r="M721" s="22">
        <v>6622.0</v>
      </c>
      <c r="N721" s="22">
        <v>7064.0</v>
      </c>
      <c r="O721" s="37"/>
      <c r="P721" s="26">
        <v>0.37</v>
      </c>
      <c r="Q721" s="26">
        <v>0.33</v>
      </c>
      <c r="R721" s="26">
        <v>0.29</v>
      </c>
    </row>
    <row r="722" ht="14.25" customHeight="1">
      <c r="A722" s="18" t="s">
        <v>1179</v>
      </c>
      <c r="B722" s="18" t="s">
        <v>1323</v>
      </c>
      <c r="C722" s="19" t="s">
        <v>1377</v>
      </c>
      <c r="D722" s="20" t="s">
        <v>1387</v>
      </c>
      <c r="E722" s="19" t="s">
        <v>1388</v>
      </c>
      <c r="F722" s="16" t="s">
        <v>20</v>
      </c>
      <c r="G722" s="23">
        <v>32990.0</v>
      </c>
      <c r="H722" s="23">
        <v>14700.0</v>
      </c>
      <c r="I722" s="23">
        <v>9074.0</v>
      </c>
      <c r="J722" s="37"/>
      <c r="K722" s="37"/>
      <c r="L722" s="22">
        <v>9074.0</v>
      </c>
      <c r="M722" s="22">
        <v>9722.0</v>
      </c>
      <c r="N722" s="22">
        <v>10370.0</v>
      </c>
      <c r="O722" s="37"/>
      <c r="P722" s="26">
        <v>0.27</v>
      </c>
      <c r="Q722" s="26">
        <v>0.21</v>
      </c>
      <c r="R722" s="26">
        <v>0.16</v>
      </c>
    </row>
    <row r="723" ht="14.25" customHeight="1">
      <c r="A723" s="18" t="s">
        <v>1179</v>
      </c>
      <c r="B723" s="18" t="s">
        <v>1323</v>
      </c>
      <c r="C723" s="19" t="s">
        <v>1377</v>
      </c>
      <c r="D723" s="20" t="s">
        <v>1389</v>
      </c>
      <c r="E723" s="19" t="s">
        <v>1390</v>
      </c>
      <c r="F723" s="16" t="s">
        <v>20</v>
      </c>
      <c r="G723" s="23">
        <v>32990.0</v>
      </c>
      <c r="H723" s="23">
        <v>14700.0</v>
      </c>
      <c r="I723" s="23">
        <v>8954.0</v>
      </c>
      <c r="J723" s="37"/>
      <c r="K723" s="37"/>
      <c r="L723" s="22">
        <v>8954.0</v>
      </c>
      <c r="M723" s="22">
        <v>9594.0</v>
      </c>
      <c r="N723" s="22">
        <v>10233.0</v>
      </c>
      <c r="O723" s="37"/>
      <c r="P723" s="26">
        <v>0.28</v>
      </c>
      <c r="Q723" s="26">
        <v>0.22</v>
      </c>
      <c r="R723" s="26">
        <v>0.17</v>
      </c>
    </row>
    <row r="724" ht="14.25" customHeight="1">
      <c r="A724" s="18" t="s">
        <v>1179</v>
      </c>
      <c r="B724" s="18" t="s">
        <v>1391</v>
      </c>
      <c r="C724" s="19" t="s">
        <v>1392</v>
      </c>
      <c r="D724" s="20" t="s">
        <v>1393</v>
      </c>
      <c r="E724" s="38">
        <v>1.62802E12</v>
      </c>
      <c r="F724" s="19" t="s">
        <v>134</v>
      </c>
      <c r="G724" s="23">
        <v>49990.0</v>
      </c>
      <c r="H724" s="23">
        <v>23524.0</v>
      </c>
      <c r="I724" s="23">
        <v>15964.0</v>
      </c>
      <c r="J724" s="37"/>
      <c r="K724" s="37"/>
      <c r="L724" s="22">
        <v>15964.0</v>
      </c>
      <c r="M724" s="22">
        <v>17104.0</v>
      </c>
      <c r="N724" s="22">
        <v>18245.0</v>
      </c>
      <c r="O724" s="37"/>
      <c r="P724" s="26">
        <v>0.19</v>
      </c>
      <c r="Q724" s="26">
        <v>0.13</v>
      </c>
      <c r="R724" s="26">
        <v>0.08</v>
      </c>
    </row>
    <row r="725" ht="14.25" customHeight="1">
      <c r="A725" s="18" t="s">
        <v>1179</v>
      </c>
      <c r="B725" s="18" t="s">
        <v>1391</v>
      </c>
      <c r="C725" s="19" t="s">
        <v>1392</v>
      </c>
      <c r="D725" s="20" t="s">
        <v>1394</v>
      </c>
      <c r="E725" s="38">
        <v>1.53554E12</v>
      </c>
      <c r="F725" s="19" t="s">
        <v>134</v>
      </c>
      <c r="G725" s="23">
        <v>49990.0</v>
      </c>
      <c r="H725" s="23">
        <v>23524.0</v>
      </c>
      <c r="I725" s="23">
        <v>17357.0</v>
      </c>
      <c r="J725" s="37"/>
      <c r="K725" s="37"/>
      <c r="L725" s="22">
        <v>17357.0</v>
      </c>
      <c r="M725" s="22">
        <v>18597.0</v>
      </c>
      <c r="N725" s="22">
        <v>19837.0</v>
      </c>
      <c r="O725" s="37"/>
      <c r="P725" s="26">
        <v>0.12</v>
      </c>
      <c r="Q725" s="26">
        <v>0.06</v>
      </c>
      <c r="R725" s="26">
        <v>0.0</v>
      </c>
    </row>
    <row r="726" ht="14.25" customHeight="1">
      <c r="A726" s="18" t="s">
        <v>1179</v>
      </c>
      <c r="B726" s="18" t="s">
        <v>1395</v>
      </c>
      <c r="C726" s="19" t="s">
        <v>1396</v>
      </c>
      <c r="D726" s="20" t="s">
        <v>1397</v>
      </c>
      <c r="E726" s="38">
        <v>1.65999E12</v>
      </c>
      <c r="F726" s="19" t="s">
        <v>20</v>
      </c>
      <c r="G726" s="23">
        <v>16990.0</v>
      </c>
      <c r="H726" s="23">
        <v>8818.0</v>
      </c>
      <c r="I726" s="23">
        <v>3994.0</v>
      </c>
      <c r="J726" s="37"/>
      <c r="K726" s="37"/>
      <c r="L726" s="22">
        <v>3994.0</v>
      </c>
      <c r="M726" s="22">
        <v>4279.0</v>
      </c>
      <c r="N726" s="22">
        <v>4565.0</v>
      </c>
      <c r="O726" s="37"/>
      <c r="P726" s="26">
        <v>0.46</v>
      </c>
      <c r="Q726" s="26">
        <v>0.42</v>
      </c>
      <c r="R726" s="26">
        <v>0.38</v>
      </c>
    </row>
    <row r="727" ht="14.25" customHeight="1">
      <c r="A727" s="18" t="s">
        <v>1179</v>
      </c>
      <c r="B727" s="18" t="s">
        <v>1395</v>
      </c>
      <c r="C727" s="19" t="s">
        <v>1396</v>
      </c>
      <c r="D727" s="20" t="s">
        <v>1398</v>
      </c>
      <c r="E727" s="38">
        <v>1.66187E12</v>
      </c>
      <c r="F727" s="19" t="s">
        <v>20</v>
      </c>
      <c r="G727" s="23">
        <v>19990.0</v>
      </c>
      <c r="H727" s="23">
        <v>7641.0</v>
      </c>
      <c r="I727" s="23">
        <v>4460.0</v>
      </c>
      <c r="J727" s="37"/>
      <c r="K727" s="37"/>
      <c r="L727" s="22">
        <v>4460.0</v>
      </c>
      <c r="M727" s="22">
        <v>4779.0</v>
      </c>
      <c r="N727" s="22">
        <v>5097.0</v>
      </c>
      <c r="O727" s="37"/>
      <c r="P727" s="26">
        <v>0.31</v>
      </c>
      <c r="Q727" s="26">
        <v>0.26</v>
      </c>
      <c r="R727" s="26">
        <v>0.21</v>
      </c>
    </row>
    <row r="728" ht="14.25" customHeight="1">
      <c r="A728" s="18" t="s">
        <v>1179</v>
      </c>
      <c r="B728" s="18" t="s">
        <v>1395</v>
      </c>
      <c r="C728" s="19" t="s">
        <v>1399</v>
      </c>
      <c r="D728" s="20" t="s">
        <v>1400</v>
      </c>
      <c r="E728" s="19" t="s">
        <v>1401</v>
      </c>
      <c r="F728" s="19" t="s">
        <v>20</v>
      </c>
      <c r="G728" s="23">
        <v>12990.0</v>
      </c>
      <c r="H728" s="23">
        <v>7641.0</v>
      </c>
      <c r="I728" s="23">
        <v>2035.0</v>
      </c>
      <c r="J728" s="37"/>
      <c r="K728" s="37"/>
      <c r="L728" s="22">
        <v>2035.0</v>
      </c>
      <c r="M728" s="22">
        <v>2180.0</v>
      </c>
      <c r="N728" s="22">
        <v>2326.0</v>
      </c>
      <c r="O728" s="37"/>
      <c r="P728" s="26">
        <v>0.68</v>
      </c>
      <c r="Q728" s="26">
        <v>0.66</v>
      </c>
      <c r="R728" s="26">
        <v>0.64</v>
      </c>
    </row>
    <row r="729" ht="14.25" customHeight="1">
      <c r="A729" s="18" t="s">
        <v>1179</v>
      </c>
      <c r="B729" s="18" t="s">
        <v>1395</v>
      </c>
      <c r="C729" s="19" t="s">
        <v>1399</v>
      </c>
      <c r="D729" s="20" t="s">
        <v>1402</v>
      </c>
      <c r="E729" s="19" t="s">
        <v>1403</v>
      </c>
      <c r="F729" s="19" t="s">
        <v>20</v>
      </c>
      <c r="G729" s="23">
        <v>12990.0</v>
      </c>
      <c r="H729" s="23">
        <v>7641.0</v>
      </c>
      <c r="I729" s="23">
        <v>1909.0</v>
      </c>
      <c r="J729" s="37"/>
      <c r="K729" s="37"/>
      <c r="L729" s="22">
        <v>1909.0</v>
      </c>
      <c r="M729" s="22">
        <v>2045.0</v>
      </c>
      <c r="N729" s="22">
        <v>2182.0</v>
      </c>
      <c r="O729" s="37"/>
      <c r="P729" s="26">
        <v>0.7</v>
      </c>
      <c r="Q729" s="26">
        <v>0.68</v>
      </c>
      <c r="R729" s="26">
        <v>0.66</v>
      </c>
    </row>
    <row r="730" ht="14.25" customHeight="1">
      <c r="A730" s="18" t="s">
        <v>1179</v>
      </c>
      <c r="B730" s="18" t="s">
        <v>1395</v>
      </c>
      <c r="C730" s="19" t="s">
        <v>1399</v>
      </c>
      <c r="D730" s="20" t="s">
        <v>1404</v>
      </c>
      <c r="E730" s="19" t="s">
        <v>1405</v>
      </c>
      <c r="F730" s="19" t="s">
        <v>20</v>
      </c>
      <c r="G730" s="23">
        <v>12990.0</v>
      </c>
      <c r="H730" s="23">
        <v>7641.0</v>
      </c>
      <c r="I730" s="23">
        <v>1903.0</v>
      </c>
      <c r="J730" s="37"/>
      <c r="K730" s="37"/>
      <c r="L730" s="22">
        <v>1903.0</v>
      </c>
      <c r="M730" s="22">
        <v>2039.0</v>
      </c>
      <c r="N730" s="22">
        <v>2175.0</v>
      </c>
      <c r="O730" s="37"/>
      <c r="P730" s="26">
        <v>0.7</v>
      </c>
      <c r="Q730" s="26">
        <v>0.68</v>
      </c>
      <c r="R730" s="26">
        <v>0.66</v>
      </c>
    </row>
    <row r="731" ht="14.25" customHeight="1">
      <c r="A731" s="18" t="s">
        <v>1179</v>
      </c>
      <c r="B731" s="18" t="s">
        <v>1395</v>
      </c>
      <c r="C731" s="19" t="s">
        <v>1399</v>
      </c>
      <c r="D731" s="20" t="s">
        <v>1406</v>
      </c>
      <c r="E731" s="38">
        <v>1.65999E12</v>
      </c>
      <c r="F731" s="19" t="s">
        <v>20</v>
      </c>
      <c r="G731" s="23">
        <v>19990.0</v>
      </c>
      <c r="H731" s="23">
        <v>5876.0</v>
      </c>
      <c r="I731" s="23">
        <v>4000.0</v>
      </c>
      <c r="J731" s="37"/>
      <c r="K731" s="37"/>
      <c r="L731" s="22">
        <v>4000.0</v>
      </c>
      <c r="M731" s="22">
        <v>4286.0</v>
      </c>
      <c r="N731" s="22">
        <v>4571.0</v>
      </c>
      <c r="O731" s="37"/>
      <c r="P731" s="26">
        <v>0.19</v>
      </c>
      <c r="Q731" s="26">
        <v>0.13</v>
      </c>
      <c r="R731" s="26">
        <v>0.07</v>
      </c>
    </row>
    <row r="732" ht="14.25" customHeight="1">
      <c r="A732" s="18" t="s">
        <v>1179</v>
      </c>
      <c r="B732" s="18" t="s">
        <v>1395</v>
      </c>
      <c r="C732" s="19" t="s">
        <v>1399</v>
      </c>
      <c r="D732" s="20" t="s">
        <v>1407</v>
      </c>
      <c r="E732" s="38">
        <v>1.66187E12</v>
      </c>
      <c r="F732" s="19" t="s">
        <v>20</v>
      </c>
      <c r="G732" s="23">
        <v>39990.0</v>
      </c>
      <c r="H732" s="23">
        <v>17641.0</v>
      </c>
      <c r="I732" s="23">
        <v>11604.0</v>
      </c>
      <c r="J732" s="37"/>
      <c r="K732" s="37"/>
      <c r="L732" s="22">
        <v>11604.0</v>
      </c>
      <c r="M732" s="22">
        <v>12433.0</v>
      </c>
      <c r="N732" s="22">
        <v>13262.0</v>
      </c>
      <c r="O732" s="37"/>
      <c r="P732" s="26">
        <v>0.22</v>
      </c>
      <c r="Q732" s="26">
        <v>0.16</v>
      </c>
      <c r="R732" s="26">
        <v>0.11</v>
      </c>
    </row>
    <row r="733" ht="14.25" customHeight="1">
      <c r="A733" s="18" t="s">
        <v>1179</v>
      </c>
      <c r="B733" s="18" t="s">
        <v>1395</v>
      </c>
      <c r="C733" s="19" t="s">
        <v>1408</v>
      </c>
      <c r="D733" s="20" t="s">
        <v>1409</v>
      </c>
      <c r="E733" s="19" t="s">
        <v>1410</v>
      </c>
      <c r="F733" s="19" t="s">
        <v>20</v>
      </c>
      <c r="G733" s="23">
        <v>39990.0</v>
      </c>
      <c r="H733" s="23">
        <v>20582.0</v>
      </c>
      <c r="I733" s="23">
        <v>11026.0</v>
      </c>
      <c r="J733" s="37"/>
      <c r="K733" s="37"/>
      <c r="L733" s="22">
        <v>11026.0</v>
      </c>
      <c r="M733" s="22">
        <v>11814.0</v>
      </c>
      <c r="N733" s="22">
        <v>12601.0</v>
      </c>
      <c r="O733" s="37"/>
      <c r="P733" s="26">
        <v>0.36</v>
      </c>
      <c r="Q733" s="26">
        <v>0.32</v>
      </c>
      <c r="R733" s="26">
        <v>0.27</v>
      </c>
    </row>
    <row r="734" ht="14.25" customHeight="1">
      <c r="A734" s="18" t="s">
        <v>1179</v>
      </c>
      <c r="B734" s="18" t="s">
        <v>1395</v>
      </c>
      <c r="C734" s="19" t="s">
        <v>1408</v>
      </c>
      <c r="D734" s="20" t="s">
        <v>1411</v>
      </c>
      <c r="E734" s="19" t="s">
        <v>1412</v>
      </c>
      <c r="F734" s="19" t="s">
        <v>20</v>
      </c>
      <c r="G734" s="23">
        <v>49990.0</v>
      </c>
      <c r="H734" s="23">
        <v>23524.0</v>
      </c>
      <c r="I734" s="23">
        <v>13680.0</v>
      </c>
      <c r="J734" s="37"/>
      <c r="K734" s="37"/>
      <c r="L734" s="22">
        <v>13680.0</v>
      </c>
      <c r="M734" s="22">
        <v>14657.0</v>
      </c>
      <c r="N734" s="22">
        <v>15634.0</v>
      </c>
      <c r="O734" s="37"/>
      <c r="P734" s="26">
        <v>0.31</v>
      </c>
      <c r="Q734" s="26">
        <v>0.26</v>
      </c>
      <c r="R734" s="26">
        <v>0.21</v>
      </c>
    </row>
    <row r="735" ht="14.25" customHeight="1">
      <c r="A735" s="18" t="s">
        <v>1179</v>
      </c>
      <c r="B735" s="18" t="s">
        <v>1395</v>
      </c>
      <c r="C735" s="19" t="s">
        <v>1408</v>
      </c>
      <c r="D735" s="20" t="s">
        <v>1413</v>
      </c>
      <c r="E735" s="19" t="s">
        <v>1414</v>
      </c>
      <c r="F735" s="19" t="s">
        <v>20</v>
      </c>
      <c r="G735" s="23">
        <v>69990.0</v>
      </c>
      <c r="H735" s="23">
        <v>35288.0</v>
      </c>
      <c r="I735" s="23">
        <v>19056.0</v>
      </c>
      <c r="J735" s="37"/>
      <c r="K735" s="37"/>
      <c r="L735" s="22">
        <v>19056.0</v>
      </c>
      <c r="M735" s="22">
        <v>20417.0</v>
      </c>
      <c r="N735" s="22">
        <v>21778.0</v>
      </c>
      <c r="O735" s="37"/>
      <c r="P735" s="26">
        <v>0.36</v>
      </c>
      <c r="Q735" s="26">
        <v>0.31</v>
      </c>
      <c r="R735" s="26">
        <v>0.27</v>
      </c>
    </row>
    <row r="736" ht="14.25" customHeight="1">
      <c r="A736" s="18" t="s">
        <v>1179</v>
      </c>
      <c r="B736" s="18" t="s">
        <v>1395</v>
      </c>
      <c r="C736" s="19" t="s">
        <v>1408</v>
      </c>
      <c r="D736" s="20" t="s">
        <v>1415</v>
      </c>
      <c r="E736" s="19" t="s">
        <v>1416</v>
      </c>
      <c r="F736" s="16" t="s">
        <v>20</v>
      </c>
      <c r="G736" s="23">
        <v>79990.0</v>
      </c>
      <c r="H736" s="23">
        <v>41171.0</v>
      </c>
      <c r="I736" s="23">
        <v>20415.0</v>
      </c>
      <c r="J736" s="37"/>
      <c r="K736" s="37"/>
      <c r="L736" s="22">
        <v>20415.0</v>
      </c>
      <c r="M736" s="22">
        <v>21873.0</v>
      </c>
      <c r="N736" s="22">
        <v>23331.0</v>
      </c>
      <c r="O736" s="37"/>
      <c r="P736" s="26">
        <v>0.41</v>
      </c>
      <c r="Q736" s="26">
        <v>0.37</v>
      </c>
      <c r="R736" s="26">
        <v>0.33</v>
      </c>
    </row>
    <row r="737" ht="14.25" customHeight="1">
      <c r="A737" s="18" t="s">
        <v>1179</v>
      </c>
      <c r="B737" s="18" t="s">
        <v>1395</v>
      </c>
      <c r="C737" s="19" t="s">
        <v>1408</v>
      </c>
      <c r="D737" s="29" t="s">
        <v>1417</v>
      </c>
      <c r="E737" s="16" t="s">
        <v>1418</v>
      </c>
      <c r="F737" s="16" t="s">
        <v>193</v>
      </c>
      <c r="G737" s="23">
        <v>59990.0</v>
      </c>
      <c r="H737" s="23">
        <v>26465.0</v>
      </c>
      <c r="I737" s="23">
        <v>13729.0</v>
      </c>
      <c r="J737" s="37"/>
      <c r="K737" s="37"/>
      <c r="L737" s="22">
        <v>13729.0</v>
      </c>
      <c r="M737" s="22">
        <v>14709.0</v>
      </c>
      <c r="N737" s="22">
        <v>15690.0</v>
      </c>
      <c r="O737" s="37"/>
      <c r="P737" s="26">
        <v>0.38</v>
      </c>
      <c r="Q737" s="26">
        <v>0.34</v>
      </c>
      <c r="R737" s="26">
        <v>0.29</v>
      </c>
    </row>
    <row r="738" ht="14.25" customHeight="1">
      <c r="A738" s="18" t="s">
        <v>1179</v>
      </c>
      <c r="B738" s="18" t="s">
        <v>1395</v>
      </c>
      <c r="C738" s="19" t="s">
        <v>1408</v>
      </c>
      <c r="D738" s="29" t="s">
        <v>1419</v>
      </c>
      <c r="E738" s="16" t="s">
        <v>1420</v>
      </c>
      <c r="F738" s="16" t="s">
        <v>193</v>
      </c>
      <c r="G738" s="23">
        <v>79990.0</v>
      </c>
      <c r="H738" s="23">
        <v>41171.0</v>
      </c>
      <c r="I738" s="23">
        <v>20215.0</v>
      </c>
      <c r="J738" s="37"/>
      <c r="K738" s="37"/>
      <c r="L738" s="22">
        <v>20215.0</v>
      </c>
      <c r="M738" s="22">
        <v>21659.0</v>
      </c>
      <c r="N738" s="22">
        <v>23103.0</v>
      </c>
      <c r="O738" s="37"/>
      <c r="P738" s="26">
        <v>0.42</v>
      </c>
      <c r="Q738" s="26">
        <v>0.37</v>
      </c>
      <c r="R738" s="26">
        <v>0.33</v>
      </c>
    </row>
    <row r="739" ht="14.25" customHeight="1">
      <c r="A739" s="18" t="s">
        <v>1179</v>
      </c>
      <c r="B739" s="18" t="s">
        <v>1395</v>
      </c>
      <c r="C739" s="19" t="s">
        <v>1421</v>
      </c>
      <c r="D739" s="20" t="s">
        <v>1422</v>
      </c>
      <c r="E739" s="19" t="s">
        <v>1423</v>
      </c>
      <c r="F739" s="19" t="s">
        <v>20</v>
      </c>
      <c r="G739" s="23">
        <v>9990.0</v>
      </c>
      <c r="H739" s="23">
        <v>2935.0</v>
      </c>
      <c r="I739" s="23">
        <v>1430.0</v>
      </c>
      <c r="J739" s="37"/>
      <c r="K739" s="37"/>
      <c r="L739" s="22">
        <v>1430.0</v>
      </c>
      <c r="M739" s="22">
        <v>1532.0</v>
      </c>
      <c r="N739" s="22">
        <v>1634.0</v>
      </c>
      <c r="O739" s="37"/>
      <c r="P739" s="26">
        <v>0.42</v>
      </c>
      <c r="Q739" s="26">
        <v>0.38</v>
      </c>
      <c r="R739" s="26">
        <v>0.34</v>
      </c>
    </row>
    <row r="740" ht="14.25" customHeight="1">
      <c r="A740" s="18" t="s">
        <v>1179</v>
      </c>
      <c r="B740" s="18" t="s">
        <v>1395</v>
      </c>
      <c r="C740" s="19" t="s">
        <v>1421</v>
      </c>
      <c r="D740" s="20" t="s">
        <v>1424</v>
      </c>
      <c r="E740" s="19" t="s">
        <v>1425</v>
      </c>
      <c r="F740" s="19" t="s">
        <v>20</v>
      </c>
      <c r="G740" s="23">
        <v>14990.0</v>
      </c>
      <c r="H740" s="23">
        <v>5876.0</v>
      </c>
      <c r="I740" s="23">
        <v>2868.0</v>
      </c>
      <c r="J740" s="37"/>
      <c r="K740" s="37"/>
      <c r="L740" s="22">
        <v>2868.0</v>
      </c>
      <c r="M740" s="22">
        <v>3073.0</v>
      </c>
      <c r="N740" s="22">
        <v>3278.0</v>
      </c>
      <c r="O740" s="37"/>
      <c r="P740" s="26">
        <v>0.42</v>
      </c>
      <c r="Q740" s="26">
        <v>0.38</v>
      </c>
      <c r="R740" s="26">
        <v>0.34</v>
      </c>
    </row>
    <row r="741" ht="14.25" customHeight="1">
      <c r="A741" s="18" t="s">
        <v>1179</v>
      </c>
      <c r="B741" s="18" t="s">
        <v>1395</v>
      </c>
      <c r="C741" s="19" t="s">
        <v>1421</v>
      </c>
      <c r="D741" s="20" t="s">
        <v>1426</v>
      </c>
      <c r="E741" s="19" t="s">
        <v>1427</v>
      </c>
      <c r="F741" s="19" t="s">
        <v>20</v>
      </c>
      <c r="G741" s="23">
        <v>14990.0</v>
      </c>
      <c r="H741" s="23">
        <v>5876.0</v>
      </c>
      <c r="I741" s="23">
        <v>2294.0</v>
      </c>
      <c r="J741" s="37"/>
      <c r="K741" s="37"/>
      <c r="L741" s="22">
        <v>2294.0</v>
      </c>
      <c r="M741" s="22">
        <v>2458.0</v>
      </c>
      <c r="N741" s="22">
        <v>2622.0</v>
      </c>
      <c r="O741" s="37"/>
      <c r="P741" s="26">
        <v>0.54</v>
      </c>
      <c r="Q741" s="26">
        <v>0.5</v>
      </c>
      <c r="R741" s="26">
        <v>0.47</v>
      </c>
    </row>
    <row r="742" ht="14.25" customHeight="1">
      <c r="A742" s="18" t="s">
        <v>1179</v>
      </c>
      <c r="B742" s="18" t="s">
        <v>1395</v>
      </c>
      <c r="C742" s="19" t="s">
        <v>1421</v>
      </c>
      <c r="D742" s="20" t="s">
        <v>1428</v>
      </c>
      <c r="E742" s="19" t="s">
        <v>1429</v>
      </c>
      <c r="F742" s="19" t="s">
        <v>20</v>
      </c>
      <c r="G742" s="23">
        <v>19990.0</v>
      </c>
      <c r="H742" s="23">
        <v>7641.0</v>
      </c>
      <c r="I742" s="23">
        <v>3799.0</v>
      </c>
      <c r="J742" s="37"/>
      <c r="K742" s="37"/>
      <c r="L742" s="22">
        <v>3799.0</v>
      </c>
      <c r="M742" s="22">
        <v>4070.0</v>
      </c>
      <c r="N742" s="22">
        <v>4342.0</v>
      </c>
      <c r="O742" s="37"/>
      <c r="P742" s="26">
        <v>0.41</v>
      </c>
      <c r="Q742" s="26">
        <v>0.37</v>
      </c>
      <c r="R742" s="26">
        <v>0.32</v>
      </c>
    </row>
    <row r="743" ht="14.25" customHeight="1">
      <c r="A743" s="18" t="s">
        <v>1179</v>
      </c>
      <c r="B743" s="18" t="s">
        <v>1395</v>
      </c>
      <c r="C743" s="19" t="s">
        <v>1421</v>
      </c>
      <c r="D743" s="20" t="s">
        <v>1430</v>
      </c>
      <c r="E743" s="19" t="s">
        <v>1431</v>
      </c>
      <c r="F743" s="19" t="s">
        <v>20</v>
      </c>
      <c r="G743" s="23">
        <v>19990.0</v>
      </c>
      <c r="H743" s="23">
        <v>7641.0</v>
      </c>
      <c r="I743" s="23">
        <v>3539.0</v>
      </c>
      <c r="J743" s="37"/>
      <c r="K743" s="37"/>
      <c r="L743" s="22">
        <v>3539.0</v>
      </c>
      <c r="M743" s="22">
        <v>3792.0</v>
      </c>
      <c r="N743" s="22">
        <v>4045.0</v>
      </c>
      <c r="O743" s="37"/>
      <c r="P743" s="26">
        <v>0.45</v>
      </c>
      <c r="Q743" s="26">
        <v>0.41</v>
      </c>
      <c r="R743" s="26">
        <v>0.37</v>
      </c>
    </row>
    <row r="744" ht="14.25" customHeight="1">
      <c r="A744" s="18" t="s">
        <v>1179</v>
      </c>
      <c r="B744" s="18" t="s">
        <v>1395</v>
      </c>
      <c r="C744" s="19" t="s">
        <v>1421</v>
      </c>
      <c r="D744" s="20" t="s">
        <v>1432</v>
      </c>
      <c r="E744" s="19" t="s">
        <v>1433</v>
      </c>
      <c r="F744" s="19" t="s">
        <v>20</v>
      </c>
      <c r="G744" s="23">
        <v>9990.0</v>
      </c>
      <c r="H744" s="23">
        <v>4112.0</v>
      </c>
      <c r="I744" s="23">
        <v>1581.0</v>
      </c>
      <c r="J744" s="37"/>
      <c r="K744" s="37"/>
      <c r="L744" s="22">
        <v>1581.0</v>
      </c>
      <c r="M744" s="22">
        <v>1694.0</v>
      </c>
      <c r="N744" s="22">
        <v>1806.0</v>
      </c>
      <c r="O744" s="37"/>
      <c r="P744" s="26">
        <v>0.54</v>
      </c>
      <c r="Q744" s="26">
        <v>0.51</v>
      </c>
      <c r="R744" s="26">
        <v>0.48</v>
      </c>
    </row>
    <row r="745" ht="14.25" customHeight="1">
      <c r="A745" s="30" t="s">
        <v>1179</v>
      </c>
      <c r="B745" s="18" t="s">
        <v>1395</v>
      </c>
      <c r="C745" s="19" t="s">
        <v>1421</v>
      </c>
      <c r="D745" s="20" t="s">
        <v>1434</v>
      </c>
      <c r="E745" s="19" t="s">
        <v>1435</v>
      </c>
      <c r="F745" s="19" t="s">
        <v>20</v>
      </c>
      <c r="G745" s="23">
        <v>9990.0</v>
      </c>
      <c r="H745" s="23">
        <v>4112.0</v>
      </c>
      <c r="I745" s="23">
        <v>1538.0</v>
      </c>
      <c r="J745" s="37"/>
      <c r="K745" s="37"/>
      <c r="L745" s="22">
        <v>1538.0</v>
      </c>
      <c r="M745" s="22">
        <v>1648.0</v>
      </c>
      <c r="N745" s="22">
        <v>1758.0</v>
      </c>
      <c r="O745" s="37"/>
      <c r="P745" s="26">
        <v>0.55</v>
      </c>
      <c r="Q745" s="26">
        <v>0.52</v>
      </c>
      <c r="R745" s="26">
        <v>0.49</v>
      </c>
    </row>
    <row r="746" ht="14.25" customHeight="1">
      <c r="A746" s="31" t="s">
        <v>1436</v>
      </c>
      <c r="B746" s="41"/>
      <c r="C746" s="41"/>
      <c r="D746" s="32"/>
      <c r="E746" s="41"/>
      <c r="F746" s="41"/>
      <c r="G746" s="34">
        <v>5368490.0</v>
      </c>
      <c r="H746" s="34">
        <v>2198524.0</v>
      </c>
      <c r="I746" s="34">
        <v>1228917.0</v>
      </c>
      <c r="J746" s="37"/>
      <c r="K746" s="37"/>
      <c r="L746" s="37"/>
      <c r="M746" s="37"/>
      <c r="N746" s="37"/>
      <c r="O746" s="37"/>
      <c r="P746" s="37"/>
      <c r="Q746" s="37"/>
      <c r="R746" s="37"/>
    </row>
    <row r="747" ht="14.25" customHeight="1">
      <c r="A747" s="18" t="s">
        <v>1437</v>
      </c>
      <c r="B747" s="18" t="s">
        <v>1438</v>
      </c>
      <c r="C747" s="19" t="s">
        <v>1439</v>
      </c>
      <c r="D747" s="20" t="s">
        <v>1440</v>
      </c>
      <c r="E747" s="38">
        <v>1.66086E12</v>
      </c>
      <c r="F747" s="19" t="s">
        <v>20</v>
      </c>
      <c r="G747" s="23">
        <v>24990.0</v>
      </c>
      <c r="H747" s="23">
        <v>11759.0</v>
      </c>
      <c r="I747" s="23">
        <v>5128.0</v>
      </c>
      <c r="J747" s="37"/>
      <c r="K747" s="37"/>
      <c r="L747" s="22">
        <v>5128.0</v>
      </c>
      <c r="M747" s="22">
        <v>5494.0</v>
      </c>
      <c r="N747" s="22">
        <v>5861.0</v>
      </c>
      <c r="O747" s="37"/>
      <c r="P747" s="26">
        <v>0.48</v>
      </c>
      <c r="Q747" s="26">
        <v>0.44</v>
      </c>
      <c r="R747" s="26">
        <v>0.41</v>
      </c>
    </row>
    <row r="748" ht="14.25" customHeight="1">
      <c r="A748" s="18" t="s">
        <v>1437</v>
      </c>
      <c r="B748" s="18" t="s">
        <v>1438</v>
      </c>
      <c r="C748" s="19" t="s">
        <v>1439</v>
      </c>
      <c r="D748" s="20" t="s">
        <v>1441</v>
      </c>
      <c r="E748" s="38">
        <v>1.6566E12</v>
      </c>
      <c r="F748" s="19" t="s">
        <v>20</v>
      </c>
      <c r="G748" s="23">
        <v>39990.0</v>
      </c>
      <c r="H748" s="23">
        <v>13524.0</v>
      </c>
      <c r="I748" s="23">
        <v>9118.0</v>
      </c>
      <c r="J748" s="37"/>
      <c r="K748" s="37"/>
      <c r="L748" s="22">
        <v>9118.0</v>
      </c>
      <c r="M748" s="22">
        <v>9769.0</v>
      </c>
      <c r="N748" s="22">
        <v>10421.0</v>
      </c>
      <c r="O748" s="37"/>
      <c r="P748" s="26">
        <v>0.2</v>
      </c>
      <c r="Q748" s="26">
        <v>0.14</v>
      </c>
      <c r="R748" s="26">
        <v>0.08</v>
      </c>
    </row>
    <row r="749" ht="14.25" customHeight="1">
      <c r="A749" s="18" t="s">
        <v>1437</v>
      </c>
      <c r="B749" s="18" t="s">
        <v>1438</v>
      </c>
      <c r="C749" s="19" t="s">
        <v>1439</v>
      </c>
      <c r="D749" s="20" t="s">
        <v>1442</v>
      </c>
      <c r="E749" s="38">
        <v>6.78983E13</v>
      </c>
      <c r="F749" s="19" t="s">
        <v>134</v>
      </c>
      <c r="G749" s="23">
        <v>24990.0</v>
      </c>
      <c r="H749" s="23">
        <v>8818.0</v>
      </c>
      <c r="I749" s="23">
        <v>4656.0</v>
      </c>
      <c r="J749" s="37"/>
      <c r="K749" s="37"/>
      <c r="L749" s="22">
        <v>4656.0</v>
      </c>
      <c r="M749" s="22">
        <v>4989.0</v>
      </c>
      <c r="N749" s="22">
        <v>5321.0</v>
      </c>
      <c r="O749" s="37"/>
      <c r="P749" s="26">
        <v>0.37</v>
      </c>
      <c r="Q749" s="26">
        <v>0.33</v>
      </c>
      <c r="R749" s="26">
        <v>0.28</v>
      </c>
    </row>
    <row r="750" ht="14.25" customHeight="1">
      <c r="A750" s="18" t="s">
        <v>1437</v>
      </c>
      <c r="B750" s="18" t="s">
        <v>1438</v>
      </c>
      <c r="C750" s="19" t="s">
        <v>1439</v>
      </c>
      <c r="D750" s="20" t="s">
        <v>1443</v>
      </c>
      <c r="E750" s="19" t="s">
        <v>1444</v>
      </c>
      <c r="F750" s="19" t="s">
        <v>20</v>
      </c>
      <c r="G750" s="23">
        <v>15990.0</v>
      </c>
      <c r="H750" s="23">
        <v>5876.0</v>
      </c>
      <c r="I750" s="23">
        <v>3180.0</v>
      </c>
      <c r="J750" s="37"/>
      <c r="K750" s="37"/>
      <c r="L750" s="22">
        <v>3180.0</v>
      </c>
      <c r="M750" s="22">
        <v>3407.0</v>
      </c>
      <c r="N750" s="22">
        <v>3634.0</v>
      </c>
      <c r="O750" s="37"/>
      <c r="P750" s="26">
        <v>0.36</v>
      </c>
      <c r="Q750" s="26">
        <v>0.31</v>
      </c>
      <c r="R750" s="26">
        <v>0.26</v>
      </c>
    </row>
    <row r="751" ht="14.25" customHeight="1">
      <c r="A751" s="18" t="s">
        <v>1437</v>
      </c>
      <c r="B751" s="18" t="s">
        <v>1438</v>
      </c>
      <c r="C751" s="19" t="s">
        <v>1439</v>
      </c>
      <c r="D751" s="29" t="s">
        <v>1445</v>
      </c>
      <c r="E751" s="16" t="s">
        <v>1446</v>
      </c>
      <c r="F751" s="16" t="s">
        <v>193</v>
      </c>
      <c r="G751" s="23">
        <v>15990.0</v>
      </c>
      <c r="H751" s="23">
        <v>5876.0</v>
      </c>
      <c r="I751" s="23">
        <v>3243.0</v>
      </c>
      <c r="J751" s="37"/>
      <c r="K751" s="37"/>
      <c r="L751" s="22">
        <v>3243.0</v>
      </c>
      <c r="M751" s="22">
        <v>3475.0</v>
      </c>
      <c r="N751" s="22">
        <v>3706.0</v>
      </c>
      <c r="O751" s="37"/>
      <c r="P751" s="26">
        <v>0.34</v>
      </c>
      <c r="Q751" s="26">
        <v>0.3</v>
      </c>
      <c r="R751" s="26">
        <v>0.25</v>
      </c>
    </row>
    <row r="752" ht="14.25" customHeight="1">
      <c r="A752" s="18" t="s">
        <v>1437</v>
      </c>
      <c r="B752" s="18" t="s">
        <v>1438</v>
      </c>
      <c r="C752" s="19" t="s">
        <v>1439</v>
      </c>
      <c r="D752" s="29" t="s">
        <v>1447</v>
      </c>
      <c r="E752" s="16" t="s">
        <v>1448</v>
      </c>
      <c r="F752" s="16" t="s">
        <v>193</v>
      </c>
      <c r="G752" s="23">
        <v>79990.0</v>
      </c>
      <c r="H752" s="23">
        <v>35288.0</v>
      </c>
      <c r="I752" s="23">
        <v>21620.0</v>
      </c>
      <c r="J752" s="37"/>
      <c r="K752" s="37"/>
      <c r="L752" s="22">
        <v>21620.0</v>
      </c>
      <c r="M752" s="22">
        <v>23164.0</v>
      </c>
      <c r="N752" s="22">
        <v>24709.0</v>
      </c>
      <c r="O752" s="37"/>
      <c r="P752" s="26">
        <v>0.27</v>
      </c>
      <c r="Q752" s="26">
        <v>0.22</v>
      </c>
      <c r="R752" s="26">
        <v>0.17</v>
      </c>
    </row>
    <row r="753" ht="14.25" customHeight="1">
      <c r="A753" s="18" t="s">
        <v>1437</v>
      </c>
      <c r="B753" s="18" t="s">
        <v>1449</v>
      </c>
      <c r="C753" s="19" t="s">
        <v>1450</v>
      </c>
      <c r="D753" s="20" t="s">
        <v>1451</v>
      </c>
      <c r="E753" s="38">
        <v>1.6503E12</v>
      </c>
      <c r="F753" s="19" t="s">
        <v>20</v>
      </c>
      <c r="G753" s="23">
        <v>119990.0</v>
      </c>
      <c r="H753" s="23">
        <v>41171.0</v>
      </c>
      <c r="I753" s="23">
        <v>20685.0</v>
      </c>
      <c r="J753" s="37"/>
      <c r="K753" s="37"/>
      <c r="L753" s="22">
        <v>20685.0</v>
      </c>
      <c r="M753" s="22">
        <v>22162.0</v>
      </c>
      <c r="N753" s="22">
        <v>23640.0</v>
      </c>
      <c r="O753" s="37"/>
      <c r="P753" s="26">
        <v>0.4</v>
      </c>
      <c r="Q753" s="26">
        <v>0.36</v>
      </c>
      <c r="R753" s="26">
        <v>0.32</v>
      </c>
    </row>
    <row r="754" ht="14.25" customHeight="1">
      <c r="A754" s="18" t="s">
        <v>1437</v>
      </c>
      <c r="B754" s="18" t="s">
        <v>1449</v>
      </c>
      <c r="C754" s="19" t="s">
        <v>1452</v>
      </c>
      <c r="D754" s="20" t="s">
        <v>1453</v>
      </c>
      <c r="E754" s="38">
        <v>6.73275E13</v>
      </c>
      <c r="F754" s="19" t="s">
        <v>134</v>
      </c>
      <c r="G754" s="23">
        <v>99990.0</v>
      </c>
      <c r="H754" s="23">
        <v>47053.0</v>
      </c>
      <c r="I754" s="23">
        <v>42222.0</v>
      </c>
      <c r="J754" s="37"/>
      <c r="K754" s="37"/>
      <c r="L754" s="22">
        <v>42222.0</v>
      </c>
      <c r="M754" s="22">
        <v>45238.0</v>
      </c>
      <c r="N754" s="22">
        <v>48254.0</v>
      </c>
      <c r="O754" s="37"/>
      <c r="P754" s="26">
        <v>-0.07</v>
      </c>
      <c r="Q754" s="26">
        <v>-0.14</v>
      </c>
      <c r="R754" s="26">
        <v>-0.22</v>
      </c>
    </row>
    <row r="755" ht="14.25" customHeight="1">
      <c r="A755" s="18" t="s">
        <v>1437</v>
      </c>
      <c r="B755" s="18" t="s">
        <v>1449</v>
      </c>
      <c r="C755" s="19" t="s">
        <v>1452</v>
      </c>
      <c r="D755" s="20" t="s">
        <v>1454</v>
      </c>
      <c r="E755" s="38">
        <v>1.6503E12</v>
      </c>
      <c r="F755" s="19" t="s">
        <v>20</v>
      </c>
      <c r="G755" s="23">
        <v>119990.0</v>
      </c>
      <c r="H755" s="23">
        <v>58818.0</v>
      </c>
      <c r="I755" s="23">
        <v>37374.0</v>
      </c>
      <c r="J755" s="37"/>
      <c r="K755" s="37"/>
      <c r="L755" s="22">
        <v>37374.0</v>
      </c>
      <c r="M755" s="22">
        <v>40043.0</v>
      </c>
      <c r="N755" s="22">
        <v>42713.0</v>
      </c>
      <c r="O755" s="37"/>
      <c r="P755" s="26">
        <v>0.24</v>
      </c>
      <c r="Q755" s="26">
        <v>0.19</v>
      </c>
      <c r="R755" s="26">
        <v>0.14</v>
      </c>
    </row>
    <row r="756" ht="14.25" customHeight="1">
      <c r="A756" s="18" t="s">
        <v>1437</v>
      </c>
      <c r="B756" s="18" t="s">
        <v>1449</v>
      </c>
      <c r="C756" s="19" t="s">
        <v>1455</v>
      </c>
      <c r="D756" s="20" t="s">
        <v>1456</v>
      </c>
      <c r="E756" s="38">
        <v>6.9746E13</v>
      </c>
      <c r="F756" s="19" t="s">
        <v>134</v>
      </c>
      <c r="G756" s="23">
        <v>29990.0</v>
      </c>
      <c r="H756" s="23">
        <v>11759.0</v>
      </c>
      <c r="I756" s="23">
        <v>8275.0</v>
      </c>
      <c r="J756" s="37"/>
      <c r="K756" s="37"/>
      <c r="L756" s="22">
        <v>8275.0</v>
      </c>
      <c r="M756" s="22">
        <v>8866.0</v>
      </c>
      <c r="N756" s="22">
        <v>9457.0</v>
      </c>
      <c r="O756" s="37"/>
      <c r="P756" s="26">
        <v>0.16</v>
      </c>
      <c r="Q756" s="26">
        <v>0.1</v>
      </c>
      <c r="R756" s="26">
        <v>0.04</v>
      </c>
    </row>
    <row r="757" ht="14.25" customHeight="1">
      <c r="A757" s="18" t="s">
        <v>1437</v>
      </c>
      <c r="B757" s="18" t="s">
        <v>1449</v>
      </c>
      <c r="C757" s="19" t="s">
        <v>1457</v>
      </c>
      <c r="D757" s="20" t="s">
        <v>1458</v>
      </c>
      <c r="E757" s="38">
        <v>1.6503E12</v>
      </c>
      <c r="F757" s="19" t="s">
        <v>20</v>
      </c>
      <c r="G757" s="23">
        <v>199990.0</v>
      </c>
      <c r="H757" s="23">
        <v>105876.0</v>
      </c>
      <c r="I757" s="23">
        <v>75949.0</v>
      </c>
      <c r="J757" s="37"/>
      <c r="K757" s="37"/>
      <c r="L757" s="22">
        <v>75949.0</v>
      </c>
      <c r="M757" s="22">
        <v>81374.0</v>
      </c>
      <c r="N757" s="22">
        <v>86799.0</v>
      </c>
      <c r="O757" s="37"/>
      <c r="P757" s="26">
        <v>0.15</v>
      </c>
      <c r="Q757" s="26">
        <v>0.09</v>
      </c>
      <c r="R757" s="26">
        <v>0.02</v>
      </c>
    </row>
    <row r="758" ht="14.25" customHeight="1">
      <c r="A758" s="18" t="s">
        <v>1437</v>
      </c>
      <c r="B758" s="18" t="s">
        <v>1459</v>
      </c>
      <c r="C758" s="19" t="s">
        <v>1460</v>
      </c>
      <c r="D758" s="20" t="s">
        <v>1461</v>
      </c>
      <c r="E758" s="19" t="s">
        <v>1462</v>
      </c>
      <c r="F758" s="16" t="s">
        <v>20</v>
      </c>
      <c r="G758" s="23">
        <v>99990.0</v>
      </c>
      <c r="H758" s="23">
        <v>58818.0</v>
      </c>
      <c r="I758" s="23">
        <v>29945.0</v>
      </c>
      <c r="J758" s="37"/>
      <c r="K758" s="37"/>
      <c r="L758" s="22">
        <v>29945.0</v>
      </c>
      <c r="M758" s="22">
        <v>32084.0</v>
      </c>
      <c r="N758" s="22">
        <v>34223.0</v>
      </c>
      <c r="O758" s="37"/>
      <c r="P758" s="26">
        <v>0.39</v>
      </c>
      <c r="Q758" s="26">
        <v>0.35</v>
      </c>
      <c r="R758" s="26">
        <v>0.31</v>
      </c>
    </row>
    <row r="759" ht="14.25" customHeight="1">
      <c r="A759" s="18" t="s">
        <v>1437</v>
      </c>
      <c r="B759" s="18" t="s">
        <v>1459</v>
      </c>
      <c r="C759" s="19" t="s">
        <v>1460</v>
      </c>
      <c r="D759" s="20" t="s">
        <v>1463</v>
      </c>
      <c r="E759" s="19" t="s">
        <v>1464</v>
      </c>
      <c r="F759" s="16" t="s">
        <v>20</v>
      </c>
      <c r="G759" s="23">
        <v>349990.0</v>
      </c>
      <c r="H759" s="23">
        <v>147053.0</v>
      </c>
      <c r="I759" s="23">
        <v>92122.0</v>
      </c>
      <c r="J759" s="37"/>
      <c r="K759" s="37"/>
      <c r="L759" s="22">
        <v>92122.0</v>
      </c>
      <c r="M759" s="22">
        <v>98702.0</v>
      </c>
      <c r="N759" s="22">
        <v>105283.0</v>
      </c>
      <c r="O759" s="37"/>
      <c r="P759" s="26">
        <v>0.25</v>
      </c>
      <c r="Q759" s="26">
        <v>0.2</v>
      </c>
      <c r="R759" s="26">
        <v>0.15</v>
      </c>
    </row>
    <row r="760" ht="14.25" customHeight="1">
      <c r="A760" s="18" t="s">
        <v>1437</v>
      </c>
      <c r="B760" s="18" t="s">
        <v>1465</v>
      </c>
      <c r="C760" s="19" t="s">
        <v>1466</v>
      </c>
      <c r="D760" s="20" t="s">
        <v>1467</v>
      </c>
      <c r="E760" s="19" t="s">
        <v>1468</v>
      </c>
      <c r="F760" s="16" t="s">
        <v>20</v>
      </c>
      <c r="G760" s="23">
        <v>99990.0</v>
      </c>
      <c r="H760" s="23">
        <v>47053.0</v>
      </c>
      <c r="I760" s="23">
        <v>24502.0</v>
      </c>
      <c r="J760" s="37"/>
      <c r="K760" s="37"/>
      <c r="L760" s="22">
        <v>24502.0</v>
      </c>
      <c r="M760" s="22">
        <v>26252.0</v>
      </c>
      <c r="N760" s="22">
        <v>28002.0</v>
      </c>
      <c r="O760" s="37"/>
      <c r="P760" s="26">
        <v>0.38</v>
      </c>
      <c r="Q760" s="26">
        <v>0.34</v>
      </c>
      <c r="R760" s="26">
        <v>0.29</v>
      </c>
    </row>
    <row r="761" ht="14.25" customHeight="1">
      <c r="A761" s="18" t="s">
        <v>1437</v>
      </c>
      <c r="B761" s="18" t="s">
        <v>1465</v>
      </c>
      <c r="C761" s="19" t="s">
        <v>1466</v>
      </c>
      <c r="D761" s="29" t="s">
        <v>1469</v>
      </c>
      <c r="E761" s="16" t="s">
        <v>1470</v>
      </c>
      <c r="F761" s="16" t="s">
        <v>193</v>
      </c>
      <c r="G761" s="23">
        <v>39990.0</v>
      </c>
      <c r="H761" s="23">
        <v>14700.0</v>
      </c>
      <c r="I761" s="23">
        <v>8108.0</v>
      </c>
      <c r="J761" s="37"/>
      <c r="K761" s="37"/>
      <c r="L761" s="22">
        <v>8108.0</v>
      </c>
      <c r="M761" s="22">
        <v>8687.0</v>
      </c>
      <c r="N761" s="22">
        <v>9266.0</v>
      </c>
      <c r="O761" s="37"/>
      <c r="P761" s="26">
        <v>0.34</v>
      </c>
      <c r="Q761" s="26">
        <v>0.3</v>
      </c>
      <c r="R761" s="26">
        <v>0.25</v>
      </c>
    </row>
    <row r="762" ht="14.25" customHeight="1">
      <c r="A762" s="30" t="s">
        <v>1437</v>
      </c>
      <c r="B762" s="18" t="s">
        <v>1465</v>
      </c>
      <c r="C762" s="19" t="s">
        <v>1471</v>
      </c>
      <c r="D762" s="20" t="s">
        <v>1472</v>
      </c>
      <c r="E762" s="19" t="s">
        <v>1473</v>
      </c>
      <c r="F762" s="19" t="s">
        <v>20</v>
      </c>
      <c r="G762" s="23">
        <v>99990.0</v>
      </c>
      <c r="H762" s="23">
        <v>47053.0</v>
      </c>
      <c r="I762" s="23">
        <v>30049.0</v>
      </c>
      <c r="J762" s="37"/>
      <c r="K762" s="37"/>
      <c r="L762" s="22">
        <v>30049.0</v>
      </c>
      <c r="M762" s="22">
        <v>32195.0</v>
      </c>
      <c r="N762" s="22">
        <v>34341.0</v>
      </c>
      <c r="O762" s="37"/>
      <c r="P762" s="26">
        <v>0.24</v>
      </c>
      <c r="Q762" s="26">
        <v>0.19</v>
      </c>
      <c r="R762" s="26">
        <v>0.13</v>
      </c>
    </row>
    <row r="763" ht="14.25" customHeight="1">
      <c r="A763" s="31" t="s">
        <v>1474</v>
      </c>
      <c r="B763" s="41"/>
      <c r="C763" s="41"/>
      <c r="D763" s="32"/>
      <c r="E763" s="41"/>
      <c r="F763" s="41"/>
      <c r="G763" s="34">
        <v>1461840.0</v>
      </c>
      <c r="H763" s="34">
        <v>660494.0</v>
      </c>
      <c r="I763" s="34">
        <v>416175.0</v>
      </c>
      <c r="J763" s="37"/>
      <c r="K763" s="37"/>
      <c r="L763" s="37"/>
      <c r="M763" s="37"/>
      <c r="N763" s="37"/>
      <c r="O763" s="37"/>
      <c r="P763" s="37"/>
      <c r="Q763" s="37"/>
      <c r="R763" s="37"/>
    </row>
    <row r="764" ht="14.25" customHeight="1">
      <c r="A764" s="18" t="s">
        <v>1475</v>
      </c>
      <c r="B764" s="18" t="s">
        <v>1476</v>
      </c>
      <c r="C764" s="19" t="s">
        <v>1477</v>
      </c>
      <c r="D764" s="20" t="s">
        <v>1478</v>
      </c>
      <c r="E764" s="19" t="s">
        <v>1479</v>
      </c>
      <c r="F764" s="16" t="s">
        <v>20</v>
      </c>
      <c r="G764" s="23">
        <v>49990.0</v>
      </c>
      <c r="H764" s="23">
        <v>17641.0</v>
      </c>
      <c r="I764" s="23">
        <v>11995.0</v>
      </c>
      <c r="J764" s="37"/>
      <c r="K764" s="37"/>
      <c r="L764" s="22">
        <v>11995.0</v>
      </c>
      <c r="M764" s="22">
        <v>12852.0</v>
      </c>
      <c r="N764" s="22">
        <v>13709.0</v>
      </c>
      <c r="O764" s="37"/>
      <c r="P764" s="26">
        <v>0.19</v>
      </c>
      <c r="Q764" s="26">
        <v>0.13</v>
      </c>
      <c r="R764" s="26">
        <v>0.08</v>
      </c>
    </row>
    <row r="765" ht="14.25" customHeight="1">
      <c r="A765" s="30" t="s">
        <v>1475</v>
      </c>
      <c r="B765" s="18" t="s">
        <v>1476</v>
      </c>
      <c r="C765" s="19" t="s">
        <v>1480</v>
      </c>
      <c r="D765" s="20" t="s">
        <v>1481</v>
      </c>
      <c r="E765" s="19" t="s">
        <v>1482</v>
      </c>
      <c r="F765" s="16" t="s">
        <v>20</v>
      </c>
      <c r="G765" s="23">
        <v>119990.0</v>
      </c>
      <c r="H765" s="23">
        <v>52935.0</v>
      </c>
      <c r="I765" s="23">
        <v>25125.0</v>
      </c>
      <c r="J765" s="37"/>
      <c r="K765" s="37"/>
      <c r="L765" s="22">
        <v>25125.0</v>
      </c>
      <c r="M765" s="22">
        <v>26920.0</v>
      </c>
      <c r="N765" s="22">
        <v>28714.0</v>
      </c>
      <c r="O765" s="37"/>
      <c r="P765" s="26">
        <v>0.44</v>
      </c>
      <c r="Q765" s="26">
        <v>0.39</v>
      </c>
      <c r="R765" s="26">
        <v>0.35</v>
      </c>
    </row>
    <row r="766" ht="14.25" customHeight="1">
      <c r="A766" s="31" t="s">
        <v>1483</v>
      </c>
      <c r="B766" s="41"/>
      <c r="C766" s="41"/>
      <c r="D766" s="32"/>
      <c r="E766" s="41"/>
      <c r="F766" s="41"/>
      <c r="G766" s="34">
        <v>169980.0</v>
      </c>
      <c r="H766" s="34">
        <v>70576.0</v>
      </c>
      <c r="I766" s="34">
        <v>37120.0</v>
      </c>
      <c r="J766" s="37"/>
      <c r="K766" s="37"/>
      <c r="L766" s="37"/>
      <c r="M766" s="37"/>
      <c r="N766" s="37"/>
      <c r="O766" s="37"/>
      <c r="P766" s="37"/>
      <c r="Q766" s="37"/>
      <c r="R766" s="37"/>
    </row>
    <row r="767" ht="14.25" customHeight="1">
      <c r="A767" s="18" t="s">
        <v>1484</v>
      </c>
      <c r="B767" s="28" t="s">
        <v>126</v>
      </c>
      <c r="C767" s="16" t="s">
        <v>1485</v>
      </c>
      <c r="D767" s="29" t="s">
        <v>1486</v>
      </c>
      <c r="E767" s="16" t="s">
        <v>1487</v>
      </c>
      <c r="F767" s="16" t="s">
        <v>20</v>
      </c>
      <c r="G767" s="23">
        <v>17990.0</v>
      </c>
      <c r="H767" s="23">
        <v>9994.0</v>
      </c>
      <c r="I767" s="23">
        <v>7500.0</v>
      </c>
      <c r="J767" s="37"/>
      <c r="K767" s="37"/>
      <c r="L767" s="22">
        <v>7500.0</v>
      </c>
      <c r="M767" s="22">
        <v>8036.0</v>
      </c>
      <c r="N767" s="22">
        <v>8571.0</v>
      </c>
      <c r="O767" s="37"/>
      <c r="P767" s="26">
        <v>0.11</v>
      </c>
      <c r="Q767" s="26">
        <v>0.04</v>
      </c>
      <c r="R767" s="26">
        <v>-0.02</v>
      </c>
    </row>
    <row r="768" ht="14.25" customHeight="1">
      <c r="A768" s="18" t="s">
        <v>1484</v>
      </c>
      <c r="B768" s="28" t="s">
        <v>126</v>
      </c>
      <c r="C768" s="16" t="s">
        <v>1485</v>
      </c>
      <c r="D768" s="29" t="s">
        <v>1488</v>
      </c>
      <c r="E768" s="16" t="s">
        <v>1489</v>
      </c>
      <c r="F768" s="16" t="s">
        <v>20</v>
      </c>
      <c r="G768" s="23">
        <v>17990.0</v>
      </c>
      <c r="H768" s="23">
        <v>9994.0</v>
      </c>
      <c r="I768" s="23">
        <v>7500.0</v>
      </c>
      <c r="J768" s="37"/>
      <c r="K768" s="37"/>
      <c r="L768" s="22">
        <v>7500.0</v>
      </c>
      <c r="M768" s="22">
        <v>8036.0</v>
      </c>
      <c r="N768" s="22">
        <v>8571.0</v>
      </c>
      <c r="O768" s="37"/>
      <c r="P768" s="26">
        <v>0.11</v>
      </c>
      <c r="Q768" s="26">
        <v>0.04</v>
      </c>
      <c r="R768" s="26">
        <v>-0.02</v>
      </c>
    </row>
    <row r="769" ht="14.25" customHeight="1">
      <c r="A769" s="18" t="s">
        <v>1484</v>
      </c>
      <c r="B769" s="28" t="s">
        <v>126</v>
      </c>
      <c r="C769" s="16" t="s">
        <v>1485</v>
      </c>
      <c r="D769" s="29" t="s">
        <v>1490</v>
      </c>
      <c r="E769" s="16" t="s">
        <v>1491</v>
      </c>
      <c r="F769" s="16" t="s">
        <v>20</v>
      </c>
      <c r="G769" s="23">
        <v>17990.0</v>
      </c>
      <c r="H769" s="23">
        <v>9994.0</v>
      </c>
      <c r="I769" s="23">
        <v>7500.0</v>
      </c>
      <c r="J769" s="37"/>
      <c r="K769" s="37"/>
      <c r="L769" s="22">
        <v>7500.0</v>
      </c>
      <c r="M769" s="22">
        <v>8036.0</v>
      </c>
      <c r="N769" s="22">
        <v>8571.0</v>
      </c>
      <c r="O769" s="37"/>
      <c r="P769" s="26">
        <v>0.11</v>
      </c>
      <c r="Q769" s="26">
        <v>0.04</v>
      </c>
      <c r="R769" s="26">
        <v>-0.02</v>
      </c>
    </row>
    <row r="770" ht="14.25" customHeight="1">
      <c r="A770" s="18" t="s">
        <v>1484</v>
      </c>
      <c r="B770" s="28" t="s">
        <v>126</v>
      </c>
      <c r="C770" s="16" t="s">
        <v>1485</v>
      </c>
      <c r="D770" s="29" t="s">
        <v>1492</v>
      </c>
      <c r="E770" s="16" t="s">
        <v>1493</v>
      </c>
      <c r="F770" s="16" t="s">
        <v>20</v>
      </c>
      <c r="G770" s="23">
        <v>17990.0</v>
      </c>
      <c r="H770" s="23">
        <v>9994.0</v>
      </c>
      <c r="I770" s="23">
        <v>7500.0</v>
      </c>
      <c r="J770" s="37"/>
      <c r="K770" s="37"/>
      <c r="L770" s="22">
        <v>7500.0</v>
      </c>
      <c r="M770" s="22">
        <v>8036.0</v>
      </c>
      <c r="N770" s="22">
        <v>8571.0</v>
      </c>
      <c r="O770" s="37"/>
      <c r="P770" s="26">
        <v>0.11</v>
      </c>
      <c r="Q770" s="26">
        <v>0.04</v>
      </c>
      <c r="R770" s="26">
        <v>-0.02</v>
      </c>
    </row>
    <row r="771" ht="14.25" customHeight="1">
      <c r="A771" s="18" t="s">
        <v>1484</v>
      </c>
      <c r="B771" s="28" t="s">
        <v>126</v>
      </c>
      <c r="C771" s="16" t="s">
        <v>1485</v>
      </c>
      <c r="D771" s="29" t="s">
        <v>1494</v>
      </c>
      <c r="E771" s="16" t="s">
        <v>1495</v>
      </c>
      <c r="F771" s="16" t="s">
        <v>20</v>
      </c>
      <c r="G771" s="23">
        <v>19990.0</v>
      </c>
      <c r="H771" s="23">
        <v>11171.0</v>
      </c>
      <c r="I771" s="23">
        <v>7500.0</v>
      </c>
      <c r="J771" s="37"/>
      <c r="K771" s="37"/>
      <c r="L771" s="22">
        <v>7500.0</v>
      </c>
      <c r="M771" s="22">
        <v>8036.0</v>
      </c>
      <c r="N771" s="22">
        <v>8571.0</v>
      </c>
      <c r="O771" s="37"/>
      <c r="P771" s="26">
        <v>0.2</v>
      </c>
      <c r="Q771" s="26">
        <v>0.14</v>
      </c>
      <c r="R771" s="26">
        <v>0.09</v>
      </c>
    </row>
    <row r="772" ht="14.25" customHeight="1">
      <c r="A772" s="18" t="s">
        <v>1484</v>
      </c>
      <c r="B772" s="28" t="s">
        <v>126</v>
      </c>
      <c r="C772" s="16" t="s">
        <v>1485</v>
      </c>
      <c r="D772" s="29" t="s">
        <v>1496</v>
      </c>
      <c r="E772" s="16" t="s">
        <v>1497</v>
      </c>
      <c r="F772" s="16" t="s">
        <v>20</v>
      </c>
      <c r="G772" s="23">
        <v>19990.0</v>
      </c>
      <c r="H772" s="23">
        <v>11171.0</v>
      </c>
      <c r="I772" s="23">
        <v>7500.0</v>
      </c>
      <c r="J772" s="37"/>
      <c r="K772" s="37"/>
      <c r="L772" s="22">
        <v>7500.0</v>
      </c>
      <c r="M772" s="22">
        <v>8036.0</v>
      </c>
      <c r="N772" s="22">
        <v>8571.0</v>
      </c>
      <c r="O772" s="37"/>
      <c r="P772" s="26">
        <v>0.2</v>
      </c>
      <c r="Q772" s="26">
        <v>0.14</v>
      </c>
      <c r="R772" s="26">
        <v>0.09</v>
      </c>
    </row>
    <row r="773" ht="14.25" customHeight="1">
      <c r="A773" s="18" t="s">
        <v>1484</v>
      </c>
      <c r="B773" s="28" t="s">
        <v>126</v>
      </c>
      <c r="C773" s="16" t="s">
        <v>1485</v>
      </c>
      <c r="D773" s="29" t="s">
        <v>1498</v>
      </c>
      <c r="E773" s="16" t="s">
        <v>1499</v>
      </c>
      <c r="F773" s="16" t="s">
        <v>20</v>
      </c>
      <c r="G773" s="23">
        <v>19990.0</v>
      </c>
      <c r="H773" s="23">
        <v>11171.0</v>
      </c>
      <c r="I773" s="23">
        <v>7500.0</v>
      </c>
      <c r="J773" s="37"/>
      <c r="K773" s="37"/>
      <c r="L773" s="22">
        <v>7500.0</v>
      </c>
      <c r="M773" s="22">
        <v>8036.0</v>
      </c>
      <c r="N773" s="22">
        <v>8571.0</v>
      </c>
      <c r="O773" s="37"/>
      <c r="P773" s="26">
        <v>0.2</v>
      </c>
      <c r="Q773" s="26">
        <v>0.14</v>
      </c>
      <c r="R773" s="26">
        <v>0.09</v>
      </c>
    </row>
    <row r="774" ht="14.25" customHeight="1">
      <c r="A774" s="30" t="s">
        <v>1484</v>
      </c>
      <c r="B774" s="28" t="s">
        <v>126</v>
      </c>
      <c r="C774" s="16" t="s">
        <v>1485</v>
      </c>
      <c r="D774" s="29" t="s">
        <v>1500</v>
      </c>
      <c r="E774" s="16" t="s">
        <v>1501</v>
      </c>
      <c r="F774" s="16" t="s">
        <v>20</v>
      </c>
      <c r="G774" s="23">
        <v>19990.0</v>
      </c>
      <c r="H774" s="23">
        <v>11171.0</v>
      </c>
      <c r="I774" s="23">
        <v>7500.0</v>
      </c>
      <c r="J774" s="37"/>
      <c r="K774" s="37"/>
      <c r="L774" s="22">
        <v>7500.0</v>
      </c>
      <c r="M774" s="22">
        <v>8036.0</v>
      </c>
      <c r="N774" s="22">
        <v>8571.0</v>
      </c>
      <c r="O774" s="37"/>
      <c r="P774" s="26">
        <v>0.2</v>
      </c>
      <c r="Q774" s="26">
        <v>0.14</v>
      </c>
      <c r="R774" s="26">
        <v>0.09</v>
      </c>
    </row>
    <row r="775" ht="14.25" customHeight="1">
      <c r="A775" s="31" t="s">
        <v>1502</v>
      </c>
      <c r="B775" s="41"/>
      <c r="C775" s="41"/>
      <c r="D775" s="32"/>
      <c r="E775" s="41"/>
      <c r="F775" s="41"/>
      <c r="G775" s="34">
        <v>151920.0</v>
      </c>
      <c r="H775" s="34">
        <v>84659.0</v>
      </c>
      <c r="I775" s="34">
        <v>60000.0</v>
      </c>
      <c r="J775" s="37"/>
      <c r="K775" s="37"/>
      <c r="L775" s="37"/>
      <c r="M775" s="37"/>
      <c r="N775" s="37"/>
      <c r="O775" s="37"/>
      <c r="P775" s="37"/>
      <c r="Q775" s="37"/>
      <c r="R775" s="37"/>
    </row>
    <row r="776" ht="14.25" customHeight="1">
      <c r="A776" s="42" t="s">
        <v>1503</v>
      </c>
      <c r="B776" s="43" t="s">
        <v>598</v>
      </c>
      <c r="C776" s="44" t="s">
        <v>599</v>
      </c>
      <c r="D776" s="45" t="s">
        <v>1504</v>
      </c>
      <c r="E776" s="44" t="s">
        <v>1505</v>
      </c>
      <c r="F776" s="44" t="s">
        <v>193</v>
      </c>
      <c r="G776" s="46">
        <v>16990.0</v>
      </c>
      <c r="H776" s="46">
        <v>8818.0</v>
      </c>
      <c r="I776" s="46">
        <v>3816.0</v>
      </c>
      <c r="J776" s="37"/>
      <c r="K776" s="37"/>
      <c r="L776" s="47">
        <v>3816.0</v>
      </c>
      <c r="M776" s="47">
        <v>4088.0</v>
      </c>
      <c r="N776" s="47">
        <v>4361.0</v>
      </c>
      <c r="O776" s="37"/>
      <c r="P776" s="48">
        <v>0.49</v>
      </c>
      <c r="Q776" s="48">
        <v>0.45</v>
      </c>
      <c r="R776" s="48">
        <v>0.41</v>
      </c>
    </row>
    <row r="777" ht="14.25" customHeight="1">
      <c r="A777" s="42" t="s">
        <v>1503</v>
      </c>
      <c r="B777" s="43" t="s">
        <v>598</v>
      </c>
      <c r="C777" s="44" t="s">
        <v>599</v>
      </c>
      <c r="D777" s="45" t="s">
        <v>1506</v>
      </c>
      <c r="E777" s="44" t="s">
        <v>1507</v>
      </c>
      <c r="F777" s="44" t="s">
        <v>193</v>
      </c>
      <c r="G777" s="46">
        <v>16990.0</v>
      </c>
      <c r="H777" s="46">
        <v>8818.0</v>
      </c>
      <c r="I777" s="46">
        <v>3816.0</v>
      </c>
      <c r="J777" s="37"/>
      <c r="K777" s="37"/>
      <c r="L777" s="47">
        <v>3816.0</v>
      </c>
      <c r="M777" s="47">
        <v>4088.0</v>
      </c>
      <c r="N777" s="47">
        <v>4361.0</v>
      </c>
      <c r="O777" s="37"/>
      <c r="P777" s="48">
        <v>0.49</v>
      </c>
      <c r="Q777" s="48">
        <v>0.45</v>
      </c>
      <c r="R777" s="48">
        <v>0.41</v>
      </c>
    </row>
    <row r="778" ht="14.25" customHeight="1">
      <c r="A778" s="42" t="s">
        <v>1503</v>
      </c>
      <c r="B778" s="43" t="s">
        <v>598</v>
      </c>
      <c r="C778" s="44" t="s">
        <v>599</v>
      </c>
      <c r="D778" s="45" t="s">
        <v>1508</v>
      </c>
      <c r="E778" s="44" t="s">
        <v>1509</v>
      </c>
      <c r="F778" s="44" t="s">
        <v>193</v>
      </c>
      <c r="G778" s="46">
        <v>16990.0</v>
      </c>
      <c r="H778" s="46">
        <v>8818.0</v>
      </c>
      <c r="I778" s="46">
        <v>3816.0</v>
      </c>
      <c r="J778" s="37"/>
      <c r="K778" s="37"/>
      <c r="L778" s="47">
        <v>3816.0</v>
      </c>
      <c r="M778" s="47">
        <v>4088.0</v>
      </c>
      <c r="N778" s="47">
        <v>4361.0</v>
      </c>
      <c r="O778" s="37"/>
      <c r="P778" s="48">
        <v>0.49</v>
      </c>
      <c r="Q778" s="48">
        <v>0.45</v>
      </c>
      <c r="R778" s="48">
        <v>0.41</v>
      </c>
    </row>
    <row r="779" ht="14.25" customHeight="1">
      <c r="A779" s="42" t="s">
        <v>1503</v>
      </c>
      <c r="B779" s="43" t="s">
        <v>598</v>
      </c>
      <c r="C779" s="44" t="s">
        <v>599</v>
      </c>
      <c r="D779" s="45" t="s">
        <v>1510</v>
      </c>
      <c r="E779" s="44" t="s">
        <v>1511</v>
      </c>
      <c r="F779" s="44" t="s">
        <v>193</v>
      </c>
      <c r="G779" s="46">
        <v>16990.0</v>
      </c>
      <c r="H779" s="46">
        <v>8818.0</v>
      </c>
      <c r="I779" s="46">
        <v>3967.0</v>
      </c>
      <c r="J779" s="37"/>
      <c r="K779" s="37"/>
      <c r="L779" s="47">
        <v>3967.0</v>
      </c>
      <c r="M779" s="47">
        <v>4251.0</v>
      </c>
      <c r="N779" s="47">
        <v>4534.0</v>
      </c>
      <c r="O779" s="37"/>
      <c r="P779" s="48">
        <v>0.46</v>
      </c>
      <c r="Q779" s="48">
        <v>0.43</v>
      </c>
      <c r="R779" s="48">
        <v>0.39</v>
      </c>
    </row>
    <row r="780" ht="14.25" customHeight="1">
      <c r="A780" s="42" t="s">
        <v>1503</v>
      </c>
      <c r="B780" s="43" t="s">
        <v>598</v>
      </c>
      <c r="C780" s="44" t="s">
        <v>599</v>
      </c>
      <c r="D780" s="45" t="s">
        <v>1512</v>
      </c>
      <c r="E780" s="44" t="s">
        <v>1513</v>
      </c>
      <c r="F780" s="44" t="s">
        <v>193</v>
      </c>
      <c r="G780" s="46">
        <v>16990.0</v>
      </c>
      <c r="H780" s="46">
        <v>8818.0</v>
      </c>
      <c r="I780" s="46">
        <v>3967.0</v>
      </c>
      <c r="J780" s="37"/>
      <c r="K780" s="37"/>
      <c r="L780" s="47">
        <v>3967.0</v>
      </c>
      <c r="M780" s="47">
        <v>4251.0</v>
      </c>
      <c r="N780" s="47">
        <v>4534.0</v>
      </c>
      <c r="O780" s="37"/>
      <c r="P780" s="48">
        <v>0.46</v>
      </c>
      <c r="Q780" s="48">
        <v>0.43</v>
      </c>
      <c r="R780" s="48">
        <v>0.39</v>
      </c>
    </row>
    <row r="781" ht="14.25" customHeight="1">
      <c r="A781" s="42" t="s">
        <v>1503</v>
      </c>
      <c r="B781" s="43" t="s">
        <v>598</v>
      </c>
      <c r="C781" s="44" t="s">
        <v>599</v>
      </c>
      <c r="D781" s="45" t="s">
        <v>1514</v>
      </c>
      <c r="E781" s="44" t="s">
        <v>1515</v>
      </c>
      <c r="F781" s="44" t="s">
        <v>193</v>
      </c>
      <c r="G781" s="46">
        <v>16990.0</v>
      </c>
      <c r="H781" s="46">
        <v>8818.0</v>
      </c>
      <c r="I781" s="46">
        <v>3967.0</v>
      </c>
      <c r="J781" s="37"/>
      <c r="K781" s="37"/>
      <c r="L781" s="47">
        <v>3967.0</v>
      </c>
      <c r="M781" s="47">
        <v>4251.0</v>
      </c>
      <c r="N781" s="47">
        <v>4534.0</v>
      </c>
      <c r="O781" s="37"/>
      <c r="P781" s="48">
        <v>0.46</v>
      </c>
      <c r="Q781" s="48">
        <v>0.43</v>
      </c>
      <c r="R781" s="48">
        <v>0.39</v>
      </c>
    </row>
    <row r="782" ht="14.25" customHeight="1">
      <c r="A782" s="42" t="s">
        <v>1503</v>
      </c>
      <c r="B782" s="43" t="s">
        <v>598</v>
      </c>
      <c r="C782" s="44" t="s">
        <v>599</v>
      </c>
      <c r="D782" s="45" t="s">
        <v>1516</v>
      </c>
      <c r="E782" s="44" t="s">
        <v>1517</v>
      </c>
      <c r="F782" s="44" t="s">
        <v>193</v>
      </c>
      <c r="G782" s="46">
        <v>21990.0</v>
      </c>
      <c r="H782" s="46">
        <v>11759.0</v>
      </c>
      <c r="I782" s="46">
        <v>4962.0</v>
      </c>
      <c r="J782" s="37"/>
      <c r="K782" s="37"/>
      <c r="L782" s="47">
        <v>4962.0</v>
      </c>
      <c r="M782" s="47">
        <v>5316.0</v>
      </c>
      <c r="N782" s="47">
        <v>5671.0</v>
      </c>
      <c r="O782" s="37"/>
      <c r="P782" s="48">
        <v>0.5</v>
      </c>
      <c r="Q782" s="48">
        <v>0.46</v>
      </c>
      <c r="R782" s="48">
        <v>0.43</v>
      </c>
    </row>
    <row r="783" ht="14.25" customHeight="1">
      <c r="A783" s="42" t="s">
        <v>1503</v>
      </c>
      <c r="B783" s="43" t="s">
        <v>598</v>
      </c>
      <c r="C783" s="44" t="s">
        <v>599</v>
      </c>
      <c r="D783" s="45" t="s">
        <v>1518</v>
      </c>
      <c r="E783" s="44" t="s">
        <v>1519</v>
      </c>
      <c r="F783" s="44" t="s">
        <v>193</v>
      </c>
      <c r="G783" s="46">
        <v>21990.0</v>
      </c>
      <c r="H783" s="46">
        <v>11759.0</v>
      </c>
      <c r="I783" s="46">
        <v>4962.0</v>
      </c>
      <c r="J783" s="37"/>
      <c r="K783" s="37"/>
      <c r="L783" s="47">
        <v>4962.0</v>
      </c>
      <c r="M783" s="47">
        <v>5316.0</v>
      </c>
      <c r="N783" s="47">
        <v>5671.0</v>
      </c>
      <c r="O783" s="37"/>
      <c r="P783" s="48">
        <v>0.5</v>
      </c>
      <c r="Q783" s="48">
        <v>0.46</v>
      </c>
      <c r="R783" s="48">
        <v>0.43</v>
      </c>
    </row>
    <row r="784" ht="14.25" customHeight="1">
      <c r="A784" s="42" t="s">
        <v>1503</v>
      </c>
      <c r="B784" s="43" t="s">
        <v>598</v>
      </c>
      <c r="C784" s="44" t="s">
        <v>599</v>
      </c>
      <c r="D784" s="45" t="s">
        <v>1520</v>
      </c>
      <c r="E784" s="44" t="s">
        <v>1521</v>
      </c>
      <c r="F784" s="44" t="s">
        <v>193</v>
      </c>
      <c r="G784" s="46">
        <v>21990.0</v>
      </c>
      <c r="H784" s="46">
        <v>11759.0</v>
      </c>
      <c r="I784" s="46">
        <v>4962.0</v>
      </c>
      <c r="J784" s="37"/>
      <c r="K784" s="37"/>
      <c r="L784" s="47">
        <v>4962.0</v>
      </c>
      <c r="M784" s="47">
        <v>5316.0</v>
      </c>
      <c r="N784" s="47">
        <v>5671.0</v>
      </c>
      <c r="O784" s="37"/>
      <c r="P784" s="48">
        <v>0.5</v>
      </c>
      <c r="Q784" s="48">
        <v>0.46</v>
      </c>
      <c r="R784" s="48">
        <v>0.43</v>
      </c>
    </row>
    <row r="785" ht="14.25" customHeight="1">
      <c r="A785" s="42" t="s">
        <v>1503</v>
      </c>
      <c r="B785" s="43" t="s">
        <v>598</v>
      </c>
      <c r="C785" s="44" t="s">
        <v>599</v>
      </c>
      <c r="D785" s="45" t="s">
        <v>1522</v>
      </c>
      <c r="E785" s="44" t="s">
        <v>1523</v>
      </c>
      <c r="F785" s="44" t="s">
        <v>193</v>
      </c>
      <c r="G785" s="46">
        <v>21990.0</v>
      </c>
      <c r="H785" s="46">
        <v>11759.0</v>
      </c>
      <c r="I785" s="46">
        <v>4962.0</v>
      </c>
      <c r="J785" s="37"/>
      <c r="K785" s="37"/>
      <c r="L785" s="47">
        <v>4962.0</v>
      </c>
      <c r="M785" s="47">
        <v>5316.0</v>
      </c>
      <c r="N785" s="47">
        <v>5671.0</v>
      </c>
      <c r="O785" s="37"/>
      <c r="P785" s="48">
        <v>0.5</v>
      </c>
      <c r="Q785" s="48">
        <v>0.46</v>
      </c>
      <c r="R785" s="48">
        <v>0.43</v>
      </c>
    </row>
    <row r="786" ht="14.25" customHeight="1">
      <c r="A786" s="42" t="s">
        <v>1503</v>
      </c>
      <c r="B786" s="43" t="s">
        <v>598</v>
      </c>
      <c r="C786" s="44" t="s">
        <v>599</v>
      </c>
      <c r="D786" s="45" t="s">
        <v>1524</v>
      </c>
      <c r="E786" s="44" t="s">
        <v>1525</v>
      </c>
      <c r="F786" s="44" t="s">
        <v>193</v>
      </c>
      <c r="G786" s="46">
        <v>19990.0</v>
      </c>
      <c r="H786" s="46">
        <v>10582.0</v>
      </c>
      <c r="I786" s="46">
        <v>4529.0</v>
      </c>
      <c r="J786" s="37"/>
      <c r="K786" s="37"/>
      <c r="L786" s="47">
        <v>4529.0</v>
      </c>
      <c r="M786" s="47">
        <v>4853.0</v>
      </c>
      <c r="N786" s="47">
        <v>5176.0</v>
      </c>
      <c r="O786" s="37"/>
      <c r="P786" s="48">
        <v>0.49</v>
      </c>
      <c r="Q786" s="48">
        <v>0.45</v>
      </c>
      <c r="R786" s="48">
        <v>0.42</v>
      </c>
    </row>
    <row r="787" ht="14.25" customHeight="1">
      <c r="A787" s="42" t="s">
        <v>1503</v>
      </c>
      <c r="B787" s="43" t="s">
        <v>598</v>
      </c>
      <c r="C787" s="44" t="s">
        <v>599</v>
      </c>
      <c r="D787" s="45" t="s">
        <v>1526</v>
      </c>
      <c r="E787" s="44" t="s">
        <v>1527</v>
      </c>
      <c r="F787" s="44" t="s">
        <v>193</v>
      </c>
      <c r="G787" s="46">
        <v>19990.0</v>
      </c>
      <c r="H787" s="46">
        <v>10582.0</v>
      </c>
      <c r="I787" s="46">
        <v>4529.0</v>
      </c>
      <c r="J787" s="37"/>
      <c r="K787" s="37"/>
      <c r="L787" s="47">
        <v>4529.0</v>
      </c>
      <c r="M787" s="47">
        <v>4853.0</v>
      </c>
      <c r="N787" s="47">
        <v>5176.0</v>
      </c>
      <c r="O787" s="37"/>
      <c r="P787" s="48">
        <v>0.49</v>
      </c>
      <c r="Q787" s="48">
        <v>0.45</v>
      </c>
      <c r="R787" s="48">
        <v>0.42</v>
      </c>
    </row>
    <row r="788" ht="14.25" customHeight="1">
      <c r="A788" s="42" t="s">
        <v>1503</v>
      </c>
      <c r="B788" s="43" t="s">
        <v>598</v>
      </c>
      <c r="C788" s="44" t="s">
        <v>599</v>
      </c>
      <c r="D788" s="45" t="s">
        <v>1528</v>
      </c>
      <c r="E788" s="44" t="s">
        <v>1529</v>
      </c>
      <c r="F788" s="44" t="s">
        <v>193</v>
      </c>
      <c r="G788" s="46">
        <v>19990.0</v>
      </c>
      <c r="H788" s="46">
        <v>10582.0</v>
      </c>
      <c r="I788" s="46">
        <v>4702.0</v>
      </c>
      <c r="J788" s="37"/>
      <c r="K788" s="37"/>
      <c r="L788" s="47">
        <v>4702.0</v>
      </c>
      <c r="M788" s="47">
        <v>5038.0</v>
      </c>
      <c r="N788" s="47">
        <v>5374.0</v>
      </c>
      <c r="O788" s="37"/>
      <c r="P788" s="48">
        <v>0.47</v>
      </c>
      <c r="Q788" s="48">
        <v>0.43</v>
      </c>
      <c r="R788" s="48">
        <v>0.4</v>
      </c>
    </row>
    <row r="789" ht="14.25" customHeight="1">
      <c r="A789" s="42" t="s">
        <v>1503</v>
      </c>
      <c r="B789" s="43" t="s">
        <v>598</v>
      </c>
      <c r="C789" s="44" t="s">
        <v>599</v>
      </c>
      <c r="D789" s="45" t="s">
        <v>1530</v>
      </c>
      <c r="E789" s="44" t="s">
        <v>1531</v>
      </c>
      <c r="F789" s="44" t="s">
        <v>193</v>
      </c>
      <c r="G789" s="46">
        <v>19990.0</v>
      </c>
      <c r="H789" s="46">
        <v>10582.0</v>
      </c>
      <c r="I789" s="46">
        <v>4702.0</v>
      </c>
      <c r="J789" s="37"/>
      <c r="K789" s="37"/>
      <c r="L789" s="47">
        <v>4702.0</v>
      </c>
      <c r="M789" s="47">
        <v>5038.0</v>
      </c>
      <c r="N789" s="47">
        <v>5374.0</v>
      </c>
      <c r="O789" s="37"/>
      <c r="P789" s="48">
        <v>0.47</v>
      </c>
      <c r="Q789" s="48">
        <v>0.43</v>
      </c>
      <c r="R789" s="48">
        <v>0.4</v>
      </c>
    </row>
    <row r="790" ht="14.25" customHeight="1">
      <c r="A790" s="42" t="s">
        <v>1503</v>
      </c>
      <c r="B790" s="43" t="s">
        <v>598</v>
      </c>
      <c r="C790" s="44" t="s">
        <v>599</v>
      </c>
      <c r="D790" s="45" t="s">
        <v>1532</v>
      </c>
      <c r="E790" s="44" t="s">
        <v>1533</v>
      </c>
      <c r="F790" s="44" t="s">
        <v>193</v>
      </c>
      <c r="G790" s="46">
        <v>19990.0</v>
      </c>
      <c r="H790" s="46">
        <v>10582.0</v>
      </c>
      <c r="I790" s="46">
        <v>4562.0</v>
      </c>
      <c r="J790" s="37"/>
      <c r="K790" s="37"/>
      <c r="L790" s="47">
        <v>4562.0</v>
      </c>
      <c r="M790" s="47">
        <v>4888.0</v>
      </c>
      <c r="N790" s="47">
        <v>5214.0</v>
      </c>
      <c r="O790" s="37"/>
      <c r="P790" s="48">
        <v>0.49</v>
      </c>
      <c r="Q790" s="48">
        <v>0.45</v>
      </c>
      <c r="R790" s="48">
        <v>0.41</v>
      </c>
    </row>
    <row r="791" ht="14.25" customHeight="1">
      <c r="A791" s="42" t="s">
        <v>1503</v>
      </c>
      <c r="B791" s="43" t="s">
        <v>598</v>
      </c>
      <c r="C791" s="44" t="s">
        <v>599</v>
      </c>
      <c r="D791" s="45" t="s">
        <v>1534</v>
      </c>
      <c r="E791" s="44" t="s">
        <v>1535</v>
      </c>
      <c r="F791" s="44" t="s">
        <v>193</v>
      </c>
      <c r="G791" s="46">
        <v>19990.0</v>
      </c>
      <c r="H791" s="46">
        <v>10582.0</v>
      </c>
      <c r="I791" s="46">
        <v>4562.0</v>
      </c>
      <c r="J791" s="37"/>
      <c r="K791" s="37"/>
      <c r="L791" s="47">
        <v>4562.0</v>
      </c>
      <c r="M791" s="47">
        <v>4888.0</v>
      </c>
      <c r="N791" s="47">
        <v>5214.0</v>
      </c>
      <c r="O791" s="37"/>
      <c r="P791" s="48">
        <v>0.49</v>
      </c>
      <c r="Q791" s="48">
        <v>0.45</v>
      </c>
      <c r="R791" s="48">
        <v>0.41</v>
      </c>
    </row>
    <row r="792" ht="14.25" customHeight="1">
      <c r="A792" s="42" t="s">
        <v>1503</v>
      </c>
      <c r="B792" s="43" t="s">
        <v>598</v>
      </c>
      <c r="C792" s="44" t="s">
        <v>599</v>
      </c>
      <c r="D792" s="45" t="s">
        <v>1536</v>
      </c>
      <c r="E792" s="44" t="s">
        <v>1537</v>
      </c>
      <c r="F792" s="44" t="s">
        <v>193</v>
      </c>
      <c r="G792" s="46">
        <v>19990.0</v>
      </c>
      <c r="H792" s="46">
        <v>10582.0</v>
      </c>
      <c r="I792" s="46">
        <v>4562.0</v>
      </c>
      <c r="J792" s="37"/>
      <c r="K792" s="37"/>
      <c r="L792" s="47">
        <v>4562.0</v>
      </c>
      <c r="M792" s="47">
        <v>4888.0</v>
      </c>
      <c r="N792" s="47">
        <v>5214.0</v>
      </c>
      <c r="O792" s="37"/>
      <c r="P792" s="48">
        <v>0.49</v>
      </c>
      <c r="Q792" s="48">
        <v>0.45</v>
      </c>
      <c r="R792" s="48">
        <v>0.41</v>
      </c>
    </row>
    <row r="793" ht="14.25" customHeight="1">
      <c r="A793" s="42" t="s">
        <v>1503</v>
      </c>
      <c r="B793" s="43" t="s">
        <v>598</v>
      </c>
      <c r="C793" s="44" t="s">
        <v>599</v>
      </c>
      <c r="D793" s="45" t="s">
        <v>1538</v>
      </c>
      <c r="E793" s="44" t="s">
        <v>1539</v>
      </c>
      <c r="F793" s="44" t="s">
        <v>193</v>
      </c>
      <c r="G793" s="46">
        <v>21990.0</v>
      </c>
      <c r="H793" s="46">
        <v>11759.0</v>
      </c>
      <c r="I793" s="46">
        <v>5027.0</v>
      </c>
      <c r="J793" s="37"/>
      <c r="K793" s="37"/>
      <c r="L793" s="47">
        <v>5027.0</v>
      </c>
      <c r="M793" s="47">
        <v>5386.0</v>
      </c>
      <c r="N793" s="47">
        <v>5745.0</v>
      </c>
      <c r="O793" s="37"/>
      <c r="P793" s="48">
        <v>0.49</v>
      </c>
      <c r="Q793" s="48">
        <v>0.45</v>
      </c>
      <c r="R793" s="48">
        <v>0.42</v>
      </c>
    </row>
    <row r="794" ht="14.25" customHeight="1">
      <c r="A794" s="42" t="s">
        <v>1503</v>
      </c>
      <c r="B794" s="43" t="s">
        <v>598</v>
      </c>
      <c r="C794" s="44" t="s">
        <v>599</v>
      </c>
      <c r="D794" s="45" t="s">
        <v>1540</v>
      </c>
      <c r="E794" s="44" t="s">
        <v>1541</v>
      </c>
      <c r="F794" s="44" t="s">
        <v>193</v>
      </c>
      <c r="G794" s="46">
        <v>21990.0</v>
      </c>
      <c r="H794" s="46">
        <v>11759.0</v>
      </c>
      <c r="I794" s="46">
        <v>5027.0</v>
      </c>
      <c r="J794" s="37"/>
      <c r="K794" s="37"/>
      <c r="L794" s="47">
        <v>5027.0</v>
      </c>
      <c r="M794" s="47">
        <v>5386.0</v>
      </c>
      <c r="N794" s="47">
        <v>5745.0</v>
      </c>
      <c r="O794" s="37"/>
      <c r="P794" s="48">
        <v>0.49</v>
      </c>
      <c r="Q794" s="48">
        <v>0.45</v>
      </c>
      <c r="R794" s="48">
        <v>0.42</v>
      </c>
    </row>
    <row r="795" ht="14.25" customHeight="1">
      <c r="A795" s="42" t="s">
        <v>1503</v>
      </c>
      <c r="B795" s="43" t="s">
        <v>598</v>
      </c>
      <c r="C795" s="44" t="s">
        <v>599</v>
      </c>
      <c r="D795" s="45" t="s">
        <v>1542</v>
      </c>
      <c r="E795" s="44" t="s">
        <v>1543</v>
      </c>
      <c r="F795" s="44" t="s">
        <v>193</v>
      </c>
      <c r="G795" s="46">
        <v>16990.0</v>
      </c>
      <c r="H795" s="46">
        <v>8818.0</v>
      </c>
      <c r="I795" s="46">
        <v>3848.0</v>
      </c>
      <c r="J795" s="37"/>
      <c r="K795" s="37"/>
      <c r="L795" s="47">
        <v>3848.0</v>
      </c>
      <c r="M795" s="47">
        <v>4123.0</v>
      </c>
      <c r="N795" s="47">
        <v>4398.0</v>
      </c>
      <c r="O795" s="37"/>
      <c r="P795" s="48">
        <v>0.48</v>
      </c>
      <c r="Q795" s="48">
        <v>0.44</v>
      </c>
      <c r="R795" s="48">
        <v>0.41</v>
      </c>
    </row>
    <row r="796" ht="14.25" customHeight="1">
      <c r="A796" s="42" t="s">
        <v>1503</v>
      </c>
      <c r="B796" s="43" t="s">
        <v>598</v>
      </c>
      <c r="C796" s="44" t="s">
        <v>599</v>
      </c>
      <c r="D796" s="45" t="s">
        <v>1544</v>
      </c>
      <c r="E796" s="44" t="s">
        <v>1545</v>
      </c>
      <c r="F796" s="44" t="s">
        <v>193</v>
      </c>
      <c r="G796" s="46">
        <v>16990.0</v>
      </c>
      <c r="H796" s="46">
        <v>8818.0</v>
      </c>
      <c r="I796" s="46">
        <v>3848.0</v>
      </c>
      <c r="J796" s="37"/>
      <c r="K796" s="37"/>
      <c r="L796" s="47">
        <v>3848.0</v>
      </c>
      <c r="M796" s="47">
        <v>4123.0</v>
      </c>
      <c r="N796" s="47">
        <v>4398.0</v>
      </c>
      <c r="O796" s="37"/>
      <c r="P796" s="48">
        <v>0.48</v>
      </c>
      <c r="Q796" s="48">
        <v>0.44</v>
      </c>
      <c r="R796" s="48">
        <v>0.41</v>
      </c>
    </row>
    <row r="797" ht="14.25" customHeight="1">
      <c r="A797" s="42" t="s">
        <v>1503</v>
      </c>
      <c r="B797" s="43" t="s">
        <v>598</v>
      </c>
      <c r="C797" s="44" t="s">
        <v>599</v>
      </c>
      <c r="D797" s="45" t="s">
        <v>1546</v>
      </c>
      <c r="E797" s="44" t="s">
        <v>1547</v>
      </c>
      <c r="F797" s="44" t="s">
        <v>193</v>
      </c>
      <c r="G797" s="46">
        <v>16990.0</v>
      </c>
      <c r="H797" s="46">
        <v>8818.0</v>
      </c>
      <c r="I797" s="46">
        <v>3848.0</v>
      </c>
      <c r="J797" s="37"/>
      <c r="K797" s="37"/>
      <c r="L797" s="47">
        <v>3848.0</v>
      </c>
      <c r="M797" s="47">
        <v>4123.0</v>
      </c>
      <c r="N797" s="47">
        <v>4398.0</v>
      </c>
      <c r="O797" s="37"/>
      <c r="P797" s="48">
        <v>0.48</v>
      </c>
      <c r="Q797" s="48">
        <v>0.44</v>
      </c>
      <c r="R797" s="48">
        <v>0.41</v>
      </c>
    </row>
    <row r="798" ht="14.25" customHeight="1">
      <c r="A798" s="42" t="s">
        <v>1503</v>
      </c>
      <c r="B798" s="43" t="s">
        <v>598</v>
      </c>
      <c r="C798" s="44" t="s">
        <v>599</v>
      </c>
      <c r="D798" s="45" t="s">
        <v>1548</v>
      </c>
      <c r="E798" s="44" t="s">
        <v>1549</v>
      </c>
      <c r="F798" s="44" t="s">
        <v>193</v>
      </c>
      <c r="G798" s="46">
        <v>16990.0</v>
      </c>
      <c r="H798" s="46">
        <v>8818.0</v>
      </c>
      <c r="I798" s="46">
        <v>3848.0</v>
      </c>
      <c r="J798" s="37"/>
      <c r="K798" s="37"/>
      <c r="L798" s="47">
        <v>3848.0</v>
      </c>
      <c r="M798" s="47">
        <v>4123.0</v>
      </c>
      <c r="N798" s="47">
        <v>4398.0</v>
      </c>
      <c r="O798" s="37"/>
      <c r="P798" s="48">
        <v>0.48</v>
      </c>
      <c r="Q798" s="48">
        <v>0.44</v>
      </c>
      <c r="R798" s="48">
        <v>0.41</v>
      </c>
    </row>
    <row r="799" ht="14.25" customHeight="1">
      <c r="A799" s="42" t="s">
        <v>1503</v>
      </c>
      <c r="B799" s="43" t="s">
        <v>598</v>
      </c>
      <c r="C799" s="44" t="s">
        <v>599</v>
      </c>
      <c r="D799" s="45" t="s">
        <v>1550</v>
      </c>
      <c r="E799" s="44" t="s">
        <v>1551</v>
      </c>
      <c r="F799" s="44" t="s">
        <v>193</v>
      </c>
      <c r="G799" s="46">
        <v>16990.0</v>
      </c>
      <c r="H799" s="46">
        <v>8818.0</v>
      </c>
      <c r="I799" s="46">
        <v>3848.0</v>
      </c>
      <c r="J799" s="37"/>
      <c r="K799" s="37"/>
      <c r="L799" s="47">
        <v>3848.0</v>
      </c>
      <c r="M799" s="47">
        <v>4123.0</v>
      </c>
      <c r="N799" s="47">
        <v>4398.0</v>
      </c>
      <c r="O799" s="37"/>
      <c r="P799" s="48">
        <v>0.48</v>
      </c>
      <c r="Q799" s="48">
        <v>0.44</v>
      </c>
      <c r="R799" s="48">
        <v>0.41</v>
      </c>
    </row>
    <row r="800" ht="14.25" customHeight="1">
      <c r="A800" s="42" t="s">
        <v>1503</v>
      </c>
      <c r="B800" s="43" t="s">
        <v>598</v>
      </c>
      <c r="C800" s="44" t="s">
        <v>599</v>
      </c>
      <c r="D800" s="45" t="s">
        <v>1552</v>
      </c>
      <c r="E800" s="44" t="s">
        <v>1553</v>
      </c>
      <c r="F800" s="44" t="s">
        <v>193</v>
      </c>
      <c r="G800" s="46">
        <v>9990.0</v>
      </c>
      <c r="H800" s="46">
        <v>4700.0</v>
      </c>
      <c r="I800" s="46">
        <v>2119.0</v>
      </c>
      <c r="J800" s="37"/>
      <c r="K800" s="37"/>
      <c r="L800" s="47">
        <v>2119.0</v>
      </c>
      <c r="M800" s="47">
        <v>2270.0</v>
      </c>
      <c r="N800" s="47">
        <v>2421.0</v>
      </c>
      <c r="O800" s="37"/>
      <c r="P800" s="48">
        <v>0.46</v>
      </c>
      <c r="Q800" s="48">
        <v>0.43</v>
      </c>
      <c r="R800" s="48">
        <v>0.39</v>
      </c>
    </row>
    <row r="801" ht="14.25" customHeight="1">
      <c r="A801" s="42" t="s">
        <v>1503</v>
      </c>
      <c r="B801" s="43" t="s">
        <v>598</v>
      </c>
      <c r="C801" s="44" t="s">
        <v>599</v>
      </c>
      <c r="D801" s="45" t="s">
        <v>1554</v>
      </c>
      <c r="E801" s="44" t="s">
        <v>1555</v>
      </c>
      <c r="F801" s="44" t="s">
        <v>193</v>
      </c>
      <c r="G801" s="46">
        <v>9990.0</v>
      </c>
      <c r="H801" s="46">
        <v>4700.0</v>
      </c>
      <c r="I801" s="46">
        <v>2119.0</v>
      </c>
      <c r="J801" s="37"/>
      <c r="K801" s="37"/>
      <c r="L801" s="47">
        <v>2119.0</v>
      </c>
      <c r="M801" s="47">
        <v>2270.0</v>
      </c>
      <c r="N801" s="47">
        <v>2421.0</v>
      </c>
      <c r="O801" s="37"/>
      <c r="P801" s="48">
        <v>0.46</v>
      </c>
      <c r="Q801" s="48">
        <v>0.43</v>
      </c>
      <c r="R801" s="48">
        <v>0.39</v>
      </c>
    </row>
    <row r="802" ht="14.25" customHeight="1">
      <c r="A802" s="42" t="s">
        <v>1503</v>
      </c>
      <c r="B802" s="43" t="s">
        <v>598</v>
      </c>
      <c r="C802" s="44" t="s">
        <v>599</v>
      </c>
      <c r="D802" s="45" t="s">
        <v>1556</v>
      </c>
      <c r="E802" s="44" t="s">
        <v>1557</v>
      </c>
      <c r="F802" s="44" t="s">
        <v>193</v>
      </c>
      <c r="G802" s="46">
        <v>9990.0</v>
      </c>
      <c r="H802" s="46">
        <v>4700.0</v>
      </c>
      <c r="I802" s="46">
        <v>2119.0</v>
      </c>
      <c r="J802" s="37"/>
      <c r="K802" s="37"/>
      <c r="L802" s="47">
        <v>2119.0</v>
      </c>
      <c r="M802" s="47">
        <v>2270.0</v>
      </c>
      <c r="N802" s="47">
        <v>2421.0</v>
      </c>
      <c r="O802" s="37"/>
      <c r="P802" s="48">
        <v>0.46</v>
      </c>
      <c r="Q802" s="48">
        <v>0.43</v>
      </c>
      <c r="R802" s="48">
        <v>0.39</v>
      </c>
    </row>
    <row r="803" ht="14.25" customHeight="1">
      <c r="A803" s="42" t="s">
        <v>1503</v>
      </c>
      <c r="B803" s="43" t="s">
        <v>598</v>
      </c>
      <c r="C803" s="44" t="s">
        <v>599</v>
      </c>
      <c r="D803" s="45" t="s">
        <v>1558</v>
      </c>
      <c r="E803" s="44" t="s">
        <v>1559</v>
      </c>
      <c r="F803" s="44" t="s">
        <v>193</v>
      </c>
      <c r="G803" s="46">
        <v>9990.0</v>
      </c>
      <c r="H803" s="46">
        <v>4700.0</v>
      </c>
      <c r="I803" s="46">
        <v>2119.0</v>
      </c>
      <c r="J803" s="37"/>
      <c r="K803" s="37"/>
      <c r="L803" s="47">
        <v>2119.0</v>
      </c>
      <c r="M803" s="47">
        <v>2270.0</v>
      </c>
      <c r="N803" s="47">
        <v>2421.0</v>
      </c>
      <c r="O803" s="37"/>
      <c r="P803" s="48">
        <v>0.46</v>
      </c>
      <c r="Q803" s="48">
        <v>0.43</v>
      </c>
      <c r="R803" s="48">
        <v>0.39</v>
      </c>
    </row>
    <row r="804" ht="14.25" customHeight="1">
      <c r="A804" s="42" t="s">
        <v>1503</v>
      </c>
      <c r="B804" s="43" t="s">
        <v>598</v>
      </c>
      <c r="C804" s="44" t="s">
        <v>599</v>
      </c>
      <c r="D804" s="45" t="s">
        <v>1560</v>
      </c>
      <c r="E804" s="44" t="s">
        <v>1561</v>
      </c>
      <c r="F804" s="44" t="s">
        <v>193</v>
      </c>
      <c r="G804" s="46">
        <v>9990.0</v>
      </c>
      <c r="H804" s="46">
        <v>4700.0</v>
      </c>
      <c r="I804" s="46">
        <v>2119.0</v>
      </c>
      <c r="J804" s="37"/>
      <c r="K804" s="37"/>
      <c r="L804" s="47">
        <v>2119.0</v>
      </c>
      <c r="M804" s="47">
        <v>2270.0</v>
      </c>
      <c r="N804" s="47">
        <v>2421.0</v>
      </c>
      <c r="O804" s="37"/>
      <c r="P804" s="48">
        <v>0.46</v>
      </c>
      <c r="Q804" s="48">
        <v>0.43</v>
      </c>
      <c r="R804" s="48">
        <v>0.39</v>
      </c>
    </row>
    <row r="805" ht="14.25" customHeight="1">
      <c r="A805" s="42" t="s">
        <v>1503</v>
      </c>
      <c r="B805" s="43" t="s">
        <v>598</v>
      </c>
      <c r="C805" s="44" t="s">
        <v>599</v>
      </c>
      <c r="D805" s="45" t="s">
        <v>1562</v>
      </c>
      <c r="E805" s="44" t="s">
        <v>1563</v>
      </c>
      <c r="F805" s="44" t="s">
        <v>193</v>
      </c>
      <c r="G805" s="46">
        <v>9990.0</v>
      </c>
      <c r="H805" s="46">
        <v>4700.0</v>
      </c>
      <c r="I805" s="46">
        <v>2119.0</v>
      </c>
      <c r="J805" s="37"/>
      <c r="K805" s="37"/>
      <c r="L805" s="47">
        <v>2119.0</v>
      </c>
      <c r="M805" s="47">
        <v>2270.0</v>
      </c>
      <c r="N805" s="47">
        <v>2421.0</v>
      </c>
      <c r="O805" s="37"/>
      <c r="P805" s="48">
        <v>0.46</v>
      </c>
      <c r="Q805" s="48">
        <v>0.43</v>
      </c>
      <c r="R805" s="48">
        <v>0.39</v>
      </c>
    </row>
    <row r="806" ht="14.25" customHeight="1">
      <c r="A806" s="42" t="s">
        <v>1503</v>
      </c>
      <c r="B806" s="43" t="s">
        <v>598</v>
      </c>
      <c r="C806" s="44" t="s">
        <v>599</v>
      </c>
      <c r="D806" s="45" t="s">
        <v>1564</v>
      </c>
      <c r="E806" s="44" t="s">
        <v>1565</v>
      </c>
      <c r="F806" s="44" t="s">
        <v>193</v>
      </c>
      <c r="G806" s="46">
        <v>26990.0</v>
      </c>
      <c r="H806" s="46">
        <v>14700.0</v>
      </c>
      <c r="I806" s="46">
        <v>6681.0</v>
      </c>
      <c r="J806" s="37"/>
      <c r="K806" s="37"/>
      <c r="L806" s="47">
        <v>6681.0</v>
      </c>
      <c r="M806" s="47">
        <v>7158.0</v>
      </c>
      <c r="N806" s="47">
        <v>7635.0</v>
      </c>
      <c r="O806" s="37"/>
      <c r="P806" s="48">
        <v>0.46</v>
      </c>
      <c r="Q806" s="48">
        <v>0.42</v>
      </c>
      <c r="R806" s="48">
        <v>0.38</v>
      </c>
    </row>
    <row r="807" ht="14.25" customHeight="1">
      <c r="A807" s="49" t="s">
        <v>1503</v>
      </c>
      <c r="B807" s="43" t="s">
        <v>598</v>
      </c>
      <c r="C807" s="44" t="s">
        <v>599</v>
      </c>
      <c r="D807" s="45" t="s">
        <v>1566</v>
      </c>
      <c r="E807" s="44" t="s">
        <v>1567</v>
      </c>
      <c r="F807" s="44" t="s">
        <v>193</v>
      </c>
      <c r="G807" s="46">
        <v>26990.0</v>
      </c>
      <c r="H807" s="46">
        <v>14700.0</v>
      </c>
      <c r="I807" s="46">
        <v>6681.0</v>
      </c>
      <c r="J807" s="37"/>
      <c r="K807" s="37"/>
      <c r="L807" s="47">
        <v>6681.0</v>
      </c>
      <c r="M807" s="47">
        <v>7158.0</v>
      </c>
      <c r="N807" s="47">
        <v>7635.0</v>
      </c>
      <c r="O807" s="37"/>
      <c r="P807" s="48">
        <v>0.46</v>
      </c>
      <c r="Q807" s="48">
        <v>0.42</v>
      </c>
      <c r="R807" s="48">
        <v>0.38</v>
      </c>
    </row>
    <row r="808" ht="14.25" customHeight="1">
      <c r="A808" s="31" t="s">
        <v>1568</v>
      </c>
      <c r="B808" s="41"/>
      <c r="C808" s="41"/>
      <c r="D808" s="32"/>
      <c r="E808" s="41"/>
      <c r="F808" s="41"/>
      <c r="G808" s="34">
        <v>508680.0</v>
      </c>
      <c r="H808" s="34">
        <v>269518.0</v>
      </c>
      <c r="I808" s="34">
        <v>130715.0</v>
      </c>
      <c r="J808" s="37"/>
      <c r="K808" s="37"/>
      <c r="L808" s="37"/>
      <c r="M808" s="37"/>
      <c r="N808" s="37"/>
      <c r="O808" s="37"/>
      <c r="P808" s="37"/>
      <c r="Q808" s="37"/>
      <c r="R808" s="37"/>
    </row>
    <row r="809" ht="14.25" customHeight="1">
      <c r="A809" s="50" t="s">
        <v>1569</v>
      </c>
      <c r="B809" s="51"/>
      <c r="C809" s="51"/>
      <c r="D809" s="52"/>
      <c r="E809" s="51"/>
      <c r="F809" s="51"/>
      <c r="G809" s="53">
        <v>5.541006E7</v>
      </c>
      <c r="H809" s="53">
        <v>2.4633828E7</v>
      </c>
      <c r="I809" s="53">
        <v>1.2496932E7</v>
      </c>
      <c r="J809" s="37"/>
      <c r="K809" s="37"/>
      <c r="L809" s="37"/>
      <c r="M809" s="37"/>
      <c r="N809" s="37"/>
      <c r="O809" s="37"/>
      <c r="P809" s="37"/>
      <c r="Q809" s="37"/>
      <c r="R809" s="37"/>
    </row>
    <row r="810" ht="14.25" customHeight="1">
      <c r="D810" s="2"/>
    </row>
    <row r="811" ht="14.25" customHeight="1">
      <c r="D811" s="2"/>
    </row>
    <row r="812" ht="14.25" customHeight="1">
      <c r="D812" s="2"/>
    </row>
    <row r="813" ht="14.25" customHeight="1">
      <c r="D813" s="2"/>
    </row>
    <row r="814" ht="14.25" customHeight="1">
      <c r="D814" s="2"/>
    </row>
    <row r="815" ht="14.25" customHeight="1">
      <c r="D815" s="2"/>
    </row>
    <row r="816" ht="14.25" customHeight="1">
      <c r="D816" s="2"/>
    </row>
    <row r="817" ht="14.25" customHeight="1">
      <c r="D817" s="2"/>
    </row>
    <row r="818" ht="14.25" customHeight="1">
      <c r="D818" s="2"/>
    </row>
    <row r="819" ht="14.25" customHeight="1">
      <c r="D819" s="2"/>
    </row>
    <row r="820" ht="14.25" customHeight="1">
      <c r="D820" s="2"/>
    </row>
    <row r="821" ht="14.25" customHeight="1">
      <c r="D821" s="2"/>
    </row>
    <row r="822" ht="14.25" customHeight="1">
      <c r="D822" s="2"/>
    </row>
    <row r="823" ht="14.25" customHeight="1">
      <c r="D823" s="2"/>
    </row>
    <row r="824" ht="14.25" customHeight="1">
      <c r="D824" s="2"/>
    </row>
    <row r="825" ht="14.25" customHeight="1">
      <c r="D825" s="2"/>
    </row>
    <row r="826" ht="14.25" customHeight="1">
      <c r="D826" s="2"/>
    </row>
    <row r="827" ht="14.25" customHeight="1">
      <c r="D827" s="2"/>
    </row>
    <row r="828" ht="14.25" customHeight="1">
      <c r="D828" s="2"/>
    </row>
    <row r="829" ht="14.25" customHeight="1">
      <c r="D829" s="2"/>
    </row>
    <row r="830" ht="14.25" customHeight="1">
      <c r="D830" s="2"/>
    </row>
    <row r="831" ht="14.25" customHeight="1">
      <c r="D831" s="2"/>
    </row>
    <row r="832" ht="14.25" customHeight="1">
      <c r="D832" s="2"/>
    </row>
    <row r="833" ht="14.25" customHeight="1">
      <c r="D833" s="2"/>
    </row>
    <row r="834" ht="14.25" customHeight="1">
      <c r="D834" s="2"/>
    </row>
    <row r="835" ht="14.25" customHeight="1">
      <c r="D835" s="2"/>
    </row>
    <row r="836" ht="14.25" customHeight="1">
      <c r="D836" s="2"/>
    </row>
    <row r="837" ht="14.25" customHeight="1">
      <c r="D837" s="2"/>
    </row>
    <row r="838" ht="14.25" customHeight="1">
      <c r="D838" s="2"/>
    </row>
    <row r="839" ht="14.25" customHeight="1">
      <c r="D839" s="2"/>
    </row>
    <row r="840" ht="14.25" customHeight="1">
      <c r="D840" s="2"/>
    </row>
    <row r="841" ht="14.25" customHeight="1">
      <c r="D841" s="2"/>
    </row>
    <row r="842" ht="14.25" customHeight="1">
      <c r="D842" s="2"/>
    </row>
    <row r="843" ht="14.25" customHeight="1">
      <c r="D843" s="2"/>
    </row>
    <row r="844" ht="14.25" customHeight="1">
      <c r="D844" s="2"/>
    </row>
    <row r="845" ht="14.25" customHeight="1">
      <c r="D845" s="2"/>
    </row>
    <row r="846" ht="14.25" customHeight="1">
      <c r="D846" s="2"/>
    </row>
    <row r="847" ht="14.25" customHeight="1">
      <c r="D847" s="2"/>
    </row>
    <row r="848" ht="14.25" customHeight="1">
      <c r="D848" s="2"/>
    </row>
    <row r="849" ht="14.25" customHeight="1">
      <c r="D849" s="2"/>
    </row>
    <row r="850" ht="14.25" customHeight="1">
      <c r="D850" s="2"/>
    </row>
    <row r="851" ht="14.25" customHeight="1">
      <c r="D851" s="2"/>
    </row>
    <row r="852" ht="14.25" customHeight="1">
      <c r="D852" s="2"/>
    </row>
    <row r="853" ht="14.25" customHeight="1">
      <c r="D853" s="2"/>
    </row>
    <row r="854" ht="14.25" customHeight="1">
      <c r="D854" s="2"/>
    </row>
    <row r="855" ht="14.25" customHeight="1">
      <c r="D855" s="2"/>
    </row>
    <row r="856" ht="14.25" customHeight="1">
      <c r="D856" s="2"/>
    </row>
    <row r="857" ht="14.25" customHeight="1">
      <c r="D857" s="2"/>
    </row>
    <row r="858" ht="14.25" customHeight="1">
      <c r="D858" s="2"/>
    </row>
    <row r="859" ht="14.25" customHeight="1">
      <c r="D859" s="2"/>
    </row>
    <row r="860" ht="14.25" customHeight="1">
      <c r="D860" s="2"/>
    </row>
    <row r="861" ht="14.25" customHeight="1">
      <c r="D861" s="2"/>
    </row>
    <row r="862" ht="14.25" customHeight="1">
      <c r="D862" s="2"/>
    </row>
    <row r="863" ht="14.25" customHeight="1">
      <c r="D863" s="2"/>
    </row>
    <row r="864" ht="14.25" customHeight="1">
      <c r="D864" s="2"/>
    </row>
    <row r="865" ht="14.25" customHeight="1">
      <c r="D865" s="2"/>
    </row>
    <row r="866" ht="14.25" customHeight="1">
      <c r="D866" s="2"/>
    </row>
    <row r="867" ht="14.25" customHeight="1">
      <c r="D867" s="2"/>
    </row>
    <row r="868" ht="14.25" customHeight="1">
      <c r="D868" s="2"/>
    </row>
    <row r="869" ht="14.25" customHeight="1">
      <c r="D869" s="2"/>
    </row>
    <row r="870" ht="14.25" customHeight="1">
      <c r="D870" s="2"/>
    </row>
    <row r="871" ht="14.25" customHeight="1">
      <c r="D871" s="2"/>
    </row>
    <row r="872" ht="14.25" customHeight="1">
      <c r="D872" s="2"/>
    </row>
    <row r="873" ht="14.25" customHeight="1">
      <c r="D873" s="2"/>
    </row>
    <row r="874" ht="14.25" customHeight="1">
      <c r="D874" s="2"/>
    </row>
    <row r="875" ht="14.25" customHeight="1">
      <c r="D875" s="2"/>
    </row>
    <row r="876" ht="14.25" customHeight="1">
      <c r="D876" s="2"/>
    </row>
    <row r="877" ht="14.25" customHeight="1">
      <c r="D877" s="2"/>
    </row>
    <row r="878" ht="14.25" customHeight="1">
      <c r="D878" s="2"/>
    </row>
    <row r="879" ht="14.25" customHeight="1">
      <c r="D879" s="2"/>
    </row>
    <row r="880" ht="14.25" customHeight="1">
      <c r="D880" s="2"/>
    </row>
    <row r="881" ht="14.25" customHeight="1">
      <c r="D881" s="2"/>
    </row>
    <row r="882" ht="14.25" customHeight="1">
      <c r="D882" s="2"/>
    </row>
    <row r="883" ht="14.25" customHeight="1">
      <c r="D883" s="2"/>
    </row>
    <row r="884" ht="14.25" customHeight="1">
      <c r="D884" s="2"/>
    </row>
    <row r="885" ht="14.25" customHeight="1">
      <c r="D885" s="2"/>
    </row>
    <row r="886" ht="14.25" customHeight="1">
      <c r="D886" s="2"/>
    </row>
    <row r="887" ht="14.25" customHeight="1">
      <c r="D887" s="2"/>
    </row>
    <row r="888" ht="14.25" customHeight="1">
      <c r="D888" s="2"/>
    </row>
    <row r="889" ht="14.25" customHeight="1">
      <c r="D889" s="2"/>
    </row>
    <row r="890" ht="14.25" customHeight="1">
      <c r="D890" s="2"/>
    </row>
    <row r="891" ht="14.25" customHeight="1">
      <c r="D891" s="2"/>
    </row>
    <row r="892" ht="14.25" customHeight="1">
      <c r="D892" s="2"/>
    </row>
    <row r="893" ht="14.25" customHeight="1">
      <c r="D893" s="2"/>
    </row>
    <row r="894" ht="14.25" customHeight="1">
      <c r="D894" s="2"/>
    </row>
    <row r="895" ht="14.25" customHeight="1">
      <c r="D895" s="2"/>
    </row>
    <row r="896" ht="14.25" customHeight="1">
      <c r="D896" s="2"/>
    </row>
    <row r="897" ht="14.25" customHeight="1">
      <c r="D897" s="2"/>
    </row>
    <row r="898" ht="14.25" customHeight="1">
      <c r="D898" s="2"/>
    </row>
    <row r="899" ht="14.25" customHeight="1">
      <c r="D899" s="2"/>
    </row>
    <row r="900" ht="14.25" customHeight="1">
      <c r="D900" s="2"/>
    </row>
    <row r="901" ht="14.25" customHeight="1">
      <c r="D901" s="2"/>
    </row>
    <row r="902" ht="14.25" customHeight="1">
      <c r="D902" s="2"/>
    </row>
    <row r="903" ht="14.25" customHeight="1">
      <c r="D903" s="2"/>
    </row>
    <row r="904" ht="14.25" customHeight="1">
      <c r="D904" s="2"/>
    </row>
    <row r="905" ht="14.25" customHeight="1">
      <c r="D905" s="2"/>
    </row>
    <row r="906" ht="14.25" customHeight="1">
      <c r="D906" s="2"/>
    </row>
    <row r="907" ht="14.25" customHeight="1">
      <c r="D907" s="2"/>
    </row>
    <row r="908" ht="14.25" customHeight="1">
      <c r="D908" s="2"/>
    </row>
    <row r="909" ht="14.25" customHeight="1">
      <c r="D909" s="2"/>
    </row>
    <row r="910" ht="14.25" customHeight="1">
      <c r="D910" s="2"/>
    </row>
    <row r="911" ht="14.25" customHeight="1">
      <c r="D911" s="2"/>
    </row>
    <row r="912" ht="14.25" customHeight="1">
      <c r="D912" s="2"/>
    </row>
    <row r="913" ht="14.25" customHeight="1">
      <c r="D913" s="2"/>
    </row>
    <row r="914" ht="14.25" customHeight="1">
      <c r="D914" s="2"/>
    </row>
    <row r="915" ht="14.25" customHeight="1">
      <c r="D915" s="2"/>
    </row>
    <row r="916" ht="14.25" customHeight="1">
      <c r="D916" s="2"/>
    </row>
    <row r="917" ht="14.25" customHeight="1">
      <c r="D917" s="2"/>
    </row>
    <row r="918" ht="14.25" customHeight="1">
      <c r="D918" s="2"/>
    </row>
    <row r="919" ht="14.25" customHeight="1">
      <c r="D919" s="2"/>
    </row>
    <row r="920" ht="14.25" customHeight="1">
      <c r="D920" s="2"/>
    </row>
    <row r="921" ht="14.25" customHeight="1">
      <c r="D921" s="2"/>
    </row>
    <row r="922" ht="14.25" customHeight="1">
      <c r="D922" s="2"/>
    </row>
    <row r="923" ht="14.25" customHeight="1">
      <c r="D923" s="2"/>
    </row>
    <row r="924" ht="14.25" customHeight="1">
      <c r="D924" s="2"/>
    </row>
    <row r="925" ht="14.25" customHeight="1">
      <c r="D925" s="2"/>
    </row>
    <row r="926" ht="14.25" customHeight="1">
      <c r="D926" s="2"/>
    </row>
    <row r="927" ht="14.25" customHeight="1">
      <c r="D927" s="2"/>
    </row>
    <row r="928" ht="14.25" customHeight="1">
      <c r="D928" s="2"/>
    </row>
    <row r="929" ht="14.25" customHeight="1">
      <c r="D929" s="2"/>
    </row>
    <row r="930" ht="14.25" customHeight="1">
      <c r="D930" s="2"/>
    </row>
    <row r="931" ht="14.25" customHeight="1">
      <c r="D931" s="2"/>
    </row>
    <row r="932" ht="14.25" customHeight="1">
      <c r="D932" s="2"/>
    </row>
    <row r="933" ht="14.25" customHeight="1">
      <c r="D933" s="2"/>
    </row>
    <row r="934" ht="14.25" customHeight="1">
      <c r="D934" s="2"/>
    </row>
    <row r="935" ht="14.25" customHeight="1">
      <c r="D935" s="2"/>
    </row>
    <row r="936" ht="14.25" customHeight="1">
      <c r="D936" s="2"/>
    </row>
    <row r="937" ht="14.25" customHeight="1">
      <c r="D937" s="2"/>
    </row>
    <row r="938" ht="14.25" customHeight="1">
      <c r="D938" s="2"/>
    </row>
    <row r="939" ht="14.25" customHeight="1">
      <c r="D939" s="2"/>
    </row>
    <row r="940" ht="14.25" customHeight="1">
      <c r="D940" s="2"/>
    </row>
    <row r="941" ht="14.25" customHeight="1">
      <c r="D941" s="2"/>
    </row>
    <row r="942" ht="14.25" customHeight="1">
      <c r="D942" s="2"/>
    </row>
    <row r="943" ht="14.25" customHeight="1">
      <c r="D943" s="2"/>
    </row>
    <row r="944" ht="14.25" customHeight="1">
      <c r="D944" s="2"/>
    </row>
    <row r="945" ht="14.25" customHeight="1">
      <c r="D945" s="2"/>
    </row>
    <row r="946" ht="14.25" customHeight="1">
      <c r="D946" s="2"/>
    </row>
    <row r="947" ht="14.25" customHeight="1">
      <c r="D947" s="2"/>
    </row>
    <row r="948" ht="14.25" customHeight="1">
      <c r="D948" s="2"/>
    </row>
    <row r="949" ht="14.25" customHeight="1">
      <c r="D949" s="2"/>
    </row>
    <row r="950" ht="14.25" customHeight="1">
      <c r="D950" s="2"/>
    </row>
    <row r="951" ht="14.25" customHeight="1">
      <c r="D951" s="2"/>
    </row>
    <row r="952" ht="14.25" customHeight="1">
      <c r="D952" s="2"/>
    </row>
    <row r="953" ht="14.25" customHeight="1">
      <c r="D953" s="2"/>
    </row>
    <row r="954" ht="14.25" customHeight="1">
      <c r="D954" s="2"/>
    </row>
    <row r="955" ht="14.25" customHeight="1">
      <c r="D955" s="2"/>
    </row>
    <row r="956" ht="14.25" customHeight="1">
      <c r="D956" s="2"/>
    </row>
    <row r="957" ht="14.25" customHeight="1">
      <c r="D957" s="2"/>
    </row>
    <row r="958" ht="14.25" customHeight="1">
      <c r="D958" s="2"/>
    </row>
    <row r="959" ht="14.25" customHeight="1">
      <c r="D959" s="2"/>
    </row>
    <row r="960" ht="14.25" customHeight="1">
      <c r="D960" s="2"/>
    </row>
    <row r="961" ht="14.25" customHeight="1">
      <c r="D961" s="2"/>
    </row>
    <row r="962" ht="14.25" customHeight="1">
      <c r="D962" s="2"/>
    </row>
    <row r="963" ht="14.25" customHeight="1">
      <c r="D963" s="2"/>
    </row>
    <row r="964" ht="14.25" customHeight="1">
      <c r="D964" s="2"/>
    </row>
    <row r="965" ht="14.25" customHeight="1">
      <c r="D965" s="2"/>
    </row>
    <row r="966" ht="14.25" customHeight="1">
      <c r="D966" s="2"/>
    </row>
    <row r="967" ht="14.25" customHeight="1">
      <c r="D967" s="2"/>
    </row>
    <row r="968" ht="14.25" customHeight="1">
      <c r="D968" s="2"/>
    </row>
    <row r="969" ht="14.25" customHeight="1">
      <c r="D969" s="2"/>
    </row>
    <row r="970" ht="14.25" customHeight="1">
      <c r="D970" s="2"/>
    </row>
    <row r="971" ht="14.25" customHeight="1">
      <c r="D971" s="2"/>
    </row>
    <row r="972" ht="14.25" customHeight="1">
      <c r="D972" s="2"/>
    </row>
    <row r="973" ht="14.25" customHeight="1">
      <c r="D973" s="2"/>
    </row>
    <row r="974" ht="14.25" customHeight="1">
      <c r="D974" s="2"/>
    </row>
    <row r="975" ht="14.25" customHeight="1">
      <c r="D975" s="2"/>
    </row>
    <row r="976" ht="14.25" customHeight="1">
      <c r="D976" s="2"/>
    </row>
    <row r="977" ht="14.25" customHeight="1">
      <c r="D977" s="2"/>
    </row>
    <row r="978" ht="14.25" customHeight="1">
      <c r="D978" s="2"/>
    </row>
    <row r="979" ht="14.25" customHeight="1">
      <c r="D979" s="2"/>
    </row>
    <row r="980" ht="14.25" customHeight="1">
      <c r="D980" s="2"/>
    </row>
    <row r="981" ht="14.25" customHeight="1">
      <c r="D981" s="2"/>
    </row>
    <row r="982" ht="14.25" customHeight="1">
      <c r="D982" s="2"/>
    </row>
    <row r="983" ht="14.25" customHeight="1">
      <c r="D983" s="2"/>
    </row>
    <row r="984" ht="14.25" customHeight="1">
      <c r="D984" s="2"/>
    </row>
    <row r="985" ht="14.25" customHeight="1">
      <c r="D985" s="2"/>
    </row>
    <row r="986" ht="14.25" customHeight="1">
      <c r="D986" s="2"/>
    </row>
    <row r="987" ht="14.25" customHeight="1">
      <c r="D987" s="2"/>
    </row>
    <row r="988" ht="14.25" customHeight="1">
      <c r="D988" s="2"/>
    </row>
    <row r="989" ht="14.25" customHeight="1">
      <c r="D989" s="2"/>
    </row>
    <row r="990" ht="14.25" customHeight="1">
      <c r="D990" s="2"/>
    </row>
  </sheetData>
  <autoFilter ref="$A$3:$Z$809"/>
  <mergeCells count="5">
    <mergeCell ref="G2:I2"/>
    <mergeCell ref="L2:N2"/>
    <mergeCell ref="P2:R2"/>
    <mergeCell ref="A39:B39"/>
    <mergeCell ref="A51:B5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63"/>
    <col customWidth="1" min="2" max="2" width="22.5"/>
    <col customWidth="1" min="3" max="3" width="26.0"/>
    <col customWidth="1" min="4" max="4" width="23.38"/>
    <col customWidth="1" min="5" max="5" width="79.75"/>
    <col customWidth="1" min="6" max="6" width="79.38"/>
    <col customWidth="1" min="7" max="7" width="15.38"/>
    <col customWidth="1" min="8" max="8" width="11.88"/>
    <col customWidth="1" min="9" max="9" width="13.13"/>
    <col customWidth="1" min="10" max="10" width="14.13"/>
    <col customWidth="1" min="11" max="13" width="14.63"/>
    <col customWidth="1" min="14" max="14" width="13.13"/>
    <col customWidth="1" min="15" max="15" width="14.38"/>
    <col customWidth="1" min="16" max="16" width="13.13"/>
    <col customWidth="1" min="17" max="17" width="15.0"/>
    <col customWidth="1" min="18" max="27" width="10.63"/>
  </cols>
  <sheetData>
    <row r="1" ht="14.25" customHeight="1">
      <c r="A1" s="44" t="s">
        <v>1570</v>
      </c>
      <c r="B1" s="54"/>
      <c r="C1" s="19"/>
      <c r="D1" s="16"/>
      <c r="E1" s="22"/>
      <c r="F1" s="22"/>
      <c r="G1" s="14"/>
      <c r="H1" s="25"/>
      <c r="I1" s="25"/>
      <c r="J1" s="25"/>
      <c r="K1" s="25"/>
      <c r="L1" s="22"/>
      <c r="M1" s="14"/>
      <c r="N1" s="14"/>
      <c r="O1" s="25"/>
      <c r="P1" s="14"/>
      <c r="Q1" s="14"/>
      <c r="R1" s="37"/>
      <c r="S1" s="37"/>
      <c r="T1" s="37"/>
      <c r="U1" s="37"/>
      <c r="V1" s="37"/>
      <c r="W1" s="37"/>
    </row>
    <row r="2" ht="14.25" customHeight="1">
      <c r="A2" s="16"/>
      <c r="B2" s="55"/>
      <c r="C2" s="19"/>
      <c r="D2" s="19"/>
      <c r="E2" s="56" t="s">
        <v>1571</v>
      </c>
      <c r="F2" s="57"/>
      <c r="G2" s="58" t="s">
        <v>1572</v>
      </c>
      <c r="H2" s="59"/>
      <c r="I2" s="57"/>
      <c r="J2" s="60" t="s">
        <v>1571</v>
      </c>
      <c r="K2" s="59"/>
      <c r="L2" s="59"/>
      <c r="M2" s="59"/>
      <c r="N2" s="59"/>
      <c r="O2" s="57"/>
      <c r="P2" s="61"/>
      <c r="Q2" s="14"/>
      <c r="R2" s="26">
        <v>0.3</v>
      </c>
      <c r="S2" s="37"/>
      <c r="T2" s="37"/>
      <c r="U2" s="37"/>
      <c r="V2" s="37"/>
      <c r="W2" s="37"/>
    </row>
    <row r="3" ht="14.25" customHeight="1">
      <c r="A3" s="16"/>
      <c r="B3" s="55"/>
      <c r="C3" s="19"/>
      <c r="D3" s="19"/>
      <c r="E3" s="62" t="s">
        <v>1573</v>
      </c>
      <c r="F3" s="63" t="s">
        <v>1574</v>
      </c>
      <c r="G3" s="58" t="s">
        <v>1573</v>
      </c>
      <c r="H3" s="59"/>
      <c r="I3" s="57"/>
      <c r="J3" s="60" t="s">
        <v>1575</v>
      </c>
      <c r="K3" s="57"/>
      <c r="L3" s="60" t="s">
        <v>1576</v>
      </c>
      <c r="M3" s="57"/>
      <c r="N3" s="64" t="s">
        <v>1577</v>
      </c>
      <c r="O3" s="57"/>
      <c r="P3" s="28" t="s">
        <v>1578</v>
      </c>
      <c r="Q3" s="14"/>
      <c r="R3" s="37"/>
      <c r="S3" s="37"/>
      <c r="T3" s="37"/>
      <c r="U3" s="37"/>
      <c r="V3" s="37"/>
      <c r="W3" s="37"/>
    </row>
    <row r="4" ht="13.5" customHeight="1">
      <c r="A4" s="65" t="s">
        <v>4</v>
      </c>
      <c r="B4" s="66" t="s">
        <v>8</v>
      </c>
      <c r="C4" s="65" t="s">
        <v>1579</v>
      </c>
      <c r="D4" s="67" t="s">
        <v>1580</v>
      </c>
      <c r="E4" s="68" t="s">
        <v>1581</v>
      </c>
      <c r="F4" s="69" t="s">
        <v>7</v>
      </c>
      <c r="G4" s="65" t="s">
        <v>12</v>
      </c>
      <c r="H4" s="70" t="s">
        <v>1582</v>
      </c>
      <c r="I4" s="70" t="s">
        <v>1583</v>
      </c>
      <c r="J4" s="71" t="s">
        <v>1584</v>
      </c>
      <c r="K4" s="72" t="s">
        <v>1585</v>
      </c>
      <c r="L4" s="69" t="s">
        <v>1586</v>
      </c>
      <c r="M4" s="73" t="s">
        <v>11</v>
      </c>
      <c r="N4" s="73" t="s">
        <v>1587</v>
      </c>
      <c r="O4" s="74" t="s">
        <v>1588</v>
      </c>
      <c r="P4" s="75" t="s">
        <v>9</v>
      </c>
      <c r="Q4" s="76" t="s">
        <v>1589</v>
      </c>
      <c r="R4" s="76" t="s">
        <v>1590</v>
      </c>
      <c r="S4" s="28"/>
      <c r="T4" s="16"/>
      <c r="U4" s="44"/>
      <c r="V4" s="37"/>
      <c r="W4" s="37"/>
    </row>
    <row r="5" ht="14.25" customHeight="1">
      <c r="A5" s="19" t="s">
        <v>16</v>
      </c>
      <c r="B5" s="77" t="s">
        <v>19</v>
      </c>
      <c r="C5" s="78" t="s">
        <v>17</v>
      </c>
      <c r="D5" s="78" t="s">
        <v>17</v>
      </c>
      <c r="E5" s="21" t="s">
        <v>1591</v>
      </c>
      <c r="F5" s="21" t="s">
        <v>1592</v>
      </c>
      <c r="G5" s="23">
        <v>20716.0</v>
      </c>
      <c r="H5" s="26">
        <v>0.41</v>
      </c>
      <c r="I5" s="79">
        <v>14572.0</v>
      </c>
      <c r="J5" s="79" t="s">
        <v>1593</v>
      </c>
      <c r="K5" s="80" t="s">
        <v>1594</v>
      </c>
      <c r="L5" s="21">
        <v>38229.0</v>
      </c>
      <c r="M5" s="21">
        <v>35288.0</v>
      </c>
      <c r="N5" s="26">
        <v>0.3</v>
      </c>
      <c r="O5" s="26">
        <v>0.3</v>
      </c>
      <c r="P5" s="81" t="s">
        <v>1595</v>
      </c>
      <c r="Q5" s="26">
        <v>0.59</v>
      </c>
      <c r="R5" s="26">
        <v>0.36</v>
      </c>
      <c r="S5" s="22"/>
      <c r="T5" s="16"/>
      <c r="U5" s="82"/>
      <c r="V5" s="37"/>
      <c r="W5" s="37"/>
    </row>
    <row r="6" ht="14.25" customHeight="1">
      <c r="A6" s="83" t="s">
        <v>16</v>
      </c>
      <c r="B6" s="55" t="s">
        <v>24</v>
      </c>
      <c r="C6" s="78" t="s">
        <v>21</v>
      </c>
      <c r="D6" s="78" t="s">
        <v>22</v>
      </c>
      <c r="E6" s="21" t="s">
        <v>23</v>
      </c>
      <c r="F6" s="21" t="s">
        <v>23</v>
      </c>
      <c r="G6" s="23">
        <v>23592.0</v>
      </c>
      <c r="H6" s="26">
        <v>0.33</v>
      </c>
      <c r="I6" s="79">
        <v>11696.0</v>
      </c>
      <c r="J6" s="79" t="s">
        <v>1596</v>
      </c>
      <c r="K6" s="80" t="s">
        <v>1594</v>
      </c>
      <c r="L6" s="21">
        <v>58818.0</v>
      </c>
      <c r="M6" s="21">
        <v>35288.0</v>
      </c>
      <c r="N6" s="26">
        <v>0.3</v>
      </c>
      <c r="O6" s="26">
        <v>0.3</v>
      </c>
      <c r="P6" s="81" t="s">
        <v>1595</v>
      </c>
      <c r="Q6" s="26">
        <v>0.53</v>
      </c>
      <c r="R6" s="84">
        <v>0.3</v>
      </c>
      <c r="S6" s="22"/>
      <c r="T6" s="16"/>
      <c r="U6" s="82"/>
      <c r="V6" s="37"/>
      <c r="W6" s="37"/>
    </row>
    <row r="7" ht="14.25" customHeight="1">
      <c r="A7" s="83" t="s">
        <v>16</v>
      </c>
      <c r="B7" s="55" t="s">
        <v>26</v>
      </c>
      <c r="C7" s="78" t="s">
        <v>21</v>
      </c>
      <c r="D7" s="78" t="s">
        <v>22</v>
      </c>
      <c r="E7" s="21" t="s">
        <v>25</v>
      </c>
      <c r="F7" s="21" t="s">
        <v>25</v>
      </c>
      <c r="G7" s="23">
        <v>28393.0</v>
      </c>
      <c r="H7" s="26">
        <v>0.52</v>
      </c>
      <c r="I7" s="79">
        <v>30424.0</v>
      </c>
      <c r="J7" s="79" t="s">
        <v>1597</v>
      </c>
      <c r="K7" s="80" t="s">
        <v>1596</v>
      </c>
      <c r="L7" s="21">
        <v>70582.0</v>
      </c>
      <c r="M7" s="21">
        <v>58818.0</v>
      </c>
      <c r="N7" s="26">
        <v>0.3</v>
      </c>
      <c r="O7" s="26">
        <v>0.3</v>
      </c>
      <c r="P7" s="81" t="s">
        <v>1595</v>
      </c>
      <c r="Q7" s="26">
        <v>0.66</v>
      </c>
      <c r="R7" s="84">
        <v>0.43</v>
      </c>
      <c r="S7" s="22"/>
      <c r="T7" s="16"/>
      <c r="U7" s="82"/>
      <c r="V7" s="37"/>
      <c r="W7" s="37"/>
    </row>
    <row r="8" ht="14.25" customHeight="1">
      <c r="A8" s="83" t="s">
        <v>16</v>
      </c>
      <c r="B8" s="55" t="s">
        <v>28</v>
      </c>
      <c r="C8" s="78" t="s">
        <v>21</v>
      </c>
      <c r="D8" s="78" t="s">
        <v>22</v>
      </c>
      <c r="E8" s="21" t="s">
        <v>27</v>
      </c>
      <c r="F8" s="21" t="s">
        <v>27</v>
      </c>
      <c r="G8" s="23">
        <v>31896.0</v>
      </c>
      <c r="H8" s="26">
        <v>0.55</v>
      </c>
      <c r="I8" s="79">
        <v>38687.0</v>
      </c>
      <c r="J8" s="79" t="s">
        <v>1598</v>
      </c>
      <c r="K8" s="80" t="s">
        <v>1597</v>
      </c>
      <c r="L8" s="21">
        <v>82347.0</v>
      </c>
      <c r="M8" s="21">
        <v>70582.0</v>
      </c>
      <c r="N8" s="26">
        <v>0.3</v>
      </c>
      <c r="O8" s="26">
        <v>0.3</v>
      </c>
      <c r="P8" s="81" t="s">
        <v>1595</v>
      </c>
      <c r="Q8" s="26">
        <v>0.68</v>
      </c>
      <c r="R8" s="84">
        <v>0.45</v>
      </c>
      <c r="S8" s="22"/>
      <c r="T8" s="16"/>
      <c r="U8" s="82"/>
      <c r="V8" s="37"/>
      <c r="W8" s="37"/>
    </row>
    <row r="9" ht="14.25" customHeight="1">
      <c r="A9" s="83" t="s">
        <v>16</v>
      </c>
      <c r="B9" s="55" t="s">
        <v>30</v>
      </c>
      <c r="C9" s="78" t="s">
        <v>21</v>
      </c>
      <c r="D9" s="78" t="s">
        <v>22</v>
      </c>
      <c r="E9" s="21" t="s">
        <v>29</v>
      </c>
      <c r="F9" s="21" t="s">
        <v>29</v>
      </c>
      <c r="G9" s="23">
        <v>26348.0</v>
      </c>
      <c r="H9" s="26">
        <v>0.36</v>
      </c>
      <c r="I9" s="79">
        <v>14822.0</v>
      </c>
      <c r="J9" s="79" t="s">
        <v>1596</v>
      </c>
      <c r="K9" s="80" t="s">
        <v>1599</v>
      </c>
      <c r="L9" s="21">
        <v>58818.0</v>
      </c>
      <c r="M9" s="21">
        <v>41171.0</v>
      </c>
      <c r="N9" s="26">
        <v>0.3</v>
      </c>
      <c r="O9" s="26">
        <v>0.3</v>
      </c>
      <c r="P9" s="81" t="s">
        <v>1595</v>
      </c>
      <c r="Q9" s="26">
        <v>0.55</v>
      </c>
      <c r="R9" s="84">
        <v>0.32</v>
      </c>
      <c r="S9" s="22"/>
      <c r="T9" s="16"/>
      <c r="U9" s="82"/>
      <c r="V9" s="37"/>
      <c r="W9" s="37"/>
    </row>
    <row r="10" ht="14.25" customHeight="1">
      <c r="A10" s="83" t="s">
        <v>16</v>
      </c>
      <c r="B10" s="55" t="s">
        <v>32</v>
      </c>
      <c r="C10" s="78" t="s">
        <v>21</v>
      </c>
      <c r="D10" s="78" t="s">
        <v>22</v>
      </c>
      <c r="E10" s="21" t="s">
        <v>31</v>
      </c>
      <c r="F10" s="21" t="s">
        <v>1600</v>
      </c>
      <c r="G10" s="23">
        <v>5823.0</v>
      </c>
      <c r="H10" s="26">
        <v>0.42</v>
      </c>
      <c r="I10" s="79">
        <v>4171.0</v>
      </c>
      <c r="J10" s="79" t="s">
        <v>1601</v>
      </c>
      <c r="K10" s="80" t="s">
        <v>1602</v>
      </c>
      <c r="L10" s="21">
        <v>14700.0</v>
      </c>
      <c r="M10" s="21">
        <v>9994.0</v>
      </c>
      <c r="N10" s="26">
        <v>0.3</v>
      </c>
      <c r="O10" s="26">
        <v>0.3</v>
      </c>
      <c r="P10" s="81" t="s">
        <v>1595</v>
      </c>
      <c r="Q10" s="26">
        <v>0.59</v>
      </c>
      <c r="R10" s="84">
        <v>0.36</v>
      </c>
      <c r="S10" s="22"/>
      <c r="T10" s="16"/>
      <c r="U10" s="82"/>
      <c r="V10" s="37"/>
      <c r="W10" s="37"/>
    </row>
    <row r="11" ht="14.25" customHeight="1">
      <c r="A11" s="83" t="s">
        <v>16</v>
      </c>
      <c r="B11" s="55" t="s">
        <v>34</v>
      </c>
      <c r="C11" s="78" t="s">
        <v>21</v>
      </c>
      <c r="D11" s="78" t="s">
        <v>22</v>
      </c>
      <c r="E11" s="21" t="s">
        <v>33</v>
      </c>
      <c r="F11" s="21" t="s">
        <v>33</v>
      </c>
      <c r="G11" s="23">
        <v>7906.0</v>
      </c>
      <c r="H11" s="26">
        <v>0.33</v>
      </c>
      <c r="I11" s="79">
        <v>3853.0</v>
      </c>
      <c r="J11" s="79" t="s">
        <v>1603</v>
      </c>
      <c r="K11" s="80" t="s">
        <v>1604</v>
      </c>
      <c r="L11" s="21">
        <v>17641.0</v>
      </c>
      <c r="M11" s="21">
        <v>11759.0</v>
      </c>
      <c r="N11" s="26">
        <v>0.3</v>
      </c>
      <c r="O11" s="26">
        <v>0.3</v>
      </c>
      <c r="P11" s="81" t="s">
        <v>1595</v>
      </c>
      <c r="Q11" s="26">
        <v>0.53</v>
      </c>
      <c r="R11" s="84">
        <v>0.3</v>
      </c>
      <c r="S11" s="22"/>
      <c r="T11" s="16"/>
      <c r="U11" s="82"/>
      <c r="V11" s="37"/>
      <c r="W11" s="37"/>
    </row>
    <row r="12" ht="14.25" customHeight="1">
      <c r="A12" s="83" t="s">
        <v>16</v>
      </c>
      <c r="B12" s="55" t="s">
        <v>36</v>
      </c>
      <c r="C12" s="78" t="s">
        <v>21</v>
      </c>
      <c r="D12" s="78" t="s">
        <v>22</v>
      </c>
      <c r="E12" s="21" t="s">
        <v>35</v>
      </c>
      <c r="F12" s="21" t="s">
        <v>35</v>
      </c>
      <c r="G12" s="23">
        <v>6889.0</v>
      </c>
      <c r="H12" s="26">
        <v>0.31</v>
      </c>
      <c r="I12" s="79">
        <v>3105.0</v>
      </c>
      <c r="J12" s="79" t="s">
        <v>1601</v>
      </c>
      <c r="K12" s="80" t="s">
        <v>1602</v>
      </c>
      <c r="L12" s="21">
        <v>14700.0</v>
      </c>
      <c r="M12" s="21">
        <v>9994.0</v>
      </c>
      <c r="N12" s="26">
        <v>0.3</v>
      </c>
      <c r="O12" s="26">
        <v>0.3</v>
      </c>
      <c r="P12" s="81" t="s">
        <v>1595</v>
      </c>
      <c r="Q12" s="26">
        <v>0.52</v>
      </c>
      <c r="R12" s="84">
        <v>0.29</v>
      </c>
      <c r="S12" s="22"/>
      <c r="T12" s="16"/>
      <c r="U12" s="82"/>
      <c r="V12" s="37"/>
      <c r="W12" s="37"/>
    </row>
    <row r="13" ht="14.25" customHeight="1">
      <c r="A13" s="83" t="s">
        <v>16</v>
      </c>
      <c r="B13" s="55" t="s">
        <v>38</v>
      </c>
      <c r="C13" s="78" t="s">
        <v>21</v>
      </c>
      <c r="D13" s="78" t="s">
        <v>22</v>
      </c>
      <c r="E13" s="21" t="s">
        <v>37</v>
      </c>
      <c r="F13" s="21" t="s">
        <v>37</v>
      </c>
      <c r="G13" s="23">
        <v>6930.0</v>
      </c>
      <c r="H13" s="26">
        <v>0.41</v>
      </c>
      <c r="I13" s="79">
        <v>4829.0</v>
      </c>
      <c r="J13" s="79" t="s">
        <v>1603</v>
      </c>
      <c r="K13" s="80" t="s">
        <v>1604</v>
      </c>
      <c r="L13" s="21">
        <v>17641.0</v>
      </c>
      <c r="M13" s="21">
        <v>11759.0</v>
      </c>
      <c r="N13" s="26">
        <v>0.3</v>
      </c>
      <c r="O13" s="26">
        <v>0.3</v>
      </c>
      <c r="P13" s="81" t="s">
        <v>1595</v>
      </c>
      <c r="Q13" s="26">
        <v>0.59</v>
      </c>
      <c r="R13" s="84">
        <v>0.36</v>
      </c>
      <c r="S13" s="22"/>
      <c r="T13" s="16"/>
      <c r="U13" s="82"/>
      <c r="V13" s="37"/>
      <c r="W13" s="37"/>
    </row>
    <row r="14" ht="14.25" customHeight="1">
      <c r="A14" s="83" t="s">
        <v>16</v>
      </c>
      <c r="B14" s="55" t="s">
        <v>41</v>
      </c>
      <c r="C14" s="78" t="s">
        <v>21</v>
      </c>
      <c r="D14" s="78" t="s">
        <v>39</v>
      </c>
      <c r="E14" s="21" t="s">
        <v>40</v>
      </c>
      <c r="F14" s="21" t="s">
        <v>40</v>
      </c>
      <c r="G14" s="23">
        <v>4770.0</v>
      </c>
      <c r="H14" s="26">
        <v>0.46</v>
      </c>
      <c r="I14" s="79">
        <v>4048.0</v>
      </c>
      <c r="J14" s="79" t="s">
        <v>1601</v>
      </c>
      <c r="K14" s="80" t="s">
        <v>1605</v>
      </c>
      <c r="L14" s="21">
        <v>14700.0</v>
      </c>
      <c r="M14" s="21">
        <v>8818.0</v>
      </c>
      <c r="N14" s="26">
        <v>0.3</v>
      </c>
      <c r="O14" s="26">
        <v>0.3</v>
      </c>
      <c r="P14" s="81" t="s">
        <v>1595</v>
      </c>
      <c r="Q14" s="26">
        <v>0.62</v>
      </c>
      <c r="R14" s="84">
        <v>0.39</v>
      </c>
      <c r="S14" s="22"/>
      <c r="T14" s="16"/>
      <c r="U14" s="82"/>
      <c r="V14" s="37"/>
      <c r="W14" s="37"/>
    </row>
    <row r="15" ht="14.25" customHeight="1">
      <c r="A15" s="83" t="s">
        <v>16</v>
      </c>
      <c r="B15" s="55" t="s">
        <v>44</v>
      </c>
      <c r="C15" s="78" t="s">
        <v>21</v>
      </c>
      <c r="D15" s="78" t="s">
        <v>42</v>
      </c>
      <c r="E15" s="21" t="s">
        <v>43</v>
      </c>
      <c r="F15" s="21" t="s">
        <v>43</v>
      </c>
      <c r="G15" s="23">
        <v>4770.0</v>
      </c>
      <c r="H15" s="26">
        <v>0.59</v>
      </c>
      <c r="I15" s="79">
        <v>6989.0</v>
      </c>
      <c r="J15" s="79" t="s">
        <v>1601</v>
      </c>
      <c r="K15" s="80" t="s">
        <v>1604</v>
      </c>
      <c r="L15" s="21">
        <v>14700.0</v>
      </c>
      <c r="M15" s="21">
        <v>11759.0</v>
      </c>
      <c r="N15" s="26">
        <v>0.3</v>
      </c>
      <c r="O15" s="26">
        <v>0.3</v>
      </c>
      <c r="P15" s="81" t="s">
        <v>1595</v>
      </c>
      <c r="Q15" s="26">
        <v>0.72</v>
      </c>
      <c r="R15" s="84">
        <v>0.49</v>
      </c>
      <c r="S15" s="22"/>
      <c r="T15" s="16"/>
      <c r="U15" s="82"/>
      <c r="V15" s="37"/>
      <c r="W15" s="37"/>
    </row>
    <row r="16" ht="14.25" customHeight="1">
      <c r="A16" s="83" t="s">
        <v>16</v>
      </c>
      <c r="B16" s="55" t="s">
        <v>46</v>
      </c>
      <c r="C16" s="78" t="s">
        <v>21</v>
      </c>
      <c r="D16" s="78" t="s">
        <v>42</v>
      </c>
      <c r="E16" s="21" t="s">
        <v>45</v>
      </c>
      <c r="F16" s="21" t="s">
        <v>45</v>
      </c>
      <c r="G16" s="23">
        <v>33401.0</v>
      </c>
      <c r="H16" s="26">
        <v>0.43</v>
      </c>
      <c r="I16" s="79">
        <v>25417.0</v>
      </c>
      <c r="J16" s="79" t="s">
        <v>1597</v>
      </c>
      <c r="K16" s="80" t="s">
        <v>1596</v>
      </c>
      <c r="L16" s="21">
        <v>70582.0</v>
      </c>
      <c r="M16" s="21">
        <v>58818.0</v>
      </c>
      <c r="N16" s="26">
        <v>0.3</v>
      </c>
      <c r="O16" s="26">
        <v>0.3</v>
      </c>
      <c r="P16" s="81" t="s">
        <v>1595</v>
      </c>
      <c r="Q16" s="26">
        <v>0.6</v>
      </c>
      <c r="R16" s="84">
        <v>0.37</v>
      </c>
      <c r="S16" s="22"/>
      <c r="T16" s="16"/>
      <c r="U16" s="82"/>
      <c r="V16" s="37"/>
      <c r="W16" s="37"/>
    </row>
    <row r="17" ht="14.25" customHeight="1">
      <c r="A17" s="83" t="s">
        <v>16</v>
      </c>
      <c r="B17" s="55" t="s">
        <v>50</v>
      </c>
      <c r="C17" s="78" t="s">
        <v>47</v>
      </c>
      <c r="D17" s="78" t="s">
        <v>48</v>
      </c>
      <c r="E17" s="21" t="s">
        <v>49</v>
      </c>
      <c r="F17" s="21" t="s">
        <v>49</v>
      </c>
      <c r="G17" s="23">
        <v>16420.0</v>
      </c>
      <c r="H17" s="26">
        <v>0.44</v>
      </c>
      <c r="I17" s="79">
        <v>12986.0</v>
      </c>
      <c r="J17" s="79" t="s">
        <v>1593</v>
      </c>
      <c r="K17" s="80" t="s">
        <v>1606</v>
      </c>
      <c r="L17" s="21">
        <v>38229.0</v>
      </c>
      <c r="M17" s="21">
        <v>29406.0</v>
      </c>
      <c r="N17" s="26">
        <v>0.3</v>
      </c>
      <c r="O17" s="26">
        <v>0.3</v>
      </c>
      <c r="P17" s="81" t="s">
        <v>1595</v>
      </c>
      <c r="Q17" s="26">
        <v>0.61</v>
      </c>
      <c r="R17" s="84">
        <v>0.38</v>
      </c>
      <c r="S17" s="22"/>
      <c r="T17" s="16"/>
      <c r="U17" s="82"/>
      <c r="V17" s="37"/>
      <c r="W17" s="37"/>
    </row>
    <row r="18" ht="14.25" customHeight="1">
      <c r="A18" s="83" t="s">
        <v>16</v>
      </c>
      <c r="B18" s="55" t="s">
        <v>52</v>
      </c>
      <c r="C18" s="78" t="s">
        <v>47</v>
      </c>
      <c r="D18" s="78" t="s">
        <v>48</v>
      </c>
      <c r="E18" s="21" t="s">
        <v>51</v>
      </c>
      <c r="F18" s="21" t="s">
        <v>51</v>
      </c>
      <c r="G18" s="23">
        <v>6641.0</v>
      </c>
      <c r="H18" s="26">
        <v>0.44</v>
      </c>
      <c r="I18" s="79">
        <v>5118.0</v>
      </c>
      <c r="J18" s="79" t="s">
        <v>1603</v>
      </c>
      <c r="K18" s="80" t="s">
        <v>1604</v>
      </c>
      <c r="L18" s="21">
        <v>17641.0</v>
      </c>
      <c r="M18" s="21">
        <v>11759.0</v>
      </c>
      <c r="N18" s="26">
        <v>0.3</v>
      </c>
      <c r="O18" s="26">
        <v>0.3</v>
      </c>
      <c r="P18" s="81" t="s">
        <v>1595</v>
      </c>
      <c r="Q18" s="26">
        <v>0.6</v>
      </c>
      <c r="R18" s="84">
        <v>0.37</v>
      </c>
      <c r="S18" s="22"/>
      <c r="T18" s="16"/>
      <c r="U18" s="82"/>
      <c r="V18" s="37"/>
      <c r="W18" s="37"/>
    </row>
    <row r="19" ht="14.25" customHeight="1">
      <c r="A19" s="83" t="s">
        <v>16</v>
      </c>
      <c r="B19" s="85" t="s">
        <v>82</v>
      </c>
      <c r="C19" s="83" t="s">
        <v>47</v>
      </c>
      <c r="D19" s="83" t="s">
        <v>48</v>
      </c>
      <c r="E19" s="86" t="s">
        <v>1607</v>
      </c>
      <c r="F19" s="21" t="s">
        <v>81</v>
      </c>
      <c r="G19" s="23">
        <v>14626.0</v>
      </c>
      <c r="H19" s="84">
        <v>0.38</v>
      </c>
      <c r="I19" s="87">
        <v>8898.0</v>
      </c>
      <c r="J19" s="79" t="s">
        <v>1599</v>
      </c>
      <c r="K19" s="80" t="s">
        <v>1608</v>
      </c>
      <c r="L19" s="86">
        <v>41171.0</v>
      </c>
      <c r="M19" s="86">
        <v>23524.0</v>
      </c>
      <c r="N19" s="84">
        <v>0.3</v>
      </c>
      <c r="O19" s="84">
        <v>0.3</v>
      </c>
      <c r="P19" s="81" t="s">
        <v>1595</v>
      </c>
      <c r="Q19" s="84">
        <v>0.56</v>
      </c>
      <c r="R19" s="84">
        <v>0.33</v>
      </c>
      <c r="S19" s="22"/>
      <c r="T19" s="16"/>
      <c r="U19" s="82"/>
      <c r="V19" s="37"/>
      <c r="W19" s="37"/>
    </row>
    <row r="20" ht="14.25" customHeight="1">
      <c r="A20" s="83" t="s">
        <v>16</v>
      </c>
      <c r="B20" s="55" t="s">
        <v>55</v>
      </c>
      <c r="C20" s="78" t="s">
        <v>47</v>
      </c>
      <c r="D20" s="78" t="s">
        <v>53</v>
      </c>
      <c r="E20" s="21" t="s">
        <v>54</v>
      </c>
      <c r="F20" s="21" t="s">
        <v>54</v>
      </c>
      <c r="G20" s="23">
        <v>20332.0</v>
      </c>
      <c r="H20" s="26">
        <v>0.31</v>
      </c>
      <c r="I20" s="79">
        <v>9074.0</v>
      </c>
      <c r="J20" s="79" t="s">
        <v>1593</v>
      </c>
      <c r="K20" s="80" t="s">
        <v>1606</v>
      </c>
      <c r="L20" s="21">
        <v>38229.0</v>
      </c>
      <c r="M20" s="21">
        <v>29406.0</v>
      </c>
      <c r="N20" s="26">
        <v>0.3</v>
      </c>
      <c r="O20" s="26">
        <v>0.3</v>
      </c>
      <c r="P20" s="81" t="s">
        <v>1595</v>
      </c>
      <c r="Q20" s="26">
        <v>0.52</v>
      </c>
      <c r="R20" s="84">
        <v>0.29</v>
      </c>
      <c r="S20" s="22"/>
      <c r="T20" s="16"/>
      <c r="U20" s="88"/>
      <c r="V20" s="37"/>
      <c r="W20" s="37"/>
    </row>
    <row r="21" ht="14.25" customHeight="1">
      <c r="A21" s="83" t="s">
        <v>16</v>
      </c>
      <c r="B21" s="55" t="s">
        <v>59</v>
      </c>
      <c r="C21" s="78" t="s">
        <v>56</v>
      </c>
      <c r="D21" s="78" t="s">
        <v>57</v>
      </c>
      <c r="E21" s="21" t="s">
        <v>58</v>
      </c>
      <c r="F21" s="21" t="s">
        <v>1609</v>
      </c>
      <c r="G21" s="23">
        <v>14655.0</v>
      </c>
      <c r="H21" s="26">
        <v>0.5</v>
      </c>
      <c r="I21" s="79">
        <v>14751.0</v>
      </c>
      <c r="J21" s="79" t="s">
        <v>1610</v>
      </c>
      <c r="K21" s="80" t="s">
        <v>1606</v>
      </c>
      <c r="L21" s="21">
        <v>32347.0</v>
      </c>
      <c r="M21" s="21">
        <v>29406.0</v>
      </c>
      <c r="N21" s="26">
        <v>0.3</v>
      </c>
      <c r="O21" s="26">
        <v>0.3</v>
      </c>
      <c r="P21" s="81" t="s">
        <v>1595</v>
      </c>
      <c r="Q21" s="26">
        <v>0.65</v>
      </c>
      <c r="R21" s="84">
        <v>0.42</v>
      </c>
      <c r="S21" s="22"/>
      <c r="T21" s="16"/>
      <c r="U21" s="82"/>
      <c r="V21" s="37"/>
      <c r="W21" s="37"/>
    </row>
    <row r="22" ht="14.25" customHeight="1">
      <c r="A22" s="83" t="s">
        <v>16</v>
      </c>
      <c r="B22" s="55" t="s">
        <v>61</v>
      </c>
      <c r="C22" s="78" t="s">
        <v>56</v>
      </c>
      <c r="D22" s="78" t="s">
        <v>57</v>
      </c>
      <c r="E22" s="21" t="s">
        <v>60</v>
      </c>
      <c r="F22" s="21" t="s">
        <v>1609</v>
      </c>
      <c r="G22" s="23">
        <v>14214.0</v>
      </c>
      <c r="H22" s="26">
        <v>0.52</v>
      </c>
      <c r="I22" s="79">
        <v>15192.0</v>
      </c>
      <c r="J22" s="79" t="s">
        <v>1610</v>
      </c>
      <c r="K22" s="80" t="s">
        <v>1606</v>
      </c>
      <c r="L22" s="21">
        <v>32347.0</v>
      </c>
      <c r="M22" s="21">
        <v>29406.0</v>
      </c>
      <c r="N22" s="26">
        <v>0.3</v>
      </c>
      <c r="O22" s="26">
        <v>0.3</v>
      </c>
      <c r="P22" s="81" t="s">
        <v>1595</v>
      </c>
      <c r="Q22" s="26">
        <v>0.66</v>
      </c>
      <c r="R22" s="84">
        <v>0.43</v>
      </c>
      <c r="S22" s="22"/>
      <c r="T22" s="16"/>
      <c r="U22" s="88"/>
      <c r="V22" s="37"/>
      <c r="W22" s="37"/>
    </row>
    <row r="23" ht="14.25" customHeight="1">
      <c r="A23" s="83" t="s">
        <v>16</v>
      </c>
      <c r="B23" s="55" t="s">
        <v>63</v>
      </c>
      <c r="C23" s="78" t="s">
        <v>56</v>
      </c>
      <c r="D23" s="78" t="s">
        <v>57</v>
      </c>
      <c r="E23" s="21" t="s">
        <v>62</v>
      </c>
      <c r="F23" s="21" t="s">
        <v>62</v>
      </c>
      <c r="G23" s="23">
        <v>16700.0</v>
      </c>
      <c r="H23" s="26">
        <v>0.43</v>
      </c>
      <c r="I23" s="79">
        <v>12706.0</v>
      </c>
      <c r="J23" s="79" t="s">
        <v>1594</v>
      </c>
      <c r="K23" s="80" t="s">
        <v>1606</v>
      </c>
      <c r="L23" s="21">
        <v>35288.0</v>
      </c>
      <c r="M23" s="21">
        <v>29406.0</v>
      </c>
      <c r="N23" s="26">
        <v>0.3</v>
      </c>
      <c r="O23" s="26">
        <v>0.3</v>
      </c>
      <c r="P23" s="81" t="s">
        <v>1595</v>
      </c>
      <c r="Q23" s="26">
        <v>0.6</v>
      </c>
      <c r="R23" s="84">
        <v>0.37</v>
      </c>
      <c r="S23" s="22"/>
      <c r="T23" s="16"/>
      <c r="U23" s="82"/>
      <c r="V23" s="37"/>
      <c r="W23" s="37"/>
    </row>
    <row r="24" ht="14.25" customHeight="1">
      <c r="A24" s="83" t="s">
        <v>16</v>
      </c>
      <c r="B24" s="55" t="s">
        <v>66</v>
      </c>
      <c r="C24" s="78" t="s">
        <v>56</v>
      </c>
      <c r="D24" s="78" t="s">
        <v>64</v>
      </c>
      <c r="E24" s="21" t="s">
        <v>65</v>
      </c>
      <c r="F24" s="21" t="s">
        <v>1611</v>
      </c>
      <c r="G24" s="23">
        <v>15296.0</v>
      </c>
      <c r="H24" s="26">
        <v>0.48</v>
      </c>
      <c r="I24" s="79">
        <v>14110.0</v>
      </c>
      <c r="J24" s="79" t="s">
        <v>1610</v>
      </c>
      <c r="K24" s="80" t="s">
        <v>1606</v>
      </c>
      <c r="L24" s="21">
        <v>32347.0</v>
      </c>
      <c r="M24" s="21">
        <v>29406.0</v>
      </c>
      <c r="N24" s="26">
        <v>0.3</v>
      </c>
      <c r="O24" s="26">
        <v>0.3</v>
      </c>
      <c r="P24" s="81" t="s">
        <v>1595</v>
      </c>
      <c r="Q24" s="26">
        <v>0.64</v>
      </c>
      <c r="R24" s="84">
        <v>0.41</v>
      </c>
      <c r="S24" s="22"/>
      <c r="T24" s="16"/>
      <c r="U24" s="82"/>
      <c r="V24" s="37"/>
      <c r="W24" s="37"/>
    </row>
    <row r="25" ht="14.25" customHeight="1">
      <c r="A25" s="83" t="s">
        <v>16</v>
      </c>
      <c r="B25" s="55" t="s">
        <v>68</v>
      </c>
      <c r="C25" s="78" t="s">
        <v>56</v>
      </c>
      <c r="D25" s="78" t="s">
        <v>64</v>
      </c>
      <c r="E25" s="21" t="s">
        <v>67</v>
      </c>
      <c r="F25" s="21" t="s">
        <v>1612</v>
      </c>
      <c r="G25" s="23">
        <v>11071.0</v>
      </c>
      <c r="H25" s="26">
        <v>0.18</v>
      </c>
      <c r="I25" s="79">
        <v>2453.0</v>
      </c>
      <c r="J25" s="79" t="s">
        <v>1608</v>
      </c>
      <c r="K25" s="80" t="s">
        <v>1613</v>
      </c>
      <c r="L25" s="21">
        <v>23524.0</v>
      </c>
      <c r="M25" s="21">
        <v>13524.0</v>
      </c>
      <c r="N25" s="26">
        <v>0.3</v>
      </c>
      <c r="O25" s="26">
        <v>0.3</v>
      </c>
      <c r="P25" s="81" t="s">
        <v>1595</v>
      </c>
      <c r="Q25" s="26">
        <v>0.43</v>
      </c>
      <c r="R25" s="84">
        <v>0.2</v>
      </c>
      <c r="S25" s="23"/>
      <c r="T25" s="89"/>
      <c r="U25" s="88"/>
      <c r="V25" s="37"/>
      <c r="W25" s="37"/>
    </row>
    <row r="26" ht="14.25" customHeight="1">
      <c r="A26" s="83" t="s">
        <v>16</v>
      </c>
      <c r="B26" s="55" t="s">
        <v>70</v>
      </c>
      <c r="C26" s="78" t="s">
        <v>56</v>
      </c>
      <c r="D26" s="78" t="s">
        <v>64</v>
      </c>
      <c r="E26" s="21" t="s">
        <v>69</v>
      </c>
      <c r="F26" s="21" t="s">
        <v>1614</v>
      </c>
      <c r="G26" s="23">
        <v>6475.0</v>
      </c>
      <c r="H26" s="26">
        <v>0.27</v>
      </c>
      <c r="I26" s="79">
        <v>2343.0</v>
      </c>
      <c r="J26" s="79" t="s">
        <v>1601</v>
      </c>
      <c r="K26" s="80" t="s">
        <v>1605</v>
      </c>
      <c r="L26" s="21">
        <v>14700.0</v>
      </c>
      <c r="M26" s="21">
        <v>8818.0</v>
      </c>
      <c r="N26" s="26">
        <v>0.3</v>
      </c>
      <c r="O26" s="26">
        <v>0.3</v>
      </c>
      <c r="P26" s="81" t="s">
        <v>1595</v>
      </c>
      <c r="Q26" s="26">
        <v>0.49</v>
      </c>
      <c r="R26" s="84">
        <v>0.26</v>
      </c>
      <c r="S26" s="23"/>
      <c r="T26" s="89"/>
      <c r="U26" s="82"/>
      <c r="V26" s="37"/>
      <c r="W26" s="37"/>
    </row>
    <row r="27" ht="14.25" customHeight="1">
      <c r="A27" s="83" t="s">
        <v>16</v>
      </c>
      <c r="B27" s="55" t="s">
        <v>72</v>
      </c>
      <c r="C27" s="78" t="s">
        <v>56</v>
      </c>
      <c r="D27" s="78" t="s">
        <v>64</v>
      </c>
      <c r="E27" s="21" t="s">
        <v>71</v>
      </c>
      <c r="F27" s="21" t="s">
        <v>1615</v>
      </c>
      <c r="G27" s="23">
        <v>12159.0</v>
      </c>
      <c r="H27" s="26">
        <v>0.17</v>
      </c>
      <c r="I27" s="79">
        <v>2541.0</v>
      </c>
      <c r="J27" s="79" t="s">
        <v>1616</v>
      </c>
      <c r="K27" s="80" t="s">
        <v>1601</v>
      </c>
      <c r="L27" s="21">
        <v>26465.0</v>
      </c>
      <c r="M27" s="21">
        <v>14700.0</v>
      </c>
      <c r="N27" s="26">
        <v>0.3</v>
      </c>
      <c r="O27" s="26">
        <v>0.3</v>
      </c>
      <c r="P27" s="81" t="s">
        <v>1595</v>
      </c>
      <c r="Q27" s="26">
        <v>0.42</v>
      </c>
      <c r="R27" s="84">
        <v>0.19</v>
      </c>
      <c r="S27" s="23"/>
      <c r="T27" s="89"/>
      <c r="U27" s="82"/>
      <c r="V27" s="37"/>
      <c r="W27" s="37"/>
    </row>
    <row r="28" ht="14.25" customHeight="1">
      <c r="A28" s="83" t="s">
        <v>16</v>
      </c>
      <c r="B28" s="55" t="s">
        <v>74</v>
      </c>
      <c r="C28" s="78" t="s">
        <v>56</v>
      </c>
      <c r="D28" s="78" t="s">
        <v>64</v>
      </c>
      <c r="E28" s="21" t="s">
        <v>73</v>
      </c>
      <c r="F28" s="21" t="s">
        <v>1617</v>
      </c>
      <c r="G28" s="23">
        <v>4538.0</v>
      </c>
      <c r="H28" s="26">
        <v>0.23</v>
      </c>
      <c r="I28" s="79">
        <v>1338.0</v>
      </c>
      <c r="J28" s="79" t="s">
        <v>1604</v>
      </c>
      <c r="K28" s="80" t="s">
        <v>1618</v>
      </c>
      <c r="L28" s="21">
        <v>11759.0</v>
      </c>
      <c r="M28" s="21">
        <v>5876.0</v>
      </c>
      <c r="N28" s="26">
        <v>0.3</v>
      </c>
      <c r="O28" s="26">
        <v>0.3</v>
      </c>
      <c r="P28" s="81" t="s">
        <v>1595</v>
      </c>
      <c r="Q28" s="26">
        <v>0.46</v>
      </c>
      <c r="R28" s="84">
        <v>0.23</v>
      </c>
      <c r="S28" s="23"/>
      <c r="T28" s="89"/>
      <c r="U28" s="82"/>
      <c r="V28" s="37"/>
      <c r="W28" s="37"/>
    </row>
    <row r="29" ht="14.25" customHeight="1">
      <c r="A29" s="83" t="s">
        <v>16</v>
      </c>
      <c r="B29" s="55" t="s">
        <v>76</v>
      </c>
      <c r="C29" s="78" t="s">
        <v>56</v>
      </c>
      <c r="D29" s="78" t="s">
        <v>64</v>
      </c>
      <c r="E29" s="21" t="s">
        <v>75</v>
      </c>
      <c r="F29" s="21" t="s">
        <v>1619</v>
      </c>
      <c r="G29" s="23">
        <v>8924.0</v>
      </c>
      <c r="H29" s="26">
        <v>0.2</v>
      </c>
      <c r="I29" s="79">
        <v>2247.0</v>
      </c>
      <c r="J29" s="79" t="s">
        <v>1620</v>
      </c>
      <c r="K29" s="80" t="s">
        <v>1621</v>
      </c>
      <c r="L29" s="21">
        <v>19406.0</v>
      </c>
      <c r="M29" s="21">
        <v>11171.0</v>
      </c>
      <c r="N29" s="26">
        <v>0.3</v>
      </c>
      <c r="O29" s="26">
        <v>0.3</v>
      </c>
      <c r="P29" s="81" t="s">
        <v>1595</v>
      </c>
      <c r="Q29" s="26">
        <v>0.44</v>
      </c>
      <c r="R29" s="84">
        <v>0.21</v>
      </c>
      <c r="S29" s="23"/>
      <c r="T29" s="89"/>
      <c r="U29" s="82"/>
      <c r="V29" s="37"/>
      <c r="W29" s="37"/>
    </row>
    <row r="30" ht="14.25" customHeight="1">
      <c r="A30" s="83" t="s">
        <v>16</v>
      </c>
      <c r="B30" s="55" t="s">
        <v>79</v>
      </c>
      <c r="C30" s="78" t="s">
        <v>56</v>
      </c>
      <c r="D30" s="78" t="s">
        <v>77</v>
      </c>
      <c r="E30" s="21" t="s">
        <v>78</v>
      </c>
      <c r="F30" s="21" t="s">
        <v>78</v>
      </c>
      <c r="G30" s="23">
        <v>38891.0</v>
      </c>
      <c r="H30" s="26">
        <v>0.49</v>
      </c>
      <c r="I30" s="79">
        <v>37573.0</v>
      </c>
      <c r="J30" s="79" t="s">
        <v>1622</v>
      </c>
      <c r="K30" s="80" t="s">
        <v>1623</v>
      </c>
      <c r="L30" s="21">
        <v>88229.0</v>
      </c>
      <c r="M30" s="21">
        <v>76465.0</v>
      </c>
      <c r="N30" s="26">
        <v>0.3</v>
      </c>
      <c r="O30" s="26">
        <v>0.3</v>
      </c>
      <c r="P30" s="81" t="s">
        <v>1595</v>
      </c>
      <c r="Q30" s="26">
        <v>0.64</v>
      </c>
      <c r="R30" s="84">
        <v>0.41</v>
      </c>
      <c r="S30" s="23"/>
      <c r="T30" s="89"/>
      <c r="U30" s="82"/>
      <c r="V30" s="37"/>
      <c r="W30" s="37"/>
    </row>
    <row r="31" ht="15.0" customHeight="1">
      <c r="A31" s="83" t="s">
        <v>16</v>
      </c>
      <c r="B31" s="85" t="s">
        <v>84</v>
      </c>
      <c r="C31" s="83" t="s">
        <v>56</v>
      </c>
      <c r="D31" s="83" t="s">
        <v>77</v>
      </c>
      <c r="E31" s="86" t="s">
        <v>83</v>
      </c>
      <c r="F31" s="21" t="s">
        <v>1624</v>
      </c>
      <c r="G31" s="23">
        <v>83749.0</v>
      </c>
      <c r="H31" s="84">
        <v>0.51</v>
      </c>
      <c r="I31" s="87">
        <v>86833.0</v>
      </c>
      <c r="J31" s="79" t="s">
        <v>1625</v>
      </c>
      <c r="K31" s="80" t="s">
        <v>1626</v>
      </c>
      <c r="L31" s="86">
        <v>205876.0</v>
      </c>
      <c r="M31" s="86">
        <v>170582.0</v>
      </c>
      <c r="N31" s="84">
        <v>0.3</v>
      </c>
      <c r="O31" s="84">
        <v>0.3</v>
      </c>
      <c r="P31" s="81" t="s">
        <v>1595</v>
      </c>
      <c r="Q31" s="84">
        <v>0.66</v>
      </c>
      <c r="R31" s="84">
        <v>0.43</v>
      </c>
      <c r="S31" s="23"/>
      <c r="T31" s="89"/>
      <c r="U31" s="82"/>
      <c r="V31" s="90"/>
      <c r="W31" s="90"/>
    </row>
    <row r="32" ht="14.25" customHeight="1">
      <c r="A32" s="83" t="s">
        <v>86</v>
      </c>
      <c r="B32" s="91" t="s">
        <v>90</v>
      </c>
      <c r="C32" s="78" t="s">
        <v>87</v>
      </c>
      <c r="D32" s="78" t="s">
        <v>88</v>
      </c>
      <c r="E32" s="21" t="s">
        <v>89</v>
      </c>
      <c r="F32" s="21" t="s">
        <v>89</v>
      </c>
      <c r="G32" s="23">
        <v>32555.0</v>
      </c>
      <c r="H32" s="26">
        <v>0.21</v>
      </c>
      <c r="I32" s="79">
        <v>8616.0</v>
      </c>
      <c r="J32" s="79" t="s">
        <v>1596</v>
      </c>
      <c r="K32" s="80" t="s">
        <v>1599</v>
      </c>
      <c r="L32" s="21">
        <v>58818.0</v>
      </c>
      <c r="M32" s="21">
        <v>41171.0</v>
      </c>
      <c r="N32" s="26">
        <v>0.3</v>
      </c>
      <c r="O32" s="26">
        <v>0.3</v>
      </c>
      <c r="P32" s="83" t="s">
        <v>134</v>
      </c>
      <c r="Q32" s="26">
        <v>0.45</v>
      </c>
      <c r="R32" s="84">
        <v>0.22</v>
      </c>
      <c r="S32" s="22"/>
      <c r="T32" s="16"/>
      <c r="U32" s="82"/>
      <c r="V32" s="37"/>
      <c r="W32" s="37"/>
    </row>
    <row r="33" ht="14.25" customHeight="1">
      <c r="A33" s="83" t="s">
        <v>86</v>
      </c>
      <c r="B33" s="91" t="s">
        <v>93</v>
      </c>
      <c r="C33" s="78" t="s">
        <v>87</v>
      </c>
      <c r="D33" s="78" t="s">
        <v>91</v>
      </c>
      <c r="E33" s="21" t="s">
        <v>92</v>
      </c>
      <c r="F33" s="21" t="s">
        <v>1627</v>
      </c>
      <c r="G33" s="23">
        <v>9875.0</v>
      </c>
      <c r="H33" s="26">
        <v>0.44</v>
      </c>
      <c r="I33" s="79">
        <v>7766.0</v>
      </c>
      <c r="J33" s="79" t="s">
        <v>1594</v>
      </c>
      <c r="K33" s="80" t="s">
        <v>1603</v>
      </c>
      <c r="L33" s="21">
        <v>35288.0</v>
      </c>
      <c r="M33" s="21">
        <v>17641.0</v>
      </c>
      <c r="N33" s="26">
        <v>0.3</v>
      </c>
      <c r="O33" s="26">
        <v>0.3</v>
      </c>
      <c r="P33" s="81" t="s">
        <v>1595</v>
      </c>
      <c r="Q33" s="26">
        <v>0.61</v>
      </c>
      <c r="R33" s="84">
        <v>0.38</v>
      </c>
      <c r="S33" s="22"/>
      <c r="T33" s="16"/>
      <c r="U33" s="82"/>
      <c r="V33" s="37"/>
      <c r="W33" s="37"/>
    </row>
    <row r="34" ht="14.25" customHeight="1">
      <c r="A34" s="83" t="s">
        <v>86</v>
      </c>
      <c r="B34" s="91" t="s">
        <v>95</v>
      </c>
      <c r="C34" s="78" t="s">
        <v>87</v>
      </c>
      <c r="D34" s="78" t="s">
        <v>91</v>
      </c>
      <c r="E34" s="21" t="s">
        <v>94</v>
      </c>
      <c r="F34" s="21" t="s">
        <v>94</v>
      </c>
      <c r="G34" s="23">
        <v>25907.0</v>
      </c>
      <c r="H34" s="26">
        <v>0.27</v>
      </c>
      <c r="I34" s="79">
        <v>9381.0</v>
      </c>
      <c r="J34" s="79" t="s">
        <v>1596</v>
      </c>
      <c r="K34" s="80" t="s">
        <v>1594</v>
      </c>
      <c r="L34" s="21">
        <v>58818.0</v>
      </c>
      <c r="M34" s="21">
        <v>35288.0</v>
      </c>
      <c r="N34" s="26">
        <v>0.3</v>
      </c>
      <c r="O34" s="26">
        <v>0.3</v>
      </c>
      <c r="P34" s="81" t="s">
        <v>1595</v>
      </c>
      <c r="Q34" s="26">
        <v>0.49</v>
      </c>
      <c r="R34" s="84">
        <v>0.26</v>
      </c>
      <c r="S34" s="22"/>
      <c r="T34" s="16"/>
      <c r="U34" s="82"/>
      <c r="V34" s="37"/>
      <c r="W34" s="37"/>
    </row>
    <row r="35" ht="14.25" customHeight="1">
      <c r="A35" s="83" t="s">
        <v>86</v>
      </c>
      <c r="B35" s="91" t="s">
        <v>97</v>
      </c>
      <c r="C35" s="78" t="s">
        <v>87</v>
      </c>
      <c r="D35" s="78" t="s">
        <v>91</v>
      </c>
      <c r="E35" s="21" t="s">
        <v>96</v>
      </c>
      <c r="F35" s="21" t="s">
        <v>96</v>
      </c>
      <c r="G35" s="23">
        <v>33599.0</v>
      </c>
      <c r="H35" s="26">
        <v>0.37</v>
      </c>
      <c r="I35" s="79">
        <v>19336.0</v>
      </c>
      <c r="J35" s="79" t="s">
        <v>1622</v>
      </c>
      <c r="K35" s="80" t="s">
        <v>1628</v>
      </c>
      <c r="L35" s="21">
        <v>88229.0</v>
      </c>
      <c r="M35" s="21">
        <v>52935.0</v>
      </c>
      <c r="N35" s="26">
        <v>0.3</v>
      </c>
      <c r="O35" s="26">
        <v>0.3</v>
      </c>
      <c r="P35" s="81" t="s">
        <v>1595</v>
      </c>
      <c r="Q35" s="26">
        <v>0.56</v>
      </c>
      <c r="R35" s="84">
        <v>0.33</v>
      </c>
      <c r="S35" s="22"/>
      <c r="T35" s="16"/>
      <c r="U35" s="82"/>
      <c r="V35" s="37"/>
      <c r="W35" s="37"/>
    </row>
    <row r="36" ht="14.25" customHeight="1">
      <c r="A36" s="83" t="s">
        <v>86</v>
      </c>
      <c r="B36" s="91" t="s">
        <v>99</v>
      </c>
      <c r="C36" s="78" t="s">
        <v>87</v>
      </c>
      <c r="D36" s="78" t="s">
        <v>91</v>
      </c>
      <c r="E36" s="21" t="s">
        <v>98</v>
      </c>
      <c r="F36" s="21" t="s">
        <v>1629</v>
      </c>
      <c r="G36" s="23">
        <v>8630.0</v>
      </c>
      <c r="H36" s="26">
        <v>0.27</v>
      </c>
      <c r="I36" s="79">
        <v>3129.0</v>
      </c>
      <c r="J36" s="79" t="s">
        <v>1608</v>
      </c>
      <c r="K36" s="80" t="s">
        <v>1604</v>
      </c>
      <c r="L36" s="21">
        <v>23524.0</v>
      </c>
      <c r="M36" s="21">
        <v>11759.0</v>
      </c>
      <c r="N36" s="26">
        <v>0.3</v>
      </c>
      <c r="O36" s="26">
        <v>0.3</v>
      </c>
      <c r="P36" s="81" t="s">
        <v>1595</v>
      </c>
      <c r="Q36" s="26">
        <v>0.49</v>
      </c>
      <c r="R36" s="84">
        <v>0.26</v>
      </c>
      <c r="S36" s="22"/>
      <c r="T36" s="16"/>
      <c r="U36" s="82"/>
      <c r="V36" s="37"/>
      <c r="W36" s="37"/>
    </row>
    <row r="37" ht="14.25" customHeight="1">
      <c r="A37" s="83" t="s">
        <v>86</v>
      </c>
      <c r="B37" s="91" t="s">
        <v>101</v>
      </c>
      <c r="C37" s="78" t="s">
        <v>87</v>
      </c>
      <c r="D37" s="78" t="s">
        <v>91</v>
      </c>
      <c r="E37" s="21" t="s">
        <v>100</v>
      </c>
      <c r="F37" s="21" t="s">
        <v>100</v>
      </c>
      <c r="G37" s="23">
        <v>25079.0</v>
      </c>
      <c r="H37" s="26">
        <v>0.29</v>
      </c>
      <c r="I37" s="79">
        <v>10209.0</v>
      </c>
      <c r="J37" s="79" t="s">
        <v>1628</v>
      </c>
      <c r="K37" s="80" t="s">
        <v>1594</v>
      </c>
      <c r="L37" s="21">
        <v>52935.0</v>
      </c>
      <c r="M37" s="21">
        <v>35288.0</v>
      </c>
      <c r="N37" s="26">
        <v>0.3</v>
      </c>
      <c r="O37" s="26">
        <v>0.3</v>
      </c>
      <c r="P37" s="81" t="s">
        <v>1595</v>
      </c>
      <c r="Q37" s="26">
        <v>0.5</v>
      </c>
      <c r="R37" s="84">
        <v>0.27</v>
      </c>
      <c r="S37" s="22"/>
      <c r="T37" s="16"/>
      <c r="U37" s="82"/>
      <c r="V37" s="37"/>
      <c r="W37" s="37"/>
    </row>
    <row r="38" ht="14.25" customHeight="1">
      <c r="A38" s="83" t="s">
        <v>86</v>
      </c>
      <c r="B38" s="91" t="s">
        <v>103</v>
      </c>
      <c r="C38" s="78" t="s">
        <v>87</v>
      </c>
      <c r="D38" s="78" t="s">
        <v>91</v>
      </c>
      <c r="E38" s="21" t="s">
        <v>102</v>
      </c>
      <c r="F38" s="21" t="s">
        <v>102</v>
      </c>
      <c r="G38" s="23">
        <v>10318.0</v>
      </c>
      <c r="H38" s="26">
        <v>0.42</v>
      </c>
      <c r="I38" s="79">
        <v>7323.0</v>
      </c>
      <c r="J38" s="79" t="s">
        <v>1599</v>
      </c>
      <c r="K38" s="80" t="s">
        <v>1603</v>
      </c>
      <c r="L38" s="21">
        <v>41171.0</v>
      </c>
      <c r="M38" s="21">
        <v>17641.0</v>
      </c>
      <c r="N38" s="26">
        <v>0.3</v>
      </c>
      <c r="O38" s="26">
        <v>0.3</v>
      </c>
      <c r="P38" s="81" t="s">
        <v>1595</v>
      </c>
      <c r="Q38" s="26">
        <v>0.59</v>
      </c>
      <c r="R38" s="84">
        <v>0.36</v>
      </c>
      <c r="S38" s="22"/>
      <c r="T38" s="16"/>
      <c r="U38" s="82"/>
      <c r="V38" s="37"/>
      <c r="W38" s="37"/>
    </row>
    <row r="39" ht="14.25" customHeight="1">
      <c r="A39" s="19" t="s">
        <v>1484</v>
      </c>
      <c r="B39" s="55" t="s">
        <v>1630</v>
      </c>
      <c r="C39" s="19" t="s">
        <v>1631</v>
      </c>
      <c r="D39" s="19" t="s">
        <v>1632</v>
      </c>
      <c r="E39" s="21" t="s">
        <v>1494</v>
      </c>
      <c r="F39" s="21" t="s">
        <v>1494</v>
      </c>
      <c r="G39" s="23">
        <v>7500.0</v>
      </c>
      <c r="H39" s="84">
        <v>0.33</v>
      </c>
      <c r="I39" s="87">
        <v>3671.0</v>
      </c>
      <c r="J39" s="79" t="s">
        <v>1604</v>
      </c>
      <c r="K39" s="80" t="s">
        <v>1621</v>
      </c>
      <c r="L39" s="86">
        <v>11759.0</v>
      </c>
      <c r="M39" s="86">
        <v>11171.0</v>
      </c>
      <c r="N39" s="84">
        <v>0.3</v>
      </c>
      <c r="O39" s="84">
        <v>0.3</v>
      </c>
      <c r="P39" s="81" t="s">
        <v>1595</v>
      </c>
      <c r="Q39" s="84">
        <v>0.53</v>
      </c>
      <c r="R39" s="84">
        <v>0.3</v>
      </c>
      <c r="S39" s="23"/>
      <c r="T39" s="89"/>
      <c r="U39" s="82"/>
      <c r="V39" s="37"/>
      <c r="W39" s="37"/>
    </row>
    <row r="40" ht="14.25" customHeight="1">
      <c r="A40" s="19" t="s">
        <v>1484</v>
      </c>
      <c r="B40" s="55" t="s">
        <v>1633</v>
      </c>
      <c r="C40" s="19" t="s">
        <v>1631</v>
      </c>
      <c r="D40" s="19" t="s">
        <v>1632</v>
      </c>
      <c r="E40" s="21" t="s">
        <v>1496</v>
      </c>
      <c r="F40" s="21" t="s">
        <v>1496</v>
      </c>
      <c r="G40" s="23">
        <v>7500.0</v>
      </c>
      <c r="H40" s="84">
        <v>0.33</v>
      </c>
      <c r="I40" s="87">
        <v>3671.0</v>
      </c>
      <c r="J40" s="79" t="s">
        <v>1604</v>
      </c>
      <c r="K40" s="80" t="s">
        <v>1621</v>
      </c>
      <c r="L40" s="86">
        <v>11759.0</v>
      </c>
      <c r="M40" s="86">
        <v>11171.0</v>
      </c>
      <c r="N40" s="84">
        <v>0.3</v>
      </c>
      <c r="O40" s="84">
        <v>0.3</v>
      </c>
      <c r="P40" s="81" t="s">
        <v>1595</v>
      </c>
      <c r="Q40" s="84">
        <v>0.53</v>
      </c>
      <c r="R40" s="84">
        <v>0.3</v>
      </c>
      <c r="S40" s="23"/>
      <c r="T40" s="89"/>
      <c r="U40" s="82"/>
      <c r="V40" s="37"/>
      <c r="W40" s="37"/>
    </row>
    <row r="41" ht="14.25" customHeight="1">
      <c r="A41" s="19" t="s">
        <v>1484</v>
      </c>
      <c r="B41" s="55" t="s">
        <v>1499</v>
      </c>
      <c r="C41" s="19" t="s">
        <v>1631</v>
      </c>
      <c r="D41" s="19" t="s">
        <v>1632</v>
      </c>
      <c r="E41" s="21" t="s">
        <v>1498</v>
      </c>
      <c r="F41" s="21" t="s">
        <v>1498</v>
      </c>
      <c r="G41" s="92">
        <v>7500.0</v>
      </c>
      <c r="H41" s="84">
        <v>0.33</v>
      </c>
      <c r="I41" s="87">
        <v>3671.0</v>
      </c>
      <c r="J41" s="79" t="s">
        <v>1604</v>
      </c>
      <c r="K41" s="80" t="s">
        <v>1621</v>
      </c>
      <c r="L41" s="86">
        <v>11759.0</v>
      </c>
      <c r="M41" s="86">
        <v>11171.0</v>
      </c>
      <c r="N41" s="84">
        <v>0.3</v>
      </c>
      <c r="O41" s="84">
        <v>0.3</v>
      </c>
      <c r="P41" s="81" t="s">
        <v>1595</v>
      </c>
      <c r="Q41" s="84">
        <v>0.53</v>
      </c>
      <c r="R41" s="84">
        <v>0.3</v>
      </c>
      <c r="S41" s="23"/>
      <c r="T41" s="89"/>
      <c r="U41" s="82"/>
      <c r="V41" s="37"/>
      <c r="W41" s="37"/>
    </row>
    <row r="42" ht="14.25" customHeight="1">
      <c r="A42" s="19" t="s">
        <v>1484</v>
      </c>
      <c r="B42" s="55" t="s">
        <v>1501</v>
      </c>
      <c r="C42" s="19" t="s">
        <v>1631</v>
      </c>
      <c r="D42" s="19" t="s">
        <v>1632</v>
      </c>
      <c r="E42" s="21" t="s">
        <v>1500</v>
      </c>
      <c r="F42" s="21" t="s">
        <v>1500</v>
      </c>
      <c r="G42" s="92">
        <v>7500.0</v>
      </c>
      <c r="H42" s="84">
        <v>0.33</v>
      </c>
      <c r="I42" s="87">
        <v>3671.0</v>
      </c>
      <c r="J42" s="79" t="s">
        <v>1604</v>
      </c>
      <c r="K42" s="80" t="s">
        <v>1621</v>
      </c>
      <c r="L42" s="86">
        <v>11759.0</v>
      </c>
      <c r="M42" s="86">
        <v>11171.0</v>
      </c>
      <c r="N42" s="84">
        <v>0.3</v>
      </c>
      <c r="O42" s="84">
        <v>0.3</v>
      </c>
      <c r="P42" s="81" t="s">
        <v>1595</v>
      </c>
      <c r="Q42" s="84">
        <v>0.53</v>
      </c>
      <c r="R42" s="84">
        <v>0.3</v>
      </c>
      <c r="S42" s="23"/>
      <c r="T42" s="89"/>
      <c r="U42" s="82"/>
      <c r="V42" s="37"/>
      <c r="W42" s="37"/>
    </row>
    <row r="43" ht="14.25" customHeight="1">
      <c r="A43" s="19" t="s">
        <v>1484</v>
      </c>
      <c r="B43" s="55" t="s">
        <v>1634</v>
      </c>
      <c r="C43" s="19" t="s">
        <v>1631</v>
      </c>
      <c r="D43" s="19" t="s">
        <v>1635</v>
      </c>
      <c r="E43" s="21" t="s">
        <v>1486</v>
      </c>
      <c r="F43" s="21" t="s">
        <v>1486</v>
      </c>
      <c r="G43" s="23">
        <v>7500.0</v>
      </c>
      <c r="H43" s="84">
        <v>0.25</v>
      </c>
      <c r="I43" s="87">
        <v>2494.0</v>
      </c>
      <c r="J43" s="79" t="s">
        <v>1636</v>
      </c>
      <c r="K43" s="80" t="s">
        <v>1602</v>
      </c>
      <c r="L43" s="86">
        <v>10582.0</v>
      </c>
      <c r="M43" s="86">
        <v>9994.0</v>
      </c>
      <c r="N43" s="84">
        <v>0.3</v>
      </c>
      <c r="O43" s="84">
        <v>0.3</v>
      </c>
      <c r="P43" s="81" t="s">
        <v>1595</v>
      </c>
      <c r="Q43" s="84">
        <v>0.47</v>
      </c>
      <c r="R43" s="84">
        <v>0.24</v>
      </c>
      <c r="S43" s="23"/>
      <c r="T43" s="89"/>
      <c r="U43" s="82"/>
      <c r="V43" s="37"/>
      <c r="W43" s="37"/>
    </row>
    <row r="44" ht="14.25" customHeight="1">
      <c r="A44" s="19" t="s">
        <v>1484</v>
      </c>
      <c r="B44" s="55" t="s">
        <v>1637</v>
      </c>
      <c r="C44" s="19" t="s">
        <v>1631</v>
      </c>
      <c r="D44" s="19" t="s">
        <v>1635</v>
      </c>
      <c r="E44" s="21" t="s">
        <v>1488</v>
      </c>
      <c r="F44" s="21" t="s">
        <v>1488</v>
      </c>
      <c r="G44" s="23">
        <v>7500.0</v>
      </c>
      <c r="H44" s="84">
        <v>0.25</v>
      </c>
      <c r="I44" s="87">
        <v>2494.0</v>
      </c>
      <c r="J44" s="79" t="s">
        <v>1636</v>
      </c>
      <c r="K44" s="80" t="s">
        <v>1602</v>
      </c>
      <c r="L44" s="86">
        <v>10582.0</v>
      </c>
      <c r="M44" s="86">
        <v>9994.0</v>
      </c>
      <c r="N44" s="84">
        <v>0.3</v>
      </c>
      <c r="O44" s="84">
        <v>0.3</v>
      </c>
      <c r="P44" s="81" t="s">
        <v>1595</v>
      </c>
      <c r="Q44" s="84">
        <v>0.47</v>
      </c>
      <c r="R44" s="84">
        <v>0.24</v>
      </c>
      <c r="S44" s="23"/>
      <c r="T44" s="89"/>
      <c r="U44" s="82"/>
      <c r="V44" s="37"/>
      <c r="W44" s="37"/>
    </row>
    <row r="45" ht="14.25" customHeight="1">
      <c r="A45" s="19" t="s">
        <v>1484</v>
      </c>
      <c r="B45" s="55" t="s">
        <v>1638</v>
      </c>
      <c r="C45" s="19" t="s">
        <v>1631</v>
      </c>
      <c r="D45" s="19" t="s">
        <v>1635</v>
      </c>
      <c r="E45" s="21" t="s">
        <v>1490</v>
      </c>
      <c r="F45" s="21" t="s">
        <v>1490</v>
      </c>
      <c r="G45" s="23">
        <v>7500.0</v>
      </c>
      <c r="H45" s="84">
        <v>0.25</v>
      </c>
      <c r="I45" s="87">
        <v>2494.0</v>
      </c>
      <c r="J45" s="79" t="s">
        <v>1636</v>
      </c>
      <c r="K45" s="80" t="s">
        <v>1602</v>
      </c>
      <c r="L45" s="86">
        <v>10582.0</v>
      </c>
      <c r="M45" s="86">
        <v>9994.0</v>
      </c>
      <c r="N45" s="84">
        <v>0.3</v>
      </c>
      <c r="O45" s="84">
        <v>0.3</v>
      </c>
      <c r="P45" s="81" t="s">
        <v>1595</v>
      </c>
      <c r="Q45" s="84">
        <v>0.47</v>
      </c>
      <c r="R45" s="84">
        <v>0.24</v>
      </c>
      <c r="S45" s="23"/>
      <c r="T45" s="89"/>
      <c r="U45" s="82"/>
      <c r="V45" s="37"/>
      <c r="W45" s="37"/>
    </row>
    <row r="46" ht="14.25" customHeight="1">
      <c r="A46" s="19" t="s">
        <v>1484</v>
      </c>
      <c r="B46" s="55" t="s">
        <v>1639</v>
      </c>
      <c r="C46" s="19" t="s">
        <v>1631</v>
      </c>
      <c r="D46" s="19" t="s">
        <v>1635</v>
      </c>
      <c r="E46" s="21" t="s">
        <v>1492</v>
      </c>
      <c r="F46" s="21" t="s">
        <v>1492</v>
      </c>
      <c r="G46" s="23">
        <v>7500.0</v>
      </c>
      <c r="H46" s="84">
        <v>0.25</v>
      </c>
      <c r="I46" s="87">
        <v>2494.0</v>
      </c>
      <c r="J46" s="79" t="s">
        <v>1636</v>
      </c>
      <c r="K46" s="80" t="s">
        <v>1602</v>
      </c>
      <c r="L46" s="86">
        <v>10582.0</v>
      </c>
      <c r="M46" s="86">
        <v>9994.0</v>
      </c>
      <c r="N46" s="84">
        <v>0.3</v>
      </c>
      <c r="O46" s="84">
        <v>0.3</v>
      </c>
      <c r="P46" s="81" t="s">
        <v>1595</v>
      </c>
      <c r="Q46" s="84">
        <v>0.47</v>
      </c>
      <c r="R46" s="84">
        <v>0.24</v>
      </c>
      <c r="S46" s="23"/>
      <c r="T46" s="89"/>
      <c r="U46" s="82"/>
      <c r="V46" s="37"/>
      <c r="W46" s="37"/>
    </row>
    <row r="47" ht="14.25" customHeight="1">
      <c r="A47" s="83" t="s">
        <v>105</v>
      </c>
      <c r="B47" s="55">
        <v>1.661877072053E12</v>
      </c>
      <c r="C47" s="78" t="s">
        <v>106</v>
      </c>
      <c r="D47" s="78" t="s">
        <v>107</v>
      </c>
      <c r="E47" s="21" t="s">
        <v>108</v>
      </c>
      <c r="F47" s="21" t="s">
        <v>108</v>
      </c>
      <c r="G47" s="23">
        <v>275044.0</v>
      </c>
      <c r="H47" s="26">
        <v>0.28</v>
      </c>
      <c r="I47" s="79">
        <v>107303.0</v>
      </c>
      <c r="J47" s="79" t="s">
        <v>1640</v>
      </c>
      <c r="K47" s="80" t="s">
        <v>1641</v>
      </c>
      <c r="L47" s="21">
        <v>411759.0</v>
      </c>
      <c r="M47" s="21">
        <v>382347.0</v>
      </c>
      <c r="N47" s="26">
        <v>0.3</v>
      </c>
      <c r="O47" s="26">
        <v>0.3</v>
      </c>
      <c r="P47" s="81" t="s">
        <v>1595</v>
      </c>
      <c r="Q47" s="26">
        <v>0.5</v>
      </c>
      <c r="R47" s="84">
        <v>0.27</v>
      </c>
      <c r="S47" s="22"/>
      <c r="T47" s="16"/>
      <c r="U47" s="88"/>
      <c r="V47" s="37"/>
      <c r="W47" s="37"/>
    </row>
    <row r="48" ht="14.25" customHeight="1">
      <c r="A48" s="83" t="s">
        <v>105</v>
      </c>
      <c r="B48" s="55" t="s">
        <v>110</v>
      </c>
      <c r="C48" s="78" t="s">
        <v>106</v>
      </c>
      <c r="D48" s="78" t="s">
        <v>107</v>
      </c>
      <c r="E48" s="21" t="s">
        <v>109</v>
      </c>
      <c r="F48" s="21" t="s">
        <v>109</v>
      </c>
      <c r="G48" s="23">
        <v>423998.0</v>
      </c>
      <c r="H48" s="26">
        <v>0.49</v>
      </c>
      <c r="I48" s="79">
        <v>399526.0</v>
      </c>
      <c r="J48" s="79" t="s">
        <v>1642</v>
      </c>
      <c r="K48" s="80" t="s">
        <v>1643</v>
      </c>
      <c r="L48" s="21">
        <v>999994.0</v>
      </c>
      <c r="M48" s="21">
        <v>823524.0</v>
      </c>
      <c r="N48" s="26">
        <v>0.3</v>
      </c>
      <c r="O48" s="26">
        <v>0.3</v>
      </c>
      <c r="P48" s="81" t="s">
        <v>1595</v>
      </c>
      <c r="Q48" s="26">
        <v>0.64</v>
      </c>
      <c r="R48" s="84">
        <v>0.41</v>
      </c>
      <c r="S48" s="22"/>
      <c r="T48" s="16"/>
      <c r="U48" s="82"/>
      <c r="V48" s="37"/>
      <c r="W48" s="37"/>
    </row>
    <row r="49" ht="14.25" customHeight="1">
      <c r="A49" s="83" t="s">
        <v>105</v>
      </c>
      <c r="B49" s="55" t="s">
        <v>124</v>
      </c>
      <c r="C49" s="78" t="s">
        <v>106</v>
      </c>
      <c r="D49" s="78" t="s">
        <v>107</v>
      </c>
      <c r="E49" s="21" t="s">
        <v>1644</v>
      </c>
      <c r="F49" s="21" t="s">
        <v>123</v>
      </c>
      <c r="G49" s="23">
        <v>1867612.0</v>
      </c>
      <c r="H49" s="26">
        <v>0.47</v>
      </c>
      <c r="I49" s="79">
        <v>1661794.0</v>
      </c>
      <c r="J49" s="79" t="s">
        <v>1645</v>
      </c>
      <c r="K49" s="80" t="s">
        <v>1646</v>
      </c>
      <c r="L49" s="21">
        <v>4235288.0</v>
      </c>
      <c r="M49" s="21">
        <v>3529406.0</v>
      </c>
      <c r="N49" s="26">
        <v>0.3</v>
      </c>
      <c r="O49" s="26">
        <v>0.3</v>
      </c>
      <c r="P49" s="81" t="s">
        <v>1595</v>
      </c>
      <c r="Q49" s="26">
        <v>0.63</v>
      </c>
      <c r="R49" s="84">
        <v>0.4</v>
      </c>
      <c r="S49" s="22"/>
      <c r="T49" s="16"/>
      <c r="U49" s="44"/>
      <c r="W49" s="37"/>
    </row>
    <row r="50" ht="14.25" customHeight="1">
      <c r="A50" s="83" t="s">
        <v>105</v>
      </c>
      <c r="B50" s="55" t="s">
        <v>112</v>
      </c>
      <c r="C50" s="78" t="s">
        <v>106</v>
      </c>
      <c r="D50" s="78" t="s">
        <v>107</v>
      </c>
      <c r="E50" s="21" t="s">
        <v>111</v>
      </c>
      <c r="F50" s="21" t="s">
        <v>111</v>
      </c>
      <c r="G50" s="23">
        <v>282666.0</v>
      </c>
      <c r="H50" s="26">
        <v>0.49</v>
      </c>
      <c r="I50" s="79">
        <v>276152.0</v>
      </c>
      <c r="J50" s="79" t="s">
        <v>1647</v>
      </c>
      <c r="K50" s="80" t="s">
        <v>1648</v>
      </c>
      <c r="L50" s="21">
        <v>676465.0</v>
      </c>
      <c r="M50" s="21">
        <v>558818.0</v>
      </c>
      <c r="N50" s="26">
        <v>0.3</v>
      </c>
      <c r="O50" s="26">
        <v>0.3</v>
      </c>
      <c r="P50" s="81" t="s">
        <v>1595</v>
      </c>
      <c r="Q50" s="26">
        <v>0.65</v>
      </c>
      <c r="R50" s="84">
        <v>0.42</v>
      </c>
      <c r="S50" s="22"/>
      <c r="T50" s="16"/>
      <c r="U50" s="82"/>
      <c r="V50" s="37"/>
      <c r="W50" s="37"/>
    </row>
    <row r="51" ht="14.25" customHeight="1">
      <c r="A51" s="83" t="s">
        <v>105</v>
      </c>
      <c r="B51" s="55" t="s">
        <v>114</v>
      </c>
      <c r="C51" s="78" t="s">
        <v>106</v>
      </c>
      <c r="D51" s="78" t="s">
        <v>107</v>
      </c>
      <c r="E51" s="21" t="s">
        <v>113</v>
      </c>
      <c r="F51" s="21" t="s">
        <v>113</v>
      </c>
      <c r="G51" s="23">
        <v>302856.0</v>
      </c>
      <c r="H51" s="26">
        <v>0.49</v>
      </c>
      <c r="I51" s="79">
        <v>285373.0</v>
      </c>
      <c r="J51" s="79" t="s">
        <v>1649</v>
      </c>
      <c r="K51" s="80" t="s">
        <v>1650</v>
      </c>
      <c r="L51" s="21">
        <v>1176465.0</v>
      </c>
      <c r="M51" s="21">
        <v>588229.0</v>
      </c>
      <c r="N51" s="26">
        <v>0.3</v>
      </c>
      <c r="O51" s="26">
        <v>0.3</v>
      </c>
      <c r="P51" s="81" t="s">
        <v>1595</v>
      </c>
      <c r="Q51" s="26">
        <v>0.64</v>
      </c>
      <c r="R51" s="84">
        <v>0.41</v>
      </c>
      <c r="S51" s="22"/>
      <c r="T51" s="16"/>
      <c r="U51" s="82"/>
      <c r="V51" s="37"/>
      <c r="W51" s="37"/>
    </row>
    <row r="52" ht="14.25" customHeight="1">
      <c r="A52" s="83" t="s">
        <v>105</v>
      </c>
      <c r="B52" s="55" t="s">
        <v>116</v>
      </c>
      <c r="C52" s="78" t="s">
        <v>106</v>
      </c>
      <c r="D52" s="78" t="s">
        <v>107</v>
      </c>
      <c r="E52" s="21" t="s">
        <v>115</v>
      </c>
      <c r="F52" s="21" t="s">
        <v>115</v>
      </c>
      <c r="G52" s="23">
        <v>293682.0</v>
      </c>
      <c r="H52" s="26">
        <v>0.38</v>
      </c>
      <c r="I52" s="79">
        <v>176900.0</v>
      </c>
      <c r="J52" s="79" t="s">
        <v>1651</v>
      </c>
      <c r="K52" s="80" t="s">
        <v>1652</v>
      </c>
      <c r="L52" s="21">
        <v>529406.0</v>
      </c>
      <c r="M52" s="21">
        <v>470582.0</v>
      </c>
      <c r="N52" s="26">
        <v>0.3</v>
      </c>
      <c r="O52" s="26">
        <v>0.3</v>
      </c>
      <c r="P52" s="81" t="s">
        <v>1595</v>
      </c>
      <c r="Q52" s="26">
        <v>0.56</v>
      </c>
      <c r="R52" s="84">
        <v>0.33</v>
      </c>
      <c r="S52" s="22"/>
      <c r="T52" s="16"/>
      <c r="U52" s="82"/>
      <c r="V52" s="37"/>
      <c r="W52" s="37"/>
    </row>
    <row r="53" ht="14.25" customHeight="1">
      <c r="A53" s="83" t="s">
        <v>105</v>
      </c>
      <c r="B53" s="55">
        <v>1.661877043628E12</v>
      </c>
      <c r="C53" s="78" t="s">
        <v>106</v>
      </c>
      <c r="D53" s="78" t="s">
        <v>107</v>
      </c>
      <c r="E53" s="21" t="s">
        <v>1653</v>
      </c>
      <c r="F53" s="21" t="s">
        <v>125</v>
      </c>
      <c r="G53" s="23">
        <v>237256.0</v>
      </c>
      <c r="H53" s="26">
        <v>0.27</v>
      </c>
      <c r="I53" s="79">
        <v>86268.0</v>
      </c>
      <c r="J53" s="79" t="s">
        <v>1654</v>
      </c>
      <c r="K53" s="80" t="s">
        <v>1655</v>
      </c>
      <c r="L53" s="21">
        <v>352935.0</v>
      </c>
      <c r="M53" s="21">
        <v>323524.0</v>
      </c>
      <c r="N53" s="26">
        <v>0.3</v>
      </c>
      <c r="O53" s="26">
        <v>0.3</v>
      </c>
      <c r="P53" s="81" t="s">
        <v>1595</v>
      </c>
      <c r="Q53" s="26">
        <v>0.49</v>
      </c>
      <c r="R53" s="84">
        <v>0.26</v>
      </c>
      <c r="S53" s="22"/>
      <c r="T53" s="16"/>
      <c r="U53" s="82"/>
      <c r="V53" s="37"/>
      <c r="W53" s="37"/>
    </row>
    <row r="54" ht="14.25" customHeight="1">
      <c r="A54" s="83" t="s">
        <v>105</v>
      </c>
      <c r="B54" s="91" t="s">
        <v>118</v>
      </c>
      <c r="C54" s="78" t="s">
        <v>106</v>
      </c>
      <c r="D54" s="78" t="s">
        <v>107</v>
      </c>
      <c r="E54" s="21" t="s">
        <v>1656</v>
      </c>
      <c r="F54" s="21" t="s">
        <v>117</v>
      </c>
      <c r="G54" s="23">
        <v>432031.0</v>
      </c>
      <c r="H54" s="26">
        <v>0.44</v>
      </c>
      <c r="I54" s="79">
        <v>332669.0</v>
      </c>
      <c r="J54" s="79" t="s">
        <v>1657</v>
      </c>
      <c r="K54" s="80" t="s">
        <v>1658</v>
      </c>
      <c r="L54" s="21">
        <v>882347.0</v>
      </c>
      <c r="M54" s="21">
        <v>764700.0</v>
      </c>
      <c r="N54" s="26">
        <v>0.3</v>
      </c>
      <c r="O54" s="26">
        <v>0.3</v>
      </c>
      <c r="P54" s="81" t="s">
        <v>1595</v>
      </c>
      <c r="Q54" s="26">
        <v>0.6</v>
      </c>
      <c r="R54" s="84">
        <v>0.37</v>
      </c>
      <c r="S54" s="23"/>
      <c r="T54" s="89"/>
      <c r="U54" s="88"/>
      <c r="V54" s="90"/>
      <c r="W54" s="90"/>
    </row>
    <row r="55" ht="14.25" customHeight="1">
      <c r="A55" s="83" t="s">
        <v>105</v>
      </c>
      <c r="B55" s="91" t="s">
        <v>120</v>
      </c>
      <c r="C55" s="78" t="s">
        <v>106</v>
      </c>
      <c r="D55" s="78" t="s">
        <v>107</v>
      </c>
      <c r="E55" s="21" t="s">
        <v>1659</v>
      </c>
      <c r="F55" s="21" t="s">
        <v>119</v>
      </c>
      <c r="G55" s="23">
        <v>553437.0</v>
      </c>
      <c r="H55" s="26">
        <v>0.41</v>
      </c>
      <c r="I55" s="79">
        <v>387734.0</v>
      </c>
      <c r="J55" s="79" t="s">
        <v>1642</v>
      </c>
      <c r="K55" s="80" t="s">
        <v>1660</v>
      </c>
      <c r="L55" s="21">
        <v>999994.0</v>
      </c>
      <c r="M55" s="21">
        <v>941171.0</v>
      </c>
      <c r="N55" s="26">
        <v>0.3</v>
      </c>
      <c r="O55" s="26">
        <v>0.3</v>
      </c>
      <c r="P55" s="81" t="s">
        <v>1595</v>
      </c>
      <c r="Q55" s="26">
        <v>0.59</v>
      </c>
      <c r="R55" s="84">
        <v>0.36</v>
      </c>
      <c r="S55" s="93"/>
      <c r="T55" s="89"/>
      <c r="U55" s="88"/>
      <c r="V55" s="90"/>
      <c r="W55" s="90"/>
    </row>
    <row r="56" ht="14.25" customHeight="1">
      <c r="A56" s="83" t="s">
        <v>105</v>
      </c>
      <c r="B56" s="91" t="s">
        <v>122</v>
      </c>
      <c r="C56" s="78" t="s">
        <v>106</v>
      </c>
      <c r="D56" s="78" t="s">
        <v>107</v>
      </c>
      <c r="E56" s="21" t="s">
        <v>1661</v>
      </c>
      <c r="F56" s="21" t="s">
        <v>121</v>
      </c>
      <c r="G56" s="23">
        <v>50149.0</v>
      </c>
      <c r="H56" s="26">
        <v>0.43</v>
      </c>
      <c r="I56" s="79">
        <v>38080.0</v>
      </c>
      <c r="J56" s="79" t="s">
        <v>1662</v>
      </c>
      <c r="K56" s="80" t="s">
        <v>1622</v>
      </c>
      <c r="L56" s="21">
        <v>94112.0</v>
      </c>
      <c r="M56" s="21">
        <v>88229.0</v>
      </c>
      <c r="N56" s="26">
        <v>0.3</v>
      </c>
      <c r="O56" s="26">
        <v>0.3</v>
      </c>
      <c r="P56" s="81" t="s">
        <v>1595</v>
      </c>
      <c r="Q56" s="26">
        <v>0.6</v>
      </c>
      <c r="R56" s="84">
        <v>0.37</v>
      </c>
      <c r="S56" s="23"/>
      <c r="T56" s="89"/>
      <c r="U56" s="82"/>
      <c r="V56" s="90"/>
      <c r="W56" s="90"/>
    </row>
    <row r="57" ht="14.25" customHeight="1">
      <c r="A57" s="83" t="s">
        <v>105</v>
      </c>
      <c r="B57" s="91" t="s">
        <v>116</v>
      </c>
      <c r="C57" s="78" t="s">
        <v>106</v>
      </c>
      <c r="D57" s="78" t="s">
        <v>107</v>
      </c>
      <c r="E57" s="21" t="s">
        <v>1663</v>
      </c>
      <c r="F57" s="21" t="s">
        <v>115</v>
      </c>
      <c r="G57" s="23">
        <v>293682.0</v>
      </c>
      <c r="H57" s="26">
        <v>0.38</v>
      </c>
      <c r="I57" s="79">
        <v>176900.0</v>
      </c>
      <c r="J57" s="79" t="s">
        <v>1651</v>
      </c>
      <c r="K57" s="80" t="s">
        <v>1652</v>
      </c>
      <c r="L57" s="21">
        <v>529406.0</v>
      </c>
      <c r="M57" s="21">
        <v>470582.0</v>
      </c>
      <c r="N57" s="26">
        <v>0.3</v>
      </c>
      <c r="O57" s="26">
        <v>0.3</v>
      </c>
      <c r="P57" s="81" t="s">
        <v>1595</v>
      </c>
      <c r="Q57" s="26">
        <v>0.56</v>
      </c>
      <c r="R57" s="84">
        <v>0.33</v>
      </c>
      <c r="S57" s="23"/>
      <c r="T57" s="89"/>
      <c r="U57" s="82"/>
      <c r="V57" s="37"/>
      <c r="W57" s="37"/>
    </row>
    <row r="58" ht="14.25" customHeight="1">
      <c r="A58" s="83" t="s">
        <v>105</v>
      </c>
      <c r="B58" s="55">
        <v>1.571055493973E12</v>
      </c>
      <c r="C58" s="78" t="s">
        <v>126</v>
      </c>
      <c r="D58" s="78" t="s">
        <v>127</v>
      </c>
      <c r="E58" s="21" t="s">
        <v>128</v>
      </c>
      <c r="F58" s="21" t="s">
        <v>128</v>
      </c>
      <c r="G58" s="23">
        <v>19691.0</v>
      </c>
      <c r="H58" s="26">
        <v>0.33</v>
      </c>
      <c r="I58" s="79">
        <v>9715.0</v>
      </c>
      <c r="J58" s="79" t="s">
        <v>1664</v>
      </c>
      <c r="K58" s="80" t="s">
        <v>1606</v>
      </c>
      <c r="L58" s="21">
        <v>44112.0</v>
      </c>
      <c r="M58" s="21">
        <v>29406.0</v>
      </c>
      <c r="N58" s="26">
        <v>0.3</v>
      </c>
      <c r="O58" s="26">
        <v>0.3</v>
      </c>
      <c r="P58" s="81" t="s">
        <v>1595</v>
      </c>
      <c r="Q58" s="26">
        <v>0.53</v>
      </c>
      <c r="R58" s="84">
        <v>0.3</v>
      </c>
      <c r="S58" s="93"/>
      <c r="T58" s="89"/>
      <c r="U58" s="82"/>
      <c r="V58" s="94"/>
      <c r="W58" s="94"/>
    </row>
    <row r="59" ht="14.25" customHeight="1">
      <c r="A59" s="83" t="s">
        <v>130</v>
      </c>
      <c r="B59" s="91">
        <v>6.7114508251225E13</v>
      </c>
      <c r="C59" s="78" t="s">
        <v>131</v>
      </c>
      <c r="D59" s="78" t="s">
        <v>132</v>
      </c>
      <c r="E59" s="21" t="s">
        <v>1665</v>
      </c>
      <c r="F59" s="21" t="s">
        <v>133</v>
      </c>
      <c r="G59" s="23">
        <v>6081.0</v>
      </c>
      <c r="H59" s="26">
        <v>0.42</v>
      </c>
      <c r="I59" s="79">
        <v>8619.0</v>
      </c>
      <c r="J59" s="79" t="s">
        <v>1603</v>
      </c>
      <c r="K59" s="80" t="s">
        <v>1601</v>
      </c>
      <c r="L59" s="21">
        <v>17641.0</v>
      </c>
      <c r="M59" s="21">
        <v>14700.0</v>
      </c>
      <c r="N59" s="26">
        <v>0.3</v>
      </c>
      <c r="O59" s="26">
        <v>0.3</v>
      </c>
      <c r="P59" s="83" t="s">
        <v>134</v>
      </c>
      <c r="Q59" s="26">
        <v>0.71</v>
      </c>
      <c r="R59" s="84">
        <v>0.48</v>
      </c>
      <c r="S59" s="22"/>
      <c r="T59" s="16"/>
      <c r="U59" s="82"/>
      <c r="V59" s="94"/>
      <c r="W59" s="94"/>
    </row>
    <row r="60" ht="14.25" customHeight="1">
      <c r="A60" s="83" t="s">
        <v>130</v>
      </c>
      <c r="B60" s="91">
        <v>6.7114505814137E13</v>
      </c>
      <c r="C60" s="78" t="s">
        <v>131</v>
      </c>
      <c r="D60" s="78" t="s">
        <v>132</v>
      </c>
      <c r="E60" s="21" t="s">
        <v>1665</v>
      </c>
      <c r="F60" s="21" t="s">
        <v>137</v>
      </c>
      <c r="G60" s="23">
        <v>5894.0</v>
      </c>
      <c r="H60" s="26">
        <v>0.49</v>
      </c>
      <c r="I60" s="79">
        <v>8806.0</v>
      </c>
      <c r="J60" s="79" t="s">
        <v>1603</v>
      </c>
      <c r="K60" s="80" t="s">
        <v>1601</v>
      </c>
      <c r="L60" s="21">
        <v>17641.0</v>
      </c>
      <c r="M60" s="21">
        <v>14700.0</v>
      </c>
      <c r="N60" s="26">
        <v>0.3</v>
      </c>
      <c r="O60" s="26">
        <v>0.3</v>
      </c>
      <c r="P60" s="83" t="s">
        <v>134</v>
      </c>
      <c r="Q60" s="26">
        <v>0.72</v>
      </c>
      <c r="R60" s="84">
        <v>0.49</v>
      </c>
      <c r="S60" s="22"/>
      <c r="T60" s="16"/>
      <c r="U60" s="82"/>
      <c r="V60" s="94"/>
      <c r="W60" s="94"/>
    </row>
    <row r="61" ht="14.25" customHeight="1">
      <c r="A61" s="19" t="s">
        <v>1666</v>
      </c>
      <c r="B61" s="55" t="s">
        <v>143</v>
      </c>
      <c r="C61" s="78" t="s">
        <v>140</v>
      </c>
      <c r="D61" s="78" t="s">
        <v>141</v>
      </c>
      <c r="E61" s="21" t="s">
        <v>142</v>
      </c>
      <c r="F61" s="21" t="s">
        <v>1667</v>
      </c>
      <c r="G61" s="23">
        <v>840.0</v>
      </c>
      <c r="H61" s="26">
        <v>0.76</v>
      </c>
      <c r="I61" s="79">
        <v>2684.0</v>
      </c>
      <c r="J61" s="79" t="s">
        <v>1618</v>
      </c>
      <c r="K61" s="80" t="s">
        <v>1668</v>
      </c>
      <c r="L61" s="21">
        <v>5876.0</v>
      </c>
      <c r="M61" s="21">
        <v>3524.0</v>
      </c>
      <c r="N61" s="26">
        <v>0.3</v>
      </c>
      <c r="O61" s="26">
        <v>0.3</v>
      </c>
      <c r="P61" s="81" t="s">
        <v>1595</v>
      </c>
      <c r="Q61" s="26">
        <v>0.83</v>
      </c>
      <c r="R61" s="84">
        <v>0.6</v>
      </c>
      <c r="S61" s="93"/>
      <c r="T61" s="89"/>
      <c r="U61" s="82"/>
      <c r="V61" s="90"/>
      <c r="W61" s="90"/>
    </row>
    <row r="62" ht="14.25" customHeight="1">
      <c r="A62" s="19" t="s">
        <v>1666</v>
      </c>
      <c r="B62" s="55" t="s">
        <v>145</v>
      </c>
      <c r="C62" s="78" t="s">
        <v>140</v>
      </c>
      <c r="D62" s="78" t="s">
        <v>141</v>
      </c>
      <c r="E62" s="21" t="s">
        <v>144</v>
      </c>
      <c r="F62" s="21" t="s">
        <v>1669</v>
      </c>
      <c r="G62" s="23">
        <v>1815.0</v>
      </c>
      <c r="H62" s="26">
        <v>0.56</v>
      </c>
      <c r="I62" s="79">
        <v>2297.0</v>
      </c>
      <c r="J62" s="79" t="s">
        <v>1618</v>
      </c>
      <c r="K62" s="80" t="s">
        <v>1670</v>
      </c>
      <c r="L62" s="21">
        <v>5876.0</v>
      </c>
      <c r="M62" s="21">
        <v>4112.0</v>
      </c>
      <c r="N62" s="26">
        <v>0.3</v>
      </c>
      <c r="O62" s="26">
        <v>0.3</v>
      </c>
      <c r="P62" s="81" t="s">
        <v>1595</v>
      </c>
      <c r="Q62" s="26">
        <v>0.69</v>
      </c>
      <c r="R62" s="84">
        <v>0.46</v>
      </c>
      <c r="S62" s="23"/>
      <c r="T62" s="89"/>
      <c r="U62" s="82"/>
      <c r="V62" s="37"/>
      <c r="W62" s="37"/>
    </row>
    <row r="63" ht="14.25" customHeight="1">
      <c r="A63" s="19" t="s">
        <v>1666</v>
      </c>
      <c r="B63" s="55" t="s">
        <v>147</v>
      </c>
      <c r="C63" s="78" t="s">
        <v>140</v>
      </c>
      <c r="D63" s="78" t="s">
        <v>141</v>
      </c>
      <c r="E63" s="21" t="s">
        <v>146</v>
      </c>
      <c r="F63" s="21" t="s">
        <v>1671</v>
      </c>
      <c r="G63" s="23">
        <v>1815.0</v>
      </c>
      <c r="H63" s="26">
        <v>0.56</v>
      </c>
      <c r="I63" s="79">
        <v>2297.0</v>
      </c>
      <c r="J63" s="79" t="s">
        <v>1618</v>
      </c>
      <c r="K63" s="80" t="s">
        <v>1670</v>
      </c>
      <c r="L63" s="21">
        <v>5876.0</v>
      </c>
      <c r="M63" s="21">
        <v>4112.0</v>
      </c>
      <c r="N63" s="26">
        <v>0.3</v>
      </c>
      <c r="O63" s="26">
        <v>0.3</v>
      </c>
      <c r="P63" s="81" t="s">
        <v>1595</v>
      </c>
      <c r="Q63" s="26">
        <v>0.69</v>
      </c>
      <c r="R63" s="84">
        <v>0.46</v>
      </c>
      <c r="S63" s="23"/>
      <c r="T63" s="89"/>
      <c r="U63" s="82"/>
      <c r="V63" s="37"/>
      <c r="W63" s="37"/>
    </row>
    <row r="64" ht="14.25" customHeight="1">
      <c r="A64" s="83" t="s">
        <v>1666</v>
      </c>
      <c r="B64" s="91">
        <v>1.650299083874E12</v>
      </c>
      <c r="C64" s="78" t="s">
        <v>140</v>
      </c>
      <c r="D64" s="78" t="s">
        <v>148</v>
      </c>
      <c r="E64" s="21" t="s">
        <v>1672</v>
      </c>
      <c r="F64" s="21" t="s">
        <v>1673</v>
      </c>
      <c r="G64" s="23">
        <v>5881.0</v>
      </c>
      <c r="H64" s="26">
        <v>0.33</v>
      </c>
      <c r="I64" s="79">
        <v>2937.0</v>
      </c>
      <c r="J64" s="79" t="s">
        <v>1601</v>
      </c>
      <c r="K64" s="80" t="s">
        <v>1605</v>
      </c>
      <c r="L64" s="21">
        <v>14700.0</v>
      </c>
      <c r="M64" s="21">
        <v>8818.0</v>
      </c>
      <c r="N64" s="26">
        <v>0.3</v>
      </c>
      <c r="O64" s="26">
        <v>0.3</v>
      </c>
      <c r="P64" s="81" t="s">
        <v>1595</v>
      </c>
      <c r="Q64" s="26">
        <v>0.53</v>
      </c>
      <c r="R64" s="84">
        <v>0.3</v>
      </c>
      <c r="S64" s="23"/>
      <c r="T64" s="16"/>
      <c r="U64" s="82"/>
      <c r="V64" s="37"/>
      <c r="W64" s="37"/>
    </row>
    <row r="65" ht="14.25" customHeight="1">
      <c r="A65" s="83" t="s">
        <v>1666</v>
      </c>
      <c r="B65" s="91">
        <v>1.652825203439E12</v>
      </c>
      <c r="C65" s="78" t="s">
        <v>140</v>
      </c>
      <c r="D65" s="78" t="s">
        <v>148</v>
      </c>
      <c r="E65" s="21" t="s">
        <v>1674</v>
      </c>
      <c r="F65" s="21" t="s">
        <v>1675</v>
      </c>
      <c r="G65" s="23">
        <v>6398.0</v>
      </c>
      <c r="H65" s="26">
        <v>0.27</v>
      </c>
      <c r="I65" s="79">
        <v>2420.0</v>
      </c>
      <c r="J65" s="79" t="s">
        <v>1601</v>
      </c>
      <c r="K65" s="80" t="s">
        <v>1605</v>
      </c>
      <c r="L65" s="21">
        <v>14700.0</v>
      </c>
      <c r="M65" s="21">
        <v>8818.0</v>
      </c>
      <c r="N65" s="26">
        <v>0.3</v>
      </c>
      <c r="O65" s="26">
        <v>0.3</v>
      </c>
      <c r="P65" s="81" t="s">
        <v>1595</v>
      </c>
      <c r="Q65" s="26">
        <v>0.49</v>
      </c>
      <c r="R65" s="84">
        <v>0.26</v>
      </c>
      <c r="S65" s="23"/>
      <c r="T65" s="89"/>
      <c r="U65" s="82"/>
      <c r="V65" s="37"/>
      <c r="W65" s="37"/>
    </row>
    <row r="66" ht="14.25" customHeight="1">
      <c r="A66" s="19" t="s">
        <v>1666</v>
      </c>
      <c r="B66" s="55" t="s">
        <v>153</v>
      </c>
      <c r="C66" s="78" t="s">
        <v>140</v>
      </c>
      <c r="D66" s="78" t="s">
        <v>151</v>
      </c>
      <c r="E66" s="21" t="s">
        <v>1676</v>
      </c>
      <c r="F66" s="21" t="s">
        <v>1677</v>
      </c>
      <c r="G66" s="23">
        <v>2126.0</v>
      </c>
      <c r="H66" s="26">
        <v>0.48</v>
      </c>
      <c r="I66" s="79">
        <v>1986.0</v>
      </c>
      <c r="J66" s="79" t="s">
        <v>1605</v>
      </c>
      <c r="K66" s="80" t="s">
        <v>1670</v>
      </c>
      <c r="L66" s="21">
        <v>8818.0</v>
      </c>
      <c r="M66" s="21">
        <v>4112.0</v>
      </c>
      <c r="N66" s="26">
        <v>0.3</v>
      </c>
      <c r="O66" s="26">
        <v>0.3</v>
      </c>
      <c r="P66" s="81" t="s">
        <v>1595</v>
      </c>
      <c r="Q66" s="26">
        <v>0.64</v>
      </c>
      <c r="R66" s="84">
        <v>0.41</v>
      </c>
      <c r="S66" s="23"/>
      <c r="T66" s="89"/>
      <c r="U66" s="82"/>
      <c r="V66" s="37"/>
      <c r="W66" s="37"/>
    </row>
    <row r="67" ht="14.25" customHeight="1">
      <c r="A67" s="19" t="s">
        <v>1666</v>
      </c>
      <c r="B67" s="55" t="s">
        <v>155</v>
      </c>
      <c r="C67" s="78" t="s">
        <v>140</v>
      </c>
      <c r="D67" s="78" t="s">
        <v>151</v>
      </c>
      <c r="E67" s="21" t="s">
        <v>1678</v>
      </c>
      <c r="F67" s="21" t="s">
        <v>1679</v>
      </c>
      <c r="G67" s="23">
        <v>2126.0</v>
      </c>
      <c r="H67" s="26">
        <v>0.48</v>
      </c>
      <c r="I67" s="79">
        <v>1986.0</v>
      </c>
      <c r="J67" s="79" t="s">
        <v>1605</v>
      </c>
      <c r="K67" s="80" t="s">
        <v>1670</v>
      </c>
      <c r="L67" s="21">
        <v>8818.0</v>
      </c>
      <c r="M67" s="21">
        <v>4112.0</v>
      </c>
      <c r="N67" s="26">
        <v>0.3</v>
      </c>
      <c r="O67" s="26">
        <v>0.3</v>
      </c>
      <c r="P67" s="81" t="s">
        <v>1595</v>
      </c>
      <c r="Q67" s="26">
        <v>0.64</v>
      </c>
      <c r="R67" s="84">
        <v>0.41</v>
      </c>
      <c r="S67" s="23"/>
      <c r="T67" s="89"/>
      <c r="U67" s="82"/>
      <c r="V67" s="37"/>
      <c r="W67" s="37"/>
    </row>
    <row r="68" ht="14.25" customHeight="1">
      <c r="A68" s="19" t="s">
        <v>1666</v>
      </c>
      <c r="B68" s="55" t="s">
        <v>157</v>
      </c>
      <c r="C68" s="78" t="s">
        <v>140</v>
      </c>
      <c r="D68" s="78" t="s">
        <v>151</v>
      </c>
      <c r="E68" s="21" t="s">
        <v>1680</v>
      </c>
      <c r="F68" s="21" t="s">
        <v>1681</v>
      </c>
      <c r="G68" s="23">
        <v>3112.0</v>
      </c>
      <c r="H68" s="26">
        <v>0.41</v>
      </c>
      <c r="I68" s="79">
        <v>2176.0</v>
      </c>
      <c r="J68" s="79" t="s">
        <v>1604</v>
      </c>
      <c r="K68" s="80" t="s">
        <v>1682</v>
      </c>
      <c r="L68" s="21">
        <v>11759.0</v>
      </c>
      <c r="M68" s="21">
        <v>5288.0</v>
      </c>
      <c r="N68" s="26">
        <v>0.3</v>
      </c>
      <c r="O68" s="26">
        <v>0.3</v>
      </c>
      <c r="P68" s="81" t="s">
        <v>1595</v>
      </c>
      <c r="Q68" s="26">
        <v>0.59</v>
      </c>
      <c r="R68" s="84">
        <v>0.36</v>
      </c>
      <c r="S68" s="23"/>
      <c r="T68" s="89"/>
      <c r="U68" s="82"/>
      <c r="V68" s="37"/>
      <c r="W68" s="37"/>
    </row>
    <row r="69" ht="14.25" customHeight="1">
      <c r="A69" s="19" t="s">
        <v>1666</v>
      </c>
      <c r="B69" s="55" t="s">
        <v>159</v>
      </c>
      <c r="C69" s="78" t="s">
        <v>140</v>
      </c>
      <c r="D69" s="78" t="s">
        <v>151</v>
      </c>
      <c r="E69" s="21" t="s">
        <v>1683</v>
      </c>
      <c r="F69" s="21" t="s">
        <v>1684</v>
      </c>
      <c r="G69" s="23">
        <v>3112.0</v>
      </c>
      <c r="H69" s="26">
        <v>0.41</v>
      </c>
      <c r="I69" s="79">
        <v>2176.0</v>
      </c>
      <c r="J69" s="79" t="s">
        <v>1604</v>
      </c>
      <c r="K69" s="80" t="s">
        <v>1682</v>
      </c>
      <c r="L69" s="21">
        <v>11759.0</v>
      </c>
      <c r="M69" s="21">
        <v>5288.0</v>
      </c>
      <c r="N69" s="26">
        <v>0.3</v>
      </c>
      <c r="O69" s="26">
        <v>0.3</v>
      </c>
      <c r="P69" s="81" t="s">
        <v>1595</v>
      </c>
      <c r="Q69" s="26">
        <v>0.59</v>
      </c>
      <c r="R69" s="84">
        <v>0.36</v>
      </c>
      <c r="S69" s="23"/>
      <c r="T69" s="89"/>
      <c r="U69" s="82"/>
      <c r="V69" s="37"/>
      <c r="W69" s="37"/>
    </row>
    <row r="70" ht="14.25" customHeight="1">
      <c r="A70" s="19" t="s">
        <v>1666</v>
      </c>
      <c r="B70" s="55" t="s">
        <v>162</v>
      </c>
      <c r="C70" s="78" t="s">
        <v>140</v>
      </c>
      <c r="D70" s="78" t="s">
        <v>160</v>
      </c>
      <c r="E70" s="21" t="s">
        <v>161</v>
      </c>
      <c r="F70" s="21" t="s">
        <v>1685</v>
      </c>
      <c r="G70" s="23">
        <v>3786.0</v>
      </c>
      <c r="H70" s="26">
        <v>0.5</v>
      </c>
      <c r="I70" s="79">
        <v>3855.0</v>
      </c>
      <c r="J70" s="79" t="s">
        <v>1605</v>
      </c>
      <c r="K70" s="80" t="s">
        <v>1686</v>
      </c>
      <c r="L70" s="21">
        <v>8818.0</v>
      </c>
      <c r="M70" s="21">
        <v>7641.0</v>
      </c>
      <c r="N70" s="26">
        <v>0.3</v>
      </c>
      <c r="O70" s="26">
        <v>0.3</v>
      </c>
      <c r="P70" s="81" t="s">
        <v>1595</v>
      </c>
      <c r="Q70" s="26">
        <v>0.65</v>
      </c>
      <c r="R70" s="84">
        <v>0.42</v>
      </c>
      <c r="S70" s="23"/>
      <c r="T70" s="89"/>
      <c r="U70" s="82"/>
      <c r="V70" s="37"/>
      <c r="W70" s="37"/>
    </row>
    <row r="71" ht="14.25" customHeight="1">
      <c r="A71" s="19" t="s">
        <v>1666</v>
      </c>
      <c r="B71" s="55" t="s">
        <v>164</v>
      </c>
      <c r="C71" s="78" t="s">
        <v>140</v>
      </c>
      <c r="D71" s="78" t="s">
        <v>160</v>
      </c>
      <c r="E71" s="21" t="s">
        <v>163</v>
      </c>
      <c r="F71" s="21" t="s">
        <v>1687</v>
      </c>
      <c r="G71" s="23">
        <v>3470.0</v>
      </c>
      <c r="H71" s="26">
        <v>0.51</v>
      </c>
      <c r="I71" s="79">
        <v>3583.0</v>
      </c>
      <c r="J71" s="79" t="s">
        <v>1605</v>
      </c>
      <c r="K71" s="80" t="s">
        <v>1688</v>
      </c>
      <c r="L71" s="21">
        <v>8818.0</v>
      </c>
      <c r="M71" s="21">
        <v>7053.0</v>
      </c>
      <c r="N71" s="26">
        <v>0.3</v>
      </c>
      <c r="O71" s="26">
        <v>0.3</v>
      </c>
      <c r="P71" s="81" t="s">
        <v>1595</v>
      </c>
      <c r="Q71" s="26">
        <v>0.66</v>
      </c>
      <c r="R71" s="84">
        <v>0.43</v>
      </c>
      <c r="S71" s="93"/>
      <c r="T71" s="89"/>
      <c r="U71" s="82"/>
      <c r="V71" s="37"/>
      <c r="W71" s="37"/>
    </row>
    <row r="72" ht="14.25" customHeight="1">
      <c r="A72" s="83" t="s">
        <v>1666</v>
      </c>
      <c r="B72" s="91" t="s">
        <v>172</v>
      </c>
      <c r="C72" s="78" t="s">
        <v>165</v>
      </c>
      <c r="D72" s="78" t="s">
        <v>166</v>
      </c>
      <c r="E72" s="21" t="s">
        <v>1689</v>
      </c>
      <c r="F72" s="21" t="s">
        <v>1690</v>
      </c>
      <c r="G72" s="23">
        <v>8004.0</v>
      </c>
      <c r="H72" s="26">
        <v>0.41</v>
      </c>
      <c r="I72" s="79">
        <v>5520.0</v>
      </c>
      <c r="J72" s="79" t="s">
        <v>1608</v>
      </c>
      <c r="K72" s="80" t="s">
        <v>1613</v>
      </c>
      <c r="L72" s="21">
        <v>23524.0</v>
      </c>
      <c r="M72" s="21">
        <v>13524.0</v>
      </c>
      <c r="N72" s="26">
        <v>0.3</v>
      </c>
      <c r="O72" s="26">
        <v>0.3</v>
      </c>
      <c r="P72" s="81" t="s">
        <v>1595</v>
      </c>
      <c r="Q72" s="26">
        <v>0.59</v>
      </c>
      <c r="R72" s="84">
        <v>0.36</v>
      </c>
      <c r="S72" s="23"/>
      <c r="T72" s="89"/>
      <c r="U72" s="82"/>
      <c r="V72" s="37"/>
      <c r="W72" s="37"/>
    </row>
    <row r="73" ht="14.25" customHeight="1">
      <c r="A73" s="83" t="s">
        <v>1666</v>
      </c>
      <c r="B73" s="91" t="s">
        <v>174</v>
      </c>
      <c r="C73" s="78" t="s">
        <v>165</v>
      </c>
      <c r="D73" s="78" t="s">
        <v>166</v>
      </c>
      <c r="E73" s="21" t="s">
        <v>1691</v>
      </c>
      <c r="F73" s="21" t="s">
        <v>1692</v>
      </c>
      <c r="G73" s="23">
        <v>9561.0</v>
      </c>
      <c r="H73" s="26">
        <v>0.35</v>
      </c>
      <c r="I73" s="79">
        <v>5139.0</v>
      </c>
      <c r="J73" s="79" t="s">
        <v>1616</v>
      </c>
      <c r="K73" s="80" t="s">
        <v>1601</v>
      </c>
      <c r="L73" s="21">
        <v>26465.0</v>
      </c>
      <c r="M73" s="21">
        <v>14700.0</v>
      </c>
      <c r="N73" s="26">
        <v>0.3</v>
      </c>
      <c r="O73" s="26">
        <v>0.3</v>
      </c>
      <c r="P73" s="81" t="s">
        <v>1595</v>
      </c>
      <c r="Q73" s="26">
        <v>0.54</v>
      </c>
      <c r="R73" s="84">
        <v>0.31</v>
      </c>
      <c r="S73" s="23"/>
      <c r="T73" s="89"/>
      <c r="U73" s="82"/>
      <c r="V73" s="37"/>
      <c r="W73" s="37"/>
    </row>
    <row r="74" ht="14.25" customHeight="1">
      <c r="A74" s="83" t="s">
        <v>1666</v>
      </c>
      <c r="B74" s="91" t="s">
        <v>168</v>
      </c>
      <c r="C74" s="78" t="s">
        <v>165</v>
      </c>
      <c r="D74" s="78" t="s">
        <v>166</v>
      </c>
      <c r="E74" s="21" t="s">
        <v>1693</v>
      </c>
      <c r="F74" s="21" t="s">
        <v>1694</v>
      </c>
      <c r="G74" s="23">
        <v>7961.0</v>
      </c>
      <c r="H74" s="26">
        <v>0.1</v>
      </c>
      <c r="I74" s="79">
        <v>857.0</v>
      </c>
      <c r="J74" s="79" t="s">
        <v>1604</v>
      </c>
      <c r="K74" s="80" t="s">
        <v>1605</v>
      </c>
      <c r="L74" s="21">
        <v>11759.0</v>
      </c>
      <c r="M74" s="21">
        <v>8818.0</v>
      </c>
      <c r="N74" s="26">
        <v>0.3</v>
      </c>
      <c r="O74" s="26">
        <v>0.3</v>
      </c>
      <c r="P74" s="83" t="s">
        <v>134</v>
      </c>
      <c r="Q74" s="26">
        <v>0.37</v>
      </c>
      <c r="R74" s="84">
        <v>0.14</v>
      </c>
      <c r="S74" s="23"/>
      <c r="T74" s="89"/>
      <c r="U74" s="82"/>
      <c r="V74" s="37"/>
      <c r="W74" s="37"/>
    </row>
    <row r="75" ht="14.25" customHeight="1">
      <c r="A75" s="83" t="s">
        <v>1666</v>
      </c>
      <c r="B75" s="91" t="s">
        <v>170</v>
      </c>
      <c r="C75" s="78" t="s">
        <v>165</v>
      </c>
      <c r="D75" s="78" t="s">
        <v>166</v>
      </c>
      <c r="E75" s="21" t="s">
        <v>1693</v>
      </c>
      <c r="F75" s="21" t="s">
        <v>1694</v>
      </c>
      <c r="G75" s="23">
        <v>11441.0</v>
      </c>
      <c r="H75" s="26">
        <v>-0.3</v>
      </c>
      <c r="I75" s="79">
        <v>-2623.0</v>
      </c>
      <c r="J75" s="79" t="s">
        <v>1604</v>
      </c>
      <c r="K75" s="80" t="s">
        <v>1605</v>
      </c>
      <c r="L75" s="21">
        <v>11759.0</v>
      </c>
      <c r="M75" s="21">
        <v>8818.0</v>
      </c>
      <c r="N75" s="26">
        <v>0.3</v>
      </c>
      <c r="O75" s="26">
        <v>0.3</v>
      </c>
      <c r="P75" s="83" t="s">
        <v>134</v>
      </c>
      <c r="Q75" s="26">
        <v>0.09</v>
      </c>
      <c r="R75" s="84">
        <v>-0.14</v>
      </c>
      <c r="S75" s="23"/>
      <c r="T75" s="16"/>
      <c r="U75" s="82"/>
      <c r="V75" s="37"/>
      <c r="W75" s="37"/>
    </row>
    <row r="76" ht="14.25" customHeight="1">
      <c r="A76" s="83" t="s">
        <v>1666</v>
      </c>
      <c r="B76" s="55" t="s">
        <v>177</v>
      </c>
      <c r="C76" s="78" t="s">
        <v>165</v>
      </c>
      <c r="D76" s="78" t="s">
        <v>175</v>
      </c>
      <c r="E76" s="21" t="s">
        <v>1695</v>
      </c>
      <c r="F76" s="21" t="s">
        <v>1696</v>
      </c>
      <c r="G76" s="23">
        <v>18056.0</v>
      </c>
      <c r="H76" s="26">
        <v>0.39</v>
      </c>
      <c r="I76" s="79">
        <v>11349.0</v>
      </c>
      <c r="J76" s="79" t="s">
        <v>1697</v>
      </c>
      <c r="K76" s="80" t="s">
        <v>1606</v>
      </c>
      <c r="L76" s="21">
        <v>47053.0</v>
      </c>
      <c r="M76" s="21">
        <v>29406.0</v>
      </c>
      <c r="N76" s="26">
        <v>0.3</v>
      </c>
      <c r="O76" s="26">
        <v>0.3</v>
      </c>
      <c r="P76" s="81" t="s">
        <v>1595</v>
      </c>
      <c r="Q76" s="26">
        <v>0.57</v>
      </c>
      <c r="R76" s="84">
        <v>0.34</v>
      </c>
      <c r="S76" s="23"/>
      <c r="T76" s="89"/>
      <c r="U76" s="82"/>
      <c r="V76" s="37"/>
      <c r="W76" s="37"/>
    </row>
    <row r="77" ht="14.25" customHeight="1">
      <c r="A77" s="83" t="s">
        <v>1666</v>
      </c>
      <c r="B77" s="91">
        <v>1.659999392257E12</v>
      </c>
      <c r="C77" s="78" t="s">
        <v>165</v>
      </c>
      <c r="D77" s="78" t="s">
        <v>175</v>
      </c>
      <c r="E77" s="21" t="s">
        <v>1698</v>
      </c>
      <c r="F77" s="21" t="s">
        <v>1699</v>
      </c>
      <c r="G77" s="23">
        <v>3637.0</v>
      </c>
      <c r="H77" s="26">
        <v>0.52</v>
      </c>
      <c r="I77" s="79">
        <v>4004.0</v>
      </c>
      <c r="J77" s="79" t="s">
        <v>1604</v>
      </c>
      <c r="K77" s="80" t="s">
        <v>1686</v>
      </c>
      <c r="L77" s="21">
        <v>11759.0</v>
      </c>
      <c r="M77" s="21">
        <v>7641.0</v>
      </c>
      <c r="N77" s="26">
        <v>0.3</v>
      </c>
      <c r="O77" s="26">
        <v>0.3</v>
      </c>
      <c r="P77" s="81" t="s">
        <v>1595</v>
      </c>
      <c r="Q77" s="26">
        <v>0.67</v>
      </c>
      <c r="R77" s="84">
        <v>0.44</v>
      </c>
      <c r="S77" s="23"/>
      <c r="T77" s="89"/>
      <c r="U77" s="82"/>
      <c r="V77" s="37"/>
      <c r="W77" s="37"/>
    </row>
    <row r="78" ht="14.25" customHeight="1">
      <c r="A78" s="83" t="s">
        <v>1666</v>
      </c>
      <c r="B78" s="91">
        <v>1.659999410637E12</v>
      </c>
      <c r="C78" s="78" t="s">
        <v>165</v>
      </c>
      <c r="D78" s="78" t="s">
        <v>175</v>
      </c>
      <c r="E78" s="21" t="s">
        <v>1698</v>
      </c>
      <c r="F78" s="21" t="s">
        <v>1700</v>
      </c>
      <c r="G78" s="23">
        <v>3527.0</v>
      </c>
      <c r="H78" s="26">
        <v>0.54</v>
      </c>
      <c r="I78" s="79">
        <v>4115.0</v>
      </c>
      <c r="J78" s="79" t="s">
        <v>1604</v>
      </c>
      <c r="K78" s="80" t="s">
        <v>1686</v>
      </c>
      <c r="L78" s="21">
        <v>11759.0</v>
      </c>
      <c r="M78" s="21">
        <v>7641.0</v>
      </c>
      <c r="N78" s="26">
        <v>0.3</v>
      </c>
      <c r="O78" s="26">
        <v>0.3</v>
      </c>
      <c r="P78" s="81" t="s">
        <v>1595</v>
      </c>
      <c r="Q78" s="26">
        <v>0.68</v>
      </c>
      <c r="R78" s="84">
        <v>0.45</v>
      </c>
      <c r="S78" s="23"/>
      <c r="T78" s="89"/>
      <c r="U78" s="82"/>
      <c r="V78" s="37"/>
      <c r="W78" s="37"/>
    </row>
    <row r="79" ht="14.25" customHeight="1">
      <c r="A79" s="83" t="s">
        <v>1666</v>
      </c>
      <c r="B79" s="91" t="s">
        <v>182</v>
      </c>
      <c r="C79" s="78" t="s">
        <v>165</v>
      </c>
      <c r="D79" s="78" t="s">
        <v>175</v>
      </c>
      <c r="E79" s="21" t="s">
        <v>1701</v>
      </c>
      <c r="F79" s="21" t="s">
        <v>1702</v>
      </c>
      <c r="G79" s="23">
        <v>8609.0</v>
      </c>
      <c r="H79" s="26">
        <v>0.41</v>
      </c>
      <c r="I79" s="79">
        <v>6091.0</v>
      </c>
      <c r="J79" s="79" t="s">
        <v>1620</v>
      </c>
      <c r="K79" s="80" t="s">
        <v>1601</v>
      </c>
      <c r="L79" s="21">
        <v>19406.0</v>
      </c>
      <c r="M79" s="21">
        <v>14700.0</v>
      </c>
      <c r="N79" s="26">
        <v>0.3</v>
      </c>
      <c r="O79" s="26">
        <v>0.3</v>
      </c>
      <c r="P79" s="83" t="s">
        <v>134</v>
      </c>
      <c r="Q79" s="26">
        <v>0.59</v>
      </c>
      <c r="R79" s="84">
        <v>0.36</v>
      </c>
      <c r="S79" s="23"/>
      <c r="T79" s="89"/>
      <c r="U79" s="82"/>
      <c r="V79" s="37"/>
      <c r="W79" s="37"/>
    </row>
    <row r="80" ht="14.25" customHeight="1">
      <c r="A80" s="83" t="s">
        <v>1666</v>
      </c>
      <c r="B80" s="91" t="s">
        <v>184</v>
      </c>
      <c r="C80" s="78" t="s">
        <v>165</v>
      </c>
      <c r="D80" s="78" t="s">
        <v>175</v>
      </c>
      <c r="E80" s="21" t="s">
        <v>1701</v>
      </c>
      <c r="F80" s="21" t="s">
        <v>1703</v>
      </c>
      <c r="G80" s="23">
        <v>8666.0</v>
      </c>
      <c r="H80" s="26">
        <v>0.41</v>
      </c>
      <c r="I80" s="79">
        <v>6034.0</v>
      </c>
      <c r="J80" s="79" t="s">
        <v>1620</v>
      </c>
      <c r="K80" s="80" t="s">
        <v>1601</v>
      </c>
      <c r="L80" s="21">
        <v>19406.0</v>
      </c>
      <c r="M80" s="21">
        <v>14700.0</v>
      </c>
      <c r="N80" s="26">
        <v>0.3</v>
      </c>
      <c r="O80" s="26">
        <v>0.3</v>
      </c>
      <c r="P80" s="83" t="s">
        <v>134</v>
      </c>
      <c r="Q80" s="26">
        <v>0.59</v>
      </c>
      <c r="R80" s="84">
        <v>0.36</v>
      </c>
      <c r="S80" s="23"/>
      <c r="T80" s="89"/>
      <c r="U80" s="82"/>
      <c r="V80" s="37"/>
      <c r="W80" s="37"/>
    </row>
    <row r="81" ht="14.25" customHeight="1">
      <c r="A81" s="83" t="s">
        <v>1666</v>
      </c>
      <c r="B81" s="91" t="s">
        <v>186</v>
      </c>
      <c r="C81" s="78" t="s">
        <v>165</v>
      </c>
      <c r="D81" s="78" t="s">
        <v>175</v>
      </c>
      <c r="E81" s="21" t="s">
        <v>1704</v>
      </c>
      <c r="F81" s="21" t="s">
        <v>1705</v>
      </c>
      <c r="G81" s="23">
        <v>8775.0</v>
      </c>
      <c r="H81" s="26">
        <v>0.4</v>
      </c>
      <c r="I81" s="79">
        <v>5925.0</v>
      </c>
      <c r="J81" s="79" t="s">
        <v>1620</v>
      </c>
      <c r="K81" s="80" t="s">
        <v>1601</v>
      </c>
      <c r="L81" s="21">
        <v>19406.0</v>
      </c>
      <c r="M81" s="21">
        <v>14700.0</v>
      </c>
      <c r="N81" s="26">
        <v>0.3</v>
      </c>
      <c r="O81" s="26">
        <v>0.3</v>
      </c>
      <c r="P81" s="83" t="s">
        <v>134</v>
      </c>
      <c r="Q81" s="26">
        <v>0.58</v>
      </c>
      <c r="R81" s="84">
        <v>0.35</v>
      </c>
      <c r="S81" s="22"/>
      <c r="T81" s="37"/>
      <c r="U81" s="82"/>
      <c r="V81" s="37"/>
      <c r="W81" s="37"/>
    </row>
    <row r="82" ht="14.25" customHeight="1">
      <c r="A82" s="83" t="s">
        <v>1666</v>
      </c>
      <c r="B82" s="91" t="s">
        <v>190</v>
      </c>
      <c r="C82" s="78" t="s">
        <v>187</v>
      </c>
      <c r="D82" s="78" t="s">
        <v>188</v>
      </c>
      <c r="E82" s="21" t="s">
        <v>1706</v>
      </c>
      <c r="F82" s="21" t="s">
        <v>1707</v>
      </c>
      <c r="G82" s="23">
        <v>48287.0</v>
      </c>
      <c r="H82" s="26">
        <v>0.28</v>
      </c>
      <c r="I82" s="79">
        <v>18933.0</v>
      </c>
      <c r="J82" s="79" t="s">
        <v>1708</v>
      </c>
      <c r="K82" s="80" t="s">
        <v>1596</v>
      </c>
      <c r="L82" s="21">
        <v>99994.0</v>
      </c>
      <c r="M82" s="21">
        <v>67220.0</v>
      </c>
      <c r="N82" s="26">
        <v>0.3</v>
      </c>
      <c r="O82" s="26">
        <v>0.2</v>
      </c>
      <c r="P82" s="81" t="s">
        <v>1595</v>
      </c>
      <c r="Q82" s="26">
        <v>0.43</v>
      </c>
      <c r="R82" s="84">
        <v>0.2</v>
      </c>
      <c r="S82" s="23"/>
      <c r="T82" s="89"/>
      <c r="U82" s="82"/>
      <c r="V82" s="37"/>
      <c r="W82" s="37"/>
    </row>
    <row r="83" ht="14.25" customHeight="1">
      <c r="A83" s="19" t="s">
        <v>1666</v>
      </c>
      <c r="B83" s="55" t="s">
        <v>192</v>
      </c>
      <c r="C83" s="19" t="s">
        <v>187</v>
      </c>
      <c r="D83" s="19" t="s">
        <v>188</v>
      </c>
      <c r="E83" s="21" t="s">
        <v>191</v>
      </c>
      <c r="F83" s="21" t="s">
        <v>1709</v>
      </c>
      <c r="G83" s="23">
        <v>37116.0</v>
      </c>
      <c r="H83" s="26">
        <v>0.37</v>
      </c>
      <c r="I83" s="79">
        <v>21702.0</v>
      </c>
      <c r="J83" s="79" t="s">
        <v>1623</v>
      </c>
      <c r="K83" s="80" t="s">
        <v>1596</v>
      </c>
      <c r="L83" s="21">
        <v>76465.0</v>
      </c>
      <c r="M83" s="21">
        <v>58818.0</v>
      </c>
      <c r="N83" s="26">
        <v>0.3</v>
      </c>
      <c r="O83" s="26">
        <v>0.3</v>
      </c>
      <c r="P83" s="81" t="s">
        <v>1595</v>
      </c>
      <c r="Q83" s="26">
        <v>0.56</v>
      </c>
      <c r="R83" s="84">
        <v>0.33</v>
      </c>
      <c r="S83" s="23"/>
      <c r="T83" s="89"/>
      <c r="U83" s="82"/>
      <c r="V83" s="37"/>
      <c r="W83" s="37"/>
    </row>
    <row r="84" ht="14.25" customHeight="1">
      <c r="A84" s="83" t="s">
        <v>1666</v>
      </c>
      <c r="B84" s="55" t="s">
        <v>196</v>
      </c>
      <c r="C84" s="78" t="s">
        <v>187</v>
      </c>
      <c r="D84" s="78" t="s">
        <v>194</v>
      </c>
      <c r="E84" s="21" t="s">
        <v>1710</v>
      </c>
      <c r="F84" s="21" t="s">
        <v>195</v>
      </c>
      <c r="G84" s="23">
        <v>289710.0</v>
      </c>
      <c r="H84" s="26">
        <v>0.45</v>
      </c>
      <c r="I84" s="79">
        <v>239696.0</v>
      </c>
      <c r="J84" s="79" t="s">
        <v>1650</v>
      </c>
      <c r="K84" s="80" t="s">
        <v>1651</v>
      </c>
      <c r="L84" s="21">
        <v>588229.0</v>
      </c>
      <c r="M84" s="21">
        <v>529406.0</v>
      </c>
      <c r="N84" s="26">
        <v>0.3</v>
      </c>
      <c r="O84" s="26">
        <v>0.3</v>
      </c>
      <c r="P84" s="81" t="s">
        <v>1595</v>
      </c>
      <c r="Q84" s="26">
        <v>0.62</v>
      </c>
      <c r="R84" s="84">
        <v>0.39</v>
      </c>
      <c r="S84" s="23"/>
      <c r="T84" s="89"/>
      <c r="U84" s="82"/>
      <c r="V84" s="37"/>
      <c r="W84" s="37"/>
    </row>
    <row r="85" ht="14.25" customHeight="1">
      <c r="A85" s="83" t="s">
        <v>1666</v>
      </c>
      <c r="B85" s="55" t="s">
        <v>198</v>
      </c>
      <c r="C85" s="78" t="s">
        <v>187</v>
      </c>
      <c r="D85" s="78" t="s">
        <v>194</v>
      </c>
      <c r="E85" s="21" t="s">
        <v>1711</v>
      </c>
      <c r="F85" s="21" t="s">
        <v>197</v>
      </c>
      <c r="G85" s="23">
        <v>340911.0</v>
      </c>
      <c r="H85" s="26">
        <v>0.42</v>
      </c>
      <c r="I85" s="79">
        <v>247318.0</v>
      </c>
      <c r="J85" s="79" t="s">
        <v>1712</v>
      </c>
      <c r="K85" s="80" t="s">
        <v>1650</v>
      </c>
      <c r="L85" s="21">
        <v>647053.0</v>
      </c>
      <c r="M85" s="21">
        <v>588229.0</v>
      </c>
      <c r="N85" s="26">
        <v>0.3</v>
      </c>
      <c r="O85" s="26">
        <v>0.3</v>
      </c>
      <c r="P85" s="81" t="s">
        <v>1595</v>
      </c>
      <c r="Q85" s="26">
        <v>0.59</v>
      </c>
      <c r="R85" s="84">
        <v>0.36</v>
      </c>
      <c r="S85" s="23"/>
      <c r="T85" s="89"/>
      <c r="U85" s="82"/>
      <c r="V85" s="37"/>
      <c r="W85" s="37"/>
    </row>
    <row r="86" ht="14.25" customHeight="1">
      <c r="A86" s="83" t="s">
        <v>1666</v>
      </c>
      <c r="B86" s="91">
        <v>1.659989621591E12</v>
      </c>
      <c r="C86" s="78" t="s">
        <v>199</v>
      </c>
      <c r="D86" s="78" t="s">
        <v>200</v>
      </c>
      <c r="E86" s="21" t="s">
        <v>1713</v>
      </c>
      <c r="F86" s="21" t="s">
        <v>201</v>
      </c>
      <c r="G86" s="23">
        <v>16625.0</v>
      </c>
      <c r="H86" s="26">
        <v>0.19</v>
      </c>
      <c r="I86" s="79">
        <v>3957.0</v>
      </c>
      <c r="J86" s="79" t="s">
        <v>1594</v>
      </c>
      <c r="K86" s="80" t="s">
        <v>1714</v>
      </c>
      <c r="L86" s="21">
        <v>35288.0</v>
      </c>
      <c r="M86" s="21">
        <v>20582.0</v>
      </c>
      <c r="N86" s="26">
        <v>0.3</v>
      </c>
      <c r="O86" s="26">
        <v>0.3</v>
      </c>
      <c r="P86" s="83" t="s">
        <v>134</v>
      </c>
      <c r="Q86" s="26">
        <v>0.43</v>
      </c>
      <c r="R86" s="84">
        <v>0.2</v>
      </c>
      <c r="S86" s="23"/>
      <c r="T86" s="89"/>
      <c r="U86" s="82"/>
      <c r="V86" s="37"/>
      <c r="W86" s="37"/>
    </row>
    <row r="87" ht="14.25" customHeight="1">
      <c r="A87" s="83" t="s">
        <v>1666</v>
      </c>
      <c r="B87" s="91" t="s">
        <v>203</v>
      </c>
      <c r="C87" s="78" t="s">
        <v>199</v>
      </c>
      <c r="D87" s="78" t="s">
        <v>200</v>
      </c>
      <c r="E87" s="21" t="s">
        <v>1715</v>
      </c>
      <c r="F87" s="21" t="s">
        <v>1716</v>
      </c>
      <c r="G87" s="23">
        <v>17160.0</v>
      </c>
      <c r="H87" s="26">
        <v>0.35</v>
      </c>
      <c r="I87" s="79">
        <v>9305.0</v>
      </c>
      <c r="J87" s="79" t="s">
        <v>1594</v>
      </c>
      <c r="K87" s="80" t="s">
        <v>1616</v>
      </c>
      <c r="L87" s="21">
        <v>35288.0</v>
      </c>
      <c r="M87" s="21">
        <v>26465.0</v>
      </c>
      <c r="N87" s="26">
        <v>0.3</v>
      </c>
      <c r="O87" s="26">
        <v>0.3</v>
      </c>
      <c r="P87" s="81" t="s">
        <v>1595</v>
      </c>
      <c r="Q87" s="26">
        <v>0.55</v>
      </c>
      <c r="R87" s="84">
        <v>0.32</v>
      </c>
      <c r="S87" s="23"/>
      <c r="T87" s="89"/>
      <c r="U87" s="82"/>
      <c r="V87" s="37"/>
      <c r="W87" s="37"/>
    </row>
    <row r="88" ht="14.25" customHeight="1">
      <c r="A88" s="83" t="s">
        <v>1666</v>
      </c>
      <c r="B88" s="91">
        <v>1.659990828178E12</v>
      </c>
      <c r="C88" s="78" t="s">
        <v>199</v>
      </c>
      <c r="D88" s="78" t="s">
        <v>200</v>
      </c>
      <c r="E88" s="21" t="s">
        <v>1717</v>
      </c>
      <c r="F88" s="21" t="s">
        <v>1718</v>
      </c>
      <c r="G88" s="23">
        <v>7275.0</v>
      </c>
      <c r="H88" s="26">
        <v>0.38</v>
      </c>
      <c r="I88" s="79">
        <v>4484.0</v>
      </c>
      <c r="J88" s="79" t="s">
        <v>1603</v>
      </c>
      <c r="K88" s="80" t="s">
        <v>1604</v>
      </c>
      <c r="L88" s="21">
        <v>17641.0</v>
      </c>
      <c r="M88" s="21">
        <v>11759.0</v>
      </c>
      <c r="N88" s="26">
        <v>0.3</v>
      </c>
      <c r="O88" s="26">
        <v>0.3</v>
      </c>
      <c r="P88" s="81" t="s">
        <v>1595</v>
      </c>
      <c r="Q88" s="26">
        <v>0.57</v>
      </c>
      <c r="R88" s="84">
        <v>0.34</v>
      </c>
      <c r="S88" s="23"/>
      <c r="T88" s="89"/>
      <c r="U88" s="82"/>
      <c r="V88" s="37"/>
      <c r="W88" s="37"/>
    </row>
    <row r="89" ht="14.25" customHeight="1">
      <c r="A89" s="83" t="s">
        <v>1666</v>
      </c>
      <c r="B89" s="91">
        <v>6.6436804863605E13</v>
      </c>
      <c r="C89" s="78" t="s">
        <v>199</v>
      </c>
      <c r="D89" s="78" t="s">
        <v>200</v>
      </c>
      <c r="E89" s="21" t="s">
        <v>1717</v>
      </c>
      <c r="F89" s="21" t="s">
        <v>1719</v>
      </c>
      <c r="G89" s="23">
        <v>7298.0</v>
      </c>
      <c r="H89" s="26">
        <v>0.38</v>
      </c>
      <c r="I89" s="79">
        <v>4461.0</v>
      </c>
      <c r="J89" s="79" t="s">
        <v>1603</v>
      </c>
      <c r="K89" s="80" t="s">
        <v>1604</v>
      </c>
      <c r="L89" s="21">
        <v>17641.0</v>
      </c>
      <c r="M89" s="21">
        <v>11759.0</v>
      </c>
      <c r="N89" s="26">
        <v>0.3</v>
      </c>
      <c r="O89" s="26">
        <v>0.3</v>
      </c>
      <c r="P89" s="81" t="s">
        <v>1595</v>
      </c>
      <c r="Q89" s="26">
        <v>0.57</v>
      </c>
      <c r="R89" s="84">
        <v>0.34</v>
      </c>
      <c r="S89" s="23"/>
      <c r="T89" s="16"/>
      <c r="U89" s="82"/>
      <c r="V89" s="37"/>
      <c r="W89" s="37"/>
    </row>
    <row r="90" ht="14.25" customHeight="1">
      <c r="A90" s="83" t="s">
        <v>1666</v>
      </c>
      <c r="B90" s="91" t="s">
        <v>206</v>
      </c>
      <c r="C90" s="78" t="s">
        <v>199</v>
      </c>
      <c r="D90" s="78" t="s">
        <v>200</v>
      </c>
      <c r="E90" s="21" t="s">
        <v>1720</v>
      </c>
      <c r="F90" s="21" t="s">
        <v>1721</v>
      </c>
      <c r="G90" s="23">
        <v>3238.0</v>
      </c>
      <c r="H90" s="26">
        <v>0.58</v>
      </c>
      <c r="I90" s="79">
        <v>4403.0</v>
      </c>
      <c r="J90" s="79" t="s">
        <v>1605</v>
      </c>
      <c r="K90" s="80" t="s">
        <v>1686</v>
      </c>
      <c r="L90" s="21">
        <v>8818.0</v>
      </c>
      <c r="M90" s="21">
        <v>7641.0</v>
      </c>
      <c r="N90" s="26">
        <v>0.3</v>
      </c>
      <c r="O90" s="26">
        <v>0.3</v>
      </c>
      <c r="P90" s="81" t="s">
        <v>1595</v>
      </c>
      <c r="Q90" s="26">
        <v>0.7</v>
      </c>
      <c r="R90" s="84">
        <v>0.47</v>
      </c>
      <c r="S90" s="23"/>
      <c r="T90" s="89"/>
      <c r="U90" s="82"/>
      <c r="V90" s="37"/>
      <c r="W90" s="37"/>
    </row>
    <row r="91" ht="14.25" customHeight="1">
      <c r="A91" s="83" t="s">
        <v>1666</v>
      </c>
      <c r="B91" s="91">
        <v>1.659990788079E12</v>
      </c>
      <c r="C91" s="78" t="s">
        <v>199</v>
      </c>
      <c r="D91" s="78" t="s">
        <v>200</v>
      </c>
      <c r="E91" s="21" t="s">
        <v>1722</v>
      </c>
      <c r="F91" s="21" t="s">
        <v>1723</v>
      </c>
      <c r="G91" s="23">
        <v>5989.0</v>
      </c>
      <c r="H91" s="26">
        <v>0.49</v>
      </c>
      <c r="I91" s="79">
        <v>5770.0</v>
      </c>
      <c r="J91" s="79" t="s">
        <v>1620</v>
      </c>
      <c r="K91" s="80" t="s">
        <v>1604</v>
      </c>
      <c r="L91" s="21">
        <v>19406.0</v>
      </c>
      <c r="M91" s="21">
        <v>11759.0</v>
      </c>
      <c r="N91" s="26">
        <v>0.3</v>
      </c>
      <c r="O91" s="26">
        <v>0.3</v>
      </c>
      <c r="P91" s="81" t="s">
        <v>1595</v>
      </c>
      <c r="Q91" s="26">
        <v>0.64</v>
      </c>
      <c r="R91" s="84">
        <v>0.41</v>
      </c>
      <c r="S91" s="23"/>
      <c r="T91" s="89"/>
      <c r="U91" s="82"/>
      <c r="V91" s="37"/>
      <c r="W91" s="37"/>
    </row>
    <row r="92" ht="14.25" customHeight="1">
      <c r="A92" s="83" t="s">
        <v>1666</v>
      </c>
      <c r="B92" s="91" t="s">
        <v>208</v>
      </c>
      <c r="C92" s="78" t="s">
        <v>199</v>
      </c>
      <c r="D92" s="78" t="s">
        <v>200</v>
      </c>
      <c r="E92" s="21" t="s">
        <v>1724</v>
      </c>
      <c r="F92" s="21" t="s">
        <v>1725</v>
      </c>
      <c r="G92" s="23">
        <v>9424.0</v>
      </c>
      <c r="H92" s="26">
        <v>0.41</v>
      </c>
      <c r="I92" s="79">
        <v>6452.0</v>
      </c>
      <c r="J92" s="79" t="s">
        <v>1608</v>
      </c>
      <c r="K92" s="80" t="s">
        <v>1726</v>
      </c>
      <c r="L92" s="21">
        <v>23524.0</v>
      </c>
      <c r="M92" s="21">
        <v>15876.0</v>
      </c>
      <c r="N92" s="26">
        <v>0.3</v>
      </c>
      <c r="O92" s="26">
        <v>0.3</v>
      </c>
      <c r="P92" s="81" t="s">
        <v>1595</v>
      </c>
      <c r="Q92" s="26">
        <v>0.58</v>
      </c>
      <c r="R92" s="84">
        <v>0.35</v>
      </c>
      <c r="S92" s="23"/>
      <c r="T92" s="89"/>
      <c r="U92" s="82"/>
      <c r="V92" s="37"/>
      <c r="W92" s="37"/>
    </row>
    <row r="93" ht="14.25" customHeight="1">
      <c r="A93" s="83" t="s">
        <v>1666</v>
      </c>
      <c r="B93" s="91" t="s">
        <v>233</v>
      </c>
      <c r="C93" s="78" t="s">
        <v>199</v>
      </c>
      <c r="D93" s="78" t="s">
        <v>200</v>
      </c>
      <c r="E93" s="21" t="s">
        <v>1727</v>
      </c>
      <c r="F93" s="21" t="s">
        <v>1727</v>
      </c>
      <c r="G93" s="23">
        <v>3137.0</v>
      </c>
      <c r="H93" s="26">
        <v>0.47</v>
      </c>
      <c r="I93" s="79">
        <v>2740.0</v>
      </c>
      <c r="J93" s="79" t="s">
        <v>1604</v>
      </c>
      <c r="K93" s="80" t="s">
        <v>1618</v>
      </c>
      <c r="L93" s="21">
        <v>11759.0</v>
      </c>
      <c r="M93" s="21">
        <v>5876.0</v>
      </c>
      <c r="N93" s="26">
        <v>0.3</v>
      </c>
      <c r="O93" s="26">
        <v>0.3</v>
      </c>
      <c r="P93" s="81" t="s">
        <v>1595</v>
      </c>
      <c r="Q93" s="26">
        <v>0.63</v>
      </c>
      <c r="R93" s="84">
        <v>0.4</v>
      </c>
      <c r="S93" s="23"/>
      <c r="T93" s="89"/>
      <c r="U93" s="82"/>
      <c r="V93" s="37"/>
      <c r="W93" s="37"/>
    </row>
    <row r="94" ht="14.25" customHeight="1">
      <c r="A94" s="83" t="s">
        <v>1666</v>
      </c>
      <c r="B94" s="91">
        <v>1.479750635184E12</v>
      </c>
      <c r="C94" s="78" t="s">
        <v>199</v>
      </c>
      <c r="D94" s="78" t="s">
        <v>200</v>
      </c>
      <c r="E94" s="21" t="s">
        <v>210</v>
      </c>
      <c r="F94" s="21" t="s">
        <v>1728</v>
      </c>
      <c r="G94" s="23">
        <v>2651.0</v>
      </c>
      <c r="H94" s="26">
        <v>0.5</v>
      </c>
      <c r="I94" s="79">
        <v>2637.0</v>
      </c>
      <c r="J94" s="79" t="s">
        <v>1605</v>
      </c>
      <c r="K94" s="80" t="s">
        <v>1682</v>
      </c>
      <c r="L94" s="21">
        <v>8818.0</v>
      </c>
      <c r="M94" s="21">
        <v>5288.0</v>
      </c>
      <c r="N94" s="26">
        <v>0.3</v>
      </c>
      <c r="O94" s="26">
        <v>0.3</v>
      </c>
      <c r="P94" s="81" t="s">
        <v>1595</v>
      </c>
      <c r="Q94" s="26">
        <v>0.65</v>
      </c>
      <c r="R94" s="84">
        <v>0.42</v>
      </c>
      <c r="S94" s="23"/>
      <c r="T94" s="89"/>
      <c r="U94" s="82"/>
      <c r="V94" s="37"/>
      <c r="W94" s="37"/>
    </row>
    <row r="95" ht="14.25" customHeight="1">
      <c r="A95" s="83" t="s">
        <v>1666</v>
      </c>
      <c r="B95" s="91">
        <v>1.658329968514E12</v>
      </c>
      <c r="C95" s="78" t="s">
        <v>199</v>
      </c>
      <c r="D95" s="78" t="s">
        <v>200</v>
      </c>
      <c r="E95" s="21" t="s">
        <v>1729</v>
      </c>
      <c r="F95" s="21" t="s">
        <v>1730</v>
      </c>
      <c r="G95" s="23">
        <v>6324.0</v>
      </c>
      <c r="H95" s="26">
        <v>0.46</v>
      </c>
      <c r="I95" s="79">
        <v>5435.0</v>
      </c>
      <c r="J95" s="79" t="s">
        <v>1601</v>
      </c>
      <c r="K95" s="80" t="s">
        <v>1604</v>
      </c>
      <c r="L95" s="21">
        <v>14700.0</v>
      </c>
      <c r="M95" s="21">
        <v>11759.0</v>
      </c>
      <c r="N95" s="26">
        <v>0.3</v>
      </c>
      <c r="O95" s="26">
        <v>0.3</v>
      </c>
      <c r="P95" s="81" t="s">
        <v>1595</v>
      </c>
      <c r="Q95" s="26">
        <v>0.62</v>
      </c>
      <c r="R95" s="84">
        <v>0.39</v>
      </c>
      <c r="S95" s="23"/>
      <c r="T95" s="89"/>
      <c r="U95" s="82"/>
      <c r="V95" s="37"/>
      <c r="W95" s="37"/>
    </row>
    <row r="96" ht="14.25" customHeight="1">
      <c r="A96" s="19" t="s">
        <v>1666</v>
      </c>
      <c r="B96" s="55" t="s">
        <v>221</v>
      </c>
      <c r="C96" s="19" t="s">
        <v>199</v>
      </c>
      <c r="D96" s="19" t="s">
        <v>200</v>
      </c>
      <c r="E96" s="21" t="s">
        <v>1731</v>
      </c>
      <c r="F96" s="21" t="s">
        <v>1732</v>
      </c>
      <c r="G96" s="23">
        <v>17185.0</v>
      </c>
      <c r="H96" s="26">
        <v>0.42</v>
      </c>
      <c r="I96" s="79">
        <v>12221.0</v>
      </c>
      <c r="J96" s="79" t="s">
        <v>1599</v>
      </c>
      <c r="K96" s="80" t="s">
        <v>1606</v>
      </c>
      <c r="L96" s="21">
        <v>41171.0</v>
      </c>
      <c r="M96" s="21">
        <v>29406.0</v>
      </c>
      <c r="N96" s="26">
        <v>0.3</v>
      </c>
      <c r="O96" s="26">
        <v>0.3</v>
      </c>
      <c r="P96" s="81" t="s">
        <v>1595</v>
      </c>
      <c r="Q96" s="26">
        <v>0.59</v>
      </c>
      <c r="R96" s="84">
        <v>0.36</v>
      </c>
      <c r="S96" s="23"/>
      <c r="T96" s="89"/>
      <c r="U96" s="82"/>
      <c r="V96" s="37"/>
      <c r="W96" s="37"/>
    </row>
    <row r="97" ht="14.25" customHeight="1">
      <c r="A97" s="19" t="s">
        <v>1666</v>
      </c>
      <c r="B97" s="55" t="s">
        <v>237</v>
      </c>
      <c r="C97" s="19" t="s">
        <v>199</v>
      </c>
      <c r="D97" s="19" t="s">
        <v>200</v>
      </c>
      <c r="E97" s="21" t="s">
        <v>1733</v>
      </c>
      <c r="F97" s="21" t="s">
        <v>1733</v>
      </c>
      <c r="G97" s="23">
        <v>1201.0</v>
      </c>
      <c r="H97" s="26">
        <v>0.74</v>
      </c>
      <c r="I97" s="79">
        <v>3499.0</v>
      </c>
      <c r="J97" s="79" t="s">
        <v>1618</v>
      </c>
      <c r="K97" s="80" t="s">
        <v>1734</v>
      </c>
      <c r="L97" s="21">
        <v>5876.0</v>
      </c>
      <c r="M97" s="21">
        <v>4700.0</v>
      </c>
      <c r="N97" s="26">
        <v>0.3</v>
      </c>
      <c r="O97" s="26">
        <v>0.3</v>
      </c>
      <c r="P97" s="81" t="s">
        <v>1595</v>
      </c>
      <c r="Q97" s="26">
        <v>0.82</v>
      </c>
      <c r="R97" s="84">
        <v>0.59</v>
      </c>
      <c r="S97" s="23"/>
      <c r="T97" s="89"/>
      <c r="U97" s="82"/>
      <c r="V97" s="37"/>
      <c r="W97" s="37"/>
    </row>
    <row r="98" ht="14.25" customHeight="1">
      <c r="A98" s="19" t="s">
        <v>1666</v>
      </c>
      <c r="B98" s="55" t="s">
        <v>223</v>
      </c>
      <c r="C98" s="19" t="s">
        <v>199</v>
      </c>
      <c r="D98" s="19" t="s">
        <v>200</v>
      </c>
      <c r="E98" s="21" t="s">
        <v>1735</v>
      </c>
      <c r="F98" s="21" t="s">
        <v>1735</v>
      </c>
      <c r="G98" s="23">
        <v>2201.0</v>
      </c>
      <c r="H98" s="26">
        <v>0.63</v>
      </c>
      <c r="I98" s="79">
        <v>3675.0</v>
      </c>
      <c r="J98" s="79" t="s">
        <v>1605</v>
      </c>
      <c r="K98" s="80" t="s">
        <v>1618</v>
      </c>
      <c r="L98" s="21">
        <v>8818.0</v>
      </c>
      <c r="M98" s="21">
        <v>5876.0</v>
      </c>
      <c r="N98" s="26">
        <v>0.3</v>
      </c>
      <c r="O98" s="26">
        <v>0.3</v>
      </c>
      <c r="P98" s="81" t="s">
        <v>1595</v>
      </c>
      <c r="Q98" s="26">
        <v>0.74</v>
      </c>
      <c r="R98" s="84">
        <v>0.51</v>
      </c>
      <c r="S98" s="23"/>
      <c r="T98" s="89"/>
      <c r="U98" s="82"/>
      <c r="V98" s="37"/>
      <c r="W98" s="37"/>
    </row>
    <row r="99" ht="14.25" customHeight="1">
      <c r="A99" s="83" t="s">
        <v>1666</v>
      </c>
      <c r="B99" s="91" t="s">
        <v>219</v>
      </c>
      <c r="C99" s="78" t="s">
        <v>199</v>
      </c>
      <c r="D99" s="78" t="s">
        <v>224</v>
      </c>
      <c r="E99" s="95" t="s">
        <v>1736</v>
      </c>
      <c r="F99" s="21" t="s">
        <v>1736</v>
      </c>
      <c r="G99" s="23">
        <v>14265.0</v>
      </c>
      <c r="H99" s="26">
        <v>0.19</v>
      </c>
      <c r="I99" s="79">
        <v>3376.0</v>
      </c>
      <c r="J99" s="79" t="s">
        <v>1599</v>
      </c>
      <c r="K99" s="80" t="s">
        <v>1603</v>
      </c>
      <c r="L99" s="21">
        <v>41171.0</v>
      </c>
      <c r="M99" s="21">
        <v>17641.0</v>
      </c>
      <c r="N99" s="26">
        <v>0.3</v>
      </c>
      <c r="O99" s="26">
        <v>0.3</v>
      </c>
      <c r="P99" s="81" t="s">
        <v>1595</v>
      </c>
      <c r="Q99" s="26">
        <v>0.43</v>
      </c>
      <c r="R99" s="84">
        <v>0.2</v>
      </c>
      <c r="S99" s="23"/>
      <c r="T99" s="89"/>
      <c r="U99" s="82"/>
      <c r="V99" s="37"/>
      <c r="W99" s="37"/>
    </row>
    <row r="100" ht="14.25" customHeight="1">
      <c r="A100" s="83" t="s">
        <v>1666</v>
      </c>
      <c r="B100" s="91" t="s">
        <v>231</v>
      </c>
      <c r="C100" s="78" t="s">
        <v>199</v>
      </c>
      <c r="D100" s="78" t="s">
        <v>224</v>
      </c>
      <c r="E100" s="21" t="s">
        <v>1737</v>
      </c>
      <c r="F100" s="21" t="s">
        <v>1738</v>
      </c>
      <c r="G100" s="23">
        <v>11991.0</v>
      </c>
      <c r="H100" s="26">
        <v>0.38</v>
      </c>
      <c r="I100" s="79">
        <v>7415.0</v>
      </c>
      <c r="J100" s="79" t="s">
        <v>1606</v>
      </c>
      <c r="K100" s="80" t="s">
        <v>1620</v>
      </c>
      <c r="L100" s="21">
        <v>29406.0</v>
      </c>
      <c r="M100" s="21">
        <v>19406.0</v>
      </c>
      <c r="N100" s="26">
        <v>0.3</v>
      </c>
      <c r="O100" s="26">
        <v>0.3</v>
      </c>
      <c r="P100" s="81" t="s">
        <v>1595</v>
      </c>
      <c r="Q100" s="26">
        <v>0.57</v>
      </c>
      <c r="R100" s="84">
        <v>0.34</v>
      </c>
      <c r="S100" s="22"/>
      <c r="T100" s="16"/>
      <c r="U100" s="82"/>
      <c r="V100" s="37"/>
      <c r="W100" s="37"/>
    </row>
    <row r="101" ht="14.25" customHeight="1">
      <c r="A101" s="83" t="s">
        <v>1666</v>
      </c>
      <c r="B101" s="91" t="s">
        <v>235</v>
      </c>
      <c r="C101" s="78" t="s">
        <v>199</v>
      </c>
      <c r="D101" s="78" t="s">
        <v>224</v>
      </c>
      <c r="E101" s="21" t="s">
        <v>1739</v>
      </c>
      <c r="F101" s="21" t="s">
        <v>1740</v>
      </c>
      <c r="G101" s="23">
        <v>13499.0</v>
      </c>
      <c r="H101" s="26">
        <v>0.23</v>
      </c>
      <c r="I101" s="79">
        <v>4142.0</v>
      </c>
      <c r="J101" s="79" t="s">
        <v>1606</v>
      </c>
      <c r="K101" s="80" t="s">
        <v>1603</v>
      </c>
      <c r="L101" s="21">
        <v>29406.0</v>
      </c>
      <c r="M101" s="21">
        <v>17641.0</v>
      </c>
      <c r="N101" s="26">
        <v>0.3</v>
      </c>
      <c r="O101" s="26">
        <v>0.3</v>
      </c>
      <c r="P101" s="83" t="s">
        <v>134</v>
      </c>
      <c r="Q101" s="26">
        <v>0.46</v>
      </c>
      <c r="R101" s="84">
        <v>0.23</v>
      </c>
      <c r="S101" s="23"/>
      <c r="T101" s="89"/>
      <c r="U101" s="82"/>
      <c r="V101" s="37"/>
      <c r="W101" s="37"/>
    </row>
    <row r="102" ht="14.25" customHeight="1">
      <c r="A102" s="83" t="s">
        <v>1666</v>
      </c>
      <c r="B102" s="91">
        <v>6.7898087132855E13</v>
      </c>
      <c r="C102" s="78" t="s">
        <v>199</v>
      </c>
      <c r="D102" s="78" t="s">
        <v>224</v>
      </c>
      <c r="E102" s="21" t="s">
        <v>1741</v>
      </c>
      <c r="F102" s="21" t="s">
        <v>1742</v>
      </c>
      <c r="G102" s="23">
        <v>40886.0</v>
      </c>
      <c r="H102" s="26">
        <v>0.3</v>
      </c>
      <c r="I102" s="79">
        <v>17932.0</v>
      </c>
      <c r="J102" s="79" t="s">
        <v>1622</v>
      </c>
      <c r="K102" s="80" t="s">
        <v>1596</v>
      </c>
      <c r="L102" s="21">
        <v>88229.0</v>
      </c>
      <c r="M102" s="21">
        <v>58818.0</v>
      </c>
      <c r="N102" s="26">
        <v>0.3</v>
      </c>
      <c r="O102" s="26">
        <v>0.3</v>
      </c>
      <c r="P102" s="81" t="s">
        <v>1595</v>
      </c>
      <c r="Q102" s="26">
        <v>0.51</v>
      </c>
      <c r="R102" s="84">
        <v>0.28</v>
      </c>
      <c r="S102" s="23"/>
      <c r="T102" s="89"/>
      <c r="U102" s="82"/>
      <c r="V102" s="37"/>
      <c r="W102" s="37"/>
    </row>
    <row r="103" ht="14.25" customHeight="1">
      <c r="A103" s="83" t="s">
        <v>1666</v>
      </c>
      <c r="B103" s="91" t="s">
        <v>228</v>
      </c>
      <c r="C103" s="78" t="s">
        <v>199</v>
      </c>
      <c r="D103" s="78" t="s">
        <v>224</v>
      </c>
      <c r="E103" s="21" t="s">
        <v>227</v>
      </c>
      <c r="F103" s="21" t="s">
        <v>1743</v>
      </c>
      <c r="G103" s="23">
        <v>36631.0</v>
      </c>
      <c r="H103" s="26">
        <v>0.31</v>
      </c>
      <c r="I103" s="79">
        <v>16304.0</v>
      </c>
      <c r="J103" s="79" t="s">
        <v>1623</v>
      </c>
      <c r="K103" s="80" t="s">
        <v>1628</v>
      </c>
      <c r="L103" s="21">
        <v>76465.0</v>
      </c>
      <c r="M103" s="21">
        <v>52935.0</v>
      </c>
      <c r="N103" s="26">
        <v>0.3</v>
      </c>
      <c r="O103" s="26">
        <v>0.3</v>
      </c>
      <c r="P103" s="81" t="s">
        <v>1595</v>
      </c>
      <c r="Q103" s="26">
        <v>0.52</v>
      </c>
      <c r="R103" s="84">
        <v>0.29</v>
      </c>
      <c r="S103" s="23"/>
      <c r="T103" s="89"/>
      <c r="U103" s="82"/>
      <c r="V103" s="37"/>
      <c r="W103" s="37"/>
    </row>
    <row r="104" ht="14.25" customHeight="1">
      <c r="A104" s="19" t="s">
        <v>1666</v>
      </c>
      <c r="B104" s="55" t="s">
        <v>239</v>
      </c>
      <c r="C104" s="19" t="s">
        <v>199</v>
      </c>
      <c r="D104" s="19" t="s">
        <v>224</v>
      </c>
      <c r="E104" s="21" t="s">
        <v>238</v>
      </c>
      <c r="F104" s="21" t="s">
        <v>1744</v>
      </c>
      <c r="G104" s="23">
        <v>9205.0</v>
      </c>
      <c r="H104" s="26">
        <v>0.61</v>
      </c>
      <c r="I104" s="79">
        <v>14319.0</v>
      </c>
      <c r="J104" s="79" t="s">
        <v>1594</v>
      </c>
      <c r="K104" s="80" t="s">
        <v>1608</v>
      </c>
      <c r="L104" s="21">
        <v>35288.0</v>
      </c>
      <c r="M104" s="21">
        <v>23524.0</v>
      </c>
      <c r="N104" s="26">
        <v>0.3</v>
      </c>
      <c r="O104" s="26">
        <v>0.3</v>
      </c>
      <c r="P104" s="81" t="s">
        <v>1595</v>
      </c>
      <c r="Q104" s="26">
        <v>0.73</v>
      </c>
      <c r="R104" s="84">
        <v>0.5</v>
      </c>
      <c r="S104" s="23"/>
      <c r="T104" s="89"/>
      <c r="U104" s="82"/>
      <c r="V104" s="37"/>
      <c r="W104" s="37"/>
    </row>
    <row r="105" ht="14.25" customHeight="1">
      <c r="A105" s="83" t="s">
        <v>1666</v>
      </c>
      <c r="B105" s="91">
        <v>1.652825027456E12</v>
      </c>
      <c r="C105" s="78" t="s">
        <v>240</v>
      </c>
      <c r="D105" s="78" t="s">
        <v>241</v>
      </c>
      <c r="E105" s="21" t="s">
        <v>1745</v>
      </c>
      <c r="F105" s="21" t="s">
        <v>1746</v>
      </c>
      <c r="G105" s="23">
        <v>6467.0</v>
      </c>
      <c r="H105" s="26">
        <v>0.45</v>
      </c>
      <c r="I105" s="79">
        <v>5292.0</v>
      </c>
      <c r="J105" s="79" t="s">
        <v>1603</v>
      </c>
      <c r="K105" s="80" t="s">
        <v>1604</v>
      </c>
      <c r="L105" s="21">
        <v>17641.0</v>
      </c>
      <c r="M105" s="21">
        <v>11759.0</v>
      </c>
      <c r="N105" s="26">
        <v>0.3</v>
      </c>
      <c r="O105" s="26">
        <v>0.3</v>
      </c>
      <c r="P105" s="81" t="s">
        <v>1595</v>
      </c>
      <c r="Q105" s="26">
        <v>0.62</v>
      </c>
      <c r="R105" s="84">
        <v>0.39</v>
      </c>
      <c r="S105" s="23"/>
      <c r="T105" s="89"/>
      <c r="U105" s="82"/>
      <c r="V105" s="37"/>
      <c r="W105" s="37"/>
    </row>
    <row r="106" ht="14.25" customHeight="1">
      <c r="A106" s="83" t="s">
        <v>1666</v>
      </c>
      <c r="B106" s="91">
        <v>6.7327559384453E13</v>
      </c>
      <c r="C106" s="78" t="s">
        <v>240</v>
      </c>
      <c r="D106" s="78" t="s">
        <v>243</v>
      </c>
      <c r="E106" s="21" t="s">
        <v>1747</v>
      </c>
      <c r="F106" s="21" t="s">
        <v>1748</v>
      </c>
      <c r="G106" s="23">
        <v>11466.0</v>
      </c>
      <c r="H106" s="26">
        <v>0.35</v>
      </c>
      <c r="I106" s="79">
        <v>6176.0</v>
      </c>
      <c r="J106" s="79" t="s">
        <v>1599</v>
      </c>
      <c r="K106" s="80" t="s">
        <v>1603</v>
      </c>
      <c r="L106" s="21">
        <v>41171.0</v>
      </c>
      <c r="M106" s="21">
        <v>17641.0</v>
      </c>
      <c r="N106" s="26">
        <v>0.3</v>
      </c>
      <c r="O106" s="26">
        <v>0.3</v>
      </c>
      <c r="P106" s="81" t="s">
        <v>1595</v>
      </c>
      <c r="Q106" s="26">
        <v>0.55</v>
      </c>
      <c r="R106" s="84">
        <v>0.32</v>
      </c>
      <c r="S106" s="23"/>
      <c r="T106" s="89"/>
      <c r="U106" s="82"/>
      <c r="V106" s="37"/>
      <c r="W106" s="37"/>
    </row>
    <row r="107" ht="14.25" customHeight="1">
      <c r="A107" s="83" t="s">
        <v>1666</v>
      </c>
      <c r="B107" s="91">
        <v>1.748316345017E12</v>
      </c>
      <c r="C107" s="78" t="s">
        <v>240</v>
      </c>
      <c r="D107" s="78" t="s">
        <v>243</v>
      </c>
      <c r="E107" s="21" t="s">
        <v>245</v>
      </c>
      <c r="F107" s="21" t="s">
        <v>245</v>
      </c>
      <c r="G107" s="23">
        <v>30370.0</v>
      </c>
      <c r="H107" s="26">
        <v>0.14</v>
      </c>
      <c r="I107" s="79">
        <v>4918.0</v>
      </c>
      <c r="J107" s="79" t="s">
        <v>1628</v>
      </c>
      <c r="K107" s="80" t="s">
        <v>1594</v>
      </c>
      <c r="L107" s="21">
        <v>52935.0</v>
      </c>
      <c r="M107" s="21">
        <v>35288.0</v>
      </c>
      <c r="N107" s="26">
        <v>0.3</v>
      </c>
      <c r="O107" s="26">
        <v>0.3</v>
      </c>
      <c r="P107" s="83" t="s">
        <v>134</v>
      </c>
      <c r="Q107" s="26">
        <v>0.4</v>
      </c>
      <c r="R107" s="84">
        <v>0.17</v>
      </c>
      <c r="S107" s="23"/>
      <c r="T107" s="89"/>
      <c r="U107" s="82"/>
      <c r="V107" s="90"/>
      <c r="W107" s="90"/>
    </row>
    <row r="108" ht="14.25" customHeight="1">
      <c r="A108" s="83" t="s">
        <v>1666</v>
      </c>
      <c r="B108" s="55" t="s">
        <v>248</v>
      </c>
      <c r="C108" s="78" t="s">
        <v>240</v>
      </c>
      <c r="D108" s="78" t="s">
        <v>246</v>
      </c>
      <c r="E108" s="21" t="s">
        <v>1749</v>
      </c>
      <c r="F108" s="21" t="s">
        <v>1750</v>
      </c>
      <c r="G108" s="23">
        <v>7602.0</v>
      </c>
      <c r="H108" s="26">
        <v>0.35</v>
      </c>
      <c r="I108" s="79">
        <v>4157.0</v>
      </c>
      <c r="J108" s="79" t="s">
        <v>1714</v>
      </c>
      <c r="K108" s="80" t="s">
        <v>1604</v>
      </c>
      <c r="L108" s="21">
        <v>20582.0</v>
      </c>
      <c r="M108" s="21">
        <v>11759.0</v>
      </c>
      <c r="N108" s="26">
        <v>0.3</v>
      </c>
      <c r="O108" s="26">
        <v>0.3</v>
      </c>
      <c r="P108" s="81" t="s">
        <v>1595</v>
      </c>
      <c r="Q108" s="26">
        <v>0.55</v>
      </c>
      <c r="R108" s="84">
        <v>0.32</v>
      </c>
      <c r="S108" s="23"/>
      <c r="T108" s="89"/>
      <c r="U108" s="82"/>
      <c r="V108" s="37"/>
      <c r="W108" s="37"/>
    </row>
    <row r="109" ht="14.25" customHeight="1">
      <c r="A109" s="83" t="s">
        <v>1666</v>
      </c>
      <c r="B109" s="91" t="s">
        <v>253</v>
      </c>
      <c r="C109" s="78" t="s">
        <v>240</v>
      </c>
      <c r="D109" s="78" t="s">
        <v>249</v>
      </c>
      <c r="E109" s="21" t="s">
        <v>252</v>
      </c>
      <c r="F109" s="21" t="s">
        <v>1751</v>
      </c>
      <c r="G109" s="23">
        <v>65373.0</v>
      </c>
      <c r="H109" s="26">
        <v>0.26</v>
      </c>
      <c r="I109" s="79">
        <v>22856.0</v>
      </c>
      <c r="J109" s="79" t="s">
        <v>1752</v>
      </c>
      <c r="K109" s="80" t="s">
        <v>1622</v>
      </c>
      <c r="L109" s="21">
        <v>147053.0</v>
      </c>
      <c r="M109" s="21">
        <v>88229.0</v>
      </c>
      <c r="N109" s="26">
        <v>0.3</v>
      </c>
      <c r="O109" s="26">
        <v>0.3</v>
      </c>
      <c r="P109" s="83" t="s">
        <v>134</v>
      </c>
      <c r="Q109" s="26">
        <v>0.48</v>
      </c>
      <c r="R109" s="84">
        <v>0.25</v>
      </c>
      <c r="S109" s="23"/>
      <c r="T109" s="89"/>
      <c r="U109" s="82"/>
      <c r="V109" s="37"/>
      <c r="W109" s="37"/>
    </row>
    <row r="110" ht="14.25" customHeight="1">
      <c r="A110" s="83" t="s">
        <v>1666</v>
      </c>
      <c r="B110" s="91">
        <v>1.543406075297E12</v>
      </c>
      <c r="C110" s="78" t="s">
        <v>240</v>
      </c>
      <c r="D110" s="78" t="s">
        <v>254</v>
      </c>
      <c r="E110" s="21" t="s">
        <v>1753</v>
      </c>
      <c r="F110" s="21" t="s">
        <v>1754</v>
      </c>
      <c r="G110" s="23">
        <v>3664.0</v>
      </c>
      <c r="H110" s="26">
        <v>0.38</v>
      </c>
      <c r="I110" s="79">
        <v>2212.0</v>
      </c>
      <c r="J110" s="79" t="s">
        <v>1601</v>
      </c>
      <c r="K110" s="80" t="s">
        <v>1618</v>
      </c>
      <c r="L110" s="21">
        <v>14700.0</v>
      </c>
      <c r="M110" s="21">
        <v>5876.0</v>
      </c>
      <c r="N110" s="26">
        <v>0.3</v>
      </c>
      <c r="O110" s="26">
        <v>0.3</v>
      </c>
      <c r="P110" s="81" t="s">
        <v>1595</v>
      </c>
      <c r="Q110" s="26">
        <v>0.56</v>
      </c>
      <c r="R110" s="84">
        <v>0.33</v>
      </c>
      <c r="S110" s="23"/>
      <c r="T110" s="89"/>
      <c r="U110" s="82"/>
      <c r="V110" s="37"/>
      <c r="W110" s="37"/>
    </row>
    <row r="111" ht="14.25" customHeight="1">
      <c r="A111" s="83" t="s">
        <v>1666</v>
      </c>
      <c r="B111" s="91">
        <v>1.538141129434E12</v>
      </c>
      <c r="C111" s="78" t="s">
        <v>240</v>
      </c>
      <c r="D111" s="78" t="s">
        <v>254</v>
      </c>
      <c r="E111" s="21" t="s">
        <v>1753</v>
      </c>
      <c r="F111" s="21" t="s">
        <v>1755</v>
      </c>
      <c r="G111" s="23">
        <v>3250.0</v>
      </c>
      <c r="H111" s="26">
        <v>0.45</v>
      </c>
      <c r="I111" s="79">
        <v>2627.0</v>
      </c>
      <c r="J111" s="79" t="s">
        <v>1601</v>
      </c>
      <c r="K111" s="80" t="s">
        <v>1618</v>
      </c>
      <c r="L111" s="21">
        <v>14700.0</v>
      </c>
      <c r="M111" s="21">
        <v>5876.0</v>
      </c>
      <c r="N111" s="26">
        <v>0.3</v>
      </c>
      <c r="O111" s="26">
        <v>0.3</v>
      </c>
      <c r="P111" s="81" t="s">
        <v>1595</v>
      </c>
      <c r="Q111" s="26">
        <v>0.61</v>
      </c>
      <c r="R111" s="84">
        <v>0.38</v>
      </c>
      <c r="S111" s="23"/>
      <c r="T111" s="89"/>
      <c r="U111" s="82"/>
      <c r="V111" s="37"/>
      <c r="W111" s="37"/>
    </row>
    <row r="112" ht="14.25" customHeight="1">
      <c r="A112" s="19" t="s">
        <v>1666</v>
      </c>
      <c r="B112" s="55" t="s">
        <v>1756</v>
      </c>
      <c r="C112" s="19" t="s">
        <v>257</v>
      </c>
      <c r="D112" s="19" t="s">
        <v>1757</v>
      </c>
      <c r="E112" s="21" t="s">
        <v>262</v>
      </c>
      <c r="F112" s="21" t="s">
        <v>262</v>
      </c>
      <c r="G112" s="23">
        <v>9256.0</v>
      </c>
      <c r="H112" s="26">
        <v>0.37</v>
      </c>
      <c r="I112" s="79">
        <v>5444.0</v>
      </c>
      <c r="J112" s="79" t="s">
        <v>1714</v>
      </c>
      <c r="K112" s="80" t="s">
        <v>1601</v>
      </c>
      <c r="L112" s="21">
        <v>20582.0</v>
      </c>
      <c r="M112" s="21">
        <v>14700.0</v>
      </c>
      <c r="N112" s="26">
        <v>0.3</v>
      </c>
      <c r="O112" s="26">
        <v>0.3</v>
      </c>
      <c r="P112" s="81" t="s">
        <v>1595</v>
      </c>
      <c r="Q112" s="26">
        <v>0.56</v>
      </c>
      <c r="R112" s="84">
        <v>0.33</v>
      </c>
      <c r="S112" s="23"/>
      <c r="T112" s="89"/>
      <c r="U112" s="82"/>
      <c r="V112" s="37"/>
      <c r="W112" s="37"/>
    </row>
    <row r="113" ht="14.25" customHeight="1">
      <c r="A113" s="19" t="s">
        <v>1666</v>
      </c>
      <c r="B113" s="55" t="s">
        <v>1758</v>
      </c>
      <c r="C113" s="19" t="s">
        <v>257</v>
      </c>
      <c r="D113" s="19" t="s">
        <v>1757</v>
      </c>
      <c r="E113" s="21" t="s">
        <v>264</v>
      </c>
      <c r="F113" s="21" t="s">
        <v>264</v>
      </c>
      <c r="G113" s="23">
        <v>4517.0</v>
      </c>
      <c r="H113" s="26">
        <v>0.49</v>
      </c>
      <c r="I113" s="79">
        <v>4301.0</v>
      </c>
      <c r="J113" s="79" t="s">
        <v>1603</v>
      </c>
      <c r="K113" s="80" t="s">
        <v>1605</v>
      </c>
      <c r="L113" s="21">
        <v>17641.0</v>
      </c>
      <c r="M113" s="21">
        <v>8818.0</v>
      </c>
      <c r="N113" s="26">
        <v>0.3</v>
      </c>
      <c r="O113" s="26">
        <v>0.3</v>
      </c>
      <c r="P113" s="81" t="s">
        <v>1595</v>
      </c>
      <c r="Q113" s="26">
        <v>0.64</v>
      </c>
      <c r="R113" s="84">
        <v>0.41</v>
      </c>
      <c r="S113" s="23"/>
      <c r="T113" s="16"/>
      <c r="U113" s="82"/>
      <c r="V113" s="37"/>
      <c r="W113" s="37"/>
    </row>
    <row r="114" ht="14.25" customHeight="1">
      <c r="A114" s="83" t="s">
        <v>1666</v>
      </c>
      <c r="B114" s="91" t="s">
        <v>260</v>
      </c>
      <c r="C114" s="78" t="s">
        <v>257</v>
      </c>
      <c r="D114" s="78" t="s">
        <v>258</v>
      </c>
      <c r="E114" s="21" t="s">
        <v>1759</v>
      </c>
      <c r="F114" s="21" t="s">
        <v>1760</v>
      </c>
      <c r="G114" s="23">
        <v>2955.0</v>
      </c>
      <c r="H114" s="26">
        <v>0.28</v>
      </c>
      <c r="I114" s="79">
        <v>1157.0</v>
      </c>
      <c r="J114" s="79" t="s">
        <v>1618</v>
      </c>
      <c r="K114" s="80" t="s">
        <v>1670</v>
      </c>
      <c r="L114" s="21">
        <v>5876.0</v>
      </c>
      <c r="M114" s="21">
        <v>4112.0</v>
      </c>
      <c r="N114" s="26">
        <v>0.3</v>
      </c>
      <c r="O114" s="26">
        <v>0.3</v>
      </c>
      <c r="P114" s="81" t="s">
        <v>1595</v>
      </c>
      <c r="Q114" s="26">
        <v>0.5</v>
      </c>
      <c r="R114" s="84">
        <v>0.27</v>
      </c>
      <c r="S114" s="23"/>
      <c r="T114" s="89"/>
      <c r="U114" s="82"/>
      <c r="V114" s="37"/>
      <c r="W114" s="37"/>
    </row>
    <row r="115" ht="14.25" customHeight="1">
      <c r="A115" s="83" t="s">
        <v>1666</v>
      </c>
      <c r="B115" s="91" t="s">
        <v>276</v>
      </c>
      <c r="C115" s="78" t="s">
        <v>266</v>
      </c>
      <c r="D115" s="78" t="s">
        <v>267</v>
      </c>
      <c r="E115" s="21" t="s">
        <v>1761</v>
      </c>
      <c r="F115" s="21" t="s">
        <v>1762</v>
      </c>
      <c r="G115" s="23">
        <v>88385.0</v>
      </c>
      <c r="H115" s="26">
        <v>0.34</v>
      </c>
      <c r="I115" s="79">
        <v>46062.0</v>
      </c>
      <c r="J115" s="79" t="s">
        <v>1763</v>
      </c>
      <c r="K115" s="80" t="s">
        <v>1764</v>
      </c>
      <c r="L115" s="21">
        <v>188229.0</v>
      </c>
      <c r="M115" s="21">
        <v>134447.0</v>
      </c>
      <c r="N115" s="26">
        <v>0.3</v>
      </c>
      <c r="O115" s="26">
        <v>0.2</v>
      </c>
      <c r="P115" s="81" t="s">
        <v>1595</v>
      </c>
      <c r="Q115" s="26">
        <v>0.47</v>
      </c>
      <c r="R115" s="84">
        <v>0.24</v>
      </c>
      <c r="S115" s="23"/>
      <c r="T115" s="16"/>
      <c r="U115" s="82"/>
      <c r="V115" s="37"/>
      <c r="W115" s="37"/>
    </row>
    <row r="116" ht="14.25" customHeight="1">
      <c r="A116" s="83" t="s">
        <v>1666</v>
      </c>
      <c r="B116" s="91" t="s">
        <v>271</v>
      </c>
      <c r="C116" s="78" t="s">
        <v>266</v>
      </c>
      <c r="D116" s="78" t="s">
        <v>267</v>
      </c>
      <c r="E116" s="21" t="s">
        <v>1765</v>
      </c>
      <c r="F116" s="21" t="s">
        <v>270</v>
      </c>
      <c r="G116" s="23">
        <v>46527.0</v>
      </c>
      <c r="H116" s="26">
        <v>0.13</v>
      </c>
      <c r="I116" s="79">
        <v>7248.0</v>
      </c>
      <c r="J116" s="79" t="s">
        <v>1708</v>
      </c>
      <c r="K116" s="80" t="s">
        <v>1697</v>
      </c>
      <c r="L116" s="21">
        <v>99994.0</v>
      </c>
      <c r="M116" s="21">
        <v>53775.0</v>
      </c>
      <c r="N116" s="26">
        <v>0.3</v>
      </c>
      <c r="O116" s="26">
        <v>0.2</v>
      </c>
      <c r="P116" s="83" t="s">
        <v>134</v>
      </c>
      <c r="Q116" s="26">
        <v>0.31</v>
      </c>
      <c r="R116" s="84">
        <v>0.08</v>
      </c>
      <c r="S116" s="23"/>
      <c r="T116" s="89"/>
      <c r="U116" s="82"/>
      <c r="V116" s="37"/>
      <c r="W116" s="37"/>
    </row>
    <row r="117" ht="14.25" customHeight="1">
      <c r="A117" s="83" t="s">
        <v>1666</v>
      </c>
      <c r="B117" s="91" t="s">
        <v>278</v>
      </c>
      <c r="C117" s="78" t="s">
        <v>266</v>
      </c>
      <c r="D117" s="78" t="s">
        <v>267</v>
      </c>
      <c r="E117" s="21" t="s">
        <v>277</v>
      </c>
      <c r="F117" s="21" t="s">
        <v>1766</v>
      </c>
      <c r="G117" s="23">
        <v>56843.0</v>
      </c>
      <c r="H117" s="26">
        <v>0.4</v>
      </c>
      <c r="I117" s="79">
        <v>37268.0</v>
      </c>
      <c r="J117" s="79" t="s">
        <v>1767</v>
      </c>
      <c r="K117" s="80" t="s">
        <v>1598</v>
      </c>
      <c r="L117" s="21">
        <v>129406.0</v>
      </c>
      <c r="M117" s="21">
        <v>94111.0</v>
      </c>
      <c r="N117" s="26">
        <v>0.3</v>
      </c>
      <c r="O117" s="26">
        <v>0.2</v>
      </c>
      <c r="P117" s="81" t="s">
        <v>1595</v>
      </c>
      <c r="Q117" s="26">
        <v>0.52</v>
      </c>
      <c r="R117" s="84">
        <v>0.29</v>
      </c>
      <c r="S117" s="23"/>
      <c r="T117" s="89"/>
      <c r="U117" s="82"/>
      <c r="V117" s="37"/>
      <c r="W117" s="37"/>
    </row>
    <row r="118" ht="14.25" customHeight="1">
      <c r="A118" s="83" t="s">
        <v>1666</v>
      </c>
      <c r="B118" s="91" t="s">
        <v>274</v>
      </c>
      <c r="C118" s="78" t="s">
        <v>266</v>
      </c>
      <c r="D118" s="78" t="s">
        <v>267</v>
      </c>
      <c r="E118" s="21" t="s">
        <v>273</v>
      </c>
      <c r="F118" s="21" t="s">
        <v>1768</v>
      </c>
      <c r="G118" s="23">
        <v>76078.0</v>
      </c>
      <c r="H118" s="26">
        <v>0.33</v>
      </c>
      <c r="I118" s="79">
        <v>38201.0</v>
      </c>
      <c r="J118" s="79" t="s">
        <v>1769</v>
      </c>
      <c r="K118" s="80" t="s">
        <v>1708</v>
      </c>
      <c r="L118" s="21">
        <v>158818.0</v>
      </c>
      <c r="M118" s="21">
        <v>114279.0</v>
      </c>
      <c r="N118" s="26">
        <v>0.3</v>
      </c>
      <c r="O118" s="26">
        <v>0.2</v>
      </c>
      <c r="P118" s="81" t="s">
        <v>1595</v>
      </c>
      <c r="Q118" s="26">
        <v>0.47</v>
      </c>
      <c r="R118" s="84">
        <v>0.24</v>
      </c>
      <c r="S118" s="23"/>
      <c r="T118" s="89"/>
      <c r="U118" s="82"/>
      <c r="V118" s="37"/>
      <c r="W118" s="37"/>
    </row>
    <row r="119" ht="14.25" customHeight="1">
      <c r="A119" s="19" t="s">
        <v>1666</v>
      </c>
      <c r="B119" s="55" t="s">
        <v>281</v>
      </c>
      <c r="C119" s="19" t="s">
        <v>266</v>
      </c>
      <c r="D119" s="19" t="s">
        <v>267</v>
      </c>
      <c r="E119" s="21" t="s">
        <v>1770</v>
      </c>
      <c r="F119" s="21" t="s">
        <v>1771</v>
      </c>
      <c r="G119" s="23">
        <v>36795.0</v>
      </c>
      <c r="H119" s="26">
        <v>0.45</v>
      </c>
      <c r="I119" s="79">
        <v>30425.0</v>
      </c>
      <c r="J119" s="79" t="s">
        <v>1622</v>
      </c>
      <c r="K119" s="80" t="s">
        <v>1596</v>
      </c>
      <c r="L119" s="21">
        <v>88229.0</v>
      </c>
      <c r="M119" s="21">
        <v>67220.0</v>
      </c>
      <c r="N119" s="26">
        <v>0.3</v>
      </c>
      <c r="O119" s="26">
        <v>0.2</v>
      </c>
      <c r="P119" s="81" t="s">
        <v>1595</v>
      </c>
      <c r="Q119" s="26">
        <v>0.56</v>
      </c>
      <c r="R119" s="84">
        <v>0.33</v>
      </c>
      <c r="S119" s="23"/>
      <c r="T119" s="89"/>
      <c r="U119" s="82"/>
      <c r="V119" s="37"/>
      <c r="W119" s="37"/>
    </row>
    <row r="120" ht="14.25" customHeight="1">
      <c r="A120" s="83" t="s">
        <v>1666</v>
      </c>
      <c r="B120" s="91">
        <v>1.659991971809E12</v>
      </c>
      <c r="C120" s="78" t="s">
        <v>266</v>
      </c>
      <c r="D120" s="78" t="s">
        <v>282</v>
      </c>
      <c r="E120" s="21" t="s">
        <v>1772</v>
      </c>
      <c r="F120" s="21" t="s">
        <v>1773</v>
      </c>
      <c r="G120" s="23">
        <v>20217.0</v>
      </c>
      <c r="H120" s="26">
        <v>0.47</v>
      </c>
      <c r="I120" s="79">
        <v>18012.0</v>
      </c>
      <c r="J120" s="79" t="s">
        <v>1596</v>
      </c>
      <c r="K120" s="80" t="s">
        <v>1593</v>
      </c>
      <c r="L120" s="21">
        <v>58818.0</v>
      </c>
      <c r="M120" s="21">
        <v>38229.0</v>
      </c>
      <c r="N120" s="26">
        <v>0.3</v>
      </c>
      <c r="O120" s="26">
        <v>0.3</v>
      </c>
      <c r="P120" s="81" t="s">
        <v>1595</v>
      </c>
      <c r="Q120" s="26">
        <v>0.63</v>
      </c>
      <c r="R120" s="84">
        <v>0.4</v>
      </c>
      <c r="S120" s="23"/>
      <c r="T120" s="89"/>
      <c r="U120" s="82"/>
      <c r="V120" s="37"/>
      <c r="W120" s="37"/>
    </row>
    <row r="121" ht="14.25" customHeight="1">
      <c r="A121" s="83" t="s">
        <v>1666</v>
      </c>
      <c r="B121" s="91" t="s">
        <v>284</v>
      </c>
      <c r="C121" s="78" t="s">
        <v>266</v>
      </c>
      <c r="D121" s="78" t="s">
        <v>282</v>
      </c>
      <c r="E121" s="21" t="s">
        <v>283</v>
      </c>
      <c r="F121" s="21" t="s">
        <v>1774</v>
      </c>
      <c r="G121" s="23">
        <v>22862.0</v>
      </c>
      <c r="H121" s="26">
        <v>0.48</v>
      </c>
      <c r="I121" s="79">
        <v>21250.0</v>
      </c>
      <c r="J121" s="79" t="s">
        <v>1623</v>
      </c>
      <c r="K121" s="80" t="s">
        <v>1664</v>
      </c>
      <c r="L121" s="21">
        <v>76465.0</v>
      </c>
      <c r="M121" s="21">
        <v>44112.0</v>
      </c>
      <c r="N121" s="26">
        <v>0.3</v>
      </c>
      <c r="O121" s="26">
        <v>0.3</v>
      </c>
      <c r="P121" s="81" t="s">
        <v>1595</v>
      </c>
      <c r="Q121" s="26">
        <v>0.64</v>
      </c>
      <c r="R121" s="84">
        <v>0.41</v>
      </c>
      <c r="S121" s="23"/>
      <c r="T121" s="89"/>
      <c r="U121" s="82"/>
      <c r="V121" s="37"/>
      <c r="W121" s="37"/>
    </row>
    <row r="122" ht="14.25" customHeight="1">
      <c r="A122" s="83" t="s">
        <v>1666</v>
      </c>
      <c r="B122" s="91">
        <v>1.659991999728E12</v>
      </c>
      <c r="C122" s="78" t="s">
        <v>266</v>
      </c>
      <c r="D122" s="78" t="s">
        <v>282</v>
      </c>
      <c r="E122" s="21" t="s">
        <v>1775</v>
      </c>
      <c r="F122" s="21" t="s">
        <v>1776</v>
      </c>
      <c r="G122" s="23">
        <v>9617.0</v>
      </c>
      <c r="H122" s="26">
        <v>0.59</v>
      </c>
      <c r="I122" s="79">
        <v>13906.0</v>
      </c>
      <c r="J122" s="79" t="s">
        <v>1599</v>
      </c>
      <c r="K122" s="80" t="s">
        <v>1608</v>
      </c>
      <c r="L122" s="21">
        <v>41171.0</v>
      </c>
      <c r="M122" s="21">
        <v>23524.0</v>
      </c>
      <c r="N122" s="26">
        <v>0.3</v>
      </c>
      <c r="O122" s="26">
        <v>0.3</v>
      </c>
      <c r="P122" s="81" t="s">
        <v>1595</v>
      </c>
      <c r="Q122" s="26">
        <v>0.71</v>
      </c>
      <c r="R122" s="84">
        <v>0.48</v>
      </c>
      <c r="S122" s="23"/>
      <c r="T122" s="89"/>
      <c r="U122" s="82"/>
      <c r="V122" s="37"/>
      <c r="W122" s="37"/>
    </row>
    <row r="123" ht="14.25" customHeight="1">
      <c r="A123" s="83" t="s">
        <v>1666</v>
      </c>
      <c r="B123" s="91" t="s">
        <v>287</v>
      </c>
      <c r="C123" s="78" t="s">
        <v>266</v>
      </c>
      <c r="D123" s="78" t="s">
        <v>282</v>
      </c>
      <c r="E123" s="21" t="s">
        <v>286</v>
      </c>
      <c r="F123" s="21" t="s">
        <v>1777</v>
      </c>
      <c r="G123" s="23">
        <v>18020.0</v>
      </c>
      <c r="H123" s="26">
        <v>0.39</v>
      </c>
      <c r="I123" s="79">
        <v>11386.0</v>
      </c>
      <c r="J123" s="79" t="s">
        <v>1628</v>
      </c>
      <c r="K123" s="80" t="s">
        <v>1606</v>
      </c>
      <c r="L123" s="21">
        <v>52935.0</v>
      </c>
      <c r="M123" s="21">
        <v>29406.0</v>
      </c>
      <c r="N123" s="26">
        <v>0.3</v>
      </c>
      <c r="O123" s="26">
        <v>0.3</v>
      </c>
      <c r="P123" s="81" t="s">
        <v>1595</v>
      </c>
      <c r="Q123" s="26">
        <v>0.57</v>
      </c>
      <c r="R123" s="84">
        <v>0.34</v>
      </c>
      <c r="S123" s="22"/>
      <c r="T123" s="16"/>
      <c r="U123" s="82"/>
      <c r="V123" s="37"/>
      <c r="W123" s="37"/>
    </row>
    <row r="124" ht="14.25" customHeight="1">
      <c r="A124" s="83" t="s">
        <v>1666</v>
      </c>
      <c r="B124" s="91" t="s">
        <v>292</v>
      </c>
      <c r="C124" s="78" t="s">
        <v>266</v>
      </c>
      <c r="D124" s="78" t="s">
        <v>282</v>
      </c>
      <c r="E124" s="21" t="s">
        <v>1778</v>
      </c>
      <c r="F124" s="21" t="s">
        <v>1779</v>
      </c>
      <c r="G124" s="23">
        <v>17801.0</v>
      </c>
      <c r="H124" s="26">
        <v>0.45</v>
      </c>
      <c r="I124" s="79">
        <v>14546.0</v>
      </c>
      <c r="J124" s="79" t="s">
        <v>1628</v>
      </c>
      <c r="K124" s="80" t="s">
        <v>1610</v>
      </c>
      <c r="L124" s="21">
        <v>52935.0</v>
      </c>
      <c r="M124" s="21">
        <v>32347.0</v>
      </c>
      <c r="N124" s="26">
        <v>0.3</v>
      </c>
      <c r="O124" s="26">
        <v>0.3</v>
      </c>
      <c r="P124" s="81" t="s">
        <v>1595</v>
      </c>
      <c r="Q124" s="26">
        <v>0.61</v>
      </c>
      <c r="R124" s="84">
        <v>0.38</v>
      </c>
      <c r="S124" s="22"/>
      <c r="T124" s="16"/>
      <c r="U124" s="82"/>
      <c r="V124" s="37"/>
      <c r="W124" s="37"/>
    </row>
    <row r="125" ht="14.25" customHeight="1">
      <c r="A125" s="83" t="s">
        <v>1666</v>
      </c>
      <c r="B125" s="91" t="s">
        <v>290</v>
      </c>
      <c r="C125" s="78" t="s">
        <v>266</v>
      </c>
      <c r="D125" s="78" t="s">
        <v>282</v>
      </c>
      <c r="E125" s="21" t="s">
        <v>289</v>
      </c>
      <c r="F125" s="21" t="s">
        <v>1780</v>
      </c>
      <c r="G125" s="23">
        <v>20893.0</v>
      </c>
      <c r="H125" s="26">
        <v>0.45</v>
      </c>
      <c r="I125" s="79">
        <v>17336.0</v>
      </c>
      <c r="J125" s="79" t="s">
        <v>1596</v>
      </c>
      <c r="K125" s="80" t="s">
        <v>1593</v>
      </c>
      <c r="L125" s="21">
        <v>58818.0</v>
      </c>
      <c r="M125" s="21">
        <v>38229.0</v>
      </c>
      <c r="N125" s="26">
        <v>0.3</v>
      </c>
      <c r="O125" s="26">
        <v>0.3</v>
      </c>
      <c r="P125" s="81" t="s">
        <v>1595</v>
      </c>
      <c r="Q125" s="26">
        <v>0.62</v>
      </c>
      <c r="R125" s="84">
        <v>0.39</v>
      </c>
      <c r="S125" s="23"/>
      <c r="T125" s="89"/>
      <c r="U125" s="82"/>
      <c r="V125" s="37"/>
      <c r="W125" s="37"/>
    </row>
    <row r="126" ht="14.25" customHeight="1">
      <c r="A126" s="83" t="s">
        <v>1666</v>
      </c>
      <c r="B126" s="55" t="s">
        <v>294</v>
      </c>
      <c r="C126" s="78" t="s">
        <v>266</v>
      </c>
      <c r="D126" s="78" t="s">
        <v>282</v>
      </c>
      <c r="E126" s="21" t="s">
        <v>1781</v>
      </c>
      <c r="F126" s="21" t="s">
        <v>1782</v>
      </c>
      <c r="G126" s="23">
        <v>90498.0</v>
      </c>
      <c r="H126" s="26">
        <v>0.38</v>
      </c>
      <c r="I126" s="79">
        <v>56555.0</v>
      </c>
      <c r="J126" s="79" t="s">
        <v>1625</v>
      </c>
      <c r="K126" s="80" t="s">
        <v>1752</v>
      </c>
      <c r="L126" s="21">
        <v>205876.0</v>
      </c>
      <c r="M126" s="21">
        <v>147053.0</v>
      </c>
      <c r="N126" s="26">
        <v>0.3</v>
      </c>
      <c r="O126" s="26">
        <v>0.3</v>
      </c>
      <c r="P126" s="81" t="s">
        <v>1595</v>
      </c>
      <c r="Q126" s="26">
        <v>0.57</v>
      </c>
      <c r="R126" s="84">
        <v>0.34</v>
      </c>
      <c r="S126" s="23"/>
      <c r="T126" s="89"/>
      <c r="U126" s="82"/>
      <c r="V126" s="37"/>
      <c r="W126" s="37"/>
    </row>
    <row r="127" ht="14.25" customHeight="1">
      <c r="A127" s="19" t="s">
        <v>1666</v>
      </c>
      <c r="B127" s="55" t="s">
        <v>296</v>
      </c>
      <c r="C127" s="19" t="s">
        <v>266</v>
      </c>
      <c r="D127" s="19" t="s">
        <v>282</v>
      </c>
      <c r="E127" s="21" t="s">
        <v>1783</v>
      </c>
      <c r="F127" s="21" t="s">
        <v>1784</v>
      </c>
      <c r="G127" s="23">
        <v>20134.0</v>
      </c>
      <c r="H127" s="26">
        <v>0.51</v>
      </c>
      <c r="I127" s="79">
        <v>21036.0</v>
      </c>
      <c r="J127" s="79" t="s">
        <v>1596</v>
      </c>
      <c r="K127" s="80" t="s">
        <v>1599</v>
      </c>
      <c r="L127" s="21">
        <v>58818.0</v>
      </c>
      <c r="M127" s="21">
        <v>41171.0</v>
      </c>
      <c r="N127" s="26">
        <v>0.3</v>
      </c>
      <c r="O127" s="26">
        <v>0.3</v>
      </c>
      <c r="P127" s="81" t="s">
        <v>1595</v>
      </c>
      <c r="Q127" s="26">
        <v>0.66</v>
      </c>
      <c r="R127" s="84">
        <v>0.43</v>
      </c>
      <c r="S127" s="23"/>
      <c r="T127" s="89"/>
      <c r="U127" s="82"/>
      <c r="V127" s="37"/>
      <c r="W127" s="37"/>
    </row>
    <row r="128" ht="14.25" customHeight="1">
      <c r="A128" s="19" t="s">
        <v>1666</v>
      </c>
      <c r="B128" s="55" t="s">
        <v>298</v>
      </c>
      <c r="C128" s="19" t="s">
        <v>266</v>
      </c>
      <c r="D128" s="19" t="s">
        <v>282</v>
      </c>
      <c r="E128" s="21" t="s">
        <v>1785</v>
      </c>
      <c r="F128" s="21" t="s">
        <v>1786</v>
      </c>
      <c r="G128" s="23">
        <v>17734.0</v>
      </c>
      <c r="H128" s="26">
        <v>0.5</v>
      </c>
      <c r="I128" s="79">
        <v>17555.0</v>
      </c>
      <c r="J128" s="79" t="s">
        <v>1628</v>
      </c>
      <c r="K128" s="80" t="s">
        <v>1594</v>
      </c>
      <c r="L128" s="21">
        <v>52935.0</v>
      </c>
      <c r="M128" s="21">
        <v>35288.0</v>
      </c>
      <c r="N128" s="26">
        <v>0.3</v>
      </c>
      <c r="O128" s="26">
        <v>0.3</v>
      </c>
      <c r="P128" s="81" t="s">
        <v>1595</v>
      </c>
      <c r="Q128" s="26">
        <v>0.65</v>
      </c>
      <c r="R128" s="84">
        <v>0.42</v>
      </c>
      <c r="S128" s="23"/>
      <c r="T128" s="89"/>
      <c r="U128" s="82"/>
      <c r="V128" s="37"/>
      <c r="W128" s="37"/>
    </row>
    <row r="129" ht="14.25" customHeight="1">
      <c r="A129" s="19" t="s">
        <v>1666</v>
      </c>
      <c r="B129" s="55" t="s">
        <v>300</v>
      </c>
      <c r="C129" s="19" t="s">
        <v>266</v>
      </c>
      <c r="D129" s="19" t="s">
        <v>282</v>
      </c>
      <c r="E129" s="21" t="s">
        <v>1787</v>
      </c>
      <c r="F129" s="21" t="s">
        <v>1788</v>
      </c>
      <c r="G129" s="23">
        <v>9493.0</v>
      </c>
      <c r="H129" s="26">
        <v>0.6</v>
      </c>
      <c r="I129" s="79">
        <v>14030.0</v>
      </c>
      <c r="J129" s="79" t="s">
        <v>1599</v>
      </c>
      <c r="K129" s="80" t="s">
        <v>1608</v>
      </c>
      <c r="L129" s="21">
        <v>41171.0</v>
      </c>
      <c r="M129" s="21">
        <v>23524.0</v>
      </c>
      <c r="N129" s="26">
        <v>0.3</v>
      </c>
      <c r="O129" s="26">
        <v>0.3</v>
      </c>
      <c r="P129" s="81" t="s">
        <v>1595</v>
      </c>
      <c r="Q129" s="26">
        <v>0.72</v>
      </c>
      <c r="R129" s="84">
        <v>0.49</v>
      </c>
      <c r="S129" s="23"/>
      <c r="T129" s="89"/>
      <c r="U129" s="82"/>
      <c r="V129" s="37"/>
      <c r="W129" s="37"/>
    </row>
    <row r="130" ht="14.25" customHeight="1">
      <c r="A130" s="83" t="s">
        <v>302</v>
      </c>
      <c r="B130" s="55" t="s">
        <v>318</v>
      </c>
      <c r="C130" s="78" t="s">
        <v>303</v>
      </c>
      <c r="D130" s="78" t="s">
        <v>304</v>
      </c>
      <c r="E130" s="21" t="s">
        <v>1789</v>
      </c>
      <c r="F130" s="21" t="s">
        <v>1789</v>
      </c>
      <c r="G130" s="23">
        <v>2303.0</v>
      </c>
      <c r="H130" s="26">
        <v>0.56</v>
      </c>
      <c r="I130" s="79">
        <v>2985.0</v>
      </c>
      <c r="J130" s="79" t="s">
        <v>1618</v>
      </c>
      <c r="K130" s="80" t="s">
        <v>1682</v>
      </c>
      <c r="L130" s="21">
        <v>5876.0</v>
      </c>
      <c r="M130" s="21">
        <v>5288.0</v>
      </c>
      <c r="N130" s="26">
        <v>0.3</v>
      </c>
      <c r="O130" s="26">
        <v>0.3</v>
      </c>
      <c r="P130" s="81" t="s">
        <v>1595</v>
      </c>
      <c r="Q130" s="26">
        <v>0.7</v>
      </c>
      <c r="R130" s="84">
        <v>0.47</v>
      </c>
      <c r="S130" s="23"/>
      <c r="T130" s="89"/>
      <c r="U130" s="82"/>
      <c r="V130" s="37"/>
      <c r="W130" s="37"/>
    </row>
    <row r="131" ht="14.25" customHeight="1">
      <c r="A131" s="83" t="s">
        <v>302</v>
      </c>
      <c r="B131" s="55" t="s">
        <v>320</v>
      </c>
      <c r="C131" s="78" t="s">
        <v>303</v>
      </c>
      <c r="D131" s="78" t="s">
        <v>304</v>
      </c>
      <c r="E131" s="21" t="s">
        <v>1790</v>
      </c>
      <c r="F131" s="21" t="s">
        <v>1790</v>
      </c>
      <c r="G131" s="23">
        <v>2303.0</v>
      </c>
      <c r="H131" s="26">
        <v>0.56</v>
      </c>
      <c r="I131" s="79">
        <v>2985.0</v>
      </c>
      <c r="J131" s="79" t="s">
        <v>1618</v>
      </c>
      <c r="K131" s="80" t="s">
        <v>1682</v>
      </c>
      <c r="L131" s="21">
        <v>5876.0</v>
      </c>
      <c r="M131" s="21">
        <v>5288.0</v>
      </c>
      <c r="N131" s="26">
        <v>0.3</v>
      </c>
      <c r="O131" s="26">
        <v>0.3</v>
      </c>
      <c r="P131" s="81" t="s">
        <v>1595</v>
      </c>
      <c r="Q131" s="26">
        <v>0.7</v>
      </c>
      <c r="R131" s="84">
        <v>0.47</v>
      </c>
      <c r="S131" s="23"/>
      <c r="T131" s="89"/>
      <c r="U131" s="82"/>
      <c r="V131" s="37"/>
      <c r="W131" s="37"/>
    </row>
    <row r="132" ht="14.25" customHeight="1">
      <c r="A132" s="83" t="s">
        <v>302</v>
      </c>
      <c r="B132" s="55" t="s">
        <v>322</v>
      </c>
      <c r="C132" s="78" t="s">
        <v>303</v>
      </c>
      <c r="D132" s="78" t="s">
        <v>304</v>
      </c>
      <c r="E132" s="21" t="s">
        <v>1791</v>
      </c>
      <c r="F132" s="21" t="s">
        <v>1791</v>
      </c>
      <c r="G132" s="23">
        <v>2303.0</v>
      </c>
      <c r="H132" s="26">
        <v>0.56</v>
      </c>
      <c r="I132" s="79">
        <v>2985.0</v>
      </c>
      <c r="J132" s="79" t="s">
        <v>1618</v>
      </c>
      <c r="K132" s="80" t="s">
        <v>1682</v>
      </c>
      <c r="L132" s="21">
        <v>5876.0</v>
      </c>
      <c r="M132" s="21">
        <v>5288.0</v>
      </c>
      <c r="N132" s="26">
        <v>0.3</v>
      </c>
      <c r="O132" s="26">
        <v>0.3</v>
      </c>
      <c r="P132" s="81" t="s">
        <v>1595</v>
      </c>
      <c r="Q132" s="26">
        <v>0.7</v>
      </c>
      <c r="R132" s="84">
        <v>0.47</v>
      </c>
      <c r="S132" s="23"/>
      <c r="T132" s="89"/>
      <c r="U132" s="82"/>
      <c r="V132" s="37"/>
      <c r="W132" s="37"/>
    </row>
    <row r="133" ht="14.25" customHeight="1">
      <c r="A133" s="83" t="s">
        <v>302</v>
      </c>
      <c r="B133" s="55" t="s">
        <v>324</v>
      </c>
      <c r="C133" s="78" t="s">
        <v>303</v>
      </c>
      <c r="D133" s="78" t="s">
        <v>304</v>
      </c>
      <c r="E133" s="21" t="s">
        <v>1792</v>
      </c>
      <c r="F133" s="21" t="s">
        <v>1792</v>
      </c>
      <c r="G133" s="23">
        <v>2303.0</v>
      </c>
      <c r="H133" s="26">
        <v>0.56</v>
      </c>
      <c r="I133" s="79">
        <v>2985.0</v>
      </c>
      <c r="J133" s="79" t="s">
        <v>1618</v>
      </c>
      <c r="K133" s="80" t="s">
        <v>1682</v>
      </c>
      <c r="L133" s="21">
        <v>5876.0</v>
      </c>
      <c r="M133" s="21">
        <v>5288.0</v>
      </c>
      <c r="N133" s="26">
        <v>0.3</v>
      </c>
      <c r="O133" s="26">
        <v>0.3</v>
      </c>
      <c r="P133" s="81" t="s">
        <v>1595</v>
      </c>
      <c r="Q133" s="26">
        <v>0.7</v>
      </c>
      <c r="R133" s="84">
        <v>0.47</v>
      </c>
      <c r="S133" s="23"/>
      <c r="T133" s="89"/>
      <c r="U133" s="82"/>
      <c r="V133" s="37"/>
      <c r="W133" s="37"/>
    </row>
    <row r="134" ht="14.25" customHeight="1">
      <c r="A134" s="83" t="s">
        <v>302</v>
      </c>
      <c r="B134" s="55" t="s">
        <v>326</v>
      </c>
      <c r="C134" s="78" t="s">
        <v>303</v>
      </c>
      <c r="D134" s="78" t="s">
        <v>304</v>
      </c>
      <c r="E134" s="21" t="s">
        <v>1793</v>
      </c>
      <c r="F134" s="21" t="s">
        <v>1793</v>
      </c>
      <c r="G134" s="23">
        <v>2303.0</v>
      </c>
      <c r="H134" s="26">
        <v>0.56</v>
      </c>
      <c r="I134" s="79">
        <v>2985.0</v>
      </c>
      <c r="J134" s="79" t="s">
        <v>1618</v>
      </c>
      <c r="K134" s="80" t="s">
        <v>1682</v>
      </c>
      <c r="L134" s="21">
        <v>5876.0</v>
      </c>
      <c r="M134" s="21">
        <v>5288.0</v>
      </c>
      <c r="N134" s="26">
        <v>0.3</v>
      </c>
      <c r="O134" s="26">
        <v>0.3</v>
      </c>
      <c r="P134" s="81" t="s">
        <v>1595</v>
      </c>
      <c r="Q134" s="26">
        <v>0.7</v>
      </c>
      <c r="R134" s="84">
        <v>0.47</v>
      </c>
      <c r="S134" s="23"/>
      <c r="T134" s="89"/>
      <c r="U134" s="82"/>
      <c r="V134" s="37"/>
      <c r="W134" s="37"/>
    </row>
    <row r="135" ht="14.25" customHeight="1">
      <c r="A135" s="83" t="s">
        <v>302</v>
      </c>
      <c r="B135" s="55" t="s">
        <v>328</v>
      </c>
      <c r="C135" s="78" t="s">
        <v>303</v>
      </c>
      <c r="D135" s="78" t="s">
        <v>304</v>
      </c>
      <c r="E135" s="21" t="s">
        <v>1794</v>
      </c>
      <c r="F135" s="21" t="s">
        <v>1795</v>
      </c>
      <c r="G135" s="23">
        <v>2303.0</v>
      </c>
      <c r="H135" s="26">
        <v>0.56</v>
      </c>
      <c r="I135" s="79">
        <v>2985.0</v>
      </c>
      <c r="J135" s="79" t="s">
        <v>1618</v>
      </c>
      <c r="K135" s="80" t="s">
        <v>1682</v>
      </c>
      <c r="L135" s="21">
        <v>5876.0</v>
      </c>
      <c r="M135" s="21">
        <v>5288.0</v>
      </c>
      <c r="N135" s="26">
        <v>0.3</v>
      </c>
      <c r="O135" s="26">
        <v>0.3</v>
      </c>
      <c r="P135" s="81" t="s">
        <v>1595</v>
      </c>
      <c r="Q135" s="26">
        <v>0.7</v>
      </c>
      <c r="R135" s="84">
        <v>0.47</v>
      </c>
      <c r="S135" s="23"/>
      <c r="T135" s="89"/>
      <c r="U135" s="82"/>
      <c r="V135" s="37"/>
      <c r="W135" s="37"/>
    </row>
    <row r="136" ht="14.25" customHeight="1">
      <c r="A136" s="83" t="s">
        <v>302</v>
      </c>
      <c r="B136" s="55" t="s">
        <v>306</v>
      </c>
      <c r="C136" s="78" t="s">
        <v>303</v>
      </c>
      <c r="D136" s="78" t="s">
        <v>304</v>
      </c>
      <c r="E136" s="21" t="s">
        <v>1796</v>
      </c>
      <c r="F136" s="21" t="s">
        <v>1796</v>
      </c>
      <c r="G136" s="23">
        <v>1319.0</v>
      </c>
      <c r="H136" s="26">
        <v>0.68</v>
      </c>
      <c r="I136" s="79">
        <v>2793.0</v>
      </c>
      <c r="J136" s="79" t="s">
        <v>1682</v>
      </c>
      <c r="K136" s="80" t="s">
        <v>1670</v>
      </c>
      <c r="L136" s="21">
        <v>5288.0</v>
      </c>
      <c r="M136" s="21">
        <v>4112.0</v>
      </c>
      <c r="N136" s="26">
        <v>0.3</v>
      </c>
      <c r="O136" s="26">
        <v>0.3</v>
      </c>
      <c r="P136" s="81" t="s">
        <v>1595</v>
      </c>
      <c r="Q136" s="26">
        <v>0.78</v>
      </c>
      <c r="R136" s="84">
        <v>0.55</v>
      </c>
      <c r="S136" s="23"/>
      <c r="T136" s="89"/>
      <c r="U136" s="82"/>
      <c r="V136" s="37"/>
      <c r="W136" s="37"/>
    </row>
    <row r="137" ht="14.25" customHeight="1">
      <c r="A137" s="83" t="s">
        <v>302</v>
      </c>
      <c r="B137" s="55" t="s">
        <v>308</v>
      </c>
      <c r="C137" s="78" t="s">
        <v>303</v>
      </c>
      <c r="D137" s="78" t="s">
        <v>304</v>
      </c>
      <c r="E137" s="21" t="s">
        <v>1797</v>
      </c>
      <c r="F137" s="21" t="s">
        <v>1797</v>
      </c>
      <c r="G137" s="23">
        <v>1319.0</v>
      </c>
      <c r="H137" s="26">
        <v>0.68</v>
      </c>
      <c r="I137" s="79">
        <v>2793.0</v>
      </c>
      <c r="J137" s="79" t="s">
        <v>1682</v>
      </c>
      <c r="K137" s="80" t="s">
        <v>1670</v>
      </c>
      <c r="L137" s="21">
        <v>5288.0</v>
      </c>
      <c r="M137" s="21">
        <v>4112.0</v>
      </c>
      <c r="N137" s="26">
        <v>0.3</v>
      </c>
      <c r="O137" s="26">
        <v>0.3</v>
      </c>
      <c r="P137" s="81" t="s">
        <v>1595</v>
      </c>
      <c r="Q137" s="26">
        <v>0.78</v>
      </c>
      <c r="R137" s="84">
        <v>0.55</v>
      </c>
      <c r="S137" s="23"/>
      <c r="T137" s="89"/>
      <c r="U137" s="82"/>
      <c r="V137" s="37"/>
      <c r="W137" s="37"/>
    </row>
    <row r="138" ht="14.25" customHeight="1">
      <c r="A138" s="83" t="s">
        <v>302</v>
      </c>
      <c r="B138" s="55" t="s">
        <v>310</v>
      </c>
      <c r="C138" s="78" t="s">
        <v>303</v>
      </c>
      <c r="D138" s="78" t="s">
        <v>304</v>
      </c>
      <c r="E138" s="21" t="s">
        <v>1798</v>
      </c>
      <c r="F138" s="21" t="s">
        <v>1798</v>
      </c>
      <c r="G138" s="23">
        <v>1319.0</v>
      </c>
      <c r="H138" s="26">
        <v>0.68</v>
      </c>
      <c r="I138" s="79">
        <v>2793.0</v>
      </c>
      <c r="J138" s="79" t="s">
        <v>1682</v>
      </c>
      <c r="K138" s="80" t="s">
        <v>1670</v>
      </c>
      <c r="L138" s="21">
        <v>5288.0</v>
      </c>
      <c r="M138" s="21">
        <v>4112.0</v>
      </c>
      <c r="N138" s="26">
        <v>0.3</v>
      </c>
      <c r="O138" s="26">
        <v>0.3</v>
      </c>
      <c r="P138" s="81" t="s">
        <v>1595</v>
      </c>
      <c r="Q138" s="26">
        <v>0.78</v>
      </c>
      <c r="R138" s="84">
        <v>0.55</v>
      </c>
      <c r="S138" s="96"/>
      <c r="T138" s="97"/>
      <c r="U138" s="82"/>
      <c r="V138" s="37"/>
      <c r="W138" s="37"/>
    </row>
    <row r="139" ht="14.25" customHeight="1">
      <c r="A139" s="83" t="s">
        <v>302</v>
      </c>
      <c r="B139" s="55" t="s">
        <v>312</v>
      </c>
      <c r="C139" s="78" t="s">
        <v>303</v>
      </c>
      <c r="D139" s="78" t="s">
        <v>304</v>
      </c>
      <c r="E139" s="21" t="s">
        <v>1799</v>
      </c>
      <c r="F139" s="21" t="s">
        <v>1799</v>
      </c>
      <c r="G139" s="23">
        <v>1319.0</v>
      </c>
      <c r="H139" s="26">
        <v>0.68</v>
      </c>
      <c r="I139" s="79">
        <v>2793.0</v>
      </c>
      <c r="J139" s="79" t="s">
        <v>1682</v>
      </c>
      <c r="K139" s="80" t="s">
        <v>1670</v>
      </c>
      <c r="L139" s="21">
        <v>5288.0</v>
      </c>
      <c r="M139" s="21">
        <v>4112.0</v>
      </c>
      <c r="N139" s="26">
        <v>0.3</v>
      </c>
      <c r="O139" s="26">
        <v>0.3</v>
      </c>
      <c r="P139" s="81" t="s">
        <v>1595</v>
      </c>
      <c r="Q139" s="26">
        <v>0.78</v>
      </c>
      <c r="R139" s="84">
        <v>0.55</v>
      </c>
      <c r="S139" s="23"/>
      <c r="T139" s="89"/>
      <c r="U139" s="82"/>
      <c r="V139" s="37"/>
      <c r="W139" s="37"/>
    </row>
    <row r="140" ht="14.25" customHeight="1">
      <c r="A140" s="83" t="s">
        <v>302</v>
      </c>
      <c r="B140" s="55" t="s">
        <v>314</v>
      </c>
      <c r="C140" s="78" t="s">
        <v>303</v>
      </c>
      <c r="D140" s="78" t="s">
        <v>304</v>
      </c>
      <c r="E140" s="21" t="s">
        <v>1800</v>
      </c>
      <c r="F140" s="21" t="s">
        <v>1800</v>
      </c>
      <c r="G140" s="23">
        <v>1319.0</v>
      </c>
      <c r="H140" s="26">
        <v>0.68</v>
      </c>
      <c r="I140" s="79">
        <v>2793.0</v>
      </c>
      <c r="J140" s="79" t="s">
        <v>1682</v>
      </c>
      <c r="K140" s="80" t="s">
        <v>1670</v>
      </c>
      <c r="L140" s="21">
        <v>5288.0</v>
      </c>
      <c r="M140" s="21">
        <v>4112.0</v>
      </c>
      <c r="N140" s="26">
        <v>0.3</v>
      </c>
      <c r="O140" s="26">
        <v>0.3</v>
      </c>
      <c r="P140" s="81" t="s">
        <v>1595</v>
      </c>
      <c r="Q140" s="26">
        <v>0.78</v>
      </c>
      <c r="R140" s="84">
        <v>0.55</v>
      </c>
      <c r="S140" s="23"/>
      <c r="T140" s="16"/>
      <c r="U140" s="82"/>
      <c r="V140" s="37"/>
      <c r="W140" s="37"/>
    </row>
    <row r="141" ht="14.25" customHeight="1">
      <c r="A141" s="83" t="s">
        <v>302</v>
      </c>
      <c r="B141" s="55" t="s">
        <v>316</v>
      </c>
      <c r="C141" s="78" t="s">
        <v>303</v>
      </c>
      <c r="D141" s="78" t="s">
        <v>304</v>
      </c>
      <c r="E141" s="21" t="s">
        <v>1801</v>
      </c>
      <c r="F141" s="21" t="s">
        <v>1801</v>
      </c>
      <c r="G141" s="23">
        <v>1319.0</v>
      </c>
      <c r="H141" s="26">
        <v>0.68</v>
      </c>
      <c r="I141" s="79">
        <v>2793.0</v>
      </c>
      <c r="J141" s="79" t="s">
        <v>1682</v>
      </c>
      <c r="K141" s="80" t="s">
        <v>1670</v>
      </c>
      <c r="L141" s="21">
        <v>5288.0</v>
      </c>
      <c r="M141" s="21">
        <v>4112.0</v>
      </c>
      <c r="N141" s="26">
        <v>0.3</v>
      </c>
      <c r="O141" s="26">
        <v>0.3</v>
      </c>
      <c r="P141" s="81" t="s">
        <v>1595</v>
      </c>
      <c r="Q141" s="26">
        <v>0.78</v>
      </c>
      <c r="R141" s="84">
        <v>0.55</v>
      </c>
      <c r="S141" s="23"/>
      <c r="T141" s="16"/>
      <c r="U141" s="82"/>
      <c r="V141" s="37"/>
      <c r="W141" s="37"/>
    </row>
    <row r="142" ht="14.25" customHeight="1">
      <c r="A142" s="83" t="s">
        <v>302</v>
      </c>
      <c r="B142" s="55" t="s">
        <v>330</v>
      </c>
      <c r="C142" s="78" t="s">
        <v>303</v>
      </c>
      <c r="D142" s="78" t="s">
        <v>304</v>
      </c>
      <c r="E142" s="21" t="s">
        <v>1802</v>
      </c>
      <c r="F142" s="21" t="s">
        <v>1802</v>
      </c>
      <c r="G142" s="23">
        <v>2807.0</v>
      </c>
      <c r="H142" s="26">
        <v>0.52</v>
      </c>
      <c r="I142" s="79">
        <v>3069.0</v>
      </c>
      <c r="J142" s="79" t="s">
        <v>1605</v>
      </c>
      <c r="K142" s="80" t="s">
        <v>1618</v>
      </c>
      <c r="L142" s="21">
        <v>8818.0</v>
      </c>
      <c r="M142" s="21">
        <v>5876.0</v>
      </c>
      <c r="N142" s="26">
        <v>0.3</v>
      </c>
      <c r="O142" s="26">
        <v>0.3</v>
      </c>
      <c r="P142" s="81" t="s">
        <v>1595</v>
      </c>
      <c r="Q142" s="26">
        <v>0.67</v>
      </c>
      <c r="R142" s="84">
        <v>0.44</v>
      </c>
      <c r="S142" s="23"/>
      <c r="T142" s="89"/>
      <c r="U142" s="82"/>
      <c r="V142" s="37"/>
      <c r="W142" s="37"/>
    </row>
    <row r="143" ht="14.25" customHeight="1">
      <c r="A143" s="83" t="s">
        <v>302</v>
      </c>
      <c r="B143" s="55" t="s">
        <v>332</v>
      </c>
      <c r="C143" s="78" t="s">
        <v>303</v>
      </c>
      <c r="D143" s="78" t="s">
        <v>304</v>
      </c>
      <c r="E143" s="21" t="s">
        <v>1803</v>
      </c>
      <c r="F143" s="21" t="s">
        <v>1803</v>
      </c>
      <c r="G143" s="23">
        <v>2807.0</v>
      </c>
      <c r="H143" s="26">
        <v>0.52</v>
      </c>
      <c r="I143" s="79">
        <v>3069.0</v>
      </c>
      <c r="J143" s="79" t="s">
        <v>1605</v>
      </c>
      <c r="K143" s="80" t="s">
        <v>1618</v>
      </c>
      <c r="L143" s="21">
        <v>8818.0</v>
      </c>
      <c r="M143" s="21">
        <v>5876.0</v>
      </c>
      <c r="N143" s="26">
        <v>0.3</v>
      </c>
      <c r="O143" s="26">
        <v>0.3</v>
      </c>
      <c r="P143" s="81" t="s">
        <v>1595</v>
      </c>
      <c r="Q143" s="26">
        <v>0.67</v>
      </c>
      <c r="R143" s="84">
        <v>0.44</v>
      </c>
      <c r="S143" s="23"/>
      <c r="T143" s="89"/>
      <c r="U143" s="82"/>
      <c r="V143" s="37"/>
      <c r="W143" s="37"/>
    </row>
    <row r="144" ht="14.25" customHeight="1">
      <c r="A144" s="83" t="s">
        <v>302</v>
      </c>
      <c r="B144" s="55" t="s">
        <v>334</v>
      </c>
      <c r="C144" s="78" t="s">
        <v>303</v>
      </c>
      <c r="D144" s="78" t="s">
        <v>304</v>
      </c>
      <c r="E144" s="21" t="s">
        <v>1804</v>
      </c>
      <c r="F144" s="21" t="s">
        <v>1804</v>
      </c>
      <c r="G144" s="23">
        <v>2807.0</v>
      </c>
      <c r="H144" s="26">
        <v>0.52</v>
      </c>
      <c r="I144" s="79">
        <v>3069.0</v>
      </c>
      <c r="J144" s="79" t="s">
        <v>1605</v>
      </c>
      <c r="K144" s="80" t="s">
        <v>1618</v>
      </c>
      <c r="L144" s="21">
        <v>8818.0</v>
      </c>
      <c r="M144" s="21">
        <v>5876.0</v>
      </c>
      <c r="N144" s="26">
        <v>0.3</v>
      </c>
      <c r="O144" s="26">
        <v>0.3</v>
      </c>
      <c r="P144" s="81" t="s">
        <v>1595</v>
      </c>
      <c r="Q144" s="26">
        <v>0.67</v>
      </c>
      <c r="R144" s="84">
        <v>0.44</v>
      </c>
      <c r="S144" s="23"/>
      <c r="T144" s="89"/>
      <c r="U144" s="82"/>
      <c r="V144" s="37"/>
      <c r="W144" s="37"/>
    </row>
    <row r="145" ht="14.25" customHeight="1">
      <c r="A145" s="83" t="s">
        <v>302</v>
      </c>
      <c r="B145" s="55" t="s">
        <v>336</v>
      </c>
      <c r="C145" s="78" t="s">
        <v>303</v>
      </c>
      <c r="D145" s="78" t="s">
        <v>304</v>
      </c>
      <c r="E145" s="21" t="s">
        <v>1805</v>
      </c>
      <c r="F145" s="21" t="s">
        <v>1805</v>
      </c>
      <c r="G145" s="23">
        <v>2807.0</v>
      </c>
      <c r="H145" s="26">
        <v>0.52</v>
      </c>
      <c r="I145" s="79">
        <v>3069.0</v>
      </c>
      <c r="J145" s="79" t="s">
        <v>1605</v>
      </c>
      <c r="K145" s="80" t="s">
        <v>1618</v>
      </c>
      <c r="L145" s="21">
        <v>8818.0</v>
      </c>
      <c r="M145" s="21">
        <v>5876.0</v>
      </c>
      <c r="N145" s="26">
        <v>0.3</v>
      </c>
      <c r="O145" s="26">
        <v>0.3</v>
      </c>
      <c r="P145" s="81" t="s">
        <v>1595</v>
      </c>
      <c r="Q145" s="26">
        <v>0.67</v>
      </c>
      <c r="R145" s="84">
        <v>0.44</v>
      </c>
      <c r="S145" s="23"/>
      <c r="T145" s="89"/>
      <c r="U145" s="82"/>
      <c r="V145" s="37"/>
      <c r="W145" s="37"/>
    </row>
    <row r="146" ht="14.25" customHeight="1">
      <c r="A146" s="83" t="s">
        <v>302</v>
      </c>
      <c r="B146" s="55" t="s">
        <v>338</v>
      </c>
      <c r="C146" s="78" t="s">
        <v>303</v>
      </c>
      <c r="D146" s="78" t="s">
        <v>304</v>
      </c>
      <c r="E146" s="21" t="s">
        <v>1806</v>
      </c>
      <c r="F146" s="21" t="s">
        <v>1806</v>
      </c>
      <c r="G146" s="23">
        <v>2807.0</v>
      </c>
      <c r="H146" s="26">
        <v>0.52</v>
      </c>
      <c r="I146" s="79">
        <v>3069.0</v>
      </c>
      <c r="J146" s="79" t="s">
        <v>1605</v>
      </c>
      <c r="K146" s="80" t="s">
        <v>1618</v>
      </c>
      <c r="L146" s="21">
        <v>8818.0</v>
      </c>
      <c r="M146" s="21">
        <v>5876.0</v>
      </c>
      <c r="N146" s="26">
        <v>0.3</v>
      </c>
      <c r="O146" s="26">
        <v>0.3</v>
      </c>
      <c r="P146" s="81" t="s">
        <v>1595</v>
      </c>
      <c r="Q146" s="26">
        <v>0.67</v>
      </c>
      <c r="R146" s="84">
        <v>0.44</v>
      </c>
      <c r="S146" s="23"/>
      <c r="T146" s="89"/>
      <c r="U146" s="82"/>
      <c r="V146" s="37"/>
      <c r="W146" s="37"/>
    </row>
    <row r="147" ht="14.25" customHeight="1">
      <c r="A147" s="83" t="s">
        <v>302</v>
      </c>
      <c r="B147" s="55" t="s">
        <v>340</v>
      </c>
      <c r="C147" s="78" t="s">
        <v>303</v>
      </c>
      <c r="D147" s="78" t="s">
        <v>304</v>
      </c>
      <c r="E147" s="21" t="s">
        <v>1807</v>
      </c>
      <c r="F147" s="21" t="s">
        <v>1807</v>
      </c>
      <c r="G147" s="23">
        <v>2807.0</v>
      </c>
      <c r="H147" s="26">
        <v>0.52</v>
      </c>
      <c r="I147" s="79">
        <v>3069.0</v>
      </c>
      <c r="J147" s="79" t="s">
        <v>1605</v>
      </c>
      <c r="K147" s="80" t="s">
        <v>1618</v>
      </c>
      <c r="L147" s="21">
        <v>8818.0</v>
      </c>
      <c r="M147" s="21">
        <v>5876.0</v>
      </c>
      <c r="N147" s="26">
        <v>0.3</v>
      </c>
      <c r="O147" s="26">
        <v>0.3</v>
      </c>
      <c r="P147" s="81" t="s">
        <v>1595</v>
      </c>
      <c r="Q147" s="26">
        <v>0.67</v>
      </c>
      <c r="R147" s="84">
        <v>0.44</v>
      </c>
      <c r="S147" s="23"/>
      <c r="T147" s="89"/>
      <c r="U147" s="82"/>
      <c r="V147" s="37"/>
      <c r="W147" s="37"/>
    </row>
    <row r="148" ht="14.25" customHeight="1">
      <c r="A148" s="83" t="s">
        <v>302</v>
      </c>
      <c r="B148" s="91" t="s">
        <v>359</v>
      </c>
      <c r="C148" s="78" t="s">
        <v>303</v>
      </c>
      <c r="D148" s="78" t="s">
        <v>345</v>
      </c>
      <c r="E148" s="21" t="s">
        <v>1808</v>
      </c>
      <c r="F148" s="21" t="s">
        <v>1809</v>
      </c>
      <c r="G148" s="23">
        <v>3557.0</v>
      </c>
      <c r="H148" s="26">
        <v>0.24</v>
      </c>
      <c r="I148" s="79">
        <v>1143.0</v>
      </c>
      <c r="J148" s="79" t="s">
        <v>1604</v>
      </c>
      <c r="K148" s="80" t="s">
        <v>1734</v>
      </c>
      <c r="L148" s="21">
        <v>11759.0</v>
      </c>
      <c r="M148" s="21">
        <v>4700.0</v>
      </c>
      <c r="N148" s="26">
        <v>0.3</v>
      </c>
      <c r="O148" s="26">
        <v>0.3</v>
      </c>
      <c r="P148" s="81" t="s">
        <v>1595</v>
      </c>
      <c r="Q148" s="26">
        <v>0.47</v>
      </c>
      <c r="R148" s="84">
        <v>0.24</v>
      </c>
      <c r="S148" s="23"/>
      <c r="T148" s="89"/>
      <c r="U148" s="82"/>
      <c r="V148" s="37"/>
      <c r="W148" s="37"/>
    </row>
    <row r="149" ht="14.25" customHeight="1">
      <c r="A149" s="83" t="s">
        <v>302</v>
      </c>
      <c r="B149" s="91" t="s">
        <v>361</v>
      </c>
      <c r="C149" s="78" t="s">
        <v>303</v>
      </c>
      <c r="D149" s="78" t="s">
        <v>345</v>
      </c>
      <c r="E149" s="21" t="s">
        <v>1808</v>
      </c>
      <c r="F149" s="21" t="s">
        <v>1809</v>
      </c>
      <c r="G149" s="23">
        <v>3557.0</v>
      </c>
      <c r="H149" s="26">
        <v>0.24</v>
      </c>
      <c r="I149" s="79">
        <v>1143.0</v>
      </c>
      <c r="J149" s="79" t="s">
        <v>1604</v>
      </c>
      <c r="K149" s="80" t="s">
        <v>1734</v>
      </c>
      <c r="L149" s="21">
        <v>11759.0</v>
      </c>
      <c r="M149" s="21">
        <v>4700.0</v>
      </c>
      <c r="N149" s="26">
        <v>0.3</v>
      </c>
      <c r="O149" s="26">
        <v>0.3</v>
      </c>
      <c r="P149" s="81" t="s">
        <v>1595</v>
      </c>
      <c r="Q149" s="26">
        <v>0.47</v>
      </c>
      <c r="R149" s="84">
        <v>0.24</v>
      </c>
      <c r="S149" s="23"/>
      <c r="T149" s="89"/>
      <c r="U149" s="82"/>
      <c r="V149" s="37"/>
      <c r="W149" s="37"/>
    </row>
    <row r="150" ht="14.25" customHeight="1">
      <c r="A150" s="83" t="s">
        <v>302</v>
      </c>
      <c r="B150" s="91" t="s">
        <v>363</v>
      </c>
      <c r="C150" s="78" t="s">
        <v>303</v>
      </c>
      <c r="D150" s="78" t="s">
        <v>345</v>
      </c>
      <c r="E150" s="21" t="s">
        <v>1810</v>
      </c>
      <c r="F150" s="21" t="s">
        <v>1811</v>
      </c>
      <c r="G150" s="23">
        <v>3101.0</v>
      </c>
      <c r="H150" s="26">
        <v>0.34</v>
      </c>
      <c r="I150" s="79">
        <v>1599.0</v>
      </c>
      <c r="J150" s="79" t="s">
        <v>1604</v>
      </c>
      <c r="K150" s="80" t="s">
        <v>1734</v>
      </c>
      <c r="L150" s="21">
        <v>11759.0</v>
      </c>
      <c r="M150" s="21">
        <v>4700.0</v>
      </c>
      <c r="N150" s="26">
        <v>0.3</v>
      </c>
      <c r="O150" s="26">
        <v>0.3</v>
      </c>
      <c r="P150" s="81" t="s">
        <v>1595</v>
      </c>
      <c r="Q150" s="26">
        <v>0.54</v>
      </c>
      <c r="R150" s="84">
        <v>0.31</v>
      </c>
      <c r="S150" s="23"/>
      <c r="T150" s="89"/>
      <c r="U150" s="82"/>
      <c r="V150" s="37"/>
      <c r="W150" s="37"/>
    </row>
    <row r="151" ht="14.25" customHeight="1">
      <c r="A151" s="83" t="s">
        <v>302</v>
      </c>
      <c r="B151" s="91" t="s">
        <v>365</v>
      </c>
      <c r="C151" s="78" t="s">
        <v>303</v>
      </c>
      <c r="D151" s="78" t="s">
        <v>345</v>
      </c>
      <c r="E151" s="21" t="s">
        <v>1810</v>
      </c>
      <c r="F151" s="21" t="s">
        <v>364</v>
      </c>
      <c r="G151" s="23">
        <v>3101.0</v>
      </c>
      <c r="H151" s="26">
        <v>0.34</v>
      </c>
      <c r="I151" s="79">
        <v>1599.0</v>
      </c>
      <c r="J151" s="79" t="s">
        <v>1604</v>
      </c>
      <c r="K151" s="80" t="s">
        <v>1734</v>
      </c>
      <c r="L151" s="21">
        <v>11759.0</v>
      </c>
      <c r="M151" s="21">
        <v>4700.0</v>
      </c>
      <c r="N151" s="26">
        <v>0.3</v>
      </c>
      <c r="O151" s="26">
        <v>0.3</v>
      </c>
      <c r="P151" s="81" t="s">
        <v>1595</v>
      </c>
      <c r="Q151" s="26">
        <v>0.54</v>
      </c>
      <c r="R151" s="84">
        <v>0.31</v>
      </c>
      <c r="S151" s="23"/>
      <c r="T151" s="89"/>
      <c r="U151" s="82"/>
      <c r="V151" s="37"/>
      <c r="W151" s="37"/>
    </row>
    <row r="152" ht="14.25" customHeight="1">
      <c r="A152" s="83" t="s">
        <v>302</v>
      </c>
      <c r="B152" s="91" t="s">
        <v>367</v>
      </c>
      <c r="C152" s="78" t="s">
        <v>303</v>
      </c>
      <c r="D152" s="78" t="s">
        <v>345</v>
      </c>
      <c r="E152" s="21" t="s">
        <v>1810</v>
      </c>
      <c r="F152" s="21" t="s">
        <v>1811</v>
      </c>
      <c r="G152" s="23">
        <v>3101.0</v>
      </c>
      <c r="H152" s="26">
        <v>0.34</v>
      </c>
      <c r="I152" s="79">
        <v>1599.0</v>
      </c>
      <c r="J152" s="79" t="s">
        <v>1604</v>
      </c>
      <c r="K152" s="80" t="s">
        <v>1734</v>
      </c>
      <c r="L152" s="21">
        <v>11759.0</v>
      </c>
      <c r="M152" s="21">
        <v>4700.0</v>
      </c>
      <c r="N152" s="26">
        <v>0.3</v>
      </c>
      <c r="O152" s="26">
        <v>0.3</v>
      </c>
      <c r="P152" s="81" t="s">
        <v>1595</v>
      </c>
      <c r="Q152" s="26">
        <v>0.54</v>
      </c>
      <c r="R152" s="84">
        <v>0.31</v>
      </c>
      <c r="S152" s="23"/>
      <c r="T152" s="89"/>
      <c r="U152" s="82"/>
      <c r="V152" s="37"/>
      <c r="W152" s="37"/>
    </row>
    <row r="153" ht="14.25" customHeight="1">
      <c r="A153" s="83" t="s">
        <v>302</v>
      </c>
      <c r="B153" s="91" t="s">
        <v>347</v>
      </c>
      <c r="C153" s="78" t="s">
        <v>303</v>
      </c>
      <c r="D153" s="78" t="s">
        <v>345</v>
      </c>
      <c r="E153" s="21" t="s">
        <v>1812</v>
      </c>
      <c r="F153" s="21" t="s">
        <v>346</v>
      </c>
      <c r="G153" s="23">
        <v>3218.0</v>
      </c>
      <c r="H153" s="26">
        <v>0.32</v>
      </c>
      <c r="I153" s="79">
        <v>1482.0</v>
      </c>
      <c r="J153" s="79" t="s">
        <v>1604</v>
      </c>
      <c r="K153" s="80" t="s">
        <v>1734</v>
      </c>
      <c r="L153" s="21">
        <v>11759.0</v>
      </c>
      <c r="M153" s="21">
        <v>4700.0</v>
      </c>
      <c r="N153" s="26">
        <v>0.3</v>
      </c>
      <c r="O153" s="26">
        <v>0.3</v>
      </c>
      <c r="P153" s="81" t="s">
        <v>1595</v>
      </c>
      <c r="Q153" s="26">
        <v>0.52</v>
      </c>
      <c r="R153" s="84">
        <v>0.29</v>
      </c>
      <c r="S153" s="23"/>
      <c r="T153" s="89"/>
      <c r="U153" s="82"/>
      <c r="V153" s="37"/>
      <c r="W153" s="37"/>
    </row>
    <row r="154" ht="14.25" customHeight="1">
      <c r="A154" s="83" t="s">
        <v>302</v>
      </c>
      <c r="B154" s="91" t="s">
        <v>349</v>
      </c>
      <c r="C154" s="78" t="s">
        <v>303</v>
      </c>
      <c r="D154" s="78" t="s">
        <v>345</v>
      </c>
      <c r="E154" s="21" t="s">
        <v>1812</v>
      </c>
      <c r="F154" s="21" t="s">
        <v>1813</v>
      </c>
      <c r="G154" s="23">
        <v>3218.0</v>
      </c>
      <c r="H154" s="26">
        <v>0.32</v>
      </c>
      <c r="I154" s="79">
        <v>1482.0</v>
      </c>
      <c r="J154" s="79" t="s">
        <v>1604</v>
      </c>
      <c r="K154" s="80" t="s">
        <v>1734</v>
      </c>
      <c r="L154" s="21">
        <v>11759.0</v>
      </c>
      <c r="M154" s="21">
        <v>4700.0</v>
      </c>
      <c r="N154" s="26">
        <v>0.3</v>
      </c>
      <c r="O154" s="26">
        <v>0.3</v>
      </c>
      <c r="P154" s="81" t="s">
        <v>1595</v>
      </c>
      <c r="Q154" s="26">
        <v>0.52</v>
      </c>
      <c r="R154" s="84">
        <v>0.29</v>
      </c>
      <c r="S154" s="23"/>
      <c r="T154" s="89"/>
      <c r="U154" s="82"/>
      <c r="V154" s="37"/>
      <c r="W154" s="37"/>
    </row>
    <row r="155" ht="14.25" customHeight="1">
      <c r="A155" s="83" t="s">
        <v>302</v>
      </c>
      <c r="B155" s="91" t="s">
        <v>351</v>
      </c>
      <c r="C155" s="78" t="s">
        <v>303</v>
      </c>
      <c r="D155" s="78" t="s">
        <v>345</v>
      </c>
      <c r="E155" s="21" t="s">
        <v>1812</v>
      </c>
      <c r="F155" s="21" t="s">
        <v>1813</v>
      </c>
      <c r="G155" s="23">
        <v>3218.0</v>
      </c>
      <c r="H155" s="26">
        <v>0.32</v>
      </c>
      <c r="I155" s="79">
        <v>1482.0</v>
      </c>
      <c r="J155" s="79" t="s">
        <v>1604</v>
      </c>
      <c r="K155" s="80" t="s">
        <v>1734</v>
      </c>
      <c r="L155" s="21">
        <v>11759.0</v>
      </c>
      <c r="M155" s="21">
        <v>4700.0</v>
      </c>
      <c r="N155" s="26">
        <v>0.3</v>
      </c>
      <c r="O155" s="26">
        <v>0.3</v>
      </c>
      <c r="P155" s="81" t="s">
        <v>1595</v>
      </c>
      <c r="Q155" s="26">
        <v>0.52</v>
      </c>
      <c r="R155" s="84">
        <v>0.29</v>
      </c>
      <c r="S155" s="23"/>
      <c r="T155" s="89"/>
      <c r="U155" s="82"/>
      <c r="V155" s="37"/>
      <c r="W155" s="37"/>
    </row>
    <row r="156" ht="14.25" customHeight="1">
      <c r="A156" s="83" t="s">
        <v>302</v>
      </c>
      <c r="B156" s="91" t="s">
        <v>369</v>
      </c>
      <c r="C156" s="78" t="s">
        <v>303</v>
      </c>
      <c r="D156" s="78" t="s">
        <v>345</v>
      </c>
      <c r="E156" s="21" t="s">
        <v>1814</v>
      </c>
      <c r="F156" s="21" t="s">
        <v>1815</v>
      </c>
      <c r="G156" s="23">
        <v>3101.0</v>
      </c>
      <c r="H156" s="26">
        <v>0.34</v>
      </c>
      <c r="I156" s="79">
        <v>1599.0</v>
      </c>
      <c r="J156" s="79" t="s">
        <v>1604</v>
      </c>
      <c r="K156" s="80" t="s">
        <v>1734</v>
      </c>
      <c r="L156" s="21">
        <v>11759.0</v>
      </c>
      <c r="M156" s="21">
        <v>4700.0</v>
      </c>
      <c r="N156" s="26">
        <v>0.3</v>
      </c>
      <c r="O156" s="26">
        <v>0.3</v>
      </c>
      <c r="P156" s="81" t="s">
        <v>1595</v>
      </c>
      <c r="Q156" s="26">
        <v>0.54</v>
      </c>
      <c r="R156" s="84">
        <v>0.31</v>
      </c>
      <c r="S156" s="23"/>
      <c r="T156" s="89"/>
      <c r="U156" s="82"/>
      <c r="V156" s="37"/>
      <c r="W156" s="37"/>
    </row>
    <row r="157" ht="14.25" customHeight="1">
      <c r="A157" s="83" t="s">
        <v>302</v>
      </c>
      <c r="B157" s="91" t="s">
        <v>371</v>
      </c>
      <c r="C157" s="78" t="s">
        <v>303</v>
      </c>
      <c r="D157" s="78" t="s">
        <v>345</v>
      </c>
      <c r="E157" s="21" t="s">
        <v>1814</v>
      </c>
      <c r="F157" s="21" t="s">
        <v>1815</v>
      </c>
      <c r="G157" s="23">
        <v>3101.0</v>
      </c>
      <c r="H157" s="26">
        <v>0.34</v>
      </c>
      <c r="I157" s="79">
        <v>1599.0</v>
      </c>
      <c r="J157" s="79" t="s">
        <v>1604</v>
      </c>
      <c r="K157" s="80" t="s">
        <v>1734</v>
      </c>
      <c r="L157" s="21">
        <v>11759.0</v>
      </c>
      <c r="M157" s="21">
        <v>4700.0</v>
      </c>
      <c r="N157" s="26">
        <v>0.3</v>
      </c>
      <c r="O157" s="26">
        <v>0.3</v>
      </c>
      <c r="P157" s="81" t="s">
        <v>1595</v>
      </c>
      <c r="Q157" s="26">
        <v>0.54</v>
      </c>
      <c r="R157" s="84">
        <v>0.31</v>
      </c>
      <c r="S157" s="23"/>
      <c r="T157" s="89"/>
      <c r="U157" s="82"/>
      <c r="V157" s="37"/>
      <c r="W157" s="37"/>
    </row>
    <row r="158" ht="14.25" customHeight="1">
      <c r="A158" s="83" t="s">
        <v>302</v>
      </c>
      <c r="B158" s="91" t="s">
        <v>373</v>
      </c>
      <c r="C158" s="78" t="s">
        <v>303</v>
      </c>
      <c r="D158" s="78" t="s">
        <v>345</v>
      </c>
      <c r="E158" s="21" t="s">
        <v>1814</v>
      </c>
      <c r="F158" s="21" t="s">
        <v>1815</v>
      </c>
      <c r="G158" s="23">
        <v>3101.0</v>
      </c>
      <c r="H158" s="26">
        <v>0.34</v>
      </c>
      <c r="I158" s="79">
        <v>1599.0</v>
      </c>
      <c r="J158" s="79" t="s">
        <v>1604</v>
      </c>
      <c r="K158" s="80" t="s">
        <v>1734</v>
      </c>
      <c r="L158" s="21">
        <v>11759.0</v>
      </c>
      <c r="M158" s="21">
        <v>4700.0</v>
      </c>
      <c r="N158" s="26">
        <v>0.3</v>
      </c>
      <c r="O158" s="26">
        <v>0.3</v>
      </c>
      <c r="P158" s="81" t="s">
        <v>1595</v>
      </c>
      <c r="Q158" s="26">
        <v>0.54</v>
      </c>
      <c r="R158" s="84">
        <v>0.31</v>
      </c>
      <c r="S158" s="23"/>
      <c r="T158" s="89"/>
      <c r="U158" s="82"/>
      <c r="V158" s="37"/>
      <c r="W158" s="37"/>
    </row>
    <row r="159" ht="14.25" customHeight="1">
      <c r="A159" s="83" t="s">
        <v>302</v>
      </c>
      <c r="B159" s="91" t="s">
        <v>353</v>
      </c>
      <c r="C159" s="78" t="s">
        <v>303</v>
      </c>
      <c r="D159" s="78" t="s">
        <v>345</v>
      </c>
      <c r="E159" s="21" t="s">
        <v>1816</v>
      </c>
      <c r="F159" s="21" t="s">
        <v>1817</v>
      </c>
      <c r="G159" s="23">
        <v>3218.0</v>
      </c>
      <c r="H159" s="26">
        <v>0.32</v>
      </c>
      <c r="I159" s="79">
        <v>1482.0</v>
      </c>
      <c r="J159" s="79" t="s">
        <v>1604</v>
      </c>
      <c r="K159" s="80" t="s">
        <v>1734</v>
      </c>
      <c r="L159" s="21">
        <v>11759.0</v>
      </c>
      <c r="M159" s="21">
        <v>4700.0</v>
      </c>
      <c r="N159" s="26">
        <v>0.3</v>
      </c>
      <c r="O159" s="26">
        <v>0.3</v>
      </c>
      <c r="P159" s="81" t="s">
        <v>1595</v>
      </c>
      <c r="Q159" s="26">
        <v>0.52</v>
      </c>
      <c r="R159" s="84">
        <v>0.29</v>
      </c>
      <c r="S159" s="23"/>
      <c r="T159" s="89"/>
      <c r="U159" s="82"/>
      <c r="V159" s="37"/>
      <c r="W159" s="37"/>
    </row>
    <row r="160" ht="14.25" customHeight="1">
      <c r="A160" s="83" t="s">
        <v>302</v>
      </c>
      <c r="B160" s="91" t="s">
        <v>355</v>
      </c>
      <c r="C160" s="78" t="s">
        <v>303</v>
      </c>
      <c r="D160" s="78" t="s">
        <v>345</v>
      </c>
      <c r="E160" s="21" t="s">
        <v>1816</v>
      </c>
      <c r="F160" s="21" t="s">
        <v>1817</v>
      </c>
      <c r="G160" s="23">
        <v>3218.0</v>
      </c>
      <c r="H160" s="26">
        <v>0.32</v>
      </c>
      <c r="I160" s="79">
        <v>1482.0</v>
      </c>
      <c r="J160" s="79" t="s">
        <v>1604</v>
      </c>
      <c r="K160" s="80" t="s">
        <v>1734</v>
      </c>
      <c r="L160" s="21">
        <v>11759.0</v>
      </c>
      <c r="M160" s="21">
        <v>4700.0</v>
      </c>
      <c r="N160" s="26">
        <v>0.3</v>
      </c>
      <c r="O160" s="26">
        <v>0.3</v>
      </c>
      <c r="P160" s="81" t="s">
        <v>1595</v>
      </c>
      <c r="Q160" s="26">
        <v>0.52</v>
      </c>
      <c r="R160" s="84">
        <v>0.29</v>
      </c>
      <c r="S160" s="23"/>
      <c r="T160" s="89"/>
      <c r="U160" s="82"/>
      <c r="V160" s="37"/>
      <c r="W160" s="37"/>
    </row>
    <row r="161" ht="14.25" customHeight="1">
      <c r="A161" s="83" t="s">
        <v>302</v>
      </c>
      <c r="B161" s="55" t="s">
        <v>386</v>
      </c>
      <c r="C161" s="78" t="s">
        <v>303</v>
      </c>
      <c r="D161" s="78" t="s">
        <v>374</v>
      </c>
      <c r="E161" s="21" t="s">
        <v>1818</v>
      </c>
      <c r="F161" s="21" t="s">
        <v>385</v>
      </c>
      <c r="G161" s="23">
        <v>5923.0</v>
      </c>
      <c r="H161" s="26">
        <v>0.08</v>
      </c>
      <c r="I161" s="79">
        <v>542.0</v>
      </c>
      <c r="J161" s="79" t="s">
        <v>1601</v>
      </c>
      <c r="K161" s="80" t="s">
        <v>1819</v>
      </c>
      <c r="L161" s="21">
        <v>14700.0</v>
      </c>
      <c r="M161" s="21">
        <v>6465.0</v>
      </c>
      <c r="N161" s="26">
        <v>0.3</v>
      </c>
      <c r="O161" s="26">
        <v>0.3</v>
      </c>
      <c r="P161" s="83" t="s">
        <v>134</v>
      </c>
      <c r="Q161" s="26">
        <v>0.36</v>
      </c>
      <c r="R161" s="84">
        <v>0.13</v>
      </c>
      <c r="S161" s="23"/>
      <c r="T161" s="89"/>
      <c r="U161" s="82"/>
      <c r="V161" s="37"/>
      <c r="W161" s="37"/>
    </row>
    <row r="162" ht="14.25" customHeight="1">
      <c r="A162" s="83" t="s">
        <v>302</v>
      </c>
      <c r="B162" s="55" t="s">
        <v>388</v>
      </c>
      <c r="C162" s="78" t="s">
        <v>303</v>
      </c>
      <c r="D162" s="78" t="s">
        <v>374</v>
      </c>
      <c r="E162" s="21" t="s">
        <v>1818</v>
      </c>
      <c r="F162" s="21" t="s">
        <v>387</v>
      </c>
      <c r="G162" s="23">
        <v>5924.0</v>
      </c>
      <c r="H162" s="26">
        <v>0.08</v>
      </c>
      <c r="I162" s="79">
        <v>541.0</v>
      </c>
      <c r="J162" s="79" t="s">
        <v>1601</v>
      </c>
      <c r="K162" s="80" t="s">
        <v>1819</v>
      </c>
      <c r="L162" s="21">
        <v>14700.0</v>
      </c>
      <c r="M162" s="21">
        <v>6465.0</v>
      </c>
      <c r="N162" s="26">
        <v>0.3</v>
      </c>
      <c r="O162" s="26">
        <v>0.3</v>
      </c>
      <c r="P162" s="83" t="s">
        <v>134</v>
      </c>
      <c r="Q162" s="26">
        <v>0.36</v>
      </c>
      <c r="R162" s="84">
        <v>0.13</v>
      </c>
      <c r="S162" s="23"/>
      <c r="T162" s="89"/>
      <c r="U162" s="82"/>
      <c r="V162" s="37"/>
      <c r="W162" s="37"/>
    </row>
    <row r="163" ht="14.25" customHeight="1">
      <c r="A163" s="83" t="s">
        <v>302</v>
      </c>
      <c r="B163" s="55" t="s">
        <v>390</v>
      </c>
      <c r="C163" s="78" t="s">
        <v>303</v>
      </c>
      <c r="D163" s="78" t="s">
        <v>374</v>
      </c>
      <c r="E163" s="21" t="s">
        <v>1818</v>
      </c>
      <c r="F163" s="21" t="s">
        <v>389</v>
      </c>
      <c r="G163" s="23">
        <v>5923.0</v>
      </c>
      <c r="H163" s="26">
        <v>0.08</v>
      </c>
      <c r="I163" s="79">
        <v>542.0</v>
      </c>
      <c r="J163" s="79" t="s">
        <v>1601</v>
      </c>
      <c r="K163" s="80" t="s">
        <v>1819</v>
      </c>
      <c r="L163" s="21">
        <v>14700.0</v>
      </c>
      <c r="M163" s="21">
        <v>6465.0</v>
      </c>
      <c r="N163" s="26">
        <v>0.3</v>
      </c>
      <c r="O163" s="26">
        <v>0.3</v>
      </c>
      <c r="P163" s="83" t="s">
        <v>134</v>
      </c>
      <c r="Q163" s="26">
        <v>0.36</v>
      </c>
      <c r="R163" s="84">
        <v>0.13</v>
      </c>
      <c r="S163" s="23"/>
      <c r="T163" s="89"/>
      <c r="U163" s="82"/>
      <c r="V163" s="37"/>
      <c r="W163" s="37"/>
    </row>
    <row r="164" ht="14.25" customHeight="1">
      <c r="A164" s="83" t="s">
        <v>302</v>
      </c>
      <c r="B164" s="55" t="s">
        <v>378</v>
      </c>
      <c r="C164" s="78" t="s">
        <v>303</v>
      </c>
      <c r="D164" s="78" t="s">
        <v>374</v>
      </c>
      <c r="E164" s="21" t="s">
        <v>1818</v>
      </c>
      <c r="F164" s="21" t="s">
        <v>377</v>
      </c>
      <c r="G164" s="23">
        <v>5923.0</v>
      </c>
      <c r="H164" s="26">
        <v>0.08</v>
      </c>
      <c r="I164" s="79">
        <v>542.0</v>
      </c>
      <c r="J164" s="79" t="s">
        <v>1601</v>
      </c>
      <c r="K164" s="80" t="s">
        <v>1819</v>
      </c>
      <c r="L164" s="21">
        <v>14700.0</v>
      </c>
      <c r="M164" s="21">
        <v>6465.0</v>
      </c>
      <c r="N164" s="26">
        <v>0.3</v>
      </c>
      <c r="O164" s="26">
        <v>0.3</v>
      </c>
      <c r="P164" s="83" t="s">
        <v>134</v>
      </c>
      <c r="Q164" s="26">
        <v>0.36</v>
      </c>
      <c r="R164" s="84">
        <v>0.13</v>
      </c>
      <c r="S164" s="23"/>
      <c r="T164" s="89"/>
      <c r="U164" s="82"/>
      <c r="V164" s="37"/>
      <c r="W164" s="37"/>
    </row>
    <row r="165" ht="14.25" customHeight="1">
      <c r="A165" s="83" t="s">
        <v>302</v>
      </c>
      <c r="B165" s="55" t="s">
        <v>380</v>
      </c>
      <c r="C165" s="78" t="s">
        <v>303</v>
      </c>
      <c r="D165" s="78" t="s">
        <v>374</v>
      </c>
      <c r="E165" s="21" t="s">
        <v>1818</v>
      </c>
      <c r="F165" s="21" t="s">
        <v>379</v>
      </c>
      <c r="G165" s="23">
        <v>5923.0</v>
      </c>
      <c r="H165" s="26">
        <v>0.08</v>
      </c>
      <c r="I165" s="79">
        <v>542.0</v>
      </c>
      <c r="J165" s="79" t="s">
        <v>1601</v>
      </c>
      <c r="K165" s="80" t="s">
        <v>1819</v>
      </c>
      <c r="L165" s="21">
        <v>14700.0</v>
      </c>
      <c r="M165" s="21">
        <v>6465.0</v>
      </c>
      <c r="N165" s="26">
        <v>0.3</v>
      </c>
      <c r="O165" s="26">
        <v>0.3</v>
      </c>
      <c r="P165" s="83" t="s">
        <v>134</v>
      </c>
      <c r="Q165" s="26">
        <v>0.36</v>
      </c>
      <c r="R165" s="84">
        <v>0.13</v>
      </c>
      <c r="S165" s="23"/>
      <c r="T165" s="89"/>
      <c r="U165" s="82"/>
      <c r="V165" s="37"/>
      <c r="W165" s="37"/>
    </row>
    <row r="166" ht="14.25" customHeight="1">
      <c r="A166" s="83" t="s">
        <v>302</v>
      </c>
      <c r="B166" s="55" t="s">
        <v>384</v>
      </c>
      <c r="C166" s="78" t="s">
        <v>303</v>
      </c>
      <c r="D166" s="78" t="s">
        <v>374</v>
      </c>
      <c r="E166" s="21" t="s">
        <v>1818</v>
      </c>
      <c r="F166" s="21" t="s">
        <v>383</v>
      </c>
      <c r="G166" s="23">
        <v>5923.0</v>
      </c>
      <c r="H166" s="26">
        <v>0.08</v>
      </c>
      <c r="I166" s="79">
        <v>542.0</v>
      </c>
      <c r="J166" s="79" t="s">
        <v>1601</v>
      </c>
      <c r="K166" s="80" t="s">
        <v>1819</v>
      </c>
      <c r="L166" s="21">
        <v>14700.0</v>
      </c>
      <c r="M166" s="21">
        <v>6465.0</v>
      </c>
      <c r="N166" s="26">
        <v>0.3</v>
      </c>
      <c r="O166" s="26">
        <v>0.3</v>
      </c>
      <c r="P166" s="83" t="s">
        <v>134</v>
      </c>
      <c r="Q166" s="26">
        <v>0.36</v>
      </c>
      <c r="R166" s="84">
        <v>0.13</v>
      </c>
      <c r="S166" s="23"/>
      <c r="T166" s="89"/>
      <c r="U166" s="98"/>
      <c r="V166" s="37"/>
      <c r="W166" s="37"/>
    </row>
    <row r="167" ht="14.25" customHeight="1">
      <c r="A167" s="83" t="s">
        <v>302</v>
      </c>
      <c r="B167" s="55" t="s">
        <v>396</v>
      </c>
      <c r="C167" s="78" t="s">
        <v>303</v>
      </c>
      <c r="D167" s="78" t="s">
        <v>374</v>
      </c>
      <c r="E167" s="21" t="s">
        <v>1818</v>
      </c>
      <c r="F167" s="21" t="s">
        <v>395</v>
      </c>
      <c r="G167" s="23">
        <v>5923.0</v>
      </c>
      <c r="H167" s="26">
        <v>0.08</v>
      </c>
      <c r="I167" s="79">
        <v>542.0</v>
      </c>
      <c r="J167" s="79" t="s">
        <v>1601</v>
      </c>
      <c r="K167" s="80" t="s">
        <v>1819</v>
      </c>
      <c r="L167" s="21">
        <v>14700.0</v>
      </c>
      <c r="M167" s="21">
        <v>6465.0</v>
      </c>
      <c r="N167" s="26">
        <v>0.3</v>
      </c>
      <c r="O167" s="26">
        <v>0.3</v>
      </c>
      <c r="P167" s="83" t="s">
        <v>134</v>
      </c>
      <c r="Q167" s="26">
        <v>0.36</v>
      </c>
      <c r="R167" s="84">
        <v>0.13</v>
      </c>
      <c r="S167" s="23"/>
      <c r="T167" s="89"/>
      <c r="U167" s="98"/>
      <c r="V167" s="37"/>
      <c r="W167" s="37"/>
    </row>
    <row r="168" ht="14.25" customHeight="1">
      <c r="A168" s="83" t="s">
        <v>302</v>
      </c>
      <c r="B168" s="55" t="s">
        <v>398</v>
      </c>
      <c r="C168" s="78" t="s">
        <v>303</v>
      </c>
      <c r="D168" s="78" t="s">
        <v>374</v>
      </c>
      <c r="E168" s="21" t="s">
        <v>1818</v>
      </c>
      <c r="F168" s="21" t="s">
        <v>1820</v>
      </c>
      <c r="G168" s="23">
        <v>5923.0</v>
      </c>
      <c r="H168" s="26">
        <v>0.08</v>
      </c>
      <c r="I168" s="79">
        <v>542.0</v>
      </c>
      <c r="J168" s="79" t="s">
        <v>1601</v>
      </c>
      <c r="K168" s="80" t="s">
        <v>1819</v>
      </c>
      <c r="L168" s="21">
        <v>14700.0</v>
      </c>
      <c r="M168" s="21">
        <v>6465.0</v>
      </c>
      <c r="N168" s="26">
        <v>0.3</v>
      </c>
      <c r="O168" s="26">
        <v>0.3</v>
      </c>
      <c r="P168" s="83" t="s">
        <v>134</v>
      </c>
      <c r="Q168" s="26">
        <v>0.36</v>
      </c>
      <c r="R168" s="84">
        <v>0.13</v>
      </c>
      <c r="S168" s="23"/>
      <c r="T168" s="89"/>
      <c r="U168" s="98"/>
      <c r="V168" s="37"/>
      <c r="W168" s="37"/>
    </row>
    <row r="169" ht="14.25" customHeight="1">
      <c r="A169" s="83" t="s">
        <v>302</v>
      </c>
      <c r="B169" s="55" t="s">
        <v>400</v>
      </c>
      <c r="C169" s="78" t="s">
        <v>303</v>
      </c>
      <c r="D169" s="78" t="s">
        <v>374</v>
      </c>
      <c r="E169" s="21" t="s">
        <v>1818</v>
      </c>
      <c r="F169" s="21" t="s">
        <v>399</v>
      </c>
      <c r="G169" s="23">
        <v>5923.0</v>
      </c>
      <c r="H169" s="26">
        <v>0.08</v>
      </c>
      <c r="I169" s="79">
        <v>542.0</v>
      </c>
      <c r="J169" s="79" t="s">
        <v>1601</v>
      </c>
      <c r="K169" s="80" t="s">
        <v>1819</v>
      </c>
      <c r="L169" s="21">
        <v>14700.0</v>
      </c>
      <c r="M169" s="21">
        <v>6465.0</v>
      </c>
      <c r="N169" s="26">
        <v>0.3</v>
      </c>
      <c r="O169" s="26">
        <v>0.3</v>
      </c>
      <c r="P169" s="83" t="s">
        <v>134</v>
      </c>
      <c r="Q169" s="26">
        <v>0.36</v>
      </c>
      <c r="R169" s="84">
        <v>0.13</v>
      </c>
      <c r="S169" s="23"/>
      <c r="T169" s="89"/>
      <c r="U169" s="82"/>
      <c r="V169" s="37"/>
      <c r="W169" s="37"/>
    </row>
    <row r="170" ht="14.25" customHeight="1">
      <c r="A170" s="83" t="s">
        <v>302</v>
      </c>
      <c r="B170" s="55" t="s">
        <v>404</v>
      </c>
      <c r="C170" s="78" t="s">
        <v>303</v>
      </c>
      <c r="D170" s="78" t="s">
        <v>374</v>
      </c>
      <c r="E170" s="21" t="s">
        <v>1818</v>
      </c>
      <c r="F170" s="21" t="s">
        <v>403</v>
      </c>
      <c r="G170" s="23">
        <v>5923.0</v>
      </c>
      <c r="H170" s="26">
        <v>0.08</v>
      </c>
      <c r="I170" s="79">
        <v>542.0</v>
      </c>
      <c r="J170" s="79" t="s">
        <v>1601</v>
      </c>
      <c r="K170" s="80" t="s">
        <v>1819</v>
      </c>
      <c r="L170" s="21">
        <v>14700.0</v>
      </c>
      <c r="M170" s="21">
        <v>6465.0</v>
      </c>
      <c r="N170" s="26">
        <v>0.3</v>
      </c>
      <c r="O170" s="26">
        <v>0.3</v>
      </c>
      <c r="P170" s="83" t="s">
        <v>134</v>
      </c>
      <c r="Q170" s="26">
        <v>0.36</v>
      </c>
      <c r="R170" s="84">
        <v>0.13</v>
      </c>
      <c r="S170" s="23"/>
      <c r="T170" s="89"/>
      <c r="U170" s="82"/>
      <c r="V170" s="37"/>
      <c r="W170" s="37"/>
    </row>
    <row r="171" ht="14.25" customHeight="1">
      <c r="A171" s="83" t="s">
        <v>302</v>
      </c>
      <c r="B171" s="85" t="s">
        <v>406</v>
      </c>
      <c r="C171" s="83" t="s">
        <v>303</v>
      </c>
      <c r="D171" s="83" t="s">
        <v>374</v>
      </c>
      <c r="E171" s="86" t="s">
        <v>405</v>
      </c>
      <c r="F171" s="21" t="s">
        <v>405</v>
      </c>
      <c r="G171" s="92">
        <v>7504.0</v>
      </c>
      <c r="H171" s="84">
        <v>0.45</v>
      </c>
      <c r="I171" s="87">
        <v>6020.0</v>
      </c>
      <c r="J171" s="79" t="s">
        <v>1603</v>
      </c>
      <c r="K171" s="80" t="s">
        <v>1613</v>
      </c>
      <c r="L171" s="86">
        <v>17641.0</v>
      </c>
      <c r="M171" s="86">
        <v>13524.0</v>
      </c>
      <c r="N171" s="84">
        <v>0.3</v>
      </c>
      <c r="O171" s="84">
        <v>0.3</v>
      </c>
      <c r="P171" s="99" t="s">
        <v>193</v>
      </c>
      <c r="Q171" s="84">
        <v>0.61</v>
      </c>
      <c r="R171" s="84">
        <v>0.38</v>
      </c>
      <c r="S171" s="23"/>
      <c r="T171" s="89"/>
      <c r="U171" s="82"/>
      <c r="V171" s="37"/>
      <c r="W171" s="37"/>
    </row>
    <row r="172" ht="14.25" customHeight="1">
      <c r="A172" s="83" t="s">
        <v>302</v>
      </c>
      <c r="B172" s="85" t="s">
        <v>408</v>
      </c>
      <c r="C172" s="83" t="s">
        <v>303</v>
      </c>
      <c r="D172" s="83" t="s">
        <v>374</v>
      </c>
      <c r="E172" s="86" t="s">
        <v>407</v>
      </c>
      <c r="F172" s="21" t="s">
        <v>407</v>
      </c>
      <c r="G172" s="92">
        <v>7504.0</v>
      </c>
      <c r="H172" s="84">
        <v>0.42</v>
      </c>
      <c r="I172" s="87">
        <v>5432.0</v>
      </c>
      <c r="J172" s="79" t="s">
        <v>1603</v>
      </c>
      <c r="K172" s="80" t="s">
        <v>1821</v>
      </c>
      <c r="L172" s="86">
        <v>17641.0</v>
      </c>
      <c r="M172" s="86">
        <v>12935.0</v>
      </c>
      <c r="N172" s="84">
        <v>0.3</v>
      </c>
      <c r="O172" s="84">
        <v>0.3</v>
      </c>
      <c r="P172" s="99" t="s">
        <v>193</v>
      </c>
      <c r="Q172" s="84">
        <v>0.59</v>
      </c>
      <c r="R172" s="84">
        <v>0.36</v>
      </c>
      <c r="S172" s="23"/>
      <c r="T172" s="89"/>
      <c r="U172" s="82"/>
      <c r="V172" s="37"/>
      <c r="W172" s="37"/>
    </row>
    <row r="173" ht="14.25" customHeight="1">
      <c r="A173" s="83" t="s">
        <v>302</v>
      </c>
      <c r="B173" s="85" t="s">
        <v>410</v>
      </c>
      <c r="C173" s="83" t="s">
        <v>303</v>
      </c>
      <c r="D173" s="83" t="s">
        <v>374</v>
      </c>
      <c r="E173" s="86" t="s">
        <v>409</v>
      </c>
      <c r="F173" s="21" t="s">
        <v>409</v>
      </c>
      <c r="G173" s="92">
        <v>7504.0</v>
      </c>
      <c r="H173" s="84">
        <v>0.42</v>
      </c>
      <c r="I173" s="87">
        <v>5432.0</v>
      </c>
      <c r="J173" s="79" t="s">
        <v>1603</v>
      </c>
      <c r="K173" s="80" t="s">
        <v>1821</v>
      </c>
      <c r="L173" s="86">
        <v>17641.0</v>
      </c>
      <c r="M173" s="86">
        <v>12935.0</v>
      </c>
      <c r="N173" s="84">
        <v>0.3</v>
      </c>
      <c r="O173" s="84">
        <v>0.3</v>
      </c>
      <c r="P173" s="99" t="s">
        <v>193</v>
      </c>
      <c r="Q173" s="84">
        <v>0.59</v>
      </c>
      <c r="R173" s="84">
        <v>0.36</v>
      </c>
      <c r="S173" s="23"/>
      <c r="T173" s="89"/>
      <c r="U173" s="82"/>
      <c r="V173" s="37"/>
      <c r="W173" s="37"/>
    </row>
    <row r="174" ht="14.25" customHeight="1">
      <c r="A174" s="83" t="s">
        <v>302</v>
      </c>
      <c r="B174" s="85" t="s">
        <v>412</v>
      </c>
      <c r="C174" s="83" t="s">
        <v>303</v>
      </c>
      <c r="D174" s="83" t="s">
        <v>374</v>
      </c>
      <c r="E174" s="86" t="s">
        <v>411</v>
      </c>
      <c r="F174" s="21" t="s">
        <v>411</v>
      </c>
      <c r="G174" s="92">
        <v>7504.0</v>
      </c>
      <c r="H174" s="84">
        <v>0.42</v>
      </c>
      <c r="I174" s="87">
        <v>5432.0</v>
      </c>
      <c r="J174" s="79" t="s">
        <v>1603</v>
      </c>
      <c r="K174" s="80" t="s">
        <v>1821</v>
      </c>
      <c r="L174" s="86">
        <v>17641.0</v>
      </c>
      <c r="M174" s="86">
        <v>12935.0</v>
      </c>
      <c r="N174" s="84">
        <v>0.3</v>
      </c>
      <c r="O174" s="84">
        <v>0.3</v>
      </c>
      <c r="P174" s="99" t="s">
        <v>193</v>
      </c>
      <c r="Q174" s="84">
        <v>0.59</v>
      </c>
      <c r="R174" s="84">
        <v>0.36</v>
      </c>
      <c r="S174" s="23"/>
      <c r="T174" s="89"/>
      <c r="U174" s="82"/>
      <c r="V174" s="37"/>
      <c r="W174" s="37"/>
    </row>
    <row r="175" ht="14.25" customHeight="1">
      <c r="A175" s="83" t="s">
        <v>302</v>
      </c>
      <c r="B175" s="85" t="s">
        <v>414</v>
      </c>
      <c r="C175" s="83" t="s">
        <v>303</v>
      </c>
      <c r="D175" s="83" t="s">
        <v>374</v>
      </c>
      <c r="E175" s="86" t="s">
        <v>413</v>
      </c>
      <c r="F175" s="21" t="s">
        <v>413</v>
      </c>
      <c r="G175" s="92">
        <v>7504.0</v>
      </c>
      <c r="H175" s="84">
        <v>0.42</v>
      </c>
      <c r="I175" s="87">
        <v>5432.0</v>
      </c>
      <c r="J175" s="79" t="s">
        <v>1603</v>
      </c>
      <c r="K175" s="80" t="s">
        <v>1821</v>
      </c>
      <c r="L175" s="86">
        <v>17641.0</v>
      </c>
      <c r="M175" s="86">
        <v>12935.0</v>
      </c>
      <c r="N175" s="84">
        <v>0.3</v>
      </c>
      <c r="O175" s="84">
        <v>0.3</v>
      </c>
      <c r="P175" s="99" t="s">
        <v>193</v>
      </c>
      <c r="Q175" s="84">
        <v>0.59</v>
      </c>
      <c r="R175" s="84">
        <v>0.36</v>
      </c>
      <c r="S175" s="23"/>
      <c r="T175" s="89"/>
      <c r="U175" s="82"/>
      <c r="V175" s="37"/>
      <c r="W175" s="37"/>
    </row>
    <row r="176" ht="14.25" customHeight="1">
      <c r="A176" s="83" t="s">
        <v>302</v>
      </c>
      <c r="B176" s="85" t="s">
        <v>416</v>
      </c>
      <c r="C176" s="83" t="s">
        <v>303</v>
      </c>
      <c r="D176" s="83" t="s">
        <v>374</v>
      </c>
      <c r="E176" s="86" t="s">
        <v>415</v>
      </c>
      <c r="F176" s="21" t="s">
        <v>415</v>
      </c>
      <c r="G176" s="92">
        <v>7504.0</v>
      </c>
      <c r="H176" s="84">
        <v>0.42</v>
      </c>
      <c r="I176" s="87">
        <v>5432.0</v>
      </c>
      <c r="J176" s="79" t="s">
        <v>1603</v>
      </c>
      <c r="K176" s="80" t="s">
        <v>1821</v>
      </c>
      <c r="L176" s="86">
        <v>17641.0</v>
      </c>
      <c r="M176" s="86">
        <v>12935.0</v>
      </c>
      <c r="N176" s="84">
        <v>0.3</v>
      </c>
      <c r="O176" s="84">
        <v>0.3</v>
      </c>
      <c r="P176" s="99" t="s">
        <v>193</v>
      </c>
      <c r="Q176" s="84">
        <v>0.59</v>
      </c>
      <c r="R176" s="84">
        <v>0.36</v>
      </c>
      <c r="S176" s="23"/>
      <c r="T176" s="89"/>
      <c r="U176" s="82"/>
      <c r="V176" s="37"/>
      <c r="W176" s="37"/>
    </row>
    <row r="177" ht="14.25" customHeight="1">
      <c r="A177" s="83" t="s">
        <v>302</v>
      </c>
      <c r="B177" s="85" t="s">
        <v>418</v>
      </c>
      <c r="C177" s="83" t="s">
        <v>303</v>
      </c>
      <c r="D177" s="83" t="s">
        <v>374</v>
      </c>
      <c r="E177" s="86" t="s">
        <v>417</v>
      </c>
      <c r="F177" s="21" t="s">
        <v>417</v>
      </c>
      <c r="G177" s="92">
        <v>7504.0</v>
      </c>
      <c r="H177" s="84">
        <v>0.42</v>
      </c>
      <c r="I177" s="87">
        <v>5432.0</v>
      </c>
      <c r="J177" s="79" t="s">
        <v>1603</v>
      </c>
      <c r="K177" s="80" t="s">
        <v>1821</v>
      </c>
      <c r="L177" s="86">
        <v>17641.0</v>
      </c>
      <c r="M177" s="86">
        <v>12935.0</v>
      </c>
      <c r="N177" s="84">
        <v>0.3</v>
      </c>
      <c r="O177" s="84">
        <v>0.3</v>
      </c>
      <c r="P177" s="99" t="s">
        <v>193</v>
      </c>
      <c r="Q177" s="84">
        <v>0.59</v>
      </c>
      <c r="R177" s="84">
        <v>0.36</v>
      </c>
      <c r="S177" s="23"/>
      <c r="T177" s="89"/>
      <c r="U177" s="82"/>
      <c r="V177" s="37"/>
      <c r="W177" s="37"/>
    </row>
    <row r="178" ht="14.25" customHeight="1">
      <c r="A178" s="83" t="s">
        <v>302</v>
      </c>
      <c r="B178" s="85" t="s">
        <v>420</v>
      </c>
      <c r="C178" s="83" t="s">
        <v>303</v>
      </c>
      <c r="D178" s="83" t="s">
        <v>374</v>
      </c>
      <c r="E178" s="86" t="s">
        <v>419</v>
      </c>
      <c r="F178" s="21" t="s">
        <v>419</v>
      </c>
      <c r="G178" s="92">
        <v>7504.0</v>
      </c>
      <c r="H178" s="84">
        <v>0.42</v>
      </c>
      <c r="I178" s="87">
        <v>5432.0</v>
      </c>
      <c r="J178" s="79" t="s">
        <v>1603</v>
      </c>
      <c r="K178" s="80" t="s">
        <v>1821</v>
      </c>
      <c r="L178" s="86">
        <v>17641.0</v>
      </c>
      <c r="M178" s="86">
        <v>12935.0</v>
      </c>
      <c r="N178" s="84">
        <v>0.3</v>
      </c>
      <c r="O178" s="84">
        <v>0.3</v>
      </c>
      <c r="P178" s="99" t="s">
        <v>193</v>
      </c>
      <c r="Q178" s="84">
        <v>0.59</v>
      </c>
      <c r="R178" s="84">
        <v>0.36</v>
      </c>
      <c r="S178" s="23"/>
      <c r="T178" s="89"/>
      <c r="U178" s="82"/>
      <c r="V178" s="37"/>
      <c r="W178" s="37"/>
    </row>
    <row r="179" ht="14.25" customHeight="1">
      <c r="A179" s="83" t="s">
        <v>302</v>
      </c>
      <c r="B179" s="85" t="s">
        <v>422</v>
      </c>
      <c r="C179" s="83" t="s">
        <v>303</v>
      </c>
      <c r="D179" s="83" t="s">
        <v>374</v>
      </c>
      <c r="E179" s="86" t="s">
        <v>421</v>
      </c>
      <c r="F179" s="21" t="s">
        <v>421</v>
      </c>
      <c r="G179" s="92">
        <v>7504.0</v>
      </c>
      <c r="H179" s="84">
        <v>0.42</v>
      </c>
      <c r="I179" s="87">
        <v>5432.0</v>
      </c>
      <c r="J179" s="79" t="s">
        <v>1603</v>
      </c>
      <c r="K179" s="80" t="s">
        <v>1821</v>
      </c>
      <c r="L179" s="86">
        <v>17641.0</v>
      </c>
      <c r="M179" s="86">
        <v>12935.0</v>
      </c>
      <c r="N179" s="84">
        <v>0.3</v>
      </c>
      <c r="O179" s="84">
        <v>0.3</v>
      </c>
      <c r="P179" s="99" t="s">
        <v>193</v>
      </c>
      <c r="Q179" s="84">
        <v>0.59</v>
      </c>
      <c r="R179" s="84">
        <v>0.36</v>
      </c>
      <c r="S179" s="23"/>
      <c r="T179" s="89"/>
      <c r="U179" s="82"/>
      <c r="V179" s="37"/>
      <c r="W179" s="37"/>
    </row>
    <row r="180" ht="14.25" customHeight="1">
      <c r="A180" s="83" t="s">
        <v>302</v>
      </c>
      <c r="B180" s="85" t="s">
        <v>424</v>
      </c>
      <c r="C180" s="83" t="s">
        <v>303</v>
      </c>
      <c r="D180" s="83" t="s">
        <v>374</v>
      </c>
      <c r="E180" s="86" t="s">
        <v>423</v>
      </c>
      <c r="F180" s="21" t="s">
        <v>423</v>
      </c>
      <c r="G180" s="92">
        <v>7504.0</v>
      </c>
      <c r="H180" s="84">
        <v>0.42</v>
      </c>
      <c r="I180" s="87">
        <v>5432.0</v>
      </c>
      <c r="J180" s="79" t="s">
        <v>1603</v>
      </c>
      <c r="K180" s="80" t="s">
        <v>1821</v>
      </c>
      <c r="L180" s="86">
        <v>17641.0</v>
      </c>
      <c r="M180" s="86">
        <v>12935.0</v>
      </c>
      <c r="N180" s="84">
        <v>0.3</v>
      </c>
      <c r="O180" s="84">
        <v>0.3</v>
      </c>
      <c r="P180" s="99" t="s">
        <v>193</v>
      </c>
      <c r="Q180" s="84">
        <v>0.59</v>
      </c>
      <c r="R180" s="84">
        <v>0.36</v>
      </c>
      <c r="S180" s="23"/>
      <c r="T180" s="89"/>
      <c r="U180" s="82"/>
      <c r="V180" s="37"/>
      <c r="W180" s="37"/>
    </row>
    <row r="181" ht="14.25" customHeight="1">
      <c r="A181" s="83" t="s">
        <v>302</v>
      </c>
      <c r="B181" s="85" t="s">
        <v>426</v>
      </c>
      <c r="C181" s="83" t="s">
        <v>303</v>
      </c>
      <c r="D181" s="83" t="s">
        <v>374</v>
      </c>
      <c r="E181" s="86" t="s">
        <v>425</v>
      </c>
      <c r="F181" s="21" t="s">
        <v>425</v>
      </c>
      <c r="G181" s="92">
        <v>7504.0</v>
      </c>
      <c r="H181" s="84">
        <v>0.42</v>
      </c>
      <c r="I181" s="87">
        <v>5432.0</v>
      </c>
      <c r="J181" s="79" t="s">
        <v>1603</v>
      </c>
      <c r="K181" s="80" t="s">
        <v>1821</v>
      </c>
      <c r="L181" s="86">
        <v>17641.0</v>
      </c>
      <c r="M181" s="86">
        <v>12935.0</v>
      </c>
      <c r="N181" s="84">
        <v>0.3</v>
      </c>
      <c r="O181" s="84">
        <v>0.3</v>
      </c>
      <c r="P181" s="99" t="s">
        <v>193</v>
      </c>
      <c r="Q181" s="84">
        <v>0.59</v>
      </c>
      <c r="R181" s="84">
        <v>0.36</v>
      </c>
      <c r="S181" s="23"/>
      <c r="T181" s="89"/>
      <c r="U181" s="82"/>
      <c r="V181" s="37"/>
      <c r="W181" s="37"/>
    </row>
    <row r="182" ht="14.25" customHeight="1">
      <c r="A182" s="83" t="s">
        <v>302</v>
      </c>
      <c r="B182" s="85" t="s">
        <v>428</v>
      </c>
      <c r="C182" s="83" t="s">
        <v>303</v>
      </c>
      <c r="D182" s="83" t="s">
        <v>374</v>
      </c>
      <c r="E182" s="86" t="s">
        <v>427</v>
      </c>
      <c r="F182" s="21" t="s">
        <v>427</v>
      </c>
      <c r="G182" s="92">
        <v>7504.0</v>
      </c>
      <c r="H182" s="84">
        <v>0.42</v>
      </c>
      <c r="I182" s="87">
        <v>5432.0</v>
      </c>
      <c r="J182" s="79" t="s">
        <v>1603</v>
      </c>
      <c r="K182" s="80" t="s">
        <v>1821</v>
      </c>
      <c r="L182" s="86">
        <v>17641.0</v>
      </c>
      <c r="M182" s="86">
        <v>12935.0</v>
      </c>
      <c r="N182" s="84">
        <v>0.3</v>
      </c>
      <c r="O182" s="84">
        <v>0.3</v>
      </c>
      <c r="P182" s="99" t="s">
        <v>193</v>
      </c>
      <c r="Q182" s="84">
        <v>0.59</v>
      </c>
      <c r="R182" s="84">
        <v>0.36</v>
      </c>
      <c r="S182" s="23"/>
      <c r="T182" s="89"/>
      <c r="U182" s="82"/>
      <c r="V182" s="37"/>
      <c r="W182" s="37"/>
    </row>
    <row r="183" ht="14.25" customHeight="1">
      <c r="A183" s="83" t="s">
        <v>302</v>
      </c>
      <c r="B183" s="85" t="s">
        <v>430</v>
      </c>
      <c r="C183" s="83" t="s">
        <v>303</v>
      </c>
      <c r="D183" s="83" t="s">
        <v>374</v>
      </c>
      <c r="E183" s="86" t="s">
        <v>429</v>
      </c>
      <c r="F183" s="21" t="s">
        <v>429</v>
      </c>
      <c r="G183" s="92">
        <v>7504.0</v>
      </c>
      <c r="H183" s="84">
        <v>0.42</v>
      </c>
      <c r="I183" s="87">
        <v>5432.0</v>
      </c>
      <c r="J183" s="79" t="s">
        <v>1603</v>
      </c>
      <c r="K183" s="80" t="s">
        <v>1821</v>
      </c>
      <c r="L183" s="86">
        <v>17641.0</v>
      </c>
      <c r="M183" s="86">
        <v>12935.0</v>
      </c>
      <c r="N183" s="84">
        <v>0.3</v>
      </c>
      <c r="O183" s="84">
        <v>0.3</v>
      </c>
      <c r="P183" s="99" t="s">
        <v>193</v>
      </c>
      <c r="Q183" s="84">
        <v>0.59</v>
      </c>
      <c r="R183" s="84">
        <v>0.36</v>
      </c>
      <c r="S183" s="23"/>
      <c r="T183" s="89"/>
      <c r="U183" s="82"/>
      <c r="V183" s="37"/>
      <c r="W183" s="37"/>
    </row>
    <row r="184" ht="14.25" customHeight="1">
      <c r="A184" s="83" t="s">
        <v>302</v>
      </c>
      <c r="B184" s="85" t="s">
        <v>432</v>
      </c>
      <c r="C184" s="83" t="s">
        <v>303</v>
      </c>
      <c r="D184" s="83" t="s">
        <v>374</v>
      </c>
      <c r="E184" s="86" t="s">
        <v>431</v>
      </c>
      <c r="F184" s="21" t="s">
        <v>431</v>
      </c>
      <c r="G184" s="92">
        <v>7504.0</v>
      </c>
      <c r="H184" s="84">
        <v>0.42</v>
      </c>
      <c r="I184" s="87">
        <v>5432.0</v>
      </c>
      <c r="J184" s="79" t="s">
        <v>1603</v>
      </c>
      <c r="K184" s="80" t="s">
        <v>1821</v>
      </c>
      <c r="L184" s="86">
        <v>17641.0</v>
      </c>
      <c r="M184" s="86">
        <v>12935.0</v>
      </c>
      <c r="N184" s="84">
        <v>0.3</v>
      </c>
      <c r="O184" s="84">
        <v>0.3</v>
      </c>
      <c r="P184" s="99" t="s">
        <v>193</v>
      </c>
      <c r="Q184" s="84">
        <v>0.59</v>
      </c>
      <c r="R184" s="84">
        <v>0.36</v>
      </c>
      <c r="S184" s="23"/>
      <c r="T184" s="89"/>
      <c r="U184" s="82"/>
      <c r="V184" s="37"/>
      <c r="W184" s="37"/>
    </row>
    <row r="185" ht="14.25" customHeight="1">
      <c r="A185" s="83" t="s">
        <v>302</v>
      </c>
      <c r="B185" s="85" t="s">
        <v>434</v>
      </c>
      <c r="C185" s="83" t="s">
        <v>303</v>
      </c>
      <c r="D185" s="83" t="s">
        <v>374</v>
      </c>
      <c r="E185" s="86" t="s">
        <v>433</v>
      </c>
      <c r="F185" s="21" t="s">
        <v>433</v>
      </c>
      <c r="G185" s="92">
        <v>7504.0</v>
      </c>
      <c r="H185" s="84">
        <v>0.42</v>
      </c>
      <c r="I185" s="87">
        <v>5432.0</v>
      </c>
      <c r="J185" s="79" t="s">
        <v>1603</v>
      </c>
      <c r="K185" s="80" t="s">
        <v>1821</v>
      </c>
      <c r="L185" s="86">
        <v>17641.0</v>
      </c>
      <c r="M185" s="86">
        <v>12935.0</v>
      </c>
      <c r="N185" s="84">
        <v>0.3</v>
      </c>
      <c r="O185" s="84">
        <v>0.3</v>
      </c>
      <c r="P185" s="99" t="s">
        <v>193</v>
      </c>
      <c r="Q185" s="84">
        <v>0.59</v>
      </c>
      <c r="R185" s="84">
        <v>0.36</v>
      </c>
      <c r="S185" s="23"/>
      <c r="T185" s="89"/>
      <c r="U185" s="82"/>
      <c r="V185" s="37"/>
      <c r="W185" s="37"/>
    </row>
    <row r="186" ht="14.25" customHeight="1">
      <c r="A186" s="83" t="s">
        <v>302</v>
      </c>
      <c r="B186" s="85" t="s">
        <v>436</v>
      </c>
      <c r="C186" s="83" t="s">
        <v>303</v>
      </c>
      <c r="D186" s="83" t="s">
        <v>374</v>
      </c>
      <c r="E186" s="86" t="s">
        <v>435</v>
      </c>
      <c r="F186" s="21" t="s">
        <v>435</v>
      </c>
      <c r="G186" s="92">
        <v>7504.0</v>
      </c>
      <c r="H186" s="84">
        <v>0.42</v>
      </c>
      <c r="I186" s="87">
        <v>5432.0</v>
      </c>
      <c r="J186" s="79" t="s">
        <v>1603</v>
      </c>
      <c r="K186" s="80" t="s">
        <v>1821</v>
      </c>
      <c r="L186" s="86">
        <v>17641.0</v>
      </c>
      <c r="M186" s="86">
        <v>12935.0</v>
      </c>
      <c r="N186" s="84">
        <v>0.3</v>
      </c>
      <c r="O186" s="84">
        <v>0.3</v>
      </c>
      <c r="P186" s="99" t="s">
        <v>193</v>
      </c>
      <c r="Q186" s="84">
        <v>0.59</v>
      </c>
      <c r="R186" s="84">
        <v>0.36</v>
      </c>
      <c r="S186" s="23"/>
      <c r="T186" s="89"/>
      <c r="U186" s="82"/>
      <c r="V186" s="37"/>
      <c r="W186" s="37"/>
    </row>
    <row r="187" ht="14.25" customHeight="1">
      <c r="A187" s="83" t="s">
        <v>302</v>
      </c>
      <c r="B187" s="85" t="s">
        <v>438</v>
      </c>
      <c r="C187" s="83" t="s">
        <v>303</v>
      </c>
      <c r="D187" s="83" t="s">
        <v>374</v>
      </c>
      <c r="E187" s="86" t="s">
        <v>437</v>
      </c>
      <c r="F187" s="21" t="s">
        <v>437</v>
      </c>
      <c r="G187" s="92">
        <v>7504.0</v>
      </c>
      <c r="H187" s="84">
        <v>0.42</v>
      </c>
      <c r="I187" s="87">
        <v>5432.0</v>
      </c>
      <c r="J187" s="79" t="s">
        <v>1603</v>
      </c>
      <c r="K187" s="80" t="s">
        <v>1821</v>
      </c>
      <c r="L187" s="86">
        <v>17641.0</v>
      </c>
      <c r="M187" s="86">
        <v>12935.0</v>
      </c>
      <c r="N187" s="84">
        <v>0.3</v>
      </c>
      <c r="O187" s="84">
        <v>0.3</v>
      </c>
      <c r="P187" s="99" t="s">
        <v>193</v>
      </c>
      <c r="Q187" s="84">
        <v>0.59</v>
      </c>
      <c r="R187" s="84">
        <v>0.36</v>
      </c>
      <c r="S187" s="23"/>
      <c r="T187" s="89"/>
      <c r="U187" s="82"/>
      <c r="V187" s="37"/>
      <c r="W187" s="37"/>
    </row>
    <row r="188" ht="14.25" customHeight="1">
      <c r="A188" s="83" t="s">
        <v>302</v>
      </c>
      <c r="B188" s="85" t="s">
        <v>440</v>
      </c>
      <c r="C188" s="83" t="s">
        <v>303</v>
      </c>
      <c r="D188" s="83" t="s">
        <v>374</v>
      </c>
      <c r="E188" s="86" t="s">
        <v>439</v>
      </c>
      <c r="F188" s="21" t="s">
        <v>439</v>
      </c>
      <c r="G188" s="92">
        <v>7504.0</v>
      </c>
      <c r="H188" s="84">
        <v>0.42</v>
      </c>
      <c r="I188" s="87">
        <v>5432.0</v>
      </c>
      <c r="J188" s="79" t="s">
        <v>1603</v>
      </c>
      <c r="K188" s="80" t="s">
        <v>1821</v>
      </c>
      <c r="L188" s="86">
        <v>17641.0</v>
      </c>
      <c r="M188" s="86">
        <v>12935.0</v>
      </c>
      <c r="N188" s="84">
        <v>0.3</v>
      </c>
      <c r="O188" s="84">
        <v>0.3</v>
      </c>
      <c r="P188" s="99" t="s">
        <v>193</v>
      </c>
      <c r="Q188" s="84">
        <v>0.59</v>
      </c>
      <c r="R188" s="84">
        <v>0.36</v>
      </c>
      <c r="S188" s="23"/>
      <c r="T188" s="89"/>
      <c r="U188" s="82"/>
      <c r="V188" s="37"/>
      <c r="W188" s="37"/>
    </row>
    <row r="189" ht="14.25" customHeight="1">
      <c r="A189" s="83" t="s">
        <v>302</v>
      </c>
      <c r="B189" s="85" t="s">
        <v>442</v>
      </c>
      <c r="C189" s="83" t="s">
        <v>303</v>
      </c>
      <c r="D189" s="83" t="s">
        <v>374</v>
      </c>
      <c r="E189" s="86" t="s">
        <v>441</v>
      </c>
      <c r="F189" s="21" t="s">
        <v>441</v>
      </c>
      <c r="G189" s="92">
        <v>7504.0</v>
      </c>
      <c r="H189" s="84">
        <v>0.42</v>
      </c>
      <c r="I189" s="87">
        <v>5432.0</v>
      </c>
      <c r="J189" s="79" t="s">
        <v>1603</v>
      </c>
      <c r="K189" s="80" t="s">
        <v>1821</v>
      </c>
      <c r="L189" s="86">
        <v>17641.0</v>
      </c>
      <c r="M189" s="86">
        <v>12935.0</v>
      </c>
      <c r="N189" s="84">
        <v>0.3</v>
      </c>
      <c r="O189" s="84">
        <v>0.3</v>
      </c>
      <c r="P189" s="99" t="s">
        <v>193</v>
      </c>
      <c r="Q189" s="84">
        <v>0.59</v>
      </c>
      <c r="R189" s="84">
        <v>0.36</v>
      </c>
      <c r="S189" s="23"/>
      <c r="T189" s="89"/>
      <c r="U189" s="82"/>
      <c r="V189" s="37"/>
      <c r="W189" s="37"/>
    </row>
    <row r="190" ht="14.25" customHeight="1">
      <c r="A190" s="83" t="s">
        <v>302</v>
      </c>
      <c r="B190" s="85" t="s">
        <v>444</v>
      </c>
      <c r="C190" s="83" t="s">
        <v>303</v>
      </c>
      <c r="D190" s="83" t="s">
        <v>374</v>
      </c>
      <c r="E190" s="86" t="s">
        <v>443</v>
      </c>
      <c r="F190" s="21" t="s">
        <v>443</v>
      </c>
      <c r="G190" s="92">
        <v>7504.0</v>
      </c>
      <c r="H190" s="84">
        <v>0.42</v>
      </c>
      <c r="I190" s="87">
        <v>5432.0</v>
      </c>
      <c r="J190" s="79" t="s">
        <v>1603</v>
      </c>
      <c r="K190" s="80" t="s">
        <v>1821</v>
      </c>
      <c r="L190" s="86">
        <v>17641.0</v>
      </c>
      <c r="M190" s="86">
        <v>12935.0</v>
      </c>
      <c r="N190" s="84">
        <v>0.3</v>
      </c>
      <c r="O190" s="84">
        <v>0.3</v>
      </c>
      <c r="P190" s="99" t="s">
        <v>193</v>
      </c>
      <c r="Q190" s="84">
        <v>0.59</v>
      </c>
      <c r="R190" s="84">
        <v>0.36</v>
      </c>
      <c r="S190" s="23"/>
      <c r="T190" s="89"/>
      <c r="U190" s="82"/>
      <c r="V190" s="37"/>
      <c r="W190" s="37"/>
    </row>
    <row r="191" ht="14.25" customHeight="1">
      <c r="A191" s="83" t="s">
        <v>302</v>
      </c>
      <c r="B191" s="85" t="s">
        <v>446</v>
      </c>
      <c r="C191" s="83" t="s">
        <v>303</v>
      </c>
      <c r="D191" s="83" t="s">
        <v>374</v>
      </c>
      <c r="E191" s="86" t="s">
        <v>445</v>
      </c>
      <c r="F191" s="21" t="s">
        <v>445</v>
      </c>
      <c r="G191" s="92">
        <v>7504.0</v>
      </c>
      <c r="H191" s="84">
        <v>0.42</v>
      </c>
      <c r="I191" s="87">
        <v>5432.0</v>
      </c>
      <c r="J191" s="79" t="s">
        <v>1603</v>
      </c>
      <c r="K191" s="80" t="s">
        <v>1821</v>
      </c>
      <c r="L191" s="86">
        <v>17641.0</v>
      </c>
      <c r="M191" s="86">
        <v>12935.0</v>
      </c>
      <c r="N191" s="84">
        <v>0.3</v>
      </c>
      <c r="O191" s="84">
        <v>0.3</v>
      </c>
      <c r="P191" s="99" t="s">
        <v>193</v>
      </c>
      <c r="Q191" s="84">
        <v>0.59</v>
      </c>
      <c r="R191" s="84">
        <v>0.36</v>
      </c>
      <c r="S191" s="23"/>
      <c r="T191" s="89"/>
      <c r="U191" s="82"/>
      <c r="V191" s="37"/>
      <c r="W191" s="37"/>
    </row>
    <row r="192" ht="14.25" customHeight="1">
      <c r="A192" s="83" t="s">
        <v>302</v>
      </c>
      <c r="B192" s="85" t="s">
        <v>448</v>
      </c>
      <c r="C192" s="83" t="s">
        <v>303</v>
      </c>
      <c r="D192" s="83" t="s">
        <v>374</v>
      </c>
      <c r="E192" s="86" t="s">
        <v>447</v>
      </c>
      <c r="F192" s="21" t="s">
        <v>447</v>
      </c>
      <c r="G192" s="92">
        <v>7504.0</v>
      </c>
      <c r="H192" s="84">
        <v>0.42</v>
      </c>
      <c r="I192" s="87">
        <v>5432.0</v>
      </c>
      <c r="J192" s="79" t="s">
        <v>1603</v>
      </c>
      <c r="K192" s="80" t="s">
        <v>1821</v>
      </c>
      <c r="L192" s="86">
        <v>17641.0</v>
      </c>
      <c r="M192" s="86">
        <v>12935.0</v>
      </c>
      <c r="N192" s="84">
        <v>0.3</v>
      </c>
      <c r="O192" s="84">
        <v>0.3</v>
      </c>
      <c r="P192" s="99" t="s">
        <v>193</v>
      </c>
      <c r="Q192" s="84">
        <v>0.59</v>
      </c>
      <c r="R192" s="84">
        <v>0.36</v>
      </c>
      <c r="S192" s="23"/>
      <c r="T192" s="89"/>
      <c r="U192" s="82"/>
      <c r="V192" s="37"/>
      <c r="W192" s="37"/>
    </row>
    <row r="193" ht="14.25" customHeight="1">
      <c r="A193" s="83" t="s">
        <v>302</v>
      </c>
      <c r="B193" s="85" t="s">
        <v>450</v>
      </c>
      <c r="C193" s="83" t="s">
        <v>303</v>
      </c>
      <c r="D193" s="83" t="s">
        <v>374</v>
      </c>
      <c r="E193" s="86" t="s">
        <v>449</v>
      </c>
      <c r="F193" s="21" t="s">
        <v>449</v>
      </c>
      <c r="G193" s="92">
        <v>7504.0</v>
      </c>
      <c r="H193" s="84">
        <v>0.42</v>
      </c>
      <c r="I193" s="87">
        <v>5432.0</v>
      </c>
      <c r="J193" s="79" t="s">
        <v>1603</v>
      </c>
      <c r="K193" s="80" t="s">
        <v>1821</v>
      </c>
      <c r="L193" s="86">
        <v>17641.0</v>
      </c>
      <c r="M193" s="86">
        <v>12935.0</v>
      </c>
      <c r="N193" s="84">
        <v>0.3</v>
      </c>
      <c r="O193" s="84">
        <v>0.3</v>
      </c>
      <c r="P193" s="99" t="s">
        <v>193</v>
      </c>
      <c r="Q193" s="84">
        <v>0.59</v>
      </c>
      <c r="R193" s="84">
        <v>0.36</v>
      </c>
      <c r="S193" s="23"/>
      <c r="T193" s="89"/>
      <c r="U193" s="82"/>
      <c r="V193" s="37"/>
      <c r="W193" s="37"/>
    </row>
    <row r="194" ht="14.25" customHeight="1">
      <c r="A194" s="83" t="s">
        <v>302</v>
      </c>
      <c r="B194" s="91" t="s">
        <v>453</v>
      </c>
      <c r="C194" s="78" t="s">
        <v>303</v>
      </c>
      <c r="D194" s="78" t="s">
        <v>451</v>
      </c>
      <c r="E194" s="21" t="s">
        <v>1822</v>
      </c>
      <c r="F194" s="21" t="s">
        <v>1823</v>
      </c>
      <c r="G194" s="23">
        <v>3310.0</v>
      </c>
      <c r="H194" s="26">
        <v>0.44</v>
      </c>
      <c r="I194" s="79">
        <v>2566.0</v>
      </c>
      <c r="J194" s="79" t="s">
        <v>1686</v>
      </c>
      <c r="K194" s="80" t="s">
        <v>1618</v>
      </c>
      <c r="L194" s="21">
        <v>7641.0</v>
      </c>
      <c r="M194" s="21">
        <v>5876.0</v>
      </c>
      <c r="N194" s="26">
        <v>0.3</v>
      </c>
      <c r="O194" s="26">
        <v>0.3</v>
      </c>
      <c r="P194" s="83" t="s">
        <v>134</v>
      </c>
      <c r="Q194" s="26">
        <v>0.61</v>
      </c>
      <c r="R194" s="84">
        <v>0.38</v>
      </c>
      <c r="S194" s="23"/>
      <c r="T194" s="89"/>
      <c r="U194" s="82"/>
      <c r="V194" s="37"/>
      <c r="W194" s="37"/>
    </row>
    <row r="195" ht="14.25" customHeight="1">
      <c r="A195" s="83" t="s">
        <v>302</v>
      </c>
      <c r="B195" s="91" t="s">
        <v>455</v>
      </c>
      <c r="C195" s="78" t="s">
        <v>303</v>
      </c>
      <c r="D195" s="78" t="s">
        <v>451</v>
      </c>
      <c r="E195" s="21" t="s">
        <v>1822</v>
      </c>
      <c r="F195" s="21" t="s">
        <v>1823</v>
      </c>
      <c r="G195" s="23">
        <v>3310.0</v>
      </c>
      <c r="H195" s="26">
        <v>0.44</v>
      </c>
      <c r="I195" s="79">
        <v>2566.0</v>
      </c>
      <c r="J195" s="79" t="s">
        <v>1686</v>
      </c>
      <c r="K195" s="80" t="s">
        <v>1618</v>
      </c>
      <c r="L195" s="21">
        <v>7641.0</v>
      </c>
      <c r="M195" s="21">
        <v>5876.0</v>
      </c>
      <c r="N195" s="26">
        <v>0.3</v>
      </c>
      <c r="O195" s="26">
        <v>0.3</v>
      </c>
      <c r="P195" s="83" t="s">
        <v>134</v>
      </c>
      <c r="Q195" s="26">
        <v>0.61</v>
      </c>
      <c r="R195" s="84">
        <v>0.38</v>
      </c>
      <c r="S195" s="23"/>
      <c r="T195" s="89"/>
      <c r="U195" s="82"/>
      <c r="V195" s="37"/>
      <c r="W195" s="37"/>
    </row>
    <row r="196" ht="14.25" customHeight="1">
      <c r="A196" s="83" t="s">
        <v>302</v>
      </c>
      <c r="B196" s="91" t="s">
        <v>470</v>
      </c>
      <c r="C196" s="78" t="s">
        <v>456</v>
      </c>
      <c r="D196" s="78" t="s">
        <v>457</v>
      </c>
      <c r="E196" s="21" t="s">
        <v>1824</v>
      </c>
      <c r="F196" s="21" t="s">
        <v>1825</v>
      </c>
      <c r="G196" s="23">
        <v>9453.0</v>
      </c>
      <c r="H196" s="26">
        <v>0.27</v>
      </c>
      <c r="I196" s="79">
        <v>3482.0</v>
      </c>
      <c r="J196" s="79" t="s">
        <v>1608</v>
      </c>
      <c r="K196" s="80" t="s">
        <v>1821</v>
      </c>
      <c r="L196" s="21">
        <v>23524.0</v>
      </c>
      <c r="M196" s="21">
        <v>12935.0</v>
      </c>
      <c r="N196" s="26">
        <v>0.3</v>
      </c>
      <c r="O196" s="26">
        <v>0.3</v>
      </c>
      <c r="P196" s="81" t="s">
        <v>1595</v>
      </c>
      <c r="Q196" s="26">
        <v>0.49</v>
      </c>
      <c r="R196" s="84">
        <v>0.26</v>
      </c>
      <c r="S196" s="23"/>
      <c r="T196" s="89"/>
      <c r="U196" s="82"/>
      <c r="V196" s="37"/>
      <c r="W196" s="37"/>
    </row>
    <row r="197" ht="14.25" customHeight="1">
      <c r="A197" s="83" t="s">
        <v>302</v>
      </c>
      <c r="B197" s="91" t="s">
        <v>472</v>
      </c>
      <c r="C197" s="78" t="s">
        <v>456</v>
      </c>
      <c r="D197" s="78" t="s">
        <v>457</v>
      </c>
      <c r="E197" s="21" t="s">
        <v>1824</v>
      </c>
      <c r="F197" s="21" t="s">
        <v>1826</v>
      </c>
      <c r="G197" s="23">
        <v>9467.0</v>
      </c>
      <c r="H197" s="26">
        <v>0.27</v>
      </c>
      <c r="I197" s="79">
        <v>3468.0</v>
      </c>
      <c r="J197" s="79" t="s">
        <v>1608</v>
      </c>
      <c r="K197" s="80" t="s">
        <v>1821</v>
      </c>
      <c r="L197" s="21">
        <v>23524.0</v>
      </c>
      <c r="M197" s="21">
        <v>12935.0</v>
      </c>
      <c r="N197" s="26">
        <v>0.3</v>
      </c>
      <c r="O197" s="26">
        <v>0.3</v>
      </c>
      <c r="P197" s="81" t="s">
        <v>1595</v>
      </c>
      <c r="Q197" s="26">
        <v>0.49</v>
      </c>
      <c r="R197" s="84">
        <v>0.26</v>
      </c>
      <c r="S197" s="23"/>
      <c r="T197" s="89"/>
      <c r="U197" s="82"/>
      <c r="V197" s="37"/>
      <c r="W197" s="37"/>
    </row>
    <row r="198" ht="14.25" customHeight="1">
      <c r="A198" s="83" t="s">
        <v>302</v>
      </c>
      <c r="B198" s="91" t="s">
        <v>466</v>
      </c>
      <c r="C198" s="78" t="s">
        <v>456</v>
      </c>
      <c r="D198" s="78" t="s">
        <v>457</v>
      </c>
      <c r="E198" s="21" t="s">
        <v>1827</v>
      </c>
      <c r="F198" s="21" t="s">
        <v>1828</v>
      </c>
      <c r="G198" s="23">
        <v>4766.0</v>
      </c>
      <c r="H198" s="26">
        <v>0.52</v>
      </c>
      <c r="I198" s="79">
        <v>5228.0</v>
      </c>
      <c r="J198" s="79" t="s">
        <v>1603</v>
      </c>
      <c r="K198" s="80" t="s">
        <v>1602</v>
      </c>
      <c r="L198" s="21">
        <v>17641.0</v>
      </c>
      <c r="M198" s="21">
        <v>9994.0</v>
      </c>
      <c r="N198" s="26">
        <v>0.3</v>
      </c>
      <c r="O198" s="26">
        <v>0.3</v>
      </c>
      <c r="P198" s="81" t="s">
        <v>1595</v>
      </c>
      <c r="Q198" s="26">
        <v>0.67</v>
      </c>
      <c r="R198" s="84">
        <v>0.44</v>
      </c>
      <c r="S198" s="23"/>
      <c r="T198" s="89"/>
      <c r="U198" s="82"/>
      <c r="V198" s="37"/>
      <c r="W198" s="37"/>
    </row>
    <row r="199" ht="14.25" customHeight="1">
      <c r="A199" s="83" t="s">
        <v>302</v>
      </c>
      <c r="B199" s="91" t="s">
        <v>474</v>
      </c>
      <c r="C199" s="78" t="s">
        <v>456</v>
      </c>
      <c r="D199" s="78" t="s">
        <v>457</v>
      </c>
      <c r="E199" s="21" t="s">
        <v>1829</v>
      </c>
      <c r="F199" s="21" t="s">
        <v>1830</v>
      </c>
      <c r="G199" s="23">
        <v>2580.0</v>
      </c>
      <c r="H199" s="26">
        <v>0.6</v>
      </c>
      <c r="I199" s="79">
        <v>3885.0</v>
      </c>
      <c r="J199" s="79" t="s">
        <v>1604</v>
      </c>
      <c r="K199" s="80" t="s">
        <v>1819</v>
      </c>
      <c r="L199" s="21">
        <v>11759.0</v>
      </c>
      <c r="M199" s="21">
        <v>6465.0</v>
      </c>
      <c r="N199" s="26">
        <v>0.3</v>
      </c>
      <c r="O199" s="26">
        <v>0.3</v>
      </c>
      <c r="P199" s="81" t="s">
        <v>1595</v>
      </c>
      <c r="Q199" s="26">
        <v>0.72</v>
      </c>
      <c r="R199" s="84">
        <v>0.49</v>
      </c>
      <c r="S199" s="23"/>
      <c r="T199" s="89"/>
      <c r="U199" s="82"/>
      <c r="V199" s="37"/>
      <c r="W199" s="37"/>
    </row>
    <row r="200" ht="14.25" customHeight="1">
      <c r="A200" s="83" t="s">
        <v>302</v>
      </c>
      <c r="B200" s="91" t="s">
        <v>476</v>
      </c>
      <c r="C200" s="78" t="s">
        <v>456</v>
      </c>
      <c r="D200" s="78" t="s">
        <v>457</v>
      </c>
      <c r="E200" s="21" t="s">
        <v>1831</v>
      </c>
      <c r="F200" s="21" t="s">
        <v>1832</v>
      </c>
      <c r="G200" s="23">
        <v>5785.0</v>
      </c>
      <c r="H200" s="26">
        <v>0.34</v>
      </c>
      <c r="I200" s="79">
        <v>3033.0</v>
      </c>
      <c r="J200" s="79" t="s">
        <v>1603</v>
      </c>
      <c r="K200" s="80" t="s">
        <v>1605</v>
      </c>
      <c r="L200" s="21">
        <v>17641.0</v>
      </c>
      <c r="M200" s="21">
        <v>8818.0</v>
      </c>
      <c r="N200" s="26">
        <v>0.3</v>
      </c>
      <c r="O200" s="26">
        <v>0.3</v>
      </c>
      <c r="P200" s="81" t="s">
        <v>1595</v>
      </c>
      <c r="Q200" s="26">
        <v>0.54</v>
      </c>
      <c r="R200" s="84">
        <v>0.31</v>
      </c>
      <c r="S200" s="23"/>
      <c r="T200" s="89"/>
      <c r="U200" s="82"/>
      <c r="V200" s="37"/>
      <c r="W200" s="37"/>
    </row>
    <row r="201" ht="14.25" customHeight="1">
      <c r="A201" s="83" t="s">
        <v>302</v>
      </c>
      <c r="B201" s="91" t="s">
        <v>478</v>
      </c>
      <c r="C201" s="78" t="s">
        <v>456</v>
      </c>
      <c r="D201" s="78" t="s">
        <v>457</v>
      </c>
      <c r="E201" s="21" t="s">
        <v>1831</v>
      </c>
      <c r="F201" s="21" t="s">
        <v>1833</v>
      </c>
      <c r="G201" s="23">
        <v>6668.0</v>
      </c>
      <c r="H201" s="26">
        <v>0.24</v>
      </c>
      <c r="I201" s="79">
        <v>2150.0</v>
      </c>
      <c r="J201" s="79" t="s">
        <v>1603</v>
      </c>
      <c r="K201" s="80" t="s">
        <v>1605</v>
      </c>
      <c r="L201" s="21">
        <v>17641.0</v>
      </c>
      <c r="M201" s="21">
        <v>8818.0</v>
      </c>
      <c r="N201" s="26">
        <v>0.3</v>
      </c>
      <c r="O201" s="26">
        <v>0.3</v>
      </c>
      <c r="P201" s="81" t="s">
        <v>1595</v>
      </c>
      <c r="Q201" s="26">
        <v>0.47</v>
      </c>
      <c r="R201" s="84">
        <v>0.24</v>
      </c>
      <c r="S201" s="23"/>
      <c r="T201" s="89"/>
      <c r="U201" s="82"/>
      <c r="V201" s="37"/>
      <c r="W201" s="37"/>
    </row>
    <row r="202" ht="14.25" customHeight="1">
      <c r="A202" s="83" t="s">
        <v>302</v>
      </c>
      <c r="B202" s="55" t="s">
        <v>480</v>
      </c>
      <c r="C202" s="78" t="s">
        <v>456</v>
      </c>
      <c r="D202" s="78" t="s">
        <v>457</v>
      </c>
      <c r="E202" s="21" t="s">
        <v>1834</v>
      </c>
      <c r="F202" s="21" t="s">
        <v>1835</v>
      </c>
      <c r="G202" s="23">
        <v>6664.0</v>
      </c>
      <c r="H202" s="26">
        <v>0.33</v>
      </c>
      <c r="I202" s="79">
        <v>3330.0</v>
      </c>
      <c r="J202" s="79" t="s">
        <v>1603</v>
      </c>
      <c r="K202" s="80" t="s">
        <v>1602</v>
      </c>
      <c r="L202" s="21">
        <v>17641.0</v>
      </c>
      <c r="M202" s="21">
        <v>9994.0</v>
      </c>
      <c r="N202" s="26">
        <v>0.3</v>
      </c>
      <c r="O202" s="26">
        <v>0.3</v>
      </c>
      <c r="P202" s="81" t="s">
        <v>1595</v>
      </c>
      <c r="Q202" s="26">
        <v>0.53</v>
      </c>
      <c r="R202" s="26">
        <v>0.3</v>
      </c>
      <c r="S202" s="23"/>
      <c r="T202" s="89"/>
      <c r="U202" s="82"/>
      <c r="V202" s="37"/>
      <c r="W202" s="37"/>
    </row>
    <row r="203" ht="14.25" customHeight="1">
      <c r="A203" s="83" t="s">
        <v>302</v>
      </c>
      <c r="B203" s="55" t="s">
        <v>482</v>
      </c>
      <c r="C203" s="78" t="s">
        <v>456</v>
      </c>
      <c r="D203" s="78" t="s">
        <v>457</v>
      </c>
      <c r="E203" s="21" t="s">
        <v>1836</v>
      </c>
      <c r="F203" s="21" t="s">
        <v>1837</v>
      </c>
      <c r="G203" s="23">
        <v>6229.0</v>
      </c>
      <c r="H203" s="26">
        <v>0.38</v>
      </c>
      <c r="I203" s="79">
        <v>3765.0</v>
      </c>
      <c r="J203" s="79" t="s">
        <v>1603</v>
      </c>
      <c r="K203" s="80" t="s">
        <v>1602</v>
      </c>
      <c r="L203" s="21">
        <v>17641.0</v>
      </c>
      <c r="M203" s="21">
        <v>9994.0</v>
      </c>
      <c r="N203" s="26">
        <v>0.3</v>
      </c>
      <c r="O203" s="26">
        <v>0.3</v>
      </c>
      <c r="P203" s="81" t="s">
        <v>1595</v>
      </c>
      <c r="Q203" s="26">
        <v>0.56</v>
      </c>
      <c r="R203" s="26">
        <v>0.33</v>
      </c>
      <c r="S203" s="23"/>
      <c r="T203" s="89"/>
      <c r="U203" s="82"/>
      <c r="V203" s="37"/>
      <c r="W203" s="37"/>
    </row>
    <row r="204" ht="14.25" customHeight="1">
      <c r="A204" s="83" t="s">
        <v>302</v>
      </c>
      <c r="B204" s="91">
        <v>1.564150627423E12</v>
      </c>
      <c r="C204" s="78" t="s">
        <v>456</v>
      </c>
      <c r="D204" s="78" t="s">
        <v>457</v>
      </c>
      <c r="E204" s="21" t="s">
        <v>1838</v>
      </c>
      <c r="F204" s="21" t="s">
        <v>1839</v>
      </c>
      <c r="G204" s="23">
        <v>2457.0</v>
      </c>
      <c r="H204" s="26">
        <v>0.48</v>
      </c>
      <c r="I204" s="79">
        <v>2243.0</v>
      </c>
      <c r="J204" s="79" t="s">
        <v>1604</v>
      </c>
      <c r="K204" s="80" t="s">
        <v>1734</v>
      </c>
      <c r="L204" s="21">
        <v>11759.0</v>
      </c>
      <c r="M204" s="21">
        <v>4700.0</v>
      </c>
      <c r="N204" s="26">
        <v>0.3</v>
      </c>
      <c r="O204" s="26">
        <v>0.3</v>
      </c>
      <c r="P204" s="81" t="s">
        <v>1595</v>
      </c>
      <c r="Q204" s="26">
        <v>0.63</v>
      </c>
      <c r="R204" s="84">
        <v>0.4</v>
      </c>
      <c r="S204" s="23"/>
      <c r="T204" s="89"/>
      <c r="U204" s="82"/>
      <c r="V204" s="37"/>
      <c r="W204" s="37"/>
    </row>
    <row r="205" ht="14.25" customHeight="1">
      <c r="A205" s="83" t="s">
        <v>302</v>
      </c>
      <c r="B205" s="91">
        <v>1.566335721736E12</v>
      </c>
      <c r="C205" s="78" t="s">
        <v>456</v>
      </c>
      <c r="D205" s="78" t="s">
        <v>457</v>
      </c>
      <c r="E205" s="21" t="s">
        <v>1838</v>
      </c>
      <c r="F205" s="21" t="s">
        <v>1840</v>
      </c>
      <c r="G205" s="23">
        <v>2555.0</v>
      </c>
      <c r="H205" s="26">
        <v>0.46</v>
      </c>
      <c r="I205" s="79">
        <v>2145.0</v>
      </c>
      <c r="J205" s="79" t="s">
        <v>1604</v>
      </c>
      <c r="K205" s="80" t="s">
        <v>1734</v>
      </c>
      <c r="L205" s="21">
        <v>11759.0</v>
      </c>
      <c r="M205" s="21">
        <v>4700.0</v>
      </c>
      <c r="N205" s="26">
        <v>0.3</v>
      </c>
      <c r="O205" s="26">
        <v>0.3</v>
      </c>
      <c r="P205" s="81" t="s">
        <v>1595</v>
      </c>
      <c r="Q205" s="26">
        <v>0.62</v>
      </c>
      <c r="R205" s="84">
        <v>0.39</v>
      </c>
      <c r="S205" s="96"/>
      <c r="T205" s="97"/>
      <c r="U205" s="82"/>
      <c r="V205" s="37"/>
      <c r="W205" s="37"/>
    </row>
    <row r="206" ht="14.25" customHeight="1">
      <c r="A206" s="83" t="s">
        <v>302</v>
      </c>
      <c r="B206" s="91">
        <v>1.564150661249E12</v>
      </c>
      <c r="C206" s="78" t="s">
        <v>456</v>
      </c>
      <c r="D206" s="78" t="s">
        <v>457</v>
      </c>
      <c r="E206" s="21" t="s">
        <v>1838</v>
      </c>
      <c r="F206" s="21" t="s">
        <v>1841</v>
      </c>
      <c r="G206" s="23">
        <v>2495.0</v>
      </c>
      <c r="H206" s="26">
        <v>0.47</v>
      </c>
      <c r="I206" s="79">
        <v>2205.0</v>
      </c>
      <c r="J206" s="79" t="s">
        <v>1604</v>
      </c>
      <c r="K206" s="80" t="s">
        <v>1734</v>
      </c>
      <c r="L206" s="21">
        <v>11759.0</v>
      </c>
      <c r="M206" s="21">
        <v>4700.0</v>
      </c>
      <c r="N206" s="26">
        <v>0.3</v>
      </c>
      <c r="O206" s="26">
        <v>0.3</v>
      </c>
      <c r="P206" s="81" t="s">
        <v>1595</v>
      </c>
      <c r="Q206" s="26">
        <v>0.63</v>
      </c>
      <c r="R206" s="84">
        <v>0.4</v>
      </c>
      <c r="S206" s="96"/>
      <c r="T206" s="97"/>
      <c r="U206" s="82"/>
      <c r="V206" s="37"/>
      <c r="W206" s="37"/>
    </row>
    <row r="207" ht="14.25" customHeight="1">
      <c r="A207" s="83" t="s">
        <v>302</v>
      </c>
      <c r="B207" s="91">
        <v>1.592492799236E12</v>
      </c>
      <c r="C207" s="78" t="s">
        <v>456</v>
      </c>
      <c r="D207" s="78" t="s">
        <v>457</v>
      </c>
      <c r="E207" s="21" t="s">
        <v>1838</v>
      </c>
      <c r="F207" s="21" t="s">
        <v>1842</v>
      </c>
      <c r="G207" s="23">
        <v>2635.0</v>
      </c>
      <c r="H207" s="26">
        <v>0.44</v>
      </c>
      <c r="I207" s="79">
        <v>2065.0</v>
      </c>
      <c r="J207" s="79" t="s">
        <v>1604</v>
      </c>
      <c r="K207" s="80" t="s">
        <v>1734</v>
      </c>
      <c r="L207" s="21">
        <v>11759.0</v>
      </c>
      <c r="M207" s="21">
        <v>4700.0</v>
      </c>
      <c r="N207" s="26">
        <v>0.3</v>
      </c>
      <c r="O207" s="26">
        <v>0.3</v>
      </c>
      <c r="P207" s="81" t="s">
        <v>1595</v>
      </c>
      <c r="Q207" s="26">
        <v>0.61</v>
      </c>
      <c r="R207" s="84">
        <v>0.38</v>
      </c>
      <c r="S207" s="96"/>
      <c r="T207" s="97"/>
      <c r="U207" s="82"/>
      <c r="V207" s="37"/>
      <c r="W207" s="37"/>
    </row>
    <row r="208" ht="14.25" customHeight="1">
      <c r="A208" s="83" t="s">
        <v>302</v>
      </c>
      <c r="B208" s="91">
        <v>1.53788936885E12</v>
      </c>
      <c r="C208" s="78" t="s">
        <v>456</v>
      </c>
      <c r="D208" s="78" t="s">
        <v>457</v>
      </c>
      <c r="E208" s="21" t="s">
        <v>1843</v>
      </c>
      <c r="F208" s="21" t="s">
        <v>464</v>
      </c>
      <c r="G208" s="23">
        <v>4182.0</v>
      </c>
      <c r="H208" s="26">
        <v>0.45</v>
      </c>
      <c r="I208" s="79">
        <v>3459.0</v>
      </c>
      <c r="J208" s="79" t="s">
        <v>1601</v>
      </c>
      <c r="K208" s="80" t="s">
        <v>1686</v>
      </c>
      <c r="L208" s="21">
        <v>14700.0</v>
      </c>
      <c r="M208" s="21">
        <v>7641.0</v>
      </c>
      <c r="N208" s="26">
        <v>0.3</v>
      </c>
      <c r="O208" s="26">
        <v>0.3</v>
      </c>
      <c r="P208" s="83" t="s">
        <v>134</v>
      </c>
      <c r="Q208" s="26">
        <v>0.62</v>
      </c>
      <c r="R208" s="84">
        <v>0.39</v>
      </c>
      <c r="S208" s="96"/>
      <c r="T208" s="97"/>
      <c r="U208" s="82"/>
      <c r="V208" s="37"/>
      <c r="W208" s="37"/>
    </row>
    <row r="209" ht="14.25" customHeight="1">
      <c r="A209" s="83" t="s">
        <v>302</v>
      </c>
      <c r="B209" s="91">
        <v>1.59708649984E12</v>
      </c>
      <c r="C209" s="78" t="s">
        <v>456</v>
      </c>
      <c r="D209" s="78" t="s">
        <v>457</v>
      </c>
      <c r="E209" s="21" t="s">
        <v>1844</v>
      </c>
      <c r="F209" s="21" t="s">
        <v>1845</v>
      </c>
      <c r="G209" s="23">
        <v>4699.0</v>
      </c>
      <c r="H209" s="26">
        <v>0.39</v>
      </c>
      <c r="I209" s="79">
        <v>2942.0</v>
      </c>
      <c r="J209" s="79" t="s">
        <v>1603</v>
      </c>
      <c r="K209" s="80" t="s">
        <v>1686</v>
      </c>
      <c r="L209" s="21">
        <v>17641.0</v>
      </c>
      <c r="M209" s="21">
        <v>7641.0</v>
      </c>
      <c r="N209" s="26">
        <v>0.3</v>
      </c>
      <c r="O209" s="26">
        <v>0.3</v>
      </c>
      <c r="P209" s="81" t="s">
        <v>1595</v>
      </c>
      <c r="Q209" s="26">
        <v>0.57</v>
      </c>
      <c r="R209" s="84">
        <v>0.34</v>
      </c>
      <c r="S209" s="23"/>
      <c r="T209" s="16"/>
      <c r="U209" s="82"/>
      <c r="V209" s="37"/>
      <c r="W209" s="37"/>
    </row>
    <row r="210" ht="14.25" customHeight="1">
      <c r="A210" s="83" t="s">
        <v>302</v>
      </c>
      <c r="B210" s="91">
        <v>1.597098592591E12</v>
      </c>
      <c r="C210" s="78" t="s">
        <v>456</v>
      </c>
      <c r="D210" s="78" t="s">
        <v>457</v>
      </c>
      <c r="E210" s="21" t="s">
        <v>1844</v>
      </c>
      <c r="F210" s="21" t="s">
        <v>1846</v>
      </c>
      <c r="G210" s="23">
        <v>4741.0</v>
      </c>
      <c r="H210" s="26">
        <v>0.38</v>
      </c>
      <c r="I210" s="79">
        <v>2900.0</v>
      </c>
      <c r="J210" s="79" t="s">
        <v>1603</v>
      </c>
      <c r="K210" s="80" t="s">
        <v>1686</v>
      </c>
      <c r="L210" s="21">
        <v>17641.0</v>
      </c>
      <c r="M210" s="21">
        <v>7641.0</v>
      </c>
      <c r="N210" s="26">
        <v>0.3</v>
      </c>
      <c r="O210" s="26">
        <v>0.3</v>
      </c>
      <c r="P210" s="81" t="s">
        <v>1595</v>
      </c>
      <c r="Q210" s="26">
        <v>0.57</v>
      </c>
      <c r="R210" s="84">
        <v>0.34</v>
      </c>
      <c r="S210" s="23"/>
      <c r="T210" s="16"/>
      <c r="U210" s="98"/>
      <c r="V210" s="37"/>
      <c r="W210" s="37"/>
    </row>
    <row r="211" ht="14.25" customHeight="1">
      <c r="A211" s="83" t="s">
        <v>302</v>
      </c>
      <c r="B211" s="91">
        <v>6.8658868763602E13</v>
      </c>
      <c r="C211" s="78" t="s">
        <v>456</v>
      </c>
      <c r="D211" s="78" t="s">
        <v>457</v>
      </c>
      <c r="E211" s="21" t="s">
        <v>1844</v>
      </c>
      <c r="F211" s="21" t="s">
        <v>1847</v>
      </c>
      <c r="G211" s="23">
        <v>4453.0</v>
      </c>
      <c r="H211" s="26">
        <v>0.49</v>
      </c>
      <c r="I211" s="79">
        <v>4365.0</v>
      </c>
      <c r="J211" s="79" t="s">
        <v>1603</v>
      </c>
      <c r="K211" s="80" t="s">
        <v>1605</v>
      </c>
      <c r="L211" s="21">
        <v>17641.0</v>
      </c>
      <c r="M211" s="21">
        <v>8818.0</v>
      </c>
      <c r="N211" s="26">
        <v>0.3</v>
      </c>
      <c r="O211" s="26">
        <v>0.3</v>
      </c>
      <c r="P211" s="81" t="s">
        <v>1595</v>
      </c>
      <c r="Q211" s="26">
        <v>0.65</v>
      </c>
      <c r="R211" s="84">
        <v>0.42</v>
      </c>
      <c r="S211" s="96"/>
      <c r="T211" s="97"/>
      <c r="U211" s="82"/>
      <c r="V211" s="37"/>
      <c r="W211" s="37"/>
    </row>
    <row r="212" ht="14.25" customHeight="1">
      <c r="A212" s="83" t="s">
        <v>302</v>
      </c>
      <c r="B212" s="91">
        <v>6.8658866289861E13</v>
      </c>
      <c r="C212" s="78" t="s">
        <v>456</v>
      </c>
      <c r="D212" s="78" t="s">
        <v>457</v>
      </c>
      <c r="E212" s="21" t="s">
        <v>1844</v>
      </c>
      <c r="F212" s="21" t="s">
        <v>1848</v>
      </c>
      <c r="G212" s="23">
        <v>4470.0</v>
      </c>
      <c r="H212" s="26">
        <v>0.49</v>
      </c>
      <c r="I212" s="79">
        <v>4347.0</v>
      </c>
      <c r="J212" s="79" t="s">
        <v>1603</v>
      </c>
      <c r="K212" s="80" t="s">
        <v>1605</v>
      </c>
      <c r="L212" s="21">
        <v>17641.0</v>
      </c>
      <c r="M212" s="21">
        <v>8818.0</v>
      </c>
      <c r="N212" s="26">
        <v>0.3</v>
      </c>
      <c r="O212" s="26">
        <v>0.3</v>
      </c>
      <c r="P212" s="81" t="s">
        <v>1595</v>
      </c>
      <c r="Q212" s="26">
        <v>0.65</v>
      </c>
      <c r="R212" s="84">
        <v>0.42</v>
      </c>
      <c r="S212" s="23"/>
      <c r="T212" s="89"/>
      <c r="U212" s="82"/>
      <c r="V212" s="37"/>
      <c r="W212" s="37"/>
    </row>
    <row r="213" ht="14.25" customHeight="1">
      <c r="A213" s="83" t="s">
        <v>302</v>
      </c>
      <c r="B213" s="91">
        <v>6.7898461965813E13</v>
      </c>
      <c r="C213" s="78" t="s">
        <v>456</v>
      </c>
      <c r="D213" s="78" t="s">
        <v>483</v>
      </c>
      <c r="E213" s="21" t="s">
        <v>1849</v>
      </c>
      <c r="F213" s="21" t="s">
        <v>485</v>
      </c>
      <c r="G213" s="23">
        <v>4716.0</v>
      </c>
      <c r="H213" s="26">
        <v>0.47</v>
      </c>
      <c r="I213" s="79">
        <v>4102.0</v>
      </c>
      <c r="J213" s="79" t="s">
        <v>1601</v>
      </c>
      <c r="K213" s="80" t="s">
        <v>1605</v>
      </c>
      <c r="L213" s="21">
        <v>14700.0</v>
      </c>
      <c r="M213" s="21">
        <v>8818.0</v>
      </c>
      <c r="N213" s="26">
        <v>0.3</v>
      </c>
      <c r="O213" s="26">
        <v>0.3</v>
      </c>
      <c r="P213" s="83" t="s">
        <v>134</v>
      </c>
      <c r="Q213" s="26">
        <v>0.63</v>
      </c>
      <c r="R213" s="84">
        <v>0.4</v>
      </c>
      <c r="S213" s="23"/>
      <c r="T213" s="89"/>
      <c r="U213" s="82"/>
      <c r="V213" s="37"/>
      <c r="W213" s="37"/>
    </row>
    <row r="214" ht="14.25" customHeight="1">
      <c r="A214" s="83" t="s">
        <v>302</v>
      </c>
      <c r="B214" s="91">
        <v>6.7898465380537E13</v>
      </c>
      <c r="C214" s="78" t="s">
        <v>456</v>
      </c>
      <c r="D214" s="78" t="s">
        <v>483</v>
      </c>
      <c r="E214" s="21" t="s">
        <v>1849</v>
      </c>
      <c r="F214" s="21" t="s">
        <v>486</v>
      </c>
      <c r="G214" s="23">
        <v>4710.0</v>
      </c>
      <c r="H214" s="26">
        <v>0.47</v>
      </c>
      <c r="I214" s="79">
        <v>4108.0</v>
      </c>
      <c r="J214" s="79" t="s">
        <v>1601</v>
      </c>
      <c r="K214" s="80" t="s">
        <v>1605</v>
      </c>
      <c r="L214" s="21">
        <v>14700.0</v>
      </c>
      <c r="M214" s="21">
        <v>8818.0</v>
      </c>
      <c r="N214" s="26">
        <v>0.3</v>
      </c>
      <c r="O214" s="26">
        <v>0.3</v>
      </c>
      <c r="P214" s="83" t="s">
        <v>134</v>
      </c>
      <c r="Q214" s="26">
        <v>0.63</v>
      </c>
      <c r="R214" s="84">
        <v>0.4</v>
      </c>
      <c r="S214" s="23"/>
      <c r="T214" s="89"/>
      <c r="U214" s="82"/>
      <c r="V214" s="37"/>
      <c r="W214" s="37"/>
    </row>
    <row r="215" ht="14.25" customHeight="1">
      <c r="A215" s="83" t="s">
        <v>302</v>
      </c>
      <c r="B215" s="91">
        <v>6.7898463643999E13</v>
      </c>
      <c r="C215" s="78" t="s">
        <v>456</v>
      </c>
      <c r="D215" s="78" t="s">
        <v>483</v>
      </c>
      <c r="E215" s="21" t="s">
        <v>1849</v>
      </c>
      <c r="F215" s="21" t="s">
        <v>488</v>
      </c>
      <c r="G215" s="23">
        <v>4490.0</v>
      </c>
      <c r="H215" s="26">
        <v>0.49</v>
      </c>
      <c r="I215" s="79">
        <v>4328.0</v>
      </c>
      <c r="J215" s="79" t="s">
        <v>1601</v>
      </c>
      <c r="K215" s="80" t="s">
        <v>1605</v>
      </c>
      <c r="L215" s="21">
        <v>14700.0</v>
      </c>
      <c r="M215" s="21">
        <v>8818.0</v>
      </c>
      <c r="N215" s="26">
        <v>0.3</v>
      </c>
      <c r="O215" s="26">
        <v>0.3</v>
      </c>
      <c r="P215" s="83" t="s">
        <v>134</v>
      </c>
      <c r="Q215" s="26">
        <v>0.64</v>
      </c>
      <c r="R215" s="84">
        <v>0.41</v>
      </c>
      <c r="S215" s="23"/>
      <c r="T215" s="89"/>
      <c r="U215" s="82"/>
      <c r="V215" s="37"/>
      <c r="W215" s="37"/>
    </row>
    <row r="216" ht="14.25" customHeight="1">
      <c r="A216" s="83" t="s">
        <v>302</v>
      </c>
      <c r="B216" s="91" t="s">
        <v>490</v>
      </c>
      <c r="C216" s="78" t="s">
        <v>456</v>
      </c>
      <c r="D216" s="78" t="s">
        <v>483</v>
      </c>
      <c r="E216" s="21" t="s">
        <v>1850</v>
      </c>
      <c r="F216" s="21" t="s">
        <v>1851</v>
      </c>
      <c r="G216" s="23">
        <v>10174.0</v>
      </c>
      <c r="H216" s="26">
        <v>0.31</v>
      </c>
      <c r="I216" s="79">
        <v>4526.0</v>
      </c>
      <c r="J216" s="79" t="s">
        <v>1606</v>
      </c>
      <c r="K216" s="80" t="s">
        <v>1601</v>
      </c>
      <c r="L216" s="21">
        <v>29406.0</v>
      </c>
      <c r="M216" s="21">
        <v>14700.0</v>
      </c>
      <c r="N216" s="26">
        <v>0.3</v>
      </c>
      <c r="O216" s="26">
        <v>0.3</v>
      </c>
      <c r="P216" s="81" t="s">
        <v>1595</v>
      </c>
      <c r="Q216" s="26">
        <v>0.52</v>
      </c>
      <c r="R216" s="84">
        <v>0.29</v>
      </c>
      <c r="S216" s="23"/>
      <c r="T216" s="89"/>
      <c r="U216" s="82"/>
      <c r="V216" s="37"/>
      <c r="W216" s="37"/>
    </row>
    <row r="217" ht="14.25" customHeight="1">
      <c r="A217" s="83" t="s">
        <v>302</v>
      </c>
      <c r="B217" s="91" t="s">
        <v>492</v>
      </c>
      <c r="C217" s="78" t="s">
        <v>456</v>
      </c>
      <c r="D217" s="78" t="s">
        <v>483</v>
      </c>
      <c r="E217" s="21" t="s">
        <v>1850</v>
      </c>
      <c r="F217" s="21" t="s">
        <v>1852</v>
      </c>
      <c r="G217" s="23">
        <v>10891.0</v>
      </c>
      <c r="H217" s="26">
        <v>0.26</v>
      </c>
      <c r="I217" s="79">
        <v>3809.0</v>
      </c>
      <c r="J217" s="79" t="s">
        <v>1606</v>
      </c>
      <c r="K217" s="80" t="s">
        <v>1601</v>
      </c>
      <c r="L217" s="21">
        <v>29406.0</v>
      </c>
      <c r="M217" s="21">
        <v>14700.0</v>
      </c>
      <c r="N217" s="26">
        <v>0.3</v>
      </c>
      <c r="O217" s="26">
        <v>0.3</v>
      </c>
      <c r="P217" s="81" t="s">
        <v>1595</v>
      </c>
      <c r="Q217" s="26">
        <v>0.48</v>
      </c>
      <c r="R217" s="84">
        <v>0.25</v>
      </c>
      <c r="S217" s="23"/>
      <c r="T217" s="89"/>
      <c r="U217" s="82"/>
      <c r="V217" s="37"/>
      <c r="W217" s="37"/>
    </row>
    <row r="218" ht="14.25" customHeight="1">
      <c r="A218" s="83" t="s">
        <v>302</v>
      </c>
      <c r="B218" s="91" t="s">
        <v>494</v>
      </c>
      <c r="C218" s="78" t="s">
        <v>456</v>
      </c>
      <c r="D218" s="78" t="s">
        <v>483</v>
      </c>
      <c r="E218" s="21" t="s">
        <v>1853</v>
      </c>
      <c r="F218" s="21" t="s">
        <v>1854</v>
      </c>
      <c r="G218" s="23">
        <v>7442.0</v>
      </c>
      <c r="H218" s="26">
        <v>0.37</v>
      </c>
      <c r="I218" s="79">
        <v>4317.0</v>
      </c>
      <c r="J218" s="79" t="s">
        <v>1608</v>
      </c>
      <c r="K218" s="80" t="s">
        <v>1604</v>
      </c>
      <c r="L218" s="21">
        <v>23524.0</v>
      </c>
      <c r="M218" s="21">
        <v>11759.0</v>
      </c>
      <c r="N218" s="26">
        <v>0.3</v>
      </c>
      <c r="O218" s="26">
        <v>0.3</v>
      </c>
      <c r="P218" s="81" t="s">
        <v>1595</v>
      </c>
      <c r="Q218" s="26">
        <v>0.56</v>
      </c>
      <c r="R218" s="84">
        <v>0.33</v>
      </c>
      <c r="S218" s="23"/>
      <c r="T218" s="89"/>
      <c r="U218" s="82"/>
      <c r="V218" s="37"/>
      <c r="W218" s="37"/>
    </row>
    <row r="219" ht="14.25" customHeight="1">
      <c r="A219" s="83" t="s">
        <v>302</v>
      </c>
      <c r="B219" s="91" t="s">
        <v>496</v>
      </c>
      <c r="C219" s="78" t="s">
        <v>456</v>
      </c>
      <c r="D219" s="78" t="s">
        <v>483</v>
      </c>
      <c r="E219" s="21" t="s">
        <v>1853</v>
      </c>
      <c r="F219" s="21" t="s">
        <v>1855</v>
      </c>
      <c r="G219" s="23">
        <v>7437.0</v>
      </c>
      <c r="H219" s="26">
        <v>0.37</v>
      </c>
      <c r="I219" s="79">
        <v>4322.0</v>
      </c>
      <c r="J219" s="79" t="s">
        <v>1608</v>
      </c>
      <c r="K219" s="80" t="s">
        <v>1604</v>
      </c>
      <c r="L219" s="21">
        <v>23524.0</v>
      </c>
      <c r="M219" s="21">
        <v>11759.0</v>
      </c>
      <c r="N219" s="26">
        <v>0.3</v>
      </c>
      <c r="O219" s="26">
        <v>0.3</v>
      </c>
      <c r="P219" s="81" t="s">
        <v>1595</v>
      </c>
      <c r="Q219" s="26">
        <v>0.56</v>
      </c>
      <c r="R219" s="84">
        <v>0.33</v>
      </c>
      <c r="S219" s="23"/>
      <c r="T219" s="89"/>
      <c r="U219" s="82"/>
      <c r="V219" s="37"/>
      <c r="W219" s="37"/>
    </row>
    <row r="220" ht="14.25" customHeight="1">
      <c r="A220" s="83" t="s">
        <v>302</v>
      </c>
      <c r="B220" s="91" t="s">
        <v>498</v>
      </c>
      <c r="C220" s="78" t="s">
        <v>456</v>
      </c>
      <c r="D220" s="78" t="s">
        <v>483</v>
      </c>
      <c r="E220" s="21" t="s">
        <v>1853</v>
      </c>
      <c r="F220" s="21" t="s">
        <v>1856</v>
      </c>
      <c r="G220" s="23">
        <v>8447.0</v>
      </c>
      <c r="H220" s="26">
        <v>0.28</v>
      </c>
      <c r="I220" s="79">
        <v>3312.0</v>
      </c>
      <c r="J220" s="79" t="s">
        <v>1608</v>
      </c>
      <c r="K220" s="80" t="s">
        <v>1604</v>
      </c>
      <c r="L220" s="21">
        <v>23524.0</v>
      </c>
      <c r="M220" s="21">
        <v>11759.0</v>
      </c>
      <c r="N220" s="26">
        <v>0.3</v>
      </c>
      <c r="O220" s="26">
        <v>0.3</v>
      </c>
      <c r="P220" s="83" t="s">
        <v>134</v>
      </c>
      <c r="Q220" s="26">
        <v>0.5</v>
      </c>
      <c r="R220" s="84">
        <v>0.27</v>
      </c>
      <c r="S220" s="23"/>
      <c r="T220" s="89"/>
      <c r="U220" s="82"/>
      <c r="V220" s="37"/>
      <c r="W220" s="37"/>
    </row>
    <row r="221" ht="14.25" customHeight="1">
      <c r="A221" s="83" t="s">
        <v>302</v>
      </c>
      <c r="B221" s="91" t="s">
        <v>500</v>
      </c>
      <c r="C221" s="78" t="s">
        <v>456</v>
      </c>
      <c r="D221" s="78" t="s">
        <v>483</v>
      </c>
      <c r="E221" s="21" t="s">
        <v>1853</v>
      </c>
      <c r="F221" s="21" t="s">
        <v>1857</v>
      </c>
      <c r="G221" s="23">
        <v>7548.0</v>
      </c>
      <c r="H221" s="26">
        <v>0.36</v>
      </c>
      <c r="I221" s="79">
        <v>4211.0</v>
      </c>
      <c r="J221" s="79" t="s">
        <v>1608</v>
      </c>
      <c r="K221" s="80" t="s">
        <v>1604</v>
      </c>
      <c r="L221" s="21">
        <v>23524.0</v>
      </c>
      <c r="M221" s="21">
        <v>11759.0</v>
      </c>
      <c r="N221" s="26">
        <v>0.3</v>
      </c>
      <c r="O221" s="26">
        <v>0.3</v>
      </c>
      <c r="P221" s="81" t="s">
        <v>1595</v>
      </c>
      <c r="Q221" s="26">
        <v>0.55</v>
      </c>
      <c r="R221" s="84">
        <v>0.32</v>
      </c>
      <c r="S221" s="23"/>
      <c r="T221" s="89"/>
      <c r="U221" s="82"/>
      <c r="V221" s="37"/>
      <c r="W221" s="37"/>
    </row>
    <row r="222" ht="14.25" customHeight="1">
      <c r="A222" s="83" t="s">
        <v>302</v>
      </c>
      <c r="B222" s="91" t="s">
        <v>502</v>
      </c>
      <c r="C222" s="78" t="s">
        <v>456</v>
      </c>
      <c r="D222" s="78" t="s">
        <v>483</v>
      </c>
      <c r="E222" s="21" t="s">
        <v>1858</v>
      </c>
      <c r="F222" s="21" t="s">
        <v>1859</v>
      </c>
      <c r="G222" s="23">
        <v>5887.0</v>
      </c>
      <c r="H222" s="26">
        <v>0.33</v>
      </c>
      <c r="I222" s="79">
        <v>2931.0</v>
      </c>
      <c r="J222" s="79" t="s">
        <v>1603</v>
      </c>
      <c r="K222" s="80" t="s">
        <v>1605</v>
      </c>
      <c r="L222" s="21">
        <v>17641.0</v>
      </c>
      <c r="M222" s="21">
        <v>8818.0</v>
      </c>
      <c r="N222" s="26">
        <v>0.3</v>
      </c>
      <c r="O222" s="26">
        <v>0.3</v>
      </c>
      <c r="P222" s="81" t="s">
        <v>1595</v>
      </c>
      <c r="Q222" s="26">
        <v>0.53</v>
      </c>
      <c r="R222" s="84">
        <v>0.3</v>
      </c>
      <c r="S222" s="23"/>
      <c r="T222" s="89"/>
      <c r="U222" s="82"/>
      <c r="V222" s="37"/>
      <c r="W222" s="37"/>
    </row>
    <row r="223" ht="14.25" customHeight="1">
      <c r="A223" s="83" t="s">
        <v>302</v>
      </c>
      <c r="B223" s="91" t="s">
        <v>504</v>
      </c>
      <c r="C223" s="78" t="s">
        <v>456</v>
      </c>
      <c r="D223" s="78" t="s">
        <v>483</v>
      </c>
      <c r="E223" s="21" t="s">
        <v>1858</v>
      </c>
      <c r="F223" s="21" t="s">
        <v>1860</v>
      </c>
      <c r="G223" s="23">
        <v>5916.0</v>
      </c>
      <c r="H223" s="26">
        <v>0.33</v>
      </c>
      <c r="I223" s="79">
        <v>2902.0</v>
      </c>
      <c r="J223" s="79" t="s">
        <v>1603</v>
      </c>
      <c r="K223" s="80" t="s">
        <v>1605</v>
      </c>
      <c r="L223" s="21">
        <v>17641.0</v>
      </c>
      <c r="M223" s="21">
        <v>8818.0</v>
      </c>
      <c r="N223" s="26">
        <v>0.3</v>
      </c>
      <c r="O223" s="26">
        <v>0.3</v>
      </c>
      <c r="P223" s="81" t="s">
        <v>1595</v>
      </c>
      <c r="Q223" s="26">
        <v>0.53</v>
      </c>
      <c r="R223" s="84">
        <v>0.3</v>
      </c>
      <c r="S223" s="23"/>
      <c r="T223" s="89"/>
      <c r="U223" s="82"/>
      <c r="V223" s="37"/>
      <c r="W223" s="37"/>
    </row>
    <row r="224" ht="14.25" customHeight="1">
      <c r="A224" s="83" t="s">
        <v>302</v>
      </c>
      <c r="B224" s="91" t="s">
        <v>506</v>
      </c>
      <c r="C224" s="78" t="s">
        <v>456</v>
      </c>
      <c r="D224" s="78" t="s">
        <v>483</v>
      </c>
      <c r="E224" s="21" t="s">
        <v>1858</v>
      </c>
      <c r="F224" s="21" t="s">
        <v>1861</v>
      </c>
      <c r="G224" s="23">
        <v>5754.0</v>
      </c>
      <c r="H224" s="26">
        <v>0.35</v>
      </c>
      <c r="I224" s="79">
        <v>3064.0</v>
      </c>
      <c r="J224" s="79" t="s">
        <v>1603</v>
      </c>
      <c r="K224" s="80" t="s">
        <v>1605</v>
      </c>
      <c r="L224" s="21">
        <v>17641.0</v>
      </c>
      <c r="M224" s="21">
        <v>8818.0</v>
      </c>
      <c r="N224" s="26">
        <v>0.3</v>
      </c>
      <c r="O224" s="26">
        <v>0.3</v>
      </c>
      <c r="P224" s="81" t="s">
        <v>1595</v>
      </c>
      <c r="Q224" s="26">
        <v>0.54</v>
      </c>
      <c r="R224" s="84">
        <v>0.31</v>
      </c>
      <c r="S224" s="23"/>
      <c r="T224" s="89"/>
      <c r="U224" s="82"/>
      <c r="V224" s="37"/>
      <c r="W224" s="37"/>
    </row>
    <row r="225" ht="14.25" customHeight="1">
      <c r="A225" s="83" t="s">
        <v>302</v>
      </c>
      <c r="B225" s="91" t="s">
        <v>508</v>
      </c>
      <c r="C225" s="78" t="s">
        <v>456</v>
      </c>
      <c r="D225" s="78" t="s">
        <v>483</v>
      </c>
      <c r="E225" s="21" t="s">
        <v>1858</v>
      </c>
      <c r="F225" s="21" t="s">
        <v>1862</v>
      </c>
      <c r="G225" s="23">
        <v>5933.0</v>
      </c>
      <c r="H225" s="26">
        <v>0.33</v>
      </c>
      <c r="I225" s="79">
        <v>2885.0</v>
      </c>
      <c r="J225" s="79" t="s">
        <v>1603</v>
      </c>
      <c r="K225" s="80" t="s">
        <v>1605</v>
      </c>
      <c r="L225" s="21">
        <v>17641.0</v>
      </c>
      <c r="M225" s="21">
        <v>8818.0</v>
      </c>
      <c r="N225" s="26">
        <v>0.3</v>
      </c>
      <c r="O225" s="26">
        <v>0.3</v>
      </c>
      <c r="P225" s="81" t="s">
        <v>1595</v>
      </c>
      <c r="Q225" s="26">
        <v>0.53</v>
      </c>
      <c r="R225" s="84">
        <v>0.3</v>
      </c>
      <c r="S225" s="23"/>
      <c r="T225" s="89"/>
      <c r="U225" s="82"/>
      <c r="V225" s="37"/>
      <c r="W225" s="37"/>
    </row>
    <row r="226" ht="14.25" customHeight="1">
      <c r="A226" s="83" t="s">
        <v>302</v>
      </c>
      <c r="B226" s="91">
        <v>6.7933835121467E13</v>
      </c>
      <c r="C226" s="78" t="s">
        <v>456</v>
      </c>
      <c r="D226" s="78" t="s">
        <v>483</v>
      </c>
      <c r="E226" s="21" t="s">
        <v>1863</v>
      </c>
      <c r="F226" s="21" t="s">
        <v>1864</v>
      </c>
      <c r="G226" s="23">
        <v>4617.0</v>
      </c>
      <c r="H226" s="26">
        <v>0.4</v>
      </c>
      <c r="I226" s="79">
        <v>3024.0</v>
      </c>
      <c r="J226" s="79" t="s">
        <v>1821</v>
      </c>
      <c r="K226" s="80" t="s">
        <v>1686</v>
      </c>
      <c r="L226" s="21">
        <v>12935.0</v>
      </c>
      <c r="M226" s="21">
        <v>7641.0</v>
      </c>
      <c r="N226" s="26">
        <v>0.3</v>
      </c>
      <c r="O226" s="26">
        <v>0.3</v>
      </c>
      <c r="P226" s="81" t="s">
        <v>1595</v>
      </c>
      <c r="Q226" s="26">
        <v>0.58</v>
      </c>
      <c r="R226" s="84">
        <v>0.35</v>
      </c>
      <c r="S226" s="23"/>
      <c r="T226" s="89"/>
      <c r="U226" s="82"/>
      <c r="V226" s="37"/>
      <c r="W226" s="37"/>
    </row>
    <row r="227" ht="14.25" customHeight="1">
      <c r="A227" s="83" t="s">
        <v>302</v>
      </c>
      <c r="B227" s="91">
        <v>6.793383184397E13</v>
      </c>
      <c r="C227" s="78" t="s">
        <v>456</v>
      </c>
      <c r="D227" s="78" t="s">
        <v>483</v>
      </c>
      <c r="E227" s="21" t="s">
        <v>1863</v>
      </c>
      <c r="F227" s="21" t="s">
        <v>1865</v>
      </c>
      <c r="G227" s="23">
        <v>4513.0</v>
      </c>
      <c r="H227" s="26">
        <v>0.41</v>
      </c>
      <c r="I227" s="79">
        <v>3128.0</v>
      </c>
      <c r="J227" s="79" t="s">
        <v>1821</v>
      </c>
      <c r="K227" s="80" t="s">
        <v>1686</v>
      </c>
      <c r="L227" s="21">
        <v>12935.0</v>
      </c>
      <c r="M227" s="21">
        <v>7641.0</v>
      </c>
      <c r="N227" s="26">
        <v>0.3</v>
      </c>
      <c r="O227" s="26">
        <v>0.3</v>
      </c>
      <c r="P227" s="81" t="s">
        <v>1595</v>
      </c>
      <c r="Q227" s="26">
        <v>0.59</v>
      </c>
      <c r="R227" s="84">
        <v>0.36</v>
      </c>
      <c r="S227" s="23"/>
      <c r="T227" s="89"/>
      <c r="U227" s="82"/>
      <c r="V227" s="37"/>
      <c r="W227" s="37"/>
    </row>
    <row r="228" ht="14.25" customHeight="1">
      <c r="A228" s="83" t="s">
        <v>302</v>
      </c>
      <c r="B228" s="91">
        <v>6.7933833934278E13</v>
      </c>
      <c r="C228" s="78" t="s">
        <v>456</v>
      </c>
      <c r="D228" s="78" t="s">
        <v>483</v>
      </c>
      <c r="E228" s="21" t="s">
        <v>1863</v>
      </c>
      <c r="F228" s="21" t="s">
        <v>1866</v>
      </c>
      <c r="G228" s="23">
        <v>4511.0</v>
      </c>
      <c r="H228" s="26">
        <v>0.41</v>
      </c>
      <c r="I228" s="79">
        <v>3130.0</v>
      </c>
      <c r="J228" s="79" t="s">
        <v>1821</v>
      </c>
      <c r="K228" s="80" t="s">
        <v>1686</v>
      </c>
      <c r="L228" s="21">
        <v>12935.0</v>
      </c>
      <c r="M228" s="21">
        <v>7641.0</v>
      </c>
      <c r="N228" s="26">
        <v>0.3</v>
      </c>
      <c r="O228" s="26">
        <v>0.3</v>
      </c>
      <c r="P228" s="81" t="s">
        <v>1595</v>
      </c>
      <c r="Q228" s="26">
        <v>0.59</v>
      </c>
      <c r="R228" s="84">
        <v>0.36</v>
      </c>
      <c r="S228" s="23"/>
      <c r="T228" s="89"/>
      <c r="U228" s="82"/>
      <c r="V228" s="37"/>
      <c r="W228" s="37"/>
    </row>
    <row r="229" ht="14.25" customHeight="1">
      <c r="A229" s="83" t="s">
        <v>302</v>
      </c>
      <c r="B229" s="91">
        <v>6.7933835988925E13</v>
      </c>
      <c r="C229" s="78" t="s">
        <v>456</v>
      </c>
      <c r="D229" s="78" t="s">
        <v>483</v>
      </c>
      <c r="E229" s="21" t="s">
        <v>1863</v>
      </c>
      <c r="F229" s="21" t="s">
        <v>1867</v>
      </c>
      <c r="G229" s="23">
        <v>4535.0</v>
      </c>
      <c r="H229" s="26">
        <v>0.41</v>
      </c>
      <c r="I229" s="79">
        <v>3106.0</v>
      </c>
      <c r="J229" s="79" t="s">
        <v>1821</v>
      </c>
      <c r="K229" s="80" t="s">
        <v>1686</v>
      </c>
      <c r="L229" s="21">
        <v>12935.0</v>
      </c>
      <c r="M229" s="21">
        <v>7641.0</v>
      </c>
      <c r="N229" s="26">
        <v>0.3</v>
      </c>
      <c r="O229" s="26">
        <v>0.3</v>
      </c>
      <c r="P229" s="81" t="s">
        <v>1595</v>
      </c>
      <c r="Q229" s="26">
        <v>0.58</v>
      </c>
      <c r="R229" s="84">
        <v>0.35</v>
      </c>
      <c r="S229" s="23"/>
      <c r="T229" s="89"/>
      <c r="U229" s="82"/>
      <c r="V229" s="37"/>
      <c r="W229" s="37"/>
    </row>
    <row r="230" ht="14.25" customHeight="1">
      <c r="A230" s="83" t="s">
        <v>302</v>
      </c>
      <c r="B230" s="91">
        <v>1.542823095263E12</v>
      </c>
      <c r="C230" s="78" t="s">
        <v>513</v>
      </c>
      <c r="D230" s="78" t="s">
        <v>514</v>
      </c>
      <c r="E230" s="21" t="s">
        <v>515</v>
      </c>
      <c r="F230" s="21" t="s">
        <v>515</v>
      </c>
      <c r="G230" s="23">
        <v>1976.0</v>
      </c>
      <c r="H230" s="26">
        <v>0.44</v>
      </c>
      <c r="I230" s="79">
        <v>1548.0</v>
      </c>
      <c r="J230" s="79" t="s">
        <v>1618</v>
      </c>
      <c r="K230" s="80" t="s">
        <v>1668</v>
      </c>
      <c r="L230" s="21">
        <v>5876.0</v>
      </c>
      <c r="M230" s="21">
        <v>3524.0</v>
      </c>
      <c r="N230" s="26">
        <v>0.3</v>
      </c>
      <c r="O230" s="26">
        <v>0.3</v>
      </c>
      <c r="P230" s="83" t="s">
        <v>134</v>
      </c>
      <c r="Q230" s="26">
        <v>0.61</v>
      </c>
      <c r="R230" s="84">
        <v>0.38</v>
      </c>
      <c r="S230" s="23"/>
      <c r="T230" s="89"/>
      <c r="U230" s="82"/>
      <c r="V230" s="37"/>
      <c r="W230" s="37"/>
    </row>
    <row r="231" ht="14.25" customHeight="1">
      <c r="A231" s="83" t="s">
        <v>302</v>
      </c>
      <c r="B231" s="91">
        <v>1.513614057219E12</v>
      </c>
      <c r="C231" s="78" t="s">
        <v>513</v>
      </c>
      <c r="D231" s="78" t="s">
        <v>514</v>
      </c>
      <c r="E231" s="21" t="s">
        <v>517</v>
      </c>
      <c r="F231" s="21" t="s">
        <v>517</v>
      </c>
      <c r="G231" s="23">
        <v>3379.0</v>
      </c>
      <c r="H231" s="26">
        <v>0.42</v>
      </c>
      <c r="I231" s="79">
        <v>2497.0</v>
      </c>
      <c r="J231" s="79" t="s">
        <v>1605</v>
      </c>
      <c r="K231" s="80" t="s">
        <v>1618</v>
      </c>
      <c r="L231" s="21">
        <v>8818.0</v>
      </c>
      <c r="M231" s="21">
        <v>5876.0</v>
      </c>
      <c r="N231" s="26">
        <v>0.3</v>
      </c>
      <c r="O231" s="26">
        <v>0.3</v>
      </c>
      <c r="P231" s="83" t="s">
        <v>134</v>
      </c>
      <c r="Q231" s="26">
        <v>0.6</v>
      </c>
      <c r="R231" s="84">
        <v>0.37</v>
      </c>
      <c r="S231" s="23"/>
      <c r="T231" s="89"/>
      <c r="U231" s="82"/>
      <c r="V231" s="37"/>
      <c r="W231" s="37"/>
    </row>
    <row r="232" ht="14.25" customHeight="1">
      <c r="A232" s="83" t="s">
        <v>302</v>
      </c>
      <c r="B232" s="91">
        <v>1.615383407099E12</v>
      </c>
      <c r="C232" s="78" t="s">
        <v>513</v>
      </c>
      <c r="D232" s="78" t="s">
        <v>519</v>
      </c>
      <c r="E232" s="21" t="s">
        <v>520</v>
      </c>
      <c r="F232" s="21" t="s">
        <v>520</v>
      </c>
      <c r="G232" s="23">
        <v>14675.0</v>
      </c>
      <c r="H232" s="26">
        <v>0.5</v>
      </c>
      <c r="I232" s="79">
        <v>14731.0</v>
      </c>
      <c r="J232" s="79" t="s">
        <v>1594</v>
      </c>
      <c r="K232" s="80" t="s">
        <v>1606</v>
      </c>
      <c r="L232" s="21">
        <v>35288.0</v>
      </c>
      <c r="M232" s="21">
        <v>29406.0</v>
      </c>
      <c r="N232" s="26">
        <v>0.3</v>
      </c>
      <c r="O232" s="26">
        <v>0.3</v>
      </c>
      <c r="P232" s="81" t="s">
        <v>1595</v>
      </c>
      <c r="Q232" s="26">
        <v>0.65</v>
      </c>
      <c r="R232" s="84">
        <v>0.42</v>
      </c>
      <c r="S232" s="23"/>
      <c r="T232" s="89"/>
      <c r="U232" s="82"/>
      <c r="V232" s="37"/>
      <c r="W232" s="37"/>
    </row>
    <row r="233" ht="14.25" customHeight="1">
      <c r="A233" s="83" t="s">
        <v>302</v>
      </c>
      <c r="B233" s="91">
        <v>1.571423280815E12</v>
      </c>
      <c r="C233" s="78" t="s">
        <v>513</v>
      </c>
      <c r="D233" s="78" t="s">
        <v>519</v>
      </c>
      <c r="E233" s="21" t="s">
        <v>521</v>
      </c>
      <c r="F233" s="21" t="s">
        <v>1868</v>
      </c>
      <c r="G233" s="23">
        <v>25610.0</v>
      </c>
      <c r="H233" s="26">
        <v>0.33</v>
      </c>
      <c r="I233" s="79">
        <v>12619.0</v>
      </c>
      <c r="J233" s="79" t="s">
        <v>1697</v>
      </c>
      <c r="K233" s="80" t="s">
        <v>1593</v>
      </c>
      <c r="L233" s="21">
        <v>47053.0</v>
      </c>
      <c r="M233" s="21">
        <v>38229.0</v>
      </c>
      <c r="N233" s="26">
        <v>0.3</v>
      </c>
      <c r="O233" s="26">
        <v>0.3</v>
      </c>
      <c r="P233" s="81" t="s">
        <v>1595</v>
      </c>
      <c r="Q233" s="26">
        <v>0.53</v>
      </c>
      <c r="R233" s="84">
        <v>0.3</v>
      </c>
      <c r="S233" s="23"/>
      <c r="T233" s="89"/>
      <c r="U233" s="82"/>
      <c r="V233" s="37"/>
      <c r="W233" s="37"/>
    </row>
    <row r="234" ht="14.25" customHeight="1">
      <c r="A234" s="83" t="s">
        <v>302</v>
      </c>
      <c r="B234" s="91">
        <v>1.61538336617E12</v>
      </c>
      <c r="C234" s="78" t="s">
        <v>513</v>
      </c>
      <c r="D234" s="78" t="s">
        <v>519</v>
      </c>
      <c r="E234" s="21" t="s">
        <v>522</v>
      </c>
      <c r="F234" s="21" t="s">
        <v>1869</v>
      </c>
      <c r="G234" s="23">
        <v>34385.0</v>
      </c>
      <c r="H234" s="26">
        <v>0.16</v>
      </c>
      <c r="I234" s="79">
        <v>6786.0</v>
      </c>
      <c r="J234" s="79" t="s">
        <v>1596</v>
      </c>
      <c r="K234" s="80" t="s">
        <v>1599</v>
      </c>
      <c r="L234" s="21">
        <v>58818.0</v>
      </c>
      <c r="M234" s="21">
        <v>41171.0</v>
      </c>
      <c r="N234" s="26">
        <v>0.3</v>
      </c>
      <c r="O234" s="26">
        <v>0.3</v>
      </c>
      <c r="P234" s="81" t="s">
        <v>1595</v>
      </c>
      <c r="Q234" s="26">
        <v>0.42</v>
      </c>
      <c r="R234" s="84">
        <v>0.19</v>
      </c>
      <c r="S234" s="23"/>
      <c r="T234" s="89"/>
      <c r="U234" s="82"/>
      <c r="V234" s="37"/>
      <c r="W234" s="37"/>
    </row>
    <row r="235" ht="14.25" customHeight="1">
      <c r="A235" s="83" t="s">
        <v>302</v>
      </c>
      <c r="B235" s="91">
        <v>1.62741684103E12</v>
      </c>
      <c r="C235" s="78" t="s">
        <v>523</v>
      </c>
      <c r="D235" s="78" t="s">
        <v>524</v>
      </c>
      <c r="E235" s="21" t="s">
        <v>525</v>
      </c>
      <c r="F235" s="21" t="s">
        <v>1870</v>
      </c>
      <c r="G235" s="23">
        <v>5509.0</v>
      </c>
      <c r="H235" s="26">
        <v>0.38</v>
      </c>
      <c r="I235" s="79">
        <v>3309.0</v>
      </c>
      <c r="J235" s="79" t="s">
        <v>1604</v>
      </c>
      <c r="K235" s="80" t="s">
        <v>1605</v>
      </c>
      <c r="L235" s="21">
        <v>11759.0</v>
      </c>
      <c r="M235" s="21">
        <v>8818.0</v>
      </c>
      <c r="N235" s="26">
        <v>0.3</v>
      </c>
      <c r="O235" s="26">
        <v>0.3</v>
      </c>
      <c r="P235" s="83" t="s">
        <v>134</v>
      </c>
      <c r="Q235" s="26">
        <v>0.56</v>
      </c>
      <c r="R235" s="84">
        <v>0.33</v>
      </c>
      <c r="S235" s="23"/>
      <c r="T235" s="89"/>
      <c r="U235" s="82"/>
      <c r="V235" s="37"/>
      <c r="W235" s="37"/>
    </row>
    <row r="236" ht="14.25" customHeight="1">
      <c r="A236" s="83" t="s">
        <v>302</v>
      </c>
      <c r="B236" s="91">
        <v>1.623703942966E12</v>
      </c>
      <c r="C236" s="78" t="s">
        <v>526</v>
      </c>
      <c r="D236" s="78" t="s">
        <v>527</v>
      </c>
      <c r="E236" s="21" t="s">
        <v>1871</v>
      </c>
      <c r="F236" s="21" t="s">
        <v>1872</v>
      </c>
      <c r="G236" s="23">
        <v>2636.0</v>
      </c>
      <c r="H236" s="26">
        <v>0.66</v>
      </c>
      <c r="I236" s="79">
        <v>5005.0</v>
      </c>
      <c r="J236" s="79" t="s">
        <v>1602</v>
      </c>
      <c r="K236" s="80" t="s">
        <v>1686</v>
      </c>
      <c r="L236" s="21">
        <v>9994.0</v>
      </c>
      <c r="M236" s="21">
        <v>7641.0</v>
      </c>
      <c r="N236" s="26">
        <v>0.3</v>
      </c>
      <c r="O236" s="26">
        <v>0.3</v>
      </c>
      <c r="P236" s="81" t="s">
        <v>1595</v>
      </c>
      <c r="Q236" s="26">
        <v>0.76</v>
      </c>
      <c r="R236" s="84">
        <v>0.53</v>
      </c>
      <c r="S236" s="23"/>
      <c r="T236" s="89"/>
      <c r="U236" s="82"/>
      <c r="V236" s="37"/>
      <c r="W236" s="37"/>
    </row>
    <row r="237" ht="14.25" customHeight="1">
      <c r="A237" s="83" t="s">
        <v>302</v>
      </c>
      <c r="B237" s="91" t="s">
        <v>529</v>
      </c>
      <c r="C237" s="78" t="s">
        <v>526</v>
      </c>
      <c r="D237" s="78" t="s">
        <v>527</v>
      </c>
      <c r="E237" s="21" t="s">
        <v>1873</v>
      </c>
      <c r="F237" s="21" t="s">
        <v>1874</v>
      </c>
      <c r="G237" s="23">
        <v>3412.0</v>
      </c>
      <c r="H237" s="26">
        <v>0.42</v>
      </c>
      <c r="I237" s="79">
        <v>2464.0</v>
      </c>
      <c r="J237" s="79" t="s">
        <v>1604</v>
      </c>
      <c r="K237" s="80" t="s">
        <v>1618</v>
      </c>
      <c r="L237" s="21">
        <v>11759.0</v>
      </c>
      <c r="M237" s="21">
        <v>5876.0</v>
      </c>
      <c r="N237" s="26">
        <v>0.3</v>
      </c>
      <c r="O237" s="26">
        <v>0.3</v>
      </c>
      <c r="P237" s="81" t="s">
        <v>1595</v>
      </c>
      <c r="Q237" s="26">
        <v>0.59</v>
      </c>
      <c r="R237" s="84">
        <v>0.36</v>
      </c>
      <c r="S237" s="23"/>
      <c r="T237" s="89"/>
      <c r="U237" s="82"/>
      <c r="V237" s="37"/>
      <c r="W237" s="37"/>
    </row>
    <row r="238" ht="14.25" customHeight="1">
      <c r="A238" s="83" t="s">
        <v>302</v>
      </c>
      <c r="B238" s="91" t="s">
        <v>531</v>
      </c>
      <c r="C238" s="78" t="s">
        <v>526</v>
      </c>
      <c r="D238" s="78" t="s">
        <v>527</v>
      </c>
      <c r="E238" s="21" t="s">
        <v>1873</v>
      </c>
      <c r="F238" s="21" t="s">
        <v>1874</v>
      </c>
      <c r="G238" s="23">
        <v>3821.0</v>
      </c>
      <c r="H238" s="26">
        <v>0.35</v>
      </c>
      <c r="I238" s="79">
        <v>2055.0</v>
      </c>
      <c r="J238" s="79" t="s">
        <v>1604</v>
      </c>
      <c r="K238" s="80" t="s">
        <v>1618</v>
      </c>
      <c r="L238" s="21">
        <v>11759.0</v>
      </c>
      <c r="M238" s="21">
        <v>5876.0</v>
      </c>
      <c r="N238" s="26">
        <v>0.3</v>
      </c>
      <c r="O238" s="26">
        <v>0.3</v>
      </c>
      <c r="P238" s="83" t="s">
        <v>134</v>
      </c>
      <c r="Q238" s="26">
        <v>0.54</v>
      </c>
      <c r="R238" s="84">
        <v>0.31</v>
      </c>
      <c r="S238" s="23"/>
      <c r="T238" s="89"/>
      <c r="U238" s="82"/>
      <c r="V238" s="37"/>
      <c r="W238" s="37"/>
    </row>
    <row r="239" ht="14.25" customHeight="1">
      <c r="A239" s="83" t="s">
        <v>302</v>
      </c>
      <c r="B239" s="91" t="s">
        <v>533</v>
      </c>
      <c r="C239" s="78" t="s">
        <v>526</v>
      </c>
      <c r="D239" s="78" t="s">
        <v>527</v>
      </c>
      <c r="E239" s="21" t="s">
        <v>1873</v>
      </c>
      <c r="F239" s="21" t="s">
        <v>1874</v>
      </c>
      <c r="G239" s="23">
        <v>3821.0</v>
      </c>
      <c r="H239" s="26">
        <v>0.35</v>
      </c>
      <c r="I239" s="79">
        <v>2055.0</v>
      </c>
      <c r="J239" s="79" t="s">
        <v>1604</v>
      </c>
      <c r="K239" s="80" t="s">
        <v>1618</v>
      </c>
      <c r="L239" s="21">
        <v>11759.0</v>
      </c>
      <c r="M239" s="21">
        <v>5876.0</v>
      </c>
      <c r="N239" s="26">
        <v>0.3</v>
      </c>
      <c r="O239" s="26">
        <v>0.3</v>
      </c>
      <c r="P239" s="83" t="s">
        <v>134</v>
      </c>
      <c r="Q239" s="26">
        <v>0.54</v>
      </c>
      <c r="R239" s="84">
        <v>0.31</v>
      </c>
      <c r="S239" s="23"/>
      <c r="T239" s="89"/>
      <c r="U239" s="82"/>
      <c r="V239" s="37"/>
      <c r="W239" s="37"/>
    </row>
    <row r="240" ht="14.25" customHeight="1">
      <c r="A240" s="83" t="s">
        <v>302</v>
      </c>
      <c r="B240" s="85" t="s">
        <v>536</v>
      </c>
      <c r="C240" s="78" t="s">
        <v>526</v>
      </c>
      <c r="D240" s="78" t="s">
        <v>527</v>
      </c>
      <c r="E240" s="86" t="s">
        <v>535</v>
      </c>
      <c r="F240" s="21" t="s">
        <v>1875</v>
      </c>
      <c r="G240" s="23">
        <v>4569.0</v>
      </c>
      <c r="H240" s="26">
        <v>0.61</v>
      </c>
      <c r="I240" s="79">
        <v>7190.0</v>
      </c>
      <c r="J240" s="79" t="s">
        <v>1821</v>
      </c>
      <c r="K240" s="80" t="s">
        <v>1604</v>
      </c>
      <c r="L240" s="21">
        <v>12935.0</v>
      </c>
      <c r="M240" s="21">
        <v>11759.0</v>
      </c>
      <c r="N240" s="26">
        <v>0.3</v>
      </c>
      <c r="O240" s="26">
        <v>0.3</v>
      </c>
      <c r="P240" s="81" t="s">
        <v>1595</v>
      </c>
      <c r="Q240" s="26">
        <v>0.73</v>
      </c>
      <c r="R240" s="84">
        <v>0.5</v>
      </c>
      <c r="S240" s="23"/>
      <c r="T240" s="89"/>
      <c r="U240" s="82"/>
      <c r="V240" s="37"/>
      <c r="W240" s="37"/>
    </row>
    <row r="241" ht="14.25" customHeight="1">
      <c r="A241" s="83" t="s">
        <v>302</v>
      </c>
      <c r="B241" s="91">
        <v>1.623703861303E12</v>
      </c>
      <c r="C241" s="78" t="s">
        <v>526</v>
      </c>
      <c r="D241" s="78" t="s">
        <v>537</v>
      </c>
      <c r="E241" s="21" t="s">
        <v>1876</v>
      </c>
      <c r="F241" s="21" t="s">
        <v>1877</v>
      </c>
      <c r="G241" s="23">
        <v>9703.0</v>
      </c>
      <c r="H241" s="26">
        <v>0.28</v>
      </c>
      <c r="I241" s="79">
        <v>3821.0</v>
      </c>
      <c r="J241" s="79" t="s">
        <v>1608</v>
      </c>
      <c r="K241" s="80" t="s">
        <v>1613</v>
      </c>
      <c r="L241" s="21">
        <v>23524.0</v>
      </c>
      <c r="M241" s="21">
        <v>13524.0</v>
      </c>
      <c r="N241" s="26">
        <v>0.3</v>
      </c>
      <c r="O241" s="26">
        <v>0.3</v>
      </c>
      <c r="P241" s="81" t="s">
        <v>1595</v>
      </c>
      <c r="Q241" s="26">
        <v>0.5</v>
      </c>
      <c r="R241" s="84">
        <v>0.27</v>
      </c>
      <c r="S241" s="23"/>
      <c r="T241" s="89"/>
      <c r="U241" s="82"/>
      <c r="V241" s="37"/>
      <c r="W241" s="37"/>
    </row>
    <row r="242" ht="14.25" customHeight="1">
      <c r="A242" s="83" t="s">
        <v>302</v>
      </c>
      <c r="B242" s="91">
        <v>1.656603804695E12</v>
      </c>
      <c r="C242" s="78" t="s">
        <v>526</v>
      </c>
      <c r="D242" s="78" t="s">
        <v>537</v>
      </c>
      <c r="E242" s="21" t="s">
        <v>1878</v>
      </c>
      <c r="F242" s="21" t="s">
        <v>552</v>
      </c>
      <c r="G242" s="23">
        <v>23649.0</v>
      </c>
      <c r="H242" s="26">
        <v>0.33</v>
      </c>
      <c r="I242" s="79">
        <v>11639.0</v>
      </c>
      <c r="J242" s="79" t="s">
        <v>1628</v>
      </c>
      <c r="K242" s="80" t="s">
        <v>1594</v>
      </c>
      <c r="L242" s="21">
        <v>52935.0</v>
      </c>
      <c r="M242" s="21">
        <v>35288.0</v>
      </c>
      <c r="N242" s="26">
        <v>0.3</v>
      </c>
      <c r="O242" s="26">
        <v>0.3</v>
      </c>
      <c r="P242" s="83" t="s">
        <v>134</v>
      </c>
      <c r="Q242" s="26">
        <v>0.53</v>
      </c>
      <c r="R242" s="84">
        <v>0.3</v>
      </c>
      <c r="S242" s="23"/>
      <c r="T242" s="89"/>
      <c r="U242" s="82"/>
      <c r="V242" s="37"/>
      <c r="W242" s="37"/>
    </row>
    <row r="243" ht="14.25" customHeight="1">
      <c r="A243" s="83" t="s">
        <v>302</v>
      </c>
      <c r="B243" s="91" t="s">
        <v>540</v>
      </c>
      <c r="C243" s="78" t="s">
        <v>526</v>
      </c>
      <c r="D243" s="78" t="s">
        <v>537</v>
      </c>
      <c r="E243" s="21" t="s">
        <v>1879</v>
      </c>
      <c r="F243" s="21" t="s">
        <v>1880</v>
      </c>
      <c r="G243" s="23">
        <v>9737.0</v>
      </c>
      <c r="H243" s="26">
        <v>0.34</v>
      </c>
      <c r="I243" s="79">
        <v>4963.0</v>
      </c>
      <c r="J243" s="79" t="s">
        <v>1594</v>
      </c>
      <c r="K243" s="80" t="s">
        <v>1601</v>
      </c>
      <c r="L243" s="21">
        <v>35288.0</v>
      </c>
      <c r="M243" s="21">
        <v>14700.0</v>
      </c>
      <c r="N243" s="26">
        <v>0.3</v>
      </c>
      <c r="O243" s="26">
        <v>0.3</v>
      </c>
      <c r="P243" s="81" t="s">
        <v>1595</v>
      </c>
      <c r="Q243" s="26">
        <v>0.54</v>
      </c>
      <c r="R243" s="84">
        <v>0.31</v>
      </c>
      <c r="S243" s="23"/>
      <c r="T243" s="89"/>
      <c r="U243" s="82"/>
      <c r="V243" s="37"/>
      <c r="W243" s="37"/>
    </row>
    <row r="244" ht="14.25" customHeight="1">
      <c r="A244" s="83" t="s">
        <v>302</v>
      </c>
      <c r="B244" s="91" t="s">
        <v>542</v>
      </c>
      <c r="C244" s="78" t="s">
        <v>526</v>
      </c>
      <c r="D244" s="78" t="s">
        <v>537</v>
      </c>
      <c r="E244" s="21" t="s">
        <v>1879</v>
      </c>
      <c r="F244" s="21" t="s">
        <v>1881</v>
      </c>
      <c r="G244" s="23">
        <v>10698.0</v>
      </c>
      <c r="H244" s="26">
        <v>0.27</v>
      </c>
      <c r="I244" s="79">
        <v>4002.0</v>
      </c>
      <c r="J244" s="79" t="s">
        <v>1594</v>
      </c>
      <c r="K244" s="80" t="s">
        <v>1601</v>
      </c>
      <c r="L244" s="21">
        <v>35288.0</v>
      </c>
      <c r="M244" s="21">
        <v>14700.0</v>
      </c>
      <c r="N244" s="26">
        <v>0.3</v>
      </c>
      <c r="O244" s="26">
        <v>0.3</v>
      </c>
      <c r="P244" s="81" t="s">
        <v>1595</v>
      </c>
      <c r="Q244" s="26">
        <v>0.49</v>
      </c>
      <c r="R244" s="84">
        <v>0.26</v>
      </c>
      <c r="S244" s="23"/>
      <c r="T244" s="89"/>
      <c r="U244" s="82"/>
      <c r="V244" s="37"/>
      <c r="W244" s="37"/>
    </row>
    <row r="245" ht="14.25" customHeight="1">
      <c r="A245" s="83" t="s">
        <v>302</v>
      </c>
      <c r="B245" s="91" t="s">
        <v>544</v>
      </c>
      <c r="C245" s="78" t="s">
        <v>526</v>
      </c>
      <c r="D245" s="78" t="s">
        <v>537</v>
      </c>
      <c r="E245" s="21" t="s">
        <v>1879</v>
      </c>
      <c r="F245" s="21" t="s">
        <v>1882</v>
      </c>
      <c r="G245" s="23">
        <v>9812.0</v>
      </c>
      <c r="H245" s="26">
        <v>0.33</v>
      </c>
      <c r="I245" s="79">
        <v>4888.0</v>
      </c>
      <c r="J245" s="79" t="s">
        <v>1594</v>
      </c>
      <c r="K245" s="80" t="s">
        <v>1601</v>
      </c>
      <c r="L245" s="21">
        <v>35288.0</v>
      </c>
      <c r="M245" s="21">
        <v>14700.0</v>
      </c>
      <c r="N245" s="26">
        <v>0.3</v>
      </c>
      <c r="O245" s="26">
        <v>0.3</v>
      </c>
      <c r="P245" s="81" t="s">
        <v>1595</v>
      </c>
      <c r="Q245" s="26">
        <v>0.53</v>
      </c>
      <c r="R245" s="84">
        <v>0.3</v>
      </c>
      <c r="S245" s="23"/>
      <c r="T245" s="89"/>
      <c r="U245" s="82"/>
      <c r="V245" s="37"/>
      <c r="W245" s="37"/>
    </row>
    <row r="246" ht="14.25" customHeight="1">
      <c r="A246" s="83" t="s">
        <v>302</v>
      </c>
      <c r="B246" s="91" t="s">
        <v>546</v>
      </c>
      <c r="C246" s="78" t="s">
        <v>526</v>
      </c>
      <c r="D246" s="78" t="s">
        <v>537</v>
      </c>
      <c r="E246" s="21" t="s">
        <v>1883</v>
      </c>
      <c r="F246" s="21" t="s">
        <v>1884</v>
      </c>
      <c r="G246" s="23">
        <v>12346.0</v>
      </c>
      <c r="H246" s="26">
        <v>0.48</v>
      </c>
      <c r="I246" s="79">
        <v>11178.0</v>
      </c>
      <c r="J246" s="79" t="s">
        <v>1697</v>
      </c>
      <c r="K246" s="80" t="s">
        <v>1608</v>
      </c>
      <c r="L246" s="21">
        <v>47053.0</v>
      </c>
      <c r="M246" s="21">
        <v>23524.0</v>
      </c>
      <c r="N246" s="26">
        <v>0.3</v>
      </c>
      <c r="O246" s="26">
        <v>0.3</v>
      </c>
      <c r="P246" s="81" t="s">
        <v>1595</v>
      </c>
      <c r="Q246" s="26">
        <v>0.63</v>
      </c>
      <c r="R246" s="84">
        <v>0.4</v>
      </c>
      <c r="S246" s="23"/>
      <c r="T246" s="89"/>
      <c r="U246" s="82"/>
      <c r="V246" s="37"/>
      <c r="W246" s="37"/>
    </row>
    <row r="247" ht="14.25" customHeight="1">
      <c r="A247" s="83" t="s">
        <v>302</v>
      </c>
      <c r="B247" s="91" t="s">
        <v>548</v>
      </c>
      <c r="C247" s="78" t="s">
        <v>526</v>
      </c>
      <c r="D247" s="78" t="s">
        <v>537</v>
      </c>
      <c r="E247" s="21" t="s">
        <v>1883</v>
      </c>
      <c r="F247" s="21" t="s">
        <v>1885</v>
      </c>
      <c r="G247" s="23">
        <v>12910.0</v>
      </c>
      <c r="H247" s="26">
        <v>0.45</v>
      </c>
      <c r="I247" s="79">
        <v>10614.0</v>
      </c>
      <c r="J247" s="79" t="s">
        <v>1697</v>
      </c>
      <c r="K247" s="80" t="s">
        <v>1608</v>
      </c>
      <c r="L247" s="21">
        <v>47053.0</v>
      </c>
      <c r="M247" s="21">
        <v>23524.0</v>
      </c>
      <c r="N247" s="26">
        <v>0.3</v>
      </c>
      <c r="O247" s="26">
        <v>0.3</v>
      </c>
      <c r="P247" s="81" t="s">
        <v>1595</v>
      </c>
      <c r="Q247" s="26">
        <v>0.62</v>
      </c>
      <c r="R247" s="84">
        <v>0.39</v>
      </c>
      <c r="S247" s="23"/>
      <c r="T247" s="89"/>
      <c r="U247" s="82"/>
      <c r="V247" s="37"/>
      <c r="W247" s="37"/>
    </row>
    <row r="248" ht="14.25" customHeight="1">
      <c r="A248" s="83" t="s">
        <v>302</v>
      </c>
      <c r="B248" s="91" t="s">
        <v>550</v>
      </c>
      <c r="C248" s="78" t="s">
        <v>526</v>
      </c>
      <c r="D248" s="78" t="s">
        <v>537</v>
      </c>
      <c r="E248" s="21" t="s">
        <v>1883</v>
      </c>
      <c r="F248" s="21" t="s">
        <v>1886</v>
      </c>
      <c r="G248" s="23">
        <v>12746.0</v>
      </c>
      <c r="H248" s="26">
        <v>0.46</v>
      </c>
      <c r="I248" s="79">
        <v>10778.0</v>
      </c>
      <c r="J248" s="79" t="s">
        <v>1697</v>
      </c>
      <c r="K248" s="80" t="s">
        <v>1608</v>
      </c>
      <c r="L248" s="21">
        <v>47053.0</v>
      </c>
      <c r="M248" s="21">
        <v>23524.0</v>
      </c>
      <c r="N248" s="26">
        <v>0.3</v>
      </c>
      <c r="O248" s="26">
        <v>0.3</v>
      </c>
      <c r="P248" s="81" t="s">
        <v>1595</v>
      </c>
      <c r="Q248" s="26">
        <v>0.62</v>
      </c>
      <c r="R248" s="84">
        <v>0.39</v>
      </c>
      <c r="S248" s="23"/>
      <c r="T248" s="89"/>
      <c r="U248" s="82"/>
      <c r="V248" s="37"/>
      <c r="W248" s="37"/>
    </row>
    <row r="249" ht="14.25" customHeight="1">
      <c r="A249" s="83" t="s">
        <v>302</v>
      </c>
      <c r="B249" s="91" t="s">
        <v>557</v>
      </c>
      <c r="C249" s="78" t="s">
        <v>526</v>
      </c>
      <c r="D249" s="78" t="s">
        <v>553</v>
      </c>
      <c r="E249" s="21" t="s">
        <v>1887</v>
      </c>
      <c r="F249" s="21" t="s">
        <v>1888</v>
      </c>
      <c r="G249" s="23">
        <v>30320.0</v>
      </c>
      <c r="H249" s="26">
        <v>0.26</v>
      </c>
      <c r="I249" s="79">
        <v>10851.0</v>
      </c>
      <c r="J249" s="79" t="s">
        <v>1596</v>
      </c>
      <c r="K249" s="80" t="s">
        <v>1599</v>
      </c>
      <c r="L249" s="21">
        <v>58818.0</v>
      </c>
      <c r="M249" s="21">
        <v>41171.0</v>
      </c>
      <c r="N249" s="26">
        <v>0.3</v>
      </c>
      <c r="O249" s="26">
        <v>0.3</v>
      </c>
      <c r="P249" s="83" t="s">
        <v>134</v>
      </c>
      <c r="Q249" s="26">
        <v>0.48</v>
      </c>
      <c r="R249" s="84">
        <v>0.25</v>
      </c>
      <c r="S249" s="23"/>
      <c r="T249" s="89"/>
      <c r="U249" s="82"/>
      <c r="V249" s="37"/>
      <c r="W249" s="37"/>
    </row>
    <row r="250" ht="14.25" customHeight="1">
      <c r="A250" s="83" t="s">
        <v>302</v>
      </c>
      <c r="B250" s="91" t="s">
        <v>559</v>
      </c>
      <c r="C250" s="78" t="s">
        <v>526</v>
      </c>
      <c r="D250" s="78" t="s">
        <v>553</v>
      </c>
      <c r="E250" s="21" t="s">
        <v>1889</v>
      </c>
      <c r="F250" s="21" t="s">
        <v>1890</v>
      </c>
      <c r="G250" s="23">
        <v>36445.0</v>
      </c>
      <c r="H250" s="26">
        <v>0.27</v>
      </c>
      <c r="I250" s="79">
        <v>13549.0</v>
      </c>
      <c r="J250" s="79" t="s">
        <v>1623</v>
      </c>
      <c r="K250" s="80" t="s">
        <v>1891</v>
      </c>
      <c r="L250" s="21">
        <v>76465.0</v>
      </c>
      <c r="M250" s="21">
        <v>49994.0</v>
      </c>
      <c r="N250" s="26">
        <v>0.3</v>
      </c>
      <c r="O250" s="26">
        <v>0.3</v>
      </c>
      <c r="P250" s="81" t="s">
        <v>1595</v>
      </c>
      <c r="Q250" s="26">
        <v>0.49</v>
      </c>
      <c r="R250" s="84">
        <v>0.26</v>
      </c>
      <c r="S250" s="23"/>
      <c r="T250" s="89"/>
      <c r="U250" s="82"/>
      <c r="V250" s="37"/>
      <c r="W250" s="37"/>
    </row>
    <row r="251" ht="14.25" customHeight="1">
      <c r="A251" s="83" t="s">
        <v>302</v>
      </c>
      <c r="B251" s="91" t="s">
        <v>561</v>
      </c>
      <c r="C251" s="78" t="s">
        <v>526</v>
      </c>
      <c r="D251" s="78" t="s">
        <v>553</v>
      </c>
      <c r="E251" s="21" t="s">
        <v>1892</v>
      </c>
      <c r="F251" s="21" t="s">
        <v>1893</v>
      </c>
      <c r="G251" s="23">
        <v>43173.0</v>
      </c>
      <c r="H251" s="26">
        <v>0.27</v>
      </c>
      <c r="I251" s="79">
        <v>15645.0</v>
      </c>
      <c r="J251" s="79" t="s">
        <v>1622</v>
      </c>
      <c r="K251" s="80" t="s">
        <v>1596</v>
      </c>
      <c r="L251" s="21">
        <v>88229.0</v>
      </c>
      <c r="M251" s="21">
        <v>58818.0</v>
      </c>
      <c r="N251" s="26">
        <v>0.3</v>
      </c>
      <c r="O251" s="26">
        <v>0.3</v>
      </c>
      <c r="P251" s="81" t="s">
        <v>1595</v>
      </c>
      <c r="Q251" s="26">
        <v>0.49</v>
      </c>
      <c r="R251" s="84">
        <v>0.26</v>
      </c>
      <c r="S251" s="23"/>
      <c r="T251" s="89"/>
      <c r="U251" s="82"/>
      <c r="V251" s="37"/>
      <c r="W251" s="37"/>
    </row>
    <row r="252" ht="14.25" customHeight="1">
      <c r="A252" s="83" t="s">
        <v>302</v>
      </c>
      <c r="B252" s="91">
        <v>1.566849947902E12</v>
      </c>
      <c r="C252" s="78" t="s">
        <v>526</v>
      </c>
      <c r="D252" s="78" t="s">
        <v>175</v>
      </c>
      <c r="E252" s="21" t="s">
        <v>1894</v>
      </c>
      <c r="F252" s="21" t="s">
        <v>562</v>
      </c>
      <c r="G252" s="23">
        <v>10420.0</v>
      </c>
      <c r="H252" s="26">
        <v>0.29</v>
      </c>
      <c r="I252" s="79">
        <v>4280.0</v>
      </c>
      <c r="J252" s="79" t="s">
        <v>1608</v>
      </c>
      <c r="K252" s="80" t="s">
        <v>1601</v>
      </c>
      <c r="L252" s="21">
        <v>23524.0</v>
      </c>
      <c r="M252" s="21">
        <v>14700.0</v>
      </c>
      <c r="N252" s="26">
        <v>0.3</v>
      </c>
      <c r="O252" s="26">
        <v>0.3</v>
      </c>
      <c r="P252" s="81" t="s">
        <v>1595</v>
      </c>
      <c r="Q252" s="26">
        <v>0.5</v>
      </c>
      <c r="R252" s="84">
        <v>0.27</v>
      </c>
      <c r="S252" s="23"/>
      <c r="T252" s="89"/>
      <c r="U252" s="82"/>
      <c r="V252" s="37"/>
      <c r="W252" s="37"/>
    </row>
    <row r="253" ht="14.25" customHeight="1">
      <c r="A253" s="83" t="s">
        <v>302</v>
      </c>
      <c r="B253" s="85" t="s">
        <v>564</v>
      </c>
      <c r="C253" s="78" t="s">
        <v>526</v>
      </c>
      <c r="D253" s="78" t="s">
        <v>175</v>
      </c>
      <c r="E253" s="86" t="s">
        <v>563</v>
      </c>
      <c r="F253" s="21" t="s">
        <v>1895</v>
      </c>
      <c r="G253" s="23">
        <v>11222.0</v>
      </c>
      <c r="H253" s="26">
        <v>0.42</v>
      </c>
      <c r="I253" s="79">
        <v>8184.0</v>
      </c>
      <c r="J253" s="79" t="s">
        <v>1606</v>
      </c>
      <c r="K253" s="80" t="s">
        <v>1620</v>
      </c>
      <c r="L253" s="21">
        <v>29406.0</v>
      </c>
      <c r="M253" s="21">
        <v>19406.0</v>
      </c>
      <c r="N253" s="26">
        <v>0.3</v>
      </c>
      <c r="O253" s="26">
        <v>0.3</v>
      </c>
      <c r="P253" s="81" t="s">
        <v>1595</v>
      </c>
      <c r="Q253" s="26">
        <v>0.6</v>
      </c>
      <c r="R253" s="84">
        <v>0.37</v>
      </c>
      <c r="S253" s="23"/>
      <c r="T253" s="89"/>
      <c r="U253" s="82"/>
      <c r="V253" s="37"/>
      <c r="W253" s="37"/>
    </row>
    <row r="254" ht="14.25" customHeight="1">
      <c r="A254" s="83" t="s">
        <v>302</v>
      </c>
      <c r="B254" s="85" t="s">
        <v>566</v>
      </c>
      <c r="C254" s="78" t="s">
        <v>526</v>
      </c>
      <c r="D254" s="78" t="s">
        <v>175</v>
      </c>
      <c r="E254" s="86" t="s">
        <v>565</v>
      </c>
      <c r="F254" s="21" t="s">
        <v>1896</v>
      </c>
      <c r="G254" s="23">
        <v>12625.0</v>
      </c>
      <c r="H254" s="26">
        <v>0.35</v>
      </c>
      <c r="I254" s="79">
        <v>6781.0</v>
      </c>
      <c r="J254" s="79" t="s">
        <v>1606</v>
      </c>
      <c r="K254" s="80" t="s">
        <v>1620</v>
      </c>
      <c r="L254" s="21">
        <v>29406.0</v>
      </c>
      <c r="M254" s="21">
        <v>19406.0</v>
      </c>
      <c r="N254" s="26">
        <v>0.3</v>
      </c>
      <c r="O254" s="26">
        <v>0.3</v>
      </c>
      <c r="P254" s="81" t="s">
        <v>1595</v>
      </c>
      <c r="Q254" s="26">
        <v>0.54</v>
      </c>
      <c r="R254" s="84">
        <v>0.31</v>
      </c>
      <c r="S254" s="23"/>
      <c r="T254" s="89"/>
      <c r="U254" s="82"/>
      <c r="V254" s="37"/>
      <c r="W254" s="37"/>
    </row>
    <row r="255" ht="14.25" customHeight="1">
      <c r="A255" s="83" t="s">
        <v>302</v>
      </c>
      <c r="B255" s="85" t="s">
        <v>580</v>
      </c>
      <c r="C255" s="78" t="s">
        <v>526</v>
      </c>
      <c r="D255" s="78" t="s">
        <v>175</v>
      </c>
      <c r="E255" s="86" t="s">
        <v>579</v>
      </c>
      <c r="F255" s="21" t="s">
        <v>1897</v>
      </c>
      <c r="G255" s="23">
        <v>11588.0</v>
      </c>
      <c r="H255" s="26">
        <v>0.44</v>
      </c>
      <c r="I255" s="79">
        <v>8994.0</v>
      </c>
      <c r="J255" s="79" t="s">
        <v>1606</v>
      </c>
      <c r="K255" s="80" t="s">
        <v>1714</v>
      </c>
      <c r="L255" s="21">
        <v>29406.0</v>
      </c>
      <c r="M255" s="21">
        <v>20582.0</v>
      </c>
      <c r="N255" s="26">
        <v>0.3</v>
      </c>
      <c r="O255" s="26">
        <v>0.3</v>
      </c>
      <c r="P255" s="81" t="s">
        <v>1595</v>
      </c>
      <c r="Q255" s="26">
        <v>0.61</v>
      </c>
      <c r="R255" s="84">
        <v>0.38</v>
      </c>
      <c r="S255" s="23"/>
      <c r="T255" s="89"/>
      <c r="U255" s="82"/>
      <c r="V255" s="37"/>
      <c r="W255" s="37"/>
    </row>
    <row r="256" ht="14.25" customHeight="1">
      <c r="A256" s="83" t="s">
        <v>302</v>
      </c>
      <c r="B256" s="85" t="s">
        <v>582</v>
      </c>
      <c r="C256" s="78" t="s">
        <v>526</v>
      </c>
      <c r="D256" s="78" t="s">
        <v>175</v>
      </c>
      <c r="E256" s="86" t="s">
        <v>581</v>
      </c>
      <c r="F256" s="21" t="s">
        <v>1898</v>
      </c>
      <c r="G256" s="23">
        <v>12843.0</v>
      </c>
      <c r="H256" s="26">
        <v>0.38</v>
      </c>
      <c r="I256" s="79">
        <v>7739.0</v>
      </c>
      <c r="J256" s="79" t="s">
        <v>1606</v>
      </c>
      <c r="K256" s="80" t="s">
        <v>1714</v>
      </c>
      <c r="L256" s="21">
        <v>29406.0</v>
      </c>
      <c r="M256" s="21">
        <v>20582.0</v>
      </c>
      <c r="N256" s="26">
        <v>0.3</v>
      </c>
      <c r="O256" s="26">
        <v>0.3</v>
      </c>
      <c r="P256" s="81" t="s">
        <v>1595</v>
      </c>
      <c r="Q256" s="26">
        <v>0.56</v>
      </c>
      <c r="R256" s="84">
        <v>0.33</v>
      </c>
      <c r="S256" s="23"/>
      <c r="T256" s="16"/>
      <c r="U256" s="82"/>
      <c r="V256" s="37"/>
      <c r="W256" s="37"/>
    </row>
    <row r="257" ht="14.25" customHeight="1">
      <c r="A257" s="83" t="s">
        <v>302</v>
      </c>
      <c r="B257" s="91">
        <v>1.661873760641E12</v>
      </c>
      <c r="C257" s="78" t="s">
        <v>526</v>
      </c>
      <c r="D257" s="78" t="s">
        <v>175</v>
      </c>
      <c r="E257" s="21" t="s">
        <v>1899</v>
      </c>
      <c r="F257" s="21" t="s">
        <v>583</v>
      </c>
      <c r="G257" s="23">
        <v>8280.0</v>
      </c>
      <c r="H257" s="26">
        <v>0.39</v>
      </c>
      <c r="I257" s="79">
        <v>5244.0</v>
      </c>
      <c r="J257" s="79" t="s">
        <v>1603</v>
      </c>
      <c r="K257" s="80" t="s">
        <v>1613</v>
      </c>
      <c r="L257" s="21">
        <v>17641.0</v>
      </c>
      <c r="M257" s="21">
        <v>13524.0</v>
      </c>
      <c r="N257" s="26">
        <v>0.3</v>
      </c>
      <c r="O257" s="26">
        <v>0.3</v>
      </c>
      <c r="P257" s="83" t="s">
        <v>134</v>
      </c>
      <c r="Q257" s="26">
        <v>0.57</v>
      </c>
      <c r="R257" s="84">
        <v>0.34</v>
      </c>
      <c r="S257" s="23"/>
      <c r="T257" s="89"/>
      <c r="U257" s="82"/>
      <c r="V257" s="37"/>
      <c r="W257" s="37"/>
    </row>
    <row r="258" ht="14.25" customHeight="1">
      <c r="A258" s="83" t="s">
        <v>302</v>
      </c>
      <c r="B258" s="91">
        <v>1.66187377951E12</v>
      </c>
      <c r="C258" s="78" t="s">
        <v>526</v>
      </c>
      <c r="D258" s="78" t="s">
        <v>175</v>
      </c>
      <c r="E258" s="21" t="s">
        <v>1899</v>
      </c>
      <c r="F258" s="21" t="s">
        <v>584</v>
      </c>
      <c r="G258" s="23">
        <v>8380.0</v>
      </c>
      <c r="H258" s="26">
        <v>0.38</v>
      </c>
      <c r="I258" s="79">
        <v>5144.0</v>
      </c>
      <c r="J258" s="79" t="s">
        <v>1603</v>
      </c>
      <c r="K258" s="80" t="s">
        <v>1613</v>
      </c>
      <c r="L258" s="21">
        <v>17641.0</v>
      </c>
      <c r="M258" s="21">
        <v>13524.0</v>
      </c>
      <c r="N258" s="26">
        <v>0.3</v>
      </c>
      <c r="O258" s="26">
        <v>0.3</v>
      </c>
      <c r="P258" s="83" t="s">
        <v>134</v>
      </c>
      <c r="Q258" s="26">
        <v>0.57</v>
      </c>
      <c r="R258" s="84">
        <v>0.34</v>
      </c>
      <c r="S258" s="23"/>
      <c r="T258" s="89"/>
      <c r="U258" s="82"/>
      <c r="V258" s="37"/>
      <c r="W258" s="37"/>
    </row>
    <row r="259" ht="14.25" customHeight="1">
      <c r="A259" s="83" t="s">
        <v>302</v>
      </c>
      <c r="B259" s="85" t="s">
        <v>586</v>
      </c>
      <c r="C259" s="78" t="s">
        <v>526</v>
      </c>
      <c r="D259" s="78" t="s">
        <v>175</v>
      </c>
      <c r="E259" s="86" t="s">
        <v>585</v>
      </c>
      <c r="F259" s="21" t="s">
        <v>1900</v>
      </c>
      <c r="G259" s="23">
        <v>20412.0</v>
      </c>
      <c r="H259" s="26">
        <v>0.47</v>
      </c>
      <c r="I259" s="79">
        <v>17817.0</v>
      </c>
      <c r="J259" s="79" t="s">
        <v>1628</v>
      </c>
      <c r="K259" s="80" t="s">
        <v>1593</v>
      </c>
      <c r="L259" s="21">
        <v>52935.0</v>
      </c>
      <c r="M259" s="21">
        <v>38229.0</v>
      </c>
      <c r="N259" s="26">
        <v>0.3</v>
      </c>
      <c r="O259" s="26">
        <v>0.3</v>
      </c>
      <c r="P259" s="81" t="s">
        <v>1595</v>
      </c>
      <c r="Q259" s="26">
        <v>0.63</v>
      </c>
      <c r="R259" s="84">
        <v>0.4</v>
      </c>
      <c r="S259" s="23"/>
      <c r="T259" s="89"/>
      <c r="U259" s="82"/>
      <c r="V259" s="37"/>
      <c r="W259" s="37"/>
    </row>
    <row r="260" ht="14.25" customHeight="1">
      <c r="A260" s="83" t="s">
        <v>302</v>
      </c>
      <c r="B260" s="91">
        <v>1.661873799978E12</v>
      </c>
      <c r="C260" s="78" t="s">
        <v>526</v>
      </c>
      <c r="D260" s="78" t="s">
        <v>175</v>
      </c>
      <c r="E260" s="21" t="s">
        <v>1901</v>
      </c>
      <c r="F260" s="21" t="s">
        <v>1902</v>
      </c>
      <c r="G260" s="23">
        <v>9742.0</v>
      </c>
      <c r="H260" s="26">
        <v>0.28</v>
      </c>
      <c r="I260" s="79">
        <v>3782.0</v>
      </c>
      <c r="J260" s="79" t="s">
        <v>1903</v>
      </c>
      <c r="K260" s="80" t="s">
        <v>1613</v>
      </c>
      <c r="L260" s="21">
        <v>21171.0</v>
      </c>
      <c r="M260" s="21">
        <v>13524.0</v>
      </c>
      <c r="N260" s="26">
        <v>0.3</v>
      </c>
      <c r="O260" s="26">
        <v>0.3</v>
      </c>
      <c r="P260" s="81" t="s">
        <v>1595</v>
      </c>
      <c r="Q260" s="26">
        <v>0.5</v>
      </c>
      <c r="R260" s="84">
        <v>0.27</v>
      </c>
      <c r="S260" s="23"/>
      <c r="T260" s="89"/>
      <c r="U260" s="82"/>
      <c r="V260" s="37"/>
      <c r="W260" s="37"/>
    </row>
    <row r="261" ht="14.25" customHeight="1">
      <c r="A261" s="83" t="s">
        <v>302</v>
      </c>
      <c r="B261" s="91">
        <v>1.661873818029E12</v>
      </c>
      <c r="C261" s="78" t="s">
        <v>526</v>
      </c>
      <c r="D261" s="78" t="s">
        <v>175</v>
      </c>
      <c r="E261" s="21" t="s">
        <v>1901</v>
      </c>
      <c r="F261" s="21" t="s">
        <v>1904</v>
      </c>
      <c r="G261" s="23">
        <v>9659.0</v>
      </c>
      <c r="H261" s="26">
        <v>0.29</v>
      </c>
      <c r="I261" s="79">
        <v>3865.0</v>
      </c>
      <c r="J261" s="79" t="s">
        <v>1903</v>
      </c>
      <c r="K261" s="80" t="s">
        <v>1613</v>
      </c>
      <c r="L261" s="21">
        <v>21171.0</v>
      </c>
      <c r="M261" s="21">
        <v>13524.0</v>
      </c>
      <c r="N261" s="26">
        <v>0.3</v>
      </c>
      <c r="O261" s="26">
        <v>0.3</v>
      </c>
      <c r="P261" s="81" t="s">
        <v>1595</v>
      </c>
      <c r="Q261" s="26">
        <v>0.5</v>
      </c>
      <c r="R261" s="84">
        <v>0.27</v>
      </c>
      <c r="S261" s="23"/>
      <c r="T261" s="89"/>
      <c r="U261" s="82"/>
      <c r="V261" s="37"/>
      <c r="W261" s="37"/>
    </row>
    <row r="262" ht="14.25" customHeight="1">
      <c r="A262" s="83" t="s">
        <v>302</v>
      </c>
      <c r="B262" s="91" t="s">
        <v>568</v>
      </c>
      <c r="C262" s="78" t="s">
        <v>526</v>
      </c>
      <c r="D262" s="78" t="s">
        <v>175</v>
      </c>
      <c r="E262" s="21" t="s">
        <v>1905</v>
      </c>
      <c r="F262" s="21" t="s">
        <v>567</v>
      </c>
      <c r="G262" s="23">
        <v>8877.0</v>
      </c>
      <c r="H262" s="26">
        <v>0.4</v>
      </c>
      <c r="I262" s="79">
        <v>5823.0</v>
      </c>
      <c r="J262" s="79" t="s">
        <v>1608</v>
      </c>
      <c r="K262" s="80" t="s">
        <v>1601</v>
      </c>
      <c r="L262" s="21">
        <v>23524.0</v>
      </c>
      <c r="M262" s="21">
        <v>14700.0</v>
      </c>
      <c r="N262" s="26">
        <v>0.3</v>
      </c>
      <c r="O262" s="26">
        <v>0.3</v>
      </c>
      <c r="P262" s="83" t="s">
        <v>134</v>
      </c>
      <c r="Q262" s="26">
        <v>0.58</v>
      </c>
      <c r="R262" s="84">
        <v>0.35</v>
      </c>
      <c r="S262" s="23"/>
      <c r="T262" s="89"/>
      <c r="U262" s="82"/>
      <c r="V262" s="37"/>
      <c r="W262" s="37"/>
    </row>
    <row r="263" ht="14.25" customHeight="1">
      <c r="A263" s="83" t="s">
        <v>302</v>
      </c>
      <c r="B263" s="91" t="s">
        <v>570</v>
      </c>
      <c r="C263" s="78" t="s">
        <v>526</v>
      </c>
      <c r="D263" s="78" t="s">
        <v>175</v>
      </c>
      <c r="E263" s="21" t="s">
        <v>1905</v>
      </c>
      <c r="F263" s="21" t="s">
        <v>569</v>
      </c>
      <c r="G263" s="23">
        <v>9078.0</v>
      </c>
      <c r="H263" s="26">
        <v>0.38</v>
      </c>
      <c r="I263" s="79">
        <v>5622.0</v>
      </c>
      <c r="J263" s="79" t="s">
        <v>1608</v>
      </c>
      <c r="K263" s="80" t="s">
        <v>1601</v>
      </c>
      <c r="L263" s="21">
        <v>23524.0</v>
      </c>
      <c r="M263" s="21">
        <v>14700.0</v>
      </c>
      <c r="N263" s="26">
        <v>0.3</v>
      </c>
      <c r="O263" s="26">
        <v>0.3</v>
      </c>
      <c r="P263" s="83" t="s">
        <v>134</v>
      </c>
      <c r="Q263" s="26">
        <v>0.57</v>
      </c>
      <c r="R263" s="84">
        <v>0.34</v>
      </c>
      <c r="S263" s="23"/>
      <c r="T263" s="89"/>
      <c r="U263" s="82"/>
      <c r="V263" s="37"/>
      <c r="W263" s="37"/>
    </row>
    <row r="264" ht="14.25" customHeight="1">
      <c r="A264" s="83" t="s">
        <v>302</v>
      </c>
      <c r="B264" s="91" t="s">
        <v>572</v>
      </c>
      <c r="C264" s="78" t="s">
        <v>526</v>
      </c>
      <c r="D264" s="78" t="s">
        <v>175</v>
      </c>
      <c r="E264" s="21" t="s">
        <v>1905</v>
      </c>
      <c r="F264" s="21" t="s">
        <v>1906</v>
      </c>
      <c r="G264" s="23">
        <v>9408.0</v>
      </c>
      <c r="H264" s="26">
        <v>0.36</v>
      </c>
      <c r="I264" s="79">
        <v>5292.0</v>
      </c>
      <c r="J264" s="79" t="s">
        <v>1608</v>
      </c>
      <c r="K264" s="80" t="s">
        <v>1601</v>
      </c>
      <c r="L264" s="21">
        <v>23524.0</v>
      </c>
      <c r="M264" s="21">
        <v>14700.0</v>
      </c>
      <c r="N264" s="26">
        <v>0.3</v>
      </c>
      <c r="O264" s="26">
        <v>0.3</v>
      </c>
      <c r="P264" s="81" t="s">
        <v>1595</v>
      </c>
      <c r="Q264" s="26">
        <v>0.55</v>
      </c>
      <c r="R264" s="84">
        <v>0.32</v>
      </c>
      <c r="S264" s="23"/>
      <c r="T264" s="89"/>
      <c r="U264" s="82"/>
      <c r="V264" s="37"/>
      <c r="W264" s="37"/>
    </row>
    <row r="265" ht="14.25" customHeight="1">
      <c r="A265" s="83" t="s">
        <v>302</v>
      </c>
      <c r="B265" s="91">
        <v>1.623703728452E12</v>
      </c>
      <c r="C265" s="78" t="s">
        <v>526</v>
      </c>
      <c r="D265" s="78" t="s">
        <v>175</v>
      </c>
      <c r="E265" s="21" t="s">
        <v>1907</v>
      </c>
      <c r="F265" s="21" t="s">
        <v>1908</v>
      </c>
      <c r="G265" s="23">
        <v>9554.0</v>
      </c>
      <c r="H265" s="26">
        <v>0.26</v>
      </c>
      <c r="I265" s="79">
        <v>3381.0</v>
      </c>
      <c r="J265" s="79" t="s">
        <v>1603</v>
      </c>
      <c r="K265" s="80" t="s">
        <v>1821</v>
      </c>
      <c r="L265" s="21">
        <v>17641.0</v>
      </c>
      <c r="M265" s="21">
        <v>12935.0</v>
      </c>
      <c r="N265" s="26">
        <v>0.3</v>
      </c>
      <c r="O265" s="26">
        <v>0.3</v>
      </c>
      <c r="P265" s="81" t="s">
        <v>1595</v>
      </c>
      <c r="Q265" s="26">
        <v>0.48</v>
      </c>
      <c r="R265" s="84">
        <v>0.25</v>
      </c>
      <c r="S265" s="23"/>
      <c r="T265" s="89"/>
      <c r="U265" s="82"/>
      <c r="V265" s="37"/>
      <c r="W265" s="37"/>
    </row>
    <row r="266" ht="14.25" customHeight="1">
      <c r="A266" s="83" t="s">
        <v>302</v>
      </c>
      <c r="B266" s="91">
        <v>1.623703690011E12</v>
      </c>
      <c r="C266" s="78" t="s">
        <v>526</v>
      </c>
      <c r="D266" s="78" t="s">
        <v>175</v>
      </c>
      <c r="E266" s="21" t="s">
        <v>1907</v>
      </c>
      <c r="F266" s="21" t="s">
        <v>1909</v>
      </c>
      <c r="G266" s="23">
        <v>9491.0</v>
      </c>
      <c r="H266" s="26">
        <v>0.27</v>
      </c>
      <c r="I266" s="79">
        <v>3444.0</v>
      </c>
      <c r="J266" s="79" t="s">
        <v>1603</v>
      </c>
      <c r="K266" s="80" t="s">
        <v>1821</v>
      </c>
      <c r="L266" s="21">
        <v>17641.0</v>
      </c>
      <c r="M266" s="21">
        <v>12935.0</v>
      </c>
      <c r="N266" s="26">
        <v>0.3</v>
      </c>
      <c r="O266" s="26">
        <v>0.3</v>
      </c>
      <c r="P266" s="81" t="s">
        <v>1595</v>
      </c>
      <c r="Q266" s="26">
        <v>0.49</v>
      </c>
      <c r="R266" s="84">
        <v>0.26</v>
      </c>
      <c r="S266" s="23"/>
      <c r="T266" s="89"/>
      <c r="U266" s="82"/>
      <c r="V266" s="37"/>
      <c r="W266" s="37"/>
    </row>
    <row r="267" ht="14.25" customHeight="1">
      <c r="A267" s="83" t="s">
        <v>302</v>
      </c>
      <c r="B267" s="91" t="s">
        <v>588</v>
      </c>
      <c r="C267" s="78" t="s">
        <v>526</v>
      </c>
      <c r="D267" s="78" t="s">
        <v>175</v>
      </c>
      <c r="E267" s="21" t="s">
        <v>1910</v>
      </c>
      <c r="F267" s="21" t="s">
        <v>1911</v>
      </c>
      <c r="G267" s="23">
        <v>18263.0</v>
      </c>
      <c r="H267" s="26">
        <v>0.38</v>
      </c>
      <c r="I267" s="79">
        <v>11143.0</v>
      </c>
      <c r="J267" s="79" t="s">
        <v>1628</v>
      </c>
      <c r="K267" s="80" t="s">
        <v>1606</v>
      </c>
      <c r="L267" s="21">
        <v>52935.0</v>
      </c>
      <c r="M267" s="21">
        <v>29406.0</v>
      </c>
      <c r="N267" s="26">
        <v>0.3</v>
      </c>
      <c r="O267" s="26">
        <v>0.3</v>
      </c>
      <c r="P267" s="81" t="s">
        <v>1595</v>
      </c>
      <c r="Q267" s="26">
        <v>0.57</v>
      </c>
      <c r="R267" s="84">
        <v>0.34</v>
      </c>
      <c r="S267" s="23"/>
      <c r="T267" s="89"/>
      <c r="U267" s="82"/>
      <c r="V267" s="37"/>
      <c r="W267" s="37"/>
    </row>
    <row r="268" ht="14.25" customHeight="1">
      <c r="A268" s="83" t="s">
        <v>302</v>
      </c>
      <c r="B268" s="85" t="s">
        <v>593</v>
      </c>
      <c r="C268" s="78" t="s">
        <v>526</v>
      </c>
      <c r="D268" s="78" t="s">
        <v>591</v>
      </c>
      <c r="E268" s="86" t="s">
        <v>592</v>
      </c>
      <c r="F268" s="21" t="s">
        <v>1912</v>
      </c>
      <c r="G268" s="23">
        <v>4058.0</v>
      </c>
      <c r="H268" s="26">
        <v>0.54</v>
      </c>
      <c r="I268" s="79">
        <v>4760.0</v>
      </c>
      <c r="J268" s="79" t="s">
        <v>1604</v>
      </c>
      <c r="K268" s="80" t="s">
        <v>1605</v>
      </c>
      <c r="L268" s="21">
        <v>11759.0</v>
      </c>
      <c r="M268" s="21">
        <v>8818.0</v>
      </c>
      <c r="N268" s="26">
        <v>0.3</v>
      </c>
      <c r="O268" s="26">
        <v>0.3</v>
      </c>
      <c r="P268" s="81" t="s">
        <v>1595</v>
      </c>
      <c r="Q268" s="26">
        <v>0.68</v>
      </c>
      <c r="R268" s="84">
        <v>0.45</v>
      </c>
      <c r="S268" s="23"/>
      <c r="T268" s="89"/>
      <c r="U268" s="82"/>
      <c r="V268" s="37"/>
      <c r="W268" s="37"/>
    </row>
    <row r="269" ht="14.25" customHeight="1">
      <c r="A269" s="83" t="s">
        <v>302</v>
      </c>
      <c r="B269" s="91" t="s">
        <v>595</v>
      </c>
      <c r="C269" s="78" t="s">
        <v>526</v>
      </c>
      <c r="D269" s="78" t="s">
        <v>591</v>
      </c>
      <c r="E269" s="21" t="s">
        <v>1913</v>
      </c>
      <c r="F269" s="21" t="s">
        <v>1914</v>
      </c>
      <c r="G269" s="23">
        <v>4379.0</v>
      </c>
      <c r="H269" s="26">
        <v>0.43</v>
      </c>
      <c r="I269" s="79">
        <v>3262.0</v>
      </c>
      <c r="J269" s="79" t="s">
        <v>1601</v>
      </c>
      <c r="K269" s="80" t="s">
        <v>1686</v>
      </c>
      <c r="L269" s="21">
        <v>14700.0</v>
      </c>
      <c r="M269" s="21">
        <v>7641.0</v>
      </c>
      <c r="N269" s="26">
        <v>0.3</v>
      </c>
      <c r="O269" s="26">
        <v>0.3</v>
      </c>
      <c r="P269" s="81" t="s">
        <v>1595</v>
      </c>
      <c r="Q269" s="26">
        <v>0.6</v>
      </c>
      <c r="R269" s="84">
        <v>0.37</v>
      </c>
      <c r="S269" s="23"/>
      <c r="T269" s="89"/>
      <c r="U269" s="82"/>
      <c r="V269" s="37"/>
      <c r="W269" s="37"/>
    </row>
    <row r="270" ht="14.25" customHeight="1">
      <c r="A270" s="83" t="s">
        <v>302</v>
      </c>
      <c r="B270" s="91" t="s">
        <v>597</v>
      </c>
      <c r="C270" s="78" t="s">
        <v>526</v>
      </c>
      <c r="D270" s="78" t="s">
        <v>591</v>
      </c>
      <c r="E270" s="21" t="s">
        <v>1913</v>
      </c>
      <c r="F270" s="21" t="s">
        <v>1914</v>
      </c>
      <c r="G270" s="23">
        <v>4731.0</v>
      </c>
      <c r="H270" s="26">
        <v>0.38</v>
      </c>
      <c r="I270" s="79">
        <v>2910.0</v>
      </c>
      <c r="J270" s="79" t="s">
        <v>1601</v>
      </c>
      <c r="K270" s="80" t="s">
        <v>1686</v>
      </c>
      <c r="L270" s="21">
        <v>14700.0</v>
      </c>
      <c r="M270" s="21">
        <v>7641.0</v>
      </c>
      <c r="N270" s="26">
        <v>0.3</v>
      </c>
      <c r="O270" s="26">
        <v>0.3</v>
      </c>
      <c r="P270" s="81" t="s">
        <v>1595</v>
      </c>
      <c r="Q270" s="26">
        <v>0.57</v>
      </c>
      <c r="R270" s="84">
        <v>0.34</v>
      </c>
      <c r="S270" s="23"/>
      <c r="T270" s="89"/>
      <c r="U270" s="82"/>
      <c r="V270" s="37"/>
      <c r="W270" s="37"/>
    </row>
    <row r="271" ht="14.25" customHeight="1">
      <c r="A271" s="83" t="s">
        <v>302</v>
      </c>
      <c r="B271" s="91" t="s">
        <v>637</v>
      </c>
      <c r="C271" s="78" t="s">
        <v>598</v>
      </c>
      <c r="D271" s="78" t="s">
        <v>599</v>
      </c>
      <c r="E271" s="21" t="s">
        <v>1915</v>
      </c>
      <c r="F271" s="21" t="s">
        <v>1916</v>
      </c>
      <c r="G271" s="23">
        <v>3794.0</v>
      </c>
      <c r="H271" s="26">
        <v>0.35</v>
      </c>
      <c r="I271" s="79">
        <v>2082.0</v>
      </c>
      <c r="J271" s="79" t="s">
        <v>1821</v>
      </c>
      <c r="K271" s="80" t="s">
        <v>1618</v>
      </c>
      <c r="L271" s="21">
        <v>12935.0</v>
      </c>
      <c r="M271" s="21">
        <v>5876.0</v>
      </c>
      <c r="N271" s="26">
        <v>0.3</v>
      </c>
      <c r="O271" s="26">
        <v>0.3</v>
      </c>
      <c r="P271" s="83" t="s">
        <v>134</v>
      </c>
      <c r="Q271" s="26">
        <v>0.55</v>
      </c>
      <c r="R271" s="84">
        <v>0.32</v>
      </c>
      <c r="S271" s="23"/>
      <c r="T271" s="89"/>
      <c r="U271" s="82"/>
      <c r="V271" s="90"/>
      <c r="W271" s="90"/>
    </row>
    <row r="272" ht="14.25" customHeight="1">
      <c r="A272" s="83" t="s">
        <v>302</v>
      </c>
      <c r="B272" s="91" t="s">
        <v>641</v>
      </c>
      <c r="C272" s="78" t="s">
        <v>598</v>
      </c>
      <c r="D272" s="78" t="s">
        <v>599</v>
      </c>
      <c r="E272" s="21" t="s">
        <v>1915</v>
      </c>
      <c r="F272" s="21" t="s">
        <v>640</v>
      </c>
      <c r="G272" s="23">
        <v>3794.0</v>
      </c>
      <c r="H272" s="26">
        <v>0.5</v>
      </c>
      <c r="I272" s="79">
        <v>3847.0</v>
      </c>
      <c r="J272" s="79" t="s">
        <v>1821</v>
      </c>
      <c r="K272" s="80" t="s">
        <v>1686</v>
      </c>
      <c r="L272" s="21">
        <v>12935.0</v>
      </c>
      <c r="M272" s="21">
        <v>7641.0</v>
      </c>
      <c r="N272" s="26">
        <v>0.3</v>
      </c>
      <c r="O272" s="26">
        <v>0.3</v>
      </c>
      <c r="P272" s="83" t="s">
        <v>134</v>
      </c>
      <c r="Q272" s="26">
        <v>0.65</v>
      </c>
      <c r="R272" s="84">
        <v>0.42</v>
      </c>
      <c r="S272" s="23"/>
      <c r="T272" s="89"/>
      <c r="U272" s="82"/>
      <c r="V272" s="90"/>
      <c r="W272" s="90"/>
    </row>
    <row r="273" ht="14.25" customHeight="1">
      <c r="A273" s="83" t="s">
        <v>302</v>
      </c>
      <c r="B273" s="91" t="s">
        <v>643</v>
      </c>
      <c r="C273" s="78" t="s">
        <v>598</v>
      </c>
      <c r="D273" s="78" t="s">
        <v>599</v>
      </c>
      <c r="E273" s="21" t="s">
        <v>1915</v>
      </c>
      <c r="F273" s="21" t="s">
        <v>642</v>
      </c>
      <c r="G273" s="23">
        <v>3794.0</v>
      </c>
      <c r="H273" s="26">
        <v>0.5</v>
      </c>
      <c r="I273" s="79">
        <v>3847.0</v>
      </c>
      <c r="J273" s="79" t="s">
        <v>1821</v>
      </c>
      <c r="K273" s="80" t="s">
        <v>1686</v>
      </c>
      <c r="L273" s="21">
        <v>12935.0</v>
      </c>
      <c r="M273" s="21">
        <v>7641.0</v>
      </c>
      <c r="N273" s="26">
        <v>0.3</v>
      </c>
      <c r="O273" s="26">
        <v>0.3</v>
      </c>
      <c r="P273" s="83" t="s">
        <v>134</v>
      </c>
      <c r="Q273" s="26">
        <v>0.65</v>
      </c>
      <c r="R273" s="84">
        <v>0.42</v>
      </c>
      <c r="S273" s="23"/>
      <c r="T273" s="89"/>
      <c r="U273" s="82"/>
      <c r="V273" s="90"/>
      <c r="W273" s="90"/>
    </row>
    <row r="274" ht="14.25" customHeight="1">
      <c r="A274" s="83" t="s">
        <v>302</v>
      </c>
      <c r="B274" s="91" t="s">
        <v>645</v>
      </c>
      <c r="C274" s="78" t="s">
        <v>598</v>
      </c>
      <c r="D274" s="78" t="s">
        <v>599</v>
      </c>
      <c r="E274" s="21" t="s">
        <v>1915</v>
      </c>
      <c r="F274" s="21" t="s">
        <v>1917</v>
      </c>
      <c r="G274" s="23">
        <v>3794.0</v>
      </c>
      <c r="H274" s="26">
        <v>0.5</v>
      </c>
      <c r="I274" s="79">
        <v>3847.0</v>
      </c>
      <c r="J274" s="79" t="s">
        <v>1821</v>
      </c>
      <c r="K274" s="80" t="s">
        <v>1686</v>
      </c>
      <c r="L274" s="21">
        <v>12935.0</v>
      </c>
      <c r="M274" s="21">
        <v>7641.0</v>
      </c>
      <c r="N274" s="26">
        <v>0.3</v>
      </c>
      <c r="O274" s="26">
        <v>0.3</v>
      </c>
      <c r="P274" s="83" t="s">
        <v>134</v>
      </c>
      <c r="Q274" s="26">
        <v>0.65</v>
      </c>
      <c r="R274" s="84">
        <v>0.42</v>
      </c>
      <c r="S274" s="23"/>
      <c r="T274" s="89"/>
      <c r="U274" s="82"/>
      <c r="V274" s="90"/>
      <c r="W274" s="90"/>
    </row>
    <row r="275" ht="14.25" customHeight="1">
      <c r="A275" s="83" t="s">
        <v>302</v>
      </c>
      <c r="B275" s="91" t="s">
        <v>649</v>
      </c>
      <c r="C275" s="78" t="s">
        <v>598</v>
      </c>
      <c r="D275" s="78" t="s">
        <v>599</v>
      </c>
      <c r="E275" s="21" t="s">
        <v>1915</v>
      </c>
      <c r="F275" s="21" t="s">
        <v>1918</v>
      </c>
      <c r="G275" s="23">
        <v>3794.0</v>
      </c>
      <c r="H275" s="26">
        <v>0.5</v>
      </c>
      <c r="I275" s="79">
        <v>3847.0</v>
      </c>
      <c r="J275" s="79" t="s">
        <v>1821</v>
      </c>
      <c r="K275" s="80" t="s">
        <v>1686</v>
      </c>
      <c r="L275" s="21">
        <v>12935.0</v>
      </c>
      <c r="M275" s="21">
        <v>7641.0</v>
      </c>
      <c r="N275" s="26">
        <v>0.3</v>
      </c>
      <c r="O275" s="26">
        <v>0.3</v>
      </c>
      <c r="P275" s="83" t="s">
        <v>134</v>
      </c>
      <c r="Q275" s="26">
        <v>0.65</v>
      </c>
      <c r="R275" s="84">
        <v>0.42</v>
      </c>
      <c r="S275" s="23"/>
      <c r="T275" s="89"/>
      <c r="U275" s="82"/>
      <c r="V275" s="90"/>
      <c r="W275" s="90"/>
    </row>
    <row r="276" ht="14.25" customHeight="1">
      <c r="A276" s="83" t="s">
        <v>302</v>
      </c>
      <c r="B276" s="91">
        <v>1.659992478281E12</v>
      </c>
      <c r="C276" s="78" t="s">
        <v>598</v>
      </c>
      <c r="D276" s="78" t="s">
        <v>599</v>
      </c>
      <c r="E276" s="21" t="s">
        <v>1919</v>
      </c>
      <c r="F276" s="21" t="s">
        <v>613</v>
      </c>
      <c r="G276" s="23">
        <v>3494.0</v>
      </c>
      <c r="H276" s="26">
        <v>0.54</v>
      </c>
      <c r="I276" s="79">
        <v>4147.0</v>
      </c>
      <c r="J276" s="79" t="s">
        <v>1821</v>
      </c>
      <c r="K276" s="80" t="s">
        <v>1686</v>
      </c>
      <c r="L276" s="21">
        <v>12935.0</v>
      </c>
      <c r="M276" s="21">
        <v>7641.0</v>
      </c>
      <c r="N276" s="26">
        <v>0.3</v>
      </c>
      <c r="O276" s="26">
        <v>0.3</v>
      </c>
      <c r="P276" s="83" t="s">
        <v>134</v>
      </c>
      <c r="Q276" s="26">
        <v>0.68</v>
      </c>
      <c r="R276" s="84">
        <v>0.45</v>
      </c>
      <c r="S276" s="23"/>
      <c r="T276" s="89"/>
      <c r="U276" s="82"/>
      <c r="V276" s="90"/>
      <c r="W276" s="90"/>
    </row>
    <row r="277" ht="14.25" customHeight="1">
      <c r="A277" s="83" t="s">
        <v>302</v>
      </c>
      <c r="B277" s="91">
        <v>6.8313284342161E13</v>
      </c>
      <c r="C277" s="78" t="s">
        <v>598</v>
      </c>
      <c r="D277" s="78" t="s">
        <v>599</v>
      </c>
      <c r="E277" s="21" t="s">
        <v>1919</v>
      </c>
      <c r="F277" s="21" t="s">
        <v>614</v>
      </c>
      <c r="G277" s="23">
        <v>3578.0</v>
      </c>
      <c r="H277" s="26">
        <v>0.53</v>
      </c>
      <c r="I277" s="79">
        <v>4063.0</v>
      </c>
      <c r="J277" s="79" t="s">
        <v>1821</v>
      </c>
      <c r="K277" s="80" t="s">
        <v>1686</v>
      </c>
      <c r="L277" s="21">
        <v>12935.0</v>
      </c>
      <c r="M277" s="21">
        <v>7641.0</v>
      </c>
      <c r="N277" s="26">
        <v>0.3</v>
      </c>
      <c r="O277" s="26">
        <v>0.3</v>
      </c>
      <c r="P277" s="83" t="s">
        <v>134</v>
      </c>
      <c r="Q277" s="26">
        <v>0.67</v>
      </c>
      <c r="R277" s="84">
        <v>0.44</v>
      </c>
      <c r="S277" s="23"/>
      <c r="T277" s="89"/>
      <c r="U277" s="82"/>
      <c r="V277" s="90"/>
      <c r="W277" s="90"/>
    </row>
    <row r="278" ht="14.25" customHeight="1">
      <c r="A278" s="83" t="s">
        <v>302</v>
      </c>
      <c r="B278" s="91">
        <v>6.832138549862E13</v>
      </c>
      <c r="C278" s="78" t="s">
        <v>598</v>
      </c>
      <c r="D278" s="78" t="s">
        <v>599</v>
      </c>
      <c r="E278" s="21" t="s">
        <v>1919</v>
      </c>
      <c r="F278" s="21" t="s">
        <v>615</v>
      </c>
      <c r="G278" s="23">
        <v>3550.0</v>
      </c>
      <c r="H278" s="26">
        <v>0.54</v>
      </c>
      <c r="I278" s="79">
        <v>4091.0</v>
      </c>
      <c r="J278" s="79" t="s">
        <v>1821</v>
      </c>
      <c r="K278" s="80" t="s">
        <v>1686</v>
      </c>
      <c r="L278" s="21">
        <v>12935.0</v>
      </c>
      <c r="M278" s="21">
        <v>7641.0</v>
      </c>
      <c r="N278" s="26">
        <v>0.3</v>
      </c>
      <c r="O278" s="26">
        <v>0.3</v>
      </c>
      <c r="P278" s="83" t="s">
        <v>134</v>
      </c>
      <c r="Q278" s="26">
        <v>0.67</v>
      </c>
      <c r="R278" s="84">
        <v>0.44</v>
      </c>
      <c r="S278" s="23"/>
      <c r="T278" s="89"/>
      <c r="U278" s="82"/>
      <c r="V278" s="37"/>
      <c r="W278" s="37"/>
    </row>
    <row r="279" ht="14.25" customHeight="1">
      <c r="A279" s="83" t="s">
        <v>302</v>
      </c>
      <c r="B279" s="91" t="s">
        <v>619</v>
      </c>
      <c r="C279" s="78" t="s">
        <v>598</v>
      </c>
      <c r="D279" s="78" t="s">
        <v>599</v>
      </c>
      <c r="E279" s="21" t="s">
        <v>1920</v>
      </c>
      <c r="F279" s="21" t="s">
        <v>618</v>
      </c>
      <c r="G279" s="23">
        <v>3920.0</v>
      </c>
      <c r="H279" s="26">
        <v>0.49</v>
      </c>
      <c r="I279" s="79">
        <v>3721.0</v>
      </c>
      <c r="J279" s="79" t="s">
        <v>1604</v>
      </c>
      <c r="K279" s="80" t="s">
        <v>1686</v>
      </c>
      <c r="L279" s="21">
        <v>11759.0</v>
      </c>
      <c r="M279" s="21">
        <v>7641.0</v>
      </c>
      <c r="N279" s="26">
        <v>0.3</v>
      </c>
      <c r="O279" s="26">
        <v>0.3</v>
      </c>
      <c r="P279" s="83" t="s">
        <v>134</v>
      </c>
      <c r="Q279" s="26">
        <v>0.64</v>
      </c>
      <c r="R279" s="84">
        <v>0.41</v>
      </c>
      <c r="S279" s="23"/>
      <c r="T279" s="89"/>
      <c r="U279" s="82"/>
      <c r="V279" s="37"/>
      <c r="W279" s="37"/>
    </row>
    <row r="280" ht="14.25" customHeight="1">
      <c r="A280" s="83" t="s">
        <v>302</v>
      </c>
      <c r="B280" s="91" t="s">
        <v>625</v>
      </c>
      <c r="C280" s="78" t="s">
        <v>598</v>
      </c>
      <c r="D280" s="78" t="s">
        <v>599</v>
      </c>
      <c r="E280" s="21" t="s">
        <v>1920</v>
      </c>
      <c r="F280" s="21" t="s">
        <v>624</v>
      </c>
      <c r="G280" s="23">
        <v>4246.0</v>
      </c>
      <c r="H280" s="26">
        <v>0.44</v>
      </c>
      <c r="I280" s="79">
        <v>3395.0</v>
      </c>
      <c r="J280" s="79" t="s">
        <v>1604</v>
      </c>
      <c r="K280" s="80" t="s">
        <v>1686</v>
      </c>
      <c r="L280" s="21">
        <v>11759.0</v>
      </c>
      <c r="M280" s="21">
        <v>7641.0</v>
      </c>
      <c r="N280" s="26">
        <v>0.3</v>
      </c>
      <c r="O280" s="26">
        <v>0.3</v>
      </c>
      <c r="P280" s="83" t="s">
        <v>134</v>
      </c>
      <c r="Q280" s="26">
        <v>0.61</v>
      </c>
      <c r="R280" s="84">
        <v>0.38</v>
      </c>
      <c r="S280" s="23"/>
      <c r="T280" s="89"/>
      <c r="U280" s="82"/>
      <c r="V280" s="37"/>
      <c r="W280" s="37"/>
    </row>
    <row r="281" ht="14.25" customHeight="1">
      <c r="A281" s="83" t="s">
        <v>302</v>
      </c>
      <c r="B281" s="91" t="s">
        <v>629</v>
      </c>
      <c r="C281" s="78" t="s">
        <v>598</v>
      </c>
      <c r="D281" s="78" t="s">
        <v>599</v>
      </c>
      <c r="E281" s="21" t="s">
        <v>1921</v>
      </c>
      <c r="F281" s="21" t="s">
        <v>1922</v>
      </c>
      <c r="G281" s="23">
        <v>4684.0</v>
      </c>
      <c r="H281" s="26">
        <v>0.47</v>
      </c>
      <c r="I281" s="79">
        <v>4134.0</v>
      </c>
      <c r="J281" s="79" t="s">
        <v>1821</v>
      </c>
      <c r="K281" s="80" t="s">
        <v>1605</v>
      </c>
      <c r="L281" s="21">
        <v>12935.0</v>
      </c>
      <c r="M281" s="21">
        <v>8818.0</v>
      </c>
      <c r="N281" s="26">
        <v>0.3</v>
      </c>
      <c r="O281" s="26">
        <v>0.3</v>
      </c>
      <c r="P281" s="83" t="s">
        <v>134</v>
      </c>
      <c r="Q281" s="26">
        <v>0.63</v>
      </c>
      <c r="R281" s="84">
        <v>0.4</v>
      </c>
      <c r="S281" s="23"/>
      <c r="T281" s="89"/>
      <c r="U281" s="82"/>
      <c r="V281" s="37"/>
      <c r="W281" s="37"/>
    </row>
    <row r="282" ht="14.25" customHeight="1">
      <c r="A282" s="83" t="s">
        <v>302</v>
      </c>
      <c r="B282" s="91" t="s">
        <v>631</v>
      </c>
      <c r="C282" s="78" t="s">
        <v>598</v>
      </c>
      <c r="D282" s="78" t="s">
        <v>599</v>
      </c>
      <c r="E282" s="21" t="s">
        <v>1921</v>
      </c>
      <c r="F282" s="21" t="s">
        <v>630</v>
      </c>
      <c r="G282" s="23">
        <v>4690.0</v>
      </c>
      <c r="H282" s="26">
        <v>0.47</v>
      </c>
      <c r="I282" s="79">
        <v>4128.0</v>
      </c>
      <c r="J282" s="79" t="s">
        <v>1821</v>
      </c>
      <c r="K282" s="80" t="s">
        <v>1605</v>
      </c>
      <c r="L282" s="21">
        <v>12935.0</v>
      </c>
      <c r="M282" s="21">
        <v>8818.0</v>
      </c>
      <c r="N282" s="26">
        <v>0.3</v>
      </c>
      <c r="O282" s="26">
        <v>0.3</v>
      </c>
      <c r="P282" s="83" t="s">
        <v>134</v>
      </c>
      <c r="Q282" s="26">
        <v>0.63</v>
      </c>
      <c r="R282" s="84">
        <v>0.4</v>
      </c>
      <c r="S282" s="23"/>
      <c r="T282" s="89"/>
      <c r="U282" s="82"/>
      <c r="V282" s="37"/>
      <c r="W282" s="37"/>
    </row>
    <row r="283" ht="14.25" customHeight="1">
      <c r="A283" s="83" t="s">
        <v>302</v>
      </c>
      <c r="B283" s="91" t="s">
        <v>653</v>
      </c>
      <c r="C283" s="78" t="s">
        <v>598</v>
      </c>
      <c r="D283" s="78" t="s">
        <v>599</v>
      </c>
      <c r="E283" s="21" t="s">
        <v>1923</v>
      </c>
      <c r="F283" s="21" t="s">
        <v>1924</v>
      </c>
      <c r="G283" s="23">
        <v>2950.0</v>
      </c>
      <c r="H283" s="26">
        <v>0.5</v>
      </c>
      <c r="I283" s="79">
        <v>2926.0</v>
      </c>
      <c r="J283" s="79" t="s">
        <v>1604</v>
      </c>
      <c r="K283" s="80" t="s">
        <v>1618</v>
      </c>
      <c r="L283" s="21">
        <v>11759.0</v>
      </c>
      <c r="M283" s="21">
        <v>5876.0</v>
      </c>
      <c r="N283" s="26">
        <v>0.3</v>
      </c>
      <c r="O283" s="26">
        <v>0.3</v>
      </c>
      <c r="P283" s="81" t="s">
        <v>1595</v>
      </c>
      <c r="Q283" s="26">
        <v>0.65</v>
      </c>
      <c r="R283" s="84">
        <v>0.42</v>
      </c>
      <c r="S283" s="23"/>
      <c r="T283" s="89"/>
      <c r="U283" s="82"/>
      <c r="V283" s="37"/>
      <c r="W283" s="37"/>
    </row>
    <row r="284" ht="14.25" customHeight="1">
      <c r="A284" s="83" t="s">
        <v>302</v>
      </c>
      <c r="B284" s="91" t="s">
        <v>655</v>
      </c>
      <c r="C284" s="78" t="s">
        <v>598</v>
      </c>
      <c r="D284" s="78" t="s">
        <v>599</v>
      </c>
      <c r="E284" s="21" t="s">
        <v>1923</v>
      </c>
      <c r="F284" s="21" t="s">
        <v>1925</v>
      </c>
      <c r="G284" s="23">
        <v>2961.0</v>
      </c>
      <c r="H284" s="26">
        <v>0.5</v>
      </c>
      <c r="I284" s="79">
        <v>2916.0</v>
      </c>
      <c r="J284" s="79" t="s">
        <v>1604</v>
      </c>
      <c r="K284" s="80" t="s">
        <v>1618</v>
      </c>
      <c r="L284" s="21">
        <v>11759.0</v>
      </c>
      <c r="M284" s="21">
        <v>5876.0</v>
      </c>
      <c r="N284" s="26">
        <v>0.3</v>
      </c>
      <c r="O284" s="26">
        <v>0.3</v>
      </c>
      <c r="P284" s="81" t="s">
        <v>1595</v>
      </c>
      <c r="Q284" s="26">
        <v>0.65</v>
      </c>
      <c r="R284" s="84">
        <v>0.42</v>
      </c>
      <c r="S284" s="23"/>
      <c r="T284" s="89"/>
      <c r="U284" s="82"/>
      <c r="V284" s="37"/>
      <c r="W284" s="37"/>
    </row>
    <row r="285" ht="14.25" customHeight="1">
      <c r="A285" s="83" t="s">
        <v>302</v>
      </c>
      <c r="B285" s="91" t="s">
        <v>657</v>
      </c>
      <c r="C285" s="78" t="s">
        <v>598</v>
      </c>
      <c r="D285" s="78" t="s">
        <v>599</v>
      </c>
      <c r="E285" s="21" t="s">
        <v>1923</v>
      </c>
      <c r="F285" s="21" t="s">
        <v>1926</v>
      </c>
      <c r="G285" s="23">
        <v>2974.0</v>
      </c>
      <c r="H285" s="26">
        <v>0.49</v>
      </c>
      <c r="I285" s="79">
        <v>2902.0</v>
      </c>
      <c r="J285" s="79" t="s">
        <v>1604</v>
      </c>
      <c r="K285" s="80" t="s">
        <v>1618</v>
      </c>
      <c r="L285" s="21">
        <v>11759.0</v>
      </c>
      <c r="M285" s="21">
        <v>5876.0</v>
      </c>
      <c r="N285" s="26">
        <v>0.3</v>
      </c>
      <c r="O285" s="26">
        <v>0.3</v>
      </c>
      <c r="P285" s="81" t="s">
        <v>1595</v>
      </c>
      <c r="Q285" s="26">
        <v>0.65</v>
      </c>
      <c r="R285" s="84">
        <v>0.42</v>
      </c>
      <c r="S285" s="23"/>
      <c r="T285" s="89"/>
      <c r="U285" s="82"/>
      <c r="V285" s="37"/>
      <c r="W285" s="37"/>
    </row>
    <row r="286" ht="14.25" customHeight="1">
      <c r="A286" s="83" t="s">
        <v>302</v>
      </c>
      <c r="B286" s="91" t="s">
        <v>659</v>
      </c>
      <c r="C286" s="78" t="s">
        <v>598</v>
      </c>
      <c r="D286" s="78" t="s">
        <v>599</v>
      </c>
      <c r="E286" s="21" t="s">
        <v>1923</v>
      </c>
      <c r="F286" s="21" t="s">
        <v>1927</v>
      </c>
      <c r="G286" s="23">
        <v>2960.0</v>
      </c>
      <c r="H286" s="26">
        <v>0.5</v>
      </c>
      <c r="I286" s="79">
        <v>2917.0</v>
      </c>
      <c r="J286" s="79" t="s">
        <v>1604</v>
      </c>
      <c r="K286" s="80" t="s">
        <v>1618</v>
      </c>
      <c r="L286" s="21">
        <v>11759.0</v>
      </c>
      <c r="M286" s="21">
        <v>5876.0</v>
      </c>
      <c r="N286" s="26">
        <v>0.3</v>
      </c>
      <c r="O286" s="26">
        <v>0.3</v>
      </c>
      <c r="P286" s="81" t="s">
        <v>1595</v>
      </c>
      <c r="Q286" s="26">
        <v>0.65</v>
      </c>
      <c r="R286" s="84">
        <v>0.42</v>
      </c>
      <c r="S286" s="23"/>
      <c r="T286" s="89"/>
      <c r="U286" s="82"/>
      <c r="V286" s="37"/>
      <c r="W286" s="37"/>
    </row>
    <row r="287" ht="14.25" customHeight="1">
      <c r="A287" s="83" t="s">
        <v>302</v>
      </c>
      <c r="B287" s="91" t="s">
        <v>661</v>
      </c>
      <c r="C287" s="78" t="s">
        <v>598</v>
      </c>
      <c r="D287" s="78" t="s">
        <v>599</v>
      </c>
      <c r="E287" s="21" t="s">
        <v>1928</v>
      </c>
      <c r="F287" s="21" t="s">
        <v>1929</v>
      </c>
      <c r="G287" s="23">
        <v>3304.0</v>
      </c>
      <c r="H287" s="26">
        <v>0.44</v>
      </c>
      <c r="I287" s="79">
        <v>2572.0</v>
      </c>
      <c r="J287" s="79" t="s">
        <v>1821</v>
      </c>
      <c r="K287" s="80" t="s">
        <v>1618</v>
      </c>
      <c r="L287" s="21">
        <v>12935.0</v>
      </c>
      <c r="M287" s="21">
        <v>5876.0</v>
      </c>
      <c r="N287" s="26">
        <v>0.3</v>
      </c>
      <c r="O287" s="26">
        <v>0.3</v>
      </c>
      <c r="P287" s="81" t="s">
        <v>1595</v>
      </c>
      <c r="Q287" s="26">
        <v>0.61</v>
      </c>
      <c r="R287" s="84">
        <v>0.38</v>
      </c>
      <c r="S287" s="23"/>
      <c r="T287" s="89"/>
      <c r="U287" s="82"/>
      <c r="V287" s="37"/>
      <c r="W287" s="37"/>
    </row>
    <row r="288" ht="14.25" customHeight="1">
      <c r="A288" s="83" t="s">
        <v>302</v>
      </c>
      <c r="B288" s="91" t="s">
        <v>663</v>
      </c>
      <c r="C288" s="78" t="s">
        <v>598</v>
      </c>
      <c r="D288" s="78" t="s">
        <v>599</v>
      </c>
      <c r="E288" s="21" t="s">
        <v>1928</v>
      </c>
      <c r="F288" s="21" t="s">
        <v>1930</v>
      </c>
      <c r="G288" s="23">
        <v>3221.0</v>
      </c>
      <c r="H288" s="26">
        <v>0.45</v>
      </c>
      <c r="I288" s="79">
        <v>2656.0</v>
      </c>
      <c r="J288" s="79" t="s">
        <v>1821</v>
      </c>
      <c r="K288" s="80" t="s">
        <v>1618</v>
      </c>
      <c r="L288" s="21">
        <v>12935.0</v>
      </c>
      <c r="M288" s="21">
        <v>5876.0</v>
      </c>
      <c r="N288" s="26">
        <v>0.3</v>
      </c>
      <c r="O288" s="26">
        <v>0.3</v>
      </c>
      <c r="P288" s="81" t="s">
        <v>1595</v>
      </c>
      <c r="Q288" s="26">
        <v>0.62</v>
      </c>
      <c r="R288" s="84">
        <v>0.39</v>
      </c>
      <c r="S288" s="23"/>
      <c r="T288" s="89"/>
      <c r="U288" s="82"/>
      <c r="V288" s="37"/>
      <c r="W288" s="37"/>
    </row>
    <row r="289" ht="14.25" customHeight="1">
      <c r="A289" s="83" t="s">
        <v>302</v>
      </c>
      <c r="B289" s="91" t="s">
        <v>665</v>
      </c>
      <c r="C289" s="78" t="s">
        <v>598</v>
      </c>
      <c r="D289" s="78" t="s">
        <v>599</v>
      </c>
      <c r="E289" s="21" t="s">
        <v>1928</v>
      </c>
      <c r="F289" s="21" t="s">
        <v>1931</v>
      </c>
      <c r="G289" s="23">
        <v>3187.0</v>
      </c>
      <c r="H289" s="26">
        <v>0.46</v>
      </c>
      <c r="I289" s="79">
        <v>2689.0</v>
      </c>
      <c r="J289" s="79" t="s">
        <v>1821</v>
      </c>
      <c r="K289" s="80" t="s">
        <v>1618</v>
      </c>
      <c r="L289" s="21">
        <v>12935.0</v>
      </c>
      <c r="M289" s="21">
        <v>5876.0</v>
      </c>
      <c r="N289" s="26">
        <v>0.3</v>
      </c>
      <c r="O289" s="26">
        <v>0.3</v>
      </c>
      <c r="P289" s="81" t="s">
        <v>1595</v>
      </c>
      <c r="Q289" s="26">
        <v>0.62</v>
      </c>
      <c r="R289" s="84">
        <v>0.39</v>
      </c>
      <c r="S289" s="23"/>
      <c r="T289" s="89"/>
      <c r="U289" s="82"/>
      <c r="V289" s="37"/>
      <c r="W289" s="37"/>
    </row>
    <row r="290" ht="14.25" customHeight="1">
      <c r="A290" s="83" t="s">
        <v>302</v>
      </c>
      <c r="B290" s="91" t="s">
        <v>667</v>
      </c>
      <c r="C290" s="78" t="s">
        <v>598</v>
      </c>
      <c r="D290" s="78" t="s">
        <v>599</v>
      </c>
      <c r="E290" s="21" t="s">
        <v>1928</v>
      </c>
      <c r="F290" s="21" t="s">
        <v>1932</v>
      </c>
      <c r="G290" s="23">
        <v>3189.0</v>
      </c>
      <c r="H290" s="26">
        <v>0.46</v>
      </c>
      <c r="I290" s="79">
        <v>2687.0</v>
      </c>
      <c r="J290" s="79" t="s">
        <v>1821</v>
      </c>
      <c r="K290" s="80" t="s">
        <v>1618</v>
      </c>
      <c r="L290" s="21">
        <v>12935.0</v>
      </c>
      <c r="M290" s="21">
        <v>5876.0</v>
      </c>
      <c r="N290" s="26">
        <v>0.3</v>
      </c>
      <c r="O290" s="26">
        <v>0.3</v>
      </c>
      <c r="P290" s="81" t="s">
        <v>1595</v>
      </c>
      <c r="Q290" s="26">
        <v>0.62</v>
      </c>
      <c r="R290" s="84">
        <v>0.39</v>
      </c>
      <c r="S290" s="23"/>
      <c r="T290" s="89"/>
      <c r="U290" s="82"/>
      <c r="V290" s="37"/>
      <c r="W290" s="37"/>
    </row>
    <row r="291" ht="14.25" customHeight="1">
      <c r="A291" s="83" t="s">
        <v>302</v>
      </c>
      <c r="B291" s="91" t="s">
        <v>669</v>
      </c>
      <c r="C291" s="78" t="s">
        <v>598</v>
      </c>
      <c r="D291" s="78" t="s">
        <v>599</v>
      </c>
      <c r="E291" s="21" t="s">
        <v>1928</v>
      </c>
      <c r="F291" s="21" t="s">
        <v>1933</v>
      </c>
      <c r="G291" s="23">
        <v>3171.0</v>
      </c>
      <c r="H291" s="26">
        <v>0.46</v>
      </c>
      <c r="I291" s="79">
        <v>2705.0</v>
      </c>
      <c r="J291" s="79" t="s">
        <v>1821</v>
      </c>
      <c r="K291" s="80" t="s">
        <v>1618</v>
      </c>
      <c r="L291" s="21">
        <v>12935.0</v>
      </c>
      <c r="M291" s="21">
        <v>5876.0</v>
      </c>
      <c r="N291" s="26">
        <v>0.3</v>
      </c>
      <c r="O291" s="26">
        <v>0.3</v>
      </c>
      <c r="P291" s="81" t="s">
        <v>1595</v>
      </c>
      <c r="Q291" s="26">
        <v>0.62</v>
      </c>
      <c r="R291" s="84">
        <v>0.39</v>
      </c>
      <c r="S291" s="23"/>
      <c r="T291" s="89"/>
      <c r="U291" s="82"/>
      <c r="V291" s="37"/>
      <c r="W291" s="37"/>
    </row>
    <row r="292" ht="14.25" customHeight="1">
      <c r="A292" s="83" t="s">
        <v>302</v>
      </c>
      <c r="B292" s="91" t="s">
        <v>671</v>
      </c>
      <c r="C292" s="78" t="s">
        <v>598</v>
      </c>
      <c r="D292" s="78" t="s">
        <v>599</v>
      </c>
      <c r="E292" s="21" t="s">
        <v>670</v>
      </c>
      <c r="F292" s="21" t="s">
        <v>670</v>
      </c>
      <c r="G292" s="23">
        <v>853.0</v>
      </c>
      <c r="H292" s="26">
        <v>0.64</v>
      </c>
      <c r="I292" s="79">
        <v>1494.0</v>
      </c>
      <c r="J292" s="79" t="s">
        <v>1934</v>
      </c>
      <c r="K292" s="80" t="s">
        <v>1935</v>
      </c>
      <c r="L292" s="21">
        <v>2935.0</v>
      </c>
      <c r="M292" s="21">
        <v>2347.0</v>
      </c>
      <c r="N292" s="26">
        <v>0.3</v>
      </c>
      <c r="O292" s="26">
        <v>0.3</v>
      </c>
      <c r="P292" s="83" t="s">
        <v>134</v>
      </c>
      <c r="Q292" s="26">
        <v>0.75</v>
      </c>
      <c r="R292" s="84">
        <v>0.52</v>
      </c>
      <c r="S292" s="23"/>
      <c r="T292" s="89"/>
      <c r="U292" s="82"/>
      <c r="V292" s="37"/>
      <c r="W292" s="37"/>
    </row>
    <row r="293" ht="14.25" customHeight="1">
      <c r="A293" s="83" t="s">
        <v>302</v>
      </c>
      <c r="B293" s="91" t="s">
        <v>673</v>
      </c>
      <c r="C293" s="78" t="s">
        <v>598</v>
      </c>
      <c r="D293" s="78" t="s">
        <v>599</v>
      </c>
      <c r="E293" s="21" t="s">
        <v>672</v>
      </c>
      <c r="F293" s="21" t="s">
        <v>1936</v>
      </c>
      <c r="G293" s="23">
        <v>859.0</v>
      </c>
      <c r="H293" s="26">
        <v>0.63</v>
      </c>
      <c r="I293" s="79">
        <v>1488.0</v>
      </c>
      <c r="J293" s="79" t="s">
        <v>1934</v>
      </c>
      <c r="K293" s="80" t="s">
        <v>1935</v>
      </c>
      <c r="L293" s="21">
        <v>2935.0</v>
      </c>
      <c r="M293" s="21">
        <v>2347.0</v>
      </c>
      <c r="N293" s="26">
        <v>0.3</v>
      </c>
      <c r="O293" s="26">
        <v>0.3</v>
      </c>
      <c r="P293" s="83" t="s">
        <v>134</v>
      </c>
      <c r="Q293" s="26">
        <v>0.74</v>
      </c>
      <c r="R293" s="84">
        <v>0.51</v>
      </c>
      <c r="S293" s="23"/>
      <c r="T293" s="89"/>
      <c r="U293" s="82"/>
      <c r="V293" s="37"/>
      <c r="W293" s="37"/>
    </row>
    <row r="294" ht="14.25" customHeight="1">
      <c r="A294" s="83" t="s">
        <v>302</v>
      </c>
      <c r="B294" s="91" t="s">
        <v>601</v>
      </c>
      <c r="C294" s="78" t="s">
        <v>598</v>
      </c>
      <c r="D294" s="78" t="s">
        <v>599</v>
      </c>
      <c r="E294" s="21" t="s">
        <v>1937</v>
      </c>
      <c r="F294" s="21" t="s">
        <v>1938</v>
      </c>
      <c r="G294" s="23">
        <v>4038.0</v>
      </c>
      <c r="H294" s="26">
        <v>0.24</v>
      </c>
      <c r="I294" s="79">
        <v>1250.0</v>
      </c>
      <c r="J294" s="79" t="s">
        <v>1601</v>
      </c>
      <c r="K294" s="80" t="s">
        <v>1682</v>
      </c>
      <c r="L294" s="21">
        <v>14700.0</v>
      </c>
      <c r="M294" s="21">
        <v>5288.0</v>
      </c>
      <c r="N294" s="26">
        <v>0.3</v>
      </c>
      <c r="O294" s="26">
        <v>0.3</v>
      </c>
      <c r="P294" s="83" t="s">
        <v>134</v>
      </c>
      <c r="Q294" s="26">
        <v>0.47</v>
      </c>
      <c r="R294" s="84">
        <v>0.24</v>
      </c>
      <c r="S294" s="23"/>
      <c r="T294" s="89"/>
      <c r="U294" s="82"/>
      <c r="V294" s="37"/>
      <c r="W294" s="37"/>
    </row>
    <row r="295" ht="14.25" customHeight="1">
      <c r="A295" s="83" t="s">
        <v>302</v>
      </c>
      <c r="B295" s="91" t="s">
        <v>603</v>
      </c>
      <c r="C295" s="78" t="s">
        <v>598</v>
      </c>
      <c r="D295" s="78" t="s">
        <v>599</v>
      </c>
      <c r="E295" s="21" t="s">
        <v>1937</v>
      </c>
      <c r="F295" s="21" t="s">
        <v>1939</v>
      </c>
      <c r="G295" s="23">
        <v>3942.0</v>
      </c>
      <c r="H295" s="26">
        <v>0.66</v>
      </c>
      <c r="I295" s="79">
        <v>7817.0</v>
      </c>
      <c r="J295" s="79" t="s">
        <v>1601</v>
      </c>
      <c r="K295" s="80" t="s">
        <v>1604</v>
      </c>
      <c r="L295" s="21">
        <v>14700.0</v>
      </c>
      <c r="M295" s="21">
        <v>11759.0</v>
      </c>
      <c r="N295" s="26">
        <v>0.3</v>
      </c>
      <c r="O295" s="26">
        <v>0.3</v>
      </c>
      <c r="P295" s="83" t="s">
        <v>134</v>
      </c>
      <c r="Q295" s="26">
        <v>0.77</v>
      </c>
      <c r="R295" s="84">
        <v>0.54</v>
      </c>
      <c r="S295" s="23"/>
      <c r="T295" s="89"/>
      <c r="U295" s="82"/>
      <c r="V295" s="37"/>
      <c r="W295" s="37"/>
    </row>
    <row r="296" ht="14.25" customHeight="1">
      <c r="A296" s="83" t="s">
        <v>302</v>
      </c>
      <c r="B296" s="91" t="s">
        <v>605</v>
      </c>
      <c r="C296" s="78" t="s">
        <v>598</v>
      </c>
      <c r="D296" s="78" t="s">
        <v>599</v>
      </c>
      <c r="E296" s="21" t="s">
        <v>1937</v>
      </c>
      <c r="F296" s="21" t="s">
        <v>604</v>
      </c>
      <c r="G296" s="23">
        <v>3986.0</v>
      </c>
      <c r="H296" s="26">
        <v>0.66</v>
      </c>
      <c r="I296" s="79">
        <v>7773.0</v>
      </c>
      <c r="J296" s="79" t="s">
        <v>1601</v>
      </c>
      <c r="K296" s="80" t="s">
        <v>1604</v>
      </c>
      <c r="L296" s="21">
        <v>14700.0</v>
      </c>
      <c r="M296" s="21">
        <v>11759.0</v>
      </c>
      <c r="N296" s="26">
        <v>0.3</v>
      </c>
      <c r="O296" s="26">
        <v>0.3</v>
      </c>
      <c r="P296" s="83" t="s">
        <v>134</v>
      </c>
      <c r="Q296" s="26">
        <v>0.76</v>
      </c>
      <c r="R296" s="84">
        <v>0.53</v>
      </c>
      <c r="S296" s="23"/>
      <c r="T296" s="89"/>
      <c r="U296" s="82"/>
      <c r="V296" s="37"/>
      <c r="W296" s="37"/>
    </row>
    <row r="297" ht="14.25" customHeight="1">
      <c r="A297" s="83" t="s">
        <v>302</v>
      </c>
      <c r="B297" s="91" t="s">
        <v>607</v>
      </c>
      <c r="C297" s="78" t="s">
        <v>598</v>
      </c>
      <c r="D297" s="78" t="s">
        <v>599</v>
      </c>
      <c r="E297" s="21" t="s">
        <v>1937</v>
      </c>
      <c r="F297" s="21" t="s">
        <v>1940</v>
      </c>
      <c r="G297" s="23">
        <v>4034.0</v>
      </c>
      <c r="H297" s="26">
        <v>0.66</v>
      </c>
      <c r="I297" s="79">
        <v>7725.0</v>
      </c>
      <c r="J297" s="79" t="s">
        <v>1601</v>
      </c>
      <c r="K297" s="80" t="s">
        <v>1604</v>
      </c>
      <c r="L297" s="21">
        <v>14700.0</v>
      </c>
      <c r="M297" s="21">
        <v>11759.0</v>
      </c>
      <c r="N297" s="26">
        <v>0.3</v>
      </c>
      <c r="O297" s="26">
        <v>0.3</v>
      </c>
      <c r="P297" s="83" t="s">
        <v>134</v>
      </c>
      <c r="Q297" s="26">
        <v>0.76</v>
      </c>
      <c r="R297" s="84">
        <v>0.53</v>
      </c>
      <c r="S297" s="23"/>
      <c r="T297" s="89"/>
      <c r="U297" s="82"/>
      <c r="V297" s="37"/>
      <c r="W297" s="37"/>
    </row>
    <row r="298" ht="14.25" customHeight="1">
      <c r="A298" s="83" t="s">
        <v>302</v>
      </c>
      <c r="B298" s="91" t="s">
        <v>611</v>
      </c>
      <c r="C298" s="78" t="s">
        <v>598</v>
      </c>
      <c r="D298" s="78" t="s">
        <v>599</v>
      </c>
      <c r="E298" s="21" t="s">
        <v>1937</v>
      </c>
      <c r="F298" s="21" t="s">
        <v>610</v>
      </c>
      <c r="G298" s="23">
        <v>3905.0</v>
      </c>
      <c r="H298" s="26">
        <v>0.67</v>
      </c>
      <c r="I298" s="79">
        <v>7854.0</v>
      </c>
      <c r="J298" s="79" t="s">
        <v>1601</v>
      </c>
      <c r="K298" s="80" t="s">
        <v>1604</v>
      </c>
      <c r="L298" s="21">
        <v>14700.0</v>
      </c>
      <c r="M298" s="21">
        <v>11759.0</v>
      </c>
      <c r="N298" s="26">
        <v>0.3</v>
      </c>
      <c r="O298" s="26">
        <v>0.3</v>
      </c>
      <c r="P298" s="83" t="s">
        <v>134</v>
      </c>
      <c r="Q298" s="26">
        <v>0.77</v>
      </c>
      <c r="R298" s="84">
        <v>0.54</v>
      </c>
      <c r="S298" s="23"/>
      <c r="T298" s="89"/>
      <c r="U298" s="82"/>
      <c r="V298" s="37"/>
      <c r="W298" s="37"/>
    </row>
    <row r="299" ht="14.25" customHeight="1">
      <c r="A299" s="83" t="s">
        <v>302</v>
      </c>
      <c r="B299" s="55" t="s">
        <v>675</v>
      </c>
      <c r="C299" s="78" t="s">
        <v>598</v>
      </c>
      <c r="D299" s="78" t="s">
        <v>599</v>
      </c>
      <c r="E299" s="21" t="s">
        <v>674</v>
      </c>
      <c r="F299" s="21" t="s">
        <v>1941</v>
      </c>
      <c r="G299" s="23">
        <v>4899.0</v>
      </c>
      <c r="H299" s="26">
        <v>0.44</v>
      </c>
      <c r="I299" s="79">
        <v>3919.0</v>
      </c>
      <c r="J299" s="79" t="s">
        <v>1821</v>
      </c>
      <c r="K299" s="80" t="s">
        <v>1605</v>
      </c>
      <c r="L299" s="21">
        <v>12935.0</v>
      </c>
      <c r="M299" s="21">
        <v>8818.0</v>
      </c>
      <c r="N299" s="26">
        <v>0.3</v>
      </c>
      <c r="O299" s="26">
        <v>0.3</v>
      </c>
      <c r="P299" s="81" t="s">
        <v>1595</v>
      </c>
      <c r="Q299" s="26">
        <v>0.61</v>
      </c>
      <c r="R299" s="84">
        <v>0.38</v>
      </c>
      <c r="S299" s="23"/>
      <c r="T299" s="89"/>
      <c r="U299" s="82"/>
      <c r="V299" s="37"/>
      <c r="W299" s="37"/>
    </row>
    <row r="300" ht="14.25" customHeight="1">
      <c r="A300" s="83" t="s">
        <v>302</v>
      </c>
      <c r="B300" s="55" t="s">
        <v>677</v>
      </c>
      <c r="C300" s="78" t="s">
        <v>598</v>
      </c>
      <c r="D300" s="78" t="s">
        <v>599</v>
      </c>
      <c r="E300" s="21" t="s">
        <v>676</v>
      </c>
      <c r="F300" s="21" t="s">
        <v>1942</v>
      </c>
      <c r="G300" s="23">
        <v>5127.0</v>
      </c>
      <c r="H300" s="26">
        <v>0.42</v>
      </c>
      <c r="I300" s="79">
        <v>3691.0</v>
      </c>
      <c r="J300" s="79" t="s">
        <v>1821</v>
      </c>
      <c r="K300" s="80" t="s">
        <v>1605</v>
      </c>
      <c r="L300" s="21">
        <v>12935.0</v>
      </c>
      <c r="M300" s="21">
        <v>8818.0</v>
      </c>
      <c r="N300" s="26">
        <v>0.3</v>
      </c>
      <c r="O300" s="26">
        <v>0.3</v>
      </c>
      <c r="P300" s="81" t="s">
        <v>1595</v>
      </c>
      <c r="Q300" s="26">
        <v>0.59</v>
      </c>
      <c r="R300" s="84">
        <v>0.36</v>
      </c>
      <c r="S300" s="23"/>
      <c r="T300" s="89"/>
      <c r="U300" s="82"/>
      <c r="V300" s="37"/>
      <c r="W300" s="37"/>
    </row>
    <row r="301" ht="14.25" customHeight="1">
      <c r="A301" s="83" t="s">
        <v>302</v>
      </c>
      <c r="B301" s="55" t="s">
        <v>679</v>
      </c>
      <c r="C301" s="78" t="s">
        <v>598</v>
      </c>
      <c r="D301" s="78" t="s">
        <v>599</v>
      </c>
      <c r="E301" s="21" t="s">
        <v>678</v>
      </c>
      <c r="F301" s="21" t="s">
        <v>1943</v>
      </c>
      <c r="G301" s="23">
        <v>5092.0</v>
      </c>
      <c r="H301" s="26">
        <v>0.42</v>
      </c>
      <c r="I301" s="79">
        <v>3726.0</v>
      </c>
      <c r="J301" s="79" t="s">
        <v>1821</v>
      </c>
      <c r="K301" s="80" t="s">
        <v>1605</v>
      </c>
      <c r="L301" s="21">
        <v>12935.0</v>
      </c>
      <c r="M301" s="21">
        <v>8818.0</v>
      </c>
      <c r="N301" s="26">
        <v>0.3</v>
      </c>
      <c r="O301" s="26">
        <v>0.3</v>
      </c>
      <c r="P301" s="81" t="s">
        <v>1595</v>
      </c>
      <c r="Q301" s="26">
        <v>0.6</v>
      </c>
      <c r="R301" s="84">
        <v>0.37</v>
      </c>
      <c r="S301" s="23"/>
      <c r="T301" s="89"/>
      <c r="U301" s="82"/>
      <c r="V301" s="37"/>
      <c r="W301" s="37"/>
    </row>
    <row r="302" ht="14.25" customHeight="1">
      <c r="A302" s="83" t="s">
        <v>302</v>
      </c>
      <c r="B302" s="55" t="s">
        <v>681</v>
      </c>
      <c r="C302" s="78" t="s">
        <v>598</v>
      </c>
      <c r="D302" s="78" t="s">
        <v>599</v>
      </c>
      <c r="E302" s="21" t="s">
        <v>680</v>
      </c>
      <c r="F302" s="21" t="s">
        <v>1944</v>
      </c>
      <c r="G302" s="23">
        <v>5127.0</v>
      </c>
      <c r="H302" s="26">
        <v>0.42</v>
      </c>
      <c r="I302" s="79">
        <v>3691.0</v>
      </c>
      <c r="J302" s="79" t="s">
        <v>1821</v>
      </c>
      <c r="K302" s="80" t="s">
        <v>1605</v>
      </c>
      <c r="L302" s="21">
        <v>12935.0</v>
      </c>
      <c r="M302" s="21">
        <v>8818.0</v>
      </c>
      <c r="N302" s="26">
        <v>0.3</v>
      </c>
      <c r="O302" s="26">
        <v>0.3</v>
      </c>
      <c r="P302" s="81" t="s">
        <v>1595</v>
      </c>
      <c r="Q302" s="26">
        <v>0.59</v>
      </c>
      <c r="R302" s="84">
        <v>0.36</v>
      </c>
      <c r="S302" s="23"/>
      <c r="T302" s="89"/>
      <c r="U302" s="82"/>
      <c r="V302" s="37"/>
      <c r="W302" s="37"/>
    </row>
    <row r="303" ht="14.25" customHeight="1">
      <c r="A303" s="83" t="s">
        <v>302</v>
      </c>
      <c r="B303" s="55" t="s">
        <v>683</v>
      </c>
      <c r="C303" s="78" t="s">
        <v>598</v>
      </c>
      <c r="D303" s="78" t="s">
        <v>599</v>
      </c>
      <c r="E303" s="21" t="s">
        <v>682</v>
      </c>
      <c r="F303" s="21" t="s">
        <v>1945</v>
      </c>
      <c r="G303" s="23">
        <v>5184.0</v>
      </c>
      <c r="H303" s="26">
        <v>0.41</v>
      </c>
      <c r="I303" s="79">
        <v>3634.0</v>
      </c>
      <c r="J303" s="79" t="s">
        <v>1821</v>
      </c>
      <c r="K303" s="80" t="s">
        <v>1605</v>
      </c>
      <c r="L303" s="21">
        <v>12935.0</v>
      </c>
      <c r="M303" s="21">
        <v>8818.0</v>
      </c>
      <c r="N303" s="26">
        <v>0.3</v>
      </c>
      <c r="O303" s="26">
        <v>0.3</v>
      </c>
      <c r="P303" s="81" t="s">
        <v>1595</v>
      </c>
      <c r="Q303" s="26">
        <v>0.59</v>
      </c>
      <c r="R303" s="84">
        <v>0.36</v>
      </c>
      <c r="S303" s="23"/>
      <c r="T303" s="89"/>
      <c r="U303" s="82"/>
      <c r="V303" s="37"/>
      <c r="W303" s="37"/>
    </row>
    <row r="304" ht="14.25" customHeight="1">
      <c r="A304" s="83" t="s">
        <v>302</v>
      </c>
      <c r="B304" s="55" t="s">
        <v>685</v>
      </c>
      <c r="C304" s="78" t="s">
        <v>598</v>
      </c>
      <c r="D304" s="78" t="s">
        <v>599</v>
      </c>
      <c r="E304" s="21" t="s">
        <v>684</v>
      </c>
      <c r="F304" s="21" t="s">
        <v>1946</v>
      </c>
      <c r="G304" s="23">
        <v>3509.0</v>
      </c>
      <c r="H304" s="26">
        <v>0.54</v>
      </c>
      <c r="I304" s="79">
        <v>4132.0</v>
      </c>
      <c r="J304" s="79" t="s">
        <v>1604</v>
      </c>
      <c r="K304" s="80" t="s">
        <v>1686</v>
      </c>
      <c r="L304" s="21">
        <v>11759.0</v>
      </c>
      <c r="M304" s="21">
        <v>7641.0</v>
      </c>
      <c r="N304" s="26">
        <v>0.3</v>
      </c>
      <c r="O304" s="26">
        <v>0.3</v>
      </c>
      <c r="P304" s="81" t="s">
        <v>1595</v>
      </c>
      <c r="Q304" s="26">
        <v>0.68</v>
      </c>
      <c r="R304" s="84">
        <v>0.45</v>
      </c>
      <c r="S304" s="23"/>
      <c r="T304" s="89"/>
      <c r="U304" s="82"/>
      <c r="V304" s="37"/>
      <c r="W304" s="37"/>
    </row>
    <row r="305" ht="14.25" customHeight="1">
      <c r="A305" s="83" t="s">
        <v>302</v>
      </c>
      <c r="B305" s="55" t="s">
        <v>687</v>
      </c>
      <c r="C305" s="78" t="s">
        <v>598</v>
      </c>
      <c r="D305" s="78" t="s">
        <v>599</v>
      </c>
      <c r="E305" s="21" t="s">
        <v>686</v>
      </c>
      <c r="F305" s="21" t="s">
        <v>1947</v>
      </c>
      <c r="G305" s="23">
        <v>3501.0</v>
      </c>
      <c r="H305" s="26">
        <v>0.54</v>
      </c>
      <c r="I305" s="79">
        <v>4140.0</v>
      </c>
      <c r="J305" s="79" t="s">
        <v>1604</v>
      </c>
      <c r="K305" s="80" t="s">
        <v>1686</v>
      </c>
      <c r="L305" s="21">
        <v>11759.0</v>
      </c>
      <c r="M305" s="21">
        <v>7641.0</v>
      </c>
      <c r="N305" s="26">
        <v>0.3</v>
      </c>
      <c r="O305" s="26">
        <v>0.3</v>
      </c>
      <c r="P305" s="81" t="s">
        <v>1595</v>
      </c>
      <c r="Q305" s="26">
        <v>0.68</v>
      </c>
      <c r="R305" s="84">
        <v>0.45</v>
      </c>
      <c r="S305" s="23"/>
      <c r="T305" s="89"/>
      <c r="U305" s="82"/>
      <c r="V305" s="37"/>
      <c r="W305" s="37"/>
    </row>
    <row r="306" ht="14.25" customHeight="1">
      <c r="A306" s="83" t="s">
        <v>302</v>
      </c>
      <c r="B306" s="55" t="s">
        <v>689</v>
      </c>
      <c r="C306" s="78" t="s">
        <v>598</v>
      </c>
      <c r="D306" s="78" t="s">
        <v>599</v>
      </c>
      <c r="E306" s="21" t="s">
        <v>688</v>
      </c>
      <c r="F306" s="21" t="s">
        <v>1948</v>
      </c>
      <c r="G306" s="23">
        <v>3509.0</v>
      </c>
      <c r="H306" s="26">
        <v>0.54</v>
      </c>
      <c r="I306" s="79">
        <v>4132.0</v>
      </c>
      <c r="J306" s="79" t="s">
        <v>1604</v>
      </c>
      <c r="K306" s="80" t="s">
        <v>1686</v>
      </c>
      <c r="L306" s="21">
        <v>11759.0</v>
      </c>
      <c r="M306" s="21">
        <v>7641.0</v>
      </c>
      <c r="N306" s="26">
        <v>0.3</v>
      </c>
      <c r="O306" s="26">
        <v>0.3</v>
      </c>
      <c r="P306" s="81" t="s">
        <v>1595</v>
      </c>
      <c r="Q306" s="26">
        <v>0.68</v>
      </c>
      <c r="R306" s="84">
        <v>0.45</v>
      </c>
      <c r="S306" s="23"/>
      <c r="T306" s="89"/>
      <c r="U306" s="82"/>
      <c r="V306" s="37"/>
      <c r="W306" s="37"/>
    </row>
    <row r="307" ht="14.25" customHeight="1">
      <c r="A307" s="83" t="s">
        <v>302</v>
      </c>
      <c r="B307" s="55" t="s">
        <v>691</v>
      </c>
      <c r="C307" s="19" t="s">
        <v>598</v>
      </c>
      <c r="D307" s="19" t="s">
        <v>599</v>
      </c>
      <c r="E307" s="21" t="s">
        <v>690</v>
      </c>
      <c r="F307" s="21" t="s">
        <v>1949</v>
      </c>
      <c r="G307" s="23">
        <v>4294.0</v>
      </c>
      <c r="H307" s="26">
        <v>0.44</v>
      </c>
      <c r="I307" s="79">
        <v>3347.0</v>
      </c>
      <c r="J307" s="79" t="s">
        <v>1601</v>
      </c>
      <c r="K307" s="80" t="s">
        <v>1686</v>
      </c>
      <c r="L307" s="21">
        <v>14700.0</v>
      </c>
      <c r="M307" s="21">
        <v>7641.0</v>
      </c>
      <c r="N307" s="26">
        <v>0.3</v>
      </c>
      <c r="O307" s="26">
        <v>0.3</v>
      </c>
      <c r="P307" s="81" t="s">
        <v>1595</v>
      </c>
      <c r="Q307" s="26">
        <v>0.61</v>
      </c>
      <c r="R307" s="84">
        <v>0.38</v>
      </c>
      <c r="S307" s="22"/>
      <c r="T307" s="16"/>
      <c r="U307" s="82"/>
      <c r="V307" s="37"/>
      <c r="W307" s="37"/>
    </row>
    <row r="308" ht="14.25" customHeight="1">
      <c r="A308" s="83" t="s">
        <v>302</v>
      </c>
      <c r="B308" s="55" t="s">
        <v>693</v>
      </c>
      <c r="C308" s="19" t="s">
        <v>598</v>
      </c>
      <c r="D308" s="19" t="s">
        <v>599</v>
      </c>
      <c r="E308" s="21" t="s">
        <v>692</v>
      </c>
      <c r="F308" s="21" t="s">
        <v>1950</v>
      </c>
      <c r="G308" s="23">
        <v>4226.0</v>
      </c>
      <c r="H308" s="26">
        <v>0.45</v>
      </c>
      <c r="I308" s="79">
        <v>3415.0</v>
      </c>
      <c r="J308" s="79" t="s">
        <v>1601</v>
      </c>
      <c r="K308" s="80" t="s">
        <v>1686</v>
      </c>
      <c r="L308" s="21">
        <v>14700.0</v>
      </c>
      <c r="M308" s="21">
        <v>7641.0</v>
      </c>
      <c r="N308" s="26">
        <v>0.3</v>
      </c>
      <c r="O308" s="26">
        <v>0.3</v>
      </c>
      <c r="P308" s="81" t="s">
        <v>1595</v>
      </c>
      <c r="Q308" s="26">
        <v>0.61</v>
      </c>
      <c r="R308" s="84">
        <v>0.38</v>
      </c>
      <c r="S308" s="22"/>
      <c r="T308" s="16"/>
      <c r="U308" s="82"/>
      <c r="V308" s="37"/>
      <c r="W308" s="37"/>
    </row>
    <row r="309" ht="14.25" customHeight="1">
      <c r="A309" s="83" t="s">
        <v>302</v>
      </c>
      <c r="B309" s="55" t="s">
        <v>695</v>
      </c>
      <c r="C309" s="19" t="s">
        <v>598</v>
      </c>
      <c r="D309" s="19" t="s">
        <v>599</v>
      </c>
      <c r="E309" s="21" t="s">
        <v>694</v>
      </c>
      <c r="F309" s="21" t="s">
        <v>1951</v>
      </c>
      <c r="G309" s="23">
        <v>4181.0</v>
      </c>
      <c r="H309" s="26">
        <v>0.45</v>
      </c>
      <c r="I309" s="79">
        <v>3460.0</v>
      </c>
      <c r="J309" s="79" t="s">
        <v>1601</v>
      </c>
      <c r="K309" s="80" t="s">
        <v>1686</v>
      </c>
      <c r="L309" s="21">
        <v>14700.0</v>
      </c>
      <c r="M309" s="21">
        <v>7641.0</v>
      </c>
      <c r="N309" s="26">
        <v>0.3</v>
      </c>
      <c r="O309" s="26">
        <v>0.3</v>
      </c>
      <c r="P309" s="81" t="s">
        <v>1595</v>
      </c>
      <c r="Q309" s="26">
        <v>0.62</v>
      </c>
      <c r="R309" s="84">
        <v>0.39</v>
      </c>
      <c r="S309" s="22"/>
      <c r="T309" s="16"/>
      <c r="U309" s="82"/>
      <c r="V309" s="37"/>
      <c r="W309" s="37"/>
    </row>
    <row r="310" ht="14.25" customHeight="1">
      <c r="A310" s="83" t="s">
        <v>302</v>
      </c>
      <c r="B310" s="55" t="s">
        <v>697</v>
      </c>
      <c r="C310" s="19" t="s">
        <v>598</v>
      </c>
      <c r="D310" s="19" t="s">
        <v>599</v>
      </c>
      <c r="E310" s="21" t="s">
        <v>696</v>
      </c>
      <c r="F310" s="21" t="s">
        <v>1952</v>
      </c>
      <c r="G310" s="23">
        <v>4291.0</v>
      </c>
      <c r="H310" s="26">
        <v>0.51</v>
      </c>
      <c r="I310" s="79">
        <v>4527.0</v>
      </c>
      <c r="J310" s="79" t="s">
        <v>1601</v>
      </c>
      <c r="K310" s="80" t="s">
        <v>1605</v>
      </c>
      <c r="L310" s="21">
        <v>14700.0</v>
      </c>
      <c r="M310" s="21">
        <v>8818.0</v>
      </c>
      <c r="N310" s="26">
        <v>0.3</v>
      </c>
      <c r="O310" s="26">
        <v>0.3</v>
      </c>
      <c r="P310" s="81" t="s">
        <v>1595</v>
      </c>
      <c r="Q310" s="26">
        <v>0.66</v>
      </c>
      <c r="R310" s="84">
        <v>0.43</v>
      </c>
      <c r="S310" s="22"/>
      <c r="T310" s="16"/>
      <c r="U310" s="82"/>
      <c r="V310" s="37"/>
      <c r="W310" s="37"/>
    </row>
    <row r="311" ht="14.25" customHeight="1">
      <c r="A311" s="83" t="s">
        <v>302</v>
      </c>
      <c r="B311" s="55" t="s">
        <v>699</v>
      </c>
      <c r="C311" s="19" t="s">
        <v>598</v>
      </c>
      <c r="D311" s="19" t="s">
        <v>599</v>
      </c>
      <c r="E311" s="21" t="s">
        <v>698</v>
      </c>
      <c r="F311" s="21" t="s">
        <v>1953</v>
      </c>
      <c r="G311" s="23">
        <v>4213.0</v>
      </c>
      <c r="H311" s="26">
        <v>0.45</v>
      </c>
      <c r="I311" s="79">
        <v>3428.0</v>
      </c>
      <c r="J311" s="79" t="s">
        <v>1601</v>
      </c>
      <c r="K311" s="80" t="s">
        <v>1686</v>
      </c>
      <c r="L311" s="21">
        <v>14700.0</v>
      </c>
      <c r="M311" s="21">
        <v>7641.0</v>
      </c>
      <c r="N311" s="26">
        <v>0.3</v>
      </c>
      <c r="O311" s="26">
        <v>0.3</v>
      </c>
      <c r="P311" s="81" t="s">
        <v>1595</v>
      </c>
      <c r="Q311" s="26">
        <v>0.61</v>
      </c>
      <c r="R311" s="84">
        <v>0.38</v>
      </c>
      <c r="S311" s="22"/>
      <c r="T311" s="16"/>
      <c r="U311" s="82"/>
      <c r="V311" s="37"/>
      <c r="W311" s="37"/>
    </row>
    <row r="312" ht="14.25" customHeight="1">
      <c r="A312" s="83" t="s">
        <v>302</v>
      </c>
      <c r="B312" s="55" t="s">
        <v>701</v>
      </c>
      <c r="C312" s="19" t="s">
        <v>598</v>
      </c>
      <c r="D312" s="19" t="s">
        <v>599</v>
      </c>
      <c r="E312" s="21" t="s">
        <v>700</v>
      </c>
      <c r="F312" s="21" t="s">
        <v>1954</v>
      </c>
      <c r="G312" s="23">
        <v>4319.0</v>
      </c>
      <c r="H312" s="26">
        <v>0.43</v>
      </c>
      <c r="I312" s="79">
        <v>3322.0</v>
      </c>
      <c r="J312" s="79" t="s">
        <v>1601</v>
      </c>
      <c r="K312" s="80" t="s">
        <v>1686</v>
      </c>
      <c r="L312" s="21">
        <v>14700.0</v>
      </c>
      <c r="M312" s="21">
        <v>7641.0</v>
      </c>
      <c r="N312" s="26">
        <v>0.3</v>
      </c>
      <c r="O312" s="26">
        <v>0.3</v>
      </c>
      <c r="P312" s="81" t="s">
        <v>1595</v>
      </c>
      <c r="Q312" s="26">
        <v>0.6</v>
      </c>
      <c r="R312" s="84">
        <v>0.37</v>
      </c>
      <c r="S312" s="22"/>
      <c r="T312" s="16"/>
      <c r="U312" s="82"/>
      <c r="V312" s="37"/>
      <c r="W312" s="37"/>
    </row>
    <row r="313" ht="14.25" customHeight="1">
      <c r="A313" s="83" t="s">
        <v>302</v>
      </c>
      <c r="B313" s="91" t="s">
        <v>728</v>
      </c>
      <c r="C313" s="78" t="s">
        <v>598</v>
      </c>
      <c r="D313" s="78" t="s">
        <v>704</v>
      </c>
      <c r="E313" s="21" t="s">
        <v>1955</v>
      </c>
      <c r="F313" s="21" t="s">
        <v>1956</v>
      </c>
      <c r="G313" s="23">
        <v>2867.0</v>
      </c>
      <c r="H313" s="26">
        <v>0.46</v>
      </c>
      <c r="I313" s="79">
        <v>2421.0</v>
      </c>
      <c r="J313" s="79" t="s">
        <v>1602</v>
      </c>
      <c r="K313" s="80" t="s">
        <v>1682</v>
      </c>
      <c r="L313" s="21">
        <v>9994.0</v>
      </c>
      <c r="M313" s="21">
        <v>5288.0</v>
      </c>
      <c r="N313" s="26">
        <v>0.3</v>
      </c>
      <c r="O313" s="26">
        <v>0.3</v>
      </c>
      <c r="P313" s="83" t="s">
        <v>134</v>
      </c>
      <c r="Q313" s="26">
        <v>0.62</v>
      </c>
      <c r="R313" s="84">
        <v>0.39</v>
      </c>
      <c r="S313" s="22"/>
      <c r="T313" s="16"/>
      <c r="U313" s="82"/>
      <c r="V313" s="37"/>
      <c r="W313" s="37"/>
    </row>
    <row r="314" ht="14.25" customHeight="1">
      <c r="A314" s="83" t="s">
        <v>302</v>
      </c>
      <c r="B314" s="91" t="s">
        <v>730</v>
      </c>
      <c r="C314" s="78" t="s">
        <v>598</v>
      </c>
      <c r="D314" s="78" t="s">
        <v>704</v>
      </c>
      <c r="E314" s="21" t="s">
        <v>1955</v>
      </c>
      <c r="F314" s="21" t="s">
        <v>1957</v>
      </c>
      <c r="G314" s="23">
        <v>2871.0</v>
      </c>
      <c r="H314" s="26">
        <v>0.46</v>
      </c>
      <c r="I314" s="79">
        <v>2417.0</v>
      </c>
      <c r="J314" s="79" t="s">
        <v>1602</v>
      </c>
      <c r="K314" s="80" t="s">
        <v>1682</v>
      </c>
      <c r="L314" s="21">
        <v>9994.0</v>
      </c>
      <c r="M314" s="21">
        <v>5288.0</v>
      </c>
      <c r="N314" s="26">
        <v>0.3</v>
      </c>
      <c r="O314" s="26">
        <v>0.3</v>
      </c>
      <c r="P314" s="83" t="s">
        <v>134</v>
      </c>
      <c r="Q314" s="26">
        <v>0.62</v>
      </c>
      <c r="R314" s="84">
        <v>0.39</v>
      </c>
      <c r="S314" s="22"/>
      <c r="T314" s="16"/>
      <c r="U314" s="82"/>
      <c r="V314" s="37"/>
      <c r="W314" s="37"/>
    </row>
    <row r="315" ht="14.25" customHeight="1">
      <c r="A315" s="83" t="s">
        <v>302</v>
      </c>
      <c r="B315" s="91" t="s">
        <v>732</v>
      </c>
      <c r="C315" s="78" t="s">
        <v>598</v>
      </c>
      <c r="D315" s="78" t="s">
        <v>704</v>
      </c>
      <c r="E315" s="21" t="s">
        <v>1955</v>
      </c>
      <c r="F315" s="21" t="s">
        <v>1958</v>
      </c>
      <c r="G315" s="23">
        <v>2872.0</v>
      </c>
      <c r="H315" s="26">
        <v>0.46</v>
      </c>
      <c r="I315" s="79">
        <v>2416.0</v>
      </c>
      <c r="J315" s="79" t="s">
        <v>1602</v>
      </c>
      <c r="K315" s="80" t="s">
        <v>1682</v>
      </c>
      <c r="L315" s="21">
        <v>9994.0</v>
      </c>
      <c r="M315" s="21">
        <v>5288.0</v>
      </c>
      <c r="N315" s="26">
        <v>0.3</v>
      </c>
      <c r="O315" s="26">
        <v>0.3</v>
      </c>
      <c r="P315" s="83" t="s">
        <v>134</v>
      </c>
      <c r="Q315" s="26">
        <v>0.62</v>
      </c>
      <c r="R315" s="84">
        <v>0.39</v>
      </c>
      <c r="S315" s="22"/>
      <c r="T315" s="16"/>
      <c r="U315" s="82"/>
      <c r="V315" s="37"/>
      <c r="W315" s="37"/>
    </row>
    <row r="316" ht="14.25" customHeight="1">
      <c r="A316" s="83" t="s">
        <v>302</v>
      </c>
      <c r="B316" s="91" t="s">
        <v>734</v>
      </c>
      <c r="C316" s="78" t="s">
        <v>598</v>
      </c>
      <c r="D316" s="78" t="s">
        <v>704</v>
      </c>
      <c r="E316" s="21" t="s">
        <v>1955</v>
      </c>
      <c r="F316" s="21" t="s">
        <v>733</v>
      </c>
      <c r="G316" s="23">
        <v>2871.0</v>
      </c>
      <c r="H316" s="26">
        <v>0.46</v>
      </c>
      <c r="I316" s="79">
        <v>2417.0</v>
      </c>
      <c r="J316" s="79" t="s">
        <v>1602</v>
      </c>
      <c r="K316" s="80" t="s">
        <v>1682</v>
      </c>
      <c r="L316" s="21">
        <v>9994.0</v>
      </c>
      <c r="M316" s="21">
        <v>5288.0</v>
      </c>
      <c r="N316" s="26">
        <v>0.3</v>
      </c>
      <c r="O316" s="26">
        <v>0.3</v>
      </c>
      <c r="P316" s="83" t="s">
        <v>134</v>
      </c>
      <c r="Q316" s="26">
        <v>0.62</v>
      </c>
      <c r="R316" s="84">
        <v>0.39</v>
      </c>
      <c r="S316" s="22"/>
      <c r="T316" s="16"/>
      <c r="U316" s="82"/>
      <c r="V316" s="37"/>
      <c r="W316" s="37"/>
    </row>
    <row r="317" ht="14.25" customHeight="1">
      <c r="A317" s="83" t="s">
        <v>302</v>
      </c>
      <c r="B317" s="91" t="s">
        <v>706</v>
      </c>
      <c r="C317" s="78" t="s">
        <v>598</v>
      </c>
      <c r="D317" s="78" t="s">
        <v>704</v>
      </c>
      <c r="E317" s="21" t="s">
        <v>1959</v>
      </c>
      <c r="F317" s="21" t="s">
        <v>1960</v>
      </c>
      <c r="G317" s="23">
        <v>2561.0</v>
      </c>
      <c r="H317" s="26">
        <v>0.56</v>
      </c>
      <c r="I317" s="79">
        <v>3316.0</v>
      </c>
      <c r="J317" s="79" t="s">
        <v>1602</v>
      </c>
      <c r="K317" s="80" t="s">
        <v>1618</v>
      </c>
      <c r="L317" s="21">
        <v>9994.0</v>
      </c>
      <c r="M317" s="21">
        <v>5876.0</v>
      </c>
      <c r="N317" s="26">
        <v>0.3</v>
      </c>
      <c r="O317" s="26">
        <v>0.3</v>
      </c>
      <c r="P317" s="81" t="s">
        <v>1595</v>
      </c>
      <c r="Q317" s="26">
        <v>0.69</v>
      </c>
      <c r="R317" s="84">
        <v>0.46</v>
      </c>
      <c r="S317" s="22"/>
      <c r="T317" s="16"/>
      <c r="U317" s="82"/>
      <c r="V317" s="37"/>
      <c r="W317" s="37"/>
    </row>
    <row r="318" ht="14.25" customHeight="1">
      <c r="A318" s="83" t="s">
        <v>302</v>
      </c>
      <c r="B318" s="91" t="s">
        <v>708</v>
      </c>
      <c r="C318" s="78" t="s">
        <v>598</v>
      </c>
      <c r="D318" s="78" t="s">
        <v>704</v>
      </c>
      <c r="E318" s="21" t="s">
        <v>1959</v>
      </c>
      <c r="F318" s="21" t="s">
        <v>1961</v>
      </c>
      <c r="G318" s="23">
        <v>2588.0</v>
      </c>
      <c r="H318" s="26">
        <v>0.56</v>
      </c>
      <c r="I318" s="79">
        <v>3289.0</v>
      </c>
      <c r="J318" s="79" t="s">
        <v>1602</v>
      </c>
      <c r="K318" s="80" t="s">
        <v>1618</v>
      </c>
      <c r="L318" s="21">
        <v>9994.0</v>
      </c>
      <c r="M318" s="21">
        <v>5876.0</v>
      </c>
      <c r="N318" s="26">
        <v>0.3</v>
      </c>
      <c r="O318" s="26">
        <v>0.3</v>
      </c>
      <c r="P318" s="81" t="s">
        <v>1595</v>
      </c>
      <c r="Q318" s="26">
        <v>0.69</v>
      </c>
      <c r="R318" s="84">
        <v>0.46</v>
      </c>
      <c r="S318" s="22"/>
      <c r="T318" s="16"/>
      <c r="U318" s="82"/>
      <c r="V318" s="37"/>
      <c r="W318" s="37"/>
    </row>
    <row r="319" ht="14.25" customHeight="1">
      <c r="A319" s="83" t="s">
        <v>302</v>
      </c>
      <c r="B319" s="91" t="s">
        <v>710</v>
      </c>
      <c r="C319" s="78" t="s">
        <v>598</v>
      </c>
      <c r="D319" s="78" t="s">
        <v>704</v>
      </c>
      <c r="E319" s="21" t="s">
        <v>1959</v>
      </c>
      <c r="F319" s="21" t="s">
        <v>1962</v>
      </c>
      <c r="G319" s="23">
        <v>2569.0</v>
      </c>
      <c r="H319" s="26">
        <v>0.56</v>
      </c>
      <c r="I319" s="79">
        <v>3308.0</v>
      </c>
      <c r="J319" s="79" t="s">
        <v>1602</v>
      </c>
      <c r="K319" s="80" t="s">
        <v>1618</v>
      </c>
      <c r="L319" s="21">
        <v>9994.0</v>
      </c>
      <c r="M319" s="21">
        <v>5876.0</v>
      </c>
      <c r="N319" s="26">
        <v>0.3</v>
      </c>
      <c r="O319" s="26">
        <v>0.3</v>
      </c>
      <c r="P319" s="81" t="s">
        <v>1595</v>
      </c>
      <c r="Q319" s="26">
        <v>0.69</v>
      </c>
      <c r="R319" s="84">
        <v>0.46</v>
      </c>
      <c r="S319" s="22"/>
      <c r="T319" s="16"/>
      <c r="U319" s="82"/>
      <c r="V319" s="37"/>
      <c r="W319" s="37"/>
    </row>
    <row r="320" ht="14.25" customHeight="1">
      <c r="A320" s="83" t="s">
        <v>302</v>
      </c>
      <c r="B320" s="91" t="s">
        <v>712</v>
      </c>
      <c r="C320" s="78" t="s">
        <v>598</v>
      </c>
      <c r="D320" s="78" t="s">
        <v>704</v>
      </c>
      <c r="E320" s="21" t="s">
        <v>1959</v>
      </c>
      <c r="F320" s="21" t="s">
        <v>1963</v>
      </c>
      <c r="G320" s="23">
        <v>2583.0</v>
      </c>
      <c r="H320" s="26">
        <v>0.56</v>
      </c>
      <c r="I320" s="79">
        <v>3294.0</v>
      </c>
      <c r="J320" s="79" t="s">
        <v>1602</v>
      </c>
      <c r="K320" s="80" t="s">
        <v>1618</v>
      </c>
      <c r="L320" s="21">
        <v>9994.0</v>
      </c>
      <c r="M320" s="21">
        <v>5876.0</v>
      </c>
      <c r="N320" s="26">
        <v>0.3</v>
      </c>
      <c r="O320" s="26">
        <v>0.3</v>
      </c>
      <c r="P320" s="81" t="s">
        <v>1595</v>
      </c>
      <c r="Q320" s="26">
        <v>0.69</v>
      </c>
      <c r="R320" s="84">
        <v>0.46</v>
      </c>
      <c r="S320" s="22"/>
      <c r="T320" s="16"/>
      <c r="U320" s="82"/>
      <c r="V320" s="37"/>
      <c r="W320" s="37"/>
    </row>
    <row r="321" ht="14.25" customHeight="1">
      <c r="A321" s="83" t="s">
        <v>302</v>
      </c>
      <c r="B321" s="91" t="s">
        <v>714</v>
      </c>
      <c r="C321" s="78" t="s">
        <v>598</v>
      </c>
      <c r="D321" s="78" t="s">
        <v>704</v>
      </c>
      <c r="E321" s="21" t="s">
        <v>1959</v>
      </c>
      <c r="F321" s="21" t="s">
        <v>1964</v>
      </c>
      <c r="G321" s="23">
        <v>2826.0</v>
      </c>
      <c r="H321" s="26">
        <v>0.52</v>
      </c>
      <c r="I321" s="79">
        <v>3050.0</v>
      </c>
      <c r="J321" s="79" t="s">
        <v>1602</v>
      </c>
      <c r="K321" s="80" t="s">
        <v>1618</v>
      </c>
      <c r="L321" s="21">
        <v>9994.0</v>
      </c>
      <c r="M321" s="21">
        <v>5876.0</v>
      </c>
      <c r="N321" s="26">
        <v>0.3</v>
      </c>
      <c r="O321" s="26">
        <v>0.3</v>
      </c>
      <c r="P321" s="81" t="s">
        <v>1595</v>
      </c>
      <c r="Q321" s="26">
        <v>0.66</v>
      </c>
      <c r="R321" s="84">
        <v>0.43</v>
      </c>
      <c r="S321" s="22"/>
      <c r="T321" s="16"/>
      <c r="U321" s="82"/>
      <c r="V321" s="37"/>
      <c r="W321" s="37"/>
    </row>
    <row r="322" ht="14.25" customHeight="1">
      <c r="A322" s="83" t="s">
        <v>302</v>
      </c>
      <c r="B322" s="91" t="s">
        <v>716</v>
      </c>
      <c r="C322" s="78" t="s">
        <v>598</v>
      </c>
      <c r="D322" s="78" t="s">
        <v>704</v>
      </c>
      <c r="E322" s="21" t="s">
        <v>1959</v>
      </c>
      <c r="F322" s="21" t="s">
        <v>1965</v>
      </c>
      <c r="G322" s="23">
        <v>2559.0</v>
      </c>
      <c r="H322" s="26">
        <v>0.56</v>
      </c>
      <c r="I322" s="79">
        <v>3318.0</v>
      </c>
      <c r="J322" s="79" t="s">
        <v>1602</v>
      </c>
      <c r="K322" s="80" t="s">
        <v>1618</v>
      </c>
      <c r="L322" s="21">
        <v>9994.0</v>
      </c>
      <c r="M322" s="21">
        <v>5876.0</v>
      </c>
      <c r="N322" s="26">
        <v>0.3</v>
      </c>
      <c r="O322" s="26">
        <v>0.3</v>
      </c>
      <c r="P322" s="81" t="s">
        <v>1595</v>
      </c>
      <c r="Q322" s="26">
        <v>0.7</v>
      </c>
      <c r="R322" s="84">
        <v>0.47</v>
      </c>
      <c r="S322" s="22"/>
      <c r="T322" s="16"/>
      <c r="U322" s="82"/>
      <c r="V322" s="37"/>
      <c r="W322" s="37"/>
    </row>
    <row r="323" ht="14.25" customHeight="1">
      <c r="A323" s="83" t="s">
        <v>302</v>
      </c>
      <c r="B323" s="91" t="s">
        <v>718</v>
      </c>
      <c r="C323" s="78" t="s">
        <v>598</v>
      </c>
      <c r="D323" s="78" t="s">
        <v>704</v>
      </c>
      <c r="E323" s="21" t="s">
        <v>1966</v>
      </c>
      <c r="F323" s="21" t="s">
        <v>1967</v>
      </c>
      <c r="G323" s="23">
        <v>2901.0</v>
      </c>
      <c r="H323" s="26">
        <v>0.51</v>
      </c>
      <c r="I323" s="79">
        <v>2976.0</v>
      </c>
      <c r="J323" s="79" t="s">
        <v>1605</v>
      </c>
      <c r="K323" s="80" t="s">
        <v>1618</v>
      </c>
      <c r="L323" s="21">
        <v>8818.0</v>
      </c>
      <c r="M323" s="21">
        <v>5876.0</v>
      </c>
      <c r="N323" s="26">
        <v>0.3</v>
      </c>
      <c r="O323" s="26">
        <v>0.3</v>
      </c>
      <c r="P323" s="81" t="s">
        <v>1595</v>
      </c>
      <c r="Q323" s="26">
        <v>0.65</v>
      </c>
      <c r="R323" s="84">
        <v>0.42</v>
      </c>
      <c r="S323" s="22"/>
      <c r="T323" s="16"/>
      <c r="U323" s="82"/>
      <c r="V323" s="37"/>
      <c r="W323" s="37"/>
    </row>
    <row r="324" ht="14.25" customHeight="1">
      <c r="A324" s="83" t="s">
        <v>302</v>
      </c>
      <c r="B324" s="91" t="s">
        <v>720</v>
      </c>
      <c r="C324" s="78" t="s">
        <v>598</v>
      </c>
      <c r="D324" s="78" t="s">
        <v>704</v>
      </c>
      <c r="E324" s="21" t="s">
        <v>1966</v>
      </c>
      <c r="F324" s="21" t="s">
        <v>1968</v>
      </c>
      <c r="G324" s="23">
        <v>3064.0</v>
      </c>
      <c r="H324" s="26">
        <v>0.48</v>
      </c>
      <c r="I324" s="79">
        <v>2812.0</v>
      </c>
      <c r="J324" s="79" t="s">
        <v>1605</v>
      </c>
      <c r="K324" s="80" t="s">
        <v>1618</v>
      </c>
      <c r="L324" s="21">
        <v>8818.0</v>
      </c>
      <c r="M324" s="21">
        <v>5876.0</v>
      </c>
      <c r="N324" s="26">
        <v>0.3</v>
      </c>
      <c r="O324" s="26">
        <v>0.3</v>
      </c>
      <c r="P324" s="83" t="s">
        <v>134</v>
      </c>
      <c r="Q324" s="26">
        <v>0.64</v>
      </c>
      <c r="R324" s="84">
        <v>0.41</v>
      </c>
      <c r="S324" s="22"/>
      <c r="T324" s="16"/>
      <c r="U324" s="82"/>
      <c r="V324" s="37"/>
      <c r="W324" s="37"/>
    </row>
    <row r="325" ht="14.25" customHeight="1">
      <c r="A325" s="83" t="s">
        <v>302</v>
      </c>
      <c r="B325" s="91" t="s">
        <v>722</v>
      </c>
      <c r="C325" s="78" t="s">
        <v>598</v>
      </c>
      <c r="D325" s="78" t="s">
        <v>704</v>
      </c>
      <c r="E325" s="21" t="s">
        <v>1966</v>
      </c>
      <c r="F325" s="21" t="s">
        <v>1969</v>
      </c>
      <c r="G325" s="23">
        <v>3053.0</v>
      </c>
      <c r="H325" s="26">
        <v>0.48</v>
      </c>
      <c r="I325" s="79">
        <v>2823.0</v>
      </c>
      <c r="J325" s="79" t="s">
        <v>1605</v>
      </c>
      <c r="K325" s="80" t="s">
        <v>1618</v>
      </c>
      <c r="L325" s="21">
        <v>8818.0</v>
      </c>
      <c r="M325" s="21">
        <v>5876.0</v>
      </c>
      <c r="N325" s="26">
        <v>0.3</v>
      </c>
      <c r="O325" s="26">
        <v>0.3</v>
      </c>
      <c r="P325" s="81" t="s">
        <v>1595</v>
      </c>
      <c r="Q325" s="26">
        <v>0.64</v>
      </c>
      <c r="R325" s="84">
        <v>0.41</v>
      </c>
      <c r="S325" s="22"/>
      <c r="T325" s="16"/>
      <c r="U325" s="82"/>
      <c r="V325" s="37"/>
      <c r="W325" s="37"/>
    </row>
    <row r="326" ht="14.25" customHeight="1">
      <c r="A326" s="83" t="s">
        <v>302</v>
      </c>
      <c r="B326" s="91" t="s">
        <v>724</v>
      </c>
      <c r="C326" s="78" t="s">
        <v>598</v>
      </c>
      <c r="D326" s="78" t="s">
        <v>704</v>
      </c>
      <c r="E326" s="21" t="s">
        <v>1966</v>
      </c>
      <c r="F326" s="21" t="s">
        <v>1970</v>
      </c>
      <c r="G326" s="23">
        <v>2804.0</v>
      </c>
      <c r="H326" s="26">
        <v>0.52</v>
      </c>
      <c r="I326" s="79">
        <v>3073.0</v>
      </c>
      <c r="J326" s="79" t="s">
        <v>1605</v>
      </c>
      <c r="K326" s="80" t="s">
        <v>1618</v>
      </c>
      <c r="L326" s="21">
        <v>8818.0</v>
      </c>
      <c r="M326" s="21">
        <v>5876.0</v>
      </c>
      <c r="N326" s="26">
        <v>0.3</v>
      </c>
      <c r="O326" s="26">
        <v>0.3</v>
      </c>
      <c r="P326" s="81" t="s">
        <v>1595</v>
      </c>
      <c r="Q326" s="26">
        <v>0.67</v>
      </c>
      <c r="R326" s="84">
        <v>0.44</v>
      </c>
      <c r="S326" s="22"/>
      <c r="T326" s="16"/>
      <c r="U326" s="82"/>
      <c r="V326" s="37"/>
      <c r="W326" s="37"/>
    </row>
    <row r="327" ht="14.25" customHeight="1">
      <c r="A327" s="83" t="s">
        <v>302</v>
      </c>
      <c r="B327" s="91" t="s">
        <v>737</v>
      </c>
      <c r="C327" s="78" t="s">
        <v>598</v>
      </c>
      <c r="D327" s="78" t="s">
        <v>735</v>
      </c>
      <c r="E327" s="21" t="s">
        <v>1971</v>
      </c>
      <c r="F327" s="21" t="s">
        <v>1972</v>
      </c>
      <c r="G327" s="23">
        <v>7194.0</v>
      </c>
      <c r="H327" s="26">
        <v>0.39</v>
      </c>
      <c r="I327" s="79">
        <v>4565.0</v>
      </c>
      <c r="J327" s="79" t="s">
        <v>1603</v>
      </c>
      <c r="K327" s="80" t="s">
        <v>1604</v>
      </c>
      <c r="L327" s="21">
        <v>17641.0</v>
      </c>
      <c r="M327" s="21">
        <v>11759.0</v>
      </c>
      <c r="N327" s="26">
        <v>0.3</v>
      </c>
      <c r="O327" s="26">
        <v>0.3</v>
      </c>
      <c r="P327" s="81" t="s">
        <v>1595</v>
      </c>
      <c r="Q327" s="26">
        <v>0.57</v>
      </c>
      <c r="R327" s="84">
        <v>0.34</v>
      </c>
      <c r="S327" s="22"/>
      <c r="T327" s="37"/>
      <c r="U327" s="82"/>
      <c r="V327" s="37"/>
      <c r="W327" s="37"/>
    </row>
    <row r="328" ht="14.25" customHeight="1">
      <c r="A328" s="83" t="s">
        <v>302</v>
      </c>
      <c r="B328" s="91" t="s">
        <v>739</v>
      </c>
      <c r="C328" s="78" t="s">
        <v>598</v>
      </c>
      <c r="D328" s="78" t="s">
        <v>735</v>
      </c>
      <c r="E328" s="21" t="s">
        <v>1971</v>
      </c>
      <c r="F328" s="21" t="s">
        <v>1973</v>
      </c>
      <c r="G328" s="23">
        <v>7187.0</v>
      </c>
      <c r="H328" s="26">
        <v>0.39</v>
      </c>
      <c r="I328" s="79">
        <v>4572.0</v>
      </c>
      <c r="J328" s="79" t="s">
        <v>1603</v>
      </c>
      <c r="K328" s="80" t="s">
        <v>1604</v>
      </c>
      <c r="L328" s="21">
        <v>17641.0</v>
      </c>
      <c r="M328" s="21">
        <v>11759.0</v>
      </c>
      <c r="N328" s="26">
        <v>0.3</v>
      </c>
      <c r="O328" s="26">
        <v>0.3</v>
      </c>
      <c r="P328" s="81" t="s">
        <v>1595</v>
      </c>
      <c r="Q328" s="26">
        <v>0.57</v>
      </c>
      <c r="R328" s="84">
        <v>0.34</v>
      </c>
      <c r="S328" s="22"/>
      <c r="T328" s="37"/>
      <c r="U328" s="82"/>
      <c r="V328" s="37"/>
      <c r="W328" s="37"/>
    </row>
    <row r="329" ht="14.25" customHeight="1">
      <c r="A329" s="83" t="s">
        <v>302</v>
      </c>
      <c r="B329" s="91" t="s">
        <v>741</v>
      </c>
      <c r="C329" s="78" t="s">
        <v>598</v>
      </c>
      <c r="D329" s="78" t="s">
        <v>735</v>
      </c>
      <c r="E329" s="21" t="s">
        <v>1971</v>
      </c>
      <c r="F329" s="21" t="s">
        <v>1974</v>
      </c>
      <c r="G329" s="23">
        <v>7179.0</v>
      </c>
      <c r="H329" s="26">
        <v>0.39</v>
      </c>
      <c r="I329" s="79">
        <v>4580.0</v>
      </c>
      <c r="J329" s="79" t="s">
        <v>1603</v>
      </c>
      <c r="K329" s="80" t="s">
        <v>1604</v>
      </c>
      <c r="L329" s="21">
        <v>17641.0</v>
      </c>
      <c r="M329" s="21">
        <v>11759.0</v>
      </c>
      <c r="N329" s="26">
        <v>0.3</v>
      </c>
      <c r="O329" s="26">
        <v>0.3</v>
      </c>
      <c r="P329" s="81" t="s">
        <v>1595</v>
      </c>
      <c r="Q329" s="26">
        <v>0.57</v>
      </c>
      <c r="R329" s="84">
        <v>0.34</v>
      </c>
      <c r="S329" s="22"/>
      <c r="T329" s="16"/>
      <c r="U329" s="82"/>
      <c r="V329" s="37"/>
      <c r="W329" s="37"/>
    </row>
    <row r="330" ht="14.25" customHeight="1">
      <c r="A330" s="83" t="s">
        <v>302</v>
      </c>
      <c r="B330" s="91" t="s">
        <v>743</v>
      </c>
      <c r="C330" s="78" t="s">
        <v>598</v>
      </c>
      <c r="D330" s="78" t="s">
        <v>735</v>
      </c>
      <c r="E330" s="21" t="s">
        <v>1971</v>
      </c>
      <c r="F330" s="21" t="s">
        <v>1975</v>
      </c>
      <c r="G330" s="23">
        <v>7338.0</v>
      </c>
      <c r="H330" s="26">
        <v>0.38</v>
      </c>
      <c r="I330" s="79">
        <v>4421.0</v>
      </c>
      <c r="J330" s="79" t="s">
        <v>1603</v>
      </c>
      <c r="K330" s="80" t="s">
        <v>1604</v>
      </c>
      <c r="L330" s="21">
        <v>17641.0</v>
      </c>
      <c r="M330" s="21">
        <v>11759.0</v>
      </c>
      <c r="N330" s="26">
        <v>0.3</v>
      </c>
      <c r="O330" s="26">
        <v>0.3</v>
      </c>
      <c r="P330" s="81" t="s">
        <v>1595</v>
      </c>
      <c r="Q330" s="26">
        <v>0.56</v>
      </c>
      <c r="R330" s="84">
        <v>0.33</v>
      </c>
      <c r="S330" s="22"/>
      <c r="T330" s="16"/>
      <c r="U330" s="82"/>
      <c r="V330" s="37"/>
      <c r="W330" s="37"/>
    </row>
    <row r="331" ht="14.25" customHeight="1">
      <c r="A331" s="83" t="s">
        <v>302</v>
      </c>
      <c r="B331" s="91" t="s">
        <v>751</v>
      </c>
      <c r="C331" s="78" t="s">
        <v>748</v>
      </c>
      <c r="D331" s="78" t="s">
        <v>749</v>
      </c>
      <c r="E331" s="21" t="s">
        <v>1976</v>
      </c>
      <c r="F331" s="21" t="s">
        <v>1977</v>
      </c>
      <c r="G331" s="23">
        <v>13582.0</v>
      </c>
      <c r="H331" s="26">
        <v>0.19</v>
      </c>
      <c r="I331" s="79">
        <v>3218.0</v>
      </c>
      <c r="J331" s="79" t="s">
        <v>1594</v>
      </c>
      <c r="K331" s="80" t="s">
        <v>1601</v>
      </c>
      <c r="L331" s="21">
        <v>35288.0</v>
      </c>
      <c r="M331" s="21">
        <v>16800.0</v>
      </c>
      <c r="N331" s="26">
        <v>0.3</v>
      </c>
      <c r="O331" s="26">
        <v>0.2</v>
      </c>
      <c r="P331" s="81" t="s">
        <v>1595</v>
      </c>
      <c r="Q331" s="26">
        <v>0.35</v>
      </c>
      <c r="R331" s="84">
        <v>0.12</v>
      </c>
      <c r="S331" s="22"/>
      <c r="T331" s="16"/>
      <c r="U331" s="82"/>
      <c r="V331" s="37"/>
      <c r="W331" s="37"/>
    </row>
    <row r="332" ht="14.25" customHeight="1">
      <c r="A332" s="83" t="s">
        <v>302</v>
      </c>
      <c r="B332" s="91" t="s">
        <v>753</v>
      </c>
      <c r="C332" s="78" t="s">
        <v>748</v>
      </c>
      <c r="D332" s="78" t="s">
        <v>749</v>
      </c>
      <c r="E332" s="21" t="s">
        <v>1976</v>
      </c>
      <c r="F332" s="21" t="s">
        <v>752</v>
      </c>
      <c r="G332" s="23">
        <v>12753.0</v>
      </c>
      <c r="H332" s="26">
        <v>0.3</v>
      </c>
      <c r="I332" s="79">
        <v>5391.0</v>
      </c>
      <c r="J332" s="79" t="s">
        <v>1594</v>
      </c>
      <c r="K332" s="80" t="s">
        <v>1726</v>
      </c>
      <c r="L332" s="21">
        <v>35288.0</v>
      </c>
      <c r="M332" s="21">
        <v>18145.0</v>
      </c>
      <c r="N332" s="26">
        <v>0.3</v>
      </c>
      <c r="O332" s="26">
        <v>0.2</v>
      </c>
      <c r="P332" s="83" t="s">
        <v>134</v>
      </c>
      <c r="Q332" s="26">
        <v>0.44</v>
      </c>
      <c r="R332" s="84">
        <v>0.21</v>
      </c>
      <c r="S332" s="22"/>
      <c r="T332" s="16"/>
      <c r="U332" s="82"/>
      <c r="V332" s="37"/>
      <c r="W332" s="37"/>
    </row>
    <row r="333" ht="14.25" customHeight="1">
      <c r="A333" s="83" t="s">
        <v>302</v>
      </c>
      <c r="B333" s="91" t="s">
        <v>755</v>
      </c>
      <c r="C333" s="78" t="s">
        <v>748</v>
      </c>
      <c r="D333" s="78" t="s">
        <v>749</v>
      </c>
      <c r="E333" s="21" t="s">
        <v>1976</v>
      </c>
      <c r="F333" s="21" t="s">
        <v>1977</v>
      </c>
      <c r="G333" s="23">
        <v>13074.0</v>
      </c>
      <c r="H333" s="26">
        <v>0.22</v>
      </c>
      <c r="I333" s="79">
        <v>3726.0</v>
      </c>
      <c r="J333" s="79" t="s">
        <v>1594</v>
      </c>
      <c r="K333" s="80" t="s">
        <v>1601</v>
      </c>
      <c r="L333" s="21">
        <v>35288.0</v>
      </c>
      <c r="M333" s="21">
        <v>16800.0</v>
      </c>
      <c r="N333" s="26">
        <v>0.3</v>
      </c>
      <c r="O333" s="26">
        <v>0.2</v>
      </c>
      <c r="P333" s="81" t="s">
        <v>1595</v>
      </c>
      <c r="Q333" s="26">
        <v>0.38</v>
      </c>
      <c r="R333" s="84">
        <v>0.15</v>
      </c>
      <c r="S333" s="22"/>
      <c r="T333" s="16"/>
      <c r="U333" s="82"/>
      <c r="V333" s="37"/>
      <c r="W333" s="37"/>
    </row>
    <row r="334" ht="14.25" customHeight="1">
      <c r="A334" s="83" t="s">
        <v>302</v>
      </c>
      <c r="B334" s="91">
        <v>1.639085799549E12</v>
      </c>
      <c r="C334" s="78" t="s">
        <v>748</v>
      </c>
      <c r="D334" s="78" t="s">
        <v>749</v>
      </c>
      <c r="E334" s="21" t="s">
        <v>1978</v>
      </c>
      <c r="F334" s="21" t="s">
        <v>760</v>
      </c>
      <c r="G334" s="23">
        <v>15891.0</v>
      </c>
      <c r="H334" s="26">
        <v>0.05</v>
      </c>
      <c r="I334" s="79">
        <v>909.0</v>
      </c>
      <c r="J334" s="79" t="s">
        <v>1606</v>
      </c>
      <c r="K334" s="80" t="s">
        <v>1601</v>
      </c>
      <c r="L334" s="21">
        <v>29406.0</v>
      </c>
      <c r="M334" s="21">
        <v>16800.0</v>
      </c>
      <c r="N334" s="26">
        <v>0.3</v>
      </c>
      <c r="O334" s="26">
        <v>0.2</v>
      </c>
      <c r="P334" s="83" t="s">
        <v>134</v>
      </c>
      <c r="Q334" s="26">
        <v>0.24</v>
      </c>
      <c r="R334" s="84">
        <v>0.01</v>
      </c>
      <c r="S334" s="22"/>
      <c r="T334" s="16"/>
      <c r="U334" s="82"/>
      <c r="V334" s="37"/>
      <c r="W334" s="37"/>
    </row>
    <row r="335" ht="14.25" customHeight="1">
      <c r="A335" s="83" t="s">
        <v>302</v>
      </c>
      <c r="B335" s="91">
        <v>6.7898303200803E13</v>
      </c>
      <c r="C335" s="78" t="s">
        <v>748</v>
      </c>
      <c r="D335" s="78" t="s">
        <v>749</v>
      </c>
      <c r="E335" s="21" t="s">
        <v>1978</v>
      </c>
      <c r="F335" s="21" t="s">
        <v>761</v>
      </c>
      <c r="G335" s="23">
        <v>17336.0</v>
      </c>
      <c r="H335" s="26">
        <v>-0.03</v>
      </c>
      <c r="I335" s="79">
        <v>-536.0</v>
      </c>
      <c r="J335" s="79" t="s">
        <v>1606</v>
      </c>
      <c r="K335" s="80" t="s">
        <v>1601</v>
      </c>
      <c r="L335" s="21">
        <v>29406.0</v>
      </c>
      <c r="M335" s="21">
        <v>16800.0</v>
      </c>
      <c r="N335" s="26">
        <v>0.3</v>
      </c>
      <c r="O335" s="26">
        <v>0.2</v>
      </c>
      <c r="P335" s="83" t="s">
        <v>134</v>
      </c>
      <c r="Q335" s="26">
        <v>0.17</v>
      </c>
      <c r="R335" s="84">
        <v>-0.06</v>
      </c>
      <c r="S335" s="22"/>
      <c r="T335" s="16"/>
      <c r="U335" s="82"/>
      <c r="V335" s="37"/>
      <c r="W335" s="37"/>
    </row>
    <row r="336" ht="14.25" customHeight="1">
      <c r="A336" s="83" t="s">
        <v>302</v>
      </c>
      <c r="B336" s="91" t="s">
        <v>767</v>
      </c>
      <c r="C336" s="78" t="s">
        <v>748</v>
      </c>
      <c r="D336" s="78" t="s">
        <v>748</v>
      </c>
      <c r="E336" s="21" t="s">
        <v>1979</v>
      </c>
      <c r="F336" s="21" t="s">
        <v>766</v>
      </c>
      <c r="G336" s="23">
        <v>20283.0</v>
      </c>
      <c r="H336" s="26">
        <v>0.4</v>
      </c>
      <c r="I336" s="79">
        <v>13324.0</v>
      </c>
      <c r="J336" s="79" t="s">
        <v>1596</v>
      </c>
      <c r="K336" s="80" t="s">
        <v>1606</v>
      </c>
      <c r="L336" s="21">
        <v>58818.0</v>
      </c>
      <c r="M336" s="21">
        <v>33607.0</v>
      </c>
      <c r="N336" s="26">
        <v>0.3</v>
      </c>
      <c r="O336" s="26">
        <v>0.2</v>
      </c>
      <c r="P336" s="83" t="s">
        <v>134</v>
      </c>
      <c r="Q336" s="26">
        <v>0.52</v>
      </c>
      <c r="R336" s="84">
        <v>0.29</v>
      </c>
      <c r="S336" s="22"/>
      <c r="T336" s="16"/>
      <c r="U336" s="82"/>
      <c r="V336" s="37"/>
      <c r="W336" s="37"/>
    </row>
    <row r="337" ht="14.25" customHeight="1">
      <c r="A337" s="83" t="s">
        <v>302</v>
      </c>
      <c r="B337" s="91" t="s">
        <v>769</v>
      </c>
      <c r="C337" s="78" t="s">
        <v>748</v>
      </c>
      <c r="D337" s="78" t="s">
        <v>748</v>
      </c>
      <c r="E337" s="21" t="s">
        <v>1979</v>
      </c>
      <c r="F337" s="21" t="s">
        <v>768</v>
      </c>
      <c r="G337" s="23">
        <v>20478.0</v>
      </c>
      <c r="H337" s="26">
        <v>0.39</v>
      </c>
      <c r="I337" s="79">
        <v>13129.0</v>
      </c>
      <c r="J337" s="79" t="s">
        <v>1596</v>
      </c>
      <c r="K337" s="80" t="s">
        <v>1606</v>
      </c>
      <c r="L337" s="21">
        <v>58818.0</v>
      </c>
      <c r="M337" s="21">
        <v>33607.0</v>
      </c>
      <c r="N337" s="26">
        <v>0.3</v>
      </c>
      <c r="O337" s="26">
        <v>0.2</v>
      </c>
      <c r="P337" s="83" t="s">
        <v>134</v>
      </c>
      <c r="Q337" s="26">
        <v>0.51</v>
      </c>
      <c r="R337" s="84">
        <v>0.28</v>
      </c>
      <c r="S337" s="22"/>
      <c r="T337" s="16"/>
      <c r="U337" s="82"/>
      <c r="V337" s="37"/>
      <c r="W337" s="37"/>
    </row>
    <row r="338" ht="14.25" customHeight="1">
      <c r="A338" s="83" t="s">
        <v>302</v>
      </c>
      <c r="B338" s="91" t="s">
        <v>773</v>
      </c>
      <c r="C338" s="78" t="s">
        <v>748</v>
      </c>
      <c r="D338" s="78" t="s">
        <v>748</v>
      </c>
      <c r="E338" s="21" t="s">
        <v>1980</v>
      </c>
      <c r="F338" s="21" t="s">
        <v>772</v>
      </c>
      <c r="G338" s="23">
        <v>23092.0</v>
      </c>
      <c r="H338" s="26">
        <v>0.21</v>
      </c>
      <c r="I338" s="79">
        <v>6314.0</v>
      </c>
      <c r="J338" s="79" t="s">
        <v>1697</v>
      </c>
      <c r="K338" s="80" t="s">
        <v>1606</v>
      </c>
      <c r="L338" s="21">
        <v>47053.0</v>
      </c>
      <c r="M338" s="21">
        <v>29406.0</v>
      </c>
      <c r="N338" s="26">
        <v>0.3</v>
      </c>
      <c r="O338" s="26">
        <v>0.3</v>
      </c>
      <c r="P338" s="81" t="s">
        <v>1595</v>
      </c>
      <c r="Q338" s="26">
        <v>0.45</v>
      </c>
      <c r="R338" s="84">
        <v>0.22</v>
      </c>
      <c r="S338" s="22"/>
      <c r="T338" s="16"/>
      <c r="U338" s="82"/>
      <c r="V338" s="37"/>
      <c r="W338" s="37"/>
    </row>
    <row r="339" ht="14.25" customHeight="1">
      <c r="A339" s="83" t="s">
        <v>302</v>
      </c>
      <c r="B339" s="91" t="s">
        <v>775</v>
      </c>
      <c r="C339" s="78" t="s">
        <v>748</v>
      </c>
      <c r="D339" s="78" t="s">
        <v>748</v>
      </c>
      <c r="E339" s="21" t="s">
        <v>1980</v>
      </c>
      <c r="F339" s="21" t="s">
        <v>1981</v>
      </c>
      <c r="G339" s="23">
        <v>22124.0</v>
      </c>
      <c r="H339" s="26">
        <v>0.25</v>
      </c>
      <c r="I339" s="79">
        <v>7282.0</v>
      </c>
      <c r="J339" s="79" t="s">
        <v>1697</v>
      </c>
      <c r="K339" s="80" t="s">
        <v>1606</v>
      </c>
      <c r="L339" s="21">
        <v>47053.0</v>
      </c>
      <c r="M339" s="21">
        <v>29406.0</v>
      </c>
      <c r="N339" s="26">
        <v>0.3</v>
      </c>
      <c r="O339" s="26">
        <v>0.3</v>
      </c>
      <c r="P339" s="81" t="s">
        <v>1595</v>
      </c>
      <c r="Q339" s="26">
        <v>0.47</v>
      </c>
      <c r="R339" s="84">
        <v>0.24</v>
      </c>
      <c r="S339" s="22"/>
      <c r="T339" s="16"/>
      <c r="U339" s="82"/>
      <c r="V339" s="37"/>
      <c r="W339" s="37"/>
    </row>
    <row r="340" ht="14.25" customHeight="1">
      <c r="A340" s="83" t="s">
        <v>302</v>
      </c>
      <c r="B340" s="91">
        <v>1.63908577239E12</v>
      </c>
      <c r="C340" s="78" t="s">
        <v>748</v>
      </c>
      <c r="D340" s="78" t="s">
        <v>748</v>
      </c>
      <c r="E340" s="21" t="s">
        <v>1982</v>
      </c>
      <c r="F340" s="21" t="s">
        <v>776</v>
      </c>
      <c r="G340" s="23">
        <v>18810.0</v>
      </c>
      <c r="H340" s="26">
        <v>0.53</v>
      </c>
      <c r="I340" s="79">
        <v>21519.0</v>
      </c>
      <c r="J340" s="79" t="s">
        <v>1664</v>
      </c>
      <c r="K340" s="80" t="s">
        <v>1594</v>
      </c>
      <c r="L340" s="21">
        <v>44112.0</v>
      </c>
      <c r="M340" s="21">
        <v>40329.0</v>
      </c>
      <c r="N340" s="26">
        <v>0.3</v>
      </c>
      <c r="O340" s="26">
        <v>0.2</v>
      </c>
      <c r="P340" s="83" t="s">
        <v>134</v>
      </c>
      <c r="Q340" s="26">
        <v>0.63</v>
      </c>
      <c r="R340" s="84">
        <v>0.4</v>
      </c>
      <c r="S340" s="22"/>
      <c r="T340" s="16"/>
      <c r="U340" s="82"/>
      <c r="V340" s="37"/>
      <c r="W340" s="37"/>
    </row>
    <row r="341" ht="14.25" customHeight="1">
      <c r="A341" s="83" t="s">
        <v>302</v>
      </c>
      <c r="B341" s="91">
        <v>1.639085790351E12</v>
      </c>
      <c r="C341" s="78" t="s">
        <v>748</v>
      </c>
      <c r="D341" s="78" t="s">
        <v>748</v>
      </c>
      <c r="E341" s="21" t="s">
        <v>1982</v>
      </c>
      <c r="F341" s="21" t="s">
        <v>777</v>
      </c>
      <c r="G341" s="23">
        <v>23441.0</v>
      </c>
      <c r="H341" s="26">
        <v>0.42</v>
      </c>
      <c r="I341" s="79">
        <v>16888.0</v>
      </c>
      <c r="J341" s="79" t="s">
        <v>1664</v>
      </c>
      <c r="K341" s="80" t="s">
        <v>1594</v>
      </c>
      <c r="L341" s="21">
        <v>44112.0</v>
      </c>
      <c r="M341" s="21">
        <v>40329.0</v>
      </c>
      <c r="N341" s="26">
        <v>0.3</v>
      </c>
      <c r="O341" s="26">
        <v>0.2</v>
      </c>
      <c r="P341" s="83" t="s">
        <v>134</v>
      </c>
      <c r="Q341" s="26">
        <v>0.54</v>
      </c>
      <c r="R341" s="84">
        <v>0.31</v>
      </c>
      <c r="S341" s="22"/>
      <c r="T341" s="16"/>
      <c r="U341" s="82"/>
      <c r="V341" s="37"/>
      <c r="W341" s="37"/>
    </row>
    <row r="342" ht="14.25" customHeight="1">
      <c r="A342" s="83" t="s">
        <v>302</v>
      </c>
      <c r="B342" s="91">
        <v>1.639085780345E12</v>
      </c>
      <c r="C342" s="78" t="s">
        <v>748</v>
      </c>
      <c r="D342" s="78" t="s">
        <v>748</v>
      </c>
      <c r="E342" s="21" t="s">
        <v>1982</v>
      </c>
      <c r="F342" s="21" t="s">
        <v>778</v>
      </c>
      <c r="G342" s="23">
        <v>21964.0</v>
      </c>
      <c r="H342" s="26">
        <v>0.46</v>
      </c>
      <c r="I342" s="79">
        <v>18365.0</v>
      </c>
      <c r="J342" s="79" t="s">
        <v>1664</v>
      </c>
      <c r="K342" s="80" t="s">
        <v>1594</v>
      </c>
      <c r="L342" s="21">
        <v>44112.0</v>
      </c>
      <c r="M342" s="21">
        <v>40329.0</v>
      </c>
      <c r="N342" s="26">
        <v>0.3</v>
      </c>
      <c r="O342" s="26">
        <v>0.2</v>
      </c>
      <c r="P342" s="83" t="s">
        <v>134</v>
      </c>
      <c r="Q342" s="26">
        <v>0.56</v>
      </c>
      <c r="R342" s="84">
        <v>0.33</v>
      </c>
      <c r="S342" s="22"/>
      <c r="T342" s="16"/>
      <c r="U342" s="82"/>
      <c r="V342" s="37"/>
      <c r="W342" s="37"/>
    </row>
    <row r="343" ht="14.25" customHeight="1">
      <c r="A343" s="83" t="s">
        <v>302</v>
      </c>
      <c r="B343" s="91">
        <v>1.652824942453E12</v>
      </c>
      <c r="C343" s="78" t="s">
        <v>748</v>
      </c>
      <c r="D343" s="78" t="s">
        <v>748</v>
      </c>
      <c r="E343" s="21" t="s">
        <v>1983</v>
      </c>
      <c r="F343" s="21" t="s">
        <v>1984</v>
      </c>
      <c r="G343" s="23">
        <v>20256.0</v>
      </c>
      <c r="H343" s="26">
        <v>0.4</v>
      </c>
      <c r="I343" s="79">
        <v>13351.0</v>
      </c>
      <c r="J343" s="79" t="s">
        <v>1599</v>
      </c>
      <c r="K343" s="80" t="s">
        <v>1606</v>
      </c>
      <c r="L343" s="21">
        <v>41171.0</v>
      </c>
      <c r="M343" s="21">
        <v>33607.0</v>
      </c>
      <c r="N343" s="26">
        <v>0.3</v>
      </c>
      <c r="O343" s="26">
        <v>0.2</v>
      </c>
      <c r="P343" s="83" t="s">
        <v>134</v>
      </c>
      <c r="Q343" s="26">
        <v>0.52</v>
      </c>
      <c r="R343" s="84">
        <v>0.29</v>
      </c>
      <c r="S343" s="22"/>
      <c r="T343" s="16"/>
      <c r="U343" s="82"/>
      <c r="V343" s="37"/>
      <c r="W343" s="37"/>
    </row>
    <row r="344" ht="14.25" customHeight="1">
      <c r="A344" s="83" t="s">
        <v>302</v>
      </c>
      <c r="B344" s="91">
        <v>1.652824957424E12</v>
      </c>
      <c r="C344" s="78" t="s">
        <v>748</v>
      </c>
      <c r="D344" s="78" t="s">
        <v>748</v>
      </c>
      <c r="E344" s="21" t="s">
        <v>1983</v>
      </c>
      <c r="F344" s="21" t="s">
        <v>1985</v>
      </c>
      <c r="G344" s="23">
        <v>20647.0</v>
      </c>
      <c r="H344" s="26">
        <v>0.39</v>
      </c>
      <c r="I344" s="79">
        <v>12960.0</v>
      </c>
      <c r="J344" s="79" t="s">
        <v>1599</v>
      </c>
      <c r="K344" s="80" t="s">
        <v>1606</v>
      </c>
      <c r="L344" s="21">
        <v>41171.0</v>
      </c>
      <c r="M344" s="21">
        <v>33607.0</v>
      </c>
      <c r="N344" s="26">
        <v>0.3</v>
      </c>
      <c r="O344" s="26">
        <v>0.2</v>
      </c>
      <c r="P344" s="83" t="s">
        <v>134</v>
      </c>
      <c r="Q344" s="26">
        <v>0.51</v>
      </c>
      <c r="R344" s="84">
        <v>0.28</v>
      </c>
      <c r="S344" s="22"/>
      <c r="T344" s="16"/>
      <c r="U344" s="82"/>
      <c r="V344" s="37"/>
      <c r="W344" s="37"/>
    </row>
    <row r="345" ht="14.25" customHeight="1">
      <c r="A345" s="83" t="s">
        <v>302</v>
      </c>
      <c r="B345" s="91">
        <v>1.652824924113E12</v>
      </c>
      <c r="C345" s="78" t="s">
        <v>748</v>
      </c>
      <c r="D345" s="78" t="s">
        <v>748</v>
      </c>
      <c r="E345" s="21" t="s">
        <v>1983</v>
      </c>
      <c r="F345" s="21" t="s">
        <v>781</v>
      </c>
      <c r="G345" s="23">
        <v>20635.0</v>
      </c>
      <c r="H345" s="26">
        <v>0.39</v>
      </c>
      <c r="I345" s="79">
        <v>12972.0</v>
      </c>
      <c r="J345" s="79" t="s">
        <v>1599</v>
      </c>
      <c r="K345" s="80" t="s">
        <v>1606</v>
      </c>
      <c r="L345" s="21">
        <v>41171.0</v>
      </c>
      <c r="M345" s="21">
        <v>33607.0</v>
      </c>
      <c r="N345" s="26">
        <v>0.3</v>
      </c>
      <c r="O345" s="26">
        <v>0.2</v>
      </c>
      <c r="P345" s="83" t="s">
        <v>134</v>
      </c>
      <c r="Q345" s="26">
        <v>0.51</v>
      </c>
      <c r="R345" s="84">
        <v>0.28</v>
      </c>
      <c r="S345" s="22"/>
      <c r="T345" s="16"/>
      <c r="U345" s="82"/>
      <c r="V345" s="37"/>
      <c r="W345" s="37"/>
    </row>
    <row r="346" ht="14.25" customHeight="1">
      <c r="A346" s="83" t="s">
        <v>302</v>
      </c>
      <c r="B346" s="91">
        <v>1.652824902758E12</v>
      </c>
      <c r="C346" s="78" t="s">
        <v>748</v>
      </c>
      <c r="D346" s="78" t="s">
        <v>748</v>
      </c>
      <c r="E346" s="21" t="s">
        <v>1983</v>
      </c>
      <c r="F346" s="21" t="s">
        <v>782</v>
      </c>
      <c r="G346" s="23">
        <v>18668.0</v>
      </c>
      <c r="H346" s="26">
        <v>0.44</v>
      </c>
      <c r="I346" s="79">
        <v>14939.0</v>
      </c>
      <c r="J346" s="79" t="s">
        <v>1599</v>
      </c>
      <c r="K346" s="80" t="s">
        <v>1606</v>
      </c>
      <c r="L346" s="21">
        <v>41171.0</v>
      </c>
      <c r="M346" s="21">
        <v>33607.0</v>
      </c>
      <c r="N346" s="26">
        <v>0.3</v>
      </c>
      <c r="O346" s="26">
        <v>0.2</v>
      </c>
      <c r="P346" s="83" t="s">
        <v>134</v>
      </c>
      <c r="Q346" s="26">
        <v>0.56</v>
      </c>
      <c r="R346" s="84">
        <v>0.33</v>
      </c>
      <c r="S346" s="22"/>
      <c r="T346" s="16"/>
      <c r="U346" s="82"/>
      <c r="V346" s="37"/>
      <c r="W346" s="37"/>
    </row>
    <row r="347" ht="14.25" customHeight="1">
      <c r="A347" s="83" t="s">
        <v>302</v>
      </c>
      <c r="B347" s="91" t="s">
        <v>784</v>
      </c>
      <c r="C347" s="78" t="s">
        <v>748</v>
      </c>
      <c r="D347" s="78" t="s">
        <v>748</v>
      </c>
      <c r="E347" s="21" t="s">
        <v>1986</v>
      </c>
      <c r="F347" s="21" t="s">
        <v>1987</v>
      </c>
      <c r="G347" s="23">
        <v>22305.0</v>
      </c>
      <c r="H347" s="26">
        <v>0.16</v>
      </c>
      <c r="I347" s="79">
        <v>4160.0</v>
      </c>
      <c r="J347" s="79" t="s">
        <v>1594</v>
      </c>
      <c r="K347" s="80" t="s">
        <v>1616</v>
      </c>
      <c r="L347" s="21">
        <v>35288.0</v>
      </c>
      <c r="M347" s="21">
        <v>26465.0</v>
      </c>
      <c r="N347" s="26">
        <v>0.3</v>
      </c>
      <c r="O347" s="26">
        <v>0.3</v>
      </c>
      <c r="P347" s="81" t="s">
        <v>1595</v>
      </c>
      <c r="Q347" s="26">
        <v>0.41</v>
      </c>
      <c r="R347" s="84">
        <v>0.18</v>
      </c>
      <c r="S347" s="22"/>
      <c r="T347" s="16"/>
      <c r="U347" s="82"/>
      <c r="V347" s="37"/>
      <c r="W347" s="37"/>
    </row>
    <row r="348" ht="14.25" customHeight="1">
      <c r="A348" s="83" t="s">
        <v>302</v>
      </c>
      <c r="B348" s="91" t="s">
        <v>788</v>
      </c>
      <c r="C348" s="78" t="s">
        <v>748</v>
      </c>
      <c r="D348" s="78" t="s">
        <v>748</v>
      </c>
      <c r="E348" s="21" t="s">
        <v>1986</v>
      </c>
      <c r="F348" s="21" t="s">
        <v>1987</v>
      </c>
      <c r="G348" s="23">
        <v>21769.0</v>
      </c>
      <c r="H348" s="26">
        <v>0.18</v>
      </c>
      <c r="I348" s="79">
        <v>4696.0</v>
      </c>
      <c r="J348" s="79" t="s">
        <v>1594</v>
      </c>
      <c r="K348" s="80" t="s">
        <v>1616</v>
      </c>
      <c r="L348" s="21">
        <v>35288.0</v>
      </c>
      <c r="M348" s="21">
        <v>26465.0</v>
      </c>
      <c r="N348" s="26">
        <v>0.3</v>
      </c>
      <c r="O348" s="26">
        <v>0.3</v>
      </c>
      <c r="P348" s="81" t="s">
        <v>1595</v>
      </c>
      <c r="Q348" s="26">
        <v>0.42</v>
      </c>
      <c r="R348" s="84">
        <v>0.19</v>
      </c>
      <c r="S348" s="22"/>
      <c r="T348" s="16"/>
      <c r="U348" s="82"/>
      <c r="V348" s="37"/>
      <c r="W348" s="37"/>
    </row>
    <row r="349" ht="14.25" customHeight="1">
      <c r="A349" s="83" t="s">
        <v>302</v>
      </c>
      <c r="B349" s="91">
        <v>1.639085706913E12</v>
      </c>
      <c r="C349" s="78" t="s">
        <v>748</v>
      </c>
      <c r="D349" s="78" t="s">
        <v>748</v>
      </c>
      <c r="E349" s="21" t="s">
        <v>1988</v>
      </c>
      <c r="F349" s="21" t="s">
        <v>1989</v>
      </c>
      <c r="G349" s="23">
        <v>21290.0</v>
      </c>
      <c r="H349" s="26">
        <v>0.47</v>
      </c>
      <c r="I349" s="79">
        <v>19039.0</v>
      </c>
      <c r="J349" s="79" t="s">
        <v>1599</v>
      </c>
      <c r="K349" s="80" t="s">
        <v>1594</v>
      </c>
      <c r="L349" s="21">
        <v>41171.0</v>
      </c>
      <c r="M349" s="21">
        <v>40329.0</v>
      </c>
      <c r="N349" s="26">
        <v>0.3</v>
      </c>
      <c r="O349" s="26">
        <v>0.2</v>
      </c>
      <c r="P349" s="83" t="s">
        <v>134</v>
      </c>
      <c r="Q349" s="26">
        <v>0.58</v>
      </c>
      <c r="R349" s="84">
        <v>0.35</v>
      </c>
      <c r="S349" s="22"/>
      <c r="T349" s="16"/>
      <c r="U349" s="82"/>
      <c r="V349" s="37"/>
      <c r="W349" s="37"/>
    </row>
    <row r="350" ht="14.25" customHeight="1">
      <c r="A350" s="83" t="s">
        <v>302</v>
      </c>
      <c r="B350" s="91" t="s">
        <v>795</v>
      </c>
      <c r="C350" s="78" t="s">
        <v>748</v>
      </c>
      <c r="D350" s="78" t="s">
        <v>748</v>
      </c>
      <c r="E350" s="21" t="s">
        <v>1990</v>
      </c>
      <c r="F350" s="21" t="s">
        <v>1991</v>
      </c>
      <c r="G350" s="23">
        <v>28872.0</v>
      </c>
      <c r="H350" s="26">
        <v>0.46</v>
      </c>
      <c r="I350" s="79">
        <v>24903.0</v>
      </c>
      <c r="J350" s="79" t="s">
        <v>1623</v>
      </c>
      <c r="K350" s="80" t="s">
        <v>1697</v>
      </c>
      <c r="L350" s="21">
        <v>76465.0</v>
      </c>
      <c r="M350" s="21">
        <v>53775.0</v>
      </c>
      <c r="N350" s="26">
        <v>0.3</v>
      </c>
      <c r="O350" s="26">
        <v>0.2</v>
      </c>
      <c r="P350" s="81" t="s">
        <v>1595</v>
      </c>
      <c r="Q350" s="26">
        <v>0.57</v>
      </c>
      <c r="R350" s="84">
        <v>0.34</v>
      </c>
      <c r="S350" s="22"/>
      <c r="T350" s="16"/>
      <c r="U350" s="82"/>
      <c r="V350" s="37"/>
      <c r="W350" s="37"/>
    </row>
    <row r="351" ht="14.25" customHeight="1">
      <c r="A351" s="83" t="s">
        <v>302</v>
      </c>
      <c r="B351" s="91" t="s">
        <v>793</v>
      </c>
      <c r="C351" s="78" t="s">
        <v>748</v>
      </c>
      <c r="D351" s="78" t="s">
        <v>748</v>
      </c>
      <c r="E351" s="21" t="s">
        <v>1992</v>
      </c>
      <c r="F351" s="21" t="s">
        <v>1993</v>
      </c>
      <c r="G351" s="23">
        <v>29150.0</v>
      </c>
      <c r="H351" s="26">
        <v>0.46</v>
      </c>
      <c r="I351" s="79">
        <v>24625.0</v>
      </c>
      <c r="J351" s="79" t="s">
        <v>1623</v>
      </c>
      <c r="K351" s="80" t="s">
        <v>1697</v>
      </c>
      <c r="L351" s="21">
        <v>76465.0</v>
      </c>
      <c r="M351" s="21">
        <v>53775.0</v>
      </c>
      <c r="N351" s="26">
        <v>0.3</v>
      </c>
      <c r="O351" s="26">
        <v>0.2</v>
      </c>
      <c r="P351" s="81" t="s">
        <v>1595</v>
      </c>
      <c r="Q351" s="26">
        <v>0.57</v>
      </c>
      <c r="R351" s="84">
        <v>0.34</v>
      </c>
      <c r="S351" s="22"/>
      <c r="T351" s="16"/>
      <c r="U351" s="82"/>
      <c r="V351" s="37"/>
      <c r="W351" s="37"/>
    </row>
    <row r="352" ht="14.25" customHeight="1">
      <c r="A352" s="83" t="s">
        <v>302</v>
      </c>
      <c r="B352" s="55" t="s">
        <v>799</v>
      </c>
      <c r="C352" s="78" t="s">
        <v>796</v>
      </c>
      <c r="D352" s="78" t="s">
        <v>797</v>
      </c>
      <c r="E352" s="21" t="s">
        <v>798</v>
      </c>
      <c r="F352" s="21" t="s">
        <v>1994</v>
      </c>
      <c r="G352" s="23">
        <v>6314.0</v>
      </c>
      <c r="H352" s="26">
        <v>0.28</v>
      </c>
      <c r="I352" s="79">
        <v>2504.0</v>
      </c>
      <c r="J352" s="79" t="s">
        <v>1601</v>
      </c>
      <c r="K352" s="80" t="s">
        <v>1605</v>
      </c>
      <c r="L352" s="21">
        <v>14700.0</v>
      </c>
      <c r="M352" s="21">
        <v>8818.0</v>
      </c>
      <c r="N352" s="26">
        <v>0.3</v>
      </c>
      <c r="O352" s="26">
        <v>0.3</v>
      </c>
      <c r="P352" s="81" t="s">
        <v>1595</v>
      </c>
      <c r="Q352" s="26">
        <v>0.5</v>
      </c>
      <c r="R352" s="84">
        <v>0.27</v>
      </c>
      <c r="S352" s="22"/>
      <c r="T352" s="16"/>
      <c r="U352" s="82"/>
      <c r="V352" s="37"/>
      <c r="W352" s="37"/>
    </row>
    <row r="353" ht="14.25" customHeight="1">
      <c r="A353" s="83" t="s">
        <v>302</v>
      </c>
      <c r="B353" s="55" t="s">
        <v>801</v>
      </c>
      <c r="C353" s="78" t="s">
        <v>796</v>
      </c>
      <c r="D353" s="78" t="s">
        <v>797</v>
      </c>
      <c r="E353" s="21" t="s">
        <v>800</v>
      </c>
      <c r="F353" s="21" t="s">
        <v>1994</v>
      </c>
      <c r="G353" s="23">
        <v>6314.0</v>
      </c>
      <c r="H353" s="26">
        <v>0.28</v>
      </c>
      <c r="I353" s="79">
        <v>2504.0</v>
      </c>
      <c r="J353" s="79" t="s">
        <v>1601</v>
      </c>
      <c r="K353" s="80" t="s">
        <v>1605</v>
      </c>
      <c r="L353" s="21">
        <v>14700.0</v>
      </c>
      <c r="M353" s="21">
        <v>8818.0</v>
      </c>
      <c r="N353" s="26">
        <v>0.3</v>
      </c>
      <c r="O353" s="26">
        <v>0.3</v>
      </c>
      <c r="P353" s="81" t="s">
        <v>1595</v>
      </c>
      <c r="Q353" s="26">
        <v>0.5</v>
      </c>
      <c r="R353" s="84">
        <v>0.27</v>
      </c>
      <c r="S353" s="22"/>
      <c r="T353" s="16"/>
      <c r="U353" s="82"/>
      <c r="V353" s="37"/>
      <c r="W353" s="37"/>
    </row>
    <row r="354" ht="14.25" customHeight="1">
      <c r="A354" s="83" t="s">
        <v>302</v>
      </c>
      <c r="B354" s="55" t="s">
        <v>803</v>
      </c>
      <c r="C354" s="78" t="s">
        <v>796</v>
      </c>
      <c r="D354" s="78" t="s">
        <v>797</v>
      </c>
      <c r="E354" s="21" t="s">
        <v>802</v>
      </c>
      <c r="F354" s="21" t="s">
        <v>1994</v>
      </c>
      <c r="G354" s="23">
        <v>6645.0</v>
      </c>
      <c r="H354" s="26">
        <v>0.25</v>
      </c>
      <c r="I354" s="79">
        <v>2173.0</v>
      </c>
      <c r="J354" s="79" t="s">
        <v>1601</v>
      </c>
      <c r="K354" s="80" t="s">
        <v>1605</v>
      </c>
      <c r="L354" s="21">
        <v>14700.0</v>
      </c>
      <c r="M354" s="21">
        <v>8818.0</v>
      </c>
      <c r="N354" s="26">
        <v>0.3</v>
      </c>
      <c r="O354" s="26">
        <v>0.3</v>
      </c>
      <c r="P354" s="81" t="s">
        <v>1595</v>
      </c>
      <c r="Q354" s="26">
        <v>0.47</v>
      </c>
      <c r="R354" s="84">
        <v>0.24</v>
      </c>
      <c r="S354" s="22"/>
      <c r="T354" s="16"/>
      <c r="U354" s="82"/>
      <c r="V354" s="37"/>
      <c r="W354" s="37"/>
    </row>
    <row r="355" ht="14.25" customHeight="1">
      <c r="A355" s="83" t="s">
        <v>302</v>
      </c>
      <c r="B355" s="55" t="s">
        <v>805</v>
      </c>
      <c r="C355" s="78" t="s">
        <v>796</v>
      </c>
      <c r="D355" s="78" t="s">
        <v>797</v>
      </c>
      <c r="E355" s="21" t="s">
        <v>804</v>
      </c>
      <c r="F355" s="21" t="s">
        <v>1994</v>
      </c>
      <c r="G355" s="23">
        <v>6378.0</v>
      </c>
      <c r="H355" s="26">
        <v>0.28</v>
      </c>
      <c r="I355" s="79">
        <v>2440.0</v>
      </c>
      <c r="J355" s="79" t="s">
        <v>1601</v>
      </c>
      <c r="K355" s="80" t="s">
        <v>1605</v>
      </c>
      <c r="L355" s="21">
        <v>14700.0</v>
      </c>
      <c r="M355" s="21">
        <v>8818.0</v>
      </c>
      <c r="N355" s="26">
        <v>0.3</v>
      </c>
      <c r="O355" s="26">
        <v>0.3</v>
      </c>
      <c r="P355" s="81" t="s">
        <v>1595</v>
      </c>
      <c r="Q355" s="26">
        <v>0.49</v>
      </c>
      <c r="R355" s="84">
        <v>0.26</v>
      </c>
      <c r="S355" s="22"/>
      <c r="T355" s="16"/>
      <c r="U355" s="82"/>
      <c r="V355" s="37"/>
      <c r="W355" s="37"/>
    </row>
    <row r="356" ht="14.25" customHeight="1">
      <c r="A356" s="83" t="s">
        <v>302</v>
      </c>
      <c r="B356" s="55" t="s">
        <v>807</v>
      </c>
      <c r="C356" s="78" t="s">
        <v>796</v>
      </c>
      <c r="D356" s="78" t="s">
        <v>797</v>
      </c>
      <c r="E356" s="21" t="s">
        <v>806</v>
      </c>
      <c r="F356" s="21" t="s">
        <v>1994</v>
      </c>
      <c r="G356" s="23">
        <v>6314.0</v>
      </c>
      <c r="H356" s="26">
        <v>0.28</v>
      </c>
      <c r="I356" s="79">
        <v>2504.0</v>
      </c>
      <c r="J356" s="79" t="s">
        <v>1601</v>
      </c>
      <c r="K356" s="80" t="s">
        <v>1605</v>
      </c>
      <c r="L356" s="21">
        <v>14700.0</v>
      </c>
      <c r="M356" s="21">
        <v>8818.0</v>
      </c>
      <c r="N356" s="26">
        <v>0.3</v>
      </c>
      <c r="O356" s="26">
        <v>0.3</v>
      </c>
      <c r="P356" s="81" t="s">
        <v>1595</v>
      </c>
      <c r="Q356" s="26">
        <v>0.5</v>
      </c>
      <c r="R356" s="84">
        <v>0.27</v>
      </c>
      <c r="S356" s="22"/>
      <c r="T356" s="16"/>
      <c r="U356" s="82"/>
      <c r="V356" s="37"/>
      <c r="W356" s="37"/>
    </row>
    <row r="357" ht="14.25" customHeight="1">
      <c r="A357" s="83" t="s">
        <v>302</v>
      </c>
      <c r="B357" s="55" t="s">
        <v>809</v>
      </c>
      <c r="C357" s="78" t="s">
        <v>796</v>
      </c>
      <c r="D357" s="78" t="s">
        <v>797</v>
      </c>
      <c r="E357" s="21" t="s">
        <v>808</v>
      </c>
      <c r="F357" s="21" t="s">
        <v>1994</v>
      </c>
      <c r="G357" s="23">
        <v>6314.0</v>
      </c>
      <c r="H357" s="26">
        <v>0.28</v>
      </c>
      <c r="I357" s="79">
        <v>2504.0</v>
      </c>
      <c r="J357" s="79" t="s">
        <v>1601</v>
      </c>
      <c r="K357" s="80" t="s">
        <v>1605</v>
      </c>
      <c r="L357" s="21">
        <v>14700.0</v>
      </c>
      <c r="M357" s="21">
        <v>8818.0</v>
      </c>
      <c r="N357" s="26">
        <v>0.3</v>
      </c>
      <c r="O357" s="26">
        <v>0.3</v>
      </c>
      <c r="P357" s="81" t="s">
        <v>1595</v>
      </c>
      <c r="Q357" s="26">
        <v>0.5</v>
      </c>
      <c r="R357" s="84">
        <v>0.27</v>
      </c>
      <c r="S357" s="22"/>
      <c r="T357" s="16"/>
      <c r="U357" s="82"/>
      <c r="V357" s="37"/>
      <c r="W357" s="37"/>
    </row>
    <row r="358" ht="14.25" customHeight="1">
      <c r="A358" s="83" t="s">
        <v>302</v>
      </c>
      <c r="B358" s="55" t="s">
        <v>811</v>
      </c>
      <c r="C358" s="78" t="s">
        <v>796</v>
      </c>
      <c r="D358" s="78" t="s">
        <v>797</v>
      </c>
      <c r="E358" s="21" t="s">
        <v>810</v>
      </c>
      <c r="F358" s="21" t="s">
        <v>1994</v>
      </c>
      <c r="G358" s="23">
        <v>6487.0</v>
      </c>
      <c r="H358" s="26">
        <v>0.26</v>
      </c>
      <c r="I358" s="79">
        <v>2331.0</v>
      </c>
      <c r="J358" s="79" t="s">
        <v>1601</v>
      </c>
      <c r="K358" s="80" t="s">
        <v>1605</v>
      </c>
      <c r="L358" s="21">
        <v>14700.0</v>
      </c>
      <c r="M358" s="21">
        <v>8818.0</v>
      </c>
      <c r="N358" s="26">
        <v>0.3</v>
      </c>
      <c r="O358" s="26">
        <v>0.3</v>
      </c>
      <c r="P358" s="81" t="s">
        <v>1595</v>
      </c>
      <c r="Q358" s="26">
        <v>0.49</v>
      </c>
      <c r="R358" s="84">
        <v>0.26</v>
      </c>
      <c r="S358" s="22"/>
      <c r="T358" s="16"/>
      <c r="U358" s="82"/>
      <c r="V358" s="37"/>
      <c r="W358" s="37"/>
    </row>
    <row r="359" ht="14.25" customHeight="1">
      <c r="A359" s="83" t="s">
        <v>302</v>
      </c>
      <c r="B359" s="55" t="s">
        <v>813</v>
      </c>
      <c r="C359" s="78" t="s">
        <v>796</v>
      </c>
      <c r="D359" s="78" t="s">
        <v>797</v>
      </c>
      <c r="E359" s="21" t="s">
        <v>812</v>
      </c>
      <c r="F359" s="21" t="s">
        <v>1994</v>
      </c>
      <c r="G359" s="23">
        <v>6374.0</v>
      </c>
      <c r="H359" s="26">
        <v>0.28</v>
      </c>
      <c r="I359" s="79">
        <v>2444.0</v>
      </c>
      <c r="J359" s="79" t="s">
        <v>1601</v>
      </c>
      <c r="K359" s="80" t="s">
        <v>1605</v>
      </c>
      <c r="L359" s="21">
        <v>14700.0</v>
      </c>
      <c r="M359" s="21">
        <v>8818.0</v>
      </c>
      <c r="N359" s="26">
        <v>0.3</v>
      </c>
      <c r="O359" s="26">
        <v>0.3</v>
      </c>
      <c r="P359" s="81" t="s">
        <v>1595</v>
      </c>
      <c r="Q359" s="26">
        <v>0.49</v>
      </c>
      <c r="R359" s="84">
        <v>0.26</v>
      </c>
      <c r="S359" s="22"/>
      <c r="T359" s="16"/>
      <c r="U359" s="82"/>
      <c r="V359" s="37"/>
      <c r="W359" s="37"/>
    </row>
    <row r="360" ht="14.25" customHeight="1">
      <c r="A360" s="83" t="s">
        <v>302</v>
      </c>
      <c r="B360" s="55" t="s">
        <v>815</v>
      </c>
      <c r="C360" s="78" t="s">
        <v>796</v>
      </c>
      <c r="D360" s="78" t="s">
        <v>797</v>
      </c>
      <c r="E360" s="21" t="s">
        <v>814</v>
      </c>
      <c r="F360" s="21" t="s">
        <v>1995</v>
      </c>
      <c r="G360" s="23">
        <v>9203.0</v>
      </c>
      <c r="H360" s="26">
        <v>0.22</v>
      </c>
      <c r="I360" s="79">
        <v>2556.0</v>
      </c>
      <c r="J360" s="79" t="s">
        <v>1714</v>
      </c>
      <c r="K360" s="80" t="s">
        <v>1604</v>
      </c>
      <c r="L360" s="21">
        <v>20582.0</v>
      </c>
      <c r="M360" s="21">
        <v>11759.0</v>
      </c>
      <c r="N360" s="26">
        <v>0.3</v>
      </c>
      <c r="O360" s="26">
        <v>0.3</v>
      </c>
      <c r="P360" s="81" t="s">
        <v>1595</v>
      </c>
      <c r="Q360" s="26">
        <v>0.45</v>
      </c>
      <c r="R360" s="84">
        <v>0.22</v>
      </c>
      <c r="S360" s="22"/>
      <c r="T360" s="16"/>
      <c r="U360" s="82"/>
      <c r="V360" s="37"/>
      <c r="W360" s="37"/>
    </row>
    <row r="361" ht="14.25" customHeight="1">
      <c r="A361" s="83" t="s">
        <v>302</v>
      </c>
      <c r="B361" s="55" t="s">
        <v>817</v>
      </c>
      <c r="C361" s="78" t="s">
        <v>796</v>
      </c>
      <c r="D361" s="78" t="s">
        <v>797</v>
      </c>
      <c r="E361" s="21" t="s">
        <v>816</v>
      </c>
      <c r="F361" s="21" t="s">
        <v>1995</v>
      </c>
      <c r="G361" s="23">
        <v>9203.0</v>
      </c>
      <c r="H361" s="26">
        <v>0.22</v>
      </c>
      <c r="I361" s="79">
        <v>2556.0</v>
      </c>
      <c r="J361" s="79" t="s">
        <v>1714</v>
      </c>
      <c r="K361" s="80" t="s">
        <v>1604</v>
      </c>
      <c r="L361" s="21">
        <v>20582.0</v>
      </c>
      <c r="M361" s="21">
        <v>11759.0</v>
      </c>
      <c r="N361" s="26">
        <v>0.3</v>
      </c>
      <c r="O361" s="26">
        <v>0.3</v>
      </c>
      <c r="P361" s="81" t="s">
        <v>1595</v>
      </c>
      <c r="Q361" s="26">
        <v>0.45</v>
      </c>
      <c r="R361" s="84">
        <v>0.22</v>
      </c>
      <c r="S361" s="22"/>
      <c r="T361" s="16"/>
      <c r="U361" s="82"/>
      <c r="V361" s="37"/>
      <c r="W361" s="37"/>
    </row>
    <row r="362" ht="14.25" customHeight="1">
      <c r="A362" s="83" t="s">
        <v>302</v>
      </c>
      <c r="B362" s="55" t="s">
        <v>819</v>
      </c>
      <c r="C362" s="78" t="s">
        <v>796</v>
      </c>
      <c r="D362" s="78" t="s">
        <v>797</v>
      </c>
      <c r="E362" s="21" t="s">
        <v>818</v>
      </c>
      <c r="F362" s="21" t="s">
        <v>1995</v>
      </c>
      <c r="G362" s="23">
        <v>9466.0</v>
      </c>
      <c r="H362" s="26">
        <v>0.19</v>
      </c>
      <c r="I362" s="79">
        <v>2293.0</v>
      </c>
      <c r="J362" s="79" t="s">
        <v>1714</v>
      </c>
      <c r="K362" s="80" t="s">
        <v>1604</v>
      </c>
      <c r="L362" s="21">
        <v>20582.0</v>
      </c>
      <c r="M362" s="21">
        <v>11759.0</v>
      </c>
      <c r="N362" s="26">
        <v>0.3</v>
      </c>
      <c r="O362" s="26">
        <v>0.3</v>
      </c>
      <c r="P362" s="81" t="s">
        <v>1595</v>
      </c>
      <c r="Q362" s="26">
        <v>0.44</v>
      </c>
      <c r="R362" s="84">
        <v>0.21</v>
      </c>
      <c r="S362" s="22"/>
      <c r="T362" s="16"/>
      <c r="U362" s="82"/>
      <c r="V362" s="37"/>
      <c r="W362" s="37"/>
    </row>
    <row r="363" ht="14.25" customHeight="1">
      <c r="A363" s="83" t="s">
        <v>302</v>
      </c>
      <c r="B363" s="55" t="s">
        <v>821</v>
      </c>
      <c r="C363" s="78" t="s">
        <v>796</v>
      </c>
      <c r="D363" s="78" t="s">
        <v>797</v>
      </c>
      <c r="E363" s="21" t="s">
        <v>820</v>
      </c>
      <c r="F363" s="21" t="s">
        <v>1995</v>
      </c>
      <c r="G363" s="23">
        <v>9296.0</v>
      </c>
      <c r="H363" s="26">
        <v>0.21</v>
      </c>
      <c r="I363" s="79">
        <v>2463.0</v>
      </c>
      <c r="J363" s="79" t="s">
        <v>1714</v>
      </c>
      <c r="K363" s="80" t="s">
        <v>1604</v>
      </c>
      <c r="L363" s="21">
        <v>20582.0</v>
      </c>
      <c r="M363" s="21">
        <v>11759.0</v>
      </c>
      <c r="N363" s="26">
        <v>0.3</v>
      </c>
      <c r="O363" s="26">
        <v>0.3</v>
      </c>
      <c r="P363" s="81" t="s">
        <v>1595</v>
      </c>
      <c r="Q363" s="26">
        <v>0.45</v>
      </c>
      <c r="R363" s="84">
        <v>0.22</v>
      </c>
      <c r="S363" s="22"/>
      <c r="T363" s="16"/>
      <c r="U363" s="82"/>
      <c r="V363" s="37"/>
      <c r="W363" s="37"/>
    </row>
    <row r="364" ht="14.25" customHeight="1">
      <c r="A364" s="83" t="s">
        <v>302</v>
      </c>
      <c r="B364" s="55" t="s">
        <v>823</v>
      </c>
      <c r="C364" s="78" t="s">
        <v>796</v>
      </c>
      <c r="D364" s="78" t="s">
        <v>797</v>
      </c>
      <c r="E364" s="21" t="s">
        <v>822</v>
      </c>
      <c r="F364" s="21" t="s">
        <v>1995</v>
      </c>
      <c r="G364" s="23">
        <v>9203.0</v>
      </c>
      <c r="H364" s="26">
        <v>0.22</v>
      </c>
      <c r="I364" s="79">
        <v>2556.0</v>
      </c>
      <c r="J364" s="79" t="s">
        <v>1714</v>
      </c>
      <c r="K364" s="80" t="s">
        <v>1604</v>
      </c>
      <c r="L364" s="21">
        <v>20582.0</v>
      </c>
      <c r="M364" s="21">
        <v>11759.0</v>
      </c>
      <c r="N364" s="26">
        <v>0.3</v>
      </c>
      <c r="O364" s="26">
        <v>0.3</v>
      </c>
      <c r="P364" s="81" t="s">
        <v>1595</v>
      </c>
      <c r="Q364" s="26">
        <v>0.45</v>
      </c>
      <c r="R364" s="84">
        <v>0.22</v>
      </c>
      <c r="S364" s="22"/>
      <c r="T364" s="16"/>
      <c r="U364" s="82"/>
      <c r="V364" s="37"/>
      <c r="W364" s="37"/>
    </row>
    <row r="365" ht="14.25" customHeight="1">
      <c r="A365" s="83" t="s">
        <v>302</v>
      </c>
      <c r="B365" s="55" t="s">
        <v>825</v>
      </c>
      <c r="C365" s="78" t="s">
        <v>796</v>
      </c>
      <c r="D365" s="78" t="s">
        <v>797</v>
      </c>
      <c r="E365" s="21" t="s">
        <v>824</v>
      </c>
      <c r="F365" s="21" t="s">
        <v>1995</v>
      </c>
      <c r="G365" s="23">
        <v>9203.0</v>
      </c>
      <c r="H365" s="26">
        <v>0.22</v>
      </c>
      <c r="I365" s="79">
        <v>2556.0</v>
      </c>
      <c r="J365" s="79" t="s">
        <v>1714</v>
      </c>
      <c r="K365" s="80" t="s">
        <v>1604</v>
      </c>
      <c r="L365" s="21">
        <v>20582.0</v>
      </c>
      <c r="M365" s="21">
        <v>11759.0</v>
      </c>
      <c r="N365" s="26">
        <v>0.3</v>
      </c>
      <c r="O365" s="26">
        <v>0.3</v>
      </c>
      <c r="P365" s="81" t="s">
        <v>1595</v>
      </c>
      <c r="Q365" s="26">
        <v>0.45</v>
      </c>
      <c r="R365" s="84">
        <v>0.22</v>
      </c>
      <c r="S365" s="22"/>
      <c r="T365" s="16"/>
      <c r="U365" s="82"/>
      <c r="V365" s="37"/>
      <c r="W365" s="37"/>
    </row>
    <row r="366" ht="14.25" customHeight="1">
      <c r="A366" s="83" t="s">
        <v>302</v>
      </c>
      <c r="B366" s="55" t="s">
        <v>827</v>
      </c>
      <c r="C366" s="78" t="s">
        <v>796</v>
      </c>
      <c r="D366" s="78" t="s">
        <v>797</v>
      </c>
      <c r="E366" s="21" t="s">
        <v>826</v>
      </c>
      <c r="F366" s="21" t="s">
        <v>1995</v>
      </c>
      <c r="G366" s="23">
        <v>9466.0</v>
      </c>
      <c r="H366" s="26">
        <v>0.19</v>
      </c>
      <c r="I366" s="79">
        <v>2293.0</v>
      </c>
      <c r="J366" s="79" t="s">
        <v>1714</v>
      </c>
      <c r="K366" s="80" t="s">
        <v>1604</v>
      </c>
      <c r="L366" s="21">
        <v>20582.0</v>
      </c>
      <c r="M366" s="21">
        <v>11759.0</v>
      </c>
      <c r="N366" s="26">
        <v>0.3</v>
      </c>
      <c r="O366" s="26">
        <v>0.3</v>
      </c>
      <c r="P366" s="81" t="s">
        <v>1595</v>
      </c>
      <c r="Q366" s="26">
        <v>0.44</v>
      </c>
      <c r="R366" s="84">
        <v>0.21</v>
      </c>
      <c r="S366" s="22"/>
      <c r="T366" s="16"/>
      <c r="U366" s="82"/>
      <c r="V366" s="37"/>
      <c r="W366" s="37"/>
    </row>
    <row r="367" ht="14.25" customHeight="1">
      <c r="A367" s="83" t="s">
        <v>302</v>
      </c>
      <c r="B367" s="55" t="s">
        <v>829</v>
      </c>
      <c r="C367" s="78" t="s">
        <v>796</v>
      </c>
      <c r="D367" s="78" t="s">
        <v>797</v>
      </c>
      <c r="E367" s="21" t="s">
        <v>828</v>
      </c>
      <c r="F367" s="21" t="s">
        <v>1995</v>
      </c>
      <c r="G367" s="23">
        <v>9296.0</v>
      </c>
      <c r="H367" s="26">
        <v>0.21</v>
      </c>
      <c r="I367" s="79">
        <v>2463.0</v>
      </c>
      <c r="J367" s="79" t="s">
        <v>1714</v>
      </c>
      <c r="K367" s="80" t="s">
        <v>1604</v>
      </c>
      <c r="L367" s="21">
        <v>20582.0</v>
      </c>
      <c r="M367" s="21">
        <v>11759.0</v>
      </c>
      <c r="N367" s="26">
        <v>0.3</v>
      </c>
      <c r="O367" s="26">
        <v>0.3</v>
      </c>
      <c r="P367" s="81" t="s">
        <v>1595</v>
      </c>
      <c r="Q367" s="26">
        <v>0.45</v>
      </c>
      <c r="R367" s="84">
        <v>0.22</v>
      </c>
      <c r="S367" s="22"/>
      <c r="T367" s="16"/>
      <c r="U367" s="82"/>
      <c r="V367" s="37"/>
      <c r="W367" s="37"/>
    </row>
    <row r="368" ht="14.25" customHeight="1">
      <c r="A368" s="83" t="s">
        <v>302</v>
      </c>
      <c r="B368" s="55" t="s">
        <v>832</v>
      </c>
      <c r="C368" s="78" t="s">
        <v>796</v>
      </c>
      <c r="D368" s="78" t="s">
        <v>830</v>
      </c>
      <c r="E368" s="21" t="s">
        <v>1996</v>
      </c>
      <c r="F368" s="21" t="s">
        <v>1997</v>
      </c>
      <c r="G368" s="23">
        <v>19438.0</v>
      </c>
      <c r="H368" s="26">
        <v>0.34</v>
      </c>
      <c r="I368" s="79">
        <v>9968.0</v>
      </c>
      <c r="J368" s="79" t="s">
        <v>1594</v>
      </c>
      <c r="K368" s="80" t="s">
        <v>1606</v>
      </c>
      <c r="L368" s="21">
        <v>35288.0</v>
      </c>
      <c r="M368" s="21">
        <v>29406.0</v>
      </c>
      <c r="N368" s="26">
        <v>0.3</v>
      </c>
      <c r="O368" s="26">
        <v>0.3</v>
      </c>
      <c r="P368" s="81" t="s">
        <v>1595</v>
      </c>
      <c r="Q368" s="26">
        <v>0.54</v>
      </c>
      <c r="R368" s="84">
        <v>0.31</v>
      </c>
      <c r="S368" s="22"/>
      <c r="T368" s="16"/>
      <c r="U368" s="82"/>
      <c r="V368" s="37"/>
      <c r="W368" s="37"/>
    </row>
    <row r="369" ht="14.25" customHeight="1">
      <c r="A369" s="83" t="s">
        <v>302</v>
      </c>
      <c r="B369" s="55" t="s">
        <v>834</v>
      </c>
      <c r="C369" s="78" t="s">
        <v>796</v>
      </c>
      <c r="D369" s="78" t="s">
        <v>830</v>
      </c>
      <c r="E369" s="21" t="s">
        <v>1996</v>
      </c>
      <c r="F369" s="21" t="s">
        <v>1997</v>
      </c>
      <c r="G369" s="23">
        <v>19438.0</v>
      </c>
      <c r="H369" s="26">
        <v>0.34</v>
      </c>
      <c r="I369" s="79">
        <v>9968.0</v>
      </c>
      <c r="J369" s="79" t="s">
        <v>1594</v>
      </c>
      <c r="K369" s="80" t="s">
        <v>1606</v>
      </c>
      <c r="L369" s="21">
        <v>35288.0</v>
      </c>
      <c r="M369" s="21">
        <v>29406.0</v>
      </c>
      <c r="N369" s="26">
        <v>0.3</v>
      </c>
      <c r="O369" s="26">
        <v>0.3</v>
      </c>
      <c r="P369" s="81" t="s">
        <v>1595</v>
      </c>
      <c r="Q369" s="26">
        <v>0.54</v>
      </c>
      <c r="R369" s="84">
        <v>0.31</v>
      </c>
      <c r="S369" s="22"/>
      <c r="T369" s="16"/>
      <c r="U369" s="88"/>
      <c r="V369" s="37"/>
      <c r="W369" s="37"/>
    </row>
    <row r="370" ht="14.25" customHeight="1">
      <c r="A370" s="83" t="s">
        <v>302</v>
      </c>
      <c r="B370" s="55" t="s">
        <v>836</v>
      </c>
      <c r="C370" s="78" t="s">
        <v>796</v>
      </c>
      <c r="D370" s="78" t="s">
        <v>830</v>
      </c>
      <c r="E370" s="21" t="s">
        <v>1996</v>
      </c>
      <c r="F370" s="21" t="s">
        <v>1997</v>
      </c>
      <c r="G370" s="23">
        <v>19438.0</v>
      </c>
      <c r="H370" s="26">
        <v>0.34</v>
      </c>
      <c r="I370" s="79">
        <v>9968.0</v>
      </c>
      <c r="J370" s="79" t="s">
        <v>1594</v>
      </c>
      <c r="K370" s="80" t="s">
        <v>1606</v>
      </c>
      <c r="L370" s="21">
        <v>35288.0</v>
      </c>
      <c r="M370" s="21">
        <v>29406.0</v>
      </c>
      <c r="N370" s="26">
        <v>0.3</v>
      </c>
      <c r="O370" s="26">
        <v>0.3</v>
      </c>
      <c r="P370" s="81" t="s">
        <v>1595</v>
      </c>
      <c r="Q370" s="26">
        <v>0.54</v>
      </c>
      <c r="R370" s="84">
        <v>0.31</v>
      </c>
      <c r="S370" s="22"/>
      <c r="T370" s="16"/>
      <c r="U370" s="88"/>
      <c r="V370" s="37"/>
      <c r="W370" s="37"/>
    </row>
    <row r="371" ht="14.25" customHeight="1">
      <c r="A371" s="83" t="s">
        <v>302</v>
      </c>
      <c r="B371" s="55" t="s">
        <v>838</v>
      </c>
      <c r="C371" s="78" t="s">
        <v>796</v>
      </c>
      <c r="D371" s="78" t="s">
        <v>830</v>
      </c>
      <c r="E371" s="21" t="s">
        <v>1996</v>
      </c>
      <c r="F371" s="21" t="s">
        <v>837</v>
      </c>
      <c r="G371" s="23">
        <v>19438.0</v>
      </c>
      <c r="H371" s="26">
        <v>0.34</v>
      </c>
      <c r="I371" s="79">
        <v>9968.0</v>
      </c>
      <c r="J371" s="79" t="s">
        <v>1594</v>
      </c>
      <c r="K371" s="80" t="s">
        <v>1606</v>
      </c>
      <c r="L371" s="21">
        <v>35288.0</v>
      </c>
      <c r="M371" s="21">
        <v>29406.0</v>
      </c>
      <c r="N371" s="26">
        <v>0.3</v>
      </c>
      <c r="O371" s="26">
        <v>0.3</v>
      </c>
      <c r="P371" s="81" t="s">
        <v>1595</v>
      </c>
      <c r="Q371" s="26">
        <v>0.54</v>
      </c>
      <c r="R371" s="84">
        <v>0.31</v>
      </c>
      <c r="S371" s="22"/>
      <c r="T371" s="37"/>
      <c r="U371" s="82"/>
      <c r="V371" s="37"/>
      <c r="W371" s="37"/>
    </row>
    <row r="372" ht="14.25" customHeight="1">
      <c r="A372" s="83" t="s">
        <v>302</v>
      </c>
      <c r="B372" s="55" t="s">
        <v>840</v>
      </c>
      <c r="C372" s="78" t="s">
        <v>796</v>
      </c>
      <c r="D372" s="78" t="s">
        <v>830</v>
      </c>
      <c r="E372" s="21" t="s">
        <v>1996</v>
      </c>
      <c r="F372" s="21" t="s">
        <v>1997</v>
      </c>
      <c r="G372" s="23">
        <v>19438.0</v>
      </c>
      <c r="H372" s="26">
        <v>0.34</v>
      </c>
      <c r="I372" s="79">
        <v>9968.0</v>
      </c>
      <c r="J372" s="79" t="s">
        <v>1594</v>
      </c>
      <c r="K372" s="80" t="s">
        <v>1606</v>
      </c>
      <c r="L372" s="21">
        <v>35288.0</v>
      </c>
      <c r="M372" s="21">
        <v>29406.0</v>
      </c>
      <c r="N372" s="26">
        <v>0.3</v>
      </c>
      <c r="O372" s="26">
        <v>0.3</v>
      </c>
      <c r="P372" s="81" t="s">
        <v>1595</v>
      </c>
      <c r="Q372" s="26">
        <v>0.54</v>
      </c>
      <c r="R372" s="84">
        <v>0.31</v>
      </c>
      <c r="S372" s="22"/>
      <c r="T372" s="16"/>
      <c r="U372" s="88"/>
      <c r="V372" s="37"/>
      <c r="W372" s="37"/>
    </row>
    <row r="373" ht="14.25" customHeight="1">
      <c r="A373" s="83" t="s">
        <v>302</v>
      </c>
      <c r="B373" s="55" t="s">
        <v>842</v>
      </c>
      <c r="C373" s="78" t="s">
        <v>796</v>
      </c>
      <c r="D373" s="78" t="s">
        <v>830</v>
      </c>
      <c r="E373" s="21" t="s">
        <v>1996</v>
      </c>
      <c r="F373" s="21" t="s">
        <v>1997</v>
      </c>
      <c r="G373" s="23">
        <v>19438.0</v>
      </c>
      <c r="H373" s="26">
        <v>0.34</v>
      </c>
      <c r="I373" s="79">
        <v>9968.0</v>
      </c>
      <c r="J373" s="79" t="s">
        <v>1594</v>
      </c>
      <c r="K373" s="80" t="s">
        <v>1606</v>
      </c>
      <c r="L373" s="21">
        <v>35288.0</v>
      </c>
      <c r="M373" s="21">
        <v>29406.0</v>
      </c>
      <c r="N373" s="26">
        <v>0.3</v>
      </c>
      <c r="O373" s="26">
        <v>0.3</v>
      </c>
      <c r="P373" s="81" t="s">
        <v>1595</v>
      </c>
      <c r="Q373" s="26">
        <v>0.54</v>
      </c>
      <c r="R373" s="84">
        <v>0.31</v>
      </c>
      <c r="S373" s="22"/>
      <c r="T373" s="16"/>
      <c r="U373" s="88"/>
      <c r="V373" s="37"/>
      <c r="W373" s="37"/>
    </row>
    <row r="374" ht="14.25" customHeight="1">
      <c r="A374" s="83" t="s">
        <v>302</v>
      </c>
      <c r="B374" s="55" t="s">
        <v>844</v>
      </c>
      <c r="C374" s="78" t="s">
        <v>796</v>
      </c>
      <c r="D374" s="78" t="s">
        <v>830</v>
      </c>
      <c r="E374" s="21" t="s">
        <v>1996</v>
      </c>
      <c r="F374" s="21" t="s">
        <v>1997</v>
      </c>
      <c r="G374" s="23">
        <v>19438.0</v>
      </c>
      <c r="H374" s="26">
        <v>0.34</v>
      </c>
      <c r="I374" s="79">
        <v>9968.0</v>
      </c>
      <c r="J374" s="79" t="s">
        <v>1594</v>
      </c>
      <c r="K374" s="80" t="s">
        <v>1606</v>
      </c>
      <c r="L374" s="21">
        <v>35288.0</v>
      </c>
      <c r="M374" s="21">
        <v>29406.0</v>
      </c>
      <c r="N374" s="26">
        <v>0.3</v>
      </c>
      <c r="O374" s="26">
        <v>0.3</v>
      </c>
      <c r="P374" s="81" t="s">
        <v>1595</v>
      </c>
      <c r="Q374" s="26">
        <v>0.54</v>
      </c>
      <c r="R374" s="84">
        <v>0.31</v>
      </c>
      <c r="S374" s="22"/>
      <c r="T374" s="16"/>
      <c r="U374" s="82"/>
      <c r="V374" s="37"/>
      <c r="W374" s="37"/>
    </row>
    <row r="375" ht="14.25" customHeight="1">
      <c r="A375" s="83" t="s">
        <v>302</v>
      </c>
      <c r="B375" s="55" t="s">
        <v>846</v>
      </c>
      <c r="C375" s="78" t="s">
        <v>796</v>
      </c>
      <c r="D375" s="78" t="s">
        <v>830</v>
      </c>
      <c r="E375" s="21" t="s">
        <v>1996</v>
      </c>
      <c r="F375" s="21" t="s">
        <v>1997</v>
      </c>
      <c r="G375" s="23">
        <v>19438.0</v>
      </c>
      <c r="H375" s="26">
        <v>0.34</v>
      </c>
      <c r="I375" s="79">
        <v>9968.0</v>
      </c>
      <c r="J375" s="79" t="s">
        <v>1594</v>
      </c>
      <c r="K375" s="80" t="s">
        <v>1606</v>
      </c>
      <c r="L375" s="21">
        <v>35288.0</v>
      </c>
      <c r="M375" s="21">
        <v>29406.0</v>
      </c>
      <c r="N375" s="26">
        <v>0.3</v>
      </c>
      <c r="O375" s="26">
        <v>0.3</v>
      </c>
      <c r="P375" s="81" t="s">
        <v>1595</v>
      </c>
      <c r="Q375" s="26">
        <v>0.54</v>
      </c>
      <c r="R375" s="84">
        <v>0.31</v>
      </c>
      <c r="S375" s="22"/>
      <c r="T375" s="16"/>
      <c r="U375" s="82"/>
      <c r="V375" s="37"/>
      <c r="W375" s="37"/>
    </row>
    <row r="376" ht="14.25" customHeight="1">
      <c r="A376" s="83" t="s">
        <v>302</v>
      </c>
      <c r="B376" s="55" t="s">
        <v>848</v>
      </c>
      <c r="C376" s="78" t="s">
        <v>796</v>
      </c>
      <c r="D376" s="78" t="s">
        <v>830</v>
      </c>
      <c r="E376" s="21" t="s">
        <v>847</v>
      </c>
      <c r="F376" s="21" t="s">
        <v>1998</v>
      </c>
      <c r="G376" s="23">
        <v>12521.0</v>
      </c>
      <c r="H376" s="26">
        <v>0.21</v>
      </c>
      <c r="I376" s="79">
        <v>3355.0</v>
      </c>
      <c r="J376" s="79" t="s">
        <v>1606</v>
      </c>
      <c r="K376" s="80" t="s">
        <v>1726</v>
      </c>
      <c r="L376" s="21">
        <v>29406.0</v>
      </c>
      <c r="M376" s="21">
        <v>15876.0</v>
      </c>
      <c r="N376" s="26">
        <v>0.3</v>
      </c>
      <c r="O376" s="26">
        <v>0.3</v>
      </c>
      <c r="P376" s="81" t="s">
        <v>1595</v>
      </c>
      <c r="Q376" s="26">
        <v>0.45</v>
      </c>
      <c r="R376" s="84">
        <v>0.22</v>
      </c>
      <c r="S376" s="22"/>
      <c r="T376" s="37"/>
      <c r="U376" s="82"/>
      <c r="V376" s="37"/>
      <c r="W376" s="37"/>
    </row>
    <row r="377" ht="14.25" customHeight="1">
      <c r="A377" s="83" t="s">
        <v>302</v>
      </c>
      <c r="B377" s="55" t="s">
        <v>850</v>
      </c>
      <c r="C377" s="78" t="s">
        <v>796</v>
      </c>
      <c r="D377" s="78" t="s">
        <v>830</v>
      </c>
      <c r="E377" s="21" t="s">
        <v>849</v>
      </c>
      <c r="F377" s="21" t="s">
        <v>1998</v>
      </c>
      <c r="G377" s="23">
        <v>12521.0</v>
      </c>
      <c r="H377" s="26">
        <v>0.21</v>
      </c>
      <c r="I377" s="79">
        <v>3355.0</v>
      </c>
      <c r="J377" s="79" t="s">
        <v>1606</v>
      </c>
      <c r="K377" s="80" t="s">
        <v>1726</v>
      </c>
      <c r="L377" s="21">
        <v>29406.0</v>
      </c>
      <c r="M377" s="21">
        <v>15876.0</v>
      </c>
      <c r="N377" s="26">
        <v>0.3</v>
      </c>
      <c r="O377" s="26">
        <v>0.3</v>
      </c>
      <c r="P377" s="81" t="s">
        <v>1595</v>
      </c>
      <c r="Q377" s="26">
        <v>0.45</v>
      </c>
      <c r="R377" s="84">
        <v>0.22</v>
      </c>
      <c r="S377" s="22"/>
      <c r="T377" s="16"/>
      <c r="U377" s="82"/>
      <c r="V377" s="37"/>
      <c r="W377" s="37"/>
    </row>
    <row r="378" ht="14.25" customHeight="1">
      <c r="A378" s="83" t="s">
        <v>302</v>
      </c>
      <c r="B378" s="55" t="s">
        <v>852</v>
      </c>
      <c r="C378" s="78" t="s">
        <v>796</v>
      </c>
      <c r="D378" s="78" t="s">
        <v>830</v>
      </c>
      <c r="E378" s="21" t="s">
        <v>851</v>
      </c>
      <c r="F378" s="21" t="s">
        <v>1998</v>
      </c>
      <c r="G378" s="23">
        <v>12521.0</v>
      </c>
      <c r="H378" s="26">
        <v>0.21</v>
      </c>
      <c r="I378" s="79">
        <v>3355.0</v>
      </c>
      <c r="J378" s="79" t="s">
        <v>1606</v>
      </c>
      <c r="K378" s="80" t="s">
        <v>1726</v>
      </c>
      <c r="L378" s="21">
        <v>29406.0</v>
      </c>
      <c r="M378" s="21">
        <v>15876.0</v>
      </c>
      <c r="N378" s="26">
        <v>0.3</v>
      </c>
      <c r="O378" s="26">
        <v>0.3</v>
      </c>
      <c r="P378" s="81" t="s">
        <v>1595</v>
      </c>
      <c r="Q378" s="26">
        <v>0.45</v>
      </c>
      <c r="R378" s="84">
        <v>0.22</v>
      </c>
      <c r="S378" s="22"/>
      <c r="T378" s="16"/>
      <c r="U378" s="82"/>
      <c r="V378" s="37"/>
      <c r="W378" s="37"/>
    </row>
    <row r="379" ht="14.25" customHeight="1">
      <c r="A379" s="83" t="s">
        <v>302</v>
      </c>
      <c r="B379" s="55" t="s">
        <v>854</v>
      </c>
      <c r="C379" s="78" t="s">
        <v>796</v>
      </c>
      <c r="D379" s="78" t="s">
        <v>830</v>
      </c>
      <c r="E379" s="21" t="s">
        <v>853</v>
      </c>
      <c r="F379" s="21" t="s">
        <v>1998</v>
      </c>
      <c r="G379" s="23">
        <v>12521.0</v>
      </c>
      <c r="H379" s="26">
        <v>0.21</v>
      </c>
      <c r="I379" s="79">
        <v>3355.0</v>
      </c>
      <c r="J379" s="79" t="s">
        <v>1606</v>
      </c>
      <c r="K379" s="80" t="s">
        <v>1726</v>
      </c>
      <c r="L379" s="21">
        <v>29406.0</v>
      </c>
      <c r="M379" s="21">
        <v>15876.0</v>
      </c>
      <c r="N379" s="26">
        <v>0.3</v>
      </c>
      <c r="O379" s="26">
        <v>0.3</v>
      </c>
      <c r="P379" s="81" t="s">
        <v>1595</v>
      </c>
      <c r="Q379" s="26">
        <v>0.45</v>
      </c>
      <c r="R379" s="84">
        <v>0.22</v>
      </c>
      <c r="S379" s="22"/>
      <c r="T379" s="16"/>
      <c r="U379" s="82"/>
      <c r="V379" s="37"/>
      <c r="W379" s="37"/>
    </row>
    <row r="380" ht="14.25" customHeight="1">
      <c r="A380" s="83" t="s">
        <v>302</v>
      </c>
      <c r="B380" s="55" t="s">
        <v>856</v>
      </c>
      <c r="C380" s="78" t="s">
        <v>796</v>
      </c>
      <c r="D380" s="78" t="s">
        <v>830</v>
      </c>
      <c r="E380" s="21" t="s">
        <v>855</v>
      </c>
      <c r="F380" s="21" t="s">
        <v>1998</v>
      </c>
      <c r="G380" s="23">
        <v>12521.0</v>
      </c>
      <c r="H380" s="26">
        <v>0.21</v>
      </c>
      <c r="I380" s="79">
        <v>3355.0</v>
      </c>
      <c r="J380" s="79" t="s">
        <v>1606</v>
      </c>
      <c r="K380" s="80" t="s">
        <v>1726</v>
      </c>
      <c r="L380" s="21">
        <v>29406.0</v>
      </c>
      <c r="M380" s="21">
        <v>15876.0</v>
      </c>
      <c r="N380" s="26">
        <v>0.3</v>
      </c>
      <c r="O380" s="26">
        <v>0.3</v>
      </c>
      <c r="P380" s="81" t="s">
        <v>1595</v>
      </c>
      <c r="Q380" s="26">
        <v>0.45</v>
      </c>
      <c r="R380" s="84">
        <v>0.22</v>
      </c>
      <c r="S380" s="22"/>
      <c r="T380" s="16"/>
      <c r="U380" s="82"/>
      <c r="V380" s="37"/>
      <c r="W380" s="37"/>
    </row>
    <row r="381" ht="14.25" customHeight="1">
      <c r="A381" s="83" t="s">
        <v>302</v>
      </c>
      <c r="B381" s="55" t="s">
        <v>858</v>
      </c>
      <c r="C381" s="78" t="s">
        <v>796</v>
      </c>
      <c r="D381" s="78" t="s">
        <v>830</v>
      </c>
      <c r="E381" s="21" t="s">
        <v>857</v>
      </c>
      <c r="F381" s="21" t="s">
        <v>1998</v>
      </c>
      <c r="G381" s="23">
        <v>12521.0</v>
      </c>
      <c r="H381" s="26">
        <v>0.21</v>
      </c>
      <c r="I381" s="79">
        <v>3355.0</v>
      </c>
      <c r="J381" s="79" t="s">
        <v>1606</v>
      </c>
      <c r="K381" s="80" t="s">
        <v>1726</v>
      </c>
      <c r="L381" s="21">
        <v>29406.0</v>
      </c>
      <c r="M381" s="21">
        <v>15876.0</v>
      </c>
      <c r="N381" s="26">
        <v>0.3</v>
      </c>
      <c r="O381" s="26">
        <v>0.3</v>
      </c>
      <c r="P381" s="81" t="s">
        <v>1595</v>
      </c>
      <c r="Q381" s="26">
        <v>0.45</v>
      </c>
      <c r="R381" s="84">
        <v>0.22</v>
      </c>
      <c r="S381" s="22"/>
      <c r="T381" s="16"/>
      <c r="U381" s="44"/>
      <c r="W381" s="37"/>
    </row>
    <row r="382" ht="14.25" customHeight="1">
      <c r="A382" s="83" t="s">
        <v>302</v>
      </c>
      <c r="B382" s="55" t="s">
        <v>860</v>
      </c>
      <c r="C382" s="78" t="s">
        <v>796</v>
      </c>
      <c r="D382" s="78" t="s">
        <v>830</v>
      </c>
      <c r="E382" s="21" t="s">
        <v>859</v>
      </c>
      <c r="F382" s="21" t="s">
        <v>1998</v>
      </c>
      <c r="G382" s="23">
        <v>12521.0</v>
      </c>
      <c r="H382" s="26">
        <v>0.21</v>
      </c>
      <c r="I382" s="79">
        <v>3355.0</v>
      </c>
      <c r="J382" s="79" t="s">
        <v>1606</v>
      </c>
      <c r="K382" s="80" t="s">
        <v>1726</v>
      </c>
      <c r="L382" s="21">
        <v>29406.0</v>
      </c>
      <c r="M382" s="21">
        <v>15876.0</v>
      </c>
      <c r="N382" s="26">
        <v>0.3</v>
      </c>
      <c r="O382" s="26">
        <v>0.3</v>
      </c>
      <c r="P382" s="81" t="s">
        <v>1595</v>
      </c>
      <c r="Q382" s="26">
        <v>0.45</v>
      </c>
      <c r="R382" s="84">
        <v>0.22</v>
      </c>
      <c r="S382" s="22"/>
      <c r="T382" s="16"/>
      <c r="U382" s="44"/>
      <c r="W382" s="37"/>
    </row>
    <row r="383" ht="14.25" customHeight="1">
      <c r="A383" s="83" t="s">
        <v>302</v>
      </c>
      <c r="B383" s="55" t="s">
        <v>862</v>
      </c>
      <c r="C383" s="78" t="s">
        <v>796</v>
      </c>
      <c r="D383" s="78" t="s">
        <v>830</v>
      </c>
      <c r="E383" s="21" t="s">
        <v>861</v>
      </c>
      <c r="F383" s="21" t="s">
        <v>1998</v>
      </c>
      <c r="G383" s="23">
        <v>12521.0</v>
      </c>
      <c r="H383" s="26">
        <v>0.21</v>
      </c>
      <c r="I383" s="79">
        <v>3355.0</v>
      </c>
      <c r="J383" s="79" t="s">
        <v>1606</v>
      </c>
      <c r="K383" s="80" t="s">
        <v>1726</v>
      </c>
      <c r="L383" s="21">
        <v>29406.0</v>
      </c>
      <c r="M383" s="21">
        <v>15876.0</v>
      </c>
      <c r="N383" s="26">
        <v>0.3</v>
      </c>
      <c r="O383" s="26">
        <v>0.3</v>
      </c>
      <c r="P383" s="81" t="s">
        <v>1595</v>
      </c>
      <c r="Q383" s="26">
        <v>0.45</v>
      </c>
      <c r="R383" s="84">
        <v>0.22</v>
      </c>
      <c r="S383" s="22"/>
      <c r="T383" s="16"/>
      <c r="U383" s="44"/>
      <c r="W383" s="37"/>
    </row>
    <row r="384" ht="14.25" customHeight="1">
      <c r="A384" s="83" t="s">
        <v>302</v>
      </c>
      <c r="B384" s="55" t="s">
        <v>864</v>
      </c>
      <c r="C384" s="78" t="s">
        <v>796</v>
      </c>
      <c r="D384" s="78" t="s">
        <v>830</v>
      </c>
      <c r="E384" s="21" t="s">
        <v>863</v>
      </c>
      <c r="F384" s="21" t="s">
        <v>1999</v>
      </c>
      <c r="G384" s="23">
        <v>15945.0</v>
      </c>
      <c r="H384" s="26">
        <v>0.32</v>
      </c>
      <c r="I384" s="79">
        <v>7579.0</v>
      </c>
      <c r="J384" s="79" t="s">
        <v>1594</v>
      </c>
      <c r="K384" s="80" t="s">
        <v>1608</v>
      </c>
      <c r="L384" s="21">
        <v>35288.0</v>
      </c>
      <c r="M384" s="21">
        <v>23524.0</v>
      </c>
      <c r="N384" s="26">
        <v>0.3</v>
      </c>
      <c r="O384" s="26">
        <v>0.3</v>
      </c>
      <c r="P384" s="81" t="s">
        <v>1595</v>
      </c>
      <c r="Q384" s="26">
        <v>0.53</v>
      </c>
      <c r="R384" s="84">
        <v>0.3</v>
      </c>
      <c r="S384" s="22"/>
      <c r="T384" s="16"/>
      <c r="U384" s="44"/>
      <c r="W384" s="37"/>
    </row>
    <row r="385" ht="14.25" customHeight="1">
      <c r="A385" s="83" t="s">
        <v>302</v>
      </c>
      <c r="B385" s="55" t="s">
        <v>866</v>
      </c>
      <c r="C385" s="78" t="s">
        <v>796</v>
      </c>
      <c r="D385" s="78" t="s">
        <v>830</v>
      </c>
      <c r="E385" s="21" t="s">
        <v>865</v>
      </c>
      <c r="F385" s="21" t="s">
        <v>1999</v>
      </c>
      <c r="G385" s="23">
        <v>15945.0</v>
      </c>
      <c r="H385" s="26">
        <v>0.32</v>
      </c>
      <c r="I385" s="79">
        <v>7579.0</v>
      </c>
      <c r="J385" s="79" t="s">
        <v>1594</v>
      </c>
      <c r="K385" s="80" t="s">
        <v>1608</v>
      </c>
      <c r="L385" s="21">
        <v>35288.0</v>
      </c>
      <c r="M385" s="21">
        <v>23524.0</v>
      </c>
      <c r="N385" s="26">
        <v>0.3</v>
      </c>
      <c r="O385" s="26">
        <v>0.3</v>
      </c>
      <c r="P385" s="81" t="s">
        <v>1595</v>
      </c>
      <c r="Q385" s="26">
        <v>0.53</v>
      </c>
      <c r="R385" s="84">
        <v>0.3</v>
      </c>
      <c r="S385" s="22"/>
      <c r="T385" s="16"/>
      <c r="U385" s="82"/>
      <c r="V385" s="37"/>
      <c r="W385" s="37"/>
    </row>
    <row r="386" ht="14.25" customHeight="1">
      <c r="A386" s="83" t="s">
        <v>302</v>
      </c>
      <c r="B386" s="55" t="s">
        <v>868</v>
      </c>
      <c r="C386" s="78" t="s">
        <v>796</v>
      </c>
      <c r="D386" s="78" t="s">
        <v>830</v>
      </c>
      <c r="E386" s="21" t="s">
        <v>867</v>
      </c>
      <c r="F386" s="21" t="s">
        <v>1999</v>
      </c>
      <c r="G386" s="23">
        <v>15945.0</v>
      </c>
      <c r="H386" s="26">
        <v>0.32</v>
      </c>
      <c r="I386" s="79">
        <v>7579.0</v>
      </c>
      <c r="J386" s="79" t="s">
        <v>1594</v>
      </c>
      <c r="K386" s="80" t="s">
        <v>1608</v>
      </c>
      <c r="L386" s="21">
        <v>35288.0</v>
      </c>
      <c r="M386" s="21">
        <v>23524.0</v>
      </c>
      <c r="N386" s="26">
        <v>0.3</v>
      </c>
      <c r="O386" s="26">
        <v>0.3</v>
      </c>
      <c r="P386" s="81" t="s">
        <v>1595</v>
      </c>
      <c r="Q386" s="26">
        <v>0.53</v>
      </c>
      <c r="R386" s="84">
        <v>0.3</v>
      </c>
      <c r="S386" s="22"/>
      <c r="T386" s="16"/>
      <c r="U386" s="82"/>
      <c r="V386" s="37"/>
      <c r="W386" s="37"/>
    </row>
    <row r="387" ht="14.25" customHeight="1">
      <c r="A387" s="83" t="s">
        <v>302</v>
      </c>
      <c r="B387" s="55" t="s">
        <v>870</v>
      </c>
      <c r="C387" s="78" t="s">
        <v>796</v>
      </c>
      <c r="D387" s="78" t="s">
        <v>830</v>
      </c>
      <c r="E387" s="21" t="s">
        <v>869</v>
      </c>
      <c r="F387" s="21" t="s">
        <v>1999</v>
      </c>
      <c r="G387" s="23">
        <v>15945.0</v>
      </c>
      <c r="H387" s="26">
        <v>0.32</v>
      </c>
      <c r="I387" s="79">
        <v>7579.0</v>
      </c>
      <c r="J387" s="79" t="s">
        <v>1594</v>
      </c>
      <c r="K387" s="80" t="s">
        <v>1608</v>
      </c>
      <c r="L387" s="21">
        <v>35288.0</v>
      </c>
      <c r="M387" s="21">
        <v>23524.0</v>
      </c>
      <c r="N387" s="26">
        <v>0.3</v>
      </c>
      <c r="O387" s="26">
        <v>0.3</v>
      </c>
      <c r="P387" s="81" t="s">
        <v>1595</v>
      </c>
      <c r="Q387" s="26">
        <v>0.53</v>
      </c>
      <c r="R387" s="84">
        <v>0.3</v>
      </c>
      <c r="S387" s="22"/>
      <c r="T387" s="16"/>
      <c r="U387" s="82"/>
      <c r="V387" s="37"/>
      <c r="W387" s="37"/>
    </row>
    <row r="388" ht="14.25" customHeight="1">
      <c r="A388" s="83" t="s">
        <v>302</v>
      </c>
      <c r="B388" s="55" t="s">
        <v>872</v>
      </c>
      <c r="C388" s="78" t="s">
        <v>796</v>
      </c>
      <c r="D388" s="78" t="s">
        <v>830</v>
      </c>
      <c r="E388" s="21" t="s">
        <v>871</v>
      </c>
      <c r="F388" s="21" t="s">
        <v>1999</v>
      </c>
      <c r="G388" s="23">
        <v>15945.0</v>
      </c>
      <c r="H388" s="26">
        <v>0.32</v>
      </c>
      <c r="I388" s="79">
        <v>7579.0</v>
      </c>
      <c r="J388" s="79" t="s">
        <v>1594</v>
      </c>
      <c r="K388" s="80" t="s">
        <v>1608</v>
      </c>
      <c r="L388" s="21">
        <v>35288.0</v>
      </c>
      <c r="M388" s="21">
        <v>23524.0</v>
      </c>
      <c r="N388" s="26">
        <v>0.3</v>
      </c>
      <c r="O388" s="26">
        <v>0.3</v>
      </c>
      <c r="P388" s="81" t="s">
        <v>1595</v>
      </c>
      <c r="Q388" s="26">
        <v>0.53</v>
      </c>
      <c r="R388" s="84">
        <v>0.3</v>
      </c>
      <c r="S388" s="22"/>
      <c r="T388" s="16"/>
      <c r="U388" s="82"/>
      <c r="V388" s="37"/>
      <c r="W388" s="37"/>
    </row>
    <row r="389" ht="14.25" customHeight="1">
      <c r="A389" s="83" t="s">
        <v>302</v>
      </c>
      <c r="B389" s="55" t="s">
        <v>874</v>
      </c>
      <c r="C389" s="78" t="s">
        <v>796</v>
      </c>
      <c r="D389" s="78" t="s">
        <v>830</v>
      </c>
      <c r="E389" s="21" t="s">
        <v>873</v>
      </c>
      <c r="F389" s="21" t="s">
        <v>1999</v>
      </c>
      <c r="G389" s="23">
        <v>15945.0</v>
      </c>
      <c r="H389" s="26">
        <v>0.32</v>
      </c>
      <c r="I389" s="79">
        <v>7579.0</v>
      </c>
      <c r="J389" s="79" t="s">
        <v>1594</v>
      </c>
      <c r="K389" s="80" t="s">
        <v>1608</v>
      </c>
      <c r="L389" s="21">
        <v>35288.0</v>
      </c>
      <c r="M389" s="21">
        <v>23524.0</v>
      </c>
      <c r="N389" s="26">
        <v>0.3</v>
      </c>
      <c r="O389" s="26">
        <v>0.3</v>
      </c>
      <c r="P389" s="81" t="s">
        <v>1595</v>
      </c>
      <c r="Q389" s="26">
        <v>0.53</v>
      </c>
      <c r="R389" s="84">
        <v>0.3</v>
      </c>
      <c r="S389" s="22"/>
      <c r="T389" s="16"/>
      <c r="U389" s="82"/>
      <c r="V389" s="37"/>
      <c r="W389" s="37"/>
    </row>
    <row r="390" ht="14.25" customHeight="1">
      <c r="A390" s="83" t="s">
        <v>302</v>
      </c>
      <c r="B390" s="55" t="s">
        <v>876</v>
      </c>
      <c r="C390" s="78" t="s">
        <v>796</v>
      </c>
      <c r="D390" s="78" t="s">
        <v>830</v>
      </c>
      <c r="E390" s="21" t="s">
        <v>875</v>
      </c>
      <c r="F390" s="21" t="s">
        <v>1999</v>
      </c>
      <c r="G390" s="23">
        <v>15945.0</v>
      </c>
      <c r="H390" s="26">
        <v>0.32</v>
      </c>
      <c r="I390" s="79">
        <v>7579.0</v>
      </c>
      <c r="J390" s="79" t="s">
        <v>1594</v>
      </c>
      <c r="K390" s="80" t="s">
        <v>1608</v>
      </c>
      <c r="L390" s="21">
        <v>35288.0</v>
      </c>
      <c r="M390" s="21">
        <v>23524.0</v>
      </c>
      <c r="N390" s="26">
        <v>0.3</v>
      </c>
      <c r="O390" s="26">
        <v>0.3</v>
      </c>
      <c r="P390" s="81" t="s">
        <v>1595</v>
      </c>
      <c r="Q390" s="26">
        <v>0.53</v>
      </c>
      <c r="R390" s="84">
        <v>0.3</v>
      </c>
      <c r="S390" s="22"/>
      <c r="T390" s="16"/>
      <c r="U390" s="82"/>
      <c r="V390" s="37"/>
      <c r="W390" s="37"/>
    </row>
    <row r="391" ht="14.25" customHeight="1">
      <c r="A391" s="83" t="s">
        <v>302</v>
      </c>
      <c r="B391" s="55" t="s">
        <v>878</v>
      </c>
      <c r="C391" s="78" t="s">
        <v>796</v>
      </c>
      <c r="D391" s="78" t="s">
        <v>830</v>
      </c>
      <c r="E391" s="21" t="s">
        <v>877</v>
      </c>
      <c r="F391" s="21" t="s">
        <v>1999</v>
      </c>
      <c r="G391" s="23">
        <v>15945.0</v>
      </c>
      <c r="H391" s="26">
        <v>0.32</v>
      </c>
      <c r="I391" s="79">
        <v>7579.0</v>
      </c>
      <c r="J391" s="79" t="s">
        <v>1594</v>
      </c>
      <c r="K391" s="80" t="s">
        <v>1608</v>
      </c>
      <c r="L391" s="21">
        <v>35288.0</v>
      </c>
      <c r="M391" s="21">
        <v>23524.0</v>
      </c>
      <c r="N391" s="26">
        <v>0.3</v>
      </c>
      <c r="O391" s="26">
        <v>0.3</v>
      </c>
      <c r="P391" s="81" t="s">
        <v>1595</v>
      </c>
      <c r="Q391" s="26">
        <v>0.53</v>
      </c>
      <c r="R391" s="84">
        <v>0.3</v>
      </c>
      <c r="S391" s="22"/>
      <c r="T391" s="16"/>
      <c r="U391" s="82"/>
      <c r="V391" s="37"/>
      <c r="W391" s="37"/>
    </row>
    <row r="392" ht="14.25" customHeight="1">
      <c r="A392" s="83" t="s">
        <v>302</v>
      </c>
      <c r="B392" s="55" t="s">
        <v>880</v>
      </c>
      <c r="C392" s="78" t="s">
        <v>796</v>
      </c>
      <c r="D392" s="78" t="s">
        <v>830</v>
      </c>
      <c r="E392" s="21" t="s">
        <v>879</v>
      </c>
      <c r="F392" s="21" t="s">
        <v>2000</v>
      </c>
      <c r="G392" s="23">
        <v>6100.0</v>
      </c>
      <c r="H392" s="26">
        <v>0.31</v>
      </c>
      <c r="I392" s="79">
        <v>2718.0</v>
      </c>
      <c r="J392" s="79" t="s">
        <v>1601</v>
      </c>
      <c r="K392" s="80" t="s">
        <v>1605</v>
      </c>
      <c r="L392" s="21">
        <v>14700.0</v>
      </c>
      <c r="M392" s="21">
        <v>8818.0</v>
      </c>
      <c r="N392" s="26">
        <v>0.3</v>
      </c>
      <c r="O392" s="26">
        <v>0.3</v>
      </c>
      <c r="P392" s="81" t="s">
        <v>1595</v>
      </c>
      <c r="Q392" s="26">
        <v>0.52</v>
      </c>
      <c r="R392" s="84">
        <v>0.29</v>
      </c>
      <c r="S392" s="22"/>
      <c r="T392" s="16"/>
      <c r="U392" s="82"/>
      <c r="V392" s="37"/>
      <c r="W392" s="37"/>
    </row>
    <row r="393" ht="14.25" customHeight="1">
      <c r="A393" s="83" t="s">
        <v>302</v>
      </c>
      <c r="B393" s="55" t="s">
        <v>882</v>
      </c>
      <c r="C393" s="78" t="s">
        <v>796</v>
      </c>
      <c r="D393" s="78" t="s">
        <v>830</v>
      </c>
      <c r="E393" s="21" t="s">
        <v>881</v>
      </c>
      <c r="F393" s="21" t="s">
        <v>2000</v>
      </c>
      <c r="G393" s="23">
        <v>6100.0</v>
      </c>
      <c r="H393" s="26">
        <v>0.31</v>
      </c>
      <c r="I393" s="79">
        <v>2718.0</v>
      </c>
      <c r="J393" s="79" t="s">
        <v>1601</v>
      </c>
      <c r="K393" s="80" t="s">
        <v>1605</v>
      </c>
      <c r="L393" s="21">
        <v>14700.0</v>
      </c>
      <c r="M393" s="21">
        <v>8818.0</v>
      </c>
      <c r="N393" s="26">
        <v>0.3</v>
      </c>
      <c r="O393" s="26">
        <v>0.3</v>
      </c>
      <c r="P393" s="81" t="s">
        <v>1595</v>
      </c>
      <c r="Q393" s="26">
        <v>0.52</v>
      </c>
      <c r="R393" s="84">
        <v>0.29</v>
      </c>
      <c r="S393" s="22"/>
      <c r="T393" s="16"/>
      <c r="U393" s="82"/>
      <c r="V393" s="37"/>
      <c r="W393" s="37"/>
    </row>
    <row r="394" ht="14.25" customHeight="1">
      <c r="A394" s="83" t="s">
        <v>302</v>
      </c>
      <c r="B394" s="55" t="s">
        <v>884</v>
      </c>
      <c r="C394" s="78" t="s">
        <v>796</v>
      </c>
      <c r="D394" s="78" t="s">
        <v>830</v>
      </c>
      <c r="E394" s="21" t="s">
        <v>883</v>
      </c>
      <c r="F394" s="21" t="s">
        <v>2000</v>
      </c>
      <c r="G394" s="23">
        <v>6274.0</v>
      </c>
      <c r="H394" s="26">
        <v>0.29</v>
      </c>
      <c r="I394" s="79">
        <v>2544.0</v>
      </c>
      <c r="J394" s="79" t="s">
        <v>1601</v>
      </c>
      <c r="K394" s="80" t="s">
        <v>1605</v>
      </c>
      <c r="L394" s="21">
        <v>14700.0</v>
      </c>
      <c r="M394" s="21">
        <v>8818.0</v>
      </c>
      <c r="N394" s="26">
        <v>0.3</v>
      </c>
      <c r="O394" s="26">
        <v>0.3</v>
      </c>
      <c r="P394" s="81" t="s">
        <v>1595</v>
      </c>
      <c r="Q394" s="26">
        <v>0.5</v>
      </c>
      <c r="R394" s="84">
        <v>0.27</v>
      </c>
      <c r="S394" s="22"/>
      <c r="T394" s="37"/>
      <c r="U394" s="82"/>
      <c r="V394" s="37"/>
      <c r="W394" s="37"/>
    </row>
    <row r="395" ht="14.25" customHeight="1">
      <c r="A395" s="83" t="s">
        <v>302</v>
      </c>
      <c r="B395" s="55" t="s">
        <v>886</v>
      </c>
      <c r="C395" s="78" t="s">
        <v>796</v>
      </c>
      <c r="D395" s="78" t="s">
        <v>830</v>
      </c>
      <c r="E395" s="21" t="s">
        <v>885</v>
      </c>
      <c r="F395" s="21" t="s">
        <v>2000</v>
      </c>
      <c r="G395" s="23">
        <v>6177.0</v>
      </c>
      <c r="H395" s="26">
        <v>0.3</v>
      </c>
      <c r="I395" s="79">
        <v>2641.0</v>
      </c>
      <c r="J395" s="79" t="s">
        <v>1601</v>
      </c>
      <c r="K395" s="80" t="s">
        <v>1605</v>
      </c>
      <c r="L395" s="21">
        <v>14700.0</v>
      </c>
      <c r="M395" s="21">
        <v>8818.0</v>
      </c>
      <c r="N395" s="26">
        <v>0.3</v>
      </c>
      <c r="O395" s="26">
        <v>0.3</v>
      </c>
      <c r="P395" s="81" t="s">
        <v>1595</v>
      </c>
      <c r="Q395" s="26">
        <v>0.51</v>
      </c>
      <c r="R395" s="84">
        <v>0.28</v>
      </c>
      <c r="S395" s="22"/>
      <c r="T395" s="37"/>
      <c r="U395" s="82"/>
      <c r="V395" s="37"/>
      <c r="W395" s="37"/>
    </row>
    <row r="396" ht="14.25" customHeight="1">
      <c r="A396" s="83" t="s">
        <v>302</v>
      </c>
      <c r="B396" s="55" t="s">
        <v>888</v>
      </c>
      <c r="C396" s="78" t="s">
        <v>796</v>
      </c>
      <c r="D396" s="78" t="s">
        <v>830</v>
      </c>
      <c r="E396" s="21" t="s">
        <v>887</v>
      </c>
      <c r="F396" s="21" t="s">
        <v>2000</v>
      </c>
      <c r="G396" s="23">
        <v>6100.0</v>
      </c>
      <c r="H396" s="26">
        <v>0.31</v>
      </c>
      <c r="I396" s="79">
        <v>2718.0</v>
      </c>
      <c r="J396" s="79" t="s">
        <v>1601</v>
      </c>
      <c r="K396" s="80" t="s">
        <v>1605</v>
      </c>
      <c r="L396" s="21">
        <v>14700.0</v>
      </c>
      <c r="M396" s="21">
        <v>8818.0</v>
      </c>
      <c r="N396" s="26">
        <v>0.3</v>
      </c>
      <c r="O396" s="26">
        <v>0.3</v>
      </c>
      <c r="P396" s="81" t="s">
        <v>1595</v>
      </c>
      <c r="Q396" s="26">
        <v>0.52</v>
      </c>
      <c r="R396" s="84">
        <v>0.29</v>
      </c>
      <c r="S396" s="22"/>
      <c r="T396" s="16"/>
      <c r="U396" s="82"/>
      <c r="V396" s="37"/>
      <c r="W396" s="37"/>
    </row>
    <row r="397" ht="14.25" customHeight="1">
      <c r="A397" s="83" t="s">
        <v>302</v>
      </c>
      <c r="B397" s="55" t="s">
        <v>890</v>
      </c>
      <c r="C397" s="78" t="s">
        <v>796</v>
      </c>
      <c r="D397" s="78" t="s">
        <v>830</v>
      </c>
      <c r="E397" s="21" t="s">
        <v>889</v>
      </c>
      <c r="F397" s="21" t="s">
        <v>2000</v>
      </c>
      <c r="G397" s="23">
        <v>6100.0</v>
      </c>
      <c r="H397" s="26">
        <v>0.31</v>
      </c>
      <c r="I397" s="79">
        <v>2718.0</v>
      </c>
      <c r="J397" s="79" t="s">
        <v>1601</v>
      </c>
      <c r="K397" s="80" t="s">
        <v>1605</v>
      </c>
      <c r="L397" s="21">
        <v>14700.0</v>
      </c>
      <c r="M397" s="21">
        <v>8818.0</v>
      </c>
      <c r="N397" s="26">
        <v>0.3</v>
      </c>
      <c r="O397" s="26">
        <v>0.3</v>
      </c>
      <c r="P397" s="81" t="s">
        <v>1595</v>
      </c>
      <c r="Q397" s="26">
        <v>0.52</v>
      </c>
      <c r="R397" s="84">
        <v>0.29</v>
      </c>
      <c r="S397" s="37"/>
      <c r="T397" s="37"/>
      <c r="U397" s="82"/>
      <c r="V397" s="37"/>
      <c r="W397" s="37"/>
    </row>
    <row r="398" ht="14.25" customHeight="1">
      <c r="A398" s="83" t="s">
        <v>302</v>
      </c>
      <c r="B398" s="55" t="s">
        <v>892</v>
      </c>
      <c r="C398" s="78" t="s">
        <v>796</v>
      </c>
      <c r="D398" s="78" t="s">
        <v>830</v>
      </c>
      <c r="E398" s="21" t="s">
        <v>891</v>
      </c>
      <c r="F398" s="21" t="s">
        <v>2000</v>
      </c>
      <c r="G398" s="23">
        <v>6434.0</v>
      </c>
      <c r="H398" s="26">
        <v>0.27</v>
      </c>
      <c r="I398" s="79">
        <v>2384.0</v>
      </c>
      <c r="J398" s="79" t="s">
        <v>1601</v>
      </c>
      <c r="K398" s="80" t="s">
        <v>1605</v>
      </c>
      <c r="L398" s="21">
        <v>14700.0</v>
      </c>
      <c r="M398" s="21">
        <v>8818.0</v>
      </c>
      <c r="N398" s="26">
        <v>0.3</v>
      </c>
      <c r="O398" s="26">
        <v>0.3</v>
      </c>
      <c r="P398" s="81" t="s">
        <v>1595</v>
      </c>
      <c r="Q398" s="26">
        <v>0.49</v>
      </c>
      <c r="R398" s="84">
        <v>0.26</v>
      </c>
      <c r="S398" s="37"/>
      <c r="T398" s="37"/>
      <c r="U398" s="82"/>
      <c r="V398" s="37"/>
      <c r="W398" s="37"/>
    </row>
    <row r="399" ht="14.25" customHeight="1">
      <c r="A399" s="83" t="s">
        <v>302</v>
      </c>
      <c r="B399" s="55" t="s">
        <v>894</v>
      </c>
      <c r="C399" s="78" t="s">
        <v>796</v>
      </c>
      <c r="D399" s="78" t="s">
        <v>830</v>
      </c>
      <c r="E399" s="21" t="s">
        <v>893</v>
      </c>
      <c r="F399" s="21" t="s">
        <v>2000</v>
      </c>
      <c r="G399" s="23">
        <v>6166.0</v>
      </c>
      <c r="H399" s="26">
        <v>0.3</v>
      </c>
      <c r="I399" s="79">
        <v>2652.0</v>
      </c>
      <c r="J399" s="79" t="s">
        <v>1601</v>
      </c>
      <c r="K399" s="80" t="s">
        <v>1605</v>
      </c>
      <c r="L399" s="21">
        <v>14700.0</v>
      </c>
      <c r="M399" s="21">
        <v>8818.0</v>
      </c>
      <c r="N399" s="26">
        <v>0.3</v>
      </c>
      <c r="O399" s="26">
        <v>0.3</v>
      </c>
      <c r="P399" s="81" t="s">
        <v>1595</v>
      </c>
      <c r="Q399" s="26">
        <v>0.51</v>
      </c>
      <c r="R399" s="84">
        <v>0.28</v>
      </c>
      <c r="S399" s="37"/>
      <c r="T399" s="37"/>
      <c r="U399" s="82"/>
      <c r="V399" s="37"/>
      <c r="W399" s="37"/>
    </row>
    <row r="400" ht="14.25" customHeight="1">
      <c r="A400" s="83" t="s">
        <v>302</v>
      </c>
      <c r="B400" s="55" t="s">
        <v>897</v>
      </c>
      <c r="C400" s="78" t="s">
        <v>796</v>
      </c>
      <c r="D400" s="78" t="s">
        <v>895</v>
      </c>
      <c r="E400" s="21" t="s">
        <v>2001</v>
      </c>
      <c r="F400" s="21" t="s">
        <v>2002</v>
      </c>
      <c r="G400" s="23">
        <v>29567.0</v>
      </c>
      <c r="H400" s="26">
        <v>0.28</v>
      </c>
      <c r="I400" s="79">
        <v>11604.0</v>
      </c>
      <c r="J400" s="79" t="s">
        <v>1596</v>
      </c>
      <c r="K400" s="80" t="s">
        <v>1599</v>
      </c>
      <c r="L400" s="21">
        <v>58818.0</v>
      </c>
      <c r="M400" s="21">
        <v>41171.0</v>
      </c>
      <c r="N400" s="26">
        <v>0.3</v>
      </c>
      <c r="O400" s="26">
        <v>0.3</v>
      </c>
      <c r="P400" s="81" t="s">
        <v>1595</v>
      </c>
      <c r="Q400" s="26">
        <v>0.5</v>
      </c>
      <c r="R400" s="84">
        <v>0.27</v>
      </c>
      <c r="S400" s="37"/>
      <c r="T400" s="37"/>
      <c r="U400" s="82"/>
      <c r="V400" s="37"/>
      <c r="W400" s="37"/>
    </row>
    <row r="401" ht="14.25" customHeight="1">
      <c r="A401" s="83" t="s">
        <v>302</v>
      </c>
      <c r="B401" s="55" t="s">
        <v>899</v>
      </c>
      <c r="C401" s="78" t="s">
        <v>796</v>
      </c>
      <c r="D401" s="78" t="s">
        <v>895</v>
      </c>
      <c r="E401" s="21" t="s">
        <v>2001</v>
      </c>
      <c r="F401" s="21" t="s">
        <v>2002</v>
      </c>
      <c r="G401" s="23">
        <v>29567.0</v>
      </c>
      <c r="H401" s="26">
        <v>0.28</v>
      </c>
      <c r="I401" s="79">
        <v>11604.0</v>
      </c>
      <c r="J401" s="79" t="s">
        <v>1596</v>
      </c>
      <c r="K401" s="80" t="s">
        <v>1599</v>
      </c>
      <c r="L401" s="21">
        <v>58818.0</v>
      </c>
      <c r="M401" s="21">
        <v>41171.0</v>
      </c>
      <c r="N401" s="26">
        <v>0.3</v>
      </c>
      <c r="O401" s="26">
        <v>0.3</v>
      </c>
      <c r="P401" s="81" t="s">
        <v>1595</v>
      </c>
      <c r="Q401" s="26">
        <v>0.5</v>
      </c>
      <c r="R401" s="84">
        <v>0.27</v>
      </c>
      <c r="S401" s="37"/>
      <c r="T401" s="37"/>
      <c r="U401" s="82"/>
      <c r="V401" s="37"/>
      <c r="W401" s="37"/>
    </row>
    <row r="402" ht="14.25" customHeight="1">
      <c r="A402" s="83" t="s">
        <v>302</v>
      </c>
      <c r="B402" s="55" t="s">
        <v>901</v>
      </c>
      <c r="C402" s="78" t="s">
        <v>796</v>
      </c>
      <c r="D402" s="78" t="s">
        <v>895</v>
      </c>
      <c r="E402" s="21" t="s">
        <v>2001</v>
      </c>
      <c r="F402" s="21" t="s">
        <v>2002</v>
      </c>
      <c r="G402" s="23">
        <v>29567.0</v>
      </c>
      <c r="H402" s="26">
        <v>0.28</v>
      </c>
      <c r="I402" s="79">
        <v>11604.0</v>
      </c>
      <c r="J402" s="79" t="s">
        <v>1596</v>
      </c>
      <c r="K402" s="80" t="s">
        <v>1599</v>
      </c>
      <c r="L402" s="21">
        <v>58818.0</v>
      </c>
      <c r="M402" s="21">
        <v>41171.0</v>
      </c>
      <c r="N402" s="26">
        <v>0.3</v>
      </c>
      <c r="O402" s="26">
        <v>0.3</v>
      </c>
      <c r="P402" s="81" t="s">
        <v>1595</v>
      </c>
      <c r="Q402" s="26">
        <v>0.5</v>
      </c>
      <c r="R402" s="84">
        <v>0.27</v>
      </c>
      <c r="S402" s="37"/>
      <c r="T402" s="37"/>
      <c r="U402" s="82"/>
      <c r="V402" s="37"/>
      <c r="W402" s="37"/>
    </row>
    <row r="403" ht="14.25" customHeight="1">
      <c r="A403" s="83" t="s">
        <v>302</v>
      </c>
      <c r="B403" s="55" t="s">
        <v>903</v>
      </c>
      <c r="C403" s="78" t="s">
        <v>796</v>
      </c>
      <c r="D403" s="78" t="s">
        <v>895</v>
      </c>
      <c r="E403" s="21" t="s">
        <v>2001</v>
      </c>
      <c r="F403" s="21" t="s">
        <v>902</v>
      </c>
      <c r="G403" s="23">
        <v>29567.0</v>
      </c>
      <c r="H403" s="26">
        <v>0.28</v>
      </c>
      <c r="I403" s="79">
        <v>11604.0</v>
      </c>
      <c r="J403" s="79" t="s">
        <v>1596</v>
      </c>
      <c r="K403" s="80" t="s">
        <v>1599</v>
      </c>
      <c r="L403" s="21">
        <v>58818.0</v>
      </c>
      <c r="M403" s="21">
        <v>41171.0</v>
      </c>
      <c r="N403" s="26">
        <v>0.3</v>
      </c>
      <c r="O403" s="26">
        <v>0.3</v>
      </c>
      <c r="P403" s="81" t="s">
        <v>1595</v>
      </c>
      <c r="Q403" s="26">
        <v>0.5</v>
      </c>
      <c r="R403" s="84">
        <v>0.27</v>
      </c>
      <c r="S403" s="37"/>
      <c r="T403" s="37"/>
      <c r="U403" s="82"/>
      <c r="V403" s="37"/>
      <c r="W403" s="37"/>
    </row>
    <row r="404" ht="14.25" customHeight="1">
      <c r="A404" s="83" t="s">
        <v>302</v>
      </c>
      <c r="B404" s="55" t="s">
        <v>905</v>
      </c>
      <c r="C404" s="78" t="s">
        <v>796</v>
      </c>
      <c r="D404" s="78" t="s">
        <v>895</v>
      </c>
      <c r="E404" s="21" t="s">
        <v>2001</v>
      </c>
      <c r="F404" s="21" t="s">
        <v>2002</v>
      </c>
      <c r="G404" s="23">
        <v>29567.0</v>
      </c>
      <c r="H404" s="26">
        <v>0.28</v>
      </c>
      <c r="I404" s="79">
        <v>11604.0</v>
      </c>
      <c r="J404" s="79" t="s">
        <v>1596</v>
      </c>
      <c r="K404" s="80" t="s">
        <v>1599</v>
      </c>
      <c r="L404" s="21">
        <v>58818.0</v>
      </c>
      <c r="M404" s="21">
        <v>41171.0</v>
      </c>
      <c r="N404" s="26">
        <v>0.3</v>
      </c>
      <c r="O404" s="26">
        <v>0.3</v>
      </c>
      <c r="P404" s="81" t="s">
        <v>1595</v>
      </c>
      <c r="Q404" s="26">
        <v>0.5</v>
      </c>
      <c r="R404" s="84">
        <v>0.27</v>
      </c>
      <c r="S404" s="37"/>
      <c r="T404" s="37"/>
      <c r="U404" s="82"/>
      <c r="V404" s="37"/>
      <c r="W404" s="37"/>
    </row>
    <row r="405" ht="14.25" customHeight="1">
      <c r="A405" s="83" t="s">
        <v>302</v>
      </c>
      <c r="B405" s="55" t="s">
        <v>907</v>
      </c>
      <c r="C405" s="78" t="s">
        <v>796</v>
      </c>
      <c r="D405" s="78" t="s">
        <v>895</v>
      </c>
      <c r="E405" s="21" t="s">
        <v>2001</v>
      </c>
      <c r="F405" s="21" t="s">
        <v>2002</v>
      </c>
      <c r="G405" s="23">
        <v>29567.0</v>
      </c>
      <c r="H405" s="26">
        <v>0.28</v>
      </c>
      <c r="I405" s="79">
        <v>11604.0</v>
      </c>
      <c r="J405" s="79" t="s">
        <v>1596</v>
      </c>
      <c r="K405" s="80" t="s">
        <v>1599</v>
      </c>
      <c r="L405" s="21">
        <v>58818.0</v>
      </c>
      <c r="M405" s="21">
        <v>41171.0</v>
      </c>
      <c r="N405" s="26">
        <v>0.3</v>
      </c>
      <c r="O405" s="26">
        <v>0.3</v>
      </c>
      <c r="P405" s="81" t="s">
        <v>1595</v>
      </c>
      <c r="Q405" s="26">
        <v>0.5</v>
      </c>
      <c r="R405" s="84">
        <v>0.27</v>
      </c>
      <c r="S405" s="37"/>
      <c r="T405" s="37"/>
      <c r="U405" s="82"/>
      <c r="V405" s="37"/>
      <c r="W405" s="37"/>
    </row>
    <row r="406" ht="14.25" customHeight="1">
      <c r="A406" s="83" t="s">
        <v>302</v>
      </c>
      <c r="B406" s="55" t="s">
        <v>909</v>
      </c>
      <c r="C406" s="78" t="s">
        <v>796</v>
      </c>
      <c r="D406" s="78" t="s">
        <v>895</v>
      </c>
      <c r="E406" s="21" t="s">
        <v>2001</v>
      </c>
      <c r="F406" s="21" t="s">
        <v>2002</v>
      </c>
      <c r="G406" s="23">
        <v>29567.0</v>
      </c>
      <c r="H406" s="26">
        <v>0.28</v>
      </c>
      <c r="I406" s="79">
        <v>11604.0</v>
      </c>
      <c r="J406" s="79" t="s">
        <v>1596</v>
      </c>
      <c r="K406" s="80" t="s">
        <v>1599</v>
      </c>
      <c r="L406" s="21">
        <v>58818.0</v>
      </c>
      <c r="M406" s="21">
        <v>41171.0</v>
      </c>
      <c r="N406" s="26">
        <v>0.3</v>
      </c>
      <c r="O406" s="26">
        <v>0.3</v>
      </c>
      <c r="P406" s="81" t="s">
        <v>1595</v>
      </c>
      <c r="Q406" s="26">
        <v>0.5</v>
      </c>
      <c r="R406" s="84">
        <v>0.27</v>
      </c>
      <c r="S406" s="94"/>
      <c r="T406" s="94"/>
      <c r="U406" s="82"/>
      <c r="V406" s="37"/>
      <c r="W406" s="37"/>
    </row>
    <row r="407" ht="14.25" customHeight="1">
      <c r="A407" s="83" t="s">
        <v>302</v>
      </c>
      <c r="B407" s="55" t="s">
        <v>911</v>
      </c>
      <c r="C407" s="78" t="s">
        <v>796</v>
      </c>
      <c r="D407" s="78" t="s">
        <v>895</v>
      </c>
      <c r="E407" s="21" t="s">
        <v>2001</v>
      </c>
      <c r="F407" s="21" t="s">
        <v>910</v>
      </c>
      <c r="G407" s="23">
        <v>29567.0</v>
      </c>
      <c r="H407" s="26">
        <v>0.28</v>
      </c>
      <c r="I407" s="79">
        <v>11604.0</v>
      </c>
      <c r="J407" s="79" t="s">
        <v>1596</v>
      </c>
      <c r="K407" s="80" t="s">
        <v>1599</v>
      </c>
      <c r="L407" s="21">
        <v>58818.0</v>
      </c>
      <c r="M407" s="21">
        <v>41171.0</v>
      </c>
      <c r="N407" s="26">
        <v>0.3</v>
      </c>
      <c r="O407" s="26">
        <v>0.3</v>
      </c>
      <c r="P407" s="81" t="s">
        <v>1595</v>
      </c>
      <c r="Q407" s="26">
        <v>0.5</v>
      </c>
      <c r="R407" s="84">
        <v>0.27</v>
      </c>
      <c r="S407" s="23"/>
      <c r="T407" s="89"/>
      <c r="U407" s="82"/>
      <c r="V407" s="37"/>
      <c r="W407" s="37"/>
    </row>
    <row r="408" ht="14.25" customHeight="1">
      <c r="A408" s="83" t="s">
        <v>302</v>
      </c>
      <c r="B408" s="55" t="s">
        <v>913</v>
      </c>
      <c r="C408" s="78" t="s">
        <v>796</v>
      </c>
      <c r="D408" s="78" t="s">
        <v>895</v>
      </c>
      <c r="E408" s="21" t="s">
        <v>2003</v>
      </c>
      <c r="F408" s="21" t="s">
        <v>2004</v>
      </c>
      <c r="G408" s="23">
        <v>22503.0</v>
      </c>
      <c r="H408" s="26">
        <v>0.45</v>
      </c>
      <c r="I408" s="79">
        <v>18668.0</v>
      </c>
      <c r="J408" s="79" t="s">
        <v>1596</v>
      </c>
      <c r="K408" s="80" t="s">
        <v>1599</v>
      </c>
      <c r="L408" s="21">
        <v>58818.0</v>
      </c>
      <c r="M408" s="21">
        <v>41171.0</v>
      </c>
      <c r="N408" s="26">
        <v>0.3</v>
      </c>
      <c r="O408" s="26">
        <v>0.3</v>
      </c>
      <c r="P408" s="81" t="s">
        <v>1595</v>
      </c>
      <c r="Q408" s="26">
        <v>0.62</v>
      </c>
      <c r="R408" s="84">
        <v>0.39</v>
      </c>
      <c r="S408" s="23"/>
      <c r="T408" s="89"/>
      <c r="U408" s="82"/>
      <c r="V408" s="37"/>
      <c r="W408" s="37"/>
    </row>
    <row r="409" ht="14.25" customHeight="1">
      <c r="A409" s="83" t="s">
        <v>302</v>
      </c>
      <c r="B409" s="55" t="s">
        <v>915</v>
      </c>
      <c r="C409" s="78" t="s">
        <v>796</v>
      </c>
      <c r="D409" s="78" t="s">
        <v>895</v>
      </c>
      <c r="E409" s="21" t="s">
        <v>2003</v>
      </c>
      <c r="F409" s="21" t="s">
        <v>2004</v>
      </c>
      <c r="G409" s="23">
        <v>21445.0</v>
      </c>
      <c r="H409" s="26">
        <v>0.48</v>
      </c>
      <c r="I409" s="79">
        <v>19726.0</v>
      </c>
      <c r="J409" s="79" t="s">
        <v>1596</v>
      </c>
      <c r="K409" s="80" t="s">
        <v>1599</v>
      </c>
      <c r="L409" s="21">
        <v>58818.0</v>
      </c>
      <c r="M409" s="21">
        <v>41171.0</v>
      </c>
      <c r="N409" s="26">
        <v>0.3</v>
      </c>
      <c r="O409" s="26">
        <v>0.3</v>
      </c>
      <c r="P409" s="81" t="s">
        <v>1595</v>
      </c>
      <c r="Q409" s="26">
        <v>0.64</v>
      </c>
      <c r="R409" s="84">
        <v>0.41</v>
      </c>
      <c r="S409" s="23"/>
      <c r="T409" s="89"/>
      <c r="U409" s="82"/>
      <c r="V409" s="37"/>
      <c r="W409" s="37"/>
    </row>
    <row r="410" ht="14.25" customHeight="1">
      <c r="A410" s="83" t="s">
        <v>302</v>
      </c>
      <c r="B410" s="55" t="s">
        <v>917</v>
      </c>
      <c r="C410" s="78" t="s">
        <v>796</v>
      </c>
      <c r="D410" s="78" t="s">
        <v>895</v>
      </c>
      <c r="E410" s="21" t="s">
        <v>2003</v>
      </c>
      <c r="F410" s="21" t="s">
        <v>2004</v>
      </c>
      <c r="G410" s="23">
        <v>21445.0</v>
      </c>
      <c r="H410" s="26">
        <v>0.48</v>
      </c>
      <c r="I410" s="79">
        <v>19726.0</v>
      </c>
      <c r="J410" s="79" t="s">
        <v>1596</v>
      </c>
      <c r="K410" s="80" t="s">
        <v>1599</v>
      </c>
      <c r="L410" s="21">
        <v>58818.0</v>
      </c>
      <c r="M410" s="21">
        <v>41171.0</v>
      </c>
      <c r="N410" s="26">
        <v>0.3</v>
      </c>
      <c r="O410" s="26">
        <v>0.3</v>
      </c>
      <c r="P410" s="81" t="s">
        <v>1595</v>
      </c>
      <c r="Q410" s="26">
        <v>0.64</v>
      </c>
      <c r="R410" s="84">
        <v>0.41</v>
      </c>
      <c r="S410" s="23"/>
      <c r="T410" s="89"/>
      <c r="U410" s="82"/>
      <c r="V410" s="37"/>
      <c r="W410" s="37"/>
    </row>
    <row r="411" ht="14.25" customHeight="1">
      <c r="A411" s="83" t="s">
        <v>302</v>
      </c>
      <c r="B411" s="55" t="s">
        <v>919</v>
      </c>
      <c r="C411" s="78" t="s">
        <v>796</v>
      </c>
      <c r="D411" s="78" t="s">
        <v>895</v>
      </c>
      <c r="E411" s="21" t="s">
        <v>2003</v>
      </c>
      <c r="F411" s="21" t="s">
        <v>918</v>
      </c>
      <c r="G411" s="23">
        <v>21445.0</v>
      </c>
      <c r="H411" s="26">
        <v>0.48</v>
      </c>
      <c r="I411" s="79">
        <v>19726.0</v>
      </c>
      <c r="J411" s="79" t="s">
        <v>1596</v>
      </c>
      <c r="K411" s="80" t="s">
        <v>1599</v>
      </c>
      <c r="L411" s="21">
        <v>58818.0</v>
      </c>
      <c r="M411" s="21">
        <v>41171.0</v>
      </c>
      <c r="N411" s="26">
        <v>0.3</v>
      </c>
      <c r="O411" s="26">
        <v>0.3</v>
      </c>
      <c r="P411" s="81" t="s">
        <v>1595</v>
      </c>
      <c r="Q411" s="26">
        <v>0.64</v>
      </c>
      <c r="R411" s="84">
        <v>0.41</v>
      </c>
      <c r="S411" s="23"/>
      <c r="T411" s="89"/>
      <c r="U411" s="82"/>
      <c r="V411" s="37"/>
      <c r="W411" s="37"/>
    </row>
    <row r="412" ht="14.25" customHeight="1">
      <c r="A412" s="83" t="s">
        <v>302</v>
      </c>
      <c r="B412" s="55" t="s">
        <v>921</v>
      </c>
      <c r="C412" s="78" t="s">
        <v>796</v>
      </c>
      <c r="D412" s="78" t="s">
        <v>895</v>
      </c>
      <c r="E412" s="21" t="s">
        <v>2003</v>
      </c>
      <c r="F412" s="21" t="s">
        <v>2004</v>
      </c>
      <c r="G412" s="23">
        <v>21445.0</v>
      </c>
      <c r="H412" s="26">
        <v>0.48</v>
      </c>
      <c r="I412" s="79">
        <v>19726.0</v>
      </c>
      <c r="J412" s="79" t="s">
        <v>1596</v>
      </c>
      <c r="K412" s="80" t="s">
        <v>1599</v>
      </c>
      <c r="L412" s="21">
        <v>58818.0</v>
      </c>
      <c r="M412" s="21">
        <v>41171.0</v>
      </c>
      <c r="N412" s="26">
        <v>0.3</v>
      </c>
      <c r="O412" s="26">
        <v>0.3</v>
      </c>
      <c r="P412" s="81" t="s">
        <v>1595</v>
      </c>
      <c r="Q412" s="26">
        <v>0.64</v>
      </c>
      <c r="R412" s="84">
        <v>0.41</v>
      </c>
      <c r="S412" s="23"/>
      <c r="T412" s="89"/>
      <c r="U412" s="82"/>
      <c r="V412" s="37"/>
      <c r="W412" s="37"/>
    </row>
    <row r="413" ht="14.25" customHeight="1">
      <c r="A413" s="83" t="s">
        <v>302</v>
      </c>
      <c r="B413" s="55" t="s">
        <v>923</v>
      </c>
      <c r="C413" s="78" t="s">
        <v>796</v>
      </c>
      <c r="D413" s="78" t="s">
        <v>895</v>
      </c>
      <c r="E413" s="21" t="s">
        <v>2003</v>
      </c>
      <c r="F413" s="21" t="s">
        <v>2004</v>
      </c>
      <c r="G413" s="23">
        <v>21445.0</v>
      </c>
      <c r="H413" s="26">
        <v>0.48</v>
      </c>
      <c r="I413" s="79">
        <v>19726.0</v>
      </c>
      <c r="J413" s="79" t="s">
        <v>1596</v>
      </c>
      <c r="K413" s="80" t="s">
        <v>1599</v>
      </c>
      <c r="L413" s="21">
        <v>58818.0</v>
      </c>
      <c r="M413" s="21">
        <v>41171.0</v>
      </c>
      <c r="N413" s="26">
        <v>0.3</v>
      </c>
      <c r="O413" s="26">
        <v>0.3</v>
      </c>
      <c r="P413" s="81" t="s">
        <v>1595</v>
      </c>
      <c r="Q413" s="26">
        <v>0.64</v>
      </c>
      <c r="R413" s="84">
        <v>0.41</v>
      </c>
      <c r="S413" s="23"/>
      <c r="T413" s="89"/>
      <c r="U413" s="82"/>
      <c r="V413" s="37"/>
      <c r="W413" s="37"/>
    </row>
    <row r="414" ht="14.25" customHeight="1">
      <c r="A414" s="83" t="s">
        <v>302</v>
      </c>
      <c r="B414" s="55" t="s">
        <v>925</v>
      </c>
      <c r="C414" s="78" t="s">
        <v>796</v>
      </c>
      <c r="D414" s="78" t="s">
        <v>895</v>
      </c>
      <c r="E414" s="21" t="s">
        <v>2003</v>
      </c>
      <c r="F414" s="21" t="s">
        <v>2004</v>
      </c>
      <c r="G414" s="23">
        <v>21445.0</v>
      </c>
      <c r="H414" s="26">
        <v>0.48</v>
      </c>
      <c r="I414" s="79">
        <v>19726.0</v>
      </c>
      <c r="J414" s="79" t="s">
        <v>1596</v>
      </c>
      <c r="K414" s="80" t="s">
        <v>1599</v>
      </c>
      <c r="L414" s="21">
        <v>58818.0</v>
      </c>
      <c r="M414" s="21">
        <v>41171.0</v>
      </c>
      <c r="N414" s="26">
        <v>0.3</v>
      </c>
      <c r="O414" s="26">
        <v>0.3</v>
      </c>
      <c r="P414" s="81" t="s">
        <v>1595</v>
      </c>
      <c r="Q414" s="26">
        <v>0.64</v>
      </c>
      <c r="R414" s="84">
        <v>0.41</v>
      </c>
      <c r="S414" s="23"/>
      <c r="T414" s="89"/>
      <c r="U414" s="82"/>
      <c r="V414" s="37"/>
      <c r="W414" s="37"/>
    </row>
    <row r="415" ht="14.25" customHeight="1">
      <c r="A415" s="83" t="s">
        <v>302</v>
      </c>
      <c r="B415" s="55" t="s">
        <v>927</v>
      </c>
      <c r="C415" s="78" t="s">
        <v>796</v>
      </c>
      <c r="D415" s="78" t="s">
        <v>895</v>
      </c>
      <c r="E415" s="21" t="s">
        <v>2003</v>
      </c>
      <c r="F415" s="21" t="s">
        <v>2004</v>
      </c>
      <c r="G415" s="23">
        <v>21445.0</v>
      </c>
      <c r="H415" s="26">
        <v>0.48</v>
      </c>
      <c r="I415" s="79">
        <v>19725.0</v>
      </c>
      <c r="J415" s="79" t="s">
        <v>1596</v>
      </c>
      <c r="K415" s="80" t="s">
        <v>1599</v>
      </c>
      <c r="L415" s="21">
        <v>58818.0</v>
      </c>
      <c r="M415" s="21">
        <v>41171.0</v>
      </c>
      <c r="N415" s="26">
        <v>0.3</v>
      </c>
      <c r="O415" s="26">
        <v>0.3</v>
      </c>
      <c r="P415" s="81" t="s">
        <v>1595</v>
      </c>
      <c r="Q415" s="26">
        <v>0.64</v>
      </c>
      <c r="R415" s="84">
        <v>0.41</v>
      </c>
      <c r="S415" s="23"/>
      <c r="T415" s="89"/>
      <c r="U415" s="82"/>
      <c r="V415" s="37"/>
      <c r="W415" s="37"/>
    </row>
    <row r="416" ht="14.25" customHeight="1">
      <c r="A416" s="83" t="s">
        <v>302</v>
      </c>
      <c r="B416" s="55" t="s">
        <v>929</v>
      </c>
      <c r="C416" s="78" t="s">
        <v>796</v>
      </c>
      <c r="D416" s="78" t="s">
        <v>895</v>
      </c>
      <c r="E416" s="21" t="s">
        <v>2003</v>
      </c>
      <c r="F416" s="21" t="s">
        <v>2005</v>
      </c>
      <c r="G416" s="23">
        <v>28202.0</v>
      </c>
      <c r="H416" s="26">
        <v>0.47</v>
      </c>
      <c r="I416" s="79">
        <v>24733.0</v>
      </c>
      <c r="J416" s="79" t="s">
        <v>1597</v>
      </c>
      <c r="K416" s="80" t="s">
        <v>1628</v>
      </c>
      <c r="L416" s="21">
        <v>70582.0</v>
      </c>
      <c r="M416" s="21">
        <v>52935.0</v>
      </c>
      <c r="N416" s="26">
        <v>0.3</v>
      </c>
      <c r="O416" s="26">
        <v>0.3</v>
      </c>
      <c r="P416" s="81" t="s">
        <v>1595</v>
      </c>
      <c r="Q416" s="26">
        <v>0.63</v>
      </c>
      <c r="R416" s="84">
        <v>0.4</v>
      </c>
      <c r="S416" s="23"/>
      <c r="T416" s="89"/>
      <c r="U416" s="82"/>
      <c r="V416" s="37"/>
      <c r="W416" s="37"/>
    </row>
    <row r="417" ht="14.25" customHeight="1">
      <c r="A417" s="83" t="s">
        <v>302</v>
      </c>
      <c r="B417" s="55" t="s">
        <v>931</v>
      </c>
      <c r="C417" s="78" t="s">
        <v>796</v>
      </c>
      <c r="D417" s="78" t="s">
        <v>895</v>
      </c>
      <c r="E417" s="21" t="s">
        <v>2003</v>
      </c>
      <c r="F417" s="21" t="s">
        <v>2005</v>
      </c>
      <c r="G417" s="23">
        <v>28202.0</v>
      </c>
      <c r="H417" s="26">
        <v>0.47</v>
      </c>
      <c r="I417" s="79">
        <v>24733.0</v>
      </c>
      <c r="J417" s="79" t="s">
        <v>1597</v>
      </c>
      <c r="K417" s="80" t="s">
        <v>1628</v>
      </c>
      <c r="L417" s="21">
        <v>70582.0</v>
      </c>
      <c r="M417" s="21">
        <v>52935.0</v>
      </c>
      <c r="N417" s="26">
        <v>0.3</v>
      </c>
      <c r="O417" s="26">
        <v>0.3</v>
      </c>
      <c r="P417" s="81" t="s">
        <v>1595</v>
      </c>
      <c r="Q417" s="26">
        <v>0.63</v>
      </c>
      <c r="R417" s="84">
        <v>0.4</v>
      </c>
      <c r="S417" s="23"/>
      <c r="T417" s="89"/>
      <c r="U417" s="82"/>
      <c r="V417" s="37"/>
      <c r="W417" s="37"/>
    </row>
    <row r="418" ht="14.25" customHeight="1">
      <c r="A418" s="83" t="s">
        <v>302</v>
      </c>
      <c r="B418" s="55" t="s">
        <v>933</v>
      </c>
      <c r="C418" s="78" t="s">
        <v>796</v>
      </c>
      <c r="D418" s="78" t="s">
        <v>895</v>
      </c>
      <c r="E418" s="21" t="s">
        <v>2003</v>
      </c>
      <c r="F418" s="21" t="s">
        <v>2005</v>
      </c>
      <c r="G418" s="23">
        <v>28202.0</v>
      </c>
      <c r="H418" s="26">
        <v>0.47</v>
      </c>
      <c r="I418" s="79">
        <v>24733.0</v>
      </c>
      <c r="J418" s="79" t="s">
        <v>1597</v>
      </c>
      <c r="K418" s="80" t="s">
        <v>1628</v>
      </c>
      <c r="L418" s="21">
        <v>70582.0</v>
      </c>
      <c r="M418" s="21">
        <v>52935.0</v>
      </c>
      <c r="N418" s="26">
        <v>0.3</v>
      </c>
      <c r="O418" s="26">
        <v>0.3</v>
      </c>
      <c r="P418" s="81" t="s">
        <v>1595</v>
      </c>
      <c r="Q418" s="26">
        <v>0.63</v>
      </c>
      <c r="R418" s="84">
        <v>0.4</v>
      </c>
      <c r="S418" s="23"/>
      <c r="T418" s="89"/>
      <c r="U418" s="82"/>
      <c r="V418" s="37"/>
      <c r="W418" s="37"/>
    </row>
    <row r="419" ht="14.25" customHeight="1">
      <c r="A419" s="83" t="s">
        <v>302</v>
      </c>
      <c r="B419" s="55" t="s">
        <v>935</v>
      </c>
      <c r="C419" s="78" t="s">
        <v>796</v>
      </c>
      <c r="D419" s="78" t="s">
        <v>895</v>
      </c>
      <c r="E419" s="21" t="s">
        <v>2003</v>
      </c>
      <c r="F419" s="21" t="s">
        <v>2005</v>
      </c>
      <c r="G419" s="23">
        <v>28202.0</v>
      </c>
      <c r="H419" s="26">
        <v>0.47</v>
      </c>
      <c r="I419" s="79">
        <v>24733.0</v>
      </c>
      <c r="J419" s="79" t="s">
        <v>1597</v>
      </c>
      <c r="K419" s="80" t="s">
        <v>1628</v>
      </c>
      <c r="L419" s="21">
        <v>70582.0</v>
      </c>
      <c r="M419" s="21">
        <v>52935.0</v>
      </c>
      <c r="N419" s="26">
        <v>0.3</v>
      </c>
      <c r="O419" s="26">
        <v>0.3</v>
      </c>
      <c r="P419" s="81" t="s">
        <v>1595</v>
      </c>
      <c r="Q419" s="26">
        <v>0.63</v>
      </c>
      <c r="R419" s="84">
        <v>0.4</v>
      </c>
      <c r="S419" s="23"/>
      <c r="T419" s="89"/>
      <c r="U419" s="82"/>
      <c r="V419" s="37"/>
      <c r="W419" s="37"/>
    </row>
    <row r="420" ht="14.25" customHeight="1">
      <c r="A420" s="83" t="s">
        <v>302</v>
      </c>
      <c r="B420" s="55" t="s">
        <v>956</v>
      </c>
      <c r="C420" s="78" t="s">
        <v>796</v>
      </c>
      <c r="D420" s="78" t="s">
        <v>954</v>
      </c>
      <c r="E420" s="21" t="s">
        <v>2006</v>
      </c>
      <c r="F420" s="21" t="s">
        <v>2007</v>
      </c>
      <c r="G420" s="23">
        <v>15472.0</v>
      </c>
      <c r="H420" s="26">
        <v>0.34</v>
      </c>
      <c r="I420" s="79">
        <v>8052.0</v>
      </c>
      <c r="J420" s="79" t="s">
        <v>1594</v>
      </c>
      <c r="K420" s="80" t="s">
        <v>1608</v>
      </c>
      <c r="L420" s="21">
        <v>35288.0</v>
      </c>
      <c r="M420" s="21">
        <v>23524.0</v>
      </c>
      <c r="N420" s="26">
        <v>0.3</v>
      </c>
      <c r="O420" s="26">
        <v>0.3</v>
      </c>
      <c r="P420" s="81" t="s">
        <v>1595</v>
      </c>
      <c r="Q420" s="26">
        <v>0.54</v>
      </c>
      <c r="R420" s="84">
        <v>0.31</v>
      </c>
      <c r="S420" s="23"/>
      <c r="T420" s="89"/>
      <c r="U420" s="82"/>
      <c r="V420" s="37"/>
      <c r="W420" s="37"/>
    </row>
    <row r="421" ht="14.25" customHeight="1">
      <c r="A421" s="83" t="s">
        <v>302</v>
      </c>
      <c r="B421" s="55" t="s">
        <v>958</v>
      </c>
      <c r="C421" s="78" t="s">
        <v>796</v>
      </c>
      <c r="D421" s="78" t="s">
        <v>954</v>
      </c>
      <c r="E421" s="21" t="s">
        <v>2006</v>
      </c>
      <c r="F421" s="21" t="s">
        <v>2007</v>
      </c>
      <c r="G421" s="23">
        <v>15472.0</v>
      </c>
      <c r="H421" s="26">
        <v>0.34</v>
      </c>
      <c r="I421" s="79">
        <v>8052.0</v>
      </c>
      <c r="J421" s="79" t="s">
        <v>1594</v>
      </c>
      <c r="K421" s="80" t="s">
        <v>1608</v>
      </c>
      <c r="L421" s="21">
        <v>35288.0</v>
      </c>
      <c r="M421" s="21">
        <v>23524.0</v>
      </c>
      <c r="N421" s="26">
        <v>0.3</v>
      </c>
      <c r="O421" s="26">
        <v>0.3</v>
      </c>
      <c r="P421" s="81" t="s">
        <v>1595</v>
      </c>
      <c r="Q421" s="26">
        <v>0.54</v>
      </c>
      <c r="R421" s="84">
        <v>0.31</v>
      </c>
      <c r="S421" s="23"/>
      <c r="T421" s="89"/>
      <c r="U421" s="82"/>
      <c r="V421" s="37"/>
      <c r="W421" s="37"/>
    </row>
    <row r="422" ht="14.25" customHeight="1">
      <c r="A422" s="83" t="s">
        <v>302</v>
      </c>
      <c r="B422" s="55" t="s">
        <v>960</v>
      </c>
      <c r="C422" s="78" t="s">
        <v>796</v>
      </c>
      <c r="D422" s="78" t="s">
        <v>954</v>
      </c>
      <c r="E422" s="21" t="s">
        <v>2006</v>
      </c>
      <c r="F422" s="21" t="s">
        <v>2007</v>
      </c>
      <c r="G422" s="23">
        <v>15472.0</v>
      </c>
      <c r="H422" s="26">
        <v>0.34</v>
      </c>
      <c r="I422" s="79">
        <v>8052.0</v>
      </c>
      <c r="J422" s="79" t="s">
        <v>1594</v>
      </c>
      <c r="K422" s="80" t="s">
        <v>1608</v>
      </c>
      <c r="L422" s="21">
        <v>35288.0</v>
      </c>
      <c r="M422" s="21">
        <v>23524.0</v>
      </c>
      <c r="N422" s="26">
        <v>0.3</v>
      </c>
      <c r="O422" s="26">
        <v>0.3</v>
      </c>
      <c r="P422" s="81" t="s">
        <v>1595</v>
      </c>
      <c r="Q422" s="26">
        <v>0.54</v>
      </c>
      <c r="R422" s="84">
        <v>0.31</v>
      </c>
      <c r="S422" s="23"/>
      <c r="T422" s="89"/>
      <c r="U422" s="82"/>
      <c r="V422" s="37"/>
      <c r="W422" s="37"/>
    </row>
    <row r="423" ht="14.25" customHeight="1">
      <c r="A423" s="83" t="s">
        <v>302</v>
      </c>
      <c r="B423" s="55" t="s">
        <v>962</v>
      </c>
      <c r="C423" s="78" t="s">
        <v>796</v>
      </c>
      <c r="D423" s="78" t="s">
        <v>954</v>
      </c>
      <c r="E423" s="21" t="s">
        <v>2006</v>
      </c>
      <c r="F423" s="21" t="s">
        <v>2007</v>
      </c>
      <c r="G423" s="23">
        <v>15472.0</v>
      </c>
      <c r="H423" s="26">
        <v>0.34</v>
      </c>
      <c r="I423" s="79">
        <v>8052.0</v>
      </c>
      <c r="J423" s="79" t="s">
        <v>1594</v>
      </c>
      <c r="K423" s="80" t="s">
        <v>1608</v>
      </c>
      <c r="L423" s="21">
        <v>35288.0</v>
      </c>
      <c r="M423" s="21">
        <v>23524.0</v>
      </c>
      <c r="N423" s="26">
        <v>0.3</v>
      </c>
      <c r="O423" s="26">
        <v>0.3</v>
      </c>
      <c r="P423" s="81" t="s">
        <v>1595</v>
      </c>
      <c r="Q423" s="26">
        <v>0.54</v>
      </c>
      <c r="R423" s="84">
        <v>0.31</v>
      </c>
      <c r="S423" s="23"/>
      <c r="T423" s="89"/>
      <c r="U423" s="82"/>
      <c r="V423" s="37"/>
      <c r="W423" s="37"/>
    </row>
    <row r="424" ht="14.25" customHeight="1">
      <c r="A424" s="83" t="s">
        <v>302</v>
      </c>
      <c r="B424" s="55" t="s">
        <v>964</v>
      </c>
      <c r="C424" s="78" t="s">
        <v>796</v>
      </c>
      <c r="D424" s="78" t="s">
        <v>954</v>
      </c>
      <c r="E424" s="21" t="s">
        <v>2006</v>
      </c>
      <c r="F424" s="21" t="s">
        <v>2007</v>
      </c>
      <c r="G424" s="23">
        <v>15472.0</v>
      </c>
      <c r="H424" s="26">
        <v>0.34</v>
      </c>
      <c r="I424" s="79">
        <v>8052.0</v>
      </c>
      <c r="J424" s="79" t="s">
        <v>1594</v>
      </c>
      <c r="K424" s="80" t="s">
        <v>1608</v>
      </c>
      <c r="L424" s="21">
        <v>35288.0</v>
      </c>
      <c r="M424" s="21">
        <v>23524.0</v>
      </c>
      <c r="N424" s="26">
        <v>0.3</v>
      </c>
      <c r="O424" s="26">
        <v>0.3</v>
      </c>
      <c r="P424" s="81" t="s">
        <v>1595</v>
      </c>
      <c r="Q424" s="26">
        <v>0.54</v>
      </c>
      <c r="R424" s="84">
        <v>0.31</v>
      </c>
      <c r="S424" s="37"/>
      <c r="T424" s="37"/>
      <c r="U424" s="82"/>
      <c r="V424" s="37"/>
      <c r="W424" s="37"/>
    </row>
    <row r="425" ht="14.25" customHeight="1">
      <c r="A425" s="83" t="s">
        <v>302</v>
      </c>
      <c r="B425" s="55" t="s">
        <v>966</v>
      </c>
      <c r="C425" s="78" t="s">
        <v>796</v>
      </c>
      <c r="D425" s="78" t="s">
        <v>954</v>
      </c>
      <c r="E425" s="21" t="s">
        <v>2006</v>
      </c>
      <c r="F425" s="21" t="s">
        <v>2007</v>
      </c>
      <c r="G425" s="23">
        <v>15472.0</v>
      </c>
      <c r="H425" s="26">
        <v>0.34</v>
      </c>
      <c r="I425" s="79">
        <v>8052.0</v>
      </c>
      <c r="J425" s="79" t="s">
        <v>1594</v>
      </c>
      <c r="K425" s="80" t="s">
        <v>1608</v>
      </c>
      <c r="L425" s="21">
        <v>35288.0</v>
      </c>
      <c r="M425" s="21">
        <v>23524.0</v>
      </c>
      <c r="N425" s="26">
        <v>0.3</v>
      </c>
      <c r="O425" s="26">
        <v>0.3</v>
      </c>
      <c r="P425" s="81" t="s">
        <v>1595</v>
      </c>
      <c r="Q425" s="26">
        <v>0.54</v>
      </c>
      <c r="R425" s="84">
        <v>0.31</v>
      </c>
      <c r="S425" s="23"/>
      <c r="T425" s="89"/>
      <c r="U425" s="82"/>
      <c r="V425" s="37"/>
      <c r="W425" s="37"/>
    </row>
    <row r="426" ht="14.25" customHeight="1">
      <c r="A426" s="83" t="s">
        <v>302</v>
      </c>
      <c r="B426" s="55" t="s">
        <v>968</v>
      </c>
      <c r="C426" s="78" t="s">
        <v>796</v>
      </c>
      <c r="D426" s="78" t="s">
        <v>954</v>
      </c>
      <c r="E426" s="21" t="s">
        <v>2006</v>
      </c>
      <c r="F426" s="21" t="s">
        <v>2007</v>
      </c>
      <c r="G426" s="23">
        <v>15472.0</v>
      </c>
      <c r="H426" s="26">
        <v>0.34</v>
      </c>
      <c r="I426" s="79">
        <v>8052.0</v>
      </c>
      <c r="J426" s="79" t="s">
        <v>1594</v>
      </c>
      <c r="K426" s="80" t="s">
        <v>1608</v>
      </c>
      <c r="L426" s="21">
        <v>35288.0</v>
      </c>
      <c r="M426" s="21">
        <v>23524.0</v>
      </c>
      <c r="N426" s="26">
        <v>0.3</v>
      </c>
      <c r="O426" s="26">
        <v>0.3</v>
      </c>
      <c r="P426" s="81" t="s">
        <v>1595</v>
      </c>
      <c r="Q426" s="26">
        <v>0.54</v>
      </c>
      <c r="R426" s="84">
        <v>0.31</v>
      </c>
      <c r="S426" s="23"/>
      <c r="T426" s="89"/>
      <c r="U426" s="82"/>
      <c r="V426" s="37"/>
      <c r="W426" s="37"/>
    </row>
    <row r="427" ht="14.25" customHeight="1">
      <c r="A427" s="83" t="s">
        <v>302</v>
      </c>
      <c r="B427" s="55" t="s">
        <v>970</v>
      </c>
      <c r="C427" s="78" t="s">
        <v>796</v>
      </c>
      <c r="D427" s="78" t="s">
        <v>954</v>
      </c>
      <c r="E427" s="21" t="s">
        <v>2006</v>
      </c>
      <c r="F427" s="21" t="s">
        <v>2007</v>
      </c>
      <c r="G427" s="23">
        <v>15472.0</v>
      </c>
      <c r="H427" s="26">
        <v>0.34</v>
      </c>
      <c r="I427" s="79">
        <v>8052.0</v>
      </c>
      <c r="J427" s="79" t="s">
        <v>1594</v>
      </c>
      <c r="K427" s="80" t="s">
        <v>1608</v>
      </c>
      <c r="L427" s="21">
        <v>35288.0</v>
      </c>
      <c r="M427" s="21">
        <v>23524.0</v>
      </c>
      <c r="N427" s="26">
        <v>0.3</v>
      </c>
      <c r="O427" s="26">
        <v>0.3</v>
      </c>
      <c r="P427" s="81" t="s">
        <v>1595</v>
      </c>
      <c r="Q427" s="26">
        <v>0.54</v>
      </c>
      <c r="R427" s="84">
        <v>0.31</v>
      </c>
      <c r="S427" s="23"/>
      <c r="T427" s="89"/>
      <c r="U427" s="82"/>
      <c r="V427" s="37"/>
      <c r="W427" s="37"/>
    </row>
    <row r="428" ht="14.25" customHeight="1">
      <c r="A428" s="83" t="s">
        <v>302</v>
      </c>
      <c r="B428" s="55" t="s">
        <v>972</v>
      </c>
      <c r="C428" s="78" t="s">
        <v>796</v>
      </c>
      <c r="D428" s="78" t="s">
        <v>954</v>
      </c>
      <c r="E428" s="21" t="s">
        <v>2006</v>
      </c>
      <c r="F428" s="21" t="s">
        <v>2008</v>
      </c>
      <c r="G428" s="23">
        <v>14363.0</v>
      </c>
      <c r="H428" s="26">
        <v>0.39</v>
      </c>
      <c r="I428" s="79">
        <v>9160.0</v>
      </c>
      <c r="J428" s="79" t="s">
        <v>1594</v>
      </c>
      <c r="K428" s="80" t="s">
        <v>1608</v>
      </c>
      <c r="L428" s="21">
        <v>35288.0</v>
      </c>
      <c r="M428" s="21">
        <v>23524.0</v>
      </c>
      <c r="N428" s="26">
        <v>0.3</v>
      </c>
      <c r="O428" s="26">
        <v>0.3</v>
      </c>
      <c r="P428" s="81" t="s">
        <v>1595</v>
      </c>
      <c r="Q428" s="26">
        <v>0.57</v>
      </c>
      <c r="R428" s="84">
        <v>0.34</v>
      </c>
      <c r="S428" s="23"/>
      <c r="T428" s="89"/>
      <c r="U428" s="82"/>
      <c r="V428" s="37"/>
      <c r="W428" s="37"/>
    </row>
    <row r="429" ht="14.25" customHeight="1">
      <c r="A429" s="83" t="s">
        <v>302</v>
      </c>
      <c r="B429" s="55" t="s">
        <v>974</v>
      </c>
      <c r="C429" s="78" t="s">
        <v>796</v>
      </c>
      <c r="D429" s="78" t="s">
        <v>954</v>
      </c>
      <c r="E429" s="21" t="s">
        <v>2006</v>
      </c>
      <c r="F429" s="21" t="s">
        <v>2008</v>
      </c>
      <c r="G429" s="23">
        <v>14363.0</v>
      </c>
      <c r="H429" s="26">
        <v>0.39</v>
      </c>
      <c r="I429" s="79">
        <v>9161.0</v>
      </c>
      <c r="J429" s="79" t="s">
        <v>1594</v>
      </c>
      <c r="K429" s="80" t="s">
        <v>1608</v>
      </c>
      <c r="L429" s="21">
        <v>35288.0</v>
      </c>
      <c r="M429" s="21">
        <v>23524.0</v>
      </c>
      <c r="N429" s="26">
        <v>0.3</v>
      </c>
      <c r="O429" s="26">
        <v>0.3</v>
      </c>
      <c r="P429" s="81" t="s">
        <v>1595</v>
      </c>
      <c r="Q429" s="26">
        <v>0.57</v>
      </c>
      <c r="R429" s="84">
        <v>0.34</v>
      </c>
      <c r="S429" s="23"/>
      <c r="T429" s="89"/>
      <c r="U429" s="82"/>
      <c r="V429" s="37"/>
      <c r="W429" s="37"/>
    </row>
    <row r="430" ht="14.25" customHeight="1">
      <c r="A430" s="83" t="s">
        <v>302</v>
      </c>
      <c r="B430" s="55" t="s">
        <v>976</v>
      </c>
      <c r="C430" s="78" t="s">
        <v>796</v>
      </c>
      <c r="D430" s="78" t="s">
        <v>954</v>
      </c>
      <c r="E430" s="21" t="s">
        <v>2006</v>
      </c>
      <c r="F430" s="21" t="s">
        <v>2008</v>
      </c>
      <c r="G430" s="23">
        <v>14363.0</v>
      </c>
      <c r="H430" s="26">
        <v>0.39</v>
      </c>
      <c r="I430" s="79">
        <v>9161.0</v>
      </c>
      <c r="J430" s="79" t="s">
        <v>1594</v>
      </c>
      <c r="K430" s="80" t="s">
        <v>1608</v>
      </c>
      <c r="L430" s="21">
        <v>35288.0</v>
      </c>
      <c r="M430" s="21">
        <v>23524.0</v>
      </c>
      <c r="N430" s="26">
        <v>0.3</v>
      </c>
      <c r="O430" s="26">
        <v>0.3</v>
      </c>
      <c r="P430" s="81" t="s">
        <v>1595</v>
      </c>
      <c r="Q430" s="26">
        <v>0.57</v>
      </c>
      <c r="R430" s="84">
        <v>0.34</v>
      </c>
      <c r="S430" s="23"/>
      <c r="T430" s="89"/>
      <c r="U430" s="82"/>
      <c r="V430" s="37"/>
      <c r="W430" s="37"/>
    </row>
    <row r="431" ht="14.25" customHeight="1">
      <c r="A431" s="83" t="s">
        <v>302</v>
      </c>
      <c r="B431" s="55" t="s">
        <v>978</v>
      </c>
      <c r="C431" s="78" t="s">
        <v>796</v>
      </c>
      <c r="D431" s="78" t="s">
        <v>954</v>
      </c>
      <c r="E431" s="21" t="s">
        <v>2006</v>
      </c>
      <c r="F431" s="21" t="s">
        <v>2008</v>
      </c>
      <c r="G431" s="23">
        <v>14363.0</v>
      </c>
      <c r="H431" s="26">
        <v>0.39</v>
      </c>
      <c r="I431" s="79">
        <v>9161.0</v>
      </c>
      <c r="J431" s="79" t="s">
        <v>1594</v>
      </c>
      <c r="K431" s="80" t="s">
        <v>1608</v>
      </c>
      <c r="L431" s="21">
        <v>35288.0</v>
      </c>
      <c r="M431" s="21">
        <v>23524.0</v>
      </c>
      <c r="N431" s="26">
        <v>0.3</v>
      </c>
      <c r="O431" s="26">
        <v>0.3</v>
      </c>
      <c r="P431" s="81" t="s">
        <v>1595</v>
      </c>
      <c r="Q431" s="26">
        <v>0.57</v>
      </c>
      <c r="R431" s="84">
        <v>0.34</v>
      </c>
      <c r="S431" s="23"/>
      <c r="T431" s="89"/>
      <c r="U431" s="82"/>
      <c r="V431" s="37"/>
      <c r="W431" s="37"/>
    </row>
    <row r="432" ht="14.25" customHeight="1">
      <c r="A432" s="83" t="s">
        <v>302</v>
      </c>
      <c r="B432" s="55" t="s">
        <v>980</v>
      </c>
      <c r="C432" s="78" t="s">
        <v>796</v>
      </c>
      <c r="D432" s="78" t="s">
        <v>954</v>
      </c>
      <c r="E432" s="21" t="s">
        <v>2006</v>
      </c>
      <c r="F432" s="21" t="s">
        <v>2008</v>
      </c>
      <c r="G432" s="23">
        <v>14363.0</v>
      </c>
      <c r="H432" s="26">
        <v>0.39</v>
      </c>
      <c r="I432" s="79">
        <v>9161.0</v>
      </c>
      <c r="J432" s="79" t="s">
        <v>1594</v>
      </c>
      <c r="K432" s="80" t="s">
        <v>1608</v>
      </c>
      <c r="L432" s="21">
        <v>35288.0</v>
      </c>
      <c r="M432" s="21">
        <v>23524.0</v>
      </c>
      <c r="N432" s="26">
        <v>0.3</v>
      </c>
      <c r="O432" s="26">
        <v>0.3</v>
      </c>
      <c r="P432" s="81" t="s">
        <v>1595</v>
      </c>
      <c r="Q432" s="26">
        <v>0.57</v>
      </c>
      <c r="R432" s="84">
        <v>0.34</v>
      </c>
      <c r="S432" s="23"/>
      <c r="T432" s="89"/>
      <c r="U432" s="82"/>
      <c r="V432" s="37"/>
      <c r="W432" s="37"/>
    </row>
    <row r="433" ht="14.25" customHeight="1">
      <c r="A433" s="83" t="s">
        <v>302</v>
      </c>
      <c r="B433" s="55" t="s">
        <v>982</v>
      </c>
      <c r="C433" s="78" t="s">
        <v>796</v>
      </c>
      <c r="D433" s="78" t="s">
        <v>954</v>
      </c>
      <c r="E433" s="21" t="s">
        <v>2006</v>
      </c>
      <c r="F433" s="21" t="s">
        <v>2008</v>
      </c>
      <c r="G433" s="23">
        <v>14363.0</v>
      </c>
      <c r="H433" s="26">
        <v>0.39</v>
      </c>
      <c r="I433" s="79">
        <v>9161.0</v>
      </c>
      <c r="J433" s="79" t="s">
        <v>1594</v>
      </c>
      <c r="K433" s="80" t="s">
        <v>1608</v>
      </c>
      <c r="L433" s="21">
        <v>35288.0</v>
      </c>
      <c r="M433" s="21">
        <v>23524.0</v>
      </c>
      <c r="N433" s="26">
        <v>0.3</v>
      </c>
      <c r="O433" s="26">
        <v>0.3</v>
      </c>
      <c r="P433" s="81" t="s">
        <v>1595</v>
      </c>
      <c r="Q433" s="26">
        <v>0.57</v>
      </c>
      <c r="R433" s="84">
        <v>0.34</v>
      </c>
      <c r="S433" s="23"/>
      <c r="T433" s="89"/>
      <c r="U433" s="82"/>
      <c r="V433" s="37"/>
      <c r="W433" s="37"/>
    </row>
    <row r="434" ht="14.25" customHeight="1">
      <c r="A434" s="83" t="s">
        <v>302</v>
      </c>
      <c r="B434" s="55" t="s">
        <v>984</v>
      </c>
      <c r="C434" s="78" t="s">
        <v>796</v>
      </c>
      <c r="D434" s="78" t="s">
        <v>954</v>
      </c>
      <c r="E434" s="21" t="s">
        <v>2006</v>
      </c>
      <c r="F434" s="21" t="s">
        <v>2008</v>
      </c>
      <c r="G434" s="23">
        <v>14363.0</v>
      </c>
      <c r="H434" s="26">
        <v>0.39</v>
      </c>
      <c r="I434" s="79">
        <v>9161.0</v>
      </c>
      <c r="J434" s="79" t="s">
        <v>1594</v>
      </c>
      <c r="K434" s="80" t="s">
        <v>1608</v>
      </c>
      <c r="L434" s="21">
        <v>35288.0</v>
      </c>
      <c r="M434" s="21">
        <v>23524.0</v>
      </c>
      <c r="N434" s="26">
        <v>0.3</v>
      </c>
      <c r="O434" s="26">
        <v>0.3</v>
      </c>
      <c r="P434" s="81" t="s">
        <v>1595</v>
      </c>
      <c r="Q434" s="26">
        <v>0.57</v>
      </c>
      <c r="R434" s="84">
        <v>0.34</v>
      </c>
      <c r="S434" s="23"/>
      <c r="T434" s="89"/>
      <c r="U434" s="82"/>
      <c r="V434" s="37"/>
      <c r="W434" s="37"/>
    </row>
    <row r="435" ht="14.25" customHeight="1">
      <c r="A435" s="83" t="s">
        <v>302</v>
      </c>
      <c r="B435" s="55" t="s">
        <v>986</v>
      </c>
      <c r="C435" s="78" t="s">
        <v>796</v>
      </c>
      <c r="D435" s="78" t="s">
        <v>954</v>
      </c>
      <c r="E435" s="21" t="s">
        <v>2006</v>
      </c>
      <c r="F435" s="21" t="s">
        <v>2008</v>
      </c>
      <c r="G435" s="23">
        <v>14363.0</v>
      </c>
      <c r="H435" s="26">
        <v>0.39</v>
      </c>
      <c r="I435" s="79">
        <v>9161.0</v>
      </c>
      <c r="J435" s="79" t="s">
        <v>1594</v>
      </c>
      <c r="K435" s="80" t="s">
        <v>1608</v>
      </c>
      <c r="L435" s="21">
        <v>35288.0</v>
      </c>
      <c r="M435" s="21">
        <v>23524.0</v>
      </c>
      <c r="N435" s="26">
        <v>0.3</v>
      </c>
      <c r="O435" s="26">
        <v>0.3</v>
      </c>
      <c r="P435" s="81" t="s">
        <v>1595</v>
      </c>
      <c r="Q435" s="26">
        <v>0.57</v>
      </c>
      <c r="R435" s="84">
        <v>0.34</v>
      </c>
      <c r="S435" s="23"/>
      <c r="T435" s="89"/>
      <c r="U435" s="82"/>
      <c r="V435" s="37"/>
      <c r="W435" s="37"/>
    </row>
    <row r="436" ht="14.25" customHeight="1">
      <c r="A436" s="83" t="s">
        <v>302</v>
      </c>
      <c r="B436" s="55" t="s">
        <v>988</v>
      </c>
      <c r="C436" s="78" t="s">
        <v>796</v>
      </c>
      <c r="D436" s="78" t="s">
        <v>954</v>
      </c>
      <c r="E436" s="21" t="s">
        <v>2006</v>
      </c>
      <c r="F436" s="21" t="s">
        <v>2009</v>
      </c>
      <c r="G436" s="23">
        <v>8553.0</v>
      </c>
      <c r="H436" s="26">
        <v>0.52</v>
      </c>
      <c r="I436" s="79">
        <v>9088.0</v>
      </c>
      <c r="J436" s="79" t="s">
        <v>1606</v>
      </c>
      <c r="K436" s="80" t="s">
        <v>1603</v>
      </c>
      <c r="L436" s="21">
        <v>29406.0</v>
      </c>
      <c r="M436" s="21">
        <v>17641.0</v>
      </c>
      <c r="N436" s="26">
        <v>0.3</v>
      </c>
      <c r="O436" s="26">
        <v>0.3</v>
      </c>
      <c r="P436" s="81" t="s">
        <v>1595</v>
      </c>
      <c r="Q436" s="26">
        <v>0.66</v>
      </c>
      <c r="R436" s="84">
        <v>0.43</v>
      </c>
      <c r="S436" s="23"/>
      <c r="T436" s="89"/>
      <c r="U436" s="82"/>
      <c r="V436" s="37"/>
      <c r="W436" s="37"/>
    </row>
    <row r="437" ht="14.25" customHeight="1">
      <c r="A437" s="83" t="s">
        <v>302</v>
      </c>
      <c r="B437" s="55" t="s">
        <v>990</v>
      </c>
      <c r="C437" s="78" t="s">
        <v>796</v>
      </c>
      <c r="D437" s="78" t="s">
        <v>954</v>
      </c>
      <c r="E437" s="21" t="s">
        <v>2006</v>
      </c>
      <c r="F437" s="21" t="s">
        <v>2009</v>
      </c>
      <c r="G437" s="23">
        <v>8553.0</v>
      </c>
      <c r="H437" s="26">
        <v>0.52</v>
      </c>
      <c r="I437" s="79">
        <v>9088.0</v>
      </c>
      <c r="J437" s="79" t="s">
        <v>1606</v>
      </c>
      <c r="K437" s="80" t="s">
        <v>1603</v>
      </c>
      <c r="L437" s="21">
        <v>29406.0</v>
      </c>
      <c r="M437" s="21">
        <v>17641.0</v>
      </c>
      <c r="N437" s="26">
        <v>0.3</v>
      </c>
      <c r="O437" s="26">
        <v>0.3</v>
      </c>
      <c r="P437" s="81" t="s">
        <v>1595</v>
      </c>
      <c r="Q437" s="26">
        <v>0.66</v>
      </c>
      <c r="R437" s="84">
        <v>0.43</v>
      </c>
      <c r="S437" s="23"/>
      <c r="T437" s="89"/>
      <c r="U437" s="82"/>
      <c r="V437" s="37"/>
      <c r="W437" s="37"/>
    </row>
    <row r="438" ht="14.25" customHeight="1">
      <c r="A438" s="83" t="s">
        <v>302</v>
      </c>
      <c r="B438" s="55" t="s">
        <v>992</v>
      </c>
      <c r="C438" s="78" t="s">
        <v>796</v>
      </c>
      <c r="D438" s="78" t="s">
        <v>954</v>
      </c>
      <c r="E438" s="21" t="s">
        <v>2006</v>
      </c>
      <c r="F438" s="21" t="s">
        <v>2009</v>
      </c>
      <c r="G438" s="23">
        <v>8553.0</v>
      </c>
      <c r="H438" s="26">
        <v>0.52</v>
      </c>
      <c r="I438" s="79">
        <v>9088.0</v>
      </c>
      <c r="J438" s="79" t="s">
        <v>1606</v>
      </c>
      <c r="K438" s="80" t="s">
        <v>1603</v>
      </c>
      <c r="L438" s="21">
        <v>29406.0</v>
      </c>
      <c r="M438" s="21">
        <v>17641.0</v>
      </c>
      <c r="N438" s="26">
        <v>0.3</v>
      </c>
      <c r="O438" s="26">
        <v>0.3</v>
      </c>
      <c r="P438" s="81" t="s">
        <v>1595</v>
      </c>
      <c r="Q438" s="26">
        <v>0.66</v>
      </c>
      <c r="R438" s="84">
        <v>0.43</v>
      </c>
      <c r="S438" s="23"/>
      <c r="T438" s="89"/>
      <c r="U438" s="82"/>
      <c r="V438" s="37"/>
      <c r="W438" s="37"/>
    </row>
    <row r="439" ht="14.25" customHeight="1">
      <c r="A439" s="83" t="s">
        <v>302</v>
      </c>
      <c r="B439" s="55" t="s">
        <v>994</v>
      </c>
      <c r="C439" s="78" t="s">
        <v>796</v>
      </c>
      <c r="D439" s="78" t="s">
        <v>954</v>
      </c>
      <c r="E439" s="21" t="s">
        <v>2006</v>
      </c>
      <c r="F439" s="21" t="s">
        <v>993</v>
      </c>
      <c r="G439" s="23">
        <v>8553.0</v>
      </c>
      <c r="H439" s="26">
        <v>0.52</v>
      </c>
      <c r="I439" s="79">
        <v>9088.0</v>
      </c>
      <c r="J439" s="79" t="s">
        <v>1606</v>
      </c>
      <c r="K439" s="80" t="s">
        <v>1603</v>
      </c>
      <c r="L439" s="21">
        <v>29406.0</v>
      </c>
      <c r="M439" s="21">
        <v>17641.0</v>
      </c>
      <c r="N439" s="26">
        <v>0.3</v>
      </c>
      <c r="O439" s="26">
        <v>0.3</v>
      </c>
      <c r="P439" s="81" t="s">
        <v>1595</v>
      </c>
      <c r="Q439" s="26">
        <v>0.66</v>
      </c>
      <c r="R439" s="84">
        <v>0.43</v>
      </c>
      <c r="S439" s="23"/>
      <c r="T439" s="89"/>
      <c r="U439" s="82"/>
      <c r="V439" s="37"/>
      <c r="W439" s="37"/>
    </row>
    <row r="440" ht="14.25" customHeight="1">
      <c r="A440" s="83" t="s">
        <v>302</v>
      </c>
      <c r="B440" s="55" t="s">
        <v>996</v>
      </c>
      <c r="C440" s="78" t="s">
        <v>796</v>
      </c>
      <c r="D440" s="78" t="s">
        <v>954</v>
      </c>
      <c r="E440" s="21" t="s">
        <v>2006</v>
      </c>
      <c r="F440" s="21" t="s">
        <v>2009</v>
      </c>
      <c r="G440" s="23">
        <v>8553.0</v>
      </c>
      <c r="H440" s="26">
        <v>0.52</v>
      </c>
      <c r="I440" s="79">
        <v>9088.0</v>
      </c>
      <c r="J440" s="79" t="s">
        <v>1606</v>
      </c>
      <c r="K440" s="80" t="s">
        <v>1603</v>
      </c>
      <c r="L440" s="21">
        <v>29406.0</v>
      </c>
      <c r="M440" s="21">
        <v>17641.0</v>
      </c>
      <c r="N440" s="26">
        <v>0.3</v>
      </c>
      <c r="O440" s="26">
        <v>0.3</v>
      </c>
      <c r="P440" s="81" t="s">
        <v>1595</v>
      </c>
      <c r="Q440" s="26">
        <v>0.66</v>
      </c>
      <c r="R440" s="84">
        <v>0.43</v>
      </c>
      <c r="S440" s="23"/>
      <c r="T440" s="89"/>
      <c r="U440" s="82"/>
      <c r="V440" s="37"/>
      <c r="W440" s="37"/>
    </row>
    <row r="441" ht="14.25" customHeight="1">
      <c r="A441" s="83" t="s">
        <v>302</v>
      </c>
      <c r="B441" s="55" t="s">
        <v>998</v>
      </c>
      <c r="C441" s="78" t="s">
        <v>796</v>
      </c>
      <c r="D441" s="78" t="s">
        <v>954</v>
      </c>
      <c r="E441" s="21" t="s">
        <v>2006</v>
      </c>
      <c r="F441" s="21" t="s">
        <v>2009</v>
      </c>
      <c r="G441" s="23">
        <v>8553.0</v>
      </c>
      <c r="H441" s="26">
        <v>0.52</v>
      </c>
      <c r="I441" s="79">
        <v>9088.0</v>
      </c>
      <c r="J441" s="79" t="s">
        <v>1606</v>
      </c>
      <c r="K441" s="80" t="s">
        <v>1603</v>
      </c>
      <c r="L441" s="21">
        <v>29406.0</v>
      </c>
      <c r="M441" s="21">
        <v>17641.0</v>
      </c>
      <c r="N441" s="26">
        <v>0.3</v>
      </c>
      <c r="O441" s="26">
        <v>0.3</v>
      </c>
      <c r="P441" s="81" t="s">
        <v>1595</v>
      </c>
      <c r="Q441" s="26">
        <v>0.66</v>
      </c>
      <c r="R441" s="84">
        <v>0.43</v>
      </c>
      <c r="S441" s="23"/>
      <c r="T441" s="89"/>
      <c r="U441" s="82"/>
      <c r="V441" s="37"/>
      <c r="W441" s="37"/>
    </row>
    <row r="442" ht="14.25" customHeight="1">
      <c r="A442" s="83" t="s">
        <v>302</v>
      </c>
      <c r="B442" s="55" t="s">
        <v>1000</v>
      </c>
      <c r="C442" s="78" t="s">
        <v>796</v>
      </c>
      <c r="D442" s="78" t="s">
        <v>954</v>
      </c>
      <c r="E442" s="21" t="s">
        <v>2006</v>
      </c>
      <c r="F442" s="21" t="s">
        <v>2009</v>
      </c>
      <c r="G442" s="23">
        <v>8553.0</v>
      </c>
      <c r="H442" s="26">
        <v>0.52</v>
      </c>
      <c r="I442" s="79">
        <v>9088.0</v>
      </c>
      <c r="J442" s="79" t="s">
        <v>1606</v>
      </c>
      <c r="K442" s="80" t="s">
        <v>1603</v>
      </c>
      <c r="L442" s="21">
        <v>29406.0</v>
      </c>
      <c r="M442" s="21">
        <v>17641.0</v>
      </c>
      <c r="N442" s="26">
        <v>0.3</v>
      </c>
      <c r="O442" s="26">
        <v>0.3</v>
      </c>
      <c r="P442" s="81" t="s">
        <v>1595</v>
      </c>
      <c r="Q442" s="26">
        <v>0.66</v>
      </c>
      <c r="R442" s="84">
        <v>0.43</v>
      </c>
      <c r="S442" s="23"/>
      <c r="T442" s="89"/>
      <c r="U442" s="82"/>
      <c r="V442" s="37"/>
      <c r="W442" s="37"/>
    </row>
    <row r="443" ht="14.25" customHeight="1">
      <c r="A443" s="83" t="s">
        <v>302</v>
      </c>
      <c r="B443" s="55" t="s">
        <v>1002</v>
      </c>
      <c r="C443" s="78" t="s">
        <v>796</v>
      </c>
      <c r="D443" s="78" t="s">
        <v>954</v>
      </c>
      <c r="E443" s="21" t="s">
        <v>2006</v>
      </c>
      <c r="F443" s="21" t="s">
        <v>2009</v>
      </c>
      <c r="G443" s="23">
        <v>8553.0</v>
      </c>
      <c r="H443" s="26">
        <v>0.52</v>
      </c>
      <c r="I443" s="79">
        <v>9088.0</v>
      </c>
      <c r="J443" s="79" t="s">
        <v>1606</v>
      </c>
      <c r="K443" s="80" t="s">
        <v>1603</v>
      </c>
      <c r="L443" s="21">
        <v>29406.0</v>
      </c>
      <c r="M443" s="21">
        <v>17641.0</v>
      </c>
      <c r="N443" s="26">
        <v>0.3</v>
      </c>
      <c r="O443" s="26">
        <v>0.3</v>
      </c>
      <c r="P443" s="81" t="s">
        <v>1595</v>
      </c>
      <c r="Q443" s="26">
        <v>0.66</v>
      </c>
      <c r="R443" s="84">
        <v>0.43</v>
      </c>
      <c r="S443" s="23"/>
      <c r="T443" s="89"/>
      <c r="U443" s="82"/>
      <c r="V443" s="37"/>
      <c r="W443" s="37"/>
    </row>
    <row r="444" ht="14.25" customHeight="1">
      <c r="A444" s="83" t="s">
        <v>302</v>
      </c>
      <c r="B444" s="55" t="s">
        <v>1004</v>
      </c>
      <c r="C444" s="78" t="s">
        <v>796</v>
      </c>
      <c r="D444" s="78" t="s">
        <v>954</v>
      </c>
      <c r="E444" s="21" t="s">
        <v>2010</v>
      </c>
      <c r="F444" s="21" t="s">
        <v>2011</v>
      </c>
      <c r="G444" s="23">
        <v>14101.0</v>
      </c>
      <c r="H444" s="26">
        <v>0.2</v>
      </c>
      <c r="I444" s="79">
        <v>3540.0</v>
      </c>
      <c r="J444" s="79" t="s">
        <v>1606</v>
      </c>
      <c r="K444" s="80" t="s">
        <v>1603</v>
      </c>
      <c r="L444" s="21">
        <v>29406.0</v>
      </c>
      <c r="M444" s="21">
        <v>17641.0</v>
      </c>
      <c r="N444" s="26">
        <v>0.3</v>
      </c>
      <c r="O444" s="26">
        <v>0.3</v>
      </c>
      <c r="P444" s="81" t="s">
        <v>1595</v>
      </c>
      <c r="Q444" s="26">
        <v>0.44</v>
      </c>
      <c r="R444" s="84">
        <v>0.21</v>
      </c>
      <c r="S444" s="23"/>
      <c r="T444" s="89"/>
      <c r="U444" s="82"/>
      <c r="V444" s="37"/>
      <c r="W444" s="37"/>
    </row>
    <row r="445" ht="14.25" customHeight="1">
      <c r="A445" s="83" t="s">
        <v>302</v>
      </c>
      <c r="B445" s="55" t="s">
        <v>1006</v>
      </c>
      <c r="C445" s="78" t="s">
        <v>796</v>
      </c>
      <c r="D445" s="78" t="s">
        <v>954</v>
      </c>
      <c r="E445" s="21" t="s">
        <v>2010</v>
      </c>
      <c r="F445" s="21" t="s">
        <v>2011</v>
      </c>
      <c r="G445" s="23">
        <v>14101.0</v>
      </c>
      <c r="H445" s="26">
        <v>0.2</v>
      </c>
      <c r="I445" s="79">
        <v>3540.0</v>
      </c>
      <c r="J445" s="79" t="s">
        <v>1606</v>
      </c>
      <c r="K445" s="80" t="s">
        <v>1603</v>
      </c>
      <c r="L445" s="21">
        <v>29406.0</v>
      </c>
      <c r="M445" s="21">
        <v>17641.0</v>
      </c>
      <c r="N445" s="26">
        <v>0.3</v>
      </c>
      <c r="O445" s="26">
        <v>0.3</v>
      </c>
      <c r="P445" s="81" t="s">
        <v>1595</v>
      </c>
      <c r="Q445" s="26">
        <v>0.44</v>
      </c>
      <c r="R445" s="84">
        <v>0.21</v>
      </c>
      <c r="S445" s="23"/>
      <c r="T445" s="89"/>
      <c r="U445" s="82"/>
      <c r="V445" s="37"/>
      <c r="W445" s="37"/>
    </row>
    <row r="446" ht="14.25" customHeight="1">
      <c r="A446" s="83" t="s">
        <v>302</v>
      </c>
      <c r="B446" s="55" t="s">
        <v>1008</v>
      </c>
      <c r="C446" s="78" t="s">
        <v>796</v>
      </c>
      <c r="D446" s="78" t="s">
        <v>954</v>
      </c>
      <c r="E446" s="21" t="s">
        <v>2010</v>
      </c>
      <c r="F446" s="21" t="s">
        <v>2011</v>
      </c>
      <c r="G446" s="23">
        <v>14101.0</v>
      </c>
      <c r="H446" s="26">
        <v>0.2</v>
      </c>
      <c r="I446" s="79">
        <v>3540.0</v>
      </c>
      <c r="J446" s="79" t="s">
        <v>1606</v>
      </c>
      <c r="K446" s="80" t="s">
        <v>1603</v>
      </c>
      <c r="L446" s="21">
        <v>29406.0</v>
      </c>
      <c r="M446" s="21">
        <v>17641.0</v>
      </c>
      <c r="N446" s="26">
        <v>0.3</v>
      </c>
      <c r="O446" s="26">
        <v>0.3</v>
      </c>
      <c r="P446" s="81" t="s">
        <v>1595</v>
      </c>
      <c r="Q446" s="26">
        <v>0.44</v>
      </c>
      <c r="R446" s="84">
        <v>0.21</v>
      </c>
      <c r="S446" s="23"/>
      <c r="T446" s="89"/>
      <c r="U446" s="82"/>
      <c r="V446" s="37"/>
      <c r="W446" s="37"/>
    </row>
    <row r="447" ht="14.25" customHeight="1">
      <c r="A447" s="83" t="s">
        <v>302</v>
      </c>
      <c r="B447" s="55" t="s">
        <v>1010</v>
      </c>
      <c r="C447" s="78" t="s">
        <v>796</v>
      </c>
      <c r="D447" s="78" t="s">
        <v>954</v>
      </c>
      <c r="E447" s="21" t="s">
        <v>2010</v>
      </c>
      <c r="F447" s="21" t="s">
        <v>2011</v>
      </c>
      <c r="G447" s="23">
        <v>14101.0</v>
      </c>
      <c r="H447" s="26">
        <v>0.2</v>
      </c>
      <c r="I447" s="79">
        <v>3540.0</v>
      </c>
      <c r="J447" s="79" t="s">
        <v>1606</v>
      </c>
      <c r="K447" s="80" t="s">
        <v>1603</v>
      </c>
      <c r="L447" s="21">
        <v>29406.0</v>
      </c>
      <c r="M447" s="21">
        <v>17641.0</v>
      </c>
      <c r="N447" s="26">
        <v>0.3</v>
      </c>
      <c r="O447" s="26">
        <v>0.3</v>
      </c>
      <c r="P447" s="81" t="s">
        <v>1595</v>
      </c>
      <c r="Q447" s="26">
        <v>0.44</v>
      </c>
      <c r="R447" s="84">
        <v>0.21</v>
      </c>
      <c r="S447" s="23"/>
      <c r="T447" s="89"/>
      <c r="U447" s="82"/>
      <c r="V447" s="37"/>
      <c r="W447" s="37"/>
    </row>
    <row r="448" ht="14.25" customHeight="1">
      <c r="A448" s="83" t="s">
        <v>302</v>
      </c>
      <c r="B448" s="55" t="s">
        <v>1012</v>
      </c>
      <c r="C448" s="78" t="s">
        <v>796</v>
      </c>
      <c r="D448" s="78" t="s">
        <v>954</v>
      </c>
      <c r="E448" s="21" t="s">
        <v>2010</v>
      </c>
      <c r="F448" s="21" t="s">
        <v>2011</v>
      </c>
      <c r="G448" s="23">
        <v>14101.0</v>
      </c>
      <c r="H448" s="26">
        <v>0.2</v>
      </c>
      <c r="I448" s="79">
        <v>3540.0</v>
      </c>
      <c r="J448" s="79" t="s">
        <v>1606</v>
      </c>
      <c r="K448" s="80" t="s">
        <v>1603</v>
      </c>
      <c r="L448" s="21">
        <v>29406.0</v>
      </c>
      <c r="M448" s="21">
        <v>17641.0</v>
      </c>
      <c r="N448" s="26">
        <v>0.3</v>
      </c>
      <c r="O448" s="26">
        <v>0.3</v>
      </c>
      <c r="P448" s="81" t="s">
        <v>1595</v>
      </c>
      <c r="Q448" s="26">
        <v>0.44</v>
      </c>
      <c r="R448" s="84">
        <v>0.21</v>
      </c>
      <c r="S448" s="23"/>
      <c r="T448" s="89"/>
      <c r="U448" s="82"/>
      <c r="V448" s="37"/>
      <c r="W448" s="37"/>
    </row>
    <row r="449" ht="14.25" customHeight="1">
      <c r="A449" s="83" t="s">
        <v>302</v>
      </c>
      <c r="B449" s="55" t="s">
        <v>1014</v>
      </c>
      <c r="C449" s="78" t="s">
        <v>796</v>
      </c>
      <c r="D449" s="78" t="s">
        <v>954</v>
      </c>
      <c r="E449" s="21" t="s">
        <v>2010</v>
      </c>
      <c r="F449" s="21" t="s">
        <v>2011</v>
      </c>
      <c r="G449" s="23">
        <v>14101.0</v>
      </c>
      <c r="H449" s="26">
        <v>0.2</v>
      </c>
      <c r="I449" s="79">
        <v>3540.0</v>
      </c>
      <c r="J449" s="79" t="s">
        <v>1606</v>
      </c>
      <c r="K449" s="80" t="s">
        <v>1603</v>
      </c>
      <c r="L449" s="21">
        <v>29406.0</v>
      </c>
      <c r="M449" s="21">
        <v>17641.0</v>
      </c>
      <c r="N449" s="26">
        <v>0.3</v>
      </c>
      <c r="O449" s="26">
        <v>0.3</v>
      </c>
      <c r="P449" s="81" t="s">
        <v>1595</v>
      </c>
      <c r="Q449" s="26">
        <v>0.44</v>
      </c>
      <c r="R449" s="84">
        <v>0.21</v>
      </c>
      <c r="S449" s="23"/>
      <c r="T449" s="89"/>
      <c r="U449" s="82"/>
      <c r="V449" s="37"/>
      <c r="W449" s="37"/>
    </row>
    <row r="450" ht="14.25" customHeight="1">
      <c r="A450" s="83" t="s">
        <v>302</v>
      </c>
      <c r="B450" s="55" t="s">
        <v>1016</v>
      </c>
      <c r="C450" s="78" t="s">
        <v>796</v>
      </c>
      <c r="D450" s="78" t="s">
        <v>954</v>
      </c>
      <c r="E450" s="21" t="s">
        <v>2010</v>
      </c>
      <c r="F450" s="21" t="s">
        <v>2011</v>
      </c>
      <c r="G450" s="23">
        <v>14101.0</v>
      </c>
      <c r="H450" s="26">
        <v>0.2</v>
      </c>
      <c r="I450" s="79">
        <v>3540.0</v>
      </c>
      <c r="J450" s="79" t="s">
        <v>1606</v>
      </c>
      <c r="K450" s="80" t="s">
        <v>1603</v>
      </c>
      <c r="L450" s="21">
        <v>29406.0</v>
      </c>
      <c r="M450" s="21">
        <v>17641.0</v>
      </c>
      <c r="N450" s="26">
        <v>0.3</v>
      </c>
      <c r="O450" s="26">
        <v>0.3</v>
      </c>
      <c r="P450" s="81" t="s">
        <v>1595</v>
      </c>
      <c r="Q450" s="26">
        <v>0.44</v>
      </c>
      <c r="R450" s="84">
        <v>0.21</v>
      </c>
      <c r="S450" s="23"/>
      <c r="T450" s="89"/>
      <c r="U450" s="82"/>
      <c r="V450" s="37"/>
      <c r="W450" s="37"/>
    </row>
    <row r="451" ht="14.25" customHeight="1">
      <c r="A451" s="83" t="s">
        <v>302</v>
      </c>
      <c r="B451" s="55" t="s">
        <v>1018</v>
      </c>
      <c r="C451" s="78" t="s">
        <v>796</v>
      </c>
      <c r="D451" s="78" t="s">
        <v>954</v>
      </c>
      <c r="E451" s="21" t="s">
        <v>2010</v>
      </c>
      <c r="F451" s="21" t="s">
        <v>2011</v>
      </c>
      <c r="G451" s="23">
        <v>14101.0</v>
      </c>
      <c r="H451" s="26">
        <v>0.2</v>
      </c>
      <c r="I451" s="79">
        <v>3540.0</v>
      </c>
      <c r="J451" s="79" t="s">
        <v>1606</v>
      </c>
      <c r="K451" s="80" t="s">
        <v>1603</v>
      </c>
      <c r="L451" s="21">
        <v>29406.0</v>
      </c>
      <c r="M451" s="21">
        <v>17641.0</v>
      </c>
      <c r="N451" s="26">
        <v>0.3</v>
      </c>
      <c r="O451" s="26">
        <v>0.3</v>
      </c>
      <c r="P451" s="81" t="s">
        <v>1595</v>
      </c>
      <c r="Q451" s="26">
        <v>0.44</v>
      </c>
      <c r="R451" s="84">
        <v>0.21</v>
      </c>
      <c r="S451" s="23"/>
      <c r="T451" s="89"/>
      <c r="U451" s="82"/>
      <c r="V451" s="37"/>
      <c r="W451" s="37"/>
    </row>
    <row r="452" ht="14.25" customHeight="1">
      <c r="A452" s="83" t="s">
        <v>302</v>
      </c>
      <c r="B452" s="55" t="s">
        <v>1020</v>
      </c>
      <c r="C452" s="78" t="s">
        <v>796</v>
      </c>
      <c r="D452" s="78" t="s">
        <v>954</v>
      </c>
      <c r="E452" s="21" t="s">
        <v>2012</v>
      </c>
      <c r="F452" s="21" t="s">
        <v>2013</v>
      </c>
      <c r="G452" s="23">
        <v>17137.0</v>
      </c>
      <c r="H452" s="26">
        <v>0.42</v>
      </c>
      <c r="I452" s="79">
        <v>12269.0</v>
      </c>
      <c r="J452" s="79" t="s">
        <v>1599</v>
      </c>
      <c r="K452" s="80" t="s">
        <v>1606</v>
      </c>
      <c r="L452" s="21">
        <v>41171.0</v>
      </c>
      <c r="M452" s="21">
        <v>29406.0</v>
      </c>
      <c r="N452" s="26">
        <v>0.3</v>
      </c>
      <c r="O452" s="26">
        <v>0.3</v>
      </c>
      <c r="P452" s="81" t="s">
        <v>1595</v>
      </c>
      <c r="Q452" s="26">
        <v>0.59</v>
      </c>
      <c r="R452" s="84">
        <v>0.36</v>
      </c>
      <c r="S452" s="23"/>
      <c r="T452" s="89"/>
      <c r="U452" s="82"/>
      <c r="V452" s="37"/>
      <c r="W452" s="37"/>
    </row>
    <row r="453" ht="14.25" customHeight="1">
      <c r="A453" s="83" t="s">
        <v>302</v>
      </c>
      <c r="B453" s="55" t="s">
        <v>1022</v>
      </c>
      <c r="C453" s="78" t="s">
        <v>796</v>
      </c>
      <c r="D453" s="78" t="s">
        <v>954</v>
      </c>
      <c r="E453" s="21" t="s">
        <v>2012</v>
      </c>
      <c r="F453" s="21" t="s">
        <v>2013</v>
      </c>
      <c r="G453" s="23">
        <v>17137.0</v>
      </c>
      <c r="H453" s="26">
        <v>0.42</v>
      </c>
      <c r="I453" s="79">
        <v>12269.0</v>
      </c>
      <c r="J453" s="79" t="s">
        <v>1599</v>
      </c>
      <c r="K453" s="80" t="s">
        <v>1606</v>
      </c>
      <c r="L453" s="21">
        <v>41171.0</v>
      </c>
      <c r="M453" s="21">
        <v>29406.0</v>
      </c>
      <c r="N453" s="26">
        <v>0.3</v>
      </c>
      <c r="O453" s="26">
        <v>0.3</v>
      </c>
      <c r="P453" s="81" t="s">
        <v>1595</v>
      </c>
      <c r="Q453" s="26">
        <v>0.59</v>
      </c>
      <c r="R453" s="84">
        <v>0.36</v>
      </c>
      <c r="S453" s="23"/>
      <c r="T453" s="89"/>
      <c r="U453" s="82"/>
      <c r="V453" s="37"/>
      <c r="W453" s="37"/>
    </row>
    <row r="454" ht="14.25" customHeight="1">
      <c r="A454" s="83" t="s">
        <v>302</v>
      </c>
      <c r="B454" s="55" t="s">
        <v>1024</v>
      </c>
      <c r="C454" s="78" t="s">
        <v>796</v>
      </c>
      <c r="D454" s="78" t="s">
        <v>954</v>
      </c>
      <c r="E454" s="21" t="s">
        <v>2012</v>
      </c>
      <c r="F454" s="21" t="s">
        <v>2013</v>
      </c>
      <c r="G454" s="23">
        <v>17137.0</v>
      </c>
      <c r="H454" s="26">
        <v>0.42</v>
      </c>
      <c r="I454" s="79">
        <v>12269.0</v>
      </c>
      <c r="J454" s="79" t="s">
        <v>1599</v>
      </c>
      <c r="K454" s="80" t="s">
        <v>1606</v>
      </c>
      <c r="L454" s="21">
        <v>41171.0</v>
      </c>
      <c r="M454" s="21">
        <v>29406.0</v>
      </c>
      <c r="N454" s="26">
        <v>0.3</v>
      </c>
      <c r="O454" s="26">
        <v>0.3</v>
      </c>
      <c r="P454" s="81" t="s">
        <v>1595</v>
      </c>
      <c r="Q454" s="26">
        <v>0.59</v>
      </c>
      <c r="R454" s="84">
        <v>0.36</v>
      </c>
      <c r="S454" s="23"/>
      <c r="T454" s="89"/>
      <c r="U454" s="82"/>
      <c r="V454" s="37"/>
      <c r="W454" s="37"/>
    </row>
    <row r="455" ht="14.25" customHeight="1">
      <c r="A455" s="83" t="s">
        <v>302</v>
      </c>
      <c r="B455" s="55" t="s">
        <v>1026</v>
      </c>
      <c r="C455" s="78" t="s">
        <v>796</v>
      </c>
      <c r="D455" s="78" t="s">
        <v>954</v>
      </c>
      <c r="E455" s="21" t="s">
        <v>2012</v>
      </c>
      <c r="F455" s="21" t="s">
        <v>2013</v>
      </c>
      <c r="G455" s="23">
        <v>17137.0</v>
      </c>
      <c r="H455" s="26">
        <v>0.42</v>
      </c>
      <c r="I455" s="79">
        <v>12269.0</v>
      </c>
      <c r="J455" s="79" t="s">
        <v>1599</v>
      </c>
      <c r="K455" s="80" t="s">
        <v>1606</v>
      </c>
      <c r="L455" s="21">
        <v>41171.0</v>
      </c>
      <c r="M455" s="21">
        <v>29406.0</v>
      </c>
      <c r="N455" s="26">
        <v>0.3</v>
      </c>
      <c r="O455" s="26">
        <v>0.3</v>
      </c>
      <c r="P455" s="81" t="s">
        <v>1595</v>
      </c>
      <c r="Q455" s="26">
        <v>0.59</v>
      </c>
      <c r="R455" s="84">
        <v>0.36</v>
      </c>
      <c r="S455" s="23"/>
      <c r="T455" s="89"/>
      <c r="U455" s="82"/>
      <c r="V455" s="37"/>
      <c r="W455" s="37"/>
    </row>
    <row r="456" ht="14.25" customHeight="1">
      <c r="A456" s="83" t="s">
        <v>302</v>
      </c>
      <c r="B456" s="55" t="s">
        <v>1028</v>
      </c>
      <c r="C456" s="78" t="s">
        <v>796</v>
      </c>
      <c r="D456" s="78" t="s">
        <v>954</v>
      </c>
      <c r="E456" s="21" t="s">
        <v>2012</v>
      </c>
      <c r="F456" s="21" t="s">
        <v>2013</v>
      </c>
      <c r="G456" s="23">
        <v>17137.0</v>
      </c>
      <c r="H456" s="26">
        <v>0.42</v>
      </c>
      <c r="I456" s="79">
        <v>12269.0</v>
      </c>
      <c r="J456" s="79" t="s">
        <v>1599</v>
      </c>
      <c r="K456" s="80" t="s">
        <v>1606</v>
      </c>
      <c r="L456" s="21">
        <v>41171.0</v>
      </c>
      <c r="M456" s="21">
        <v>29406.0</v>
      </c>
      <c r="N456" s="26">
        <v>0.3</v>
      </c>
      <c r="O456" s="26">
        <v>0.3</v>
      </c>
      <c r="P456" s="81" t="s">
        <v>1595</v>
      </c>
      <c r="Q456" s="26">
        <v>0.59</v>
      </c>
      <c r="R456" s="84">
        <v>0.36</v>
      </c>
      <c r="S456" s="23"/>
      <c r="T456" s="89"/>
      <c r="U456" s="82"/>
      <c r="V456" s="37"/>
      <c r="W456" s="37"/>
    </row>
    <row r="457" ht="14.25" customHeight="1">
      <c r="A457" s="83" t="s">
        <v>302</v>
      </c>
      <c r="B457" s="55" t="s">
        <v>1030</v>
      </c>
      <c r="C457" s="78" t="s">
        <v>796</v>
      </c>
      <c r="D457" s="78" t="s">
        <v>954</v>
      </c>
      <c r="E457" s="21" t="s">
        <v>2012</v>
      </c>
      <c r="F457" s="21" t="s">
        <v>2013</v>
      </c>
      <c r="G457" s="23">
        <v>17137.0</v>
      </c>
      <c r="H457" s="26">
        <v>0.42</v>
      </c>
      <c r="I457" s="79">
        <v>12269.0</v>
      </c>
      <c r="J457" s="79" t="s">
        <v>1599</v>
      </c>
      <c r="K457" s="80" t="s">
        <v>1606</v>
      </c>
      <c r="L457" s="21">
        <v>41171.0</v>
      </c>
      <c r="M457" s="21">
        <v>29406.0</v>
      </c>
      <c r="N457" s="26">
        <v>0.3</v>
      </c>
      <c r="O457" s="26">
        <v>0.3</v>
      </c>
      <c r="P457" s="81" t="s">
        <v>1595</v>
      </c>
      <c r="Q457" s="26">
        <v>0.59</v>
      </c>
      <c r="R457" s="84">
        <v>0.36</v>
      </c>
      <c r="S457" s="23"/>
      <c r="T457" s="89"/>
      <c r="U457" s="82"/>
      <c r="V457" s="37"/>
      <c r="W457" s="37"/>
    </row>
    <row r="458" ht="14.25" customHeight="1">
      <c r="A458" s="83" t="s">
        <v>302</v>
      </c>
      <c r="B458" s="55" t="s">
        <v>1032</v>
      </c>
      <c r="C458" s="78" t="s">
        <v>796</v>
      </c>
      <c r="D458" s="78" t="s">
        <v>954</v>
      </c>
      <c r="E458" s="21" t="s">
        <v>2012</v>
      </c>
      <c r="F458" s="21" t="s">
        <v>2013</v>
      </c>
      <c r="G458" s="23">
        <v>17137.0</v>
      </c>
      <c r="H458" s="26">
        <v>0.42</v>
      </c>
      <c r="I458" s="79">
        <v>12269.0</v>
      </c>
      <c r="J458" s="79" t="s">
        <v>1599</v>
      </c>
      <c r="K458" s="80" t="s">
        <v>1606</v>
      </c>
      <c r="L458" s="21">
        <v>41171.0</v>
      </c>
      <c r="M458" s="21">
        <v>29406.0</v>
      </c>
      <c r="N458" s="26">
        <v>0.3</v>
      </c>
      <c r="O458" s="26">
        <v>0.3</v>
      </c>
      <c r="P458" s="81" t="s">
        <v>1595</v>
      </c>
      <c r="Q458" s="26">
        <v>0.59</v>
      </c>
      <c r="R458" s="84">
        <v>0.36</v>
      </c>
      <c r="S458" s="23"/>
      <c r="T458" s="89"/>
      <c r="U458" s="82"/>
      <c r="V458" s="37"/>
      <c r="W458" s="37"/>
    </row>
    <row r="459" ht="14.25" customHeight="1">
      <c r="A459" s="83" t="s">
        <v>302</v>
      </c>
      <c r="B459" s="55" t="s">
        <v>1034</v>
      </c>
      <c r="C459" s="78" t="s">
        <v>796</v>
      </c>
      <c r="D459" s="78" t="s">
        <v>954</v>
      </c>
      <c r="E459" s="21" t="s">
        <v>2012</v>
      </c>
      <c r="F459" s="21" t="s">
        <v>2013</v>
      </c>
      <c r="G459" s="23">
        <v>17137.0</v>
      </c>
      <c r="H459" s="26">
        <v>0.42</v>
      </c>
      <c r="I459" s="79">
        <v>12269.0</v>
      </c>
      <c r="J459" s="79" t="s">
        <v>1599</v>
      </c>
      <c r="K459" s="80" t="s">
        <v>1606</v>
      </c>
      <c r="L459" s="21">
        <v>41171.0</v>
      </c>
      <c r="M459" s="21">
        <v>29406.0</v>
      </c>
      <c r="N459" s="26">
        <v>0.3</v>
      </c>
      <c r="O459" s="26">
        <v>0.3</v>
      </c>
      <c r="P459" s="81" t="s">
        <v>1595</v>
      </c>
      <c r="Q459" s="26">
        <v>0.59</v>
      </c>
      <c r="R459" s="84">
        <v>0.36</v>
      </c>
      <c r="S459" s="23"/>
      <c r="T459" s="89"/>
      <c r="U459" s="82"/>
      <c r="V459" s="37"/>
      <c r="W459" s="37"/>
    </row>
    <row r="460" ht="14.25" customHeight="1">
      <c r="A460" s="83" t="s">
        <v>302</v>
      </c>
      <c r="B460" s="55" t="s">
        <v>1036</v>
      </c>
      <c r="C460" s="78" t="s">
        <v>796</v>
      </c>
      <c r="D460" s="78" t="s">
        <v>954</v>
      </c>
      <c r="E460" s="21" t="s">
        <v>1035</v>
      </c>
      <c r="F460" s="21" t="s">
        <v>2014</v>
      </c>
      <c r="G460" s="23">
        <v>8355.0</v>
      </c>
      <c r="H460" s="26">
        <v>0.29</v>
      </c>
      <c r="I460" s="79">
        <v>3404.0</v>
      </c>
      <c r="J460" s="79" t="s">
        <v>1608</v>
      </c>
      <c r="K460" s="80" t="s">
        <v>1604</v>
      </c>
      <c r="L460" s="21">
        <v>23524.0</v>
      </c>
      <c r="M460" s="21">
        <v>11759.0</v>
      </c>
      <c r="N460" s="26">
        <v>0.3</v>
      </c>
      <c r="O460" s="26">
        <v>0.3</v>
      </c>
      <c r="P460" s="81" t="s">
        <v>1595</v>
      </c>
      <c r="Q460" s="26">
        <v>0.5</v>
      </c>
      <c r="R460" s="84">
        <v>0.27</v>
      </c>
      <c r="S460" s="23"/>
      <c r="T460" s="89"/>
      <c r="U460" s="82"/>
      <c r="V460" s="37"/>
      <c r="W460" s="37"/>
    </row>
    <row r="461" ht="14.25" customHeight="1">
      <c r="A461" s="83" t="s">
        <v>302</v>
      </c>
      <c r="B461" s="55" t="s">
        <v>1038</v>
      </c>
      <c r="C461" s="78" t="s">
        <v>796</v>
      </c>
      <c r="D461" s="78" t="s">
        <v>954</v>
      </c>
      <c r="E461" s="21" t="s">
        <v>1037</v>
      </c>
      <c r="F461" s="21" t="s">
        <v>2014</v>
      </c>
      <c r="G461" s="23">
        <v>8174.0</v>
      </c>
      <c r="H461" s="26">
        <v>0.3</v>
      </c>
      <c r="I461" s="79">
        <v>3585.0</v>
      </c>
      <c r="J461" s="79" t="s">
        <v>1608</v>
      </c>
      <c r="K461" s="80" t="s">
        <v>1604</v>
      </c>
      <c r="L461" s="21">
        <v>23524.0</v>
      </c>
      <c r="M461" s="21">
        <v>11759.0</v>
      </c>
      <c r="N461" s="26">
        <v>0.3</v>
      </c>
      <c r="O461" s="26">
        <v>0.3</v>
      </c>
      <c r="P461" s="81" t="s">
        <v>1595</v>
      </c>
      <c r="Q461" s="26">
        <v>0.51</v>
      </c>
      <c r="R461" s="84">
        <v>0.28</v>
      </c>
      <c r="S461" s="23"/>
      <c r="T461" s="89"/>
      <c r="U461" s="82"/>
      <c r="V461" s="37"/>
      <c r="W461" s="37"/>
    </row>
    <row r="462" ht="14.25" customHeight="1">
      <c r="A462" s="83" t="s">
        <v>302</v>
      </c>
      <c r="B462" s="55" t="s">
        <v>1040</v>
      </c>
      <c r="C462" s="78" t="s">
        <v>796</v>
      </c>
      <c r="D462" s="78" t="s">
        <v>954</v>
      </c>
      <c r="E462" s="21" t="s">
        <v>1039</v>
      </c>
      <c r="F462" s="21" t="s">
        <v>2014</v>
      </c>
      <c r="G462" s="23">
        <v>8172.0</v>
      </c>
      <c r="H462" s="26">
        <v>0.31</v>
      </c>
      <c r="I462" s="79">
        <v>3587.0</v>
      </c>
      <c r="J462" s="79" t="s">
        <v>1608</v>
      </c>
      <c r="K462" s="80" t="s">
        <v>1604</v>
      </c>
      <c r="L462" s="21">
        <v>23524.0</v>
      </c>
      <c r="M462" s="21">
        <v>11759.0</v>
      </c>
      <c r="N462" s="26">
        <v>0.3</v>
      </c>
      <c r="O462" s="26">
        <v>0.3</v>
      </c>
      <c r="P462" s="81" t="s">
        <v>1595</v>
      </c>
      <c r="Q462" s="26">
        <v>0.51</v>
      </c>
      <c r="R462" s="84">
        <v>0.28</v>
      </c>
      <c r="S462" s="23"/>
      <c r="T462" s="89"/>
      <c r="U462" s="82"/>
      <c r="V462" s="37"/>
      <c r="W462" s="37"/>
    </row>
    <row r="463" ht="14.25" customHeight="1">
      <c r="A463" s="83" t="s">
        <v>302</v>
      </c>
      <c r="B463" s="55" t="s">
        <v>1042</v>
      </c>
      <c r="C463" s="78" t="s">
        <v>796</v>
      </c>
      <c r="D463" s="78" t="s">
        <v>954</v>
      </c>
      <c r="E463" s="21" t="s">
        <v>1041</v>
      </c>
      <c r="F463" s="21" t="s">
        <v>2014</v>
      </c>
      <c r="G463" s="23">
        <v>8265.0</v>
      </c>
      <c r="H463" s="26">
        <v>0.3</v>
      </c>
      <c r="I463" s="79">
        <v>3494.0</v>
      </c>
      <c r="J463" s="79" t="s">
        <v>1608</v>
      </c>
      <c r="K463" s="80" t="s">
        <v>1604</v>
      </c>
      <c r="L463" s="21">
        <v>23524.0</v>
      </c>
      <c r="M463" s="21">
        <v>11759.0</v>
      </c>
      <c r="N463" s="26">
        <v>0.3</v>
      </c>
      <c r="O463" s="26">
        <v>0.3</v>
      </c>
      <c r="P463" s="81" t="s">
        <v>1595</v>
      </c>
      <c r="Q463" s="26">
        <v>0.51</v>
      </c>
      <c r="R463" s="84">
        <v>0.28</v>
      </c>
      <c r="S463" s="23"/>
      <c r="T463" s="89"/>
      <c r="U463" s="82"/>
      <c r="V463" s="37"/>
      <c r="W463" s="37"/>
    </row>
    <row r="464" ht="14.25" customHeight="1">
      <c r="A464" s="83" t="s">
        <v>302</v>
      </c>
      <c r="B464" s="55" t="s">
        <v>1044</v>
      </c>
      <c r="C464" s="78" t="s">
        <v>796</v>
      </c>
      <c r="D464" s="78" t="s">
        <v>954</v>
      </c>
      <c r="E464" s="21" t="s">
        <v>1043</v>
      </c>
      <c r="F464" s="21" t="s">
        <v>2015</v>
      </c>
      <c r="G464" s="23">
        <v>8026.0</v>
      </c>
      <c r="H464" s="26">
        <v>0.32</v>
      </c>
      <c r="I464" s="79">
        <v>3733.0</v>
      </c>
      <c r="J464" s="79" t="s">
        <v>1608</v>
      </c>
      <c r="K464" s="80" t="s">
        <v>1604</v>
      </c>
      <c r="L464" s="21">
        <v>23524.0</v>
      </c>
      <c r="M464" s="21">
        <v>11759.0</v>
      </c>
      <c r="N464" s="26">
        <v>0.3</v>
      </c>
      <c r="O464" s="26">
        <v>0.3</v>
      </c>
      <c r="P464" s="81" t="s">
        <v>1595</v>
      </c>
      <c r="Q464" s="26">
        <v>0.52</v>
      </c>
      <c r="R464" s="84">
        <v>0.29</v>
      </c>
      <c r="S464" s="23"/>
      <c r="T464" s="89"/>
      <c r="U464" s="82"/>
      <c r="V464" s="37"/>
      <c r="W464" s="37"/>
    </row>
    <row r="465" ht="14.25" customHeight="1">
      <c r="A465" s="83" t="s">
        <v>302</v>
      </c>
      <c r="B465" s="55" t="s">
        <v>1046</v>
      </c>
      <c r="C465" s="78" t="s">
        <v>796</v>
      </c>
      <c r="D465" s="78" t="s">
        <v>954</v>
      </c>
      <c r="E465" s="21" t="s">
        <v>1045</v>
      </c>
      <c r="F465" s="21" t="s">
        <v>2015</v>
      </c>
      <c r="G465" s="23">
        <v>8030.0</v>
      </c>
      <c r="H465" s="26">
        <v>0.32</v>
      </c>
      <c r="I465" s="79">
        <v>3729.0</v>
      </c>
      <c r="J465" s="79" t="s">
        <v>1608</v>
      </c>
      <c r="K465" s="80" t="s">
        <v>1604</v>
      </c>
      <c r="L465" s="21">
        <v>23524.0</v>
      </c>
      <c r="M465" s="21">
        <v>11759.0</v>
      </c>
      <c r="N465" s="26">
        <v>0.3</v>
      </c>
      <c r="O465" s="26">
        <v>0.3</v>
      </c>
      <c r="P465" s="81" t="s">
        <v>1595</v>
      </c>
      <c r="Q465" s="26">
        <v>0.52</v>
      </c>
      <c r="R465" s="84">
        <v>0.29</v>
      </c>
      <c r="S465" s="23"/>
      <c r="T465" s="89"/>
      <c r="U465" s="82"/>
      <c r="V465" s="37"/>
      <c r="W465" s="37"/>
    </row>
    <row r="466" ht="14.25" customHeight="1">
      <c r="A466" s="83" t="s">
        <v>302</v>
      </c>
      <c r="B466" s="55" t="s">
        <v>1048</v>
      </c>
      <c r="C466" s="78" t="s">
        <v>796</v>
      </c>
      <c r="D466" s="78" t="s">
        <v>954</v>
      </c>
      <c r="E466" s="21" t="s">
        <v>1047</v>
      </c>
      <c r="F466" s="21" t="s">
        <v>2015</v>
      </c>
      <c r="G466" s="23">
        <v>8032.0</v>
      </c>
      <c r="H466" s="26">
        <v>0.32</v>
      </c>
      <c r="I466" s="79">
        <v>3727.0</v>
      </c>
      <c r="J466" s="79" t="s">
        <v>1608</v>
      </c>
      <c r="K466" s="80" t="s">
        <v>1604</v>
      </c>
      <c r="L466" s="21">
        <v>23524.0</v>
      </c>
      <c r="M466" s="21">
        <v>11759.0</v>
      </c>
      <c r="N466" s="26">
        <v>0.3</v>
      </c>
      <c r="O466" s="26">
        <v>0.3</v>
      </c>
      <c r="P466" s="81" t="s">
        <v>1595</v>
      </c>
      <c r="Q466" s="26">
        <v>0.52</v>
      </c>
      <c r="R466" s="84">
        <v>0.29</v>
      </c>
      <c r="S466" s="23"/>
      <c r="T466" s="89"/>
      <c r="U466" s="82"/>
      <c r="V466" s="37"/>
      <c r="W466" s="37"/>
    </row>
    <row r="467" ht="14.25" customHeight="1">
      <c r="A467" s="83" t="s">
        <v>302</v>
      </c>
      <c r="B467" s="55" t="s">
        <v>1050</v>
      </c>
      <c r="C467" s="78" t="s">
        <v>796</v>
      </c>
      <c r="D467" s="78" t="s">
        <v>954</v>
      </c>
      <c r="E467" s="21" t="s">
        <v>1049</v>
      </c>
      <c r="F467" s="21" t="s">
        <v>2015</v>
      </c>
      <c r="G467" s="23">
        <v>8059.0</v>
      </c>
      <c r="H467" s="26">
        <v>0.31</v>
      </c>
      <c r="I467" s="79">
        <v>3700.0</v>
      </c>
      <c r="J467" s="79" t="s">
        <v>1608</v>
      </c>
      <c r="K467" s="80" t="s">
        <v>1604</v>
      </c>
      <c r="L467" s="21">
        <v>23524.0</v>
      </c>
      <c r="M467" s="21">
        <v>11759.0</v>
      </c>
      <c r="N467" s="26">
        <v>0.3</v>
      </c>
      <c r="O467" s="26">
        <v>0.3</v>
      </c>
      <c r="P467" s="81" t="s">
        <v>1595</v>
      </c>
      <c r="Q467" s="26">
        <v>0.52</v>
      </c>
      <c r="R467" s="84">
        <v>0.29</v>
      </c>
      <c r="S467" s="23"/>
      <c r="T467" s="89"/>
      <c r="U467" s="82"/>
      <c r="V467" s="37"/>
      <c r="W467" s="37"/>
    </row>
    <row r="468" ht="14.25" customHeight="1">
      <c r="A468" s="83" t="s">
        <v>302</v>
      </c>
      <c r="B468" s="55" t="s">
        <v>1052</v>
      </c>
      <c r="C468" s="78" t="s">
        <v>796</v>
      </c>
      <c r="D468" s="78" t="s">
        <v>954</v>
      </c>
      <c r="E468" s="21" t="s">
        <v>1051</v>
      </c>
      <c r="F468" s="21" t="s">
        <v>2016</v>
      </c>
      <c r="G468" s="23">
        <v>9096.0</v>
      </c>
      <c r="H468" s="26">
        <v>0.48</v>
      </c>
      <c r="I468" s="79">
        <v>8545.0</v>
      </c>
      <c r="J468" s="79" t="s">
        <v>1616</v>
      </c>
      <c r="K468" s="80" t="s">
        <v>1603</v>
      </c>
      <c r="L468" s="21">
        <v>26465.0</v>
      </c>
      <c r="M468" s="21">
        <v>17641.0</v>
      </c>
      <c r="N468" s="26">
        <v>0.3</v>
      </c>
      <c r="O468" s="26">
        <v>0.3</v>
      </c>
      <c r="P468" s="81" t="s">
        <v>1595</v>
      </c>
      <c r="Q468" s="26">
        <v>0.64</v>
      </c>
      <c r="R468" s="84">
        <v>0.41</v>
      </c>
      <c r="S468" s="23"/>
      <c r="T468" s="89"/>
      <c r="U468" s="82"/>
      <c r="V468" s="37"/>
      <c r="W468" s="37"/>
    </row>
    <row r="469" ht="14.25" customHeight="1">
      <c r="A469" s="83" t="s">
        <v>302</v>
      </c>
      <c r="B469" s="55" t="s">
        <v>1054</v>
      </c>
      <c r="C469" s="78" t="s">
        <v>796</v>
      </c>
      <c r="D469" s="78" t="s">
        <v>954</v>
      </c>
      <c r="E469" s="21" t="s">
        <v>1053</v>
      </c>
      <c r="F469" s="21" t="s">
        <v>2016</v>
      </c>
      <c r="G469" s="23">
        <v>9096.0</v>
      </c>
      <c r="H469" s="26">
        <v>0.48</v>
      </c>
      <c r="I469" s="79">
        <v>8545.0</v>
      </c>
      <c r="J469" s="79" t="s">
        <v>1616</v>
      </c>
      <c r="K469" s="80" t="s">
        <v>1603</v>
      </c>
      <c r="L469" s="21">
        <v>26465.0</v>
      </c>
      <c r="M469" s="21">
        <v>17641.0</v>
      </c>
      <c r="N469" s="26">
        <v>0.3</v>
      </c>
      <c r="O469" s="26">
        <v>0.3</v>
      </c>
      <c r="P469" s="81" t="s">
        <v>1595</v>
      </c>
      <c r="Q469" s="26">
        <v>0.64</v>
      </c>
      <c r="R469" s="84">
        <v>0.41</v>
      </c>
      <c r="S469" s="23"/>
      <c r="T469" s="89"/>
      <c r="U469" s="82"/>
      <c r="V469" s="37"/>
      <c r="W469" s="37"/>
    </row>
    <row r="470" ht="14.25" customHeight="1">
      <c r="A470" s="83" t="s">
        <v>302</v>
      </c>
      <c r="B470" s="55" t="s">
        <v>1056</v>
      </c>
      <c r="C470" s="78" t="s">
        <v>796</v>
      </c>
      <c r="D470" s="78" t="s">
        <v>954</v>
      </c>
      <c r="E470" s="21" t="s">
        <v>1055</v>
      </c>
      <c r="F470" s="21" t="s">
        <v>2016</v>
      </c>
      <c r="G470" s="23">
        <v>9096.0</v>
      </c>
      <c r="H470" s="26">
        <v>0.48</v>
      </c>
      <c r="I470" s="79">
        <v>8545.0</v>
      </c>
      <c r="J470" s="79" t="s">
        <v>1616</v>
      </c>
      <c r="K470" s="80" t="s">
        <v>1603</v>
      </c>
      <c r="L470" s="21">
        <v>26465.0</v>
      </c>
      <c r="M470" s="21">
        <v>17641.0</v>
      </c>
      <c r="N470" s="26">
        <v>0.3</v>
      </c>
      <c r="O470" s="26">
        <v>0.3</v>
      </c>
      <c r="P470" s="81" t="s">
        <v>1595</v>
      </c>
      <c r="Q470" s="26">
        <v>0.64</v>
      </c>
      <c r="R470" s="84">
        <v>0.41</v>
      </c>
      <c r="S470" s="90"/>
      <c r="T470" s="90"/>
      <c r="U470" s="82"/>
      <c r="V470" s="37"/>
      <c r="W470" s="37"/>
    </row>
    <row r="471" ht="14.25" customHeight="1">
      <c r="A471" s="83" t="s">
        <v>302</v>
      </c>
      <c r="B471" s="55" t="s">
        <v>1058</v>
      </c>
      <c r="C471" s="78" t="s">
        <v>796</v>
      </c>
      <c r="D471" s="78" t="s">
        <v>954</v>
      </c>
      <c r="E471" s="21" t="s">
        <v>1057</v>
      </c>
      <c r="F471" s="21" t="s">
        <v>2016</v>
      </c>
      <c r="G471" s="23">
        <v>9096.0</v>
      </c>
      <c r="H471" s="26">
        <v>0.48</v>
      </c>
      <c r="I471" s="79">
        <v>8545.0</v>
      </c>
      <c r="J471" s="79" t="s">
        <v>1616</v>
      </c>
      <c r="K471" s="80" t="s">
        <v>1603</v>
      </c>
      <c r="L471" s="21">
        <v>26465.0</v>
      </c>
      <c r="M471" s="21">
        <v>17641.0</v>
      </c>
      <c r="N471" s="26">
        <v>0.3</v>
      </c>
      <c r="O471" s="26">
        <v>0.3</v>
      </c>
      <c r="P471" s="81" t="s">
        <v>1595</v>
      </c>
      <c r="Q471" s="26">
        <v>0.64</v>
      </c>
      <c r="R471" s="84">
        <v>0.41</v>
      </c>
      <c r="S471" s="23"/>
      <c r="T471" s="89"/>
      <c r="U471" s="82"/>
      <c r="V471" s="37"/>
      <c r="W471" s="37"/>
    </row>
    <row r="472" ht="14.25" customHeight="1">
      <c r="A472" s="83" t="s">
        <v>302</v>
      </c>
      <c r="B472" s="55" t="s">
        <v>1060</v>
      </c>
      <c r="C472" s="78" t="s">
        <v>796</v>
      </c>
      <c r="D472" s="78" t="s">
        <v>954</v>
      </c>
      <c r="E472" s="21" t="s">
        <v>1059</v>
      </c>
      <c r="F472" s="21" t="s">
        <v>2016</v>
      </c>
      <c r="G472" s="23">
        <v>9096.0</v>
      </c>
      <c r="H472" s="26">
        <v>0.48</v>
      </c>
      <c r="I472" s="79">
        <v>8545.0</v>
      </c>
      <c r="J472" s="79" t="s">
        <v>1616</v>
      </c>
      <c r="K472" s="80" t="s">
        <v>1603</v>
      </c>
      <c r="L472" s="21">
        <v>26465.0</v>
      </c>
      <c r="M472" s="21">
        <v>17641.0</v>
      </c>
      <c r="N472" s="26">
        <v>0.3</v>
      </c>
      <c r="O472" s="26">
        <v>0.3</v>
      </c>
      <c r="P472" s="81" t="s">
        <v>1595</v>
      </c>
      <c r="Q472" s="26">
        <v>0.64</v>
      </c>
      <c r="R472" s="84">
        <v>0.41</v>
      </c>
      <c r="S472" s="23"/>
      <c r="T472" s="89"/>
      <c r="U472" s="82"/>
      <c r="V472" s="37"/>
      <c r="W472" s="37"/>
    </row>
    <row r="473" ht="14.25" customHeight="1">
      <c r="A473" s="83" t="s">
        <v>302</v>
      </c>
      <c r="B473" s="55" t="s">
        <v>1062</v>
      </c>
      <c r="C473" s="78" t="s">
        <v>796</v>
      </c>
      <c r="D473" s="78" t="s">
        <v>954</v>
      </c>
      <c r="E473" s="21" t="s">
        <v>1061</v>
      </c>
      <c r="F473" s="21" t="s">
        <v>2016</v>
      </c>
      <c r="G473" s="23">
        <v>9096.0</v>
      </c>
      <c r="H473" s="26">
        <v>0.48</v>
      </c>
      <c r="I473" s="79">
        <v>8545.0</v>
      </c>
      <c r="J473" s="79" t="s">
        <v>1616</v>
      </c>
      <c r="K473" s="80" t="s">
        <v>1603</v>
      </c>
      <c r="L473" s="21">
        <v>26465.0</v>
      </c>
      <c r="M473" s="21">
        <v>17641.0</v>
      </c>
      <c r="N473" s="26">
        <v>0.3</v>
      </c>
      <c r="O473" s="26">
        <v>0.3</v>
      </c>
      <c r="P473" s="81" t="s">
        <v>1595</v>
      </c>
      <c r="Q473" s="26">
        <v>0.64</v>
      </c>
      <c r="R473" s="84">
        <v>0.41</v>
      </c>
      <c r="S473" s="23"/>
      <c r="T473" s="89"/>
      <c r="U473" s="82"/>
      <c r="V473" s="37"/>
      <c r="W473" s="37"/>
    </row>
    <row r="474" ht="14.25" customHeight="1">
      <c r="A474" s="83" t="s">
        <v>302</v>
      </c>
      <c r="B474" s="55" t="s">
        <v>1064</v>
      </c>
      <c r="C474" s="78" t="s">
        <v>796</v>
      </c>
      <c r="D474" s="78" t="s">
        <v>954</v>
      </c>
      <c r="E474" s="21" t="s">
        <v>1063</v>
      </c>
      <c r="F474" s="21" t="s">
        <v>2016</v>
      </c>
      <c r="G474" s="23">
        <v>9096.0</v>
      </c>
      <c r="H474" s="26">
        <v>0.48</v>
      </c>
      <c r="I474" s="79">
        <v>8545.0</v>
      </c>
      <c r="J474" s="79" t="s">
        <v>1616</v>
      </c>
      <c r="K474" s="80" t="s">
        <v>1603</v>
      </c>
      <c r="L474" s="21">
        <v>26465.0</v>
      </c>
      <c r="M474" s="21">
        <v>17641.0</v>
      </c>
      <c r="N474" s="26">
        <v>0.3</v>
      </c>
      <c r="O474" s="26">
        <v>0.3</v>
      </c>
      <c r="P474" s="81" t="s">
        <v>1595</v>
      </c>
      <c r="Q474" s="26">
        <v>0.64</v>
      </c>
      <c r="R474" s="84">
        <v>0.41</v>
      </c>
      <c r="S474" s="23"/>
      <c r="T474" s="89"/>
      <c r="U474" s="82"/>
      <c r="V474" s="37"/>
      <c r="W474" s="37"/>
    </row>
    <row r="475" ht="14.25" customHeight="1">
      <c r="A475" s="83" t="s">
        <v>302</v>
      </c>
      <c r="B475" s="55" t="s">
        <v>1066</v>
      </c>
      <c r="C475" s="78" t="s">
        <v>796</v>
      </c>
      <c r="D475" s="78" t="s">
        <v>954</v>
      </c>
      <c r="E475" s="21" t="s">
        <v>1065</v>
      </c>
      <c r="F475" s="21" t="s">
        <v>2016</v>
      </c>
      <c r="G475" s="23">
        <v>9096.0</v>
      </c>
      <c r="H475" s="26">
        <v>0.48</v>
      </c>
      <c r="I475" s="79">
        <v>8545.0</v>
      </c>
      <c r="J475" s="79" t="s">
        <v>1616</v>
      </c>
      <c r="K475" s="80" t="s">
        <v>1603</v>
      </c>
      <c r="L475" s="21">
        <v>26465.0</v>
      </c>
      <c r="M475" s="21">
        <v>17641.0</v>
      </c>
      <c r="N475" s="26">
        <v>0.3</v>
      </c>
      <c r="O475" s="26">
        <v>0.3</v>
      </c>
      <c r="P475" s="81" t="s">
        <v>1595</v>
      </c>
      <c r="Q475" s="26">
        <v>0.64</v>
      </c>
      <c r="R475" s="84">
        <v>0.41</v>
      </c>
      <c r="S475" s="23"/>
      <c r="T475" s="89"/>
      <c r="U475" s="82"/>
      <c r="V475" s="37"/>
      <c r="W475" s="37"/>
    </row>
    <row r="476" ht="14.25" customHeight="1">
      <c r="A476" s="83" t="s">
        <v>302</v>
      </c>
      <c r="B476" s="55" t="s">
        <v>1069</v>
      </c>
      <c r="C476" s="78" t="s">
        <v>796</v>
      </c>
      <c r="D476" s="78" t="s">
        <v>1067</v>
      </c>
      <c r="E476" s="21" t="s">
        <v>2017</v>
      </c>
      <c r="F476" s="21" t="s">
        <v>2018</v>
      </c>
      <c r="G476" s="23">
        <v>5875.0</v>
      </c>
      <c r="H476" s="26">
        <v>0.0</v>
      </c>
      <c r="I476" s="79">
        <v>1.0</v>
      </c>
      <c r="J476" s="79" t="s">
        <v>1613</v>
      </c>
      <c r="K476" s="80" t="s">
        <v>1618</v>
      </c>
      <c r="L476" s="21">
        <v>13524.0</v>
      </c>
      <c r="M476" s="21">
        <v>5876.0</v>
      </c>
      <c r="N476" s="26">
        <v>0.3</v>
      </c>
      <c r="O476" s="26">
        <v>0.3</v>
      </c>
      <c r="P476" s="81" t="s">
        <v>1595</v>
      </c>
      <c r="Q476" s="26">
        <v>0.3</v>
      </c>
      <c r="R476" s="84">
        <v>0.07</v>
      </c>
      <c r="S476" s="23"/>
      <c r="T476" s="89"/>
      <c r="U476" s="82"/>
      <c r="V476" s="37"/>
      <c r="W476" s="37"/>
    </row>
    <row r="477" ht="14.25" customHeight="1">
      <c r="A477" s="83" t="s">
        <v>302</v>
      </c>
      <c r="B477" s="55" t="s">
        <v>1071</v>
      </c>
      <c r="C477" s="78" t="s">
        <v>796</v>
      </c>
      <c r="D477" s="78" t="s">
        <v>1067</v>
      </c>
      <c r="E477" s="21" t="s">
        <v>2017</v>
      </c>
      <c r="F477" s="21" t="s">
        <v>2018</v>
      </c>
      <c r="G477" s="23">
        <v>5875.0</v>
      </c>
      <c r="H477" s="26">
        <v>0.0</v>
      </c>
      <c r="I477" s="79">
        <v>1.0</v>
      </c>
      <c r="J477" s="79" t="s">
        <v>1613</v>
      </c>
      <c r="K477" s="80" t="s">
        <v>1618</v>
      </c>
      <c r="L477" s="21">
        <v>13524.0</v>
      </c>
      <c r="M477" s="21">
        <v>5876.0</v>
      </c>
      <c r="N477" s="26">
        <v>0.3</v>
      </c>
      <c r="O477" s="26">
        <v>0.3</v>
      </c>
      <c r="P477" s="81" t="s">
        <v>1595</v>
      </c>
      <c r="Q477" s="26">
        <v>0.3</v>
      </c>
      <c r="R477" s="84">
        <v>0.07</v>
      </c>
      <c r="S477" s="23"/>
      <c r="T477" s="89"/>
      <c r="U477" s="82"/>
      <c r="V477" s="37"/>
      <c r="W477" s="37"/>
    </row>
    <row r="478" ht="14.25" customHeight="1">
      <c r="A478" s="83" t="s">
        <v>302</v>
      </c>
      <c r="B478" s="77" t="s">
        <v>1073</v>
      </c>
      <c r="C478" s="78" t="s">
        <v>796</v>
      </c>
      <c r="D478" s="78" t="s">
        <v>1067</v>
      </c>
      <c r="E478" s="21" t="s">
        <v>2017</v>
      </c>
      <c r="F478" s="21" t="s">
        <v>2018</v>
      </c>
      <c r="G478" s="23">
        <v>5875.0</v>
      </c>
      <c r="H478" s="26">
        <v>0.0</v>
      </c>
      <c r="I478" s="79">
        <v>1.0</v>
      </c>
      <c r="J478" s="79" t="s">
        <v>1613</v>
      </c>
      <c r="K478" s="80" t="s">
        <v>1618</v>
      </c>
      <c r="L478" s="21">
        <v>13524.0</v>
      </c>
      <c r="M478" s="21">
        <v>5876.0</v>
      </c>
      <c r="N478" s="26">
        <v>0.3</v>
      </c>
      <c r="O478" s="26">
        <v>0.3</v>
      </c>
      <c r="P478" s="81" t="s">
        <v>1595</v>
      </c>
      <c r="Q478" s="26">
        <v>0.3</v>
      </c>
      <c r="R478" s="84">
        <v>0.07</v>
      </c>
      <c r="S478" s="23"/>
      <c r="T478" s="89"/>
      <c r="U478" s="82"/>
      <c r="V478" s="37"/>
      <c r="W478" s="37"/>
    </row>
    <row r="479" ht="14.25" customHeight="1">
      <c r="A479" s="83" t="s">
        <v>302</v>
      </c>
      <c r="B479" s="55" t="s">
        <v>1075</v>
      </c>
      <c r="C479" s="78" t="s">
        <v>796</v>
      </c>
      <c r="D479" s="78" t="s">
        <v>1067</v>
      </c>
      <c r="E479" s="21" t="s">
        <v>2017</v>
      </c>
      <c r="F479" s="21" t="s">
        <v>2018</v>
      </c>
      <c r="G479" s="23">
        <v>5875.0</v>
      </c>
      <c r="H479" s="26">
        <v>0.0</v>
      </c>
      <c r="I479" s="79">
        <v>1.0</v>
      </c>
      <c r="J479" s="79" t="s">
        <v>1613</v>
      </c>
      <c r="K479" s="80" t="s">
        <v>1618</v>
      </c>
      <c r="L479" s="21">
        <v>13524.0</v>
      </c>
      <c r="M479" s="21">
        <v>5876.0</v>
      </c>
      <c r="N479" s="26">
        <v>0.3</v>
      </c>
      <c r="O479" s="26">
        <v>0.3</v>
      </c>
      <c r="P479" s="81" t="s">
        <v>1595</v>
      </c>
      <c r="Q479" s="26">
        <v>0.3</v>
      </c>
      <c r="R479" s="84">
        <v>0.07</v>
      </c>
      <c r="S479" s="23"/>
      <c r="T479" s="89"/>
      <c r="U479" s="82"/>
      <c r="V479" s="37"/>
      <c r="W479" s="37"/>
    </row>
    <row r="480" ht="14.25" customHeight="1">
      <c r="A480" s="83" t="s">
        <v>302</v>
      </c>
      <c r="B480" s="55" t="s">
        <v>1077</v>
      </c>
      <c r="C480" s="78" t="s">
        <v>796</v>
      </c>
      <c r="D480" s="78" t="s">
        <v>1067</v>
      </c>
      <c r="E480" s="21" t="s">
        <v>2017</v>
      </c>
      <c r="F480" s="21" t="s">
        <v>2018</v>
      </c>
      <c r="G480" s="23">
        <v>5875.0</v>
      </c>
      <c r="H480" s="26">
        <v>0.0</v>
      </c>
      <c r="I480" s="79">
        <v>1.0</v>
      </c>
      <c r="J480" s="79" t="s">
        <v>1613</v>
      </c>
      <c r="K480" s="80" t="s">
        <v>1618</v>
      </c>
      <c r="L480" s="21">
        <v>13524.0</v>
      </c>
      <c r="M480" s="21">
        <v>5876.0</v>
      </c>
      <c r="N480" s="26">
        <v>0.3</v>
      </c>
      <c r="O480" s="26">
        <v>0.3</v>
      </c>
      <c r="P480" s="81" t="s">
        <v>1595</v>
      </c>
      <c r="Q480" s="26">
        <v>0.3</v>
      </c>
      <c r="R480" s="84">
        <v>0.07</v>
      </c>
      <c r="S480" s="23"/>
      <c r="T480" s="89"/>
      <c r="U480" s="82"/>
      <c r="V480" s="37"/>
      <c r="W480" s="37"/>
    </row>
    <row r="481" ht="14.25" customHeight="1">
      <c r="A481" s="83" t="s">
        <v>302</v>
      </c>
      <c r="B481" s="77" t="s">
        <v>1079</v>
      </c>
      <c r="C481" s="78" t="s">
        <v>796</v>
      </c>
      <c r="D481" s="78" t="s">
        <v>1067</v>
      </c>
      <c r="E481" s="21" t="s">
        <v>2017</v>
      </c>
      <c r="F481" s="21" t="s">
        <v>2018</v>
      </c>
      <c r="G481" s="23">
        <v>5875.0</v>
      </c>
      <c r="H481" s="26">
        <v>0.0</v>
      </c>
      <c r="I481" s="79">
        <v>1.0</v>
      </c>
      <c r="J481" s="79" t="s">
        <v>1613</v>
      </c>
      <c r="K481" s="80" t="s">
        <v>1618</v>
      </c>
      <c r="L481" s="21">
        <v>13524.0</v>
      </c>
      <c r="M481" s="21">
        <v>5876.0</v>
      </c>
      <c r="N481" s="26">
        <v>0.3</v>
      </c>
      <c r="O481" s="26">
        <v>0.3</v>
      </c>
      <c r="P481" s="81" t="s">
        <v>1595</v>
      </c>
      <c r="Q481" s="26">
        <v>0.3</v>
      </c>
      <c r="R481" s="84">
        <v>0.07</v>
      </c>
      <c r="S481" s="23"/>
      <c r="T481" s="89"/>
      <c r="U481" s="82"/>
      <c r="V481" s="37"/>
      <c r="W481" s="37"/>
    </row>
    <row r="482" ht="14.25" customHeight="1">
      <c r="A482" s="83" t="s">
        <v>302</v>
      </c>
      <c r="B482" s="55" t="s">
        <v>1081</v>
      </c>
      <c r="C482" s="78" t="s">
        <v>796</v>
      </c>
      <c r="D482" s="78" t="s">
        <v>1067</v>
      </c>
      <c r="E482" s="21" t="s">
        <v>2017</v>
      </c>
      <c r="F482" s="21" t="s">
        <v>2018</v>
      </c>
      <c r="G482" s="23">
        <v>5875.0</v>
      </c>
      <c r="H482" s="26">
        <v>0.0</v>
      </c>
      <c r="I482" s="79">
        <v>1.0</v>
      </c>
      <c r="J482" s="79" t="s">
        <v>1613</v>
      </c>
      <c r="K482" s="80" t="s">
        <v>1618</v>
      </c>
      <c r="L482" s="21">
        <v>13524.0</v>
      </c>
      <c r="M482" s="21">
        <v>5876.0</v>
      </c>
      <c r="N482" s="26">
        <v>0.3</v>
      </c>
      <c r="O482" s="26">
        <v>0.3</v>
      </c>
      <c r="P482" s="81" t="s">
        <v>1595</v>
      </c>
      <c r="Q482" s="26">
        <v>0.3</v>
      </c>
      <c r="R482" s="84">
        <v>0.07</v>
      </c>
      <c r="S482" s="23"/>
      <c r="T482" s="89"/>
      <c r="U482" s="82"/>
      <c r="V482" s="37"/>
      <c r="W482" s="37"/>
    </row>
    <row r="483" ht="14.25" customHeight="1">
      <c r="A483" s="83" t="s">
        <v>302</v>
      </c>
      <c r="B483" s="55" t="s">
        <v>1083</v>
      </c>
      <c r="C483" s="78" t="s">
        <v>796</v>
      </c>
      <c r="D483" s="78" t="s">
        <v>1067</v>
      </c>
      <c r="E483" s="21" t="s">
        <v>2017</v>
      </c>
      <c r="F483" s="21" t="s">
        <v>2018</v>
      </c>
      <c r="G483" s="23">
        <v>5875.0</v>
      </c>
      <c r="H483" s="26">
        <v>0.0</v>
      </c>
      <c r="I483" s="79">
        <v>1.0</v>
      </c>
      <c r="J483" s="79" t="s">
        <v>1613</v>
      </c>
      <c r="K483" s="80" t="s">
        <v>1618</v>
      </c>
      <c r="L483" s="21">
        <v>13524.0</v>
      </c>
      <c r="M483" s="21">
        <v>5876.0</v>
      </c>
      <c r="N483" s="26">
        <v>0.3</v>
      </c>
      <c r="O483" s="26">
        <v>0.3</v>
      </c>
      <c r="P483" s="81" t="s">
        <v>1595</v>
      </c>
      <c r="Q483" s="26">
        <v>0.3</v>
      </c>
      <c r="R483" s="84">
        <v>0.07</v>
      </c>
      <c r="S483" s="23"/>
      <c r="T483" s="89"/>
      <c r="U483" s="82"/>
      <c r="V483" s="37"/>
      <c r="W483" s="37"/>
    </row>
    <row r="484" ht="14.25" customHeight="1">
      <c r="A484" s="83" t="s">
        <v>302</v>
      </c>
      <c r="B484" s="91" t="s">
        <v>1085</v>
      </c>
      <c r="C484" s="78" t="s">
        <v>796</v>
      </c>
      <c r="D484" s="78" t="s">
        <v>1067</v>
      </c>
      <c r="E484" s="21" t="s">
        <v>2017</v>
      </c>
      <c r="F484" s="21" t="s">
        <v>2018</v>
      </c>
      <c r="G484" s="23">
        <v>5875.0</v>
      </c>
      <c r="H484" s="26">
        <v>0.0</v>
      </c>
      <c r="I484" s="79">
        <v>1.0</v>
      </c>
      <c r="J484" s="79" t="s">
        <v>1613</v>
      </c>
      <c r="K484" s="80" t="s">
        <v>1618</v>
      </c>
      <c r="L484" s="21">
        <v>13524.0</v>
      </c>
      <c r="M484" s="21">
        <v>5876.0</v>
      </c>
      <c r="N484" s="26">
        <v>0.3</v>
      </c>
      <c r="O484" s="26">
        <v>0.3</v>
      </c>
      <c r="P484" s="81" t="s">
        <v>1595</v>
      </c>
      <c r="Q484" s="26">
        <v>0.3</v>
      </c>
      <c r="R484" s="84">
        <v>0.07</v>
      </c>
      <c r="S484" s="23"/>
      <c r="T484" s="89"/>
      <c r="U484" s="82"/>
      <c r="V484" s="37"/>
      <c r="W484" s="37"/>
    </row>
    <row r="485" ht="14.25" customHeight="1">
      <c r="A485" s="83" t="s">
        <v>302</v>
      </c>
      <c r="B485" s="55" t="s">
        <v>1087</v>
      </c>
      <c r="C485" s="78" t="s">
        <v>796</v>
      </c>
      <c r="D485" s="78" t="s">
        <v>1067</v>
      </c>
      <c r="E485" s="21" t="s">
        <v>2017</v>
      </c>
      <c r="F485" s="21" t="s">
        <v>2018</v>
      </c>
      <c r="G485" s="23">
        <v>5875.0</v>
      </c>
      <c r="H485" s="26">
        <v>0.0</v>
      </c>
      <c r="I485" s="79">
        <v>1.0</v>
      </c>
      <c r="J485" s="79" t="s">
        <v>1613</v>
      </c>
      <c r="K485" s="80" t="s">
        <v>1618</v>
      </c>
      <c r="L485" s="21">
        <v>13524.0</v>
      </c>
      <c r="M485" s="21">
        <v>5876.0</v>
      </c>
      <c r="N485" s="26">
        <v>0.3</v>
      </c>
      <c r="O485" s="26">
        <v>0.3</v>
      </c>
      <c r="P485" s="81" t="s">
        <v>1595</v>
      </c>
      <c r="Q485" s="26">
        <v>0.3</v>
      </c>
      <c r="R485" s="84">
        <v>0.07</v>
      </c>
      <c r="S485" s="23"/>
      <c r="T485" s="89"/>
      <c r="U485" s="82"/>
      <c r="V485" s="37"/>
      <c r="W485" s="37"/>
    </row>
    <row r="486" ht="14.25" customHeight="1">
      <c r="A486" s="83" t="s">
        <v>302</v>
      </c>
      <c r="B486" s="91" t="s">
        <v>1089</v>
      </c>
      <c r="C486" s="78" t="s">
        <v>796</v>
      </c>
      <c r="D486" s="78" t="s">
        <v>1067</v>
      </c>
      <c r="E486" s="21" t="s">
        <v>2017</v>
      </c>
      <c r="F486" s="21" t="s">
        <v>1088</v>
      </c>
      <c r="G486" s="23">
        <v>5875.0</v>
      </c>
      <c r="H486" s="26">
        <v>0.0</v>
      </c>
      <c r="I486" s="79">
        <v>1.0</v>
      </c>
      <c r="J486" s="79" t="s">
        <v>1613</v>
      </c>
      <c r="K486" s="80" t="s">
        <v>1618</v>
      </c>
      <c r="L486" s="21">
        <v>13524.0</v>
      </c>
      <c r="M486" s="21">
        <v>5876.0</v>
      </c>
      <c r="N486" s="26">
        <v>0.3</v>
      </c>
      <c r="O486" s="26">
        <v>0.3</v>
      </c>
      <c r="P486" s="81" t="s">
        <v>1595</v>
      </c>
      <c r="Q486" s="26">
        <v>0.3</v>
      </c>
      <c r="R486" s="84">
        <v>0.07</v>
      </c>
      <c r="S486" s="23"/>
      <c r="T486" s="89"/>
      <c r="U486" s="82"/>
      <c r="V486" s="37"/>
      <c r="W486" s="37"/>
    </row>
    <row r="487" ht="14.25" customHeight="1">
      <c r="A487" s="83" t="s">
        <v>302</v>
      </c>
      <c r="B487" s="55" t="s">
        <v>1091</v>
      </c>
      <c r="C487" s="78" t="s">
        <v>796</v>
      </c>
      <c r="D487" s="78" t="s">
        <v>1067</v>
      </c>
      <c r="E487" s="21" t="s">
        <v>2017</v>
      </c>
      <c r="F487" s="21" t="s">
        <v>2018</v>
      </c>
      <c r="G487" s="23">
        <v>5875.0</v>
      </c>
      <c r="H487" s="26">
        <v>0.0</v>
      </c>
      <c r="I487" s="79">
        <v>1.0</v>
      </c>
      <c r="J487" s="79" t="s">
        <v>1613</v>
      </c>
      <c r="K487" s="80" t="s">
        <v>1618</v>
      </c>
      <c r="L487" s="21">
        <v>13524.0</v>
      </c>
      <c r="M487" s="21">
        <v>5876.0</v>
      </c>
      <c r="N487" s="26">
        <v>0.3</v>
      </c>
      <c r="O487" s="26">
        <v>0.3</v>
      </c>
      <c r="P487" s="81" t="s">
        <v>1595</v>
      </c>
      <c r="Q487" s="26">
        <v>0.3</v>
      </c>
      <c r="R487" s="84">
        <v>0.07</v>
      </c>
      <c r="S487" s="23"/>
      <c r="T487" s="89"/>
      <c r="U487" s="82"/>
      <c r="V487" s="37"/>
      <c r="W487" s="37"/>
    </row>
    <row r="488" ht="14.25" customHeight="1">
      <c r="A488" s="83" t="s">
        <v>302</v>
      </c>
      <c r="B488" s="55" t="s">
        <v>1093</v>
      </c>
      <c r="C488" s="78" t="s">
        <v>796</v>
      </c>
      <c r="D488" s="78" t="s">
        <v>1067</v>
      </c>
      <c r="E488" s="21" t="s">
        <v>2019</v>
      </c>
      <c r="F488" s="21" t="s">
        <v>2020</v>
      </c>
      <c r="G488" s="23">
        <v>7834.0</v>
      </c>
      <c r="H488" s="26">
        <v>0.33</v>
      </c>
      <c r="I488" s="79">
        <v>3925.0</v>
      </c>
      <c r="J488" s="79" t="s">
        <v>1603</v>
      </c>
      <c r="K488" s="80" t="s">
        <v>1604</v>
      </c>
      <c r="L488" s="21">
        <v>17641.0</v>
      </c>
      <c r="M488" s="21">
        <v>11759.0</v>
      </c>
      <c r="N488" s="26">
        <v>0.3</v>
      </c>
      <c r="O488" s="26">
        <v>0.3</v>
      </c>
      <c r="P488" s="81" t="s">
        <v>1595</v>
      </c>
      <c r="Q488" s="26">
        <v>0.53</v>
      </c>
      <c r="R488" s="84">
        <v>0.3</v>
      </c>
      <c r="S488" s="23"/>
      <c r="T488" s="89"/>
      <c r="U488" s="82"/>
      <c r="V488" s="37"/>
      <c r="W488" s="37"/>
    </row>
    <row r="489" ht="14.25" customHeight="1">
      <c r="A489" s="83" t="s">
        <v>302</v>
      </c>
      <c r="B489" s="55" t="s">
        <v>1095</v>
      </c>
      <c r="C489" s="78" t="s">
        <v>796</v>
      </c>
      <c r="D489" s="78" t="s">
        <v>1067</v>
      </c>
      <c r="E489" s="21" t="s">
        <v>2019</v>
      </c>
      <c r="F489" s="21" t="s">
        <v>2020</v>
      </c>
      <c r="G489" s="23">
        <v>7834.0</v>
      </c>
      <c r="H489" s="26">
        <v>0.33</v>
      </c>
      <c r="I489" s="79">
        <v>3925.0</v>
      </c>
      <c r="J489" s="79" t="s">
        <v>1603</v>
      </c>
      <c r="K489" s="80" t="s">
        <v>1604</v>
      </c>
      <c r="L489" s="21">
        <v>17641.0</v>
      </c>
      <c r="M489" s="21">
        <v>11759.0</v>
      </c>
      <c r="N489" s="26">
        <v>0.3</v>
      </c>
      <c r="O489" s="26">
        <v>0.3</v>
      </c>
      <c r="P489" s="81" t="s">
        <v>1595</v>
      </c>
      <c r="Q489" s="26">
        <v>0.53</v>
      </c>
      <c r="R489" s="84">
        <v>0.3</v>
      </c>
      <c r="S489" s="23"/>
      <c r="T489" s="89"/>
      <c r="U489" s="82"/>
      <c r="V489" s="37"/>
      <c r="W489" s="37"/>
    </row>
    <row r="490" ht="14.25" customHeight="1">
      <c r="A490" s="83" t="s">
        <v>302</v>
      </c>
      <c r="B490" s="55" t="s">
        <v>1097</v>
      </c>
      <c r="C490" s="78" t="s">
        <v>796</v>
      </c>
      <c r="D490" s="78" t="s">
        <v>1067</v>
      </c>
      <c r="E490" s="21" t="s">
        <v>2019</v>
      </c>
      <c r="F490" s="21" t="s">
        <v>2020</v>
      </c>
      <c r="G490" s="23">
        <v>7834.0</v>
      </c>
      <c r="H490" s="26">
        <v>0.33</v>
      </c>
      <c r="I490" s="79">
        <v>3925.0</v>
      </c>
      <c r="J490" s="79" t="s">
        <v>1603</v>
      </c>
      <c r="K490" s="80" t="s">
        <v>1604</v>
      </c>
      <c r="L490" s="21">
        <v>17641.0</v>
      </c>
      <c r="M490" s="21">
        <v>11759.0</v>
      </c>
      <c r="N490" s="26">
        <v>0.3</v>
      </c>
      <c r="O490" s="26">
        <v>0.3</v>
      </c>
      <c r="P490" s="81" t="s">
        <v>1595</v>
      </c>
      <c r="Q490" s="26">
        <v>0.53</v>
      </c>
      <c r="R490" s="84">
        <v>0.3</v>
      </c>
      <c r="S490" s="23"/>
      <c r="T490" s="89"/>
      <c r="U490" s="82"/>
      <c r="V490" s="37"/>
      <c r="W490" s="37"/>
    </row>
    <row r="491" ht="14.25" customHeight="1">
      <c r="A491" s="83" t="s">
        <v>302</v>
      </c>
      <c r="B491" s="55" t="s">
        <v>1099</v>
      </c>
      <c r="C491" s="78" t="s">
        <v>796</v>
      </c>
      <c r="D491" s="78" t="s">
        <v>1067</v>
      </c>
      <c r="E491" s="21" t="s">
        <v>2019</v>
      </c>
      <c r="F491" s="21" t="s">
        <v>2020</v>
      </c>
      <c r="G491" s="23">
        <v>7834.0</v>
      </c>
      <c r="H491" s="26">
        <v>0.33</v>
      </c>
      <c r="I491" s="79">
        <v>3925.0</v>
      </c>
      <c r="J491" s="79" t="s">
        <v>1603</v>
      </c>
      <c r="K491" s="80" t="s">
        <v>1604</v>
      </c>
      <c r="L491" s="21">
        <v>17641.0</v>
      </c>
      <c r="M491" s="21">
        <v>11759.0</v>
      </c>
      <c r="N491" s="26">
        <v>0.3</v>
      </c>
      <c r="O491" s="26">
        <v>0.3</v>
      </c>
      <c r="P491" s="81" t="s">
        <v>1595</v>
      </c>
      <c r="Q491" s="26">
        <v>0.53</v>
      </c>
      <c r="R491" s="84">
        <v>0.3</v>
      </c>
      <c r="S491" s="23"/>
      <c r="T491" s="89"/>
      <c r="U491" s="82"/>
      <c r="V491" s="37"/>
      <c r="W491" s="37"/>
    </row>
    <row r="492" ht="14.25" customHeight="1">
      <c r="A492" s="83" t="s">
        <v>302</v>
      </c>
      <c r="B492" s="55" t="s">
        <v>1101</v>
      </c>
      <c r="C492" s="78" t="s">
        <v>796</v>
      </c>
      <c r="D492" s="78" t="s">
        <v>1067</v>
      </c>
      <c r="E492" s="21" t="s">
        <v>1100</v>
      </c>
      <c r="F492" s="21" t="s">
        <v>2021</v>
      </c>
      <c r="G492" s="23">
        <v>3853.0</v>
      </c>
      <c r="H492" s="26">
        <v>0.34</v>
      </c>
      <c r="I492" s="79">
        <v>2023.0</v>
      </c>
      <c r="J492" s="79" t="s">
        <v>1602</v>
      </c>
      <c r="K492" s="80" t="s">
        <v>1618</v>
      </c>
      <c r="L492" s="21">
        <v>9994.0</v>
      </c>
      <c r="M492" s="21">
        <v>5876.0</v>
      </c>
      <c r="N492" s="26">
        <v>0.3</v>
      </c>
      <c r="O492" s="26">
        <v>0.3</v>
      </c>
      <c r="P492" s="81" t="s">
        <v>1595</v>
      </c>
      <c r="Q492" s="26">
        <v>0.54</v>
      </c>
      <c r="R492" s="84">
        <v>0.31</v>
      </c>
      <c r="S492" s="23"/>
      <c r="T492" s="89"/>
      <c r="U492" s="82"/>
      <c r="V492" s="37"/>
      <c r="W492" s="37"/>
    </row>
    <row r="493" ht="14.25" customHeight="1">
      <c r="A493" s="83" t="s">
        <v>302</v>
      </c>
      <c r="B493" s="55" t="s">
        <v>1103</v>
      </c>
      <c r="C493" s="78" t="s">
        <v>796</v>
      </c>
      <c r="D493" s="78" t="s">
        <v>1067</v>
      </c>
      <c r="E493" s="21" t="s">
        <v>1102</v>
      </c>
      <c r="F493" s="21" t="s">
        <v>2021</v>
      </c>
      <c r="G493" s="23">
        <v>3853.0</v>
      </c>
      <c r="H493" s="26">
        <v>0.34</v>
      </c>
      <c r="I493" s="79">
        <v>2023.0</v>
      </c>
      <c r="J493" s="79" t="s">
        <v>1602</v>
      </c>
      <c r="K493" s="80" t="s">
        <v>1618</v>
      </c>
      <c r="L493" s="21">
        <v>9994.0</v>
      </c>
      <c r="M493" s="21">
        <v>5876.0</v>
      </c>
      <c r="N493" s="26">
        <v>0.3</v>
      </c>
      <c r="O493" s="26">
        <v>0.3</v>
      </c>
      <c r="P493" s="81" t="s">
        <v>1595</v>
      </c>
      <c r="Q493" s="26">
        <v>0.54</v>
      </c>
      <c r="R493" s="84">
        <v>0.31</v>
      </c>
      <c r="S493" s="23"/>
      <c r="T493" s="89"/>
      <c r="U493" s="82"/>
      <c r="V493" s="37"/>
      <c r="W493" s="37"/>
    </row>
    <row r="494" ht="14.25" customHeight="1">
      <c r="A494" s="83" t="s">
        <v>302</v>
      </c>
      <c r="B494" s="55" t="s">
        <v>1105</v>
      </c>
      <c r="C494" s="78" t="s">
        <v>796</v>
      </c>
      <c r="D494" s="78" t="s">
        <v>1067</v>
      </c>
      <c r="E494" s="21" t="s">
        <v>1104</v>
      </c>
      <c r="F494" s="21" t="s">
        <v>2021</v>
      </c>
      <c r="G494" s="23">
        <v>3853.0</v>
      </c>
      <c r="H494" s="26">
        <v>0.34</v>
      </c>
      <c r="I494" s="79">
        <v>2023.0</v>
      </c>
      <c r="J494" s="79" t="s">
        <v>1602</v>
      </c>
      <c r="K494" s="80" t="s">
        <v>1618</v>
      </c>
      <c r="L494" s="21">
        <v>9994.0</v>
      </c>
      <c r="M494" s="21">
        <v>5876.0</v>
      </c>
      <c r="N494" s="26">
        <v>0.3</v>
      </c>
      <c r="O494" s="26">
        <v>0.3</v>
      </c>
      <c r="P494" s="81" t="s">
        <v>1595</v>
      </c>
      <c r="Q494" s="26">
        <v>0.54</v>
      </c>
      <c r="R494" s="84">
        <v>0.31</v>
      </c>
      <c r="S494" s="23"/>
      <c r="T494" s="37"/>
      <c r="U494" s="82"/>
      <c r="V494" s="37"/>
      <c r="W494" s="37"/>
    </row>
    <row r="495" ht="14.25" customHeight="1">
      <c r="A495" s="83" t="s">
        <v>302</v>
      </c>
      <c r="B495" s="55" t="s">
        <v>1107</v>
      </c>
      <c r="C495" s="78" t="s">
        <v>796</v>
      </c>
      <c r="D495" s="78" t="s">
        <v>1067</v>
      </c>
      <c r="E495" s="21" t="s">
        <v>1106</v>
      </c>
      <c r="F495" s="21" t="s">
        <v>2021</v>
      </c>
      <c r="G495" s="23">
        <v>3853.0</v>
      </c>
      <c r="H495" s="26">
        <v>0.34</v>
      </c>
      <c r="I495" s="79">
        <v>2023.0</v>
      </c>
      <c r="J495" s="79" t="s">
        <v>1602</v>
      </c>
      <c r="K495" s="80" t="s">
        <v>1618</v>
      </c>
      <c r="L495" s="21">
        <v>9994.0</v>
      </c>
      <c r="M495" s="21">
        <v>5876.0</v>
      </c>
      <c r="N495" s="26">
        <v>0.3</v>
      </c>
      <c r="O495" s="26">
        <v>0.3</v>
      </c>
      <c r="P495" s="81" t="s">
        <v>1595</v>
      </c>
      <c r="Q495" s="26">
        <v>0.54</v>
      </c>
      <c r="R495" s="84">
        <v>0.31</v>
      </c>
      <c r="S495" s="23"/>
      <c r="T495" s="37"/>
      <c r="U495" s="82"/>
      <c r="V495" s="37"/>
      <c r="W495" s="37"/>
    </row>
    <row r="496" ht="14.25" customHeight="1">
      <c r="A496" s="83" t="s">
        <v>302</v>
      </c>
      <c r="B496" s="55" t="s">
        <v>1109</v>
      </c>
      <c r="C496" s="78" t="s">
        <v>796</v>
      </c>
      <c r="D496" s="78" t="s">
        <v>1067</v>
      </c>
      <c r="E496" s="21" t="s">
        <v>1108</v>
      </c>
      <c r="F496" s="21" t="s">
        <v>2021</v>
      </c>
      <c r="G496" s="23">
        <v>3853.0</v>
      </c>
      <c r="H496" s="26">
        <v>0.34</v>
      </c>
      <c r="I496" s="79">
        <v>2023.0</v>
      </c>
      <c r="J496" s="79" t="s">
        <v>1602</v>
      </c>
      <c r="K496" s="80" t="s">
        <v>1618</v>
      </c>
      <c r="L496" s="21">
        <v>9994.0</v>
      </c>
      <c r="M496" s="21">
        <v>5876.0</v>
      </c>
      <c r="N496" s="26">
        <v>0.3</v>
      </c>
      <c r="O496" s="26">
        <v>0.3</v>
      </c>
      <c r="P496" s="81" t="s">
        <v>1595</v>
      </c>
      <c r="Q496" s="26">
        <v>0.54</v>
      </c>
      <c r="R496" s="84">
        <v>0.31</v>
      </c>
      <c r="S496" s="23"/>
      <c r="T496" s="89"/>
      <c r="U496" s="82"/>
      <c r="V496" s="37"/>
      <c r="W496" s="37"/>
    </row>
    <row r="497" ht="14.25" customHeight="1">
      <c r="A497" s="83" t="s">
        <v>302</v>
      </c>
      <c r="B497" s="55" t="s">
        <v>1111</v>
      </c>
      <c r="C497" s="78" t="s">
        <v>796</v>
      </c>
      <c r="D497" s="78" t="s">
        <v>1067</v>
      </c>
      <c r="E497" s="21" t="s">
        <v>1110</v>
      </c>
      <c r="F497" s="21" t="s">
        <v>2021</v>
      </c>
      <c r="G497" s="23">
        <v>3853.0</v>
      </c>
      <c r="H497" s="26">
        <v>0.34</v>
      </c>
      <c r="I497" s="79">
        <v>2023.0</v>
      </c>
      <c r="J497" s="79" t="s">
        <v>1602</v>
      </c>
      <c r="K497" s="80" t="s">
        <v>1618</v>
      </c>
      <c r="L497" s="21">
        <v>9994.0</v>
      </c>
      <c r="M497" s="21">
        <v>5876.0</v>
      </c>
      <c r="N497" s="26">
        <v>0.3</v>
      </c>
      <c r="O497" s="26">
        <v>0.3</v>
      </c>
      <c r="P497" s="81" t="s">
        <v>1595</v>
      </c>
      <c r="Q497" s="26">
        <v>0.54</v>
      </c>
      <c r="R497" s="84">
        <v>0.31</v>
      </c>
      <c r="S497" s="23"/>
      <c r="T497" s="89"/>
      <c r="U497" s="82"/>
      <c r="V497" s="37"/>
      <c r="W497" s="37"/>
    </row>
    <row r="498" ht="14.25" customHeight="1">
      <c r="A498" s="83" t="s">
        <v>302</v>
      </c>
      <c r="B498" s="55" t="s">
        <v>1113</v>
      </c>
      <c r="C498" s="78" t="s">
        <v>796</v>
      </c>
      <c r="D498" s="78" t="s">
        <v>1067</v>
      </c>
      <c r="E498" s="21" t="s">
        <v>1112</v>
      </c>
      <c r="F498" s="21" t="s">
        <v>2021</v>
      </c>
      <c r="G498" s="23">
        <v>3853.0</v>
      </c>
      <c r="H498" s="26">
        <v>0.34</v>
      </c>
      <c r="I498" s="79">
        <v>2023.0</v>
      </c>
      <c r="J498" s="79" t="s">
        <v>1602</v>
      </c>
      <c r="K498" s="80" t="s">
        <v>1618</v>
      </c>
      <c r="L498" s="21">
        <v>9994.0</v>
      </c>
      <c r="M498" s="21">
        <v>5876.0</v>
      </c>
      <c r="N498" s="26">
        <v>0.3</v>
      </c>
      <c r="O498" s="26">
        <v>0.3</v>
      </c>
      <c r="P498" s="81" t="s">
        <v>1595</v>
      </c>
      <c r="Q498" s="26">
        <v>0.54</v>
      </c>
      <c r="R498" s="84">
        <v>0.31</v>
      </c>
      <c r="S498" s="23"/>
      <c r="T498" s="89"/>
      <c r="U498" s="82"/>
      <c r="V498" s="37"/>
      <c r="W498" s="37"/>
    </row>
    <row r="499" ht="14.25" customHeight="1">
      <c r="A499" s="83" t="s">
        <v>302</v>
      </c>
      <c r="B499" s="55" t="s">
        <v>1115</v>
      </c>
      <c r="C499" s="78" t="s">
        <v>796</v>
      </c>
      <c r="D499" s="78" t="s">
        <v>1067</v>
      </c>
      <c r="E499" s="21" t="s">
        <v>1114</v>
      </c>
      <c r="F499" s="21" t="s">
        <v>2021</v>
      </c>
      <c r="G499" s="23">
        <v>3853.0</v>
      </c>
      <c r="H499" s="26">
        <v>0.34</v>
      </c>
      <c r="I499" s="79">
        <v>2023.0</v>
      </c>
      <c r="J499" s="79" t="s">
        <v>1602</v>
      </c>
      <c r="K499" s="80" t="s">
        <v>1618</v>
      </c>
      <c r="L499" s="21">
        <v>9994.0</v>
      </c>
      <c r="M499" s="21">
        <v>5876.0</v>
      </c>
      <c r="N499" s="26">
        <v>0.3</v>
      </c>
      <c r="O499" s="26">
        <v>0.3</v>
      </c>
      <c r="P499" s="81" t="s">
        <v>1595</v>
      </c>
      <c r="Q499" s="26">
        <v>0.54</v>
      </c>
      <c r="R499" s="84">
        <v>0.31</v>
      </c>
      <c r="S499" s="23"/>
      <c r="T499" s="89"/>
      <c r="U499" s="82"/>
      <c r="V499" s="37"/>
      <c r="W499" s="37"/>
    </row>
    <row r="500" ht="14.25" customHeight="1">
      <c r="A500" s="83" t="s">
        <v>302</v>
      </c>
      <c r="B500" s="55" t="s">
        <v>1118</v>
      </c>
      <c r="C500" s="78" t="s">
        <v>796</v>
      </c>
      <c r="D500" s="78" t="s">
        <v>1067</v>
      </c>
      <c r="E500" s="21" t="s">
        <v>1116</v>
      </c>
      <c r="F500" s="21" t="s">
        <v>2021</v>
      </c>
      <c r="G500" s="23">
        <v>3853.0</v>
      </c>
      <c r="H500" s="26">
        <v>0.5</v>
      </c>
      <c r="I500" s="79">
        <v>3788.0</v>
      </c>
      <c r="J500" s="79" t="s">
        <v>1602</v>
      </c>
      <c r="K500" s="80" t="s">
        <v>1686</v>
      </c>
      <c r="L500" s="21">
        <v>9994.0</v>
      </c>
      <c r="M500" s="21">
        <v>7641.0</v>
      </c>
      <c r="N500" s="26">
        <v>0.3</v>
      </c>
      <c r="O500" s="26">
        <v>0.3</v>
      </c>
      <c r="P500" s="81" t="s">
        <v>1595</v>
      </c>
      <c r="Q500" s="26">
        <v>0.65</v>
      </c>
      <c r="R500" s="84">
        <v>0.42</v>
      </c>
      <c r="S500" s="23"/>
      <c r="T500" s="89"/>
      <c r="U500" s="82"/>
      <c r="V500" s="37"/>
      <c r="W500" s="37"/>
    </row>
    <row r="501" ht="14.25" customHeight="1">
      <c r="A501" s="83" t="s">
        <v>302</v>
      </c>
      <c r="B501" s="55" t="s">
        <v>1121</v>
      </c>
      <c r="C501" s="78" t="s">
        <v>796</v>
      </c>
      <c r="D501" s="78" t="s">
        <v>1067</v>
      </c>
      <c r="E501" s="21" t="s">
        <v>1119</v>
      </c>
      <c r="F501" s="21" t="s">
        <v>2021</v>
      </c>
      <c r="G501" s="23">
        <v>3853.0</v>
      </c>
      <c r="H501" s="26">
        <v>0.5</v>
      </c>
      <c r="I501" s="79">
        <v>3788.0</v>
      </c>
      <c r="J501" s="79" t="s">
        <v>1602</v>
      </c>
      <c r="K501" s="80" t="s">
        <v>1686</v>
      </c>
      <c r="L501" s="21">
        <v>9994.0</v>
      </c>
      <c r="M501" s="21">
        <v>7641.0</v>
      </c>
      <c r="N501" s="26">
        <v>0.3</v>
      </c>
      <c r="O501" s="26">
        <v>0.3</v>
      </c>
      <c r="P501" s="81" t="s">
        <v>1595</v>
      </c>
      <c r="Q501" s="26">
        <v>0.65</v>
      </c>
      <c r="R501" s="84">
        <v>0.42</v>
      </c>
      <c r="S501" s="23"/>
      <c r="T501" s="89"/>
      <c r="U501" s="82"/>
      <c r="V501" s="37"/>
      <c r="W501" s="37"/>
    </row>
    <row r="502" ht="14.25" customHeight="1">
      <c r="A502" s="83" t="s">
        <v>302</v>
      </c>
      <c r="B502" s="55" t="s">
        <v>1124</v>
      </c>
      <c r="C502" s="78" t="s">
        <v>796</v>
      </c>
      <c r="D502" s="78" t="s">
        <v>1067</v>
      </c>
      <c r="E502" s="21" t="s">
        <v>1122</v>
      </c>
      <c r="F502" s="21" t="s">
        <v>2021</v>
      </c>
      <c r="G502" s="23">
        <v>3853.0</v>
      </c>
      <c r="H502" s="26">
        <v>0.5</v>
      </c>
      <c r="I502" s="79">
        <v>3788.0</v>
      </c>
      <c r="J502" s="79" t="s">
        <v>1602</v>
      </c>
      <c r="K502" s="80" t="s">
        <v>1686</v>
      </c>
      <c r="L502" s="21">
        <v>9994.0</v>
      </c>
      <c r="M502" s="21">
        <v>7641.0</v>
      </c>
      <c r="N502" s="26">
        <v>0.3</v>
      </c>
      <c r="O502" s="26">
        <v>0.3</v>
      </c>
      <c r="P502" s="81" t="s">
        <v>1595</v>
      </c>
      <c r="Q502" s="26">
        <v>0.65</v>
      </c>
      <c r="R502" s="84">
        <v>0.42</v>
      </c>
      <c r="S502" s="23"/>
      <c r="T502" s="89"/>
      <c r="U502" s="82"/>
      <c r="V502" s="37"/>
      <c r="W502" s="37"/>
    </row>
    <row r="503" ht="14.25" customHeight="1">
      <c r="A503" s="83" t="s">
        <v>302</v>
      </c>
      <c r="B503" s="55" t="s">
        <v>1127</v>
      </c>
      <c r="C503" s="78" t="s">
        <v>796</v>
      </c>
      <c r="D503" s="78" t="s">
        <v>1067</v>
      </c>
      <c r="E503" s="21" t="s">
        <v>1125</v>
      </c>
      <c r="F503" s="21" t="s">
        <v>2021</v>
      </c>
      <c r="G503" s="23">
        <v>3853.0</v>
      </c>
      <c r="H503" s="26">
        <v>0.5</v>
      </c>
      <c r="I503" s="79">
        <v>3788.0</v>
      </c>
      <c r="J503" s="79" t="s">
        <v>1602</v>
      </c>
      <c r="K503" s="80" t="s">
        <v>1686</v>
      </c>
      <c r="L503" s="21">
        <v>9994.0</v>
      </c>
      <c r="M503" s="21">
        <v>7641.0</v>
      </c>
      <c r="N503" s="26">
        <v>0.3</v>
      </c>
      <c r="O503" s="26">
        <v>0.3</v>
      </c>
      <c r="P503" s="81" t="s">
        <v>1595</v>
      </c>
      <c r="Q503" s="26">
        <v>0.65</v>
      </c>
      <c r="R503" s="84">
        <v>0.42</v>
      </c>
      <c r="S503" s="23"/>
      <c r="T503" s="89"/>
      <c r="U503" s="82"/>
      <c r="V503" s="37"/>
      <c r="W503" s="37"/>
    </row>
    <row r="504" ht="14.25" customHeight="1">
      <c r="A504" s="83" t="s">
        <v>302</v>
      </c>
      <c r="B504" s="55" t="s">
        <v>1129</v>
      </c>
      <c r="C504" s="78" t="s">
        <v>796</v>
      </c>
      <c r="D504" s="78" t="s">
        <v>1067</v>
      </c>
      <c r="E504" s="21" t="s">
        <v>1128</v>
      </c>
      <c r="F504" s="21" t="s">
        <v>2022</v>
      </c>
      <c r="G504" s="23">
        <v>5500.0</v>
      </c>
      <c r="H504" s="26">
        <v>0.38</v>
      </c>
      <c r="I504" s="79">
        <v>3318.0</v>
      </c>
      <c r="J504" s="79" t="s">
        <v>1821</v>
      </c>
      <c r="K504" s="80" t="s">
        <v>1605</v>
      </c>
      <c r="L504" s="21">
        <v>12935.0</v>
      </c>
      <c r="M504" s="21">
        <v>8818.0</v>
      </c>
      <c r="N504" s="26">
        <v>0.3</v>
      </c>
      <c r="O504" s="26">
        <v>0.3</v>
      </c>
      <c r="P504" s="81" t="s">
        <v>1595</v>
      </c>
      <c r="Q504" s="26">
        <v>0.56</v>
      </c>
      <c r="R504" s="84">
        <v>0.33</v>
      </c>
      <c r="S504" s="23"/>
      <c r="T504" s="89"/>
      <c r="U504" s="82"/>
      <c r="V504" s="37"/>
      <c r="W504" s="37"/>
    </row>
    <row r="505" ht="14.25" customHeight="1">
      <c r="A505" s="83" t="s">
        <v>302</v>
      </c>
      <c r="B505" s="55" t="s">
        <v>1131</v>
      </c>
      <c r="C505" s="78" t="s">
        <v>796</v>
      </c>
      <c r="D505" s="78" t="s">
        <v>1067</v>
      </c>
      <c r="E505" s="21" t="s">
        <v>1130</v>
      </c>
      <c r="F505" s="21" t="s">
        <v>2022</v>
      </c>
      <c r="G505" s="23">
        <v>5381.0</v>
      </c>
      <c r="H505" s="26">
        <v>0.39</v>
      </c>
      <c r="I505" s="79">
        <v>3437.0</v>
      </c>
      <c r="J505" s="79" t="s">
        <v>1821</v>
      </c>
      <c r="K505" s="80" t="s">
        <v>1605</v>
      </c>
      <c r="L505" s="21">
        <v>12935.0</v>
      </c>
      <c r="M505" s="21">
        <v>8818.0</v>
      </c>
      <c r="N505" s="26">
        <v>0.3</v>
      </c>
      <c r="O505" s="26">
        <v>0.3</v>
      </c>
      <c r="P505" s="81" t="s">
        <v>1595</v>
      </c>
      <c r="Q505" s="26">
        <v>0.57</v>
      </c>
      <c r="R505" s="84">
        <v>0.34</v>
      </c>
      <c r="S505" s="23"/>
      <c r="T505" s="89"/>
      <c r="U505" s="82"/>
      <c r="V505" s="37"/>
      <c r="W505" s="37"/>
    </row>
    <row r="506" ht="14.25" customHeight="1">
      <c r="A506" s="83" t="s">
        <v>302</v>
      </c>
      <c r="B506" s="55" t="s">
        <v>1133</v>
      </c>
      <c r="C506" s="78" t="s">
        <v>796</v>
      </c>
      <c r="D506" s="78" t="s">
        <v>1067</v>
      </c>
      <c r="E506" s="21" t="s">
        <v>1132</v>
      </c>
      <c r="F506" s="21" t="s">
        <v>2022</v>
      </c>
      <c r="G506" s="23">
        <v>6238.0</v>
      </c>
      <c r="H506" s="26">
        <v>0.29</v>
      </c>
      <c r="I506" s="79">
        <v>2580.0</v>
      </c>
      <c r="J506" s="79" t="s">
        <v>1821</v>
      </c>
      <c r="K506" s="80" t="s">
        <v>1605</v>
      </c>
      <c r="L506" s="21">
        <v>12935.0</v>
      </c>
      <c r="M506" s="21">
        <v>8818.0</v>
      </c>
      <c r="N506" s="26">
        <v>0.3</v>
      </c>
      <c r="O506" s="26">
        <v>0.3</v>
      </c>
      <c r="P506" s="81" t="s">
        <v>1595</v>
      </c>
      <c r="Q506" s="26">
        <v>0.5</v>
      </c>
      <c r="R506" s="84">
        <v>0.27</v>
      </c>
      <c r="S506" s="23"/>
      <c r="T506" s="89"/>
      <c r="U506" s="82"/>
      <c r="V506" s="37"/>
      <c r="W506" s="37"/>
    </row>
    <row r="507" ht="14.25" customHeight="1">
      <c r="A507" s="83" t="s">
        <v>302</v>
      </c>
      <c r="B507" s="55" t="s">
        <v>1135</v>
      </c>
      <c r="C507" s="78" t="s">
        <v>796</v>
      </c>
      <c r="D507" s="78" t="s">
        <v>1067</v>
      </c>
      <c r="E507" s="21" t="s">
        <v>1134</v>
      </c>
      <c r="F507" s="21" t="s">
        <v>2022</v>
      </c>
      <c r="G507" s="23">
        <v>6151.0</v>
      </c>
      <c r="H507" s="26">
        <v>0.3</v>
      </c>
      <c r="I507" s="79">
        <v>2667.0</v>
      </c>
      <c r="J507" s="79" t="s">
        <v>1821</v>
      </c>
      <c r="K507" s="80" t="s">
        <v>1605</v>
      </c>
      <c r="L507" s="21">
        <v>12935.0</v>
      </c>
      <c r="M507" s="21">
        <v>8818.0</v>
      </c>
      <c r="N507" s="26">
        <v>0.3</v>
      </c>
      <c r="O507" s="26">
        <v>0.3</v>
      </c>
      <c r="P507" s="81" t="s">
        <v>1595</v>
      </c>
      <c r="Q507" s="26">
        <v>0.51</v>
      </c>
      <c r="R507" s="84">
        <v>0.28</v>
      </c>
      <c r="S507" s="23"/>
      <c r="T507" s="89"/>
      <c r="U507" s="82"/>
      <c r="V507" s="90"/>
      <c r="W507" s="90"/>
    </row>
    <row r="508" ht="14.25" customHeight="1">
      <c r="A508" s="83" t="s">
        <v>302</v>
      </c>
      <c r="B508" s="55" t="s">
        <v>1137</v>
      </c>
      <c r="C508" s="78" t="s">
        <v>796</v>
      </c>
      <c r="D508" s="78" t="s">
        <v>1067</v>
      </c>
      <c r="E508" s="21" t="s">
        <v>1136</v>
      </c>
      <c r="F508" s="21" t="s">
        <v>2023</v>
      </c>
      <c r="G508" s="23">
        <v>5601.0</v>
      </c>
      <c r="H508" s="26">
        <v>0.36</v>
      </c>
      <c r="I508" s="79">
        <v>3217.0</v>
      </c>
      <c r="J508" s="79" t="s">
        <v>1821</v>
      </c>
      <c r="K508" s="80" t="s">
        <v>1605</v>
      </c>
      <c r="L508" s="21">
        <v>12935.0</v>
      </c>
      <c r="M508" s="21">
        <v>8818.0</v>
      </c>
      <c r="N508" s="26">
        <v>0.3</v>
      </c>
      <c r="O508" s="26">
        <v>0.3</v>
      </c>
      <c r="P508" s="81" t="s">
        <v>1595</v>
      </c>
      <c r="Q508" s="26">
        <v>0.56</v>
      </c>
      <c r="R508" s="84">
        <v>0.33</v>
      </c>
      <c r="S508" s="23"/>
      <c r="T508" s="89"/>
      <c r="U508" s="82"/>
      <c r="V508" s="90"/>
      <c r="W508" s="90"/>
    </row>
    <row r="509" ht="14.25" customHeight="1">
      <c r="A509" s="83" t="s">
        <v>302</v>
      </c>
      <c r="B509" s="55" t="s">
        <v>1139</v>
      </c>
      <c r="C509" s="78" t="s">
        <v>796</v>
      </c>
      <c r="D509" s="78" t="s">
        <v>1067</v>
      </c>
      <c r="E509" s="21" t="s">
        <v>1138</v>
      </c>
      <c r="F509" s="21" t="s">
        <v>2023</v>
      </c>
      <c r="G509" s="23">
        <v>5401.0</v>
      </c>
      <c r="H509" s="26">
        <v>0.39</v>
      </c>
      <c r="I509" s="79">
        <v>3417.0</v>
      </c>
      <c r="J509" s="79" t="s">
        <v>1821</v>
      </c>
      <c r="K509" s="80" t="s">
        <v>1605</v>
      </c>
      <c r="L509" s="21">
        <v>12935.0</v>
      </c>
      <c r="M509" s="21">
        <v>8818.0</v>
      </c>
      <c r="N509" s="26">
        <v>0.3</v>
      </c>
      <c r="O509" s="26">
        <v>0.3</v>
      </c>
      <c r="P509" s="81" t="s">
        <v>1595</v>
      </c>
      <c r="Q509" s="26">
        <v>0.57</v>
      </c>
      <c r="R509" s="84">
        <v>0.34</v>
      </c>
      <c r="S509" s="23"/>
      <c r="T509" s="89"/>
      <c r="U509" s="82"/>
      <c r="V509" s="90"/>
      <c r="W509" s="90"/>
    </row>
    <row r="510" ht="14.25" customHeight="1">
      <c r="A510" s="83" t="s">
        <v>302</v>
      </c>
      <c r="B510" s="55" t="s">
        <v>1141</v>
      </c>
      <c r="C510" s="78" t="s">
        <v>796</v>
      </c>
      <c r="D510" s="78" t="s">
        <v>1067</v>
      </c>
      <c r="E510" s="21" t="s">
        <v>1140</v>
      </c>
      <c r="F510" s="21" t="s">
        <v>2023</v>
      </c>
      <c r="G510" s="23">
        <v>5559.0</v>
      </c>
      <c r="H510" s="26">
        <v>0.37</v>
      </c>
      <c r="I510" s="79">
        <v>3259.0</v>
      </c>
      <c r="J510" s="79" t="s">
        <v>1821</v>
      </c>
      <c r="K510" s="80" t="s">
        <v>1605</v>
      </c>
      <c r="L510" s="21">
        <v>12935.0</v>
      </c>
      <c r="M510" s="21">
        <v>8818.0</v>
      </c>
      <c r="N510" s="26">
        <v>0.3</v>
      </c>
      <c r="O510" s="26">
        <v>0.3</v>
      </c>
      <c r="P510" s="81" t="s">
        <v>1595</v>
      </c>
      <c r="Q510" s="26">
        <v>0.56</v>
      </c>
      <c r="R510" s="84">
        <v>0.33</v>
      </c>
      <c r="S510" s="23"/>
      <c r="T510" s="89"/>
      <c r="U510" s="82"/>
      <c r="V510" s="90"/>
      <c r="W510" s="90"/>
    </row>
    <row r="511" ht="14.25" customHeight="1">
      <c r="A511" s="83" t="s">
        <v>302</v>
      </c>
      <c r="B511" s="55" t="s">
        <v>1143</v>
      </c>
      <c r="C511" s="78" t="s">
        <v>796</v>
      </c>
      <c r="D511" s="78" t="s">
        <v>1067</v>
      </c>
      <c r="E511" s="21" t="s">
        <v>1142</v>
      </c>
      <c r="F511" s="21" t="s">
        <v>2023</v>
      </c>
      <c r="G511" s="23">
        <v>5699.0</v>
      </c>
      <c r="H511" s="26">
        <v>0.35</v>
      </c>
      <c r="I511" s="79">
        <v>3119.0</v>
      </c>
      <c r="J511" s="79" t="s">
        <v>1821</v>
      </c>
      <c r="K511" s="80" t="s">
        <v>1605</v>
      </c>
      <c r="L511" s="21">
        <v>12935.0</v>
      </c>
      <c r="M511" s="21">
        <v>8818.0</v>
      </c>
      <c r="N511" s="26">
        <v>0.3</v>
      </c>
      <c r="O511" s="26">
        <v>0.3</v>
      </c>
      <c r="P511" s="81" t="s">
        <v>1595</v>
      </c>
      <c r="Q511" s="26">
        <v>0.55</v>
      </c>
      <c r="R511" s="84">
        <v>0.32</v>
      </c>
      <c r="S511" s="23"/>
      <c r="T511" s="89"/>
      <c r="U511" s="82"/>
      <c r="V511" s="90"/>
      <c r="W511" s="90"/>
    </row>
    <row r="512" ht="14.25" customHeight="1">
      <c r="A512" s="83" t="s">
        <v>302</v>
      </c>
      <c r="B512" s="55" t="s">
        <v>1145</v>
      </c>
      <c r="C512" s="78" t="s">
        <v>796</v>
      </c>
      <c r="D512" s="78" t="s">
        <v>1067</v>
      </c>
      <c r="E512" s="21" t="s">
        <v>1144</v>
      </c>
      <c r="F512" s="21" t="s">
        <v>2024</v>
      </c>
      <c r="G512" s="23">
        <v>5676.0</v>
      </c>
      <c r="H512" s="26">
        <v>0.36</v>
      </c>
      <c r="I512" s="79">
        <v>3142.0</v>
      </c>
      <c r="J512" s="79" t="s">
        <v>1821</v>
      </c>
      <c r="K512" s="80" t="s">
        <v>1605</v>
      </c>
      <c r="L512" s="21">
        <v>12935.0</v>
      </c>
      <c r="M512" s="21">
        <v>8818.0</v>
      </c>
      <c r="N512" s="26">
        <v>0.3</v>
      </c>
      <c r="O512" s="26">
        <v>0.3</v>
      </c>
      <c r="P512" s="81" t="s">
        <v>1595</v>
      </c>
      <c r="Q512" s="26">
        <v>0.55</v>
      </c>
      <c r="R512" s="84">
        <v>0.32</v>
      </c>
      <c r="S512" s="23"/>
      <c r="T512" s="89"/>
      <c r="U512" s="82"/>
      <c r="V512" s="90"/>
      <c r="W512" s="90"/>
    </row>
    <row r="513" ht="14.25" customHeight="1">
      <c r="A513" s="83" t="s">
        <v>302</v>
      </c>
      <c r="B513" s="55" t="s">
        <v>1147</v>
      </c>
      <c r="C513" s="78" t="s">
        <v>796</v>
      </c>
      <c r="D513" s="78" t="s">
        <v>1067</v>
      </c>
      <c r="E513" s="21" t="s">
        <v>1146</v>
      </c>
      <c r="F513" s="21" t="s">
        <v>2024</v>
      </c>
      <c r="G513" s="23">
        <v>5356.0</v>
      </c>
      <c r="H513" s="26">
        <v>0.39</v>
      </c>
      <c r="I513" s="79">
        <v>3462.0</v>
      </c>
      <c r="J513" s="79" t="s">
        <v>1821</v>
      </c>
      <c r="K513" s="80" t="s">
        <v>1605</v>
      </c>
      <c r="L513" s="21">
        <v>12935.0</v>
      </c>
      <c r="M513" s="21">
        <v>8818.0</v>
      </c>
      <c r="N513" s="26">
        <v>0.3</v>
      </c>
      <c r="O513" s="26">
        <v>0.3</v>
      </c>
      <c r="P513" s="81" t="s">
        <v>1595</v>
      </c>
      <c r="Q513" s="26">
        <v>0.57</v>
      </c>
      <c r="R513" s="84">
        <v>0.34</v>
      </c>
      <c r="S513" s="23"/>
      <c r="T513" s="89"/>
      <c r="U513" s="82"/>
      <c r="V513" s="90"/>
      <c r="W513" s="90"/>
    </row>
    <row r="514" ht="14.25" customHeight="1">
      <c r="A514" s="83" t="s">
        <v>302</v>
      </c>
      <c r="B514" s="55" t="s">
        <v>1149</v>
      </c>
      <c r="C514" s="78" t="s">
        <v>796</v>
      </c>
      <c r="D514" s="78" t="s">
        <v>1067</v>
      </c>
      <c r="E514" s="21" t="s">
        <v>1148</v>
      </c>
      <c r="F514" s="21" t="s">
        <v>2024</v>
      </c>
      <c r="G514" s="23">
        <v>5548.0</v>
      </c>
      <c r="H514" s="26">
        <v>0.37</v>
      </c>
      <c r="I514" s="79">
        <v>3270.0</v>
      </c>
      <c r="J514" s="79" t="s">
        <v>1821</v>
      </c>
      <c r="K514" s="80" t="s">
        <v>1605</v>
      </c>
      <c r="L514" s="21">
        <v>12935.0</v>
      </c>
      <c r="M514" s="21">
        <v>8818.0</v>
      </c>
      <c r="N514" s="26">
        <v>0.3</v>
      </c>
      <c r="O514" s="26">
        <v>0.3</v>
      </c>
      <c r="P514" s="81" t="s">
        <v>1595</v>
      </c>
      <c r="Q514" s="26">
        <v>0.56</v>
      </c>
      <c r="R514" s="84">
        <v>0.33</v>
      </c>
      <c r="S514" s="23"/>
      <c r="T514" s="89"/>
      <c r="U514" s="82"/>
      <c r="V514" s="90"/>
      <c r="W514" s="90"/>
    </row>
    <row r="515" ht="14.25" customHeight="1">
      <c r="A515" s="83" t="s">
        <v>302</v>
      </c>
      <c r="B515" s="55" t="s">
        <v>1151</v>
      </c>
      <c r="C515" s="78" t="s">
        <v>796</v>
      </c>
      <c r="D515" s="78" t="s">
        <v>1067</v>
      </c>
      <c r="E515" s="21" t="s">
        <v>1150</v>
      </c>
      <c r="F515" s="21" t="s">
        <v>2024</v>
      </c>
      <c r="G515" s="23">
        <v>6077.0</v>
      </c>
      <c r="H515" s="26">
        <v>0.31</v>
      </c>
      <c r="I515" s="79">
        <v>2741.0</v>
      </c>
      <c r="J515" s="79" t="s">
        <v>1821</v>
      </c>
      <c r="K515" s="80" t="s">
        <v>1605</v>
      </c>
      <c r="L515" s="21">
        <v>12935.0</v>
      </c>
      <c r="M515" s="21">
        <v>8818.0</v>
      </c>
      <c r="N515" s="26">
        <v>0.3</v>
      </c>
      <c r="O515" s="26">
        <v>0.3</v>
      </c>
      <c r="P515" s="81" t="s">
        <v>1595</v>
      </c>
      <c r="Q515" s="26">
        <v>0.52</v>
      </c>
      <c r="R515" s="84">
        <v>0.29</v>
      </c>
      <c r="S515" s="23"/>
      <c r="T515" s="89"/>
      <c r="U515" s="82"/>
      <c r="V515" s="90"/>
      <c r="W515" s="90"/>
    </row>
    <row r="516" ht="14.25" customHeight="1">
      <c r="A516" s="83" t="s">
        <v>302</v>
      </c>
      <c r="B516" s="55" t="s">
        <v>1153</v>
      </c>
      <c r="C516" s="78" t="s">
        <v>796</v>
      </c>
      <c r="D516" s="78" t="s">
        <v>1067</v>
      </c>
      <c r="E516" s="21" t="s">
        <v>1152</v>
      </c>
      <c r="F516" s="21" t="s">
        <v>2025</v>
      </c>
      <c r="G516" s="23">
        <v>5355.0</v>
      </c>
      <c r="H516" s="26">
        <v>0.39</v>
      </c>
      <c r="I516" s="79">
        <v>3463.0</v>
      </c>
      <c r="J516" s="79" t="s">
        <v>1821</v>
      </c>
      <c r="K516" s="80" t="s">
        <v>1605</v>
      </c>
      <c r="L516" s="21">
        <v>12935.0</v>
      </c>
      <c r="M516" s="21">
        <v>8818.0</v>
      </c>
      <c r="N516" s="26">
        <v>0.3</v>
      </c>
      <c r="O516" s="26">
        <v>0.3</v>
      </c>
      <c r="P516" s="81" t="s">
        <v>1595</v>
      </c>
      <c r="Q516" s="26">
        <v>0.57</v>
      </c>
      <c r="R516" s="84">
        <v>0.34</v>
      </c>
      <c r="S516" s="23"/>
      <c r="T516" s="89"/>
      <c r="U516" s="82"/>
      <c r="V516" s="90"/>
      <c r="W516" s="90"/>
    </row>
    <row r="517" ht="14.25" customHeight="1">
      <c r="A517" s="83" t="s">
        <v>302</v>
      </c>
      <c r="B517" s="55" t="s">
        <v>1155</v>
      </c>
      <c r="C517" s="78" t="s">
        <v>796</v>
      </c>
      <c r="D517" s="78" t="s">
        <v>1067</v>
      </c>
      <c r="E517" s="21" t="s">
        <v>1154</v>
      </c>
      <c r="F517" s="21" t="s">
        <v>2025</v>
      </c>
      <c r="G517" s="23">
        <v>5261.0</v>
      </c>
      <c r="H517" s="26">
        <v>0.4</v>
      </c>
      <c r="I517" s="79">
        <v>3557.0</v>
      </c>
      <c r="J517" s="79" t="s">
        <v>1821</v>
      </c>
      <c r="K517" s="80" t="s">
        <v>1605</v>
      </c>
      <c r="L517" s="21">
        <v>12935.0</v>
      </c>
      <c r="M517" s="21">
        <v>8818.0</v>
      </c>
      <c r="N517" s="26">
        <v>0.3</v>
      </c>
      <c r="O517" s="26">
        <v>0.3</v>
      </c>
      <c r="P517" s="81" t="s">
        <v>1595</v>
      </c>
      <c r="Q517" s="26">
        <v>0.58</v>
      </c>
      <c r="R517" s="84">
        <v>0.35</v>
      </c>
      <c r="S517" s="23"/>
      <c r="T517" s="89"/>
      <c r="U517" s="82"/>
      <c r="V517" s="90"/>
      <c r="W517" s="90"/>
    </row>
    <row r="518" ht="14.25" customHeight="1">
      <c r="A518" s="83" t="s">
        <v>302</v>
      </c>
      <c r="B518" s="55" t="s">
        <v>1157</v>
      </c>
      <c r="C518" s="78" t="s">
        <v>796</v>
      </c>
      <c r="D518" s="78" t="s">
        <v>1067</v>
      </c>
      <c r="E518" s="21" t="s">
        <v>1156</v>
      </c>
      <c r="F518" s="21" t="s">
        <v>2025</v>
      </c>
      <c r="G518" s="23">
        <v>5240.0</v>
      </c>
      <c r="H518" s="26">
        <v>0.41</v>
      </c>
      <c r="I518" s="79">
        <v>3578.0</v>
      </c>
      <c r="J518" s="79" t="s">
        <v>1821</v>
      </c>
      <c r="K518" s="80" t="s">
        <v>1605</v>
      </c>
      <c r="L518" s="21">
        <v>12935.0</v>
      </c>
      <c r="M518" s="21">
        <v>8818.0</v>
      </c>
      <c r="N518" s="26">
        <v>0.3</v>
      </c>
      <c r="O518" s="26">
        <v>0.3</v>
      </c>
      <c r="P518" s="81" t="s">
        <v>1595</v>
      </c>
      <c r="Q518" s="26">
        <v>0.58</v>
      </c>
      <c r="R518" s="84">
        <v>0.35</v>
      </c>
      <c r="S518" s="23"/>
      <c r="T518" s="89"/>
      <c r="U518" s="82"/>
      <c r="V518" s="90"/>
      <c r="W518" s="90"/>
    </row>
    <row r="519" ht="14.25" customHeight="1">
      <c r="A519" s="83" t="s">
        <v>302</v>
      </c>
      <c r="B519" s="55" t="s">
        <v>1159</v>
      </c>
      <c r="C519" s="78" t="s">
        <v>796</v>
      </c>
      <c r="D519" s="78" t="s">
        <v>1067</v>
      </c>
      <c r="E519" s="21" t="s">
        <v>1158</v>
      </c>
      <c r="F519" s="21" t="s">
        <v>2025</v>
      </c>
      <c r="G519" s="23">
        <v>5291.0</v>
      </c>
      <c r="H519" s="26">
        <v>0.4</v>
      </c>
      <c r="I519" s="79">
        <v>3527.0</v>
      </c>
      <c r="J519" s="79" t="s">
        <v>1821</v>
      </c>
      <c r="K519" s="80" t="s">
        <v>1605</v>
      </c>
      <c r="L519" s="21">
        <v>12935.0</v>
      </c>
      <c r="M519" s="21">
        <v>8818.0</v>
      </c>
      <c r="N519" s="26">
        <v>0.3</v>
      </c>
      <c r="O519" s="26">
        <v>0.3</v>
      </c>
      <c r="P519" s="81" t="s">
        <v>1595</v>
      </c>
      <c r="Q519" s="26">
        <v>0.58</v>
      </c>
      <c r="R519" s="84">
        <v>0.35</v>
      </c>
      <c r="S519" s="23"/>
      <c r="T519" s="89"/>
      <c r="U519" s="44"/>
      <c r="W519" s="37"/>
    </row>
    <row r="520" ht="14.25" customHeight="1">
      <c r="A520" s="83" t="s">
        <v>302</v>
      </c>
      <c r="B520" s="55" t="s">
        <v>1161</v>
      </c>
      <c r="C520" s="78" t="s">
        <v>796</v>
      </c>
      <c r="D520" s="78" t="s">
        <v>1067</v>
      </c>
      <c r="E520" s="21" t="s">
        <v>1160</v>
      </c>
      <c r="F520" s="21" t="s">
        <v>2026</v>
      </c>
      <c r="G520" s="23">
        <v>5341.0</v>
      </c>
      <c r="H520" s="26">
        <v>0.39</v>
      </c>
      <c r="I520" s="79">
        <v>3477.0</v>
      </c>
      <c r="J520" s="79" t="s">
        <v>1821</v>
      </c>
      <c r="K520" s="80" t="s">
        <v>1605</v>
      </c>
      <c r="L520" s="21">
        <v>12935.0</v>
      </c>
      <c r="M520" s="21">
        <v>8818.0</v>
      </c>
      <c r="N520" s="26">
        <v>0.3</v>
      </c>
      <c r="O520" s="26">
        <v>0.3</v>
      </c>
      <c r="P520" s="81" t="s">
        <v>1595</v>
      </c>
      <c r="Q520" s="26">
        <v>0.58</v>
      </c>
      <c r="R520" s="84">
        <v>0.35</v>
      </c>
      <c r="S520" s="23"/>
      <c r="T520" s="89"/>
      <c r="U520" s="82"/>
      <c r="V520" s="37"/>
      <c r="W520" s="37"/>
    </row>
    <row r="521" ht="14.25" customHeight="1">
      <c r="A521" s="83" t="s">
        <v>302</v>
      </c>
      <c r="B521" s="55" t="s">
        <v>1163</v>
      </c>
      <c r="C521" s="78" t="s">
        <v>796</v>
      </c>
      <c r="D521" s="78" t="s">
        <v>1067</v>
      </c>
      <c r="E521" s="21" t="s">
        <v>1162</v>
      </c>
      <c r="F521" s="21" t="s">
        <v>2026</v>
      </c>
      <c r="G521" s="23">
        <v>5187.0</v>
      </c>
      <c r="H521" s="26">
        <v>0.41</v>
      </c>
      <c r="I521" s="79">
        <v>3631.0</v>
      </c>
      <c r="J521" s="79" t="s">
        <v>1821</v>
      </c>
      <c r="K521" s="80" t="s">
        <v>1605</v>
      </c>
      <c r="L521" s="21">
        <v>12935.0</v>
      </c>
      <c r="M521" s="21">
        <v>8818.0</v>
      </c>
      <c r="N521" s="26">
        <v>0.3</v>
      </c>
      <c r="O521" s="26">
        <v>0.3</v>
      </c>
      <c r="P521" s="81" t="s">
        <v>1595</v>
      </c>
      <c r="Q521" s="26">
        <v>0.59</v>
      </c>
      <c r="R521" s="84">
        <v>0.36</v>
      </c>
      <c r="S521" s="23"/>
      <c r="T521" s="89"/>
      <c r="U521" s="82"/>
      <c r="V521" s="37"/>
      <c r="W521" s="37"/>
    </row>
    <row r="522" ht="14.25" customHeight="1">
      <c r="A522" s="83" t="s">
        <v>302</v>
      </c>
      <c r="B522" s="55" t="s">
        <v>1165</v>
      </c>
      <c r="C522" s="78" t="s">
        <v>796</v>
      </c>
      <c r="D522" s="78" t="s">
        <v>1067</v>
      </c>
      <c r="E522" s="21" t="s">
        <v>1164</v>
      </c>
      <c r="F522" s="21" t="s">
        <v>2026</v>
      </c>
      <c r="G522" s="23">
        <v>5137.0</v>
      </c>
      <c r="H522" s="26">
        <v>0.42</v>
      </c>
      <c r="I522" s="79">
        <v>3681.0</v>
      </c>
      <c r="J522" s="79" t="s">
        <v>1821</v>
      </c>
      <c r="K522" s="80" t="s">
        <v>1605</v>
      </c>
      <c r="L522" s="21">
        <v>12935.0</v>
      </c>
      <c r="M522" s="21">
        <v>8818.0</v>
      </c>
      <c r="N522" s="26">
        <v>0.3</v>
      </c>
      <c r="O522" s="26">
        <v>0.3</v>
      </c>
      <c r="P522" s="81" t="s">
        <v>1595</v>
      </c>
      <c r="Q522" s="26">
        <v>0.59</v>
      </c>
      <c r="R522" s="84">
        <v>0.36</v>
      </c>
      <c r="S522" s="94"/>
      <c r="T522" s="94"/>
      <c r="U522" s="100"/>
      <c r="V522" s="94"/>
      <c r="W522" s="94"/>
    </row>
    <row r="523" ht="14.25" customHeight="1">
      <c r="A523" s="83" t="s">
        <v>302</v>
      </c>
      <c r="B523" s="55" t="s">
        <v>1167</v>
      </c>
      <c r="C523" s="78" t="s">
        <v>796</v>
      </c>
      <c r="D523" s="78" t="s">
        <v>1067</v>
      </c>
      <c r="E523" s="21" t="s">
        <v>1166</v>
      </c>
      <c r="F523" s="21" t="s">
        <v>2026</v>
      </c>
      <c r="G523" s="23">
        <v>5242.0</v>
      </c>
      <c r="H523" s="26">
        <v>0.41</v>
      </c>
      <c r="I523" s="79">
        <v>3576.0</v>
      </c>
      <c r="J523" s="79" t="s">
        <v>1821</v>
      </c>
      <c r="K523" s="80" t="s">
        <v>1605</v>
      </c>
      <c r="L523" s="21">
        <v>12935.0</v>
      </c>
      <c r="M523" s="21">
        <v>8818.0</v>
      </c>
      <c r="N523" s="26">
        <v>0.3</v>
      </c>
      <c r="O523" s="26">
        <v>0.3</v>
      </c>
      <c r="P523" s="81" t="s">
        <v>1595</v>
      </c>
      <c r="Q523" s="26">
        <v>0.58</v>
      </c>
      <c r="R523" s="84">
        <v>0.35</v>
      </c>
      <c r="S523" s="23"/>
      <c r="T523" s="89"/>
      <c r="U523" s="82"/>
      <c r="V523" s="37"/>
      <c r="W523" s="37"/>
    </row>
    <row r="524" ht="14.25" customHeight="1">
      <c r="A524" s="83" t="s">
        <v>302</v>
      </c>
      <c r="B524" s="91" t="s">
        <v>1175</v>
      </c>
      <c r="C524" s="78" t="s">
        <v>1168</v>
      </c>
      <c r="D524" s="78" t="s">
        <v>1169</v>
      </c>
      <c r="E524" s="21" t="s">
        <v>2027</v>
      </c>
      <c r="F524" s="21" t="s">
        <v>2028</v>
      </c>
      <c r="G524" s="23">
        <v>19588.0</v>
      </c>
      <c r="H524" s="26">
        <v>0.44</v>
      </c>
      <c r="I524" s="79">
        <v>15701.0</v>
      </c>
      <c r="J524" s="79" t="s">
        <v>1596</v>
      </c>
      <c r="K524" s="80" t="s">
        <v>1594</v>
      </c>
      <c r="L524" s="21">
        <v>58818.0</v>
      </c>
      <c r="M524" s="21">
        <v>35288.0</v>
      </c>
      <c r="N524" s="26">
        <v>0.3</v>
      </c>
      <c r="O524" s="26">
        <v>0.3</v>
      </c>
      <c r="P524" s="81" t="s">
        <v>1595</v>
      </c>
      <c r="Q524" s="26">
        <v>0.61</v>
      </c>
      <c r="R524" s="84">
        <v>0.38</v>
      </c>
      <c r="S524" s="23"/>
      <c r="T524" s="89"/>
      <c r="U524" s="82"/>
      <c r="V524" s="37"/>
      <c r="W524" s="37"/>
    </row>
    <row r="525" ht="14.25" customHeight="1">
      <c r="A525" s="83" t="s">
        <v>302</v>
      </c>
      <c r="B525" s="91">
        <v>1.640091153797E12</v>
      </c>
      <c r="C525" s="78" t="s">
        <v>1168</v>
      </c>
      <c r="D525" s="78" t="s">
        <v>1169</v>
      </c>
      <c r="E525" s="21" t="s">
        <v>2029</v>
      </c>
      <c r="F525" s="21" t="s">
        <v>1170</v>
      </c>
      <c r="G525" s="23">
        <v>33474.0</v>
      </c>
      <c r="H525" s="26">
        <v>0.29</v>
      </c>
      <c r="I525" s="79">
        <v>13579.0</v>
      </c>
      <c r="J525" s="79" t="s">
        <v>1628</v>
      </c>
      <c r="K525" s="80" t="s">
        <v>1697</v>
      </c>
      <c r="L525" s="21">
        <v>52935.0</v>
      </c>
      <c r="M525" s="21">
        <v>47053.0</v>
      </c>
      <c r="N525" s="26">
        <v>0.3</v>
      </c>
      <c r="O525" s="26">
        <v>0.3</v>
      </c>
      <c r="P525" s="83" t="s">
        <v>134</v>
      </c>
      <c r="Q525" s="26">
        <v>0.5</v>
      </c>
      <c r="R525" s="84">
        <v>0.27</v>
      </c>
      <c r="S525" s="23"/>
      <c r="T525" s="89"/>
      <c r="U525" s="82"/>
      <c r="V525" s="37"/>
      <c r="W525" s="37"/>
    </row>
    <row r="526" ht="14.25" customHeight="1">
      <c r="A526" s="83" t="s">
        <v>302</v>
      </c>
      <c r="B526" s="85" t="s">
        <v>1177</v>
      </c>
      <c r="C526" s="83" t="s">
        <v>1168</v>
      </c>
      <c r="D526" s="83" t="s">
        <v>1169</v>
      </c>
      <c r="E526" s="86" t="s">
        <v>1176</v>
      </c>
      <c r="F526" s="21" t="s">
        <v>1176</v>
      </c>
      <c r="G526" s="92">
        <v>58329.0</v>
      </c>
      <c r="H526" s="84">
        <v>0.42</v>
      </c>
      <c r="I526" s="87">
        <v>41665.0</v>
      </c>
      <c r="J526" s="79" t="s">
        <v>1764</v>
      </c>
      <c r="K526" s="80" t="s">
        <v>1708</v>
      </c>
      <c r="L526" s="86">
        <v>117641.0</v>
      </c>
      <c r="M526" s="86">
        <v>99994.0</v>
      </c>
      <c r="N526" s="84">
        <v>0.3</v>
      </c>
      <c r="O526" s="84">
        <v>0.3</v>
      </c>
      <c r="P526" s="81" t="s">
        <v>1595</v>
      </c>
      <c r="Q526" s="84">
        <v>0.59</v>
      </c>
      <c r="R526" s="84">
        <v>0.36</v>
      </c>
      <c r="S526" s="23"/>
      <c r="T526" s="89"/>
      <c r="U526" s="82"/>
      <c r="V526" s="37"/>
      <c r="W526" s="37"/>
    </row>
    <row r="527" ht="14.25" customHeight="1">
      <c r="A527" s="83" t="s">
        <v>2030</v>
      </c>
      <c r="B527" s="91" t="s">
        <v>1189</v>
      </c>
      <c r="C527" s="78" t="s">
        <v>1180</v>
      </c>
      <c r="D527" s="78" t="s">
        <v>1181</v>
      </c>
      <c r="E527" s="21" t="s">
        <v>2031</v>
      </c>
      <c r="F527" s="21" t="s">
        <v>1188</v>
      </c>
      <c r="G527" s="23">
        <v>7340.0</v>
      </c>
      <c r="H527" s="26">
        <v>0.27</v>
      </c>
      <c r="I527" s="79">
        <v>2654.0</v>
      </c>
      <c r="J527" s="79" t="s">
        <v>1714</v>
      </c>
      <c r="K527" s="80" t="s">
        <v>1602</v>
      </c>
      <c r="L527" s="21">
        <v>20582.0</v>
      </c>
      <c r="M527" s="21">
        <v>9994.0</v>
      </c>
      <c r="N527" s="26">
        <v>0.3</v>
      </c>
      <c r="O527" s="26">
        <v>0.3</v>
      </c>
      <c r="P527" s="81" t="s">
        <v>1595</v>
      </c>
      <c r="Q527" s="26">
        <v>0.49</v>
      </c>
      <c r="R527" s="84">
        <v>0.26</v>
      </c>
      <c r="S527" s="23"/>
      <c r="T527" s="89"/>
      <c r="U527" s="82"/>
      <c r="V527" s="37"/>
      <c r="W527" s="37"/>
    </row>
    <row r="528" ht="14.25" customHeight="1">
      <c r="A528" s="83" t="s">
        <v>1179</v>
      </c>
      <c r="B528" s="91" t="s">
        <v>1183</v>
      </c>
      <c r="C528" s="78" t="s">
        <v>1180</v>
      </c>
      <c r="D528" s="78" t="s">
        <v>1181</v>
      </c>
      <c r="E528" s="21" t="s">
        <v>1182</v>
      </c>
      <c r="F528" s="21" t="s">
        <v>2032</v>
      </c>
      <c r="G528" s="23">
        <v>6175.0</v>
      </c>
      <c r="H528" s="26">
        <v>0.38</v>
      </c>
      <c r="I528" s="79">
        <v>3819.0</v>
      </c>
      <c r="J528" s="79" t="s">
        <v>1603</v>
      </c>
      <c r="K528" s="80" t="s">
        <v>1602</v>
      </c>
      <c r="L528" s="21">
        <v>17641.0</v>
      </c>
      <c r="M528" s="21">
        <v>9994.0</v>
      </c>
      <c r="N528" s="26">
        <v>0.3</v>
      </c>
      <c r="O528" s="26">
        <v>0.3</v>
      </c>
      <c r="P528" s="81" t="s">
        <v>1595</v>
      </c>
      <c r="Q528" s="26">
        <v>0.57</v>
      </c>
      <c r="R528" s="84">
        <v>0.34</v>
      </c>
      <c r="S528" s="23"/>
      <c r="T528" s="89"/>
      <c r="U528" s="37"/>
      <c r="V528" s="37"/>
      <c r="W528" s="37"/>
    </row>
    <row r="529" ht="14.25" customHeight="1">
      <c r="A529" s="83" t="s">
        <v>1179</v>
      </c>
      <c r="B529" s="91" t="s">
        <v>1185</v>
      </c>
      <c r="C529" s="78" t="s">
        <v>1180</v>
      </c>
      <c r="D529" s="78" t="s">
        <v>1181</v>
      </c>
      <c r="E529" s="21" t="s">
        <v>1184</v>
      </c>
      <c r="F529" s="21" t="s">
        <v>2033</v>
      </c>
      <c r="G529" s="23">
        <v>5603.0</v>
      </c>
      <c r="H529" s="26">
        <v>0.52</v>
      </c>
      <c r="I529" s="79">
        <v>6156.0</v>
      </c>
      <c r="J529" s="79" t="s">
        <v>1601</v>
      </c>
      <c r="K529" s="80" t="s">
        <v>1604</v>
      </c>
      <c r="L529" s="21">
        <v>14700.0</v>
      </c>
      <c r="M529" s="21">
        <v>11759.0</v>
      </c>
      <c r="N529" s="26">
        <v>0.3</v>
      </c>
      <c r="O529" s="26">
        <v>0.3</v>
      </c>
      <c r="P529" s="81" t="s">
        <v>1595</v>
      </c>
      <c r="Q529" s="26">
        <v>0.67</v>
      </c>
      <c r="R529" s="84">
        <v>0.44</v>
      </c>
      <c r="S529" s="23"/>
      <c r="T529" s="89"/>
      <c r="U529" s="37"/>
      <c r="V529" s="37"/>
      <c r="W529" s="37"/>
    </row>
    <row r="530" ht="14.25" customHeight="1">
      <c r="A530" s="83" t="s">
        <v>1179</v>
      </c>
      <c r="B530" s="91" t="s">
        <v>1187</v>
      </c>
      <c r="C530" s="78" t="s">
        <v>1180</v>
      </c>
      <c r="D530" s="78" t="s">
        <v>1181</v>
      </c>
      <c r="E530" s="21" t="s">
        <v>1186</v>
      </c>
      <c r="F530" s="21" t="s">
        <v>2034</v>
      </c>
      <c r="G530" s="23">
        <v>2306.0</v>
      </c>
      <c r="H530" s="26">
        <v>0.61</v>
      </c>
      <c r="I530" s="79">
        <v>3570.0</v>
      </c>
      <c r="J530" s="79" t="s">
        <v>1686</v>
      </c>
      <c r="K530" s="80" t="s">
        <v>1618</v>
      </c>
      <c r="L530" s="21">
        <v>7641.0</v>
      </c>
      <c r="M530" s="21">
        <v>5876.0</v>
      </c>
      <c r="N530" s="26">
        <v>0.3</v>
      </c>
      <c r="O530" s="26">
        <v>0.3</v>
      </c>
      <c r="P530" s="81" t="s">
        <v>1595</v>
      </c>
      <c r="Q530" s="26">
        <v>0.73</v>
      </c>
      <c r="R530" s="84">
        <v>0.5</v>
      </c>
      <c r="S530" s="23"/>
      <c r="T530" s="89"/>
      <c r="U530" s="37"/>
      <c r="V530" s="37"/>
      <c r="W530" s="37"/>
    </row>
    <row r="531" ht="14.25" customHeight="1">
      <c r="A531" s="83" t="s">
        <v>1179</v>
      </c>
      <c r="B531" s="91">
        <v>6.6800510263382E13</v>
      </c>
      <c r="C531" s="78" t="s">
        <v>1180</v>
      </c>
      <c r="D531" s="78" t="s">
        <v>1190</v>
      </c>
      <c r="E531" s="21" t="s">
        <v>1191</v>
      </c>
      <c r="F531" s="21" t="s">
        <v>2035</v>
      </c>
      <c r="G531" s="23">
        <v>1312.0</v>
      </c>
      <c r="H531" s="26">
        <v>0.44</v>
      </c>
      <c r="I531" s="79">
        <v>1035.0</v>
      </c>
      <c r="J531" s="79" t="s">
        <v>1605</v>
      </c>
      <c r="K531" s="80" t="s">
        <v>1935</v>
      </c>
      <c r="L531" s="21">
        <v>8818.0</v>
      </c>
      <c r="M531" s="21">
        <v>2347.0</v>
      </c>
      <c r="N531" s="26">
        <v>0.3</v>
      </c>
      <c r="O531" s="26">
        <v>0.3</v>
      </c>
      <c r="P531" s="81" t="s">
        <v>1595</v>
      </c>
      <c r="Q531" s="26">
        <v>0.61</v>
      </c>
      <c r="R531" s="84">
        <v>0.38</v>
      </c>
      <c r="S531" s="23"/>
      <c r="T531" s="89"/>
      <c r="U531" s="37"/>
      <c r="V531" s="37"/>
      <c r="W531" s="37"/>
    </row>
    <row r="532" ht="14.25" customHeight="1">
      <c r="A532" s="83" t="s">
        <v>1179</v>
      </c>
      <c r="B532" s="91">
        <v>6.6800506435054E13</v>
      </c>
      <c r="C532" s="78" t="s">
        <v>1180</v>
      </c>
      <c r="D532" s="78" t="s">
        <v>1190</v>
      </c>
      <c r="E532" s="21" t="s">
        <v>2036</v>
      </c>
      <c r="F532" s="21" t="s">
        <v>2037</v>
      </c>
      <c r="G532" s="23">
        <v>691.0</v>
      </c>
      <c r="H532" s="26">
        <v>0.71</v>
      </c>
      <c r="I532" s="79">
        <v>1656.0</v>
      </c>
      <c r="J532" s="79" t="s">
        <v>1682</v>
      </c>
      <c r="K532" s="80" t="s">
        <v>1935</v>
      </c>
      <c r="L532" s="21">
        <v>5288.0</v>
      </c>
      <c r="M532" s="21">
        <v>2347.0</v>
      </c>
      <c r="N532" s="26">
        <v>0.3</v>
      </c>
      <c r="O532" s="26">
        <v>0.3</v>
      </c>
      <c r="P532" s="81" t="s">
        <v>1595</v>
      </c>
      <c r="Q532" s="26">
        <v>0.79</v>
      </c>
      <c r="R532" s="84">
        <v>0.56</v>
      </c>
      <c r="S532" s="23"/>
      <c r="T532" s="89"/>
      <c r="U532" s="1"/>
      <c r="V532" s="1"/>
    </row>
    <row r="533" ht="14.25" customHeight="1">
      <c r="A533" s="83" t="s">
        <v>1179</v>
      </c>
      <c r="B533" s="91">
        <v>6.6800509015029E13</v>
      </c>
      <c r="C533" s="78" t="s">
        <v>1180</v>
      </c>
      <c r="D533" s="78" t="s">
        <v>1190</v>
      </c>
      <c r="E533" s="21" t="s">
        <v>2038</v>
      </c>
      <c r="F533" s="21" t="s">
        <v>2039</v>
      </c>
      <c r="G533" s="23">
        <v>1538.0</v>
      </c>
      <c r="H533" s="26">
        <v>0.34</v>
      </c>
      <c r="I533" s="79">
        <v>809.0</v>
      </c>
      <c r="J533" s="79" t="s">
        <v>1618</v>
      </c>
      <c r="K533" s="80" t="s">
        <v>1935</v>
      </c>
      <c r="L533" s="21">
        <v>5876.0</v>
      </c>
      <c r="M533" s="21">
        <v>2347.0</v>
      </c>
      <c r="N533" s="26">
        <v>0.3</v>
      </c>
      <c r="O533" s="26">
        <v>0.3</v>
      </c>
      <c r="P533" s="81" t="s">
        <v>1595</v>
      </c>
      <c r="Q533" s="26">
        <v>0.54</v>
      </c>
      <c r="R533" s="84">
        <v>0.31</v>
      </c>
      <c r="S533" s="23"/>
      <c r="T533" s="89"/>
    </row>
    <row r="534" ht="14.25" customHeight="1">
      <c r="A534" s="83" t="s">
        <v>1179</v>
      </c>
      <c r="B534" s="91">
        <v>6.680050766593E13</v>
      </c>
      <c r="C534" s="78" t="s">
        <v>1180</v>
      </c>
      <c r="D534" s="78" t="s">
        <v>1190</v>
      </c>
      <c r="E534" s="21" t="s">
        <v>1194</v>
      </c>
      <c r="F534" s="21" t="s">
        <v>2040</v>
      </c>
      <c r="G534" s="23">
        <v>1623.0</v>
      </c>
      <c r="H534" s="26">
        <v>0.31</v>
      </c>
      <c r="I534" s="79">
        <v>724.0</v>
      </c>
      <c r="J534" s="79" t="s">
        <v>1682</v>
      </c>
      <c r="K534" s="80" t="s">
        <v>1935</v>
      </c>
      <c r="L534" s="21">
        <v>5288.0</v>
      </c>
      <c r="M534" s="21">
        <v>2347.0</v>
      </c>
      <c r="N534" s="26">
        <v>0.3</v>
      </c>
      <c r="O534" s="26">
        <v>0.3</v>
      </c>
      <c r="P534" s="81" t="s">
        <v>1595</v>
      </c>
      <c r="Q534" s="26">
        <v>0.52</v>
      </c>
      <c r="R534" s="84">
        <v>0.29</v>
      </c>
      <c r="S534" s="23"/>
      <c r="T534" s="89"/>
    </row>
    <row r="535" ht="14.25" customHeight="1">
      <c r="A535" s="83" t="s">
        <v>1179</v>
      </c>
      <c r="B535" s="91">
        <v>1.650298908518E12</v>
      </c>
      <c r="C535" s="78" t="s">
        <v>1180</v>
      </c>
      <c r="D535" s="78" t="s">
        <v>1195</v>
      </c>
      <c r="E535" s="21" t="s">
        <v>1196</v>
      </c>
      <c r="F535" s="21" t="s">
        <v>2041</v>
      </c>
      <c r="G535" s="23">
        <v>5055.0</v>
      </c>
      <c r="H535" s="26">
        <v>0.34</v>
      </c>
      <c r="I535" s="79">
        <v>2586.0</v>
      </c>
      <c r="J535" s="79" t="s">
        <v>1603</v>
      </c>
      <c r="K535" s="80" t="s">
        <v>1686</v>
      </c>
      <c r="L535" s="21">
        <v>17641.0</v>
      </c>
      <c r="M535" s="21">
        <v>7641.0</v>
      </c>
      <c r="N535" s="26">
        <v>0.3</v>
      </c>
      <c r="O535" s="26">
        <v>0.3</v>
      </c>
      <c r="P535" s="81" t="s">
        <v>1595</v>
      </c>
      <c r="Q535" s="26">
        <v>0.54</v>
      </c>
      <c r="R535" s="84">
        <v>0.31</v>
      </c>
      <c r="S535" s="23"/>
      <c r="T535" s="89"/>
    </row>
    <row r="536" ht="14.25" customHeight="1">
      <c r="A536" s="83" t="s">
        <v>1179</v>
      </c>
      <c r="B536" s="91">
        <v>1.660857914743E12</v>
      </c>
      <c r="C536" s="78" t="s">
        <v>1180</v>
      </c>
      <c r="D536" s="78" t="s">
        <v>1195</v>
      </c>
      <c r="E536" s="21" t="s">
        <v>1197</v>
      </c>
      <c r="F536" s="21" t="s">
        <v>2042</v>
      </c>
      <c r="G536" s="23">
        <v>1458.0</v>
      </c>
      <c r="H536" s="26">
        <v>0.65</v>
      </c>
      <c r="I536" s="79">
        <v>2654.0</v>
      </c>
      <c r="J536" s="79" t="s">
        <v>1605</v>
      </c>
      <c r="K536" s="80" t="s">
        <v>1670</v>
      </c>
      <c r="L536" s="21">
        <v>8818.0</v>
      </c>
      <c r="M536" s="21">
        <v>4112.0</v>
      </c>
      <c r="N536" s="26">
        <v>0.3</v>
      </c>
      <c r="O536" s="26">
        <v>0.3</v>
      </c>
      <c r="P536" s="81" t="s">
        <v>1595</v>
      </c>
      <c r="Q536" s="26">
        <v>0.75</v>
      </c>
      <c r="R536" s="84">
        <v>0.52</v>
      </c>
      <c r="S536" s="23"/>
      <c r="T536" s="89"/>
    </row>
    <row r="537" ht="14.25" customHeight="1">
      <c r="A537" s="83" t="s">
        <v>1179</v>
      </c>
      <c r="B537" s="91">
        <v>6.7933854599885E13</v>
      </c>
      <c r="C537" s="78" t="s">
        <v>1180</v>
      </c>
      <c r="D537" s="78" t="s">
        <v>1195</v>
      </c>
      <c r="E537" s="21" t="s">
        <v>1198</v>
      </c>
      <c r="F537" s="21" t="s">
        <v>2043</v>
      </c>
      <c r="G537" s="23">
        <v>6108.0</v>
      </c>
      <c r="H537" s="26">
        <v>0.2</v>
      </c>
      <c r="I537" s="79">
        <v>1533.0</v>
      </c>
      <c r="J537" s="79" t="s">
        <v>1620</v>
      </c>
      <c r="K537" s="80" t="s">
        <v>1686</v>
      </c>
      <c r="L537" s="21">
        <v>19406.0</v>
      </c>
      <c r="M537" s="21">
        <v>7641.0</v>
      </c>
      <c r="N537" s="26">
        <v>0.3</v>
      </c>
      <c r="O537" s="26">
        <v>0.3</v>
      </c>
      <c r="P537" s="81" t="s">
        <v>1595</v>
      </c>
      <c r="Q537" s="26">
        <v>0.44</v>
      </c>
      <c r="R537" s="84">
        <v>0.21</v>
      </c>
      <c r="S537" s="23"/>
      <c r="T537" s="89"/>
    </row>
    <row r="538" ht="14.25" customHeight="1">
      <c r="A538" s="83" t="s">
        <v>1179</v>
      </c>
      <c r="B538" s="91">
        <v>1.654207372101E12</v>
      </c>
      <c r="C538" s="78" t="s">
        <v>1180</v>
      </c>
      <c r="D538" s="78" t="s">
        <v>1195</v>
      </c>
      <c r="E538" s="21" t="s">
        <v>1199</v>
      </c>
      <c r="F538" s="21" t="s">
        <v>2044</v>
      </c>
      <c r="G538" s="23">
        <v>2648.0</v>
      </c>
      <c r="H538" s="26">
        <v>0.36</v>
      </c>
      <c r="I538" s="79">
        <v>1464.0</v>
      </c>
      <c r="J538" s="79" t="s">
        <v>1602</v>
      </c>
      <c r="K538" s="80" t="s">
        <v>1670</v>
      </c>
      <c r="L538" s="21">
        <v>9994.0</v>
      </c>
      <c r="M538" s="21">
        <v>4112.0</v>
      </c>
      <c r="N538" s="26">
        <v>0.3</v>
      </c>
      <c r="O538" s="26">
        <v>0.3</v>
      </c>
      <c r="P538" s="81" t="s">
        <v>1595</v>
      </c>
      <c r="Q538" s="26">
        <v>0.55</v>
      </c>
      <c r="R538" s="84">
        <v>0.32</v>
      </c>
      <c r="S538" s="37"/>
      <c r="T538" s="37"/>
    </row>
    <row r="539" ht="14.25" customHeight="1">
      <c r="A539" s="83" t="s">
        <v>1179</v>
      </c>
      <c r="B539" s="91" t="s">
        <v>2045</v>
      </c>
      <c r="C539" s="78" t="s">
        <v>1180</v>
      </c>
      <c r="D539" s="78" t="s">
        <v>1195</v>
      </c>
      <c r="E539" s="21" t="s">
        <v>2046</v>
      </c>
      <c r="F539" s="21" t="s">
        <v>2047</v>
      </c>
      <c r="G539" s="23">
        <v>3440.0</v>
      </c>
      <c r="H539" s="26">
        <v>0.55</v>
      </c>
      <c r="I539" s="79">
        <v>4201.0</v>
      </c>
      <c r="J539" s="79" t="s">
        <v>2048</v>
      </c>
      <c r="K539" s="80" t="s">
        <v>1686</v>
      </c>
      <c r="L539" s="21">
        <v>19988.0</v>
      </c>
      <c r="M539" s="21">
        <v>7641.0</v>
      </c>
      <c r="N539" s="26">
        <v>0.3</v>
      </c>
      <c r="O539" s="26">
        <v>0.3</v>
      </c>
      <c r="P539" s="81" t="s">
        <v>1595</v>
      </c>
      <c r="Q539" s="26">
        <v>0.68</v>
      </c>
      <c r="R539" s="84">
        <v>0.45</v>
      </c>
      <c r="S539" s="23"/>
      <c r="T539" s="89"/>
    </row>
    <row r="540" ht="14.25" customHeight="1">
      <c r="A540" s="83" t="s">
        <v>1179</v>
      </c>
      <c r="B540" s="91">
        <v>1.654207352499E12</v>
      </c>
      <c r="C540" s="78" t="s">
        <v>1180</v>
      </c>
      <c r="D540" s="78" t="s">
        <v>1195</v>
      </c>
      <c r="E540" s="21" t="s">
        <v>1200</v>
      </c>
      <c r="F540" s="21" t="s">
        <v>2049</v>
      </c>
      <c r="G540" s="23">
        <v>3550.0</v>
      </c>
      <c r="H540" s="26">
        <v>0.24</v>
      </c>
      <c r="I540" s="79">
        <v>1150.0</v>
      </c>
      <c r="J540" s="79" t="s">
        <v>1602</v>
      </c>
      <c r="K540" s="80" t="s">
        <v>1734</v>
      </c>
      <c r="L540" s="21">
        <v>9994.0</v>
      </c>
      <c r="M540" s="21">
        <v>4700.0</v>
      </c>
      <c r="N540" s="26">
        <v>0.3</v>
      </c>
      <c r="O540" s="26">
        <v>0.3</v>
      </c>
      <c r="P540" s="81" t="s">
        <v>1595</v>
      </c>
      <c r="Q540" s="26">
        <v>0.47</v>
      </c>
      <c r="R540" s="84">
        <v>0.24</v>
      </c>
      <c r="S540" s="23"/>
      <c r="T540" s="37"/>
    </row>
    <row r="541" ht="14.25" customHeight="1">
      <c r="A541" s="83" t="s">
        <v>1179</v>
      </c>
      <c r="B541" s="91">
        <v>6.7933863068841E13</v>
      </c>
      <c r="C541" s="78" t="s">
        <v>1180</v>
      </c>
      <c r="D541" s="78" t="s">
        <v>1195</v>
      </c>
      <c r="E541" s="21" t="s">
        <v>1201</v>
      </c>
      <c r="F541" s="21" t="s">
        <v>2050</v>
      </c>
      <c r="G541" s="23">
        <v>4302.0</v>
      </c>
      <c r="H541" s="26">
        <v>0.33</v>
      </c>
      <c r="I541" s="79">
        <v>2163.0</v>
      </c>
      <c r="J541" s="79" t="s">
        <v>1621</v>
      </c>
      <c r="K541" s="80" t="s">
        <v>1819</v>
      </c>
      <c r="L541" s="21">
        <v>11171.0</v>
      </c>
      <c r="M541" s="21">
        <v>6465.0</v>
      </c>
      <c r="N541" s="26">
        <v>0.3</v>
      </c>
      <c r="O541" s="26">
        <v>0.3</v>
      </c>
      <c r="P541" s="81" t="s">
        <v>1595</v>
      </c>
      <c r="Q541" s="26">
        <v>0.53</v>
      </c>
      <c r="R541" s="84">
        <v>0.3</v>
      </c>
      <c r="S541" s="23"/>
      <c r="T541" s="89"/>
    </row>
    <row r="542" ht="14.25" customHeight="1">
      <c r="A542" s="83" t="s">
        <v>1179</v>
      </c>
      <c r="B542" s="91">
        <v>6.7933861722733E13</v>
      </c>
      <c r="C542" s="78" t="s">
        <v>1180</v>
      </c>
      <c r="D542" s="78" t="s">
        <v>1195</v>
      </c>
      <c r="E542" s="21" t="s">
        <v>1202</v>
      </c>
      <c r="F542" s="21" t="s">
        <v>2051</v>
      </c>
      <c r="G542" s="23">
        <v>3567.0</v>
      </c>
      <c r="H542" s="26">
        <v>0.24</v>
      </c>
      <c r="I542" s="79">
        <v>1133.0</v>
      </c>
      <c r="J542" s="79" t="s">
        <v>1602</v>
      </c>
      <c r="K542" s="80" t="s">
        <v>1734</v>
      </c>
      <c r="L542" s="21">
        <v>9994.0</v>
      </c>
      <c r="M542" s="21">
        <v>4700.0</v>
      </c>
      <c r="N542" s="26">
        <v>0.3</v>
      </c>
      <c r="O542" s="26">
        <v>0.3</v>
      </c>
      <c r="P542" s="81" t="s">
        <v>1595</v>
      </c>
      <c r="Q542" s="26">
        <v>0.47</v>
      </c>
      <c r="R542" s="84">
        <v>0.24</v>
      </c>
      <c r="S542" s="23"/>
      <c r="T542" s="89"/>
    </row>
    <row r="543" ht="14.25" customHeight="1">
      <c r="A543" s="83" t="s">
        <v>1179</v>
      </c>
      <c r="B543" s="91">
        <v>6.7933859111971E13</v>
      </c>
      <c r="C543" s="78" t="s">
        <v>1180</v>
      </c>
      <c r="D543" s="78" t="s">
        <v>1195</v>
      </c>
      <c r="E543" s="21" t="s">
        <v>1203</v>
      </c>
      <c r="F543" s="21" t="s">
        <v>2052</v>
      </c>
      <c r="G543" s="23">
        <v>3727.0</v>
      </c>
      <c r="H543" s="26">
        <v>0.42</v>
      </c>
      <c r="I543" s="79">
        <v>2738.0</v>
      </c>
      <c r="J543" s="79" t="s">
        <v>1602</v>
      </c>
      <c r="K543" s="80" t="s">
        <v>1819</v>
      </c>
      <c r="L543" s="21">
        <v>9994.0</v>
      </c>
      <c r="M543" s="21">
        <v>6465.0</v>
      </c>
      <c r="N543" s="26">
        <v>0.3</v>
      </c>
      <c r="O543" s="26">
        <v>0.3</v>
      </c>
      <c r="P543" s="81" t="s">
        <v>1595</v>
      </c>
      <c r="Q543" s="26">
        <v>0.6</v>
      </c>
      <c r="R543" s="84">
        <v>0.37</v>
      </c>
      <c r="S543" s="23"/>
      <c r="T543" s="89"/>
    </row>
    <row r="544" ht="14.25" customHeight="1">
      <c r="A544" s="83" t="s">
        <v>1179</v>
      </c>
      <c r="B544" s="91">
        <v>6.7933856404072E13</v>
      </c>
      <c r="C544" s="78" t="s">
        <v>1180</v>
      </c>
      <c r="D544" s="78" t="s">
        <v>1195</v>
      </c>
      <c r="E544" s="21" t="s">
        <v>1204</v>
      </c>
      <c r="F544" s="21" t="s">
        <v>2053</v>
      </c>
      <c r="G544" s="23">
        <v>2380.0</v>
      </c>
      <c r="H544" s="26">
        <v>0.59</v>
      </c>
      <c r="I544" s="79">
        <v>3496.0</v>
      </c>
      <c r="J544" s="79" t="s">
        <v>1601</v>
      </c>
      <c r="K544" s="80" t="s">
        <v>1618</v>
      </c>
      <c r="L544" s="21">
        <v>14700.0</v>
      </c>
      <c r="M544" s="21">
        <v>5876.0</v>
      </c>
      <c r="N544" s="26">
        <v>0.3</v>
      </c>
      <c r="O544" s="26">
        <v>0.3</v>
      </c>
      <c r="P544" s="81" t="s">
        <v>1595</v>
      </c>
      <c r="Q544" s="26">
        <v>0.72</v>
      </c>
      <c r="R544" s="84">
        <v>0.49</v>
      </c>
      <c r="S544" s="23"/>
      <c r="T544" s="89"/>
    </row>
    <row r="545" ht="14.25" customHeight="1">
      <c r="A545" s="83" t="s">
        <v>1179</v>
      </c>
      <c r="B545" s="91">
        <v>6.7933857637909E13</v>
      </c>
      <c r="C545" s="78" t="s">
        <v>1180</v>
      </c>
      <c r="D545" s="78" t="s">
        <v>1195</v>
      </c>
      <c r="E545" s="21" t="s">
        <v>1205</v>
      </c>
      <c r="F545" s="21" t="s">
        <v>2054</v>
      </c>
      <c r="G545" s="23">
        <v>3131.0</v>
      </c>
      <c r="H545" s="26">
        <v>0.64</v>
      </c>
      <c r="I545" s="79">
        <v>5686.0</v>
      </c>
      <c r="J545" s="79" t="s">
        <v>1603</v>
      </c>
      <c r="K545" s="80" t="s">
        <v>1605</v>
      </c>
      <c r="L545" s="21">
        <v>17641.0</v>
      </c>
      <c r="M545" s="21">
        <v>8818.0</v>
      </c>
      <c r="N545" s="26">
        <v>0.3</v>
      </c>
      <c r="O545" s="26">
        <v>0.3</v>
      </c>
      <c r="P545" s="81" t="s">
        <v>1595</v>
      </c>
      <c r="Q545" s="26">
        <v>0.75</v>
      </c>
      <c r="R545" s="84">
        <v>0.52</v>
      </c>
      <c r="S545" s="37"/>
      <c r="T545" s="37"/>
    </row>
    <row r="546" ht="14.25" customHeight="1">
      <c r="A546" s="83" t="s">
        <v>1179</v>
      </c>
      <c r="B546" s="91">
        <v>6.7933860407346E13</v>
      </c>
      <c r="C546" s="78" t="s">
        <v>1180</v>
      </c>
      <c r="D546" s="78" t="s">
        <v>1195</v>
      </c>
      <c r="E546" s="21" t="s">
        <v>1206</v>
      </c>
      <c r="F546" s="21" t="s">
        <v>2055</v>
      </c>
      <c r="G546" s="23">
        <v>3070.0</v>
      </c>
      <c r="H546" s="26">
        <v>0.35</v>
      </c>
      <c r="I546" s="79">
        <v>1630.0</v>
      </c>
      <c r="J546" s="79" t="s">
        <v>1605</v>
      </c>
      <c r="K546" s="80" t="s">
        <v>1734</v>
      </c>
      <c r="L546" s="21">
        <v>8818.0</v>
      </c>
      <c r="M546" s="21">
        <v>4700.0</v>
      </c>
      <c r="N546" s="26">
        <v>0.3</v>
      </c>
      <c r="O546" s="26">
        <v>0.3</v>
      </c>
      <c r="P546" s="81" t="s">
        <v>1595</v>
      </c>
      <c r="Q546" s="26">
        <v>0.54</v>
      </c>
      <c r="R546" s="84">
        <v>0.31</v>
      </c>
      <c r="S546" s="23"/>
      <c r="T546" s="37"/>
    </row>
    <row r="547" ht="14.25" customHeight="1">
      <c r="A547" s="83" t="s">
        <v>1179</v>
      </c>
      <c r="B547" s="55" t="s">
        <v>1208</v>
      </c>
      <c r="C547" s="78" t="s">
        <v>1180</v>
      </c>
      <c r="D547" s="78" t="s">
        <v>1195</v>
      </c>
      <c r="E547" s="21" t="s">
        <v>1207</v>
      </c>
      <c r="F547" s="21" t="s">
        <v>2056</v>
      </c>
      <c r="G547" s="23">
        <v>6366.0</v>
      </c>
      <c r="H547" s="26">
        <v>0.4</v>
      </c>
      <c r="I547" s="79">
        <v>4216.0</v>
      </c>
      <c r="J547" s="79" t="s">
        <v>1601</v>
      </c>
      <c r="K547" s="80" t="s">
        <v>1636</v>
      </c>
      <c r="L547" s="21">
        <v>14700.0</v>
      </c>
      <c r="M547" s="21">
        <v>10582.0</v>
      </c>
      <c r="N547" s="26">
        <v>0.3</v>
      </c>
      <c r="O547" s="26">
        <v>0.3</v>
      </c>
      <c r="P547" s="81" t="s">
        <v>1595</v>
      </c>
      <c r="Q547" s="26">
        <v>0.58</v>
      </c>
      <c r="R547" s="84">
        <v>0.35</v>
      </c>
      <c r="S547" s="23"/>
      <c r="T547" s="89"/>
    </row>
    <row r="548" ht="14.25" customHeight="1">
      <c r="A548" s="83" t="s">
        <v>1179</v>
      </c>
      <c r="B548" s="55" t="s">
        <v>1210</v>
      </c>
      <c r="C548" s="78" t="s">
        <v>1180</v>
      </c>
      <c r="D548" s="78" t="s">
        <v>1195</v>
      </c>
      <c r="E548" s="21" t="s">
        <v>1209</v>
      </c>
      <c r="F548" s="21" t="s">
        <v>2057</v>
      </c>
      <c r="G548" s="23">
        <v>7187.0</v>
      </c>
      <c r="H548" s="26">
        <v>0.39</v>
      </c>
      <c r="I548" s="79">
        <v>4572.0</v>
      </c>
      <c r="J548" s="79" t="s">
        <v>1603</v>
      </c>
      <c r="K548" s="80" t="s">
        <v>1604</v>
      </c>
      <c r="L548" s="21">
        <v>17641.0</v>
      </c>
      <c r="M548" s="21">
        <v>11759.0</v>
      </c>
      <c r="N548" s="26">
        <v>0.3</v>
      </c>
      <c r="O548" s="26">
        <v>0.3</v>
      </c>
      <c r="P548" s="81" t="s">
        <v>1595</v>
      </c>
      <c r="Q548" s="26">
        <v>0.57</v>
      </c>
      <c r="R548" s="84">
        <v>0.34</v>
      </c>
    </row>
    <row r="549" ht="14.25" customHeight="1">
      <c r="A549" s="83" t="s">
        <v>1179</v>
      </c>
      <c r="B549" s="55" t="s">
        <v>1212</v>
      </c>
      <c r="C549" s="78" t="s">
        <v>1180</v>
      </c>
      <c r="D549" s="78" t="s">
        <v>1195</v>
      </c>
      <c r="E549" s="21" t="s">
        <v>1211</v>
      </c>
      <c r="F549" s="21" t="s">
        <v>2058</v>
      </c>
      <c r="G549" s="23">
        <v>6983.0</v>
      </c>
      <c r="H549" s="26">
        <v>0.41</v>
      </c>
      <c r="I549" s="79">
        <v>4776.0</v>
      </c>
      <c r="J549" s="79" t="s">
        <v>2059</v>
      </c>
      <c r="K549" s="80" t="s">
        <v>1604</v>
      </c>
      <c r="L549" s="21">
        <v>16465.0</v>
      </c>
      <c r="M549" s="21">
        <v>11759.0</v>
      </c>
      <c r="N549" s="26">
        <v>0.3</v>
      </c>
      <c r="O549" s="26">
        <v>0.3</v>
      </c>
      <c r="P549" s="81" t="s">
        <v>1595</v>
      </c>
      <c r="Q549" s="26">
        <v>0.58</v>
      </c>
      <c r="R549" s="84">
        <v>0.35</v>
      </c>
    </row>
    <row r="550" ht="14.25" customHeight="1">
      <c r="A550" s="83" t="s">
        <v>1179</v>
      </c>
      <c r="B550" s="55" t="s">
        <v>1214</v>
      </c>
      <c r="C550" s="78" t="s">
        <v>1180</v>
      </c>
      <c r="D550" s="78" t="s">
        <v>1195</v>
      </c>
      <c r="E550" s="21" t="s">
        <v>1213</v>
      </c>
      <c r="F550" s="21" t="s">
        <v>2060</v>
      </c>
      <c r="G550" s="23">
        <v>7818.0</v>
      </c>
      <c r="H550" s="26">
        <v>0.42</v>
      </c>
      <c r="I550" s="79">
        <v>5706.0</v>
      </c>
      <c r="J550" s="79" t="s">
        <v>1620</v>
      </c>
      <c r="K550" s="80" t="s">
        <v>1613</v>
      </c>
      <c r="L550" s="21">
        <v>19406.0</v>
      </c>
      <c r="M550" s="21">
        <v>13524.0</v>
      </c>
      <c r="N550" s="26">
        <v>0.3</v>
      </c>
      <c r="O550" s="26">
        <v>0.3</v>
      </c>
      <c r="P550" s="81" t="s">
        <v>1595</v>
      </c>
      <c r="Q550" s="26">
        <v>0.6</v>
      </c>
      <c r="R550" s="84">
        <v>0.37</v>
      </c>
    </row>
    <row r="551" ht="14.25" customHeight="1">
      <c r="A551" s="83" t="s">
        <v>1179</v>
      </c>
      <c r="B551" s="19" t="s">
        <v>1216</v>
      </c>
      <c r="C551" s="78" t="s">
        <v>1180</v>
      </c>
      <c r="D551" s="78" t="s">
        <v>1195</v>
      </c>
      <c r="E551" s="19" t="s">
        <v>1215</v>
      </c>
      <c r="F551" s="19" t="s">
        <v>2061</v>
      </c>
      <c r="G551" s="23">
        <v>3648.0</v>
      </c>
      <c r="H551" s="26">
        <v>0.52</v>
      </c>
      <c r="I551" s="21">
        <v>3993.0</v>
      </c>
      <c r="J551" s="19" t="s">
        <v>1604</v>
      </c>
      <c r="K551" s="101" t="s">
        <v>1686</v>
      </c>
      <c r="L551" s="21">
        <v>11759.0</v>
      </c>
      <c r="M551" s="21">
        <v>7641.0</v>
      </c>
      <c r="N551" s="26">
        <v>0.3</v>
      </c>
      <c r="O551" s="26">
        <v>0.3</v>
      </c>
      <c r="P551" s="81" t="s">
        <v>1595</v>
      </c>
      <c r="Q551" s="26">
        <v>0.67</v>
      </c>
      <c r="R551" s="84">
        <v>0.44</v>
      </c>
    </row>
    <row r="552" ht="14.25" customHeight="1">
      <c r="A552" s="83" t="s">
        <v>1179</v>
      </c>
      <c r="B552" s="19" t="s">
        <v>1218</v>
      </c>
      <c r="C552" s="78" t="s">
        <v>1180</v>
      </c>
      <c r="D552" s="78" t="s">
        <v>1195</v>
      </c>
      <c r="E552" s="19" t="s">
        <v>1217</v>
      </c>
      <c r="F552" s="19" t="s">
        <v>2062</v>
      </c>
      <c r="G552" s="23">
        <v>3142.0</v>
      </c>
      <c r="H552" s="26">
        <v>0.47</v>
      </c>
      <c r="I552" s="21">
        <v>2735.0</v>
      </c>
      <c r="J552" s="19" t="s">
        <v>1602</v>
      </c>
      <c r="K552" s="101" t="s">
        <v>1618</v>
      </c>
      <c r="L552" s="21">
        <v>9994.0</v>
      </c>
      <c r="M552" s="21">
        <v>5876.0</v>
      </c>
      <c r="N552" s="26">
        <v>0.3</v>
      </c>
      <c r="O552" s="26">
        <v>0.3</v>
      </c>
      <c r="P552" s="81" t="s">
        <v>1595</v>
      </c>
      <c r="Q552" s="26">
        <v>0.63</v>
      </c>
      <c r="R552" s="84">
        <v>0.4</v>
      </c>
    </row>
    <row r="553" ht="14.25" customHeight="1">
      <c r="A553" s="83" t="s">
        <v>1179</v>
      </c>
      <c r="B553" s="102">
        <v>6.8432930518995E13</v>
      </c>
      <c r="C553" s="78" t="s">
        <v>1219</v>
      </c>
      <c r="D553" s="78" t="s">
        <v>1220</v>
      </c>
      <c r="E553" s="19" t="s">
        <v>2063</v>
      </c>
      <c r="F553" s="19" t="s">
        <v>2064</v>
      </c>
      <c r="G553" s="23">
        <v>14797.0</v>
      </c>
      <c r="H553" s="26">
        <v>0.24</v>
      </c>
      <c r="I553" s="21">
        <v>4609.0</v>
      </c>
      <c r="J553" s="19" t="s">
        <v>1606</v>
      </c>
      <c r="K553" s="101" t="s">
        <v>1620</v>
      </c>
      <c r="L553" s="21">
        <v>29406.0</v>
      </c>
      <c r="M553" s="21">
        <v>19406.0</v>
      </c>
      <c r="N553" s="26">
        <v>0.3</v>
      </c>
      <c r="O553" s="26">
        <v>0.3</v>
      </c>
      <c r="P553" s="81" t="s">
        <v>1595</v>
      </c>
      <c r="Q553" s="26">
        <v>0.47</v>
      </c>
      <c r="R553" s="84">
        <v>0.24</v>
      </c>
    </row>
    <row r="554" ht="14.25" customHeight="1">
      <c r="A554" s="83" t="s">
        <v>1179</v>
      </c>
      <c r="B554" s="102">
        <v>1.660859171584E12</v>
      </c>
      <c r="C554" s="78" t="s">
        <v>1219</v>
      </c>
      <c r="D554" s="78" t="s">
        <v>1220</v>
      </c>
      <c r="E554" s="19" t="s">
        <v>2063</v>
      </c>
      <c r="F554" s="19" t="s">
        <v>2065</v>
      </c>
      <c r="G554" s="23">
        <v>13822.0</v>
      </c>
      <c r="H554" s="26">
        <v>0.29</v>
      </c>
      <c r="I554" s="21">
        <v>5584.0</v>
      </c>
      <c r="J554" s="19" t="s">
        <v>1606</v>
      </c>
      <c r="K554" s="101" t="s">
        <v>1620</v>
      </c>
      <c r="L554" s="21">
        <v>29406.0</v>
      </c>
      <c r="M554" s="21">
        <v>19406.0</v>
      </c>
      <c r="N554" s="26">
        <v>0.3</v>
      </c>
      <c r="O554" s="26">
        <v>0.3</v>
      </c>
      <c r="P554" s="81" t="s">
        <v>1595</v>
      </c>
      <c r="Q554" s="26">
        <v>0.5</v>
      </c>
      <c r="R554" s="84">
        <v>0.27</v>
      </c>
    </row>
    <row r="555" ht="14.25" customHeight="1">
      <c r="A555" s="83" t="s">
        <v>1179</v>
      </c>
      <c r="B555" s="102">
        <v>1.62801820637E12</v>
      </c>
      <c r="C555" s="78" t="s">
        <v>1223</v>
      </c>
      <c r="D555" s="78" t="s">
        <v>1223</v>
      </c>
      <c r="E555" s="19" t="s">
        <v>1224</v>
      </c>
      <c r="F555" s="19" t="s">
        <v>2066</v>
      </c>
      <c r="G555" s="23">
        <v>4487.0</v>
      </c>
      <c r="H555" s="26">
        <v>0.49</v>
      </c>
      <c r="I555" s="21">
        <v>4331.0</v>
      </c>
      <c r="J555" s="19" t="s">
        <v>1601</v>
      </c>
      <c r="K555" s="101" t="s">
        <v>1605</v>
      </c>
      <c r="L555" s="21">
        <v>14700.0</v>
      </c>
      <c r="M555" s="21">
        <v>8818.0</v>
      </c>
      <c r="N555" s="26">
        <v>0.3</v>
      </c>
      <c r="O555" s="26">
        <v>0.3</v>
      </c>
      <c r="P555" s="81" t="s">
        <v>1595</v>
      </c>
      <c r="Q555" s="26">
        <v>0.64</v>
      </c>
      <c r="R555" s="84">
        <v>0.41</v>
      </c>
    </row>
    <row r="556" ht="14.25" customHeight="1">
      <c r="A556" s="83" t="s">
        <v>1179</v>
      </c>
      <c r="B556" s="102">
        <v>1.634845754276E12</v>
      </c>
      <c r="C556" s="78" t="s">
        <v>1225</v>
      </c>
      <c r="D556" s="78" t="s">
        <v>1226</v>
      </c>
      <c r="E556" s="19" t="s">
        <v>2067</v>
      </c>
      <c r="F556" s="19" t="s">
        <v>1231</v>
      </c>
      <c r="G556" s="23">
        <v>44152.0</v>
      </c>
      <c r="H556" s="26">
        <v>0.12</v>
      </c>
      <c r="I556" s="21">
        <v>5842.0</v>
      </c>
      <c r="J556" s="19" t="s">
        <v>1622</v>
      </c>
      <c r="K556" s="101" t="s">
        <v>1891</v>
      </c>
      <c r="L556" s="21">
        <v>88229.0</v>
      </c>
      <c r="M556" s="21">
        <v>49994.0</v>
      </c>
      <c r="N556" s="26">
        <v>0.3</v>
      </c>
      <c r="O556" s="26">
        <v>0.3</v>
      </c>
      <c r="P556" s="81" t="s">
        <v>1595</v>
      </c>
      <c r="Q556" s="26">
        <v>0.38</v>
      </c>
      <c r="R556" s="84">
        <v>0.15</v>
      </c>
    </row>
    <row r="557" ht="14.25" customHeight="1">
      <c r="A557" s="83" t="s">
        <v>1179</v>
      </c>
      <c r="B557" s="102">
        <v>1.635956574926E12</v>
      </c>
      <c r="C557" s="78" t="s">
        <v>1225</v>
      </c>
      <c r="D557" s="78" t="s">
        <v>1226</v>
      </c>
      <c r="E557" s="19" t="s">
        <v>2068</v>
      </c>
      <c r="F557" s="19" t="s">
        <v>1232</v>
      </c>
      <c r="G557" s="23">
        <v>25101.0</v>
      </c>
      <c r="H557" s="26">
        <v>0.43</v>
      </c>
      <c r="I557" s="21">
        <v>19010.0</v>
      </c>
      <c r="J557" s="19" t="s">
        <v>1623</v>
      </c>
      <c r="K557" s="101" t="s">
        <v>1664</v>
      </c>
      <c r="L557" s="21">
        <v>76465.0</v>
      </c>
      <c r="M557" s="21">
        <v>44112.0</v>
      </c>
      <c r="N557" s="26">
        <v>0.3</v>
      </c>
      <c r="O557" s="26">
        <v>0.3</v>
      </c>
      <c r="P557" s="81" t="s">
        <v>1595</v>
      </c>
      <c r="Q557" s="26">
        <v>0.6</v>
      </c>
      <c r="R557" s="84">
        <v>0.37</v>
      </c>
    </row>
    <row r="558" ht="14.25" customHeight="1">
      <c r="A558" s="83" t="s">
        <v>1179</v>
      </c>
      <c r="B558" s="102" t="s">
        <v>1234</v>
      </c>
      <c r="C558" s="78" t="s">
        <v>1225</v>
      </c>
      <c r="D558" s="78" t="s">
        <v>1226</v>
      </c>
      <c r="E558" s="19" t="s">
        <v>2069</v>
      </c>
      <c r="F558" s="19" t="s">
        <v>2070</v>
      </c>
      <c r="G558" s="23">
        <v>24322.0</v>
      </c>
      <c r="H558" s="26">
        <v>0.45</v>
      </c>
      <c r="I558" s="21">
        <v>19789.0</v>
      </c>
      <c r="J558" s="19" t="s">
        <v>1623</v>
      </c>
      <c r="K558" s="101" t="s">
        <v>1664</v>
      </c>
      <c r="L558" s="21">
        <v>76465.0</v>
      </c>
      <c r="M558" s="21">
        <v>44112.0</v>
      </c>
      <c r="N558" s="26">
        <v>0.3</v>
      </c>
      <c r="O558" s="26">
        <v>0.3</v>
      </c>
      <c r="P558" s="81" t="s">
        <v>1595</v>
      </c>
      <c r="Q558" s="26">
        <v>0.61</v>
      </c>
      <c r="R558" s="84">
        <v>0.38</v>
      </c>
    </row>
    <row r="559" ht="14.25" customHeight="1">
      <c r="A559" s="83" t="s">
        <v>1179</v>
      </c>
      <c r="B559" s="102" t="s">
        <v>1228</v>
      </c>
      <c r="C559" s="78" t="s">
        <v>1225</v>
      </c>
      <c r="D559" s="78" t="s">
        <v>1226</v>
      </c>
      <c r="E559" s="19" t="s">
        <v>2071</v>
      </c>
      <c r="F559" s="19" t="s">
        <v>2072</v>
      </c>
      <c r="G559" s="23">
        <v>17813.0</v>
      </c>
      <c r="H559" s="26">
        <v>0.3</v>
      </c>
      <c r="I559" s="21">
        <v>7476.0</v>
      </c>
      <c r="J559" s="19" t="s">
        <v>1697</v>
      </c>
      <c r="K559" s="101" t="s">
        <v>2073</v>
      </c>
      <c r="L559" s="21">
        <v>47053.0</v>
      </c>
      <c r="M559" s="21">
        <v>25288.0</v>
      </c>
      <c r="N559" s="26">
        <v>0.3</v>
      </c>
      <c r="O559" s="26">
        <v>0.3</v>
      </c>
      <c r="P559" s="81" t="s">
        <v>1595</v>
      </c>
      <c r="Q559" s="26">
        <v>0.51</v>
      </c>
      <c r="R559" s="84">
        <v>0.28</v>
      </c>
    </row>
    <row r="560" ht="14.25" customHeight="1">
      <c r="A560" s="83" t="s">
        <v>1179</v>
      </c>
      <c r="B560" s="102" t="s">
        <v>1236</v>
      </c>
      <c r="C560" s="78" t="s">
        <v>1225</v>
      </c>
      <c r="D560" s="78" t="s">
        <v>1226</v>
      </c>
      <c r="E560" s="19" t="s">
        <v>2074</v>
      </c>
      <c r="F560" s="19" t="s">
        <v>2075</v>
      </c>
      <c r="G560" s="23">
        <v>55085.0</v>
      </c>
      <c r="H560" s="26">
        <v>0.22</v>
      </c>
      <c r="I560" s="21">
        <v>15497.0</v>
      </c>
      <c r="J560" s="19" t="s">
        <v>1764</v>
      </c>
      <c r="K560" s="101" t="s">
        <v>1597</v>
      </c>
      <c r="L560" s="21">
        <v>117641.0</v>
      </c>
      <c r="M560" s="21">
        <v>70582.0</v>
      </c>
      <c r="N560" s="26">
        <v>0.3</v>
      </c>
      <c r="O560" s="26">
        <v>0.3</v>
      </c>
      <c r="P560" s="83" t="s">
        <v>134</v>
      </c>
      <c r="Q560" s="26">
        <v>0.45</v>
      </c>
      <c r="R560" s="84">
        <v>0.22</v>
      </c>
    </row>
    <row r="561" ht="14.25" customHeight="1">
      <c r="A561" s="83" t="s">
        <v>1179</v>
      </c>
      <c r="B561" s="102" t="s">
        <v>1238</v>
      </c>
      <c r="C561" s="78" t="s">
        <v>1225</v>
      </c>
      <c r="D561" s="78" t="s">
        <v>1226</v>
      </c>
      <c r="E561" s="19" t="s">
        <v>2076</v>
      </c>
      <c r="F561" s="19" t="s">
        <v>2077</v>
      </c>
      <c r="G561" s="23">
        <v>30907.0</v>
      </c>
      <c r="H561" s="26">
        <v>0.47</v>
      </c>
      <c r="I561" s="21">
        <v>27910.0</v>
      </c>
      <c r="J561" s="19" t="s">
        <v>1708</v>
      </c>
      <c r="K561" s="101" t="s">
        <v>1596</v>
      </c>
      <c r="L561" s="21">
        <v>99994.0</v>
      </c>
      <c r="M561" s="21">
        <v>58818.0</v>
      </c>
      <c r="N561" s="26">
        <v>0.3</v>
      </c>
      <c r="O561" s="26">
        <v>0.3</v>
      </c>
      <c r="P561" s="81" t="s">
        <v>1595</v>
      </c>
      <c r="Q561" s="26">
        <v>0.63</v>
      </c>
      <c r="R561" s="84">
        <v>0.4</v>
      </c>
    </row>
    <row r="562" ht="14.25" customHeight="1">
      <c r="A562" s="19" t="s">
        <v>1179</v>
      </c>
      <c r="B562" s="19" t="s">
        <v>1230</v>
      </c>
      <c r="C562" s="78" t="s">
        <v>1225</v>
      </c>
      <c r="D562" s="78" t="s">
        <v>1226</v>
      </c>
      <c r="E562" s="19" t="s">
        <v>1229</v>
      </c>
      <c r="F562" s="19" t="s">
        <v>2078</v>
      </c>
      <c r="G562" s="23">
        <v>25730.0</v>
      </c>
      <c r="H562" s="26">
        <v>0.51</v>
      </c>
      <c r="I562" s="21">
        <v>27206.0</v>
      </c>
      <c r="J562" s="19" t="s">
        <v>1623</v>
      </c>
      <c r="K562" s="101" t="s">
        <v>1628</v>
      </c>
      <c r="L562" s="21">
        <v>76465.0</v>
      </c>
      <c r="M562" s="21">
        <v>52935.0</v>
      </c>
      <c r="N562" s="26">
        <v>0.3</v>
      </c>
      <c r="O562" s="26">
        <v>0.3</v>
      </c>
      <c r="P562" s="81" t="s">
        <v>1595</v>
      </c>
      <c r="Q562" s="26">
        <v>0.66</v>
      </c>
      <c r="R562" s="26">
        <v>0.43</v>
      </c>
    </row>
    <row r="563" ht="14.25" customHeight="1">
      <c r="A563" s="83" t="s">
        <v>1179</v>
      </c>
      <c r="B563" s="83" t="s">
        <v>1240</v>
      </c>
      <c r="C563" s="83" t="s">
        <v>1225</v>
      </c>
      <c r="D563" s="83" t="s">
        <v>1226</v>
      </c>
      <c r="E563" s="83" t="s">
        <v>1239</v>
      </c>
      <c r="F563" s="19" t="s">
        <v>1239</v>
      </c>
      <c r="G563" s="92">
        <v>27314.0</v>
      </c>
      <c r="H563" s="84">
        <v>0.54</v>
      </c>
      <c r="I563" s="86">
        <v>31504.0</v>
      </c>
      <c r="J563" s="19" t="s">
        <v>1623</v>
      </c>
      <c r="K563" s="101" t="s">
        <v>1596</v>
      </c>
      <c r="L563" s="86">
        <v>76465.0</v>
      </c>
      <c r="M563" s="86">
        <v>58818.0</v>
      </c>
      <c r="N563" s="84">
        <v>0.3</v>
      </c>
      <c r="O563" s="84">
        <v>0.3</v>
      </c>
      <c r="P563" s="81" t="s">
        <v>1595</v>
      </c>
      <c r="Q563" s="84">
        <v>0.67</v>
      </c>
      <c r="R563" s="84">
        <v>0.44</v>
      </c>
    </row>
    <row r="564" ht="14.25" customHeight="1">
      <c r="A564" s="83" t="s">
        <v>1179</v>
      </c>
      <c r="B564" s="83" t="s">
        <v>1242</v>
      </c>
      <c r="C564" s="83" t="s">
        <v>1225</v>
      </c>
      <c r="D564" s="83" t="s">
        <v>1226</v>
      </c>
      <c r="E564" s="83" t="s">
        <v>1241</v>
      </c>
      <c r="F564" s="19" t="s">
        <v>1241</v>
      </c>
      <c r="G564" s="92">
        <v>34717.0</v>
      </c>
      <c r="H564" s="84">
        <v>0.51</v>
      </c>
      <c r="I564" s="86">
        <v>35865.0</v>
      </c>
      <c r="J564" s="19" t="s">
        <v>2079</v>
      </c>
      <c r="K564" s="101" t="s">
        <v>1597</v>
      </c>
      <c r="L564" s="86">
        <v>105876.0</v>
      </c>
      <c r="M564" s="86">
        <v>70582.0</v>
      </c>
      <c r="N564" s="84">
        <v>0.3</v>
      </c>
      <c r="O564" s="84">
        <v>0.3</v>
      </c>
      <c r="P564" s="81" t="s">
        <v>1595</v>
      </c>
      <c r="Q564" s="84">
        <v>0.66</v>
      </c>
      <c r="R564" s="84">
        <v>0.43</v>
      </c>
    </row>
    <row r="565" ht="14.25" customHeight="1">
      <c r="A565" s="83" t="s">
        <v>1179</v>
      </c>
      <c r="B565" s="102" t="s">
        <v>1245</v>
      </c>
      <c r="C565" s="78" t="s">
        <v>1225</v>
      </c>
      <c r="D565" s="78" t="s">
        <v>1243</v>
      </c>
      <c r="E565" s="19" t="s">
        <v>1244</v>
      </c>
      <c r="F565" s="19" t="s">
        <v>2080</v>
      </c>
      <c r="G565" s="23">
        <v>7052.0</v>
      </c>
      <c r="H565" s="26">
        <v>0.52</v>
      </c>
      <c r="I565" s="21">
        <v>7648.0</v>
      </c>
      <c r="J565" s="19" t="s">
        <v>1608</v>
      </c>
      <c r="K565" s="101" t="s">
        <v>1601</v>
      </c>
      <c r="L565" s="21">
        <v>23524.0</v>
      </c>
      <c r="M565" s="21">
        <v>14700.0</v>
      </c>
      <c r="N565" s="26">
        <v>0.3</v>
      </c>
      <c r="O565" s="26">
        <v>0.3</v>
      </c>
      <c r="P565" s="81" t="s">
        <v>1595</v>
      </c>
      <c r="Q565" s="26">
        <v>0.66</v>
      </c>
      <c r="R565" s="84">
        <v>0.43</v>
      </c>
    </row>
    <row r="566" ht="14.25" customHeight="1">
      <c r="A566" s="83" t="s">
        <v>1179</v>
      </c>
      <c r="B566" s="102" t="s">
        <v>1247</v>
      </c>
      <c r="C566" s="78" t="s">
        <v>1225</v>
      </c>
      <c r="D566" s="78" t="s">
        <v>1243</v>
      </c>
      <c r="E566" s="19" t="s">
        <v>1246</v>
      </c>
      <c r="F566" s="19" t="s">
        <v>2081</v>
      </c>
      <c r="G566" s="23">
        <v>5598.0</v>
      </c>
      <c r="H566" s="26">
        <v>0.27</v>
      </c>
      <c r="I566" s="21">
        <v>2043.0</v>
      </c>
      <c r="J566" s="19" t="s">
        <v>1714</v>
      </c>
      <c r="K566" s="101" t="s">
        <v>1686</v>
      </c>
      <c r="L566" s="21">
        <v>20582.0</v>
      </c>
      <c r="M566" s="21">
        <v>7641.0</v>
      </c>
      <c r="N566" s="26">
        <v>0.3</v>
      </c>
      <c r="O566" s="26">
        <v>0.3</v>
      </c>
      <c r="P566" s="81" t="s">
        <v>1595</v>
      </c>
      <c r="Q566" s="26">
        <v>0.49</v>
      </c>
      <c r="R566" s="84">
        <v>0.26</v>
      </c>
    </row>
    <row r="567" ht="14.25" customHeight="1">
      <c r="A567" s="83" t="s">
        <v>1179</v>
      </c>
      <c r="B567" s="102" t="s">
        <v>1249</v>
      </c>
      <c r="C567" s="78" t="s">
        <v>1225</v>
      </c>
      <c r="D567" s="78" t="s">
        <v>1243</v>
      </c>
      <c r="E567" s="19" t="s">
        <v>1248</v>
      </c>
      <c r="F567" s="19" t="s">
        <v>2082</v>
      </c>
      <c r="G567" s="23">
        <v>2636.0</v>
      </c>
      <c r="H567" s="26">
        <v>0.65</v>
      </c>
      <c r="I567" s="21">
        <v>5005.0</v>
      </c>
      <c r="J567" s="19" t="s">
        <v>1714</v>
      </c>
      <c r="K567" s="101" t="s">
        <v>1686</v>
      </c>
      <c r="L567" s="21">
        <v>20582.0</v>
      </c>
      <c r="M567" s="21">
        <v>7641.0</v>
      </c>
      <c r="N567" s="26">
        <v>0.3</v>
      </c>
      <c r="O567" s="26">
        <v>0.3</v>
      </c>
      <c r="P567" s="81" t="s">
        <v>1595</v>
      </c>
      <c r="Q567" s="26">
        <v>0.76</v>
      </c>
      <c r="R567" s="84">
        <v>0.53</v>
      </c>
    </row>
    <row r="568" ht="14.25" customHeight="1">
      <c r="A568" s="83" t="s">
        <v>1179</v>
      </c>
      <c r="B568" s="102" t="s">
        <v>1251</v>
      </c>
      <c r="C568" s="78" t="s">
        <v>1225</v>
      </c>
      <c r="D568" s="78" t="s">
        <v>1243</v>
      </c>
      <c r="E568" s="19" t="s">
        <v>1250</v>
      </c>
      <c r="F568" s="19" t="s">
        <v>1250</v>
      </c>
      <c r="G568" s="23">
        <v>6707.0</v>
      </c>
      <c r="H568" s="26">
        <v>0.33</v>
      </c>
      <c r="I568" s="21">
        <v>3287.0</v>
      </c>
      <c r="J568" s="19" t="s">
        <v>1603</v>
      </c>
      <c r="K568" s="101" t="s">
        <v>1602</v>
      </c>
      <c r="L568" s="21">
        <v>17641.0</v>
      </c>
      <c r="M568" s="21">
        <v>9994.0</v>
      </c>
      <c r="N568" s="26">
        <v>0.3</v>
      </c>
      <c r="O568" s="26">
        <v>0.3</v>
      </c>
      <c r="P568" s="81" t="s">
        <v>1595</v>
      </c>
      <c r="Q568" s="26">
        <v>0.53</v>
      </c>
      <c r="R568" s="84">
        <v>0.3</v>
      </c>
    </row>
    <row r="569" ht="14.25" customHeight="1">
      <c r="A569" s="83" t="s">
        <v>1179</v>
      </c>
      <c r="B569" s="102" t="s">
        <v>1253</v>
      </c>
      <c r="C569" s="78" t="s">
        <v>1225</v>
      </c>
      <c r="D569" s="78" t="s">
        <v>1243</v>
      </c>
      <c r="E569" s="19" t="s">
        <v>1252</v>
      </c>
      <c r="F569" s="19" t="s">
        <v>2083</v>
      </c>
      <c r="G569" s="23">
        <v>19949.0</v>
      </c>
      <c r="H569" s="26">
        <v>0.32</v>
      </c>
      <c r="I569" s="21">
        <v>9457.0</v>
      </c>
      <c r="J569" s="19" t="s">
        <v>1697</v>
      </c>
      <c r="K569" s="101" t="s">
        <v>1606</v>
      </c>
      <c r="L569" s="21">
        <v>47053.0</v>
      </c>
      <c r="M569" s="21">
        <v>29406.0</v>
      </c>
      <c r="N569" s="26">
        <v>0.3</v>
      </c>
      <c r="O569" s="26">
        <v>0.3</v>
      </c>
      <c r="P569" s="81" t="s">
        <v>1595</v>
      </c>
      <c r="Q569" s="26">
        <v>0.53</v>
      </c>
      <c r="R569" s="84">
        <v>0.3</v>
      </c>
    </row>
    <row r="570" ht="14.25" customHeight="1">
      <c r="A570" s="83" t="s">
        <v>1179</v>
      </c>
      <c r="B570" s="102" t="s">
        <v>1255</v>
      </c>
      <c r="C570" s="78" t="s">
        <v>1225</v>
      </c>
      <c r="D570" s="78" t="s">
        <v>1243</v>
      </c>
      <c r="E570" s="19" t="s">
        <v>1254</v>
      </c>
      <c r="F570" s="19" t="s">
        <v>2084</v>
      </c>
      <c r="G570" s="23">
        <v>8985.0</v>
      </c>
      <c r="H570" s="26">
        <v>0.49</v>
      </c>
      <c r="I570" s="21">
        <v>8656.0</v>
      </c>
      <c r="J570" s="19" t="s">
        <v>1606</v>
      </c>
      <c r="K570" s="101" t="s">
        <v>1603</v>
      </c>
      <c r="L570" s="21">
        <v>29406.0</v>
      </c>
      <c r="M570" s="21">
        <v>17641.0</v>
      </c>
      <c r="N570" s="26">
        <v>0.3</v>
      </c>
      <c r="O570" s="26">
        <v>0.3</v>
      </c>
      <c r="P570" s="81" t="s">
        <v>1595</v>
      </c>
      <c r="Q570" s="26">
        <v>0.64</v>
      </c>
      <c r="R570" s="84">
        <v>0.41</v>
      </c>
    </row>
    <row r="571" ht="14.25" customHeight="1">
      <c r="A571" s="83" t="s">
        <v>1179</v>
      </c>
      <c r="B571" s="102" t="s">
        <v>1257</v>
      </c>
      <c r="C571" s="78" t="s">
        <v>1225</v>
      </c>
      <c r="D571" s="78" t="s">
        <v>1243</v>
      </c>
      <c r="E571" s="19" t="s">
        <v>1256</v>
      </c>
      <c r="F571" s="19" t="s">
        <v>2085</v>
      </c>
      <c r="G571" s="23">
        <v>7655.0</v>
      </c>
      <c r="H571" s="26">
        <v>0.48</v>
      </c>
      <c r="I571" s="21">
        <v>7045.0</v>
      </c>
      <c r="J571" s="19" t="s">
        <v>1608</v>
      </c>
      <c r="K571" s="101" t="s">
        <v>1601</v>
      </c>
      <c r="L571" s="21">
        <v>23524.0</v>
      </c>
      <c r="M571" s="21">
        <v>14700.0</v>
      </c>
      <c r="N571" s="26">
        <v>0.3</v>
      </c>
      <c r="O571" s="26">
        <v>0.3</v>
      </c>
      <c r="P571" s="81" t="s">
        <v>1595</v>
      </c>
      <c r="Q571" s="26">
        <v>0.64</v>
      </c>
      <c r="R571" s="84">
        <v>0.41</v>
      </c>
    </row>
    <row r="572" ht="14.25" customHeight="1">
      <c r="A572" s="83" t="s">
        <v>1179</v>
      </c>
      <c r="B572" s="102" t="s">
        <v>1261</v>
      </c>
      <c r="C572" s="78" t="s">
        <v>1225</v>
      </c>
      <c r="D572" s="78" t="s">
        <v>1243</v>
      </c>
      <c r="E572" s="19" t="s">
        <v>2086</v>
      </c>
      <c r="F572" s="19" t="s">
        <v>2087</v>
      </c>
      <c r="G572" s="23">
        <v>21523.0</v>
      </c>
      <c r="H572" s="26">
        <v>0.39</v>
      </c>
      <c r="I572" s="21">
        <v>13765.0</v>
      </c>
      <c r="J572" s="19" t="s">
        <v>1628</v>
      </c>
      <c r="K572" s="101" t="s">
        <v>1594</v>
      </c>
      <c r="L572" s="21">
        <v>52935.0</v>
      </c>
      <c r="M572" s="21">
        <v>35288.0</v>
      </c>
      <c r="N572" s="26">
        <v>0.3</v>
      </c>
      <c r="O572" s="26">
        <v>0.3</v>
      </c>
      <c r="P572" s="81" t="s">
        <v>1595</v>
      </c>
      <c r="Q572" s="26">
        <v>0.57</v>
      </c>
      <c r="R572" s="84">
        <v>0.34</v>
      </c>
    </row>
    <row r="573" ht="14.25" customHeight="1">
      <c r="A573" s="83" t="s">
        <v>1179</v>
      </c>
      <c r="B573" s="102" t="s">
        <v>1263</v>
      </c>
      <c r="C573" s="78" t="s">
        <v>1225</v>
      </c>
      <c r="D573" s="78" t="s">
        <v>1243</v>
      </c>
      <c r="E573" s="19" t="s">
        <v>2088</v>
      </c>
      <c r="F573" s="19" t="s">
        <v>2089</v>
      </c>
      <c r="G573" s="23">
        <v>14820.0</v>
      </c>
      <c r="H573" s="26">
        <v>0.37</v>
      </c>
      <c r="I573" s="21">
        <v>8704.0</v>
      </c>
      <c r="J573" s="19" t="s">
        <v>1599</v>
      </c>
      <c r="K573" s="101" t="s">
        <v>1608</v>
      </c>
      <c r="L573" s="21">
        <v>41171.0</v>
      </c>
      <c r="M573" s="21">
        <v>23524.0</v>
      </c>
      <c r="N573" s="26">
        <v>0.3</v>
      </c>
      <c r="O573" s="26">
        <v>0.3</v>
      </c>
      <c r="P573" s="81" t="s">
        <v>1595</v>
      </c>
      <c r="Q573" s="26">
        <v>0.56</v>
      </c>
      <c r="R573" s="84">
        <v>0.33</v>
      </c>
    </row>
    <row r="574" ht="14.25" customHeight="1">
      <c r="A574" s="83" t="s">
        <v>1179</v>
      </c>
      <c r="B574" s="102" t="s">
        <v>1265</v>
      </c>
      <c r="C574" s="78" t="s">
        <v>1225</v>
      </c>
      <c r="D574" s="78" t="s">
        <v>1243</v>
      </c>
      <c r="E574" s="19" t="s">
        <v>2090</v>
      </c>
      <c r="F574" s="19" t="s">
        <v>2091</v>
      </c>
      <c r="G574" s="23">
        <v>12796.0</v>
      </c>
      <c r="H574" s="26">
        <v>0.46</v>
      </c>
      <c r="I574" s="21">
        <v>10727.0</v>
      </c>
      <c r="J574" s="19" t="s">
        <v>1594</v>
      </c>
      <c r="K574" s="101" t="s">
        <v>1608</v>
      </c>
      <c r="L574" s="21">
        <v>35288.0</v>
      </c>
      <c r="M574" s="21">
        <v>23524.0</v>
      </c>
      <c r="N574" s="26">
        <v>0.3</v>
      </c>
      <c r="O574" s="26">
        <v>0.3</v>
      </c>
      <c r="P574" s="81" t="s">
        <v>1595</v>
      </c>
      <c r="Q574" s="26">
        <v>0.62</v>
      </c>
      <c r="R574" s="84">
        <v>0.39</v>
      </c>
    </row>
    <row r="575" ht="14.25" customHeight="1">
      <c r="A575" s="83" t="s">
        <v>1179</v>
      </c>
      <c r="B575" s="19" t="s">
        <v>1259</v>
      </c>
      <c r="C575" s="78" t="s">
        <v>1225</v>
      </c>
      <c r="D575" s="78" t="s">
        <v>1243</v>
      </c>
      <c r="E575" s="19" t="s">
        <v>1258</v>
      </c>
      <c r="F575" s="19" t="s">
        <v>2092</v>
      </c>
      <c r="G575" s="23">
        <v>3049.0</v>
      </c>
      <c r="H575" s="26">
        <v>0.65</v>
      </c>
      <c r="I575" s="21">
        <v>5769.0</v>
      </c>
      <c r="J575" s="19" t="s">
        <v>1601</v>
      </c>
      <c r="K575" s="101" t="s">
        <v>1605</v>
      </c>
      <c r="L575" s="21">
        <v>14700.0</v>
      </c>
      <c r="M575" s="21">
        <v>8818.0</v>
      </c>
      <c r="N575" s="26">
        <v>0.3</v>
      </c>
      <c r="O575" s="26">
        <v>0.3</v>
      </c>
      <c r="P575" s="81" t="s">
        <v>1595</v>
      </c>
      <c r="Q575" s="26">
        <v>0.76</v>
      </c>
      <c r="R575" s="84">
        <v>0.53</v>
      </c>
    </row>
    <row r="576" ht="14.25" customHeight="1">
      <c r="A576" s="83" t="s">
        <v>1179</v>
      </c>
      <c r="B576" s="83" t="s">
        <v>1267</v>
      </c>
      <c r="C576" s="83" t="s">
        <v>1225</v>
      </c>
      <c r="D576" s="83" t="s">
        <v>1243</v>
      </c>
      <c r="E576" s="83" t="s">
        <v>1266</v>
      </c>
      <c r="F576" s="19" t="s">
        <v>2093</v>
      </c>
      <c r="G576" s="92">
        <v>9805.0</v>
      </c>
      <c r="H576" s="84">
        <v>0.44</v>
      </c>
      <c r="I576" s="86">
        <v>7836.0</v>
      </c>
      <c r="J576" s="19" t="s">
        <v>1606</v>
      </c>
      <c r="K576" s="101" t="s">
        <v>1603</v>
      </c>
      <c r="L576" s="86">
        <v>29406.0</v>
      </c>
      <c r="M576" s="86">
        <v>17641.0</v>
      </c>
      <c r="N576" s="84">
        <v>0.3</v>
      </c>
      <c r="O576" s="84">
        <v>0.3</v>
      </c>
      <c r="P576" s="81" t="s">
        <v>1595</v>
      </c>
      <c r="Q576" s="84">
        <v>0.61</v>
      </c>
      <c r="R576" s="84">
        <v>0.38</v>
      </c>
    </row>
    <row r="577" ht="14.25" customHeight="1">
      <c r="A577" s="83" t="s">
        <v>1179</v>
      </c>
      <c r="B577" s="83" t="s">
        <v>1269</v>
      </c>
      <c r="C577" s="83" t="s">
        <v>1225</v>
      </c>
      <c r="D577" s="83" t="s">
        <v>1243</v>
      </c>
      <c r="E577" s="83" t="s">
        <v>1268</v>
      </c>
      <c r="F577" s="19" t="s">
        <v>2094</v>
      </c>
      <c r="G577" s="92">
        <v>7154.0</v>
      </c>
      <c r="H577" s="84">
        <v>0.45</v>
      </c>
      <c r="I577" s="86">
        <v>5782.0</v>
      </c>
      <c r="J577" s="19" t="s">
        <v>1620</v>
      </c>
      <c r="K577" s="101" t="s">
        <v>1821</v>
      </c>
      <c r="L577" s="86">
        <v>19406.0</v>
      </c>
      <c r="M577" s="86">
        <v>12935.0</v>
      </c>
      <c r="N577" s="84">
        <v>0.3</v>
      </c>
      <c r="O577" s="84">
        <v>0.3</v>
      </c>
      <c r="P577" s="81" t="s">
        <v>1595</v>
      </c>
      <c r="Q577" s="84">
        <v>0.61</v>
      </c>
      <c r="R577" s="84">
        <v>0.38</v>
      </c>
    </row>
    <row r="578" ht="14.25" customHeight="1">
      <c r="A578" s="83" t="s">
        <v>1179</v>
      </c>
      <c r="B578" s="102">
        <v>1.660858101318E12</v>
      </c>
      <c r="C578" s="78" t="s">
        <v>1225</v>
      </c>
      <c r="D578" s="78" t="s">
        <v>1270</v>
      </c>
      <c r="E578" s="19" t="s">
        <v>2095</v>
      </c>
      <c r="F578" s="19" t="s">
        <v>2096</v>
      </c>
      <c r="G578" s="23">
        <v>3079.0</v>
      </c>
      <c r="H578" s="26">
        <v>0.42</v>
      </c>
      <c r="I578" s="21">
        <v>2209.0</v>
      </c>
      <c r="J578" s="19" t="s">
        <v>1605</v>
      </c>
      <c r="K578" s="101" t="s">
        <v>1682</v>
      </c>
      <c r="L578" s="21">
        <v>8818.0</v>
      </c>
      <c r="M578" s="21">
        <v>5288.0</v>
      </c>
      <c r="N578" s="26">
        <v>0.3</v>
      </c>
      <c r="O578" s="26">
        <v>0.3</v>
      </c>
      <c r="P578" s="81" t="s">
        <v>1595</v>
      </c>
      <c r="Q578" s="26">
        <v>0.59</v>
      </c>
      <c r="R578" s="84">
        <v>0.36</v>
      </c>
    </row>
    <row r="579" ht="14.25" customHeight="1">
      <c r="A579" s="83" t="s">
        <v>1179</v>
      </c>
      <c r="B579" s="83" t="s">
        <v>1274</v>
      </c>
      <c r="C579" s="78" t="s">
        <v>1225</v>
      </c>
      <c r="D579" s="78" t="s">
        <v>1270</v>
      </c>
      <c r="E579" s="83" t="s">
        <v>1273</v>
      </c>
      <c r="F579" s="19" t="s">
        <v>1273</v>
      </c>
      <c r="G579" s="23">
        <v>3255.0</v>
      </c>
      <c r="H579" s="26">
        <v>0.45</v>
      </c>
      <c r="I579" s="21">
        <v>2622.0</v>
      </c>
      <c r="J579" s="19" t="s">
        <v>1605</v>
      </c>
      <c r="K579" s="101" t="s">
        <v>1618</v>
      </c>
      <c r="L579" s="21">
        <v>8818.0</v>
      </c>
      <c r="M579" s="21">
        <v>5876.0</v>
      </c>
      <c r="N579" s="26">
        <v>0.3</v>
      </c>
      <c r="O579" s="26">
        <v>0.3</v>
      </c>
      <c r="P579" s="81" t="s">
        <v>1595</v>
      </c>
      <c r="Q579" s="26">
        <v>0.61</v>
      </c>
      <c r="R579" s="84">
        <v>0.38</v>
      </c>
    </row>
    <row r="580" ht="14.25" customHeight="1">
      <c r="A580" s="83" t="s">
        <v>1179</v>
      </c>
      <c r="B580" s="102">
        <v>1.660858118518E12</v>
      </c>
      <c r="C580" s="78" t="s">
        <v>1225</v>
      </c>
      <c r="D580" s="78" t="s">
        <v>1270</v>
      </c>
      <c r="E580" s="19" t="s">
        <v>2097</v>
      </c>
      <c r="F580" s="19" t="s">
        <v>2098</v>
      </c>
      <c r="G580" s="23">
        <v>3134.0</v>
      </c>
      <c r="H580" s="26">
        <v>0.47</v>
      </c>
      <c r="I580" s="21">
        <v>2742.0</v>
      </c>
      <c r="J580" s="19" t="s">
        <v>1605</v>
      </c>
      <c r="K580" s="101" t="s">
        <v>1618</v>
      </c>
      <c r="L580" s="21">
        <v>8818.0</v>
      </c>
      <c r="M580" s="21">
        <v>5876.0</v>
      </c>
      <c r="N580" s="26">
        <v>0.3</v>
      </c>
      <c r="O580" s="26">
        <v>0.3</v>
      </c>
      <c r="P580" s="81" t="s">
        <v>1595</v>
      </c>
      <c r="Q580" s="26">
        <v>0.63</v>
      </c>
      <c r="R580" s="84">
        <v>0.4</v>
      </c>
    </row>
    <row r="581" ht="14.25" customHeight="1">
      <c r="A581" s="83" t="s">
        <v>1179</v>
      </c>
      <c r="B581" s="102" t="s">
        <v>1277</v>
      </c>
      <c r="C581" s="78" t="s">
        <v>1225</v>
      </c>
      <c r="D581" s="78" t="s">
        <v>1275</v>
      </c>
      <c r="E581" s="19" t="s">
        <v>1276</v>
      </c>
      <c r="F581" s="19" t="s">
        <v>2099</v>
      </c>
      <c r="G581" s="23">
        <v>20545.0</v>
      </c>
      <c r="H581" s="26">
        <v>0.0</v>
      </c>
      <c r="I581" s="21">
        <v>37.0</v>
      </c>
      <c r="J581" s="19" t="s">
        <v>1628</v>
      </c>
      <c r="K581" s="101" t="s">
        <v>1714</v>
      </c>
      <c r="L581" s="21">
        <v>52935.0</v>
      </c>
      <c r="M581" s="21">
        <v>20582.0</v>
      </c>
      <c r="N581" s="26">
        <v>0.3</v>
      </c>
      <c r="O581" s="26">
        <v>0.3</v>
      </c>
      <c r="P581" s="83" t="s">
        <v>134</v>
      </c>
      <c r="Q581" s="26">
        <v>0.3</v>
      </c>
      <c r="R581" s="84">
        <v>0.07</v>
      </c>
    </row>
    <row r="582" ht="14.25" customHeight="1">
      <c r="A582" s="83" t="s">
        <v>1179</v>
      </c>
      <c r="B582" s="102" t="s">
        <v>1279</v>
      </c>
      <c r="C582" s="78" t="s">
        <v>1225</v>
      </c>
      <c r="D582" s="78" t="s">
        <v>1275</v>
      </c>
      <c r="E582" s="19" t="s">
        <v>1278</v>
      </c>
      <c r="F582" s="19" t="s">
        <v>1278</v>
      </c>
      <c r="G582" s="23">
        <v>11206.0</v>
      </c>
      <c r="H582" s="26">
        <v>0.05</v>
      </c>
      <c r="I582" s="21">
        <v>553.0</v>
      </c>
      <c r="J582" s="19" t="s">
        <v>1608</v>
      </c>
      <c r="K582" s="101" t="s">
        <v>1604</v>
      </c>
      <c r="L582" s="21">
        <v>23524.0</v>
      </c>
      <c r="M582" s="21">
        <v>11759.0</v>
      </c>
      <c r="N582" s="26">
        <v>0.3</v>
      </c>
      <c r="O582" s="26">
        <v>0.3</v>
      </c>
      <c r="P582" s="83" t="s">
        <v>134</v>
      </c>
      <c r="Q582" s="26">
        <v>0.33</v>
      </c>
      <c r="R582" s="84">
        <v>0.1</v>
      </c>
    </row>
    <row r="583" ht="14.25" customHeight="1">
      <c r="A583" s="83" t="s">
        <v>1179</v>
      </c>
      <c r="B583" s="102" t="s">
        <v>1281</v>
      </c>
      <c r="C583" s="78" t="s">
        <v>1225</v>
      </c>
      <c r="D583" s="78" t="s">
        <v>1275</v>
      </c>
      <c r="E583" s="19" t="s">
        <v>1280</v>
      </c>
      <c r="F583" s="19" t="s">
        <v>1280</v>
      </c>
      <c r="G583" s="23">
        <v>16774.0</v>
      </c>
      <c r="H583" s="26">
        <v>0.05</v>
      </c>
      <c r="I583" s="21">
        <v>867.0</v>
      </c>
      <c r="J583" s="19" t="s">
        <v>1599</v>
      </c>
      <c r="K583" s="101" t="s">
        <v>1603</v>
      </c>
      <c r="L583" s="21">
        <v>41171.0</v>
      </c>
      <c r="M583" s="21">
        <v>17641.0</v>
      </c>
      <c r="N583" s="26">
        <v>0.3</v>
      </c>
      <c r="O583" s="26">
        <v>0.3</v>
      </c>
      <c r="P583" s="83" t="s">
        <v>134</v>
      </c>
      <c r="Q583" s="26">
        <v>0.33</v>
      </c>
      <c r="R583" s="84">
        <v>0.1</v>
      </c>
    </row>
    <row r="584" ht="14.25" customHeight="1">
      <c r="A584" s="83" t="s">
        <v>1179</v>
      </c>
      <c r="B584" s="102" t="s">
        <v>1285</v>
      </c>
      <c r="C584" s="78" t="s">
        <v>1225</v>
      </c>
      <c r="D584" s="78" t="s">
        <v>1275</v>
      </c>
      <c r="E584" s="19" t="s">
        <v>1284</v>
      </c>
      <c r="F584" s="19" t="s">
        <v>1284</v>
      </c>
      <c r="G584" s="23">
        <v>6904.0</v>
      </c>
      <c r="H584" s="26">
        <v>0.1</v>
      </c>
      <c r="I584" s="21">
        <v>737.0</v>
      </c>
      <c r="J584" s="19" t="s">
        <v>1601</v>
      </c>
      <c r="K584" s="101" t="s">
        <v>1686</v>
      </c>
      <c r="L584" s="21">
        <v>14700.0</v>
      </c>
      <c r="M584" s="21">
        <v>7641.0</v>
      </c>
      <c r="N584" s="26">
        <v>0.3</v>
      </c>
      <c r="O584" s="26">
        <v>0.3</v>
      </c>
      <c r="P584" s="83" t="s">
        <v>134</v>
      </c>
      <c r="Q584" s="26">
        <v>0.37</v>
      </c>
      <c r="R584" s="84">
        <v>0.14</v>
      </c>
    </row>
    <row r="585" ht="14.25" customHeight="1">
      <c r="A585" s="83" t="s">
        <v>1179</v>
      </c>
      <c r="B585" s="102">
        <v>1.635956597983E12</v>
      </c>
      <c r="C585" s="78" t="s">
        <v>1225</v>
      </c>
      <c r="D585" s="78" t="s">
        <v>1275</v>
      </c>
      <c r="E585" s="19" t="s">
        <v>1282</v>
      </c>
      <c r="F585" s="19" t="s">
        <v>2100</v>
      </c>
      <c r="G585" s="23">
        <v>6281.0</v>
      </c>
      <c r="H585" s="26">
        <v>0.18</v>
      </c>
      <c r="I585" s="21">
        <v>1360.0</v>
      </c>
      <c r="J585" s="19" t="s">
        <v>1821</v>
      </c>
      <c r="K585" s="101" t="s">
        <v>1686</v>
      </c>
      <c r="L585" s="21">
        <v>12935.0</v>
      </c>
      <c r="M585" s="21">
        <v>7641.0</v>
      </c>
      <c r="N585" s="26">
        <v>0.3</v>
      </c>
      <c r="O585" s="26">
        <v>0.3</v>
      </c>
      <c r="P585" s="81" t="s">
        <v>1595</v>
      </c>
      <c r="Q585" s="26">
        <v>0.42</v>
      </c>
      <c r="R585" s="84">
        <v>0.19</v>
      </c>
    </row>
    <row r="586" ht="14.25" customHeight="1">
      <c r="A586" s="83" t="s">
        <v>1179</v>
      </c>
      <c r="B586" s="102">
        <v>1.635956592996E12</v>
      </c>
      <c r="C586" s="78" t="s">
        <v>1225</v>
      </c>
      <c r="D586" s="78" t="s">
        <v>1275</v>
      </c>
      <c r="E586" s="19" t="s">
        <v>2101</v>
      </c>
      <c r="F586" s="19" t="s">
        <v>2102</v>
      </c>
      <c r="G586" s="23">
        <v>8574.0</v>
      </c>
      <c r="H586" s="26">
        <v>0.34</v>
      </c>
      <c r="I586" s="21">
        <v>4361.0</v>
      </c>
      <c r="J586" s="19" t="s">
        <v>1603</v>
      </c>
      <c r="K586" s="101" t="s">
        <v>1821</v>
      </c>
      <c r="L586" s="21">
        <v>17641.0</v>
      </c>
      <c r="M586" s="21">
        <v>12935.0</v>
      </c>
      <c r="N586" s="26">
        <v>0.3</v>
      </c>
      <c r="O586" s="26">
        <v>0.3</v>
      </c>
      <c r="P586" s="81" t="s">
        <v>1595</v>
      </c>
      <c r="Q586" s="26">
        <v>0.54</v>
      </c>
      <c r="R586" s="84">
        <v>0.31</v>
      </c>
    </row>
    <row r="587" ht="14.25" customHeight="1">
      <c r="A587" s="83" t="s">
        <v>1179</v>
      </c>
      <c r="B587" s="102">
        <v>6.814228073269E13</v>
      </c>
      <c r="C587" s="78" t="s">
        <v>1225</v>
      </c>
      <c r="D587" s="78" t="s">
        <v>1286</v>
      </c>
      <c r="E587" s="19" t="s">
        <v>2103</v>
      </c>
      <c r="F587" s="19" t="s">
        <v>2104</v>
      </c>
      <c r="G587" s="23">
        <v>3817.0</v>
      </c>
      <c r="H587" s="26">
        <v>0.57</v>
      </c>
      <c r="I587" s="21">
        <v>5001.0</v>
      </c>
      <c r="J587" s="19" t="s">
        <v>1601</v>
      </c>
      <c r="K587" s="101" t="s">
        <v>1605</v>
      </c>
      <c r="L587" s="21">
        <v>14700.0</v>
      </c>
      <c r="M587" s="21">
        <v>8818.0</v>
      </c>
      <c r="N587" s="26">
        <v>0.3</v>
      </c>
      <c r="O587" s="26">
        <v>0.3</v>
      </c>
      <c r="P587" s="83" t="s">
        <v>134</v>
      </c>
      <c r="Q587" s="26">
        <v>0.7</v>
      </c>
      <c r="R587" s="84">
        <v>0.47</v>
      </c>
    </row>
    <row r="588" ht="14.25" customHeight="1">
      <c r="A588" s="83" t="s">
        <v>1179</v>
      </c>
      <c r="B588" s="102">
        <v>6.6800472805184E13</v>
      </c>
      <c r="C588" s="78" t="s">
        <v>1225</v>
      </c>
      <c r="D588" s="78" t="s">
        <v>1286</v>
      </c>
      <c r="E588" s="19" t="s">
        <v>2105</v>
      </c>
      <c r="F588" s="19" t="s">
        <v>2106</v>
      </c>
      <c r="G588" s="23">
        <v>6113.0</v>
      </c>
      <c r="H588" s="26">
        <v>0.48</v>
      </c>
      <c r="I588" s="21">
        <v>5646.0</v>
      </c>
      <c r="J588" s="19" t="s">
        <v>1603</v>
      </c>
      <c r="K588" s="101" t="s">
        <v>1604</v>
      </c>
      <c r="L588" s="21">
        <v>17641.0</v>
      </c>
      <c r="M588" s="21">
        <v>11759.0</v>
      </c>
      <c r="N588" s="26">
        <v>0.3</v>
      </c>
      <c r="O588" s="26">
        <v>0.3</v>
      </c>
      <c r="P588" s="83" t="s">
        <v>134</v>
      </c>
      <c r="Q588" s="26">
        <v>0.64</v>
      </c>
      <c r="R588" s="84">
        <v>0.41</v>
      </c>
    </row>
    <row r="589" ht="14.25" customHeight="1">
      <c r="A589" s="83" t="s">
        <v>1179</v>
      </c>
      <c r="B589" s="102">
        <v>6.6800471275549E13</v>
      </c>
      <c r="C589" s="78" t="s">
        <v>1225</v>
      </c>
      <c r="D589" s="78" t="s">
        <v>1286</v>
      </c>
      <c r="E589" s="19" t="s">
        <v>2105</v>
      </c>
      <c r="F589" s="19" t="s">
        <v>2107</v>
      </c>
      <c r="G589" s="23">
        <v>6283.0</v>
      </c>
      <c r="H589" s="26">
        <v>0.47</v>
      </c>
      <c r="I589" s="21">
        <v>5476.0</v>
      </c>
      <c r="J589" s="19" t="s">
        <v>1603</v>
      </c>
      <c r="K589" s="101" t="s">
        <v>1604</v>
      </c>
      <c r="L589" s="21">
        <v>17641.0</v>
      </c>
      <c r="M589" s="21">
        <v>11759.0</v>
      </c>
      <c r="N589" s="26">
        <v>0.3</v>
      </c>
      <c r="O589" s="26">
        <v>0.3</v>
      </c>
      <c r="P589" s="83" t="s">
        <v>134</v>
      </c>
      <c r="Q589" s="26">
        <v>0.63</v>
      </c>
      <c r="R589" s="84">
        <v>0.4</v>
      </c>
    </row>
    <row r="590" ht="14.25" customHeight="1">
      <c r="A590" s="83" t="s">
        <v>1179</v>
      </c>
      <c r="B590" s="102">
        <v>6.6800469437952E13</v>
      </c>
      <c r="C590" s="78" t="s">
        <v>1225</v>
      </c>
      <c r="D590" s="78" t="s">
        <v>1286</v>
      </c>
      <c r="E590" s="19" t="s">
        <v>2105</v>
      </c>
      <c r="F590" s="19" t="s">
        <v>2108</v>
      </c>
      <c r="G590" s="23">
        <v>6067.0</v>
      </c>
      <c r="H590" s="26">
        <v>0.48</v>
      </c>
      <c r="I590" s="21">
        <v>5692.0</v>
      </c>
      <c r="J590" s="19" t="s">
        <v>1603</v>
      </c>
      <c r="K590" s="101" t="s">
        <v>1604</v>
      </c>
      <c r="L590" s="21">
        <v>17641.0</v>
      </c>
      <c r="M590" s="21">
        <v>11759.0</v>
      </c>
      <c r="N590" s="26">
        <v>0.3</v>
      </c>
      <c r="O590" s="26">
        <v>0.3</v>
      </c>
      <c r="P590" s="83" t="s">
        <v>134</v>
      </c>
      <c r="Q590" s="26">
        <v>0.64</v>
      </c>
      <c r="R590" s="84">
        <v>0.41</v>
      </c>
    </row>
    <row r="591" ht="14.25" customHeight="1">
      <c r="A591" s="83" t="s">
        <v>1179</v>
      </c>
      <c r="B591" s="102">
        <v>1.660858025311E12</v>
      </c>
      <c r="C591" s="78" t="s">
        <v>1225</v>
      </c>
      <c r="D591" s="78" t="s">
        <v>1293</v>
      </c>
      <c r="E591" s="19" t="s">
        <v>1294</v>
      </c>
      <c r="F591" s="19" t="s">
        <v>2109</v>
      </c>
      <c r="G591" s="23">
        <v>2202.0</v>
      </c>
      <c r="H591" s="26">
        <v>0.63</v>
      </c>
      <c r="I591" s="21">
        <v>3675.0</v>
      </c>
      <c r="J591" s="19" t="s">
        <v>1605</v>
      </c>
      <c r="K591" s="101" t="s">
        <v>1618</v>
      </c>
      <c r="L591" s="21">
        <v>8818.0</v>
      </c>
      <c r="M591" s="21">
        <v>5876.0</v>
      </c>
      <c r="N591" s="26">
        <v>0.3</v>
      </c>
      <c r="O591" s="26">
        <v>0.3</v>
      </c>
      <c r="P591" s="81" t="s">
        <v>1595</v>
      </c>
      <c r="Q591" s="26">
        <v>0.74</v>
      </c>
      <c r="R591" s="84">
        <v>0.51</v>
      </c>
    </row>
    <row r="592" ht="14.25" customHeight="1">
      <c r="A592" s="83" t="s">
        <v>1179</v>
      </c>
      <c r="B592" s="102">
        <v>1.639488921197E12</v>
      </c>
      <c r="C592" s="78" t="s">
        <v>1225</v>
      </c>
      <c r="D592" s="78" t="s">
        <v>1293</v>
      </c>
      <c r="E592" s="19" t="s">
        <v>2110</v>
      </c>
      <c r="F592" s="19" t="s">
        <v>2111</v>
      </c>
      <c r="G592" s="23">
        <v>2527.0</v>
      </c>
      <c r="H592" s="26">
        <v>0.57</v>
      </c>
      <c r="I592" s="21">
        <v>3349.0</v>
      </c>
      <c r="J592" s="19" t="s">
        <v>1618</v>
      </c>
      <c r="K592" s="101" t="s">
        <v>1618</v>
      </c>
      <c r="L592" s="21">
        <v>5876.0</v>
      </c>
      <c r="M592" s="21">
        <v>5876.0</v>
      </c>
      <c r="N592" s="26">
        <v>0.3</v>
      </c>
      <c r="O592" s="26">
        <v>0.3</v>
      </c>
      <c r="P592" s="81" t="s">
        <v>1595</v>
      </c>
      <c r="Q592" s="26">
        <v>0.7</v>
      </c>
      <c r="R592" s="84">
        <v>0.47</v>
      </c>
    </row>
    <row r="593" ht="14.25" customHeight="1">
      <c r="A593" s="83" t="s">
        <v>1179</v>
      </c>
      <c r="B593" s="102">
        <v>1.629726091782E12</v>
      </c>
      <c r="C593" s="78" t="s">
        <v>1225</v>
      </c>
      <c r="D593" s="78" t="s">
        <v>1293</v>
      </c>
      <c r="E593" s="19" t="s">
        <v>2112</v>
      </c>
      <c r="F593" s="19" t="s">
        <v>2113</v>
      </c>
      <c r="G593" s="23">
        <v>4898.0</v>
      </c>
      <c r="H593" s="26">
        <v>0.51</v>
      </c>
      <c r="I593" s="21">
        <v>5097.0</v>
      </c>
      <c r="J593" s="19" t="s">
        <v>1603</v>
      </c>
      <c r="K593" s="101" t="s">
        <v>1602</v>
      </c>
      <c r="L593" s="21">
        <v>17641.0</v>
      </c>
      <c r="M593" s="21">
        <v>9994.0</v>
      </c>
      <c r="N593" s="26">
        <v>0.3</v>
      </c>
      <c r="O593" s="26">
        <v>0.3</v>
      </c>
      <c r="P593" s="81" t="s">
        <v>1595</v>
      </c>
      <c r="Q593" s="26">
        <v>0.66</v>
      </c>
      <c r="R593" s="103">
        <v>0.43</v>
      </c>
    </row>
    <row r="594" ht="14.25" customHeight="1">
      <c r="A594" s="83" t="s">
        <v>1179</v>
      </c>
      <c r="B594" s="102">
        <v>1.629726117626E12</v>
      </c>
      <c r="C594" s="78" t="s">
        <v>1225</v>
      </c>
      <c r="D594" s="78" t="s">
        <v>1293</v>
      </c>
      <c r="E594" s="19" t="s">
        <v>2112</v>
      </c>
      <c r="F594" s="19" t="s">
        <v>2114</v>
      </c>
      <c r="G594" s="23">
        <v>4809.0</v>
      </c>
      <c r="H594" s="26">
        <v>0.52</v>
      </c>
      <c r="I594" s="21">
        <v>5185.0</v>
      </c>
      <c r="J594" s="19" t="s">
        <v>1603</v>
      </c>
      <c r="K594" s="101" t="s">
        <v>1602</v>
      </c>
      <c r="L594" s="21">
        <v>17641.0</v>
      </c>
      <c r="M594" s="21">
        <v>9994.0</v>
      </c>
      <c r="N594" s="26">
        <v>0.3</v>
      </c>
      <c r="O594" s="26">
        <v>0.3</v>
      </c>
      <c r="P594" s="81" t="s">
        <v>1595</v>
      </c>
      <c r="Q594" s="26">
        <v>0.66</v>
      </c>
      <c r="R594" s="84">
        <v>0.43</v>
      </c>
    </row>
    <row r="595" ht="14.25" customHeight="1">
      <c r="A595" s="83" t="s">
        <v>1179</v>
      </c>
      <c r="B595" s="19" t="s">
        <v>1300</v>
      </c>
      <c r="C595" s="78" t="s">
        <v>1225</v>
      </c>
      <c r="D595" s="78" t="s">
        <v>1293</v>
      </c>
      <c r="E595" s="19" t="s">
        <v>1299</v>
      </c>
      <c r="F595" s="19" t="s">
        <v>2115</v>
      </c>
      <c r="G595" s="23">
        <v>7263.0</v>
      </c>
      <c r="H595" s="26">
        <v>0.46</v>
      </c>
      <c r="I595" s="21">
        <v>6261.0</v>
      </c>
      <c r="J595" s="19" t="s">
        <v>1608</v>
      </c>
      <c r="K595" s="101" t="s">
        <v>1613</v>
      </c>
      <c r="L595" s="21">
        <v>23524.0</v>
      </c>
      <c r="M595" s="21">
        <v>13524.0</v>
      </c>
      <c r="N595" s="26">
        <v>0.3</v>
      </c>
      <c r="O595" s="26">
        <v>0.3</v>
      </c>
      <c r="P595" s="81" t="s">
        <v>1595</v>
      </c>
      <c r="Q595" s="26">
        <v>0.62</v>
      </c>
      <c r="R595" s="84">
        <v>0.39</v>
      </c>
    </row>
    <row r="596" ht="14.25" customHeight="1">
      <c r="A596" s="83" t="s">
        <v>1179</v>
      </c>
      <c r="B596" s="102">
        <v>1.630369674271E12</v>
      </c>
      <c r="C596" s="78" t="s">
        <v>1301</v>
      </c>
      <c r="D596" s="78" t="s">
        <v>1302</v>
      </c>
      <c r="E596" s="19" t="s">
        <v>2116</v>
      </c>
      <c r="F596" s="19" t="s">
        <v>2117</v>
      </c>
      <c r="G596" s="23">
        <v>3204.0</v>
      </c>
      <c r="H596" s="26">
        <v>0.45</v>
      </c>
      <c r="I596" s="21">
        <v>2672.0</v>
      </c>
      <c r="J596" s="19" t="s">
        <v>1604</v>
      </c>
      <c r="K596" s="101" t="s">
        <v>1618</v>
      </c>
      <c r="L596" s="21">
        <v>11759.0</v>
      </c>
      <c r="M596" s="21">
        <v>5876.0</v>
      </c>
      <c r="N596" s="26">
        <v>0.3</v>
      </c>
      <c r="O596" s="26">
        <v>0.3</v>
      </c>
      <c r="P596" s="81" t="s">
        <v>1595</v>
      </c>
      <c r="Q596" s="26">
        <v>0.62</v>
      </c>
      <c r="R596" s="84">
        <v>0.39</v>
      </c>
    </row>
    <row r="597" ht="14.25" customHeight="1">
      <c r="A597" s="83" t="s">
        <v>1179</v>
      </c>
      <c r="B597" s="102">
        <v>1.652825295706E12</v>
      </c>
      <c r="C597" s="78" t="s">
        <v>1301</v>
      </c>
      <c r="D597" s="78" t="s">
        <v>1302</v>
      </c>
      <c r="E597" s="19" t="s">
        <v>2118</v>
      </c>
      <c r="F597" s="19" t="s">
        <v>2119</v>
      </c>
      <c r="G597" s="23">
        <v>5346.0</v>
      </c>
      <c r="H597" s="26">
        <v>0.6</v>
      </c>
      <c r="I597" s="21">
        <v>8178.0</v>
      </c>
      <c r="J597" s="19" t="s">
        <v>1603</v>
      </c>
      <c r="K597" s="101" t="s">
        <v>1613</v>
      </c>
      <c r="L597" s="21">
        <v>17641.0</v>
      </c>
      <c r="M597" s="21">
        <v>13524.0</v>
      </c>
      <c r="N597" s="26">
        <v>0.3</v>
      </c>
      <c r="O597" s="26">
        <v>0.3</v>
      </c>
      <c r="P597" s="81" t="s">
        <v>1595</v>
      </c>
      <c r="Q597" s="26">
        <v>0.72</v>
      </c>
      <c r="R597" s="84">
        <v>0.49</v>
      </c>
    </row>
    <row r="598" ht="14.25" customHeight="1">
      <c r="A598" s="83" t="s">
        <v>1179</v>
      </c>
      <c r="B598" s="102">
        <v>1.629726159155E12</v>
      </c>
      <c r="C598" s="78" t="s">
        <v>1301</v>
      </c>
      <c r="D598" s="78" t="s">
        <v>1302</v>
      </c>
      <c r="E598" s="19" t="s">
        <v>2120</v>
      </c>
      <c r="F598" s="19" t="s">
        <v>2121</v>
      </c>
      <c r="G598" s="23">
        <v>5929.0</v>
      </c>
      <c r="H598" s="26">
        <v>0.41</v>
      </c>
      <c r="I598" s="21">
        <v>4065.0</v>
      </c>
      <c r="J598" s="19" t="s">
        <v>1604</v>
      </c>
      <c r="K598" s="101" t="s">
        <v>1602</v>
      </c>
      <c r="L598" s="21">
        <v>11759.0</v>
      </c>
      <c r="M598" s="21">
        <v>9994.0</v>
      </c>
      <c r="N598" s="26">
        <v>0.3</v>
      </c>
      <c r="O598" s="26">
        <v>0.3</v>
      </c>
      <c r="P598" s="81" t="s">
        <v>1595</v>
      </c>
      <c r="Q598" s="26">
        <v>0.58</v>
      </c>
      <c r="R598" s="84">
        <v>0.35</v>
      </c>
    </row>
    <row r="599" ht="14.25" customHeight="1">
      <c r="A599" s="83" t="s">
        <v>1179</v>
      </c>
      <c r="B599" s="102" t="s">
        <v>1307</v>
      </c>
      <c r="C599" s="78" t="s">
        <v>1301</v>
      </c>
      <c r="D599" s="78" t="s">
        <v>1302</v>
      </c>
      <c r="E599" s="19" t="s">
        <v>2122</v>
      </c>
      <c r="F599" s="19" t="s">
        <v>2123</v>
      </c>
      <c r="G599" s="23">
        <v>4645.0</v>
      </c>
      <c r="H599" s="26">
        <v>0.47</v>
      </c>
      <c r="I599" s="21">
        <v>4172.0</v>
      </c>
      <c r="J599" s="19" t="s">
        <v>1821</v>
      </c>
      <c r="K599" s="101" t="s">
        <v>1605</v>
      </c>
      <c r="L599" s="21">
        <v>12935.0</v>
      </c>
      <c r="M599" s="21">
        <v>8818.0</v>
      </c>
      <c r="N599" s="26">
        <v>0.3</v>
      </c>
      <c r="O599" s="26">
        <v>0.3</v>
      </c>
      <c r="P599" s="81" t="s">
        <v>1595</v>
      </c>
      <c r="Q599" s="26">
        <v>0.63</v>
      </c>
      <c r="R599" s="84">
        <v>0.4</v>
      </c>
    </row>
    <row r="600" ht="14.25" customHeight="1">
      <c r="A600" s="83" t="s">
        <v>1179</v>
      </c>
      <c r="B600" s="102">
        <v>1.654207295633E12</v>
      </c>
      <c r="C600" s="78" t="s">
        <v>1301</v>
      </c>
      <c r="D600" s="78" t="s">
        <v>1308</v>
      </c>
      <c r="E600" s="19" t="s">
        <v>1309</v>
      </c>
      <c r="F600" s="19" t="s">
        <v>2124</v>
      </c>
      <c r="G600" s="23">
        <v>1364.0</v>
      </c>
      <c r="H600" s="26">
        <v>0.61</v>
      </c>
      <c r="I600" s="21">
        <v>2160.0</v>
      </c>
      <c r="J600" s="19" t="s">
        <v>1618</v>
      </c>
      <c r="K600" s="101" t="s">
        <v>1668</v>
      </c>
      <c r="L600" s="21">
        <v>5876.0</v>
      </c>
      <c r="M600" s="21">
        <v>3524.0</v>
      </c>
      <c r="N600" s="26">
        <v>0.3</v>
      </c>
      <c r="O600" s="26">
        <v>0.3</v>
      </c>
      <c r="P600" s="81" t="s">
        <v>1595</v>
      </c>
      <c r="Q600" s="26">
        <v>0.73</v>
      </c>
      <c r="R600" s="84">
        <v>0.5</v>
      </c>
    </row>
    <row r="601" ht="14.25" customHeight="1">
      <c r="A601" s="83" t="s">
        <v>1179</v>
      </c>
      <c r="B601" s="102">
        <v>1.654207333519E12</v>
      </c>
      <c r="C601" s="78" t="s">
        <v>1301</v>
      </c>
      <c r="D601" s="78" t="s">
        <v>1308</v>
      </c>
      <c r="E601" s="19" t="s">
        <v>1310</v>
      </c>
      <c r="F601" s="19" t="s">
        <v>2125</v>
      </c>
      <c r="G601" s="23">
        <v>1801.0</v>
      </c>
      <c r="H601" s="26">
        <v>0.56</v>
      </c>
      <c r="I601" s="21">
        <v>2310.0</v>
      </c>
      <c r="J601" s="19" t="s">
        <v>1682</v>
      </c>
      <c r="K601" s="101" t="s">
        <v>1670</v>
      </c>
      <c r="L601" s="21">
        <v>5288.0</v>
      </c>
      <c r="M601" s="21">
        <v>4112.0</v>
      </c>
      <c r="N601" s="26">
        <v>0.3</v>
      </c>
      <c r="O601" s="26">
        <v>0.3</v>
      </c>
      <c r="P601" s="81" t="s">
        <v>1595</v>
      </c>
      <c r="Q601" s="26">
        <v>0.69</v>
      </c>
      <c r="R601" s="84">
        <v>0.46</v>
      </c>
    </row>
    <row r="602" ht="14.25" customHeight="1">
      <c r="A602" s="83" t="s">
        <v>1179</v>
      </c>
      <c r="B602" s="102">
        <v>1.654207307551E12</v>
      </c>
      <c r="C602" s="78" t="s">
        <v>1301</v>
      </c>
      <c r="D602" s="78" t="s">
        <v>1308</v>
      </c>
      <c r="E602" s="19" t="s">
        <v>1311</v>
      </c>
      <c r="F602" s="19" t="s">
        <v>2126</v>
      </c>
      <c r="G602" s="23">
        <v>1749.0</v>
      </c>
      <c r="H602" s="26">
        <v>0.57</v>
      </c>
      <c r="I602" s="21">
        <v>2363.0</v>
      </c>
      <c r="J602" s="19" t="s">
        <v>1682</v>
      </c>
      <c r="K602" s="101" t="s">
        <v>1670</v>
      </c>
      <c r="L602" s="21">
        <v>5288.0</v>
      </c>
      <c r="M602" s="21">
        <v>4112.0</v>
      </c>
      <c r="N602" s="26">
        <v>0.3</v>
      </c>
      <c r="O602" s="26">
        <v>0.3</v>
      </c>
      <c r="P602" s="81" t="s">
        <v>1595</v>
      </c>
      <c r="Q602" s="26">
        <v>0.7</v>
      </c>
      <c r="R602" s="84">
        <v>0.47</v>
      </c>
    </row>
    <row r="603" ht="14.25" customHeight="1">
      <c r="A603" s="83" t="s">
        <v>1179</v>
      </c>
      <c r="B603" s="102">
        <v>1.660858266475E12</v>
      </c>
      <c r="C603" s="78" t="s">
        <v>1301</v>
      </c>
      <c r="D603" s="78" t="s">
        <v>735</v>
      </c>
      <c r="E603" s="19" t="s">
        <v>2127</v>
      </c>
      <c r="F603" s="19" t="s">
        <v>2128</v>
      </c>
      <c r="G603" s="23">
        <v>9058.0</v>
      </c>
      <c r="H603" s="26">
        <v>0.38</v>
      </c>
      <c r="I603" s="21">
        <v>5642.0</v>
      </c>
      <c r="J603" s="19" t="s">
        <v>1603</v>
      </c>
      <c r="K603" s="101" t="s">
        <v>1601</v>
      </c>
      <c r="L603" s="21">
        <v>17641.0</v>
      </c>
      <c r="M603" s="21">
        <v>14700.0</v>
      </c>
      <c r="N603" s="26">
        <v>0.3</v>
      </c>
      <c r="O603" s="26">
        <v>0.3</v>
      </c>
      <c r="P603" s="83" t="s">
        <v>134</v>
      </c>
      <c r="Q603" s="26">
        <v>0.57</v>
      </c>
      <c r="R603" s="84">
        <v>0.34</v>
      </c>
    </row>
    <row r="604" ht="14.25" customHeight="1">
      <c r="A604" s="83" t="s">
        <v>1179</v>
      </c>
      <c r="B604" s="19" t="s">
        <v>1318</v>
      </c>
      <c r="C604" s="78" t="s">
        <v>1301</v>
      </c>
      <c r="D604" s="78" t="s">
        <v>735</v>
      </c>
      <c r="E604" s="19" t="s">
        <v>2127</v>
      </c>
      <c r="F604" s="19" t="s">
        <v>1317</v>
      </c>
      <c r="G604" s="23">
        <v>3234.0</v>
      </c>
      <c r="H604" s="84">
        <v>0.68</v>
      </c>
      <c r="I604" s="86">
        <v>6760.0</v>
      </c>
      <c r="J604" s="19" t="s">
        <v>1821</v>
      </c>
      <c r="K604" s="101" t="s">
        <v>1602</v>
      </c>
      <c r="L604" s="21">
        <v>12935.0</v>
      </c>
      <c r="M604" s="86">
        <v>9994.0</v>
      </c>
      <c r="N604" s="84">
        <v>0.3</v>
      </c>
      <c r="O604" s="84">
        <v>0.3</v>
      </c>
      <c r="P604" s="83" t="s">
        <v>134</v>
      </c>
      <c r="Q604" s="26">
        <v>0.77</v>
      </c>
      <c r="R604" s="84">
        <v>0.54</v>
      </c>
    </row>
    <row r="605" ht="14.25" customHeight="1">
      <c r="A605" s="83" t="s">
        <v>1179</v>
      </c>
      <c r="B605" s="19" t="s">
        <v>1320</v>
      </c>
      <c r="C605" s="78" t="s">
        <v>1301</v>
      </c>
      <c r="D605" s="78" t="s">
        <v>735</v>
      </c>
      <c r="E605" s="19" t="s">
        <v>2127</v>
      </c>
      <c r="F605" s="19" t="s">
        <v>1319</v>
      </c>
      <c r="G605" s="23">
        <v>3234.0</v>
      </c>
      <c r="H605" s="84">
        <v>0.68</v>
      </c>
      <c r="I605" s="86">
        <v>6760.0</v>
      </c>
      <c r="J605" s="19" t="s">
        <v>1821</v>
      </c>
      <c r="K605" s="101" t="s">
        <v>1602</v>
      </c>
      <c r="L605" s="21">
        <v>12935.0</v>
      </c>
      <c r="M605" s="86">
        <v>9994.0</v>
      </c>
      <c r="N605" s="84">
        <v>0.3</v>
      </c>
      <c r="O605" s="84">
        <v>0.3</v>
      </c>
      <c r="P605" s="83" t="s">
        <v>134</v>
      </c>
      <c r="Q605" s="26">
        <v>0.77</v>
      </c>
      <c r="R605" s="84">
        <v>0.54</v>
      </c>
    </row>
    <row r="606" ht="14.25" customHeight="1">
      <c r="A606" s="83" t="s">
        <v>1179</v>
      </c>
      <c r="B606" s="19" t="s">
        <v>1322</v>
      </c>
      <c r="C606" s="78" t="s">
        <v>1301</v>
      </c>
      <c r="D606" s="78" t="s">
        <v>735</v>
      </c>
      <c r="E606" s="19" t="s">
        <v>2127</v>
      </c>
      <c r="F606" s="19" t="s">
        <v>1321</v>
      </c>
      <c r="G606" s="23">
        <v>3234.0</v>
      </c>
      <c r="H606" s="84">
        <v>0.68</v>
      </c>
      <c r="I606" s="86">
        <v>6760.0</v>
      </c>
      <c r="J606" s="19" t="s">
        <v>1821</v>
      </c>
      <c r="K606" s="101" t="s">
        <v>1602</v>
      </c>
      <c r="L606" s="21">
        <v>12935.0</v>
      </c>
      <c r="M606" s="86">
        <v>9994.0</v>
      </c>
      <c r="N606" s="84">
        <v>0.3</v>
      </c>
      <c r="O606" s="84">
        <v>0.3</v>
      </c>
      <c r="P606" s="83" t="s">
        <v>134</v>
      </c>
      <c r="Q606" s="26">
        <v>0.77</v>
      </c>
      <c r="R606" s="84">
        <v>0.54</v>
      </c>
    </row>
    <row r="607" ht="14.25" customHeight="1">
      <c r="A607" s="83" t="s">
        <v>1179</v>
      </c>
      <c r="B607" s="102">
        <v>6.7951423489593E13</v>
      </c>
      <c r="C607" s="78" t="s">
        <v>1301</v>
      </c>
      <c r="D607" s="78" t="s">
        <v>735</v>
      </c>
      <c r="E607" s="19" t="s">
        <v>2129</v>
      </c>
      <c r="F607" s="19" t="s">
        <v>2130</v>
      </c>
      <c r="G607" s="23">
        <v>3731.0</v>
      </c>
      <c r="H607" s="26">
        <v>0.29</v>
      </c>
      <c r="I607" s="21">
        <v>1557.0</v>
      </c>
      <c r="J607" s="19" t="s">
        <v>1601</v>
      </c>
      <c r="K607" s="101" t="s">
        <v>1682</v>
      </c>
      <c r="L607" s="21">
        <v>14700.0</v>
      </c>
      <c r="M607" s="21">
        <v>5288.0</v>
      </c>
      <c r="N607" s="26">
        <v>0.3</v>
      </c>
      <c r="O607" s="26">
        <v>0.3</v>
      </c>
      <c r="P607" s="83" t="s">
        <v>134</v>
      </c>
      <c r="Q607" s="26">
        <v>0.51</v>
      </c>
      <c r="R607" s="84">
        <v>0.28</v>
      </c>
    </row>
    <row r="608" ht="14.25" customHeight="1">
      <c r="A608" s="83" t="s">
        <v>1179</v>
      </c>
      <c r="B608" s="102">
        <v>6.7951425161311E13</v>
      </c>
      <c r="C608" s="78" t="s">
        <v>1301</v>
      </c>
      <c r="D608" s="78" t="s">
        <v>735</v>
      </c>
      <c r="E608" s="19" t="s">
        <v>2129</v>
      </c>
      <c r="F608" s="19" t="s">
        <v>2130</v>
      </c>
      <c r="G608" s="23">
        <v>3798.0</v>
      </c>
      <c r="H608" s="26">
        <v>0.41</v>
      </c>
      <c r="I608" s="21">
        <v>2667.0</v>
      </c>
      <c r="J608" s="19" t="s">
        <v>1601</v>
      </c>
      <c r="K608" s="101" t="s">
        <v>1819</v>
      </c>
      <c r="L608" s="21">
        <v>14700.0</v>
      </c>
      <c r="M608" s="21">
        <v>6465.0</v>
      </c>
      <c r="N608" s="26">
        <v>0.3</v>
      </c>
      <c r="O608" s="26">
        <v>0.3</v>
      </c>
      <c r="P608" s="83" t="s">
        <v>134</v>
      </c>
      <c r="Q608" s="26">
        <v>0.59</v>
      </c>
      <c r="R608" s="84">
        <v>0.36</v>
      </c>
    </row>
    <row r="609" ht="14.25" customHeight="1">
      <c r="A609" s="83" t="s">
        <v>1179</v>
      </c>
      <c r="B609" s="102" t="s">
        <v>1339</v>
      </c>
      <c r="C609" s="78" t="s">
        <v>1323</v>
      </c>
      <c r="D609" s="78" t="s">
        <v>1333</v>
      </c>
      <c r="E609" s="19" t="s">
        <v>2131</v>
      </c>
      <c r="F609" s="19" t="s">
        <v>2132</v>
      </c>
      <c r="G609" s="23">
        <v>20207.0</v>
      </c>
      <c r="H609" s="26">
        <v>0.31</v>
      </c>
      <c r="I609" s="21">
        <v>9199.0</v>
      </c>
      <c r="J609" s="19" t="s">
        <v>1697</v>
      </c>
      <c r="K609" s="101" t="s">
        <v>1606</v>
      </c>
      <c r="L609" s="21">
        <v>47053.0</v>
      </c>
      <c r="M609" s="21">
        <v>29406.0</v>
      </c>
      <c r="N609" s="26">
        <v>0.3</v>
      </c>
      <c r="O609" s="26">
        <v>0.3</v>
      </c>
      <c r="P609" s="81" t="s">
        <v>1595</v>
      </c>
      <c r="Q609" s="26">
        <v>0.52</v>
      </c>
      <c r="R609" s="84">
        <v>0.29</v>
      </c>
    </row>
    <row r="610" ht="14.25" customHeight="1">
      <c r="A610" s="83" t="s">
        <v>1179</v>
      </c>
      <c r="B610" s="102" t="s">
        <v>1337</v>
      </c>
      <c r="C610" s="78" t="s">
        <v>1323</v>
      </c>
      <c r="D610" s="78" t="s">
        <v>1333</v>
      </c>
      <c r="E610" s="19" t="s">
        <v>2133</v>
      </c>
      <c r="F610" s="19" t="s">
        <v>2134</v>
      </c>
      <c r="G610" s="23">
        <v>27280.0</v>
      </c>
      <c r="H610" s="26">
        <v>0.42</v>
      </c>
      <c r="I610" s="21">
        <v>19773.0</v>
      </c>
      <c r="J610" s="19" t="s">
        <v>1597</v>
      </c>
      <c r="K610" s="101" t="s">
        <v>1697</v>
      </c>
      <c r="L610" s="21">
        <v>70582.0</v>
      </c>
      <c r="M610" s="21">
        <v>47053.0</v>
      </c>
      <c r="N610" s="26">
        <v>0.3</v>
      </c>
      <c r="O610" s="26">
        <v>0.3</v>
      </c>
      <c r="P610" s="81" t="s">
        <v>1595</v>
      </c>
      <c r="Q610" s="26">
        <v>0.59</v>
      </c>
      <c r="R610" s="84">
        <v>0.36</v>
      </c>
    </row>
    <row r="611" ht="14.25" customHeight="1">
      <c r="A611" s="83" t="s">
        <v>1179</v>
      </c>
      <c r="B611" s="102" t="s">
        <v>1335</v>
      </c>
      <c r="C611" s="78" t="s">
        <v>1323</v>
      </c>
      <c r="D611" s="78" t="s">
        <v>1333</v>
      </c>
      <c r="E611" s="19" t="s">
        <v>2135</v>
      </c>
      <c r="F611" s="19" t="s">
        <v>2136</v>
      </c>
      <c r="G611" s="23">
        <v>25735.0</v>
      </c>
      <c r="H611" s="26">
        <v>0.37</v>
      </c>
      <c r="I611" s="21">
        <v>15436.0</v>
      </c>
      <c r="J611" s="19" t="s">
        <v>1596</v>
      </c>
      <c r="K611" s="101" t="s">
        <v>1599</v>
      </c>
      <c r="L611" s="21">
        <v>58818.0</v>
      </c>
      <c r="M611" s="21">
        <v>41171.0</v>
      </c>
      <c r="N611" s="26">
        <v>0.3</v>
      </c>
      <c r="O611" s="26">
        <v>0.3</v>
      </c>
      <c r="P611" s="81" t="s">
        <v>1595</v>
      </c>
      <c r="Q611" s="26">
        <v>0.56</v>
      </c>
      <c r="R611" s="84">
        <v>0.33</v>
      </c>
    </row>
    <row r="612" ht="14.25" customHeight="1">
      <c r="A612" s="83" t="s">
        <v>1179</v>
      </c>
      <c r="B612" s="102">
        <v>1.660858844449E12</v>
      </c>
      <c r="C612" s="78" t="s">
        <v>1323</v>
      </c>
      <c r="D612" s="78" t="s">
        <v>1340</v>
      </c>
      <c r="E612" s="19" t="s">
        <v>2137</v>
      </c>
      <c r="F612" s="19" t="s">
        <v>2138</v>
      </c>
      <c r="G612" s="23">
        <v>3946.0</v>
      </c>
      <c r="H612" s="26">
        <v>0.33</v>
      </c>
      <c r="I612" s="21">
        <v>1930.0</v>
      </c>
      <c r="J612" s="19" t="s">
        <v>1618</v>
      </c>
      <c r="K612" s="101" t="s">
        <v>1618</v>
      </c>
      <c r="L612" s="21">
        <v>5876.0</v>
      </c>
      <c r="M612" s="21">
        <v>5876.0</v>
      </c>
      <c r="N612" s="26">
        <v>0.3</v>
      </c>
      <c r="O612" s="26">
        <v>0.3</v>
      </c>
      <c r="P612" s="81" t="s">
        <v>1595</v>
      </c>
      <c r="Q612" s="26">
        <v>0.53</v>
      </c>
      <c r="R612" s="84">
        <v>0.3</v>
      </c>
    </row>
    <row r="613" ht="14.25" customHeight="1">
      <c r="A613" s="83" t="s">
        <v>1179</v>
      </c>
      <c r="B613" s="102">
        <v>1.660858793429E12</v>
      </c>
      <c r="C613" s="78" t="s">
        <v>1323</v>
      </c>
      <c r="D613" s="78" t="s">
        <v>1340</v>
      </c>
      <c r="E613" s="19" t="s">
        <v>2137</v>
      </c>
      <c r="F613" s="19" t="s">
        <v>2138</v>
      </c>
      <c r="G613" s="23">
        <v>3890.0</v>
      </c>
      <c r="H613" s="26">
        <v>0.34</v>
      </c>
      <c r="I613" s="21">
        <v>1986.0</v>
      </c>
      <c r="J613" s="19" t="s">
        <v>1618</v>
      </c>
      <c r="K613" s="101" t="s">
        <v>1618</v>
      </c>
      <c r="L613" s="21">
        <v>5876.0</v>
      </c>
      <c r="M613" s="21">
        <v>5876.0</v>
      </c>
      <c r="N613" s="26">
        <v>0.3</v>
      </c>
      <c r="O613" s="26">
        <v>0.3</v>
      </c>
      <c r="P613" s="81" t="s">
        <v>1595</v>
      </c>
      <c r="Q613" s="26">
        <v>0.54</v>
      </c>
      <c r="R613" s="84">
        <v>0.31</v>
      </c>
    </row>
    <row r="614" ht="14.25" customHeight="1">
      <c r="A614" s="83" t="s">
        <v>1179</v>
      </c>
      <c r="B614" s="102">
        <v>1.660858828618E12</v>
      </c>
      <c r="C614" s="78" t="s">
        <v>1323</v>
      </c>
      <c r="D614" s="78" t="s">
        <v>1340</v>
      </c>
      <c r="E614" s="19" t="s">
        <v>2139</v>
      </c>
      <c r="F614" s="19" t="s">
        <v>2140</v>
      </c>
      <c r="G614" s="23">
        <v>3294.0</v>
      </c>
      <c r="H614" s="26">
        <v>0.3</v>
      </c>
      <c r="I614" s="21">
        <v>1406.0</v>
      </c>
      <c r="J614" s="19" t="s">
        <v>1734</v>
      </c>
      <c r="K614" s="101" t="s">
        <v>1734</v>
      </c>
      <c r="L614" s="21">
        <v>4700.0</v>
      </c>
      <c r="M614" s="21">
        <v>4700.0</v>
      </c>
      <c r="N614" s="26">
        <v>0.3</v>
      </c>
      <c r="O614" s="26">
        <v>0.3</v>
      </c>
      <c r="P614" s="81" t="s">
        <v>1595</v>
      </c>
      <c r="Q614" s="26">
        <v>0.51</v>
      </c>
      <c r="R614" s="84">
        <v>0.28</v>
      </c>
    </row>
    <row r="615" ht="14.25" customHeight="1">
      <c r="A615" s="83" t="s">
        <v>1179</v>
      </c>
      <c r="B615" s="102">
        <v>1.660858776726E12</v>
      </c>
      <c r="C615" s="78" t="s">
        <v>1323</v>
      </c>
      <c r="D615" s="78" t="s">
        <v>1340</v>
      </c>
      <c r="E615" s="19" t="s">
        <v>2139</v>
      </c>
      <c r="F615" s="19" t="s">
        <v>2140</v>
      </c>
      <c r="G615" s="23">
        <v>3257.0</v>
      </c>
      <c r="H615" s="26">
        <v>0.31</v>
      </c>
      <c r="I615" s="21">
        <v>1443.0</v>
      </c>
      <c r="J615" s="19" t="s">
        <v>1734</v>
      </c>
      <c r="K615" s="101" t="s">
        <v>1734</v>
      </c>
      <c r="L615" s="21">
        <v>4700.0</v>
      </c>
      <c r="M615" s="21">
        <v>4700.0</v>
      </c>
      <c r="N615" s="26">
        <v>0.3</v>
      </c>
      <c r="O615" s="26">
        <v>0.3</v>
      </c>
      <c r="P615" s="81" t="s">
        <v>1595</v>
      </c>
      <c r="Q615" s="26">
        <v>0.51</v>
      </c>
      <c r="R615" s="84">
        <v>0.28</v>
      </c>
    </row>
    <row r="616" ht="14.25" customHeight="1">
      <c r="A616" s="83" t="s">
        <v>1179</v>
      </c>
      <c r="B616" s="102">
        <v>1.660858812938E12</v>
      </c>
      <c r="C616" s="78" t="s">
        <v>1323</v>
      </c>
      <c r="D616" s="78" t="s">
        <v>1340</v>
      </c>
      <c r="E616" s="19" t="s">
        <v>2141</v>
      </c>
      <c r="F616" s="19" t="s">
        <v>2142</v>
      </c>
      <c r="G616" s="23">
        <v>1846.0</v>
      </c>
      <c r="H616" s="26">
        <v>0.37</v>
      </c>
      <c r="I616" s="21">
        <v>1089.0</v>
      </c>
      <c r="J616" s="19" t="s">
        <v>1670</v>
      </c>
      <c r="K616" s="101" t="s">
        <v>1934</v>
      </c>
      <c r="L616" s="21">
        <v>4112.0</v>
      </c>
      <c r="M616" s="21">
        <v>2935.0</v>
      </c>
      <c r="N616" s="26">
        <v>0.3</v>
      </c>
      <c r="O616" s="26">
        <v>0.3</v>
      </c>
      <c r="P616" s="81" t="s">
        <v>1595</v>
      </c>
      <c r="Q616" s="26">
        <v>0.56</v>
      </c>
      <c r="R616" s="84">
        <v>0.33</v>
      </c>
    </row>
    <row r="617" ht="14.25" customHeight="1">
      <c r="A617" s="83" t="s">
        <v>1179</v>
      </c>
      <c r="B617" s="102">
        <v>1.660858756233E12</v>
      </c>
      <c r="C617" s="78" t="s">
        <v>1323</v>
      </c>
      <c r="D617" s="78" t="s">
        <v>1340</v>
      </c>
      <c r="E617" s="19" t="s">
        <v>2141</v>
      </c>
      <c r="F617" s="19" t="s">
        <v>2142</v>
      </c>
      <c r="G617" s="23">
        <v>1884.0</v>
      </c>
      <c r="H617" s="26">
        <v>0.36</v>
      </c>
      <c r="I617" s="21">
        <v>1051.0</v>
      </c>
      <c r="J617" s="19" t="s">
        <v>1670</v>
      </c>
      <c r="K617" s="101" t="s">
        <v>1934</v>
      </c>
      <c r="L617" s="21">
        <v>4112.0</v>
      </c>
      <c r="M617" s="21">
        <v>2935.0</v>
      </c>
      <c r="N617" s="26">
        <v>0.3</v>
      </c>
      <c r="O617" s="26">
        <v>0.3</v>
      </c>
      <c r="P617" s="81" t="s">
        <v>1595</v>
      </c>
      <c r="Q617" s="26">
        <v>0.55</v>
      </c>
      <c r="R617" s="84">
        <v>0.32</v>
      </c>
    </row>
    <row r="618" ht="14.25" customHeight="1">
      <c r="A618" s="83" t="s">
        <v>1179</v>
      </c>
      <c r="B618" s="102">
        <v>1.660858416606E12</v>
      </c>
      <c r="C618" s="78" t="s">
        <v>1323</v>
      </c>
      <c r="D618" s="78" t="s">
        <v>1340</v>
      </c>
      <c r="E618" s="19" t="s">
        <v>2143</v>
      </c>
      <c r="F618" s="19" t="s">
        <v>2144</v>
      </c>
      <c r="G618" s="23">
        <v>6387.0</v>
      </c>
      <c r="H618" s="26">
        <v>0.36</v>
      </c>
      <c r="I618" s="21">
        <v>3607.0</v>
      </c>
      <c r="J618" s="19" t="s">
        <v>1603</v>
      </c>
      <c r="K618" s="101" t="s">
        <v>1602</v>
      </c>
      <c r="L618" s="21">
        <v>17641.0</v>
      </c>
      <c r="M618" s="21">
        <v>9994.0</v>
      </c>
      <c r="N618" s="26">
        <v>0.3</v>
      </c>
      <c r="O618" s="26">
        <v>0.3</v>
      </c>
      <c r="P618" s="81" t="s">
        <v>1595</v>
      </c>
      <c r="Q618" s="26">
        <v>0.55</v>
      </c>
      <c r="R618" s="84">
        <v>0.32</v>
      </c>
    </row>
    <row r="619" ht="14.25" customHeight="1">
      <c r="A619" s="83" t="s">
        <v>1179</v>
      </c>
      <c r="B619" s="102">
        <v>1.65420774834E12</v>
      </c>
      <c r="C619" s="78" t="s">
        <v>1323</v>
      </c>
      <c r="D619" s="78" t="s">
        <v>1340</v>
      </c>
      <c r="E619" s="19" t="s">
        <v>1352</v>
      </c>
      <c r="F619" s="19" t="s">
        <v>2145</v>
      </c>
      <c r="G619" s="23">
        <v>7281.0</v>
      </c>
      <c r="H619" s="26">
        <v>0.38</v>
      </c>
      <c r="I619" s="21">
        <v>4478.0</v>
      </c>
      <c r="J619" s="19" t="s">
        <v>1726</v>
      </c>
      <c r="K619" s="101" t="s">
        <v>1604</v>
      </c>
      <c r="L619" s="21">
        <v>15876.0</v>
      </c>
      <c r="M619" s="21">
        <v>11759.0</v>
      </c>
      <c r="N619" s="26">
        <v>0.3</v>
      </c>
      <c r="O619" s="26">
        <v>0.3</v>
      </c>
      <c r="P619" s="81" t="s">
        <v>1595</v>
      </c>
      <c r="Q619" s="26">
        <v>0.57</v>
      </c>
      <c r="R619" s="84">
        <v>0.34</v>
      </c>
    </row>
    <row r="620" ht="14.25" customHeight="1">
      <c r="A620" s="83" t="s">
        <v>1179</v>
      </c>
      <c r="B620" s="102">
        <v>1.645629782262E12</v>
      </c>
      <c r="C620" s="78" t="s">
        <v>1323</v>
      </c>
      <c r="D620" s="78" t="s">
        <v>1340</v>
      </c>
      <c r="E620" s="19" t="s">
        <v>1353</v>
      </c>
      <c r="F620" s="19" t="s">
        <v>2146</v>
      </c>
      <c r="G620" s="23">
        <v>3423.0</v>
      </c>
      <c r="H620" s="26">
        <v>0.47</v>
      </c>
      <c r="I620" s="21">
        <v>3041.0</v>
      </c>
      <c r="J620" s="19" t="s">
        <v>1604</v>
      </c>
      <c r="K620" s="101" t="s">
        <v>1819</v>
      </c>
      <c r="L620" s="21">
        <v>11759.0</v>
      </c>
      <c r="M620" s="21">
        <v>6465.0</v>
      </c>
      <c r="N620" s="26">
        <v>0.3</v>
      </c>
      <c r="O620" s="26">
        <v>0.3</v>
      </c>
      <c r="P620" s="81" t="s">
        <v>1595</v>
      </c>
      <c r="Q620" s="26">
        <v>0.63</v>
      </c>
      <c r="R620" s="84">
        <v>0.4</v>
      </c>
    </row>
    <row r="621" ht="14.25" customHeight="1">
      <c r="A621" s="83" t="s">
        <v>1179</v>
      </c>
      <c r="B621" s="102" t="s">
        <v>1355</v>
      </c>
      <c r="C621" s="78" t="s">
        <v>1323</v>
      </c>
      <c r="D621" s="78" t="s">
        <v>1340</v>
      </c>
      <c r="E621" s="19" t="s">
        <v>1354</v>
      </c>
      <c r="F621" s="102" t="s">
        <v>1354</v>
      </c>
      <c r="G621" s="23">
        <v>5128.0</v>
      </c>
      <c r="H621" s="26">
        <v>0.49</v>
      </c>
      <c r="I621" s="21">
        <v>4866.0</v>
      </c>
      <c r="J621" s="19" t="s">
        <v>1601</v>
      </c>
      <c r="K621" s="101" t="s">
        <v>1602</v>
      </c>
      <c r="L621" s="21">
        <v>14700.0</v>
      </c>
      <c r="M621" s="21">
        <v>9994.0</v>
      </c>
      <c r="N621" s="26">
        <v>0.3</v>
      </c>
      <c r="O621" s="26">
        <v>0.3</v>
      </c>
      <c r="P621" s="81" t="s">
        <v>1595</v>
      </c>
      <c r="Q621" s="26">
        <v>0.64</v>
      </c>
      <c r="R621" s="84">
        <v>0.41</v>
      </c>
    </row>
    <row r="622" ht="14.25" customHeight="1">
      <c r="A622" s="83" t="s">
        <v>1179</v>
      </c>
      <c r="B622" s="102">
        <v>1.660859287583E12</v>
      </c>
      <c r="C622" s="78" t="s">
        <v>1323</v>
      </c>
      <c r="D622" s="78" t="s">
        <v>1340</v>
      </c>
      <c r="E622" s="19" t="s">
        <v>1356</v>
      </c>
      <c r="F622" s="19" t="s">
        <v>2147</v>
      </c>
      <c r="G622" s="23">
        <v>7980.0</v>
      </c>
      <c r="H622" s="26">
        <v>0.32</v>
      </c>
      <c r="I622" s="21">
        <v>3779.0</v>
      </c>
      <c r="J622" s="19" t="s">
        <v>1603</v>
      </c>
      <c r="K622" s="101" t="s">
        <v>1604</v>
      </c>
      <c r="L622" s="21">
        <v>17641.0</v>
      </c>
      <c r="M622" s="21">
        <v>11759.0</v>
      </c>
      <c r="N622" s="26">
        <v>0.3</v>
      </c>
      <c r="O622" s="26">
        <v>0.3</v>
      </c>
      <c r="P622" s="81" t="s">
        <v>1595</v>
      </c>
      <c r="Q622" s="26">
        <v>0.52</v>
      </c>
      <c r="R622" s="84">
        <v>0.29</v>
      </c>
    </row>
    <row r="623" ht="14.25" customHeight="1">
      <c r="A623" s="83" t="s">
        <v>1179</v>
      </c>
      <c r="B623" s="102">
        <v>1.627418212924E12</v>
      </c>
      <c r="C623" s="78" t="s">
        <v>1323</v>
      </c>
      <c r="D623" s="78" t="s">
        <v>1340</v>
      </c>
      <c r="E623" s="19" t="s">
        <v>1357</v>
      </c>
      <c r="F623" s="19" t="s">
        <v>2148</v>
      </c>
      <c r="G623" s="23">
        <v>5980.0</v>
      </c>
      <c r="H623" s="26">
        <v>0.4</v>
      </c>
      <c r="I623" s="21">
        <v>4014.0</v>
      </c>
      <c r="J623" s="19" t="s">
        <v>1608</v>
      </c>
      <c r="K623" s="101" t="s">
        <v>1602</v>
      </c>
      <c r="L623" s="21">
        <v>23524.0</v>
      </c>
      <c r="M623" s="21">
        <v>9994.0</v>
      </c>
      <c r="N623" s="26">
        <v>0.3</v>
      </c>
      <c r="O623" s="26">
        <v>0.3</v>
      </c>
      <c r="P623" s="81" t="s">
        <v>1595</v>
      </c>
      <c r="Q623" s="26">
        <v>0.58</v>
      </c>
      <c r="R623" s="84">
        <v>0.35</v>
      </c>
    </row>
    <row r="624" ht="14.25" customHeight="1">
      <c r="A624" s="83" t="s">
        <v>1179</v>
      </c>
      <c r="B624" s="102">
        <v>6.7327712330533E13</v>
      </c>
      <c r="C624" s="78" t="s">
        <v>1323</v>
      </c>
      <c r="D624" s="78" t="s">
        <v>1340</v>
      </c>
      <c r="E624" s="19" t="s">
        <v>1357</v>
      </c>
      <c r="F624" s="19" t="s">
        <v>2149</v>
      </c>
      <c r="G624" s="23">
        <v>5870.0</v>
      </c>
      <c r="H624" s="26">
        <v>0.41</v>
      </c>
      <c r="I624" s="21">
        <v>4124.0</v>
      </c>
      <c r="J624" s="19" t="s">
        <v>1608</v>
      </c>
      <c r="K624" s="101" t="s">
        <v>1602</v>
      </c>
      <c r="L624" s="21">
        <v>23524.0</v>
      </c>
      <c r="M624" s="21">
        <v>9994.0</v>
      </c>
      <c r="N624" s="26">
        <v>0.3</v>
      </c>
      <c r="O624" s="26">
        <v>0.3</v>
      </c>
      <c r="P624" s="81" t="s">
        <v>1595</v>
      </c>
      <c r="Q624" s="26">
        <v>0.59</v>
      </c>
      <c r="R624" s="84">
        <v>0.36</v>
      </c>
    </row>
    <row r="625" ht="14.25" customHeight="1">
      <c r="A625" s="83" t="s">
        <v>1179</v>
      </c>
      <c r="B625" s="102">
        <v>1.660859102915E12</v>
      </c>
      <c r="C625" s="78" t="s">
        <v>1323</v>
      </c>
      <c r="D625" s="78" t="s">
        <v>1340</v>
      </c>
      <c r="E625" s="19" t="s">
        <v>1359</v>
      </c>
      <c r="F625" s="19" t="s">
        <v>2150</v>
      </c>
      <c r="G625" s="23">
        <v>5693.0</v>
      </c>
      <c r="H625" s="26">
        <v>0.35</v>
      </c>
      <c r="I625" s="21">
        <v>3125.0</v>
      </c>
      <c r="J625" s="19" t="s">
        <v>1604</v>
      </c>
      <c r="K625" s="101" t="s">
        <v>1605</v>
      </c>
      <c r="L625" s="21">
        <v>11759.0</v>
      </c>
      <c r="M625" s="21">
        <v>8818.0</v>
      </c>
      <c r="N625" s="26">
        <v>0.3</v>
      </c>
      <c r="O625" s="26">
        <v>0.3</v>
      </c>
      <c r="P625" s="81" t="s">
        <v>1595</v>
      </c>
      <c r="Q625" s="26">
        <v>0.55</v>
      </c>
      <c r="R625" s="84">
        <v>0.32</v>
      </c>
    </row>
    <row r="626" ht="14.25" customHeight="1">
      <c r="A626" s="83" t="s">
        <v>1179</v>
      </c>
      <c r="B626" s="102" t="s">
        <v>1361</v>
      </c>
      <c r="C626" s="78" t="s">
        <v>1323</v>
      </c>
      <c r="D626" s="78" t="s">
        <v>1340</v>
      </c>
      <c r="E626" s="19" t="s">
        <v>2151</v>
      </c>
      <c r="F626" s="19" t="s">
        <v>2152</v>
      </c>
      <c r="G626" s="23">
        <v>2770.0</v>
      </c>
      <c r="H626" s="26">
        <v>0.53</v>
      </c>
      <c r="I626" s="21">
        <v>3107.0</v>
      </c>
      <c r="J626" s="19" t="s">
        <v>1686</v>
      </c>
      <c r="K626" s="101" t="s">
        <v>1618</v>
      </c>
      <c r="L626" s="21">
        <v>7641.0</v>
      </c>
      <c r="M626" s="21">
        <v>5876.0</v>
      </c>
      <c r="N626" s="26">
        <v>0.3</v>
      </c>
      <c r="O626" s="26">
        <v>0.3</v>
      </c>
      <c r="P626" s="81" t="s">
        <v>1595</v>
      </c>
      <c r="Q626" s="26">
        <v>0.67</v>
      </c>
      <c r="R626" s="84">
        <v>0.44</v>
      </c>
    </row>
    <row r="627" ht="14.25" customHeight="1">
      <c r="A627" s="83" t="s">
        <v>1179</v>
      </c>
      <c r="B627" s="102" t="s">
        <v>1363</v>
      </c>
      <c r="C627" s="78" t="s">
        <v>1323</v>
      </c>
      <c r="D627" s="78" t="s">
        <v>1340</v>
      </c>
      <c r="E627" s="19" t="s">
        <v>2151</v>
      </c>
      <c r="F627" s="19" t="s">
        <v>2152</v>
      </c>
      <c r="G627" s="23">
        <v>2728.0</v>
      </c>
      <c r="H627" s="26">
        <v>0.54</v>
      </c>
      <c r="I627" s="21">
        <v>3149.0</v>
      </c>
      <c r="J627" s="19" t="s">
        <v>1686</v>
      </c>
      <c r="K627" s="101" t="s">
        <v>1618</v>
      </c>
      <c r="L627" s="21">
        <v>7641.0</v>
      </c>
      <c r="M627" s="21">
        <v>5876.0</v>
      </c>
      <c r="N627" s="26">
        <v>0.3</v>
      </c>
      <c r="O627" s="26">
        <v>0.3</v>
      </c>
      <c r="P627" s="81" t="s">
        <v>1595</v>
      </c>
      <c r="Q627" s="26">
        <v>0.68</v>
      </c>
      <c r="R627" s="84">
        <v>0.45</v>
      </c>
    </row>
    <row r="628" ht="14.25" customHeight="1">
      <c r="A628" s="83" t="s">
        <v>1179</v>
      </c>
      <c r="B628" s="102" t="s">
        <v>1365</v>
      </c>
      <c r="C628" s="78" t="s">
        <v>1323</v>
      </c>
      <c r="D628" s="78" t="s">
        <v>1340</v>
      </c>
      <c r="E628" s="19" t="s">
        <v>2151</v>
      </c>
      <c r="F628" s="19" t="s">
        <v>2152</v>
      </c>
      <c r="G628" s="23">
        <v>2815.0</v>
      </c>
      <c r="H628" s="26">
        <v>0.52</v>
      </c>
      <c r="I628" s="21">
        <v>3062.0</v>
      </c>
      <c r="J628" s="19" t="s">
        <v>1686</v>
      </c>
      <c r="K628" s="101" t="s">
        <v>1618</v>
      </c>
      <c r="L628" s="21">
        <v>7641.0</v>
      </c>
      <c r="M628" s="21">
        <v>5876.0</v>
      </c>
      <c r="N628" s="26">
        <v>0.3</v>
      </c>
      <c r="O628" s="26">
        <v>0.3</v>
      </c>
      <c r="P628" s="81" t="s">
        <v>1595</v>
      </c>
      <c r="Q628" s="26">
        <v>0.66</v>
      </c>
      <c r="R628" s="84">
        <v>0.43</v>
      </c>
    </row>
    <row r="629" ht="14.25" customHeight="1">
      <c r="A629" s="83" t="s">
        <v>1179</v>
      </c>
      <c r="B629" s="102" t="s">
        <v>1367</v>
      </c>
      <c r="C629" s="78" t="s">
        <v>1323</v>
      </c>
      <c r="D629" s="78" t="s">
        <v>1340</v>
      </c>
      <c r="E629" s="19" t="s">
        <v>2151</v>
      </c>
      <c r="F629" s="19" t="s">
        <v>2152</v>
      </c>
      <c r="G629" s="23">
        <v>2813.0</v>
      </c>
      <c r="H629" s="26">
        <v>0.52</v>
      </c>
      <c r="I629" s="21">
        <v>3064.0</v>
      </c>
      <c r="J629" s="19" t="s">
        <v>1686</v>
      </c>
      <c r="K629" s="101" t="s">
        <v>1618</v>
      </c>
      <c r="L629" s="21">
        <v>7641.0</v>
      </c>
      <c r="M629" s="21">
        <v>5876.0</v>
      </c>
      <c r="N629" s="26">
        <v>0.3</v>
      </c>
      <c r="O629" s="26">
        <v>0.3</v>
      </c>
      <c r="P629" s="81" t="s">
        <v>1595</v>
      </c>
      <c r="Q629" s="26">
        <v>0.66</v>
      </c>
      <c r="R629" s="84">
        <v>0.43</v>
      </c>
    </row>
    <row r="630" ht="14.25" customHeight="1">
      <c r="A630" s="83" t="s">
        <v>1179</v>
      </c>
      <c r="B630" s="102">
        <v>1.654189204021E12</v>
      </c>
      <c r="C630" s="78" t="s">
        <v>1323</v>
      </c>
      <c r="D630" s="78" t="s">
        <v>1340</v>
      </c>
      <c r="E630" s="19" t="s">
        <v>2153</v>
      </c>
      <c r="F630" s="19" t="s">
        <v>2154</v>
      </c>
      <c r="G630" s="23">
        <v>3789.0</v>
      </c>
      <c r="H630" s="26">
        <v>0.41</v>
      </c>
      <c r="I630" s="21">
        <v>2676.0</v>
      </c>
      <c r="J630" s="19" t="s">
        <v>1605</v>
      </c>
      <c r="K630" s="101" t="s">
        <v>1819</v>
      </c>
      <c r="L630" s="21">
        <v>8818.0</v>
      </c>
      <c r="M630" s="21">
        <v>6465.0</v>
      </c>
      <c r="N630" s="26">
        <v>0.3</v>
      </c>
      <c r="O630" s="26">
        <v>0.3</v>
      </c>
      <c r="P630" s="81" t="s">
        <v>1595</v>
      </c>
      <c r="Q630" s="26">
        <v>0.59</v>
      </c>
      <c r="R630" s="84">
        <v>0.36</v>
      </c>
    </row>
    <row r="631" ht="14.25" customHeight="1">
      <c r="A631" s="83" t="s">
        <v>1179</v>
      </c>
      <c r="B631" s="102">
        <v>1.654189048611E12</v>
      </c>
      <c r="C631" s="78" t="s">
        <v>1323</v>
      </c>
      <c r="D631" s="78" t="s">
        <v>1340</v>
      </c>
      <c r="E631" s="19" t="s">
        <v>2153</v>
      </c>
      <c r="F631" s="19" t="s">
        <v>2155</v>
      </c>
      <c r="G631" s="23">
        <v>3087.0</v>
      </c>
      <c r="H631" s="26">
        <v>0.42</v>
      </c>
      <c r="I631" s="21">
        <v>2201.0</v>
      </c>
      <c r="J631" s="19" t="s">
        <v>1618</v>
      </c>
      <c r="K631" s="101" t="s">
        <v>1682</v>
      </c>
      <c r="L631" s="21">
        <v>5876.0</v>
      </c>
      <c r="M631" s="21">
        <v>5288.0</v>
      </c>
      <c r="N631" s="26">
        <v>0.3</v>
      </c>
      <c r="O631" s="26">
        <v>0.3</v>
      </c>
      <c r="P631" s="81" t="s">
        <v>1595</v>
      </c>
      <c r="Q631" s="26">
        <v>0.59</v>
      </c>
      <c r="R631" s="84">
        <v>0.36</v>
      </c>
    </row>
    <row r="632" ht="14.25" customHeight="1">
      <c r="A632" s="83" t="s">
        <v>1179</v>
      </c>
      <c r="B632" s="102">
        <v>1.650295282448E12</v>
      </c>
      <c r="C632" s="78" t="s">
        <v>1323</v>
      </c>
      <c r="D632" s="78" t="s">
        <v>1340</v>
      </c>
      <c r="E632" s="19" t="s">
        <v>2156</v>
      </c>
      <c r="F632" s="19" t="s">
        <v>2157</v>
      </c>
      <c r="G632" s="23">
        <v>3760.0</v>
      </c>
      <c r="H632" s="26">
        <v>0.36</v>
      </c>
      <c r="I632" s="21">
        <v>2117.0</v>
      </c>
      <c r="J632" s="19" t="s">
        <v>1605</v>
      </c>
      <c r="K632" s="101" t="s">
        <v>1618</v>
      </c>
      <c r="L632" s="21">
        <v>8818.0</v>
      </c>
      <c r="M632" s="21">
        <v>5876.0</v>
      </c>
      <c r="N632" s="26">
        <v>0.3</v>
      </c>
      <c r="O632" s="26">
        <v>0.3</v>
      </c>
      <c r="P632" s="81" t="s">
        <v>1595</v>
      </c>
      <c r="Q632" s="26">
        <v>0.55</v>
      </c>
      <c r="R632" s="84">
        <v>0.32</v>
      </c>
    </row>
    <row r="633" ht="14.25" customHeight="1">
      <c r="A633" s="83" t="s">
        <v>1179</v>
      </c>
      <c r="B633" s="102">
        <v>1.650295261109E12</v>
      </c>
      <c r="C633" s="78" t="s">
        <v>1323</v>
      </c>
      <c r="D633" s="78" t="s">
        <v>1340</v>
      </c>
      <c r="E633" s="19" t="s">
        <v>2156</v>
      </c>
      <c r="F633" s="19" t="s">
        <v>2158</v>
      </c>
      <c r="G633" s="23">
        <v>2329.0</v>
      </c>
      <c r="H633" s="26">
        <v>0.5</v>
      </c>
      <c r="I633" s="21">
        <v>2371.0</v>
      </c>
      <c r="J633" s="19" t="s">
        <v>1819</v>
      </c>
      <c r="K633" s="101" t="s">
        <v>1734</v>
      </c>
      <c r="L633" s="21">
        <v>6465.0</v>
      </c>
      <c r="M633" s="21">
        <v>4700.0</v>
      </c>
      <c r="N633" s="26">
        <v>0.3</v>
      </c>
      <c r="O633" s="26">
        <v>0.3</v>
      </c>
      <c r="P633" s="81" t="s">
        <v>1595</v>
      </c>
      <c r="Q633" s="26">
        <v>0.65</v>
      </c>
      <c r="R633" s="84">
        <v>0.42</v>
      </c>
    </row>
    <row r="634" ht="14.25" customHeight="1">
      <c r="A634" s="83" t="s">
        <v>1179</v>
      </c>
      <c r="B634" s="19" t="s">
        <v>1370</v>
      </c>
      <c r="C634" s="78" t="s">
        <v>1323</v>
      </c>
      <c r="D634" s="78" t="s">
        <v>1368</v>
      </c>
      <c r="E634" s="19" t="s">
        <v>1369</v>
      </c>
      <c r="F634" s="19" t="s">
        <v>2159</v>
      </c>
      <c r="G634" s="23">
        <v>5485.0</v>
      </c>
      <c r="H634" s="26">
        <v>0.53</v>
      </c>
      <c r="I634" s="21">
        <v>6274.0</v>
      </c>
      <c r="J634" s="19" t="s">
        <v>1601</v>
      </c>
      <c r="K634" s="101" t="s">
        <v>1604</v>
      </c>
      <c r="L634" s="21">
        <v>14700.0</v>
      </c>
      <c r="M634" s="21">
        <v>11759.0</v>
      </c>
      <c r="N634" s="26">
        <v>0.3</v>
      </c>
      <c r="O634" s="26">
        <v>0.3</v>
      </c>
      <c r="P634" s="81" t="s">
        <v>1595</v>
      </c>
      <c r="Q634" s="26">
        <v>0.67</v>
      </c>
      <c r="R634" s="84">
        <v>0.44</v>
      </c>
    </row>
    <row r="635" ht="14.25" customHeight="1">
      <c r="A635" s="83" t="s">
        <v>1179</v>
      </c>
      <c r="B635" s="102">
        <v>1.660857800718E12</v>
      </c>
      <c r="C635" s="78" t="s">
        <v>1323</v>
      </c>
      <c r="D635" s="78" t="s">
        <v>1371</v>
      </c>
      <c r="E635" s="19" t="s">
        <v>1372</v>
      </c>
      <c r="F635" s="19" t="s">
        <v>2160</v>
      </c>
      <c r="G635" s="23">
        <v>5537.0</v>
      </c>
      <c r="H635" s="26">
        <v>0.37</v>
      </c>
      <c r="I635" s="21">
        <v>3280.0</v>
      </c>
      <c r="J635" s="19" t="s">
        <v>1604</v>
      </c>
      <c r="K635" s="101" t="s">
        <v>1605</v>
      </c>
      <c r="L635" s="21">
        <v>11759.0</v>
      </c>
      <c r="M635" s="21">
        <v>8818.0</v>
      </c>
      <c r="N635" s="26">
        <v>0.3</v>
      </c>
      <c r="O635" s="26">
        <v>0.3</v>
      </c>
      <c r="P635" s="81" t="s">
        <v>1595</v>
      </c>
      <c r="Q635" s="26">
        <v>0.56</v>
      </c>
      <c r="R635" s="84">
        <v>0.33</v>
      </c>
    </row>
    <row r="636" ht="14.25" customHeight="1">
      <c r="A636" s="83" t="s">
        <v>1179</v>
      </c>
      <c r="B636" s="102">
        <v>1.6608587024E12</v>
      </c>
      <c r="C636" s="78" t="s">
        <v>1323</v>
      </c>
      <c r="D636" s="78" t="s">
        <v>1371</v>
      </c>
      <c r="E636" s="19" t="s">
        <v>1373</v>
      </c>
      <c r="F636" s="19" t="s">
        <v>2161</v>
      </c>
      <c r="G636" s="23">
        <v>3344.0</v>
      </c>
      <c r="H636" s="26">
        <v>0.56</v>
      </c>
      <c r="I636" s="21">
        <v>4298.0</v>
      </c>
      <c r="J636" s="19" t="s">
        <v>1621</v>
      </c>
      <c r="K636" s="101" t="s">
        <v>1686</v>
      </c>
      <c r="L636" s="21">
        <v>11171.0</v>
      </c>
      <c r="M636" s="21">
        <v>7641.0</v>
      </c>
      <c r="N636" s="26">
        <v>0.3</v>
      </c>
      <c r="O636" s="26">
        <v>0.3</v>
      </c>
      <c r="P636" s="81" t="s">
        <v>1595</v>
      </c>
      <c r="Q636" s="26">
        <v>0.69</v>
      </c>
      <c r="R636" s="84">
        <v>0.46</v>
      </c>
    </row>
    <row r="637" ht="14.25" customHeight="1">
      <c r="A637" s="83" t="s">
        <v>1179</v>
      </c>
      <c r="B637" s="102">
        <v>1.627418180602E12</v>
      </c>
      <c r="C637" s="78" t="s">
        <v>1323</v>
      </c>
      <c r="D637" s="78" t="s">
        <v>1371</v>
      </c>
      <c r="E637" s="19" t="s">
        <v>1374</v>
      </c>
      <c r="F637" s="19" t="s">
        <v>2162</v>
      </c>
      <c r="G637" s="23">
        <v>5829.0</v>
      </c>
      <c r="H637" s="26">
        <v>0.34</v>
      </c>
      <c r="I637" s="21">
        <v>2989.0</v>
      </c>
      <c r="J637" s="19" t="s">
        <v>1821</v>
      </c>
      <c r="K637" s="101" t="s">
        <v>1605</v>
      </c>
      <c r="L637" s="21">
        <v>12935.0</v>
      </c>
      <c r="M637" s="21">
        <v>8818.0</v>
      </c>
      <c r="N637" s="26">
        <v>0.3</v>
      </c>
      <c r="O637" s="26">
        <v>0.3</v>
      </c>
      <c r="P637" s="81" t="s">
        <v>1595</v>
      </c>
      <c r="Q637" s="26">
        <v>0.54</v>
      </c>
      <c r="R637" s="84">
        <v>0.31</v>
      </c>
    </row>
    <row r="638" ht="14.25" customHeight="1">
      <c r="A638" s="83" t="s">
        <v>1179</v>
      </c>
      <c r="B638" s="19" t="s">
        <v>1376</v>
      </c>
      <c r="C638" s="78" t="s">
        <v>1323</v>
      </c>
      <c r="D638" s="78" t="s">
        <v>1371</v>
      </c>
      <c r="E638" s="19" t="s">
        <v>1375</v>
      </c>
      <c r="F638" s="19" t="s">
        <v>2163</v>
      </c>
      <c r="G638" s="23">
        <v>6715.0</v>
      </c>
      <c r="H638" s="26">
        <v>0.33</v>
      </c>
      <c r="I638" s="21">
        <v>3279.0</v>
      </c>
      <c r="J638" s="19" t="s">
        <v>1601</v>
      </c>
      <c r="K638" s="101" t="s">
        <v>1602</v>
      </c>
      <c r="L638" s="21">
        <v>14700.0</v>
      </c>
      <c r="M638" s="21">
        <v>9994.0</v>
      </c>
      <c r="N638" s="26">
        <v>0.3</v>
      </c>
      <c r="O638" s="26">
        <v>0.3</v>
      </c>
      <c r="P638" s="81" t="s">
        <v>1595</v>
      </c>
      <c r="Q638" s="26">
        <v>0.53</v>
      </c>
      <c r="R638" s="84">
        <v>0.3</v>
      </c>
    </row>
    <row r="639" ht="14.25" customHeight="1">
      <c r="A639" s="83" t="s">
        <v>1179</v>
      </c>
      <c r="B639" s="102">
        <v>6.8540051413139E13</v>
      </c>
      <c r="C639" s="78" t="s">
        <v>1323</v>
      </c>
      <c r="D639" s="78" t="s">
        <v>1377</v>
      </c>
      <c r="E639" s="19" t="s">
        <v>2164</v>
      </c>
      <c r="F639" s="19" t="s">
        <v>2165</v>
      </c>
      <c r="G639" s="23">
        <v>5766.0</v>
      </c>
      <c r="H639" s="26">
        <v>0.35</v>
      </c>
      <c r="I639" s="21">
        <v>3051.0</v>
      </c>
      <c r="J639" s="19" t="s">
        <v>1601</v>
      </c>
      <c r="K639" s="101" t="s">
        <v>1605</v>
      </c>
      <c r="L639" s="21">
        <v>14700.0</v>
      </c>
      <c r="M639" s="21">
        <v>8818.0</v>
      </c>
      <c r="N639" s="26">
        <v>0.3</v>
      </c>
      <c r="O639" s="26">
        <v>0.3</v>
      </c>
      <c r="P639" s="81" t="s">
        <v>1595</v>
      </c>
      <c r="Q639" s="26">
        <v>0.54</v>
      </c>
      <c r="R639" s="84">
        <v>0.31</v>
      </c>
    </row>
    <row r="640" ht="14.25" customHeight="1">
      <c r="A640" s="83" t="s">
        <v>1179</v>
      </c>
      <c r="B640" s="102">
        <v>6.8540048936286E13</v>
      </c>
      <c r="C640" s="78" t="s">
        <v>1323</v>
      </c>
      <c r="D640" s="78" t="s">
        <v>1377</v>
      </c>
      <c r="E640" s="19" t="s">
        <v>2164</v>
      </c>
      <c r="F640" s="19" t="s">
        <v>2166</v>
      </c>
      <c r="G640" s="23">
        <v>5595.0</v>
      </c>
      <c r="H640" s="26">
        <v>0.37</v>
      </c>
      <c r="I640" s="21">
        <v>3223.0</v>
      </c>
      <c r="J640" s="19" t="s">
        <v>1601</v>
      </c>
      <c r="K640" s="101" t="s">
        <v>1605</v>
      </c>
      <c r="L640" s="21">
        <v>14700.0</v>
      </c>
      <c r="M640" s="21">
        <v>8818.0</v>
      </c>
      <c r="N640" s="26">
        <v>0.3</v>
      </c>
      <c r="O640" s="26">
        <v>0.3</v>
      </c>
      <c r="P640" s="81" t="s">
        <v>1595</v>
      </c>
      <c r="Q640" s="26">
        <v>0.56</v>
      </c>
      <c r="R640" s="84">
        <v>0.33</v>
      </c>
    </row>
    <row r="641" ht="14.25" customHeight="1">
      <c r="A641" s="83" t="s">
        <v>1179</v>
      </c>
      <c r="B641" s="102">
        <v>1.659991379695E12</v>
      </c>
      <c r="C641" s="78" t="s">
        <v>1323</v>
      </c>
      <c r="D641" s="78" t="s">
        <v>1377</v>
      </c>
      <c r="E641" s="19" t="s">
        <v>2167</v>
      </c>
      <c r="F641" s="19" t="s">
        <v>1380</v>
      </c>
      <c r="G641" s="23">
        <v>4977.0</v>
      </c>
      <c r="H641" s="26">
        <v>0.23</v>
      </c>
      <c r="I641" s="21">
        <v>1488.0</v>
      </c>
      <c r="J641" s="19" t="s">
        <v>1620</v>
      </c>
      <c r="K641" s="101" t="s">
        <v>1819</v>
      </c>
      <c r="L641" s="21">
        <v>19406.0</v>
      </c>
      <c r="M641" s="21">
        <v>6465.0</v>
      </c>
      <c r="N641" s="26">
        <v>0.3</v>
      </c>
      <c r="O641" s="26">
        <v>0.3</v>
      </c>
      <c r="P641" s="83" t="s">
        <v>134</v>
      </c>
      <c r="Q641" s="26">
        <v>0.46</v>
      </c>
      <c r="R641" s="84">
        <v>0.23</v>
      </c>
    </row>
    <row r="642" ht="14.25" customHeight="1">
      <c r="A642" s="83" t="s">
        <v>1179</v>
      </c>
      <c r="B642" s="102">
        <v>1.660858356962E12</v>
      </c>
      <c r="C642" s="78" t="s">
        <v>1323</v>
      </c>
      <c r="D642" s="78" t="s">
        <v>1377</v>
      </c>
      <c r="E642" s="19" t="s">
        <v>2168</v>
      </c>
      <c r="F642" s="19" t="s">
        <v>2169</v>
      </c>
      <c r="G642" s="23">
        <v>6049.0</v>
      </c>
      <c r="H642" s="26">
        <v>0.49</v>
      </c>
      <c r="I642" s="21">
        <v>5710.0</v>
      </c>
      <c r="J642" s="19" t="s">
        <v>1603</v>
      </c>
      <c r="K642" s="101" t="s">
        <v>1604</v>
      </c>
      <c r="L642" s="21">
        <v>17641.0</v>
      </c>
      <c r="M642" s="21">
        <v>11759.0</v>
      </c>
      <c r="N642" s="26">
        <v>0.3</v>
      </c>
      <c r="O642" s="26">
        <v>0.3</v>
      </c>
      <c r="P642" s="81" t="s">
        <v>1595</v>
      </c>
      <c r="Q642" s="26">
        <v>0.64</v>
      </c>
      <c r="R642" s="84">
        <v>0.41</v>
      </c>
    </row>
    <row r="643" ht="14.25" customHeight="1">
      <c r="A643" s="83" t="s">
        <v>1179</v>
      </c>
      <c r="B643" s="102">
        <v>1.660858341796E12</v>
      </c>
      <c r="C643" s="78" t="s">
        <v>1323</v>
      </c>
      <c r="D643" s="78" t="s">
        <v>1377</v>
      </c>
      <c r="E643" s="19" t="s">
        <v>2168</v>
      </c>
      <c r="F643" s="19" t="s">
        <v>2170</v>
      </c>
      <c r="G643" s="23">
        <v>6340.0</v>
      </c>
      <c r="H643" s="26">
        <v>0.46</v>
      </c>
      <c r="I643" s="21">
        <v>5419.0</v>
      </c>
      <c r="J643" s="19" t="s">
        <v>1603</v>
      </c>
      <c r="K643" s="101" t="s">
        <v>1604</v>
      </c>
      <c r="L643" s="21">
        <v>17641.0</v>
      </c>
      <c r="M643" s="21">
        <v>11759.0</v>
      </c>
      <c r="N643" s="26">
        <v>0.3</v>
      </c>
      <c r="O643" s="26">
        <v>0.3</v>
      </c>
      <c r="P643" s="81" t="s">
        <v>1595</v>
      </c>
      <c r="Q643" s="26">
        <v>0.62</v>
      </c>
      <c r="R643" s="84">
        <v>0.39</v>
      </c>
    </row>
    <row r="644" ht="14.25" customHeight="1">
      <c r="A644" s="83" t="s">
        <v>1179</v>
      </c>
      <c r="B644" s="19" t="s">
        <v>1384</v>
      </c>
      <c r="C644" s="78" t="s">
        <v>1323</v>
      </c>
      <c r="D644" s="78" t="s">
        <v>1377</v>
      </c>
      <c r="E644" s="19" t="s">
        <v>1383</v>
      </c>
      <c r="F644" s="19" t="s">
        <v>2171</v>
      </c>
      <c r="G644" s="23">
        <v>5857.0</v>
      </c>
      <c r="H644" s="26">
        <v>0.41</v>
      </c>
      <c r="I644" s="21">
        <v>4137.0</v>
      </c>
      <c r="J644" s="19" t="s">
        <v>1601</v>
      </c>
      <c r="K644" s="101" t="s">
        <v>1602</v>
      </c>
      <c r="L644" s="21">
        <v>14700.0</v>
      </c>
      <c r="M644" s="21">
        <v>9994.0</v>
      </c>
      <c r="N644" s="26">
        <v>0.3</v>
      </c>
      <c r="O644" s="26">
        <v>0.3</v>
      </c>
      <c r="P644" s="81" t="s">
        <v>1595</v>
      </c>
      <c r="Q644" s="26">
        <v>0.59</v>
      </c>
      <c r="R644" s="84">
        <v>0.36</v>
      </c>
    </row>
    <row r="645" ht="14.25" customHeight="1">
      <c r="A645" s="83" t="s">
        <v>1179</v>
      </c>
      <c r="B645" s="19" t="s">
        <v>1386</v>
      </c>
      <c r="C645" s="78" t="s">
        <v>1323</v>
      </c>
      <c r="D645" s="78" t="s">
        <v>1377</v>
      </c>
      <c r="E645" s="19" t="s">
        <v>1385</v>
      </c>
      <c r="F645" s="19" t="s">
        <v>2171</v>
      </c>
      <c r="G645" s="23">
        <v>5869.0</v>
      </c>
      <c r="H645" s="26">
        <v>0.41</v>
      </c>
      <c r="I645" s="21">
        <v>4125.0</v>
      </c>
      <c r="J645" s="19" t="s">
        <v>1601</v>
      </c>
      <c r="K645" s="101" t="s">
        <v>1602</v>
      </c>
      <c r="L645" s="21">
        <v>14700.0</v>
      </c>
      <c r="M645" s="21">
        <v>9994.0</v>
      </c>
      <c r="N645" s="26">
        <v>0.3</v>
      </c>
      <c r="O645" s="26">
        <v>0.3</v>
      </c>
      <c r="P645" s="81" t="s">
        <v>1595</v>
      </c>
      <c r="Q645" s="26">
        <v>0.59</v>
      </c>
      <c r="R645" s="84">
        <v>0.36</v>
      </c>
    </row>
    <row r="646" ht="14.25" customHeight="1">
      <c r="A646" s="83" t="s">
        <v>1179</v>
      </c>
      <c r="B646" s="19" t="s">
        <v>1388</v>
      </c>
      <c r="C646" s="78" t="s">
        <v>1323</v>
      </c>
      <c r="D646" s="78" t="s">
        <v>1377</v>
      </c>
      <c r="E646" s="19" t="s">
        <v>1387</v>
      </c>
      <c r="F646" s="19" t="s">
        <v>2172</v>
      </c>
      <c r="G646" s="23">
        <v>8632.0</v>
      </c>
      <c r="H646" s="26">
        <v>0.41</v>
      </c>
      <c r="I646" s="21">
        <v>6068.0</v>
      </c>
      <c r="J646" s="19" t="s">
        <v>1620</v>
      </c>
      <c r="K646" s="101" t="s">
        <v>1601</v>
      </c>
      <c r="L646" s="21">
        <v>19406.0</v>
      </c>
      <c r="M646" s="21">
        <v>14700.0</v>
      </c>
      <c r="N646" s="26">
        <v>0.3</v>
      </c>
      <c r="O646" s="26">
        <v>0.3</v>
      </c>
      <c r="P646" s="81" t="s">
        <v>1595</v>
      </c>
      <c r="Q646" s="26">
        <v>0.59</v>
      </c>
      <c r="R646" s="84">
        <v>0.36</v>
      </c>
    </row>
    <row r="647" ht="14.25" customHeight="1">
      <c r="A647" s="83" t="s">
        <v>1179</v>
      </c>
      <c r="B647" s="19" t="s">
        <v>1390</v>
      </c>
      <c r="C647" s="78" t="s">
        <v>1323</v>
      </c>
      <c r="D647" s="78" t="s">
        <v>1377</v>
      </c>
      <c r="E647" s="19" t="s">
        <v>1389</v>
      </c>
      <c r="F647" s="19" t="s">
        <v>2172</v>
      </c>
      <c r="G647" s="23">
        <v>8489.0</v>
      </c>
      <c r="H647" s="26">
        <v>0.42</v>
      </c>
      <c r="I647" s="21">
        <v>6211.0</v>
      </c>
      <c r="J647" s="19" t="s">
        <v>1620</v>
      </c>
      <c r="K647" s="101" t="s">
        <v>1601</v>
      </c>
      <c r="L647" s="21">
        <v>19406.0</v>
      </c>
      <c r="M647" s="21">
        <v>14700.0</v>
      </c>
      <c r="N647" s="26">
        <v>0.3</v>
      </c>
      <c r="O647" s="26">
        <v>0.3</v>
      </c>
      <c r="P647" s="81" t="s">
        <v>1595</v>
      </c>
      <c r="Q647" s="26">
        <v>0.6</v>
      </c>
      <c r="R647" s="84">
        <v>0.37</v>
      </c>
    </row>
    <row r="648" ht="14.25" customHeight="1">
      <c r="A648" s="83" t="s">
        <v>1179</v>
      </c>
      <c r="B648" s="102">
        <v>1.535543463599E12</v>
      </c>
      <c r="C648" s="78" t="s">
        <v>1391</v>
      </c>
      <c r="D648" s="78" t="s">
        <v>1392</v>
      </c>
      <c r="E648" s="19" t="s">
        <v>2173</v>
      </c>
      <c r="F648" s="19" t="s">
        <v>1394</v>
      </c>
      <c r="G648" s="23">
        <v>17357.0</v>
      </c>
      <c r="H648" s="26">
        <v>0.26</v>
      </c>
      <c r="I648" s="21">
        <v>6167.0</v>
      </c>
      <c r="J648" s="19" t="s">
        <v>1606</v>
      </c>
      <c r="K648" s="101" t="s">
        <v>1608</v>
      </c>
      <c r="L648" s="21">
        <v>29406.0</v>
      </c>
      <c r="M648" s="21">
        <v>23524.0</v>
      </c>
      <c r="N648" s="26">
        <v>0.3</v>
      </c>
      <c r="O648" s="26">
        <v>0.3</v>
      </c>
      <c r="P648" s="83" t="s">
        <v>134</v>
      </c>
      <c r="Q648" s="26">
        <v>0.48</v>
      </c>
      <c r="R648" s="84">
        <v>0.25</v>
      </c>
    </row>
    <row r="649" ht="14.25" customHeight="1">
      <c r="A649" s="83" t="s">
        <v>1179</v>
      </c>
      <c r="B649" s="102">
        <v>1.659989549286E12</v>
      </c>
      <c r="C649" s="78" t="s">
        <v>1395</v>
      </c>
      <c r="D649" s="78" t="s">
        <v>1396</v>
      </c>
      <c r="E649" s="19" t="s">
        <v>2174</v>
      </c>
      <c r="F649" s="19" t="s">
        <v>2175</v>
      </c>
      <c r="G649" s="23">
        <v>3611.0</v>
      </c>
      <c r="H649" s="26">
        <v>0.53</v>
      </c>
      <c r="I649" s="21">
        <v>4030.0</v>
      </c>
      <c r="J649" s="19" t="s">
        <v>1602</v>
      </c>
      <c r="K649" s="101" t="s">
        <v>1686</v>
      </c>
      <c r="L649" s="21">
        <v>9994.0</v>
      </c>
      <c r="M649" s="21">
        <v>7641.0</v>
      </c>
      <c r="N649" s="26">
        <v>0.3</v>
      </c>
      <c r="O649" s="26">
        <v>0.3</v>
      </c>
      <c r="P649" s="81" t="s">
        <v>1595</v>
      </c>
      <c r="Q649" s="26">
        <v>0.67</v>
      </c>
      <c r="R649" s="84">
        <v>0.44</v>
      </c>
    </row>
    <row r="650" ht="14.25" customHeight="1">
      <c r="A650" s="83" t="s">
        <v>1179</v>
      </c>
      <c r="B650" s="102">
        <v>1.661872713289E12</v>
      </c>
      <c r="C650" s="78" t="s">
        <v>1395</v>
      </c>
      <c r="D650" s="78" t="s">
        <v>1396</v>
      </c>
      <c r="E650" s="19" t="s">
        <v>2176</v>
      </c>
      <c r="F650" s="19" t="s">
        <v>1398</v>
      </c>
      <c r="G650" s="23">
        <v>4461.0</v>
      </c>
      <c r="H650" s="26">
        <v>0.42</v>
      </c>
      <c r="I650" s="21">
        <v>3180.0</v>
      </c>
      <c r="J650" s="19" t="s">
        <v>1604</v>
      </c>
      <c r="K650" s="101" t="s">
        <v>1686</v>
      </c>
      <c r="L650" s="21">
        <v>11759.0</v>
      </c>
      <c r="M650" s="21">
        <v>7641.0</v>
      </c>
      <c r="N650" s="26">
        <v>0.3</v>
      </c>
      <c r="O650" s="26">
        <v>0.3</v>
      </c>
      <c r="P650" s="81" t="s">
        <v>1595</v>
      </c>
      <c r="Q650" s="26">
        <v>0.59</v>
      </c>
      <c r="R650" s="84">
        <v>0.36</v>
      </c>
    </row>
    <row r="651" ht="14.25" customHeight="1">
      <c r="A651" s="83" t="s">
        <v>1179</v>
      </c>
      <c r="B651" s="102">
        <v>1.659991481176E12</v>
      </c>
      <c r="C651" s="78" t="s">
        <v>1395</v>
      </c>
      <c r="D651" s="78" t="s">
        <v>1399</v>
      </c>
      <c r="E651" s="19" t="s">
        <v>2177</v>
      </c>
      <c r="F651" s="19" t="s">
        <v>2178</v>
      </c>
      <c r="G651" s="23">
        <v>4000.0</v>
      </c>
      <c r="H651" s="26">
        <v>0.32</v>
      </c>
      <c r="I651" s="21">
        <v>1876.0</v>
      </c>
      <c r="J651" s="19" t="s">
        <v>1604</v>
      </c>
      <c r="K651" s="101" t="s">
        <v>1618</v>
      </c>
      <c r="L651" s="21">
        <v>11759.0</v>
      </c>
      <c r="M651" s="21">
        <v>5876.0</v>
      </c>
      <c r="N651" s="26">
        <v>0.3</v>
      </c>
      <c r="O651" s="26">
        <v>0.3</v>
      </c>
      <c r="P651" s="83" t="s">
        <v>134</v>
      </c>
      <c r="Q651" s="26">
        <v>0.52</v>
      </c>
      <c r="R651" s="84">
        <v>0.29</v>
      </c>
    </row>
    <row r="652" ht="14.25" customHeight="1">
      <c r="A652" s="83" t="s">
        <v>1179</v>
      </c>
      <c r="B652" s="102">
        <v>1.661872956577E12</v>
      </c>
      <c r="C652" s="78" t="s">
        <v>1395</v>
      </c>
      <c r="D652" s="78" t="s">
        <v>1399</v>
      </c>
      <c r="E652" s="19" t="s">
        <v>1407</v>
      </c>
      <c r="F652" s="19" t="s">
        <v>2179</v>
      </c>
      <c r="G652" s="23">
        <v>10633.0</v>
      </c>
      <c r="H652" s="26">
        <v>0.4</v>
      </c>
      <c r="I652" s="21">
        <v>7008.0</v>
      </c>
      <c r="J652" s="19" t="s">
        <v>1608</v>
      </c>
      <c r="K652" s="101" t="s">
        <v>1603</v>
      </c>
      <c r="L652" s="21">
        <v>23524.0</v>
      </c>
      <c r="M652" s="21">
        <v>17641.0</v>
      </c>
      <c r="N652" s="26">
        <v>0.3</v>
      </c>
      <c r="O652" s="26">
        <v>0.3</v>
      </c>
      <c r="P652" s="81" t="s">
        <v>1595</v>
      </c>
      <c r="Q652" s="26">
        <v>0.58</v>
      </c>
      <c r="R652" s="84">
        <v>0.35</v>
      </c>
    </row>
    <row r="653" ht="14.25" customHeight="1">
      <c r="A653" s="83" t="s">
        <v>1179</v>
      </c>
      <c r="B653" s="102" t="s">
        <v>1401</v>
      </c>
      <c r="C653" s="78" t="s">
        <v>1395</v>
      </c>
      <c r="D653" s="78" t="s">
        <v>1399</v>
      </c>
      <c r="E653" s="19" t="s">
        <v>1400</v>
      </c>
      <c r="F653" s="19" t="s">
        <v>1400</v>
      </c>
      <c r="G653" s="23">
        <v>2035.0</v>
      </c>
      <c r="H653" s="26">
        <v>0.73</v>
      </c>
      <c r="I653" s="21">
        <v>5606.0</v>
      </c>
      <c r="J653" s="19" t="s">
        <v>1686</v>
      </c>
      <c r="K653" s="101" t="s">
        <v>1686</v>
      </c>
      <c r="L653" s="21">
        <v>7641.0</v>
      </c>
      <c r="M653" s="21">
        <v>7641.0</v>
      </c>
      <c r="N653" s="26">
        <v>0.3</v>
      </c>
      <c r="O653" s="26">
        <v>0.3</v>
      </c>
      <c r="P653" s="83" t="s">
        <v>134</v>
      </c>
      <c r="Q653" s="26">
        <v>0.81</v>
      </c>
      <c r="R653" s="84">
        <v>0.58</v>
      </c>
    </row>
    <row r="654" ht="14.25" customHeight="1">
      <c r="A654" s="83" t="s">
        <v>1179</v>
      </c>
      <c r="B654" s="102" t="s">
        <v>1403</v>
      </c>
      <c r="C654" s="78" t="s">
        <v>1395</v>
      </c>
      <c r="D654" s="78" t="s">
        <v>1399</v>
      </c>
      <c r="E654" s="19" t="s">
        <v>1402</v>
      </c>
      <c r="F654" s="19" t="s">
        <v>1402</v>
      </c>
      <c r="G654" s="23">
        <v>1909.0</v>
      </c>
      <c r="H654" s="26">
        <v>0.75</v>
      </c>
      <c r="I654" s="21">
        <v>5732.0</v>
      </c>
      <c r="J654" s="19" t="s">
        <v>1686</v>
      </c>
      <c r="K654" s="101" t="s">
        <v>1686</v>
      </c>
      <c r="L654" s="21">
        <v>7641.0</v>
      </c>
      <c r="M654" s="21">
        <v>7641.0</v>
      </c>
      <c r="N654" s="26">
        <v>0.3</v>
      </c>
      <c r="O654" s="26">
        <v>0.3</v>
      </c>
      <c r="P654" s="81" t="s">
        <v>1595</v>
      </c>
      <c r="Q654" s="26">
        <v>0.83</v>
      </c>
      <c r="R654" s="84">
        <v>0.6</v>
      </c>
    </row>
    <row r="655" ht="14.25" customHeight="1">
      <c r="A655" s="83" t="s">
        <v>1179</v>
      </c>
      <c r="B655" s="102" t="s">
        <v>1405</v>
      </c>
      <c r="C655" s="78" t="s">
        <v>1395</v>
      </c>
      <c r="D655" s="78" t="s">
        <v>1399</v>
      </c>
      <c r="E655" s="19" t="s">
        <v>1404</v>
      </c>
      <c r="F655" s="19" t="s">
        <v>1404</v>
      </c>
      <c r="G655" s="23">
        <v>1903.0</v>
      </c>
      <c r="H655" s="26">
        <v>0.75</v>
      </c>
      <c r="I655" s="21">
        <v>5738.0</v>
      </c>
      <c r="J655" s="19" t="s">
        <v>1686</v>
      </c>
      <c r="K655" s="101" t="s">
        <v>1686</v>
      </c>
      <c r="L655" s="21">
        <v>7641.0</v>
      </c>
      <c r="M655" s="21">
        <v>7641.0</v>
      </c>
      <c r="N655" s="26">
        <v>0.3</v>
      </c>
      <c r="O655" s="26">
        <v>0.3</v>
      </c>
      <c r="P655" s="83" t="s">
        <v>134</v>
      </c>
      <c r="Q655" s="26">
        <v>0.83</v>
      </c>
      <c r="R655" s="84">
        <v>0.6</v>
      </c>
    </row>
    <row r="656" ht="14.25" customHeight="1">
      <c r="A656" s="83" t="s">
        <v>1179</v>
      </c>
      <c r="B656" s="102" t="s">
        <v>1410</v>
      </c>
      <c r="C656" s="78" t="s">
        <v>1395</v>
      </c>
      <c r="D656" s="78" t="s">
        <v>1408</v>
      </c>
      <c r="E656" s="19" t="s">
        <v>1409</v>
      </c>
      <c r="F656" s="19" t="s">
        <v>2180</v>
      </c>
      <c r="G656" s="23">
        <v>11026.0</v>
      </c>
      <c r="H656" s="26">
        <v>0.46</v>
      </c>
      <c r="I656" s="21">
        <v>9556.0</v>
      </c>
      <c r="J656" s="19" t="s">
        <v>1608</v>
      </c>
      <c r="K656" s="101" t="s">
        <v>1714</v>
      </c>
      <c r="L656" s="21">
        <v>23524.0</v>
      </c>
      <c r="M656" s="21">
        <v>20582.0</v>
      </c>
      <c r="N656" s="26">
        <v>0.3</v>
      </c>
      <c r="O656" s="26">
        <v>0.3</v>
      </c>
      <c r="P656" s="83" t="s">
        <v>134</v>
      </c>
      <c r="Q656" s="26">
        <v>0.63</v>
      </c>
      <c r="R656" s="84">
        <v>0.4</v>
      </c>
    </row>
    <row r="657" ht="14.25" customHeight="1">
      <c r="A657" s="83" t="s">
        <v>1179</v>
      </c>
      <c r="B657" s="102" t="s">
        <v>1412</v>
      </c>
      <c r="C657" s="78" t="s">
        <v>1395</v>
      </c>
      <c r="D657" s="78" t="s">
        <v>1408</v>
      </c>
      <c r="E657" s="19" t="s">
        <v>1411</v>
      </c>
      <c r="F657" s="19" t="s">
        <v>2181</v>
      </c>
      <c r="G657" s="23">
        <v>13680.0</v>
      </c>
      <c r="H657" s="26">
        <v>0.42</v>
      </c>
      <c r="I657" s="21">
        <v>9844.0</v>
      </c>
      <c r="J657" s="19" t="s">
        <v>1606</v>
      </c>
      <c r="K657" s="101" t="s">
        <v>1608</v>
      </c>
      <c r="L657" s="21">
        <v>29406.0</v>
      </c>
      <c r="M657" s="21">
        <v>23524.0</v>
      </c>
      <c r="N657" s="26">
        <v>0.3</v>
      </c>
      <c r="O657" s="26">
        <v>0.3</v>
      </c>
      <c r="P657" s="83" t="s">
        <v>134</v>
      </c>
      <c r="Q657" s="26">
        <v>0.59</v>
      </c>
      <c r="R657" s="84">
        <v>0.36</v>
      </c>
    </row>
    <row r="658" ht="14.25" customHeight="1">
      <c r="A658" s="83" t="s">
        <v>1179</v>
      </c>
      <c r="B658" s="102" t="s">
        <v>1414</v>
      </c>
      <c r="C658" s="78" t="s">
        <v>1395</v>
      </c>
      <c r="D658" s="78" t="s">
        <v>1408</v>
      </c>
      <c r="E658" s="19" t="s">
        <v>1413</v>
      </c>
      <c r="F658" s="19" t="s">
        <v>2182</v>
      </c>
      <c r="G658" s="23">
        <v>18258.0</v>
      </c>
      <c r="H658" s="26">
        <v>0.41</v>
      </c>
      <c r="I658" s="21">
        <v>12913.0</v>
      </c>
      <c r="J658" s="19" t="s">
        <v>1599</v>
      </c>
      <c r="K658" s="101" t="s">
        <v>2183</v>
      </c>
      <c r="L658" s="21">
        <v>41171.0</v>
      </c>
      <c r="M658" s="21">
        <v>31171.0</v>
      </c>
      <c r="N658" s="26">
        <v>0.3</v>
      </c>
      <c r="O658" s="26">
        <v>0.3</v>
      </c>
      <c r="P658" s="81" t="s">
        <v>1595</v>
      </c>
      <c r="Q658" s="26">
        <v>0.59</v>
      </c>
      <c r="R658" s="84">
        <v>0.36</v>
      </c>
    </row>
    <row r="659" ht="14.25" customHeight="1">
      <c r="A659" s="83" t="s">
        <v>1179</v>
      </c>
      <c r="B659" s="83" t="s">
        <v>1416</v>
      </c>
      <c r="C659" s="78" t="s">
        <v>1395</v>
      </c>
      <c r="D659" s="78" t="s">
        <v>1408</v>
      </c>
      <c r="E659" s="83" t="s">
        <v>1415</v>
      </c>
      <c r="F659" s="19" t="s">
        <v>2184</v>
      </c>
      <c r="G659" s="23">
        <v>21561.0</v>
      </c>
      <c r="H659" s="26">
        <v>0.42</v>
      </c>
      <c r="I659" s="21">
        <v>15492.0</v>
      </c>
      <c r="J659" s="19" t="s">
        <v>1697</v>
      </c>
      <c r="K659" s="101" t="s">
        <v>2185</v>
      </c>
      <c r="L659" s="21">
        <v>47053.0</v>
      </c>
      <c r="M659" s="21">
        <v>37053.0</v>
      </c>
      <c r="N659" s="26">
        <v>0.3</v>
      </c>
      <c r="O659" s="26">
        <v>0.3</v>
      </c>
      <c r="P659" s="81" t="s">
        <v>1595</v>
      </c>
      <c r="Q659" s="26">
        <v>0.59</v>
      </c>
      <c r="R659" s="84">
        <v>0.36</v>
      </c>
    </row>
    <row r="660" ht="14.25" customHeight="1">
      <c r="A660" s="83" t="s">
        <v>1179</v>
      </c>
      <c r="B660" s="83" t="s">
        <v>1418</v>
      </c>
      <c r="C660" s="83" t="s">
        <v>1395</v>
      </c>
      <c r="D660" s="83" t="s">
        <v>1408</v>
      </c>
      <c r="E660" s="83" t="s">
        <v>1417</v>
      </c>
      <c r="F660" s="19" t="s">
        <v>1417</v>
      </c>
      <c r="G660" s="23">
        <v>13749.0</v>
      </c>
      <c r="H660" s="84">
        <v>0.42</v>
      </c>
      <c r="I660" s="86">
        <v>9775.0</v>
      </c>
      <c r="J660" s="19" t="s">
        <v>1594</v>
      </c>
      <c r="K660" s="101" t="s">
        <v>1608</v>
      </c>
      <c r="L660" s="86">
        <v>35288.0</v>
      </c>
      <c r="M660" s="86">
        <v>23524.0</v>
      </c>
      <c r="N660" s="84">
        <v>0.3</v>
      </c>
      <c r="O660" s="84">
        <v>0.3</v>
      </c>
      <c r="P660" s="81" t="s">
        <v>1595</v>
      </c>
      <c r="Q660" s="84">
        <v>0.59</v>
      </c>
      <c r="R660" s="84">
        <v>0.36</v>
      </c>
    </row>
    <row r="661" ht="14.25" customHeight="1">
      <c r="A661" s="83" t="s">
        <v>1179</v>
      </c>
      <c r="B661" s="83" t="s">
        <v>1420</v>
      </c>
      <c r="C661" s="83" t="s">
        <v>1395</v>
      </c>
      <c r="D661" s="83" t="s">
        <v>1408</v>
      </c>
      <c r="E661" s="83" t="s">
        <v>1419</v>
      </c>
      <c r="F661" s="19" t="s">
        <v>1419</v>
      </c>
      <c r="G661" s="92">
        <v>18709.0</v>
      </c>
      <c r="H661" s="84">
        <v>0.47</v>
      </c>
      <c r="I661" s="86">
        <v>16579.0</v>
      </c>
      <c r="J661" s="19" t="s">
        <v>1697</v>
      </c>
      <c r="K661" s="101" t="s">
        <v>1594</v>
      </c>
      <c r="L661" s="86">
        <v>47053.0</v>
      </c>
      <c r="M661" s="86">
        <v>35288.0</v>
      </c>
      <c r="N661" s="84">
        <v>0.3</v>
      </c>
      <c r="O661" s="84">
        <v>0.3</v>
      </c>
      <c r="P661" s="99" t="s">
        <v>193</v>
      </c>
      <c r="Q661" s="84">
        <v>0.63</v>
      </c>
      <c r="R661" s="84">
        <v>0.4</v>
      </c>
    </row>
    <row r="662" ht="14.25" customHeight="1">
      <c r="A662" s="83" t="s">
        <v>1179</v>
      </c>
      <c r="B662" s="102" t="s">
        <v>1423</v>
      </c>
      <c r="C662" s="78" t="s">
        <v>1395</v>
      </c>
      <c r="D662" s="78" t="s">
        <v>1421</v>
      </c>
      <c r="E662" s="19" t="s">
        <v>1422</v>
      </c>
      <c r="F662" s="19" t="s">
        <v>2186</v>
      </c>
      <c r="G662" s="23">
        <v>1430.0</v>
      </c>
      <c r="H662" s="26">
        <v>0.51</v>
      </c>
      <c r="I662" s="21">
        <v>1505.0</v>
      </c>
      <c r="J662" s="19" t="s">
        <v>1618</v>
      </c>
      <c r="K662" s="101" t="s">
        <v>1934</v>
      </c>
      <c r="L662" s="21">
        <v>5876.0</v>
      </c>
      <c r="M662" s="21">
        <v>2935.0</v>
      </c>
      <c r="N662" s="26">
        <v>0.3</v>
      </c>
      <c r="O662" s="26">
        <v>0.3</v>
      </c>
      <c r="P662" s="81" t="s">
        <v>1595</v>
      </c>
      <c r="Q662" s="26">
        <v>0.66</v>
      </c>
      <c r="R662" s="84">
        <v>0.43</v>
      </c>
    </row>
    <row r="663" ht="14.25" customHeight="1">
      <c r="A663" s="83" t="s">
        <v>1179</v>
      </c>
      <c r="B663" s="102" t="s">
        <v>1425</v>
      </c>
      <c r="C663" s="78" t="s">
        <v>1395</v>
      </c>
      <c r="D663" s="78" t="s">
        <v>1421</v>
      </c>
      <c r="E663" s="19" t="s">
        <v>1424</v>
      </c>
      <c r="F663" s="19" t="s">
        <v>2187</v>
      </c>
      <c r="G663" s="23">
        <v>2335.0</v>
      </c>
      <c r="H663" s="26">
        <v>0.6</v>
      </c>
      <c r="I663" s="21">
        <v>3541.0</v>
      </c>
      <c r="J663" s="19" t="s">
        <v>1605</v>
      </c>
      <c r="K663" s="101" t="s">
        <v>1618</v>
      </c>
      <c r="L663" s="21">
        <v>8818.0</v>
      </c>
      <c r="M663" s="21">
        <v>5876.0</v>
      </c>
      <c r="N663" s="26">
        <v>0.3</v>
      </c>
      <c r="O663" s="26">
        <v>0.3</v>
      </c>
      <c r="P663" s="81" t="s">
        <v>1595</v>
      </c>
      <c r="Q663" s="26">
        <v>0.72</v>
      </c>
      <c r="R663" s="84">
        <v>0.49</v>
      </c>
    </row>
    <row r="664" ht="14.25" customHeight="1">
      <c r="A664" s="83" t="s">
        <v>1179</v>
      </c>
      <c r="B664" s="102" t="s">
        <v>1427</v>
      </c>
      <c r="C664" s="78" t="s">
        <v>1395</v>
      </c>
      <c r="D664" s="78" t="s">
        <v>1421</v>
      </c>
      <c r="E664" s="19" t="s">
        <v>1426</v>
      </c>
      <c r="F664" s="19" t="s">
        <v>2188</v>
      </c>
      <c r="G664" s="23">
        <v>2242.0</v>
      </c>
      <c r="H664" s="26">
        <v>0.52</v>
      </c>
      <c r="I664" s="21">
        <v>2458.0</v>
      </c>
      <c r="J664" s="19" t="s">
        <v>1605</v>
      </c>
      <c r="K664" s="101" t="s">
        <v>1734</v>
      </c>
      <c r="L664" s="21">
        <v>8818.0</v>
      </c>
      <c r="M664" s="21">
        <v>4700.0</v>
      </c>
      <c r="N664" s="26">
        <v>0.3</v>
      </c>
      <c r="O664" s="26">
        <v>0.3</v>
      </c>
      <c r="P664" s="81" t="s">
        <v>1595</v>
      </c>
      <c r="Q664" s="26">
        <v>0.67</v>
      </c>
      <c r="R664" s="84">
        <v>0.44</v>
      </c>
    </row>
    <row r="665" ht="14.25" customHeight="1">
      <c r="A665" s="83" t="s">
        <v>1179</v>
      </c>
      <c r="B665" s="102" t="s">
        <v>1429</v>
      </c>
      <c r="C665" s="78" t="s">
        <v>1395</v>
      </c>
      <c r="D665" s="78" t="s">
        <v>1421</v>
      </c>
      <c r="E665" s="19" t="s">
        <v>1428</v>
      </c>
      <c r="F665" s="19" t="s">
        <v>2189</v>
      </c>
      <c r="G665" s="23">
        <v>3799.0</v>
      </c>
      <c r="H665" s="26">
        <v>0.28</v>
      </c>
      <c r="I665" s="21">
        <v>1489.0</v>
      </c>
      <c r="J665" s="19" t="s">
        <v>1604</v>
      </c>
      <c r="K665" s="101" t="s">
        <v>1682</v>
      </c>
      <c r="L665" s="21">
        <v>11759.0</v>
      </c>
      <c r="M665" s="21">
        <v>5288.0</v>
      </c>
      <c r="N665" s="26">
        <v>0.3</v>
      </c>
      <c r="O665" s="26">
        <v>0.3</v>
      </c>
      <c r="P665" s="81" t="s">
        <v>1595</v>
      </c>
      <c r="Q665" s="26">
        <v>0.5</v>
      </c>
      <c r="R665" s="84">
        <v>0.27</v>
      </c>
    </row>
    <row r="666" ht="14.25" customHeight="1">
      <c r="A666" s="83" t="s">
        <v>1179</v>
      </c>
      <c r="B666" s="102" t="s">
        <v>1431</v>
      </c>
      <c r="C666" s="78" t="s">
        <v>1395</v>
      </c>
      <c r="D666" s="78" t="s">
        <v>1421</v>
      </c>
      <c r="E666" s="19" t="s">
        <v>1430</v>
      </c>
      <c r="F666" s="19" t="s">
        <v>2190</v>
      </c>
      <c r="G666" s="23">
        <v>3539.0</v>
      </c>
      <c r="H666" s="26">
        <v>0.33</v>
      </c>
      <c r="I666" s="21">
        <v>1749.0</v>
      </c>
      <c r="J666" s="19" t="s">
        <v>1604</v>
      </c>
      <c r="K666" s="101" t="s">
        <v>1682</v>
      </c>
      <c r="L666" s="21">
        <v>11759.0</v>
      </c>
      <c r="M666" s="21">
        <v>5288.0</v>
      </c>
      <c r="N666" s="26">
        <v>0.3</v>
      </c>
      <c r="O666" s="26">
        <v>0.3</v>
      </c>
      <c r="P666" s="81" t="s">
        <v>1595</v>
      </c>
      <c r="Q666" s="26">
        <v>0.53</v>
      </c>
      <c r="R666" s="84">
        <v>0.3</v>
      </c>
    </row>
    <row r="667" ht="14.25" customHeight="1">
      <c r="A667" s="83" t="s">
        <v>1179</v>
      </c>
      <c r="B667" s="102" t="s">
        <v>1433</v>
      </c>
      <c r="C667" s="78" t="s">
        <v>1395</v>
      </c>
      <c r="D667" s="78" t="s">
        <v>1421</v>
      </c>
      <c r="E667" s="19" t="s">
        <v>2191</v>
      </c>
      <c r="F667" s="19" t="s">
        <v>2192</v>
      </c>
      <c r="G667" s="23">
        <v>1456.0</v>
      </c>
      <c r="H667" s="26">
        <v>0.75</v>
      </c>
      <c r="I667" s="21">
        <v>4421.0</v>
      </c>
      <c r="J667" s="19" t="s">
        <v>1618</v>
      </c>
      <c r="K667" s="101" t="s">
        <v>1618</v>
      </c>
      <c r="L667" s="21">
        <v>5876.0</v>
      </c>
      <c r="M667" s="21">
        <v>5876.0</v>
      </c>
      <c r="N667" s="26">
        <v>0.3</v>
      </c>
      <c r="O667" s="26">
        <v>0.3</v>
      </c>
      <c r="P667" s="81" t="s">
        <v>1595</v>
      </c>
      <c r="Q667" s="26">
        <v>0.83</v>
      </c>
      <c r="R667" s="84">
        <v>0.6</v>
      </c>
    </row>
    <row r="668" ht="14.25" customHeight="1">
      <c r="A668" s="83" t="s">
        <v>1179</v>
      </c>
      <c r="B668" s="102" t="s">
        <v>1435</v>
      </c>
      <c r="C668" s="78" t="s">
        <v>1395</v>
      </c>
      <c r="D668" s="78" t="s">
        <v>1421</v>
      </c>
      <c r="E668" s="19" t="s">
        <v>2193</v>
      </c>
      <c r="F668" s="19" t="s">
        <v>2194</v>
      </c>
      <c r="G668" s="23">
        <v>1476.0</v>
      </c>
      <c r="H668" s="26">
        <v>0.75</v>
      </c>
      <c r="I668" s="21">
        <v>4401.0</v>
      </c>
      <c r="J668" s="19" t="s">
        <v>1618</v>
      </c>
      <c r="K668" s="101" t="s">
        <v>1618</v>
      </c>
      <c r="L668" s="21">
        <v>5876.0</v>
      </c>
      <c r="M668" s="21">
        <v>5876.0</v>
      </c>
      <c r="N668" s="26">
        <v>0.3</v>
      </c>
      <c r="O668" s="26">
        <v>0.3</v>
      </c>
      <c r="P668" s="81" t="s">
        <v>1595</v>
      </c>
      <c r="Q668" s="26">
        <v>0.82</v>
      </c>
      <c r="R668" s="84">
        <v>0.59</v>
      </c>
    </row>
    <row r="669" ht="14.25" customHeight="1">
      <c r="A669" s="83" t="s">
        <v>1475</v>
      </c>
      <c r="B669" s="19" t="s">
        <v>1479</v>
      </c>
      <c r="C669" s="78" t="s">
        <v>1476</v>
      </c>
      <c r="D669" s="78" t="s">
        <v>1477</v>
      </c>
      <c r="E669" s="19" t="s">
        <v>1478</v>
      </c>
      <c r="F669" s="19" t="s">
        <v>2195</v>
      </c>
      <c r="G669" s="23">
        <v>8793.0</v>
      </c>
      <c r="H669" s="26">
        <v>0.5</v>
      </c>
      <c r="I669" s="21">
        <v>8848.0</v>
      </c>
      <c r="J669" s="19" t="s">
        <v>1594</v>
      </c>
      <c r="K669" s="101" t="s">
        <v>1603</v>
      </c>
      <c r="L669" s="21">
        <v>35288.0</v>
      </c>
      <c r="M669" s="21">
        <v>17641.0</v>
      </c>
      <c r="N669" s="26">
        <v>0.3</v>
      </c>
      <c r="O669" s="26">
        <v>0.3</v>
      </c>
      <c r="P669" s="81" t="s">
        <v>1595</v>
      </c>
      <c r="Q669" s="26">
        <v>0.65</v>
      </c>
      <c r="R669" s="84">
        <v>0.42</v>
      </c>
    </row>
    <row r="670" ht="14.25" customHeight="1">
      <c r="A670" s="83" t="s">
        <v>1475</v>
      </c>
      <c r="B670" s="19" t="s">
        <v>1482</v>
      </c>
      <c r="C670" s="78" t="s">
        <v>1476</v>
      </c>
      <c r="D670" s="78" t="s">
        <v>1480</v>
      </c>
      <c r="E670" s="19" t="s">
        <v>1481</v>
      </c>
      <c r="F670" s="19" t="s">
        <v>2196</v>
      </c>
      <c r="G670" s="23">
        <v>21679.0</v>
      </c>
      <c r="H670" s="26">
        <v>0.51</v>
      </c>
      <c r="I670" s="21">
        <v>22432.0</v>
      </c>
      <c r="J670" s="19" t="s">
        <v>1597</v>
      </c>
      <c r="K670" s="101" t="s">
        <v>1664</v>
      </c>
      <c r="L670" s="21">
        <v>70582.0</v>
      </c>
      <c r="M670" s="21">
        <v>44112.0</v>
      </c>
      <c r="N670" s="26">
        <v>0.3</v>
      </c>
      <c r="O670" s="26">
        <v>0.3</v>
      </c>
      <c r="P670" s="81" t="s">
        <v>1595</v>
      </c>
      <c r="Q670" s="26">
        <v>0.66</v>
      </c>
      <c r="R670" s="84">
        <v>0.43</v>
      </c>
    </row>
    <row r="671" ht="14.25" customHeight="1">
      <c r="A671" s="83" t="s">
        <v>1475</v>
      </c>
      <c r="B671" s="83" t="s">
        <v>2197</v>
      </c>
      <c r="C671" s="83" t="s">
        <v>1476</v>
      </c>
      <c r="D671" s="83" t="s">
        <v>1480</v>
      </c>
      <c r="E671" s="83" t="s">
        <v>2198</v>
      </c>
      <c r="F671" s="19" t="s">
        <v>2198</v>
      </c>
      <c r="G671" s="23">
        <v>21706.0</v>
      </c>
      <c r="H671" s="84">
        <v>0.51</v>
      </c>
      <c r="I671" s="86">
        <v>22406.0</v>
      </c>
      <c r="J671" s="19" t="s">
        <v>1597</v>
      </c>
      <c r="K671" s="101" t="s">
        <v>1664</v>
      </c>
      <c r="L671" s="86">
        <v>70582.0</v>
      </c>
      <c r="M671" s="86">
        <v>44112.0</v>
      </c>
      <c r="N671" s="84">
        <v>0.3</v>
      </c>
      <c r="O671" s="84">
        <v>0.3</v>
      </c>
      <c r="P671" s="81" t="s">
        <v>1595</v>
      </c>
      <c r="Q671" s="84">
        <v>0.66</v>
      </c>
      <c r="R671" s="84">
        <v>0.43</v>
      </c>
    </row>
    <row r="672" ht="14.25" customHeight="1">
      <c r="A672" s="83" t="s">
        <v>1503</v>
      </c>
      <c r="B672" s="83" t="s">
        <v>1555</v>
      </c>
      <c r="C672" s="83" t="s">
        <v>598</v>
      </c>
      <c r="D672" s="83" t="s">
        <v>2199</v>
      </c>
      <c r="E672" s="83" t="s">
        <v>1554</v>
      </c>
      <c r="F672" s="19" t="s">
        <v>1554</v>
      </c>
      <c r="G672" s="23">
        <v>1967.0</v>
      </c>
      <c r="H672" s="84">
        <v>0.67</v>
      </c>
      <c r="I672" s="86">
        <v>3909.0</v>
      </c>
      <c r="J672" s="19" t="s">
        <v>1686</v>
      </c>
      <c r="K672" s="101" t="s">
        <v>1618</v>
      </c>
      <c r="L672" s="86">
        <v>7641.0</v>
      </c>
      <c r="M672" s="86">
        <v>5876.0</v>
      </c>
      <c r="N672" s="84">
        <v>0.3</v>
      </c>
      <c r="O672" s="84">
        <v>0.3</v>
      </c>
      <c r="P672" s="81" t="s">
        <v>1595</v>
      </c>
      <c r="Q672" s="84">
        <v>0.77</v>
      </c>
      <c r="R672" s="84">
        <v>0.54</v>
      </c>
    </row>
    <row r="673" ht="14.25" customHeight="1">
      <c r="A673" s="83" t="s">
        <v>1503</v>
      </c>
      <c r="B673" s="83" t="s">
        <v>1557</v>
      </c>
      <c r="C673" s="83" t="s">
        <v>598</v>
      </c>
      <c r="D673" s="83" t="s">
        <v>2199</v>
      </c>
      <c r="E673" s="83" t="s">
        <v>1556</v>
      </c>
      <c r="F673" s="19" t="s">
        <v>1556</v>
      </c>
      <c r="G673" s="23">
        <v>1967.0</v>
      </c>
      <c r="H673" s="84">
        <v>0.67</v>
      </c>
      <c r="I673" s="86">
        <v>3909.0</v>
      </c>
      <c r="J673" s="19" t="s">
        <v>1686</v>
      </c>
      <c r="K673" s="101" t="s">
        <v>1618</v>
      </c>
      <c r="L673" s="86">
        <v>7641.0</v>
      </c>
      <c r="M673" s="86">
        <v>5876.0</v>
      </c>
      <c r="N673" s="84">
        <v>0.3</v>
      </c>
      <c r="O673" s="84">
        <v>0.3</v>
      </c>
      <c r="P673" s="81" t="s">
        <v>1595</v>
      </c>
      <c r="Q673" s="84">
        <v>0.77</v>
      </c>
      <c r="R673" s="84">
        <v>0.54</v>
      </c>
    </row>
    <row r="674" ht="14.25" customHeight="1">
      <c r="A674" s="83" t="s">
        <v>1503</v>
      </c>
      <c r="B674" s="83" t="s">
        <v>1559</v>
      </c>
      <c r="C674" s="83" t="s">
        <v>598</v>
      </c>
      <c r="D674" s="83" t="s">
        <v>2199</v>
      </c>
      <c r="E674" s="83" t="s">
        <v>1558</v>
      </c>
      <c r="F674" s="19" t="s">
        <v>1558</v>
      </c>
      <c r="G674" s="23">
        <v>1967.0</v>
      </c>
      <c r="H674" s="84">
        <v>0.67</v>
      </c>
      <c r="I674" s="86">
        <v>3909.0</v>
      </c>
      <c r="J674" s="19" t="s">
        <v>1686</v>
      </c>
      <c r="K674" s="101" t="s">
        <v>1618</v>
      </c>
      <c r="L674" s="86">
        <v>7641.0</v>
      </c>
      <c r="M674" s="86">
        <v>5876.0</v>
      </c>
      <c r="N674" s="84">
        <v>0.3</v>
      </c>
      <c r="O674" s="84">
        <v>0.3</v>
      </c>
      <c r="P674" s="81" t="s">
        <v>1595</v>
      </c>
      <c r="Q674" s="84">
        <v>0.77</v>
      </c>
      <c r="R674" s="84">
        <v>0.54</v>
      </c>
    </row>
    <row r="675" ht="14.25" customHeight="1">
      <c r="A675" s="83" t="s">
        <v>1503</v>
      </c>
      <c r="B675" s="83" t="s">
        <v>1561</v>
      </c>
      <c r="C675" s="83" t="s">
        <v>598</v>
      </c>
      <c r="D675" s="83" t="s">
        <v>2199</v>
      </c>
      <c r="E675" s="83" t="s">
        <v>1560</v>
      </c>
      <c r="F675" s="19" t="s">
        <v>1560</v>
      </c>
      <c r="G675" s="23">
        <v>1967.0</v>
      </c>
      <c r="H675" s="84">
        <v>0.67</v>
      </c>
      <c r="I675" s="86">
        <v>3909.0</v>
      </c>
      <c r="J675" s="19" t="s">
        <v>1686</v>
      </c>
      <c r="K675" s="101" t="s">
        <v>1618</v>
      </c>
      <c r="L675" s="86">
        <v>7641.0</v>
      </c>
      <c r="M675" s="86">
        <v>5876.0</v>
      </c>
      <c r="N675" s="84">
        <v>0.3</v>
      </c>
      <c r="O675" s="84">
        <v>0.3</v>
      </c>
      <c r="P675" s="81" t="s">
        <v>1595</v>
      </c>
      <c r="Q675" s="84">
        <v>0.77</v>
      </c>
      <c r="R675" s="84">
        <v>0.54</v>
      </c>
    </row>
    <row r="676" ht="14.25" customHeight="1">
      <c r="A676" s="83" t="s">
        <v>1503</v>
      </c>
      <c r="B676" s="83" t="s">
        <v>1505</v>
      </c>
      <c r="C676" s="83" t="s">
        <v>598</v>
      </c>
      <c r="D676" s="83" t="s">
        <v>599</v>
      </c>
      <c r="E676" s="83" t="s">
        <v>1504</v>
      </c>
      <c r="F676" s="19" t="s">
        <v>1504</v>
      </c>
      <c r="G676" s="23">
        <v>3389.0</v>
      </c>
      <c r="H676" s="84">
        <v>0.66</v>
      </c>
      <c r="I676" s="86">
        <v>6605.0</v>
      </c>
      <c r="J676" s="19" t="s">
        <v>1604</v>
      </c>
      <c r="K676" s="101" t="s">
        <v>1602</v>
      </c>
      <c r="L676" s="86">
        <v>11759.0</v>
      </c>
      <c r="M676" s="86">
        <v>9994.0</v>
      </c>
      <c r="N676" s="84">
        <v>0.3</v>
      </c>
      <c r="O676" s="84">
        <v>0.3</v>
      </c>
      <c r="P676" s="81" t="s">
        <v>1595</v>
      </c>
      <c r="Q676" s="84">
        <v>0.76</v>
      </c>
      <c r="R676" s="84">
        <v>0.53</v>
      </c>
    </row>
    <row r="677" ht="14.25" customHeight="1">
      <c r="A677" s="83" t="s">
        <v>1503</v>
      </c>
      <c r="B677" s="83" t="s">
        <v>1507</v>
      </c>
      <c r="C677" s="83" t="s">
        <v>598</v>
      </c>
      <c r="D677" s="83" t="s">
        <v>599</v>
      </c>
      <c r="E677" s="83" t="s">
        <v>1506</v>
      </c>
      <c r="F677" s="19" t="s">
        <v>1506</v>
      </c>
      <c r="G677" s="23">
        <v>3389.0</v>
      </c>
      <c r="H677" s="84">
        <v>0.66</v>
      </c>
      <c r="I677" s="86">
        <v>6605.0</v>
      </c>
      <c r="J677" s="19" t="s">
        <v>1604</v>
      </c>
      <c r="K677" s="101" t="s">
        <v>1602</v>
      </c>
      <c r="L677" s="86">
        <v>11759.0</v>
      </c>
      <c r="M677" s="86">
        <v>9994.0</v>
      </c>
      <c r="N677" s="84">
        <v>0.3</v>
      </c>
      <c r="O677" s="84">
        <v>0.3</v>
      </c>
      <c r="P677" s="81" t="s">
        <v>1595</v>
      </c>
      <c r="Q677" s="84">
        <v>0.76</v>
      </c>
      <c r="R677" s="84">
        <v>0.53</v>
      </c>
    </row>
    <row r="678" ht="14.25" customHeight="1">
      <c r="A678" s="83" t="s">
        <v>1503</v>
      </c>
      <c r="B678" s="83" t="s">
        <v>1509</v>
      </c>
      <c r="C678" s="83" t="s">
        <v>598</v>
      </c>
      <c r="D678" s="83" t="s">
        <v>599</v>
      </c>
      <c r="E678" s="83" t="s">
        <v>1508</v>
      </c>
      <c r="F678" s="19" t="s">
        <v>1508</v>
      </c>
      <c r="G678" s="23">
        <v>3389.0</v>
      </c>
      <c r="H678" s="84">
        <v>0.66</v>
      </c>
      <c r="I678" s="86">
        <v>6605.0</v>
      </c>
      <c r="J678" s="19" t="s">
        <v>1604</v>
      </c>
      <c r="K678" s="101" t="s">
        <v>1602</v>
      </c>
      <c r="L678" s="86">
        <v>11759.0</v>
      </c>
      <c r="M678" s="86">
        <v>9994.0</v>
      </c>
      <c r="N678" s="84">
        <v>0.3</v>
      </c>
      <c r="O678" s="84">
        <v>0.3</v>
      </c>
      <c r="P678" s="81" t="s">
        <v>1595</v>
      </c>
      <c r="Q678" s="84">
        <v>0.76</v>
      </c>
      <c r="R678" s="84">
        <v>0.53</v>
      </c>
    </row>
    <row r="679" ht="14.25" customHeight="1">
      <c r="A679" s="83" t="s">
        <v>1503</v>
      </c>
      <c r="B679" s="83" t="s">
        <v>1511</v>
      </c>
      <c r="C679" s="83" t="s">
        <v>598</v>
      </c>
      <c r="D679" s="83" t="s">
        <v>599</v>
      </c>
      <c r="E679" s="83" t="s">
        <v>1510</v>
      </c>
      <c r="F679" s="19" t="s">
        <v>1510</v>
      </c>
      <c r="G679" s="23">
        <v>3510.0</v>
      </c>
      <c r="H679" s="84">
        <v>0.65</v>
      </c>
      <c r="I679" s="86">
        <v>6484.0</v>
      </c>
      <c r="J679" s="19" t="s">
        <v>1604</v>
      </c>
      <c r="K679" s="101" t="s">
        <v>1602</v>
      </c>
      <c r="L679" s="86">
        <v>11759.0</v>
      </c>
      <c r="M679" s="86">
        <v>9994.0</v>
      </c>
      <c r="N679" s="84">
        <v>0.3</v>
      </c>
      <c r="O679" s="84">
        <v>0.3</v>
      </c>
      <c r="P679" s="81" t="s">
        <v>1595</v>
      </c>
      <c r="Q679" s="84">
        <v>0.75</v>
      </c>
      <c r="R679" s="84">
        <v>0.52</v>
      </c>
    </row>
    <row r="680" ht="14.25" customHeight="1">
      <c r="A680" s="83" t="s">
        <v>1503</v>
      </c>
      <c r="B680" s="83" t="s">
        <v>1513</v>
      </c>
      <c r="C680" s="83" t="s">
        <v>598</v>
      </c>
      <c r="D680" s="83" t="s">
        <v>599</v>
      </c>
      <c r="E680" s="83" t="s">
        <v>1512</v>
      </c>
      <c r="F680" s="19" t="s">
        <v>1512</v>
      </c>
      <c r="G680" s="23">
        <v>3510.0</v>
      </c>
      <c r="H680" s="84">
        <v>0.65</v>
      </c>
      <c r="I680" s="86">
        <v>6484.0</v>
      </c>
      <c r="J680" s="19" t="s">
        <v>1604</v>
      </c>
      <c r="K680" s="101" t="s">
        <v>1602</v>
      </c>
      <c r="L680" s="86">
        <v>11759.0</v>
      </c>
      <c r="M680" s="86">
        <v>9994.0</v>
      </c>
      <c r="N680" s="84">
        <v>0.3</v>
      </c>
      <c r="O680" s="84">
        <v>0.3</v>
      </c>
      <c r="P680" s="81" t="s">
        <v>1595</v>
      </c>
      <c r="Q680" s="84">
        <v>0.75</v>
      </c>
      <c r="R680" s="84">
        <v>0.52</v>
      </c>
    </row>
    <row r="681" ht="14.25" customHeight="1">
      <c r="A681" s="83" t="s">
        <v>1503</v>
      </c>
      <c r="B681" s="83" t="s">
        <v>1515</v>
      </c>
      <c r="C681" s="83" t="s">
        <v>598</v>
      </c>
      <c r="D681" s="83" t="s">
        <v>599</v>
      </c>
      <c r="E681" s="83" t="s">
        <v>1514</v>
      </c>
      <c r="F681" s="19" t="s">
        <v>1514</v>
      </c>
      <c r="G681" s="23">
        <v>3510.0</v>
      </c>
      <c r="H681" s="84">
        <v>0.65</v>
      </c>
      <c r="I681" s="86">
        <v>6484.0</v>
      </c>
      <c r="J681" s="19" t="s">
        <v>1604</v>
      </c>
      <c r="K681" s="101" t="s">
        <v>1602</v>
      </c>
      <c r="L681" s="86">
        <v>11759.0</v>
      </c>
      <c r="M681" s="86">
        <v>9994.0</v>
      </c>
      <c r="N681" s="84">
        <v>0.3</v>
      </c>
      <c r="O681" s="84">
        <v>0.3</v>
      </c>
      <c r="P681" s="81" t="s">
        <v>1595</v>
      </c>
      <c r="Q681" s="84">
        <v>0.75</v>
      </c>
      <c r="R681" s="84">
        <v>0.52</v>
      </c>
    </row>
    <row r="682" ht="14.25" customHeight="1">
      <c r="A682" s="83" t="s">
        <v>1503</v>
      </c>
      <c r="B682" s="83" t="s">
        <v>1517</v>
      </c>
      <c r="C682" s="83" t="s">
        <v>598</v>
      </c>
      <c r="D682" s="83" t="s">
        <v>599</v>
      </c>
      <c r="E682" s="83" t="s">
        <v>1516</v>
      </c>
      <c r="F682" s="19" t="s">
        <v>1516</v>
      </c>
      <c r="G682" s="23">
        <v>4434.0</v>
      </c>
      <c r="H682" s="84">
        <v>0.66</v>
      </c>
      <c r="I682" s="86">
        <v>8501.0</v>
      </c>
      <c r="J682" s="19" t="s">
        <v>1601</v>
      </c>
      <c r="K682" s="101" t="s">
        <v>1821</v>
      </c>
      <c r="L682" s="86">
        <v>14700.0</v>
      </c>
      <c r="M682" s="86">
        <v>12935.0</v>
      </c>
      <c r="N682" s="84">
        <v>0.3</v>
      </c>
      <c r="O682" s="84">
        <v>0.3</v>
      </c>
      <c r="P682" s="81" t="s">
        <v>1595</v>
      </c>
      <c r="Q682" s="84">
        <v>0.76</v>
      </c>
      <c r="R682" s="84">
        <v>0.53</v>
      </c>
    </row>
    <row r="683" ht="14.25" customHeight="1">
      <c r="A683" s="83" t="s">
        <v>1503</v>
      </c>
      <c r="B683" s="83" t="s">
        <v>1519</v>
      </c>
      <c r="C683" s="83" t="s">
        <v>598</v>
      </c>
      <c r="D683" s="83" t="s">
        <v>599</v>
      </c>
      <c r="E683" s="83" t="s">
        <v>1518</v>
      </c>
      <c r="F683" s="19" t="s">
        <v>1518</v>
      </c>
      <c r="G683" s="23">
        <v>4434.0</v>
      </c>
      <c r="H683" s="84">
        <v>0.66</v>
      </c>
      <c r="I683" s="86">
        <v>8501.0</v>
      </c>
      <c r="J683" s="19" t="s">
        <v>1601</v>
      </c>
      <c r="K683" s="101" t="s">
        <v>1821</v>
      </c>
      <c r="L683" s="86">
        <v>14700.0</v>
      </c>
      <c r="M683" s="86">
        <v>12935.0</v>
      </c>
      <c r="N683" s="84">
        <v>0.3</v>
      </c>
      <c r="O683" s="84">
        <v>0.3</v>
      </c>
      <c r="P683" s="81" t="s">
        <v>1595</v>
      </c>
      <c r="Q683" s="84">
        <v>0.76</v>
      </c>
      <c r="R683" s="84">
        <v>0.53</v>
      </c>
    </row>
    <row r="684" ht="14.25" customHeight="1">
      <c r="A684" s="83" t="s">
        <v>1503</v>
      </c>
      <c r="B684" s="83" t="s">
        <v>1521</v>
      </c>
      <c r="C684" s="83" t="s">
        <v>598</v>
      </c>
      <c r="D684" s="83" t="s">
        <v>599</v>
      </c>
      <c r="E684" s="83" t="s">
        <v>1520</v>
      </c>
      <c r="F684" s="19" t="s">
        <v>1520</v>
      </c>
      <c r="G684" s="23">
        <v>4434.0</v>
      </c>
      <c r="H684" s="84">
        <v>0.66</v>
      </c>
      <c r="I684" s="86">
        <v>8501.0</v>
      </c>
      <c r="J684" s="19" t="s">
        <v>1601</v>
      </c>
      <c r="K684" s="101" t="s">
        <v>1821</v>
      </c>
      <c r="L684" s="86">
        <v>14700.0</v>
      </c>
      <c r="M684" s="86">
        <v>12935.0</v>
      </c>
      <c r="N684" s="84">
        <v>0.3</v>
      </c>
      <c r="O684" s="84">
        <v>0.3</v>
      </c>
      <c r="P684" s="81" t="s">
        <v>1595</v>
      </c>
      <c r="Q684" s="84">
        <v>0.76</v>
      </c>
      <c r="R684" s="84">
        <v>0.53</v>
      </c>
    </row>
    <row r="685" ht="14.25" customHeight="1">
      <c r="A685" s="83" t="s">
        <v>1503</v>
      </c>
      <c r="B685" s="83" t="s">
        <v>1523</v>
      </c>
      <c r="C685" s="83" t="s">
        <v>598</v>
      </c>
      <c r="D685" s="83" t="s">
        <v>599</v>
      </c>
      <c r="E685" s="83" t="s">
        <v>1522</v>
      </c>
      <c r="F685" s="19" t="s">
        <v>1522</v>
      </c>
      <c r="G685" s="23">
        <v>4434.0</v>
      </c>
      <c r="H685" s="84">
        <v>0.66</v>
      </c>
      <c r="I685" s="86">
        <v>8501.0</v>
      </c>
      <c r="J685" s="19" t="s">
        <v>1601</v>
      </c>
      <c r="K685" s="101" t="s">
        <v>1821</v>
      </c>
      <c r="L685" s="86">
        <v>14700.0</v>
      </c>
      <c r="M685" s="86">
        <v>12935.0</v>
      </c>
      <c r="N685" s="84">
        <v>0.3</v>
      </c>
      <c r="O685" s="84">
        <v>0.3</v>
      </c>
      <c r="P685" s="81" t="s">
        <v>1595</v>
      </c>
      <c r="Q685" s="84">
        <v>0.76</v>
      </c>
      <c r="R685" s="84">
        <v>0.53</v>
      </c>
    </row>
    <row r="686" ht="14.25" customHeight="1">
      <c r="A686" s="83" t="s">
        <v>1503</v>
      </c>
      <c r="B686" s="83" t="s">
        <v>1525</v>
      </c>
      <c r="C686" s="83" t="s">
        <v>598</v>
      </c>
      <c r="D686" s="83" t="s">
        <v>599</v>
      </c>
      <c r="E686" s="83" t="s">
        <v>1524</v>
      </c>
      <c r="F686" s="19" t="s">
        <v>1524</v>
      </c>
      <c r="G686" s="23">
        <v>4029.0</v>
      </c>
      <c r="H686" s="84">
        <v>0.66</v>
      </c>
      <c r="I686" s="86">
        <v>7730.0</v>
      </c>
      <c r="J686" s="19" t="s">
        <v>1613</v>
      </c>
      <c r="K686" s="101" t="s">
        <v>1604</v>
      </c>
      <c r="L686" s="86">
        <v>13524.0</v>
      </c>
      <c r="M686" s="86">
        <v>11759.0</v>
      </c>
      <c r="N686" s="84">
        <v>0.3</v>
      </c>
      <c r="O686" s="84">
        <v>0.3</v>
      </c>
      <c r="P686" s="81" t="s">
        <v>1595</v>
      </c>
      <c r="Q686" s="84">
        <v>0.76</v>
      </c>
      <c r="R686" s="84">
        <v>0.53</v>
      </c>
    </row>
    <row r="687" ht="14.25" customHeight="1">
      <c r="A687" s="83" t="s">
        <v>1503</v>
      </c>
      <c r="B687" s="83" t="s">
        <v>1527</v>
      </c>
      <c r="C687" s="83" t="s">
        <v>598</v>
      </c>
      <c r="D687" s="83" t="s">
        <v>599</v>
      </c>
      <c r="E687" s="83" t="s">
        <v>1526</v>
      </c>
      <c r="F687" s="19" t="s">
        <v>1526</v>
      </c>
      <c r="G687" s="23">
        <v>4029.0</v>
      </c>
      <c r="H687" s="84">
        <v>0.66</v>
      </c>
      <c r="I687" s="86">
        <v>7730.0</v>
      </c>
      <c r="J687" s="19" t="s">
        <v>1613</v>
      </c>
      <c r="K687" s="101" t="s">
        <v>1604</v>
      </c>
      <c r="L687" s="86">
        <v>13524.0</v>
      </c>
      <c r="M687" s="86">
        <v>11759.0</v>
      </c>
      <c r="N687" s="84">
        <v>0.3</v>
      </c>
      <c r="O687" s="84">
        <v>0.3</v>
      </c>
      <c r="P687" s="81" t="s">
        <v>1595</v>
      </c>
      <c r="Q687" s="84">
        <v>0.76</v>
      </c>
      <c r="R687" s="84">
        <v>0.53</v>
      </c>
    </row>
    <row r="688" ht="14.25" customHeight="1">
      <c r="A688" s="83" t="s">
        <v>1503</v>
      </c>
      <c r="B688" s="83" t="s">
        <v>1529</v>
      </c>
      <c r="C688" s="83" t="s">
        <v>598</v>
      </c>
      <c r="D688" s="83" t="s">
        <v>599</v>
      </c>
      <c r="E688" s="83" t="s">
        <v>1528</v>
      </c>
      <c r="F688" s="19" t="s">
        <v>1528</v>
      </c>
      <c r="G688" s="23">
        <v>4166.0</v>
      </c>
      <c r="H688" s="84">
        <v>0.65</v>
      </c>
      <c r="I688" s="86">
        <v>7593.0</v>
      </c>
      <c r="J688" s="19" t="s">
        <v>1613</v>
      </c>
      <c r="K688" s="101" t="s">
        <v>1604</v>
      </c>
      <c r="L688" s="86">
        <v>13524.0</v>
      </c>
      <c r="M688" s="86">
        <v>11759.0</v>
      </c>
      <c r="N688" s="84">
        <v>0.3</v>
      </c>
      <c r="O688" s="84">
        <v>0.3</v>
      </c>
      <c r="P688" s="81" t="s">
        <v>1595</v>
      </c>
      <c r="Q688" s="84">
        <v>0.75</v>
      </c>
      <c r="R688" s="84">
        <v>0.52</v>
      </c>
    </row>
    <row r="689" ht="14.25" customHeight="1">
      <c r="A689" s="83" t="s">
        <v>1503</v>
      </c>
      <c r="B689" s="83" t="s">
        <v>1531</v>
      </c>
      <c r="C689" s="83" t="s">
        <v>598</v>
      </c>
      <c r="D689" s="83" t="s">
        <v>599</v>
      </c>
      <c r="E689" s="83" t="s">
        <v>1530</v>
      </c>
      <c r="F689" s="19" t="s">
        <v>1530</v>
      </c>
      <c r="G689" s="23">
        <v>4166.0</v>
      </c>
      <c r="H689" s="84">
        <v>0.65</v>
      </c>
      <c r="I689" s="86">
        <v>7593.0</v>
      </c>
      <c r="J689" s="19" t="s">
        <v>1613</v>
      </c>
      <c r="K689" s="101" t="s">
        <v>1604</v>
      </c>
      <c r="L689" s="86">
        <v>13524.0</v>
      </c>
      <c r="M689" s="86">
        <v>11759.0</v>
      </c>
      <c r="N689" s="84">
        <v>0.3</v>
      </c>
      <c r="O689" s="84">
        <v>0.3</v>
      </c>
      <c r="P689" s="81" t="s">
        <v>1595</v>
      </c>
      <c r="Q689" s="84">
        <v>0.75</v>
      </c>
      <c r="R689" s="84">
        <v>0.52</v>
      </c>
    </row>
    <row r="690" ht="14.25" customHeight="1">
      <c r="A690" s="83" t="s">
        <v>1503</v>
      </c>
      <c r="B690" s="83" t="s">
        <v>1539</v>
      </c>
      <c r="C690" s="83" t="s">
        <v>2200</v>
      </c>
      <c r="D690" s="83" t="s">
        <v>1286</v>
      </c>
      <c r="E690" s="83" t="s">
        <v>1538</v>
      </c>
      <c r="F690" s="19" t="s">
        <v>1538</v>
      </c>
      <c r="G690" s="23">
        <v>4417.0</v>
      </c>
      <c r="H690" s="84">
        <v>0.66</v>
      </c>
      <c r="I690" s="86">
        <v>8518.0</v>
      </c>
      <c r="J690" s="19" t="s">
        <v>1601</v>
      </c>
      <c r="K690" s="101" t="s">
        <v>1821</v>
      </c>
      <c r="L690" s="86">
        <v>14700.0</v>
      </c>
      <c r="M690" s="86">
        <v>12935.0</v>
      </c>
      <c r="N690" s="84">
        <v>0.3</v>
      </c>
      <c r="O690" s="84">
        <v>0.3</v>
      </c>
      <c r="P690" s="81" t="s">
        <v>1595</v>
      </c>
      <c r="Q690" s="84">
        <v>0.76</v>
      </c>
      <c r="R690" s="84">
        <v>0.53</v>
      </c>
    </row>
    <row r="691" ht="14.25" customHeight="1">
      <c r="A691" s="83" t="s">
        <v>1503</v>
      </c>
      <c r="B691" s="83" t="s">
        <v>1541</v>
      </c>
      <c r="C691" s="83" t="s">
        <v>2200</v>
      </c>
      <c r="D691" s="83" t="s">
        <v>1286</v>
      </c>
      <c r="E691" s="83" t="s">
        <v>1540</v>
      </c>
      <c r="F691" s="19" t="s">
        <v>1540</v>
      </c>
      <c r="G691" s="23">
        <v>4417.0</v>
      </c>
      <c r="H691" s="84">
        <v>0.66</v>
      </c>
      <c r="I691" s="86">
        <v>8518.0</v>
      </c>
      <c r="J691" s="19" t="s">
        <v>1601</v>
      </c>
      <c r="K691" s="101" t="s">
        <v>1821</v>
      </c>
      <c r="L691" s="86">
        <v>14700.0</v>
      </c>
      <c r="M691" s="86">
        <v>12935.0</v>
      </c>
      <c r="N691" s="84">
        <v>0.3</v>
      </c>
      <c r="O691" s="84">
        <v>0.3</v>
      </c>
      <c r="P691" s="81" t="s">
        <v>1595</v>
      </c>
      <c r="Q691" s="84">
        <v>0.76</v>
      </c>
      <c r="R691" s="84">
        <v>0.53</v>
      </c>
    </row>
    <row r="692" ht="14.25" customHeight="1">
      <c r="A692" s="83" t="s">
        <v>1503</v>
      </c>
      <c r="B692" s="83" t="s">
        <v>1547</v>
      </c>
      <c r="C692" s="83" t="s">
        <v>2200</v>
      </c>
      <c r="D692" s="83" t="s">
        <v>1286</v>
      </c>
      <c r="E692" s="83" t="s">
        <v>1546</v>
      </c>
      <c r="F692" s="19" t="s">
        <v>1546</v>
      </c>
      <c r="G692" s="23">
        <v>3351.0</v>
      </c>
      <c r="H692" s="84">
        <v>0.66</v>
      </c>
      <c r="I692" s="86">
        <v>6643.0</v>
      </c>
      <c r="J692" s="19" t="s">
        <v>1604</v>
      </c>
      <c r="K692" s="101" t="s">
        <v>1602</v>
      </c>
      <c r="L692" s="86">
        <v>11759.0</v>
      </c>
      <c r="M692" s="86">
        <v>9994.0</v>
      </c>
      <c r="N692" s="84">
        <v>0.3</v>
      </c>
      <c r="O692" s="84">
        <v>0.3</v>
      </c>
      <c r="P692" s="81" t="s">
        <v>1595</v>
      </c>
      <c r="Q692" s="84">
        <v>0.77</v>
      </c>
      <c r="R692" s="84">
        <v>0.54</v>
      </c>
    </row>
    <row r="693" ht="14.25" customHeight="1">
      <c r="A693" s="83" t="s">
        <v>1503</v>
      </c>
      <c r="B693" s="83" t="s">
        <v>1549</v>
      </c>
      <c r="C693" s="83" t="s">
        <v>2200</v>
      </c>
      <c r="D693" s="83" t="s">
        <v>1286</v>
      </c>
      <c r="E693" s="83" t="s">
        <v>1548</v>
      </c>
      <c r="F693" s="19" t="s">
        <v>1548</v>
      </c>
      <c r="G693" s="23">
        <v>3351.0</v>
      </c>
      <c r="H693" s="84">
        <v>0.66</v>
      </c>
      <c r="I693" s="86">
        <v>6643.0</v>
      </c>
      <c r="J693" s="19" t="s">
        <v>1604</v>
      </c>
      <c r="K693" s="101" t="s">
        <v>1602</v>
      </c>
      <c r="L693" s="86">
        <v>11759.0</v>
      </c>
      <c r="M693" s="86">
        <v>9994.0</v>
      </c>
      <c r="N693" s="84">
        <v>0.3</v>
      </c>
      <c r="O693" s="84">
        <v>0.3</v>
      </c>
      <c r="P693" s="81" t="s">
        <v>1595</v>
      </c>
      <c r="Q693" s="84">
        <v>0.77</v>
      </c>
      <c r="R693" s="84">
        <v>0.54</v>
      </c>
    </row>
    <row r="694" ht="14.25" customHeight="1">
      <c r="A694" s="19" t="s">
        <v>1437</v>
      </c>
      <c r="B694" s="19" t="s">
        <v>1444</v>
      </c>
      <c r="C694" s="78" t="s">
        <v>1438</v>
      </c>
      <c r="D694" s="78" t="s">
        <v>1439</v>
      </c>
      <c r="E694" s="19" t="s">
        <v>2201</v>
      </c>
      <c r="F694" s="19" t="s">
        <v>2201</v>
      </c>
      <c r="G694" s="23">
        <v>3173.0</v>
      </c>
      <c r="H694" s="26">
        <v>0.46</v>
      </c>
      <c r="I694" s="21">
        <v>2704.0</v>
      </c>
      <c r="J694" s="19" t="s">
        <v>1605</v>
      </c>
      <c r="K694" s="101" t="s">
        <v>1618</v>
      </c>
      <c r="L694" s="21">
        <v>8818.0</v>
      </c>
      <c r="M694" s="21">
        <v>5876.0</v>
      </c>
      <c r="N694" s="26">
        <v>0.3</v>
      </c>
      <c r="O694" s="26">
        <v>0.3</v>
      </c>
      <c r="P694" s="81" t="s">
        <v>1595</v>
      </c>
      <c r="Q694" s="26">
        <v>0.62</v>
      </c>
      <c r="R694" s="84">
        <v>0.39</v>
      </c>
    </row>
    <row r="695" ht="14.25" customHeight="1">
      <c r="A695" s="83" t="s">
        <v>1437</v>
      </c>
      <c r="B695" s="102">
        <v>1.660859424566E12</v>
      </c>
      <c r="C695" s="78" t="s">
        <v>1438</v>
      </c>
      <c r="D695" s="78" t="s">
        <v>1439</v>
      </c>
      <c r="E695" s="19" t="s">
        <v>2202</v>
      </c>
      <c r="F695" s="19" t="s">
        <v>2203</v>
      </c>
      <c r="G695" s="23">
        <v>4923.0</v>
      </c>
      <c r="H695" s="26">
        <v>0.58</v>
      </c>
      <c r="I695" s="21">
        <v>6836.0</v>
      </c>
      <c r="J695" s="19" t="s">
        <v>1601</v>
      </c>
      <c r="K695" s="101" t="s">
        <v>1604</v>
      </c>
      <c r="L695" s="21">
        <v>14700.0</v>
      </c>
      <c r="M695" s="21">
        <v>11759.0</v>
      </c>
      <c r="N695" s="26">
        <v>0.3</v>
      </c>
      <c r="O695" s="26">
        <v>0.3</v>
      </c>
      <c r="P695" s="81" t="s">
        <v>1595</v>
      </c>
      <c r="Q695" s="26">
        <v>0.71</v>
      </c>
      <c r="R695" s="84">
        <v>0.48</v>
      </c>
    </row>
    <row r="696" ht="14.25" customHeight="1">
      <c r="A696" s="83" t="s">
        <v>1437</v>
      </c>
      <c r="B696" s="102">
        <v>1.656603353038E12</v>
      </c>
      <c r="C696" s="78" t="s">
        <v>1438</v>
      </c>
      <c r="D696" s="78" t="s">
        <v>1439</v>
      </c>
      <c r="E696" s="19" t="s">
        <v>2204</v>
      </c>
      <c r="F696" s="19" t="s">
        <v>2205</v>
      </c>
      <c r="G696" s="23">
        <v>9118.0</v>
      </c>
      <c r="H696" s="26">
        <v>0.3</v>
      </c>
      <c r="I696" s="21">
        <v>3817.0</v>
      </c>
      <c r="J696" s="19" t="s">
        <v>1608</v>
      </c>
      <c r="K696" s="101" t="s">
        <v>1821</v>
      </c>
      <c r="L696" s="21">
        <v>23524.0</v>
      </c>
      <c r="M696" s="21">
        <v>12935.0</v>
      </c>
      <c r="N696" s="26">
        <v>0.3</v>
      </c>
      <c r="O696" s="26">
        <v>0.3</v>
      </c>
      <c r="P696" s="81" t="s">
        <v>1595</v>
      </c>
      <c r="Q696" s="26">
        <v>0.51</v>
      </c>
      <c r="R696" s="84">
        <v>0.28</v>
      </c>
    </row>
    <row r="697" ht="14.25" customHeight="1">
      <c r="A697" s="83" t="s">
        <v>1437</v>
      </c>
      <c r="B697" s="102">
        <v>6.7898258445967E13</v>
      </c>
      <c r="C697" s="78" t="s">
        <v>1438</v>
      </c>
      <c r="D697" s="78" t="s">
        <v>1439</v>
      </c>
      <c r="E697" s="19" t="s">
        <v>2206</v>
      </c>
      <c r="F697" s="19" t="s">
        <v>1442</v>
      </c>
      <c r="G697" s="23">
        <v>4657.0</v>
      </c>
      <c r="H697" s="26">
        <v>0.47</v>
      </c>
      <c r="I697" s="21">
        <v>4161.0</v>
      </c>
      <c r="J697" s="19" t="s">
        <v>1601</v>
      </c>
      <c r="K697" s="101" t="s">
        <v>1605</v>
      </c>
      <c r="L697" s="21">
        <v>14700.0</v>
      </c>
      <c r="M697" s="21">
        <v>8818.0</v>
      </c>
      <c r="N697" s="26">
        <v>0.3</v>
      </c>
      <c r="O697" s="26">
        <v>0.3</v>
      </c>
      <c r="P697" s="81" t="s">
        <v>1595</v>
      </c>
      <c r="Q697" s="26">
        <v>0.63</v>
      </c>
      <c r="R697" s="84">
        <v>0.4</v>
      </c>
    </row>
    <row r="698" ht="14.25" customHeight="1">
      <c r="A698" s="83" t="s">
        <v>1437</v>
      </c>
      <c r="B698" s="83" t="s">
        <v>1446</v>
      </c>
      <c r="C698" s="83" t="s">
        <v>1438</v>
      </c>
      <c r="D698" s="83" t="s">
        <v>1439</v>
      </c>
      <c r="E698" s="83" t="s">
        <v>1445</v>
      </c>
      <c r="F698" s="83" t="s">
        <v>1445</v>
      </c>
      <c r="G698" s="92">
        <v>3002.0</v>
      </c>
      <c r="H698" s="84">
        <v>0.49</v>
      </c>
      <c r="I698" s="86">
        <v>2875.0</v>
      </c>
      <c r="J698" s="19" t="s">
        <v>1605</v>
      </c>
      <c r="K698" s="101" t="s">
        <v>1618</v>
      </c>
      <c r="L698" s="86">
        <v>8818.0</v>
      </c>
      <c r="M698" s="86">
        <v>5876.0</v>
      </c>
      <c r="N698" s="84">
        <v>0.3</v>
      </c>
      <c r="O698" s="84">
        <v>0.3</v>
      </c>
      <c r="P698" s="81" t="s">
        <v>1595</v>
      </c>
      <c r="Q698" s="84">
        <v>0.64</v>
      </c>
      <c r="R698" s="84">
        <v>0.41</v>
      </c>
    </row>
    <row r="699" ht="14.25" customHeight="1">
      <c r="A699" s="83" t="s">
        <v>1437</v>
      </c>
      <c r="B699" s="83" t="s">
        <v>2207</v>
      </c>
      <c r="C699" s="83" t="s">
        <v>1438</v>
      </c>
      <c r="D699" s="83" t="s">
        <v>1439</v>
      </c>
      <c r="E699" s="83" t="s">
        <v>2208</v>
      </c>
      <c r="F699" s="19" t="s">
        <v>2209</v>
      </c>
      <c r="G699" s="23">
        <v>24128.0</v>
      </c>
      <c r="H699" s="84">
        <v>0.32</v>
      </c>
      <c r="I699" s="86">
        <v>11160.0</v>
      </c>
      <c r="J699" s="19" t="s">
        <v>1697</v>
      </c>
      <c r="K699" s="101" t="s">
        <v>1594</v>
      </c>
      <c r="L699" s="86">
        <v>47053.0</v>
      </c>
      <c r="M699" s="86">
        <v>35288.0</v>
      </c>
      <c r="N699" s="84">
        <v>0.3</v>
      </c>
      <c r="O699" s="84">
        <v>0.3</v>
      </c>
      <c r="P699" s="81" t="s">
        <v>1595</v>
      </c>
      <c r="Q699" s="84">
        <v>0.52</v>
      </c>
      <c r="R699" s="84">
        <v>0.29</v>
      </c>
    </row>
    <row r="700" ht="14.25" customHeight="1">
      <c r="A700" s="83" t="s">
        <v>1437</v>
      </c>
      <c r="B700" s="83" t="s">
        <v>2210</v>
      </c>
      <c r="C700" s="83" t="s">
        <v>1438</v>
      </c>
      <c r="D700" s="83" t="s">
        <v>2211</v>
      </c>
      <c r="E700" s="83" t="s">
        <v>2212</v>
      </c>
      <c r="F700" s="19" t="s">
        <v>2213</v>
      </c>
      <c r="G700" s="23">
        <v>6562.0</v>
      </c>
      <c r="H700" s="84">
        <v>0.72</v>
      </c>
      <c r="I700" s="86">
        <v>16962.0</v>
      </c>
      <c r="J700" s="19" t="s">
        <v>1606</v>
      </c>
      <c r="K700" s="101" t="s">
        <v>1608</v>
      </c>
      <c r="L700" s="86">
        <v>29406.0</v>
      </c>
      <c r="M700" s="86">
        <v>23524.0</v>
      </c>
      <c r="N700" s="84">
        <v>0.3</v>
      </c>
      <c r="O700" s="84">
        <v>0.3</v>
      </c>
      <c r="P700" s="81" t="s">
        <v>1595</v>
      </c>
      <c r="Q700" s="84">
        <v>0.8</v>
      </c>
      <c r="R700" s="84">
        <v>0.57</v>
      </c>
    </row>
    <row r="701" ht="14.25" customHeight="1">
      <c r="A701" s="83" t="s">
        <v>1437</v>
      </c>
      <c r="B701" s="102">
        <v>1.650301031879E12</v>
      </c>
      <c r="C701" s="78" t="s">
        <v>1449</v>
      </c>
      <c r="D701" s="78" t="s">
        <v>1450</v>
      </c>
      <c r="E701" s="19" t="s">
        <v>1451</v>
      </c>
      <c r="F701" s="19" t="s">
        <v>2214</v>
      </c>
      <c r="G701" s="23">
        <v>20112.0</v>
      </c>
      <c r="H701" s="26">
        <v>0.43</v>
      </c>
      <c r="I701" s="21">
        <v>15176.0</v>
      </c>
      <c r="J701" s="19" t="s">
        <v>1597</v>
      </c>
      <c r="K701" s="101" t="s">
        <v>1594</v>
      </c>
      <c r="L701" s="21">
        <v>70582.0</v>
      </c>
      <c r="M701" s="21">
        <v>35288.0</v>
      </c>
      <c r="N701" s="26">
        <v>0.3</v>
      </c>
      <c r="O701" s="26">
        <v>0.3</v>
      </c>
      <c r="P701" s="81" t="s">
        <v>1595</v>
      </c>
      <c r="Q701" s="26">
        <v>0.6</v>
      </c>
      <c r="R701" s="84">
        <v>0.37</v>
      </c>
    </row>
    <row r="702" ht="14.25" customHeight="1">
      <c r="A702" s="83" t="s">
        <v>1437</v>
      </c>
      <c r="B702" s="102">
        <v>1.650302273911E12</v>
      </c>
      <c r="C702" s="78" t="s">
        <v>1449</v>
      </c>
      <c r="D702" s="78" t="s">
        <v>1452</v>
      </c>
      <c r="E702" s="19" t="s">
        <v>2215</v>
      </c>
      <c r="F702" s="19" t="s">
        <v>2216</v>
      </c>
      <c r="G702" s="23">
        <v>39532.0</v>
      </c>
      <c r="H702" s="26">
        <v>0.25</v>
      </c>
      <c r="I702" s="21">
        <v>13403.0</v>
      </c>
      <c r="J702" s="19" t="s">
        <v>1597</v>
      </c>
      <c r="K702" s="101" t="s">
        <v>1628</v>
      </c>
      <c r="L702" s="21">
        <v>70582.0</v>
      </c>
      <c r="M702" s="21">
        <v>52935.0</v>
      </c>
      <c r="N702" s="26">
        <v>0.3</v>
      </c>
      <c r="O702" s="26">
        <v>0.3</v>
      </c>
      <c r="P702" s="81" t="s">
        <v>1595</v>
      </c>
      <c r="Q702" s="26">
        <v>0.48</v>
      </c>
      <c r="R702" s="84">
        <v>0.25</v>
      </c>
    </row>
    <row r="703" ht="14.25" customHeight="1">
      <c r="A703" s="83" t="s">
        <v>1437</v>
      </c>
      <c r="B703" s="102" t="s">
        <v>2217</v>
      </c>
      <c r="C703" s="78" t="s">
        <v>1449</v>
      </c>
      <c r="D703" s="78" t="s">
        <v>1452</v>
      </c>
      <c r="E703" s="19" t="s">
        <v>2218</v>
      </c>
      <c r="F703" s="19" t="s">
        <v>2219</v>
      </c>
      <c r="G703" s="23">
        <v>39532.0</v>
      </c>
      <c r="H703" s="26">
        <v>0.25</v>
      </c>
      <c r="I703" s="21">
        <v>13403.0</v>
      </c>
      <c r="J703" s="19" t="s">
        <v>1597</v>
      </c>
      <c r="K703" s="101" t="s">
        <v>1628</v>
      </c>
      <c r="L703" s="21">
        <v>70582.0</v>
      </c>
      <c r="M703" s="21">
        <v>52935.0</v>
      </c>
      <c r="N703" s="26">
        <v>0.3</v>
      </c>
      <c r="O703" s="26">
        <v>0.3</v>
      </c>
      <c r="P703" s="81" t="s">
        <v>1595</v>
      </c>
      <c r="Q703" s="26">
        <v>0.48</v>
      </c>
      <c r="R703" s="84">
        <v>0.25</v>
      </c>
    </row>
    <row r="704" ht="14.25" customHeight="1">
      <c r="A704" s="83" t="s">
        <v>1437</v>
      </c>
      <c r="B704" s="102">
        <v>6.9746014453052E13</v>
      </c>
      <c r="C704" s="78" t="s">
        <v>1449</v>
      </c>
      <c r="D704" s="78" t="s">
        <v>1455</v>
      </c>
      <c r="E704" s="19" t="s">
        <v>1456</v>
      </c>
      <c r="F704" s="19" t="s">
        <v>2220</v>
      </c>
      <c r="G704" s="23">
        <v>6893.0</v>
      </c>
      <c r="H704" s="26">
        <v>0.41</v>
      </c>
      <c r="I704" s="21">
        <v>4866.0</v>
      </c>
      <c r="J704" s="19" t="s">
        <v>1603</v>
      </c>
      <c r="K704" s="101" t="s">
        <v>1604</v>
      </c>
      <c r="L704" s="21">
        <v>17641.0</v>
      </c>
      <c r="M704" s="21">
        <v>11759.0</v>
      </c>
      <c r="N704" s="26">
        <v>0.3</v>
      </c>
      <c r="O704" s="26">
        <v>0.3</v>
      </c>
      <c r="P704" s="81" t="s">
        <v>1595</v>
      </c>
      <c r="Q704" s="26">
        <v>0.59</v>
      </c>
      <c r="R704" s="84">
        <v>0.36</v>
      </c>
    </row>
    <row r="705" ht="14.25" customHeight="1">
      <c r="A705" s="83" t="s">
        <v>1437</v>
      </c>
      <c r="B705" s="102">
        <v>1.650302269777E12</v>
      </c>
      <c r="C705" s="78" t="s">
        <v>1449</v>
      </c>
      <c r="D705" s="78" t="s">
        <v>1457</v>
      </c>
      <c r="E705" s="19" t="s">
        <v>1458</v>
      </c>
      <c r="F705" s="19" t="s">
        <v>2221</v>
      </c>
      <c r="G705" s="23">
        <v>64491.0</v>
      </c>
      <c r="H705" s="26">
        <v>0.39</v>
      </c>
      <c r="I705" s="21">
        <v>41385.0</v>
      </c>
      <c r="J705" s="19" t="s">
        <v>1764</v>
      </c>
      <c r="K705" s="101" t="s">
        <v>2079</v>
      </c>
      <c r="L705" s="21">
        <v>117641.0</v>
      </c>
      <c r="M705" s="21">
        <v>105876.0</v>
      </c>
      <c r="N705" s="26">
        <v>0.3</v>
      </c>
      <c r="O705" s="26">
        <v>0.3</v>
      </c>
      <c r="P705" s="81" t="s">
        <v>1595</v>
      </c>
      <c r="Q705" s="26">
        <v>0.57</v>
      </c>
      <c r="R705" s="84">
        <v>0.34</v>
      </c>
    </row>
    <row r="706" ht="14.25" customHeight="1">
      <c r="A706" s="83" t="s">
        <v>1437</v>
      </c>
      <c r="B706" s="19" t="s">
        <v>1462</v>
      </c>
      <c r="C706" s="78" t="s">
        <v>2222</v>
      </c>
      <c r="D706" s="78" t="s">
        <v>2223</v>
      </c>
      <c r="E706" s="19" t="s">
        <v>1461</v>
      </c>
      <c r="F706" s="19" t="s">
        <v>2224</v>
      </c>
      <c r="G706" s="23">
        <v>29925.0</v>
      </c>
      <c r="H706" s="26">
        <v>0.36</v>
      </c>
      <c r="I706" s="21">
        <v>17128.0</v>
      </c>
      <c r="J706" s="19" t="s">
        <v>1596</v>
      </c>
      <c r="K706" s="101" t="s">
        <v>1697</v>
      </c>
      <c r="L706" s="21">
        <v>58818.0</v>
      </c>
      <c r="M706" s="21">
        <v>47053.0</v>
      </c>
      <c r="N706" s="26">
        <v>0.3</v>
      </c>
      <c r="O706" s="26">
        <v>0.3</v>
      </c>
      <c r="P706" s="81" t="s">
        <v>1595</v>
      </c>
      <c r="Q706" s="26">
        <v>0.55</v>
      </c>
      <c r="R706" s="84">
        <v>0.32</v>
      </c>
    </row>
    <row r="707" ht="14.25" customHeight="1">
      <c r="A707" s="83" t="s">
        <v>1437</v>
      </c>
      <c r="B707" s="19" t="s">
        <v>1464</v>
      </c>
      <c r="C707" s="78" t="s">
        <v>2222</v>
      </c>
      <c r="D707" s="78" t="s">
        <v>2223</v>
      </c>
      <c r="E707" s="19" t="s">
        <v>1463</v>
      </c>
      <c r="F707" s="19" t="s">
        <v>2225</v>
      </c>
      <c r="G707" s="23">
        <v>87185.0</v>
      </c>
      <c r="H707" s="26">
        <v>0.26</v>
      </c>
      <c r="I707" s="21">
        <v>30457.0</v>
      </c>
      <c r="J707" s="19" t="s">
        <v>2226</v>
      </c>
      <c r="K707" s="101" t="s">
        <v>1764</v>
      </c>
      <c r="L707" s="21">
        <v>176465.0</v>
      </c>
      <c r="M707" s="21">
        <v>117641.0</v>
      </c>
      <c r="N707" s="26">
        <v>0.3</v>
      </c>
      <c r="O707" s="26">
        <v>0.3</v>
      </c>
      <c r="P707" s="81" t="s">
        <v>1595</v>
      </c>
      <c r="Q707" s="26">
        <v>0.48</v>
      </c>
      <c r="R707" s="84">
        <v>0.25</v>
      </c>
    </row>
    <row r="708" ht="14.25" customHeight="1">
      <c r="A708" s="83" t="s">
        <v>1437</v>
      </c>
      <c r="B708" s="19" t="s">
        <v>1468</v>
      </c>
      <c r="C708" s="78" t="s">
        <v>1465</v>
      </c>
      <c r="D708" s="78" t="s">
        <v>1466</v>
      </c>
      <c r="E708" s="19" t="s">
        <v>1467</v>
      </c>
      <c r="F708" s="19" t="s">
        <v>2227</v>
      </c>
      <c r="G708" s="23">
        <v>24502.0</v>
      </c>
      <c r="H708" s="26">
        <v>0.4</v>
      </c>
      <c r="I708" s="21">
        <v>16669.0</v>
      </c>
      <c r="J708" s="19" t="s">
        <v>1596</v>
      </c>
      <c r="K708" s="101" t="s">
        <v>1599</v>
      </c>
      <c r="L708" s="21">
        <v>58818.0</v>
      </c>
      <c r="M708" s="21">
        <v>41171.0</v>
      </c>
      <c r="N708" s="26">
        <v>0.3</v>
      </c>
      <c r="O708" s="26">
        <v>0.3</v>
      </c>
      <c r="P708" s="81" t="s">
        <v>1595</v>
      </c>
      <c r="Q708" s="26">
        <v>0.58</v>
      </c>
      <c r="R708" s="84">
        <v>0.35</v>
      </c>
    </row>
    <row r="709" ht="14.25" customHeight="1">
      <c r="A709" s="19" t="s">
        <v>1437</v>
      </c>
      <c r="B709" s="19" t="s">
        <v>1473</v>
      </c>
      <c r="C709" s="78" t="s">
        <v>1465</v>
      </c>
      <c r="D709" s="78" t="s">
        <v>1471</v>
      </c>
      <c r="E709" s="19" t="s">
        <v>1472</v>
      </c>
      <c r="F709" s="19" t="s">
        <v>2228</v>
      </c>
      <c r="G709" s="23">
        <v>27471.0</v>
      </c>
      <c r="H709" s="26">
        <v>0.42</v>
      </c>
      <c r="I709" s="21">
        <v>19582.0</v>
      </c>
      <c r="J709" s="19" t="s">
        <v>1596</v>
      </c>
      <c r="K709" s="101" t="s">
        <v>1697</v>
      </c>
      <c r="L709" s="21">
        <v>58818.0</v>
      </c>
      <c r="M709" s="21">
        <v>47053.0</v>
      </c>
      <c r="N709" s="26">
        <v>0.3</v>
      </c>
      <c r="O709" s="26">
        <v>0.3</v>
      </c>
      <c r="P709" s="81" t="s">
        <v>1595</v>
      </c>
      <c r="Q709" s="26">
        <v>0.59</v>
      </c>
      <c r="R709" s="84">
        <v>0.36</v>
      </c>
    </row>
    <row r="710" ht="14.25" customHeight="1">
      <c r="A710" s="104" t="s">
        <v>1666</v>
      </c>
      <c r="B710" s="105" t="s">
        <v>2229</v>
      </c>
      <c r="C710" s="105" t="s">
        <v>199</v>
      </c>
      <c r="D710" s="105" t="s">
        <v>200</v>
      </c>
      <c r="E710" s="19" t="s">
        <v>2230</v>
      </c>
      <c r="F710" s="83" t="s">
        <v>2230</v>
      </c>
      <c r="G710" s="23">
        <v>10260.0</v>
      </c>
      <c r="H710" s="26">
        <v>0.42</v>
      </c>
      <c r="I710" s="21">
        <v>7381.0</v>
      </c>
      <c r="J710" s="105" t="s">
        <v>1608</v>
      </c>
      <c r="K710" s="106" t="s">
        <v>1603</v>
      </c>
      <c r="L710" s="21">
        <v>23524.0</v>
      </c>
      <c r="M710" s="21">
        <v>17641.0</v>
      </c>
      <c r="N710" s="26">
        <v>0.3</v>
      </c>
      <c r="O710" s="26">
        <v>0.3</v>
      </c>
      <c r="P710" s="99" t="s">
        <v>2231</v>
      </c>
      <c r="Q710" s="26">
        <v>0.59</v>
      </c>
      <c r="R710" s="84">
        <v>0.36</v>
      </c>
    </row>
    <row r="711" ht="14.25" customHeight="1">
      <c r="A711" s="104" t="s">
        <v>1666</v>
      </c>
      <c r="B711" s="19" t="s">
        <v>2232</v>
      </c>
      <c r="C711" s="105" t="s">
        <v>199</v>
      </c>
      <c r="D711" s="105" t="s">
        <v>200</v>
      </c>
      <c r="E711" s="19" t="s">
        <v>2233</v>
      </c>
      <c r="F711" s="83" t="s">
        <v>2233</v>
      </c>
      <c r="G711" s="23">
        <v>10260.0</v>
      </c>
      <c r="H711" s="26">
        <v>0.42</v>
      </c>
      <c r="I711" s="21">
        <v>7381.0</v>
      </c>
      <c r="J711" s="105" t="s">
        <v>1608</v>
      </c>
      <c r="K711" s="106" t="s">
        <v>1603</v>
      </c>
      <c r="L711" s="21">
        <v>23524.0</v>
      </c>
      <c r="M711" s="21">
        <v>17641.0</v>
      </c>
      <c r="N711" s="26">
        <v>0.3</v>
      </c>
      <c r="O711" s="26">
        <v>0.3</v>
      </c>
      <c r="P711" s="99" t="s">
        <v>2231</v>
      </c>
      <c r="Q711" s="26">
        <v>0.59</v>
      </c>
      <c r="R711" s="84">
        <v>0.36</v>
      </c>
    </row>
    <row r="712" ht="14.25" customHeight="1">
      <c r="A712" s="104" t="s">
        <v>1666</v>
      </c>
      <c r="B712" s="105" t="s">
        <v>2234</v>
      </c>
      <c r="C712" s="105" t="s">
        <v>165</v>
      </c>
      <c r="D712" s="105" t="s">
        <v>175</v>
      </c>
      <c r="E712" s="19" t="s">
        <v>2235</v>
      </c>
      <c r="F712" s="83" t="s">
        <v>2235</v>
      </c>
      <c r="G712" s="23">
        <v>7560.0</v>
      </c>
      <c r="H712" s="26">
        <v>0.36</v>
      </c>
      <c r="I712" s="21">
        <v>4199.0</v>
      </c>
      <c r="J712" s="105" t="s">
        <v>1603</v>
      </c>
      <c r="K712" s="106" t="s">
        <v>1604</v>
      </c>
      <c r="L712" s="21">
        <v>17641.0</v>
      </c>
      <c r="M712" s="21">
        <v>11759.0</v>
      </c>
      <c r="N712" s="26">
        <v>0.3</v>
      </c>
      <c r="O712" s="26">
        <v>0.3</v>
      </c>
      <c r="P712" s="99" t="s">
        <v>2231</v>
      </c>
      <c r="Q712" s="26">
        <v>0.55</v>
      </c>
      <c r="R712" s="84">
        <v>0.32</v>
      </c>
    </row>
    <row r="713" ht="14.25" customHeight="1">
      <c r="A713" s="104" t="s">
        <v>1666</v>
      </c>
      <c r="B713" s="105" t="s">
        <v>2236</v>
      </c>
      <c r="C713" s="105" t="s">
        <v>165</v>
      </c>
      <c r="D713" s="105" t="s">
        <v>175</v>
      </c>
      <c r="E713" s="19" t="s">
        <v>2237</v>
      </c>
      <c r="F713" s="83" t="s">
        <v>2237</v>
      </c>
      <c r="G713" s="23">
        <v>7020.0</v>
      </c>
      <c r="H713" s="26">
        <v>0.4</v>
      </c>
      <c r="I713" s="21">
        <v>4739.0</v>
      </c>
      <c r="J713" s="105" t="s">
        <v>1603</v>
      </c>
      <c r="K713" s="106" t="s">
        <v>1604</v>
      </c>
      <c r="L713" s="21">
        <v>17641.0</v>
      </c>
      <c r="M713" s="21">
        <v>11759.0</v>
      </c>
      <c r="N713" s="26">
        <v>0.3</v>
      </c>
      <c r="O713" s="26">
        <v>0.3</v>
      </c>
      <c r="P713" s="99" t="s">
        <v>2231</v>
      </c>
      <c r="Q713" s="26">
        <v>0.58</v>
      </c>
      <c r="R713" s="84">
        <v>0.35</v>
      </c>
    </row>
    <row r="714" ht="14.25" customHeight="1">
      <c r="A714" s="104" t="s">
        <v>302</v>
      </c>
      <c r="B714" s="105" t="s">
        <v>2238</v>
      </c>
      <c r="C714" s="105" t="s">
        <v>526</v>
      </c>
      <c r="D714" s="105" t="s">
        <v>553</v>
      </c>
      <c r="E714" s="19" t="s">
        <v>2239</v>
      </c>
      <c r="F714" s="83" t="s">
        <v>2239</v>
      </c>
      <c r="G714" s="23">
        <v>21600.0</v>
      </c>
      <c r="H714" s="26">
        <v>0.48</v>
      </c>
      <c r="I714" s="21">
        <v>19571.0</v>
      </c>
      <c r="J714" s="105" t="s">
        <v>1628</v>
      </c>
      <c r="K714" s="106" t="s">
        <v>1599</v>
      </c>
      <c r="L714" s="21">
        <v>52935.0</v>
      </c>
      <c r="M714" s="21">
        <v>41171.0</v>
      </c>
      <c r="N714" s="26">
        <v>0.3</v>
      </c>
      <c r="O714" s="26">
        <v>0.3</v>
      </c>
      <c r="P714" s="99" t="s">
        <v>2231</v>
      </c>
      <c r="Q714" s="26">
        <v>0.63</v>
      </c>
      <c r="R714" s="84">
        <v>0.4</v>
      </c>
    </row>
    <row r="715" ht="14.25" customHeight="1">
      <c r="A715" s="104" t="s">
        <v>302</v>
      </c>
      <c r="B715" s="105" t="s">
        <v>2240</v>
      </c>
      <c r="C715" s="105" t="s">
        <v>526</v>
      </c>
      <c r="D715" s="105" t="s">
        <v>553</v>
      </c>
      <c r="E715" s="19" t="s">
        <v>2241</v>
      </c>
      <c r="F715" s="83" t="s">
        <v>2241</v>
      </c>
      <c r="G715" s="23">
        <v>21600.0</v>
      </c>
      <c r="H715" s="26">
        <v>0.48</v>
      </c>
      <c r="I715" s="21">
        <v>19571.0</v>
      </c>
      <c r="J715" s="105" t="s">
        <v>1628</v>
      </c>
      <c r="K715" s="106" t="s">
        <v>1599</v>
      </c>
      <c r="L715" s="21">
        <v>52935.0</v>
      </c>
      <c r="M715" s="21">
        <v>41171.0</v>
      </c>
      <c r="N715" s="26">
        <v>0.3</v>
      </c>
      <c r="O715" s="26">
        <v>0.3</v>
      </c>
      <c r="P715" s="99" t="s">
        <v>2231</v>
      </c>
      <c r="Q715" s="26">
        <v>0.63</v>
      </c>
      <c r="R715" s="84">
        <v>0.4</v>
      </c>
    </row>
    <row r="716" ht="14.25" customHeight="1">
      <c r="A716" s="104" t="s">
        <v>302</v>
      </c>
      <c r="B716" s="105" t="s">
        <v>2242</v>
      </c>
      <c r="C716" s="105" t="s">
        <v>526</v>
      </c>
      <c r="D716" s="105" t="s">
        <v>553</v>
      </c>
      <c r="E716" s="19" t="s">
        <v>2243</v>
      </c>
      <c r="F716" s="83" t="s">
        <v>2243</v>
      </c>
      <c r="G716" s="23">
        <v>21600.0</v>
      </c>
      <c r="H716" s="26">
        <v>0.48</v>
      </c>
      <c r="I716" s="21">
        <v>19571.0</v>
      </c>
      <c r="J716" s="105" t="s">
        <v>1628</v>
      </c>
      <c r="K716" s="106" t="s">
        <v>1599</v>
      </c>
      <c r="L716" s="21">
        <v>52935.0</v>
      </c>
      <c r="M716" s="21">
        <v>41171.0</v>
      </c>
      <c r="N716" s="26">
        <v>0.3</v>
      </c>
      <c r="O716" s="26">
        <v>0.3</v>
      </c>
      <c r="P716" s="99" t="s">
        <v>2231</v>
      </c>
      <c r="Q716" s="26">
        <v>0.63</v>
      </c>
      <c r="R716" s="84">
        <v>0.4</v>
      </c>
    </row>
    <row r="717" ht="14.25" customHeight="1">
      <c r="A717" s="104" t="s">
        <v>302</v>
      </c>
      <c r="B717" s="105" t="s">
        <v>2244</v>
      </c>
      <c r="C717" s="105" t="s">
        <v>526</v>
      </c>
      <c r="D717" s="105" t="s">
        <v>175</v>
      </c>
      <c r="E717" s="19" t="s">
        <v>2245</v>
      </c>
      <c r="F717" s="83" t="s">
        <v>2245</v>
      </c>
      <c r="G717" s="23">
        <v>18360.0</v>
      </c>
      <c r="H717" s="26">
        <v>0.48</v>
      </c>
      <c r="I717" s="21">
        <v>16928.0</v>
      </c>
      <c r="J717" s="105" t="s">
        <v>1697</v>
      </c>
      <c r="K717" s="106" t="s">
        <v>1594</v>
      </c>
      <c r="L717" s="21">
        <v>47053.0</v>
      </c>
      <c r="M717" s="21">
        <v>35288.0</v>
      </c>
      <c r="N717" s="26">
        <v>0.3</v>
      </c>
      <c r="O717" s="26">
        <v>0.3</v>
      </c>
      <c r="P717" s="99" t="s">
        <v>2231</v>
      </c>
      <c r="Q717" s="26">
        <v>0.64</v>
      </c>
      <c r="R717" s="84">
        <v>0.41</v>
      </c>
    </row>
    <row r="718" ht="14.25" customHeight="1">
      <c r="A718" s="104" t="s">
        <v>302</v>
      </c>
      <c r="B718" s="105" t="s">
        <v>2246</v>
      </c>
      <c r="C718" s="105" t="s">
        <v>598</v>
      </c>
      <c r="D718" s="105" t="s">
        <v>599</v>
      </c>
      <c r="E718" s="19" t="s">
        <v>2247</v>
      </c>
      <c r="F718" s="83" t="s">
        <v>2247</v>
      </c>
      <c r="G718" s="23">
        <v>3780.0</v>
      </c>
      <c r="H718" s="26">
        <v>0.57</v>
      </c>
      <c r="I718" s="21">
        <v>5038.0</v>
      </c>
      <c r="J718" s="105" t="s">
        <v>1604</v>
      </c>
      <c r="K718" s="106" t="s">
        <v>1605</v>
      </c>
      <c r="L718" s="21">
        <v>11759.0</v>
      </c>
      <c r="M718" s="21">
        <v>8818.0</v>
      </c>
      <c r="N718" s="26">
        <v>0.3</v>
      </c>
      <c r="O718" s="26">
        <v>0.3</v>
      </c>
      <c r="P718" s="99" t="s">
        <v>2231</v>
      </c>
      <c r="Q718" s="26">
        <v>0.7</v>
      </c>
      <c r="R718" s="84">
        <v>0.47</v>
      </c>
    </row>
    <row r="719" ht="14.25" customHeight="1">
      <c r="A719" s="104" t="s">
        <v>302</v>
      </c>
      <c r="B719" s="105" t="s">
        <v>2248</v>
      </c>
      <c r="C719" s="105" t="s">
        <v>598</v>
      </c>
      <c r="D719" s="105" t="s">
        <v>599</v>
      </c>
      <c r="E719" s="19" t="s">
        <v>2249</v>
      </c>
      <c r="F719" s="83" t="s">
        <v>2249</v>
      </c>
      <c r="G719" s="23">
        <v>3780.0</v>
      </c>
      <c r="H719" s="26">
        <v>0.57</v>
      </c>
      <c r="I719" s="21">
        <v>5038.0</v>
      </c>
      <c r="J719" s="105" t="s">
        <v>1604</v>
      </c>
      <c r="K719" s="106" t="s">
        <v>1605</v>
      </c>
      <c r="L719" s="21">
        <v>11759.0</v>
      </c>
      <c r="M719" s="21">
        <v>8818.0</v>
      </c>
      <c r="N719" s="26">
        <v>0.3</v>
      </c>
      <c r="O719" s="26">
        <v>0.3</v>
      </c>
      <c r="P719" s="99" t="s">
        <v>2231</v>
      </c>
      <c r="Q719" s="26">
        <v>0.7</v>
      </c>
      <c r="R719" s="84">
        <v>0.47</v>
      </c>
    </row>
    <row r="720" ht="14.25" customHeight="1">
      <c r="A720" s="104" t="s">
        <v>302</v>
      </c>
      <c r="B720" s="105" t="s">
        <v>2250</v>
      </c>
      <c r="C720" s="105" t="s">
        <v>598</v>
      </c>
      <c r="D720" s="105" t="s">
        <v>599</v>
      </c>
      <c r="E720" s="19" t="s">
        <v>2251</v>
      </c>
      <c r="F720" s="83" t="s">
        <v>2251</v>
      </c>
      <c r="G720" s="23">
        <v>3780.0</v>
      </c>
      <c r="H720" s="26">
        <v>0.57</v>
      </c>
      <c r="I720" s="21">
        <v>5038.0</v>
      </c>
      <c r="J720" s="105" t="s">
        <v>1604</v>
      </c>
      <c r="K720" s="106" t="s">
        <v>1605</v>
      </c>
      <c r="L720" s="21">
        <v>11759.0</v>
      </c>
      <c r="M720" s="21">
        <v>8818.0</v>
      </c>
      <c r="N720" s="26">
        <v>0.3</v>
      </c>
      <c r="O720" s="26">
        <v>0.3</v>
      </c>
      <c r="P720" s="99" t="s">
        <v>2231</v>
      </c>
      <c r="Q720" s="26">
        <v>0.7</v>
      </c>
      <c r="R720" s="84">
        <v>0.47</v>
      </c>
    </row>
    <row r="721" ht="14.25" customHeight="1">
      <c r="A721" s="104" t="s">
        <v>302</v>
      </c>
      <c r="B721" s="105" t="s">
        <v>2252</v>
      </c>
      <c r="C721" s="105" t="s">
        <v>598</v>
      </c>
      <c r="D721" s="105" t="s">
        <v>599</v>
      </c>
      <c r="E721" s="19" t="s">
        <v>2253</v>
      </c>
      <c r="F721" s="83" t="s">
        <v>2253</v>
      </c>
      <c r="G721" s="23">
        <v>3780.0</v>
      </c>
      <c r="H721" s="26">
        <v>0.57</v>
      </c>
      <c r="I721" s="21">
        <v>5038.0</v>
      </c>
      <c r="J721" s="105" t="s">
        <v>1604</v>
      </c>
      <c r="K721" s="106" t="s">
        <v>1605</v>
      </c>
      <c r="L721" s="21">
        <v>11759.0</v>
      </c>
      <c r="M721" s="21">
        <v>8818.0</v>
      </c>
      <c r="N721" s="26">
        <v>0.3</v>
      </c>
      <c r="O721" s="26">
        <v>0.3</v>
      </c>
      <c r="P721" s="99" t="s">
        <v>2231</v>
      </c>
      <c r="Q721" s="26">
        <v>0.7</v>
      </c>
      <c r="R721" s="84">
        <v>0.47</v>
      </c>
    </row>
    <row r="722" ht="14.25" customHeight="1">
      <c r="A722" s="104" t="s">
        <v>302</v>
      </c>
      <c r="B722" s="105" t="s">
        <v>2254</v>
      </c>
      <c r="C722" s="105" t="s">
        <v>598</v>
      </c>
      <c r="D722" s="105" t="s">
        <v>599</v>
      </c>
      <c r="E722" s="19" t="s">
        <v>2255</v>
      </c>
      <c r="F722" s="83" t="s">
        <v>2255</v>
      </c>
      <c r="G722" s="23">
        <v>3780.0</v>
      </c>
      <c r="H722" s="26">
        <v>0.57</v>
      </c>
      <c r="I722" s="21">
        <v>5038.0</v>
      </c>
      <c r="J722" s="105" t="s">
        <v>1604</v>
      </c>
      <c r="K722" s="106" t="s">
        <v>1605</v>
      </c>
      <c r="L722" s="21">
        <v>11759.0</v>
      </c>
      <c r="M722" s="21">
        <v>8818.0</v>
      </c>
      <c r="N722" s="26">
        <v>0.3</v>
      </c>
      <c r="O722" s="26">
        <v>0.3</v>
      </c>
      <c r="P722" s="99" t="s">
        <v>2231</v>
      </c>
      <c r="Q722" s="26">
        <v>0.7</v>
      </c>
      <c r="R722" s="84">
        <v>0.47</v>
      </c>
    </row>
    <row r="723" ht="14.25" customHeight="1">
      <c r="A723" s="104" t="s">
        <v>302</v>
      </c>
      <c r="B723" s="105" t="s">
        <v>2256</v>
      </c>
      <c r="C723" s="105" t="s">
        <v>598</v>
      </c>
      <c r="D723" s="105" t="s">
        <v>599</v>
      </c>
      <c r="E723" s="19" t="s">
        <v>2257</v>
      </c>
      <c r="F723" s="83" t="s">
        <v>2257</v>
      </c>
      <c r="G723" s="23">
        <v>3780.0</v>
      </c>
      <c r="H723" s="26">
        <v>0.57</v>
      </c>
      <c r="I723" s="21">
        <v>5038.0</v>
      </c>
      <c r="J723" s="105" t="s">
        <v>1604</v>
      </c>
      <c r="K723" s="106" t="s">
        <v>1605</v>
      </c>
      <c r="L723" s="21">
        <v>11759.0</v>
      </c>
      <c r="M723" s="21">
        <v>8818.0</v>
      </c>
      <c r="N723" s="26">
        <v>0.3</v>
      </c>
      <c r="O723" s="26">
        <v>0.3</v>
      </c>
      <c r="P723" s="99" t="s">
        <v>2231</v>
      </c>
      <c r="Q723" s="26">
        <v>0.7</v>
      </c>
      <c r="R723" s="84">
        <v>0.47</v>
      </c>
    </row>
    <row r="724" ht="14.25" customHeight="1">
      <c r="A724" s="104" t="s">
        <v>302</v>
      </c>
      <c r="B724" s="105" t="s">
        <v>2258</v>
      </c>
      <c r="C724" s="105" t="s">
        <v>598</v>
      </c>
      <c r="D724" s="105" t="s">
        <v>599</v>
      </c>
      <c r="E724" s="19" t="s">
        <v>2259</v>
      </c>
      <c r="F724" s="83" t="s">
        <v>2259</v>
      </c>
      <c r="G724" s="23">
        <v>3780.0</v>
      </c>
      <c r="H724" s="26">
        <v>0.57</v>
      </c>
      <c r="I724" s="21">
        <v>5038.0</v>
      </c>
      <c r="J724" s="105" t="s">
        <v>1604</v>
      </c>
      <c r="K724" s="106" t="s">
        <v>1605</v>
      </c>
      <c r="L724" s="21">
        <v>11759.0</v>
      </c>
      <c r="M724" s="21">
        <v>8818.0</v>
      </c>
      <c r="N724" s="26">
        <v>0.3</v>
      </c>
      <c r="O724" s="26">
        <v>0.3</v>
      </c>
      <c r="P724" s="99" t="s">
        <v>2231</v>
      </c>
      <c r="Q724" s="26">
        <v>0.7</v>
      </c>
      <c r="R724" s="84">
        <v>0.47</v>
      </c>
    </row>
    <row r="725" ht="14.25" customHeight="1">
      <c r="A725" s="104" t="s">
        <v>302</v>
      </c>
      <c r="B725" s="105" t="s">
        <v>2260</v>
      </c>
      <c r="C725" s="105" t="s">
        <v>598</v>
      </c>
      <c r="D725" s="105" t="s">
        <v>599</v>
      </c>
      <c r="E725" s="19" t="s">
        <v>2261</v>
      </c>
      <c r="F725" s="83" t="s">
        <v>2261</v>
      </c>
      <c r="G725" s="23">
        <v>3780.0</v>
      </c>
      <c r="H725" s="26">
        <v>0.57</v>
      </c>
      <c r="I725" s="21">
        <v>5038.0</v>
      </c>
      <c r="J725" s="105" t="s">
        <v>1604</v>
      </c>
      <c r="K725" s="106" t="s">
        <v>1605</v>
      </c>
      <c r="L725" s="21">
        <v>11759.0</v>
      </c>
      <c r="M725" s="21">
        <v>8818.0</v>
      </c>
      <c r="N725" s="26">
        <v>0.3</v>
      </c>
      <c r="O725" s="26">
        <v>0.3</v>
      </c>
      <c r="P725" s="99" t="s">
        <v>2231</v>
      </c>
      <c r="Q725" s="26">
        <v>0.7</v>
      </c>
      <c r="R725" s="84">
        <v>0.47</v>
      </c>
    </row>
    <row r="726" ht="14.25" customHeight="1">
      <c r="A726" s="104" t="s">
        <v>302</v>
      </c>
      <c r="B726" s="105" t="s">
        <v>2262</v>
      </c>
      <c r="C726" s="105" t="s">
        <v>598</v>
      </c>
      <c r="D726" s="105" t="s">
        <v>599</v>
      </c>
      <c r="E726" s="19" t="s">
        <v>2263</v>
      </c>
      <c r="F726" s="83" t="s">
        <v>2263</v>
      </c>
      <c r="G726" s="23">
        <v>3780.0</v>
      </c>
      <c r="H726" s="26">
        <v>0.57</v>
      </c>
      <c r="I726" s="21">
        <v>5038.0</v>
      </c>
      <c r="J726" s="105" t="s">
        <v>1604</v>
      </c>
      <c r="K726" s="106" t="s">
        <v>1605</v>
      </c>
      <c r="L726" s="21">
        <v>11759.0</v>
      </c>
      <c r="M726" s="21">
        <v>8818.0</v>
      </c>
      <c r="N726" s="26">
        <v>0.3</v>
      </c>
      <c r="O726" s="26">
        <v>0.3</v>
      </c>
      <c r="P726" s="99" t="s">
        <v>2231</v>
      </c>
      <c r="Q726" s="26">
        <v>0.7</v>
      </c>
      <c r="R726" s="84">
        <v>0.47</v>
      </c>
    </row>
    <row r="727" ht="14.25" customHeight="1">
      <c r="A727" s="104" t="s">
        <v>302</v>
      </c>
      <c r="B727" s="105" t="s">
        <v>2264</v>
      </c>
      <c r="C727" s="105" t="s">
        <v>598</v>
      </c>
      <c r="D727" s="105" t="s">
        <v>599</v>
      </c>
      <c r="E727" s="19" t="s">
        <v>2265</v>
      </c>
      <c r="F727" s="83" t="s">
        <v>2265</v>
      </c>
      <c r="G727" s="23">
        <v>3780.0</v>
      </c>
      <c r="H727" s="26">
        <v>0.57</v>
      </c>
      <c r="I727" s="21">
        <v>5038.0</v>
      </c>
      <c r="J727" s="105" t="s">
        <v>1604</v>
      </c>
      <c r="K727" s="106" t="s">
        <v>1605</v>
      </c>
      <c r="L727" s="21">
        <v>11759.0</v>
      </c>
      <c r="M727" s="21">
        <v>8818.0</v>
      </c>
      <c r="N727" s="26">
        <v>0.3</v>
      </c>
      <c r="O727" s="26">
        <v>0.3</v>
      </c>
      <c r="P727" s="99" t="s">
        <v>2231</v>
      </c>
      <c r="Q727" s="26">
        <v>0.7</v>
      </c>
      <c r="R727" s="84">
        <v>0.47</v>
      </c>
    </row>
    <row r="728" ht="14.25" customHeight="1">
      <c r="A728" s="104" t="s">
        <v>302</v>
      </c>
      <c r="B728" s="105" t="s">
        <v>2266</v>
      </c>
      <c r="C728" s="105" t="s">
        <v>748</v>
      </c>
      <c r="D728" s="105" t="s">
        <v>748</v>
      </c>
      <c r="E728" s="19" t="s">
        <v>2267</v>
      </c>
      <c r="F728" s="83" t="s">
        <v>2267</v>
      </c>
      <c r="G728" s="23">
        <v>25380.0</v>
      </c>
      <c r="H728" s="26">
        <v>0.46</v>
      </c>
      <c r="I728" s="21">
        <v>21673.0</v>
      </c>
      <c r="J728" s="105" t="s">
        <v>1596</v>
      </c>
      <c r="K728" s="106" t="s">
        <v>1697</v>
      </c>
      <c r="L728" s="21">
        <v>58818.0</v>
      </c>
      <c r="M728" s="21">
        <v>47053.0</v>
      </c>
      <c r="N728" s="26">
        <v>0.3</v>
      </c>
      <c r="O728" s="26">
        <v>0.3</v>
      </c>
      <c r="P728" s="99" t="s">
        <v>2231</v>
      </c>
      <c r="Q728" s="26">
        <v>0.62</v>
      </c>
      <c r="R728" s="84">
        <v>0.39</v>
      </c>
    </row>
    <row r="729" ht="14.25" customHeight="1">
      <c r="A729" s="104" t="s">
        <v>302</v>
      </c>
      <c r="B729" s="105" t="s">
        <v>2268</v>
      </c>
      <c r="C729" s="105" t="s">
        <v>748</v>
      </c>
      <c r="D729" s="105" t="s">
        <v>748</v>
      </c>
      <c r="E729" s="19" t="s">
        <v>2269</v>
      </c>
      <c r="F729" s="83" t="s">
        <v>2269</v>
      </c>
      <c r="G729" s="23">
        <v>25380.0</v>
      </c>
      <c r="H729" s="26">
        <v>0.46</v>
      </c>
      <c r="I729" s="21">
        <v>21673.0</v>
      </c>
      <c r="J729" s="105" t="s">
        <v>1596</v>
      </c>
      <c r="K729" s="106" t="s">
        <v>1697</v>
      </c>
      <c r="L729" s="21">
        <v>58818.0</v>
      </c>
      <c r="M729" s="21">
        <v>47053.0</v>
      </c>
      <c r="N729" s="26">
        <v>0.3</v>
      </c>
      <c r="O729" s="26">
        <v>0.3</v>
      </c>
      <c r="P729" s="99" t="s">
        <v>2231</v>
      </c>
      <c r="Q729" s="26">
        <v>0.62</v>
      </c>
      <c r="R729" s="84">
        <v>0.39</v>
      </c>
    </row>
    <row r="730" ht="14.25" customHeight="1">
      <c r="A730" s="104" t="s">
        <v>302</v>
      </c>
      <c r="B730" s="105" t="s">
        <v>2270</v>
      </c>
      <c r="C730" s="105" t="s">
        <v>748</v>
      </c>
      <c r="D730" s="105" t="s">
        <v>748</v>
      </c>
      <c r="E730" s="19" t="s">
        <v>2271</v>
      </c>
      <c r="F730" s="83" t="s">
        <v>2271</v>
      </c>
      <c r="G730" s="23">
        <v>25380.0</v>
      </c>
      <c r="H730" s="26">
        <v>0.46</v>
      </c>
      <c r="I730" s="21">
        <v>21673.0</v>
      </c>
      <c r="J730" s="105" t="s">
        <v>1596</v>
      </c>
      <c r="K730" s="106" t="s">
        <v>1697</v>
      </c>
      <c r="L730" s="21">
        <v>58818.0</v>
      </c>
      <c r="M730" s="21">
        <v>47053.0</v>
      </c>
      <c r="N730" s="26">
        <v>0.3</v>
      </c>
      <c r="O730" s="26">
        <v>0.3</v>
      </c>
      <c r="P730" s="99" t="s">
        <v>2231</v>
      </c>
      <c r="Q730" s="26">
        <v>0.62</v>
      </c>
      <c r="R730" s="84">
        <v>0.39</v>
      </c>
    </row>
    <row r="731" ht="14.25" customHeight="1">
      <c r="A731" s="104" t="s">
        <v>302</v>
      </c>
      <c r="B731" s="105" t="s">
        <v>2272</v>
      </c>
      <c r="C731" s="105" t="s">
        <v>748</v>
      </c>
      <c r="D731" s="105" t="s">
        <v>748</v>
      </c>
      <c r="E731" s="19" t="s">
        <v>2273</v>
      </c>
      <c r="F731" s="83" t="s">
        <v>2273</v>
      </c>
      <c r="G731" s="23">
        <v>25380.0</v>
      </c>
      <c r="H731" s="26">
        <v>0.46</v>
      </c>
      <c r="I731" s="21">
        <v>21673.0</v>
      </c>
      <c r="J731" s="105" t="s">
        <v>1596</v>
      </c>
      <c r="K731" s="106" t="s">
        <v>1697</v>
      </c>
      <c r="L731" s="21">
        <v>58818.0</v>
      </c>
      <c r="M731" s="21">
        <v>47053.0</v>
      </c>
      <c r="N731" s="26">
        <v>0.3</v>
      </c>
      <c r="O731" s="26">
        <v>0.3</v>
      </c>
      <c r="P731" s="99" t="s">
        <v>2231</v>
      </c>
      <c r="Q731" s="26">
        <v>0.62</v>
      </c>
      <c r="R731" s="84">
        <v>0.39</v>
      </c>
    </row>
    <row r="732" ht="14.25" customHeight="1">
      <c r="A732" s="104" t="s">
        <v>302</v>
      </c>
      <c r="B732" s="105" t="s">
        <v>2274</v>
      </c>
      <c r="C732" s="105" t="s">
        <v>748</v>
      </c>
      <c r="D732" s="105" t="s">
        <v>748</v>
      </c>
      <c r="E732" s="19" t="s">
        <v>2275</v>
      </c>
      <c r="F732" s="83" t="s">
        <v>2275</v>
      </c>
      <c r="G732" s="23">
        <v>25380.0</v>
      </c>
      <c r="H732" s="26">
        <v>0.46</v>
      </c>
      <c r="I732" s="21">
        <v>21673.0</v>
      </c>
      <c r="J732" s="105" t="s">
        <v>1596</v>
      </c>
      <c r="K732" s="106" t="s">
        <v>1697</v>
      </c>
      <c r="L732" s="21">
        <v>58818.0</v>
      </c>
      <c r="M732" s="21">
        <v>47053.0</v>
      </c>
      <c r="N732" s="26">
        <v>0.3</v>
      </c>
      <c r="O732" s="26">
        <v>0.3</v>
      </c>
      <c r="P732" s="99" t="s">
        <v>2231</v>
      </c>
      <c r="Q732" s="26">
        <v>0.62</v>
      </c>
      <c r="R732" s="84">
        <v>0.39</v>
      </c>
    </row>
    <row r="733" ht="14.25" customHeight="1">
      <c r="A733" s="104" t="s">
        <v>1179</v>
      </c>
      <c r="B733" s="105" t="s">
        <v>2276</v>
      </c>
      <c r="C733" s="105" t="s">
        <v>1301</v>
      </c>
      <c r="D733" s="105" t="s">
        <v>1302</v>
      </c>
      <c r="E733" s="19" t="s">
        <v>2277</v>
      </c>
      <c r="F733" s="83" t="s">
        <v>2277</v>
      </c>
      <c r="G733" s="23">
        <v>3888.0</v>
      </c>
      <c r="H733" s="26">
        <v>0.56</v>
      </c>
      <c r="I733" s="21">
        <v>4930.0</v>
      </c>
      <c r="J733" s="105" t="s">
        <v>1604</v>
      </c>
      <c r="K733" s="106" t="s">
        <v>1605</v>
      </c>
      <c r="L733" s="21">
        <v>11759.0</v>
      </c>
      <c r="M733" s="21">
        <v>8818.0</v>
      </c>
      <c r="N733" s="26">
        <v>0.3</v>
      </c>
      <c r="O733" s="26">
        <v>0.3</v>
      </c>
      <c r="P733" s="99" t="s">
        <v>2231</v>
      </c>
      <c r="Q733" s="26">
        <v>0.69</v>
      </c>
      <c r="R733" s="84">
        <v>0.46</v>
      </c>
    </row>
    <row r="734" ht="14.25" customHeight="1">
      <c r="A734" s="104" t="s">
        <v>1179</v>
      </c>
      <c r="B734" s="105" t="s">
        <v>2278</v>
      </c>
      <c r="C734" s="105" t="s">
        <v>1301</v>
      </c>
      <c r="D734" s="105" t="s">
        <v>1302</v>
      </c>
      <c r="E734" s="19" t="s">
        <v>2279</v>
      </c>
      <c r="F734" s="83" t="s">
        <v>2279</v>
      </c>
      <c r="G734" s="23">
        <v>4320.0</v>
      </c>
      <c r="H734" s="26">
        <v>0.51</v>
      </c>
      <c r="I734" s="21">
        <v>4498.0</v>
      </c>
      <c r="J734" s="105" t="s">
        <v>1604</v>
      </c>
      <c r="K734" s="106" t="s">
        <v>1605</v>
      </c>
      <c r="L734" s="21">
        <v>11759.0</v>
      </c>
      <c r="M734" s="21">
        <v>8818.0</v>
      </c>
      <c r="N734" s="26">
        <v>0.3</v>
      </c>
      <c r="O734" s="26">
        <v>0.3</v>
      </c>
      <c r="P734" s="99" t="s">
        <v>2231</v>
      </c>
      <c r="Q734" s="26">
        <v>0.66</v>
      </c>
      <c r="R734" s="84">
        <v>0.43</v>
      </c>
    </row>
    <row r="735" ht="14.25" customHeight="1">
      <c r="A735" s="104" t="s">
        <v>1179</v>
      </c>
      <c r="B735" s="105" t="s">
        <v>2280</v>
      </c>
      <c r="C735" s="105" t="s">
        <v>1301</v>
      </c>
      <c r="D735" s="105" t="s">
        <v>1302</v>
      </c>
      <c r="E735" s="19" t="s">
        <v>2281</v>
      </c>
      <c r="F735" s="83" t="s">
        <v>2281</v>
      </c>
      <c r="G735" s="23">
        <v>6480.0</v>
      </c>
      <c r="H735" s="26">
        <v>0.45</v>
      </c>
      <c r="I735" s="21">
        <v>5279.0</v>
      </c>
      <c r="J735" s="105" t="s">
        <v>1603</v>
      </c>
      <c r="K735" s="106" t="s">
        <v>1604</v>
      </c>
      <c r="L735" s="21">
        <v>17641.0</v>
      </c>
      <c r="M735" s="21">
        <v>11759.0</v>
      </c>
      <c r="N735" s="26">
        <v>0.3</v>
      </c>
      <c r="O735" s="26">
        <v>0.3</v>
      </c>
      <c r="P735" s="99" t="s">
        <v>2231</v>
      </c>
      <c r="Q735" s="26">
        <v>0.61</v>
      </c>
      <c r="R735" s="84">
        <v>0.38</v>
      </c>
    </row>
    <row r="736" ht="14.25" customHeight="1">
      <c r="A736" s="104" t="s">
        <v>1179</v>
      </c>
      <c r="B736" s="105" t="s">
        <v>2282</v>
      </c>
      <c r="C736" s="105" t="s">
        <v>1301</v>
      </c>
      <c r="D736" s="105" t="s">
        <v>1302</v>
      </c>
      <c r="E736" s="19" t="s">
        <v>2283</v>
      </c>
      <c r="F736" s="83" t="s">
        <v>2283</v>
      </c>
      <c r="G736" s="23">
        <v>6804.0</v>
      </c>
      <c r="H736" s="26">
        <v>0.42</v>
      </c>
      <c r="I736" s="21">
        <v>4955.0</v>
      </c>
      <c r="J736" s="105" t="s">
        <v>1603</v>
      </c>
      <c r="K736" s="106" t="s">
        <v>1604</v>
      </c>
      <c r="L736" s="21">
        <v>17641.0</v>
      </c>
      <c r="M736" s="21">
        <v>11759.0</v>
      </c>
      <c r="N736" s="26">
        <v>0.3</v>
      </c>
      <c r="O736" s="26">
        <v>0.3</v>
      </c>
      <c r="P736" s="99" t="s">
        <v>2231</v>
      </c>
      <c r="Q736" s="26">
        <v>0.59</v>
      </c>
      <c r="R736" s="84">
        <v>0.36</v>
      </c>
    </row>
    <row r="737" ht="14.25" customHeight="1">
      <c r="A737" s="104" t="s">
        <v>1179</v>
      </c>
      <c r="B737" s="105" t="s">
        <v>2284</v>
      </c>
      <c r="C737" s="105" t="s">
        <v>1301</v>
      </c>
      <c r="D737" s="105" t="s">
        <v>1340</v>
      </c>
      <c r="E737" s="19" t="s">
        <v>2285</v>
      </c>
      <c r="F737" s="83" t="s">
        <v>2285</v>
      </c>
      <c r="G737" s="23">
        <v>4104.0</v>
      </c>
      <c r="H737" s="26">
        <v>0.53</v>
      </c>
      <c r="I737" s="21">
        <v>4714.0</v>
      </c>
      <c r="J737" s="105" t="s">
        <v>1604</v>
      </c>
      <c r="K737" s="106" t="s">
        <v>1605</v>
      </c>
      <c r="L737" s="21">
        <v>11759.0</v>
      </c>
      <c r="M737" s="21">
        <v>8818.0</v>
      </c>
      <c r="N737" s="26">
        <v>0.3</v>
      </c>
      <c r="O737" s="26">
        <v>0.3</v>
      </c>
      <c r="P737" s="99" t="s">
        <v>2231</v>
      </c>
      <c r="Q737" s="26">
        <v>0.67</v>
      </c>
      <c r="R737" s="84">
        <v>0.44</v>
      </c>
    </row>
    <row r="738" ht="14.25" customHeight="1">
      <c r="A738" s="104" t="s">
        <v>1179</v>
      </c>
      <c r="B738" s="105" t="s">
        <v>2286</v>
      </c>
      <c r="C738" s="105" t="s">
        <v>1323</v>
      </c>
      <c r="D738" s="105" t="s">
        <v>1340</v>
      </c>
      <c r="E738" s="19" t="s">
        <v>2287</v>
      </c>
      <c r="F738" s="83" t="s">
        <v>2287</v>
      </c>
      <c r="G738" s="23">
        <v>6858.0</v>
      </c>
      <c r="H738" s="26">
        <v>0.42</v>
      </c>
      <c r="I738" s="21">
        <v>4901.0</v>
      </c>
      <c r="J738" s="105" t="s">
        <v>1603</v>
      </c>
      <c r="K738" s="106" t="s">
        <v>1604</v>
      </c>
      <c r="L738" s="21">
        <v>17641.0</v>
      </c>
      <c r="M738" s="21">
        <v>11759.0</v>
      </c>
      <c r="N738" s="26">
        <v>0.3</v>
      </c>
      <c r="O738" s="26">
        <v>0.3</v>
      </c>
      <c r="P738" s="99" t="s">
        <v>2231</v>
      </c>
      <c r="Q738" s="26">
        <v>0.59</v>
      </c>
      <c r="R738" s="84">
        <v>0.36</v>
      </c>
    </row>
    <row r="739" ht="14.25" customHeight="1">
      <c r="A739" s="104" t="s">
        <v>1179</v>
      </c>
      <c r="B739" s="105" t="s">
        <v>2288</v>
      </c>
      <c r="C739" s="105" t="s">
        <v>1323</v>
      </c>
      <c r="D739" s="105" t="s">
        <v>1340</v>
      </c>
      <c r="E739" s="19" t="s">
        <v>2289</v>
      </c>
      <c r="F739" s="83" t="s">
        <v>2289</v>
      </c>
      <c r="G739" s="23">
        <v>5400.0</v>
      </c>
      <c r="H739" s="26">
        <v>0.46</v>
      </c>
      <c r="I739" s="21">
        <v>4594.0</v>
      </c>
      <c r="J739" s="105" t="s">
        <v>1604</v>
      </c>
      <c r="K739" s="106" t="s">
        <v>1602</v>
      </c>
      <c r="L739" s="21">
        <v>11759.0</v>
      </c>
      <c r="M739" s="21">
        <v>9994.0</v>
      </c>
      <c r="N739" s="26">
        <v>0.3</v>
      </c>
      <c r="O739" s="26">
        <v>0.3</v>
      </c>
      <c r="P739" s="99" t="s">
        <v>2231</v>
      </c>
      <c r="Q739" s="26">
        <v>0.62</v>
      </c>
      <c r="R739" s="84">
        <v>0.39</v>
      </c>
    </row>
    <row r="740" ht="14.25" customHeight="1">
      <c r="A740" s="104" t="s">
        <v>1179</v>
      </c>
      <c r="B740" s="105" t="s">
        <v>2290</v>
      </c>
      <c r="C740" s="105" t="s">
        <v>1323</v>
      </c>
      <c r="D740" s="105" t="s">
        <v>1340</v>
      </c>
      <c r="E740" s="19" t="s">
        <v>2291</v>
      </c>
      <c r="F740" s="83" t="s">
        <v>2291</v>
      </c>
      <c r="G740" s="23">
        <v>5508.0</v>
      </c>
      <c r="H740" s="26">
        <v>0.45</v>
      </c>
      <c r="I740" s="21">
        <v>4486.0</v>
      </c>
      <c r="J740" s="105" t="s">
        <v>1604</v>
      </c>
      <c r="K740" s="106" t="s">
        <v>1602</v>
      </c>
      <c r="L740" s="21">
        <v>11759.0</v>
      </c>
      <c r="M740" s="21">
        <v>9994.0</v>
      </c>
      <c r="N740" s="26">
        <v>0.3</v>
      </c>
      <c r="O740" s="26">
        <v>0.3</v>
      </c>
      <c r="P740" s="99" t="s">
        <v>2231</v>
      </c>
      <c r="Q740" s="26">
        <v>0.61</v>
      </c>
      <c r="R740" s="84">
        <v>0.38</v>
      </c>
    </row>
    <row r="741" ht="14.25" customHeight="1">
      <c r="A741" s="104" t="s">
        <v>1179</v>
      </c>
      <c r="B741" s="105" t="s">
        <v>2292</v>
      </c>
      <c r="C741" s="105" t="s">
        <v>1323</v>
      </c>
      <c r="D741" s="105" t="s">
        <v>1340</v>
      </c>
      <c r="E741" s="19" t="s">
        <v>2293</v>
      </c>
      <c r="F741" s="83" t="s">
        <v>2293</v>
      </c>
      <c r="G741" s="23">
        <v>9612.0</v>
      </c>
      <c r="H741" s="26">
        <v>0.46</v>
      </c>
      <c r="I741" s="21">
        <v>8029.0</v>
      </c>
      <c r="J741" s="105" t="s">
        <v>1608</v>
      </c>
      <c r="K741" s="106" t="s">
        <v>1603</v>
      </c>
      <c r="L741" s="21">
        <v>23524.0</v>
      </c>
      <c r="M741" s="21">
        <v>17641.0</v>
      </c>
      <c r="N741" s="26">
        <v>0.3</v>
      </c>
      <c r="O741" s="26">
        <v>0.3</v>
      </c>
      <c r="P741" s="99" t="s">
        <v>2231</v>
      </c>
      <c r="Q741" s="26">
        <v>0.62</v>
      </c>
      <c r="R741" s="84">
        <v>0.39</v>
      </c>
    </row>
    <row r="742" ht="14.25" customHeight="1">
      <c r="A742" s="104" t="s">
        <v>1179</v>
      </c>
      <c r="B742" s="105" t="s">
        <v>2294</v>
      </c>
      <c r="C742" s="105" t="s">
        <v>1323</v>
      </c>
      <c r="D742" s="105" t="s">
        <v>1333</v>
      </c>
      <c r="E742" s="19" t="s">
        <v>2295</v>
      </c>
      <c r="F742" s="83" t="s">
        <v>2295</v>
      </c>
      <c r="G742" s="23">
        <v>9612.0</v>
      </c>
      <c r="H742" s="26">
        <v>0.46</v>
      </c>
      <c r="I742" s="21">
        <v>8029.0</v>
      </c>
      <c r="J742" s="105" t="s">
        <v>1608</v>
      </c>
      <c r="K742" s="106" t="s">
        <v>1603</v>
      </c>
      <c r="L742" s="21">
        <v>23524.0</v>
      </c>
      <c r="M742" s="21">
        <v>17641.0</v>
      </c>
      <c r="N742" s="26">
        <v>0.3</v>
      </c>
      <c r="O742" s="26">
        <v>0.3</v>
      </c>
      <c r="P742" s="99" t="s">
        <v>2231</v>
      </c>
      <c r="Q742" s="26">
        <v>0.62</v>
      </c>
      <c r="R742" s="84">
        <v>0.39</v>
      </c>
    </row>
    <row r="743" ht="14.25" customHeight="1">
      <c r="A743" s="104" t="s">
        <v>1179</v>
      </c>
      <c r="B743" s="107"/>
      <c r="C743" s="105" t="s">
        <v>1323</v>
      </c>
      <c r="D743" s="105" t="s">
        <v>1333</v>
      </c>
      <c r="E743" s="19" t="s">
        <v>2296</v>
      </c>
      <c r="F743" s="83" t="s">
        <v>2296</v>
      </c>
      <c r="G743" s="23">
        <v>9612.0</v>
      </c>
      <c r="H743" s="26">
        <v>0.46</v>
      </c>
      <c r="I743" s="21">
        <v>8029.0</v>
      </c>
      <c r="J743" s="105" t="s">
        <v>1608</v>
      </c>
      <c r="K743" s="106" t="s">
        <v>1603</v>
      </c>
      <c r="L743" s="21">
        <v>23524.0</v>
      </c>
      <c r="M743" s="21">
        <v>17641.0</v>
      </c>
      <c r="N743" s="26">
        <v>0.3</v>
      </c>
      <c r="O743" s="26">
        <v>0.3</v>
      </c>
      <c r="P743" s="99" t="s">
        <v>2231</v>
      </c>
      <c r="Q743" s="26">
        <v>0.62</v>
      </c>
      <c r="R743" s="84">
        <v>0.39</v>
      </c>
    </row>
    <row r="744" ht="14.25" customHeight="1">
      <c r="A744" s="104" t="s">
        <v>1437</v>
      </c>
      <c r="B744" s="105" t="s">
        <v>2297</v>
      </c>
      <c r="C744" s="105" t="s">
        <v>1449</v>
      </c>
      <c r="D744" s="105" t="s">
        <v>1457</v>
      </c>
      <c r="E744" s="19" t="s">
        <v>2298</v>
      </c>
      <c r="F744" s="83" t="s">
        <v>2298</v>
      </c>
      <c r="G744" s="23">
        <v>178200.0</v>
      </c>
      <c r="H744" s="26">
        <v>0.39</v>
      </c>
      <c r="I744" s="21">
        <v>115912.0</v>
      </c>
      <c r="J744" s="105" t="s">
        <v>1640</v>
      </c>
      <c r="K744" s="106" t="s">
        <v>2299</v>
      </c>
      <c r="L744" s="21">
        <v>411759.0</v>
      </c>
      <c r="M744" s="21">
        <v>294112.0</v>
      </c>
      <c r="N744" s="26">
        <v>0.3</v>
      </c>
      <c r="O744" s="26">
        <v>0.3</v>
      </c>
      <c r="P744" s="99" t="s">
        <v>2231</v>
      </c>
      <c r="Q744" s="26">
        <v>0.58</v>
      </c>
      <c r="R744" s="84">
        <v>0.35</v>
      </c>
    </row>
    <row r="745" ht="14.25" customHeight="1">
      <c r="A745" s="104" t="s">
        <v>1437</v>
      </c>
      <c r="B745" s="105" t="s">
        <v>2300</v>
      </c>
      <c r="C745" s="105" t="s">
        <v>1449</v>
      </c>
      <c r="D745" s="105" t="s">
        <v>1452</v>
      </c>
      <c r="E745" s="19" t="s">
        <v>2301</v>
      </c>
      <c r="F745" s="83" t="s">
        <v>2301</v>
      </c>
      <c r="G745" s="23">
        <v>21006.0</v>
      </c>
      <c r="H745" s="26">
        <v>0.49</v>
      </c>
      <c r="I745" s="21">
        <v>20165.0</v>
      </c>
      <c r="J745" s="105" t="s">
        <v>1628</v>
      </c>
      <c r="K745" s="106" t="s">
        <v>1599</v>
      </c>
      <c r="L745" s="21">
        <v>52935.0</v>
      </c>
      <c r="M745" s="21">
        <v>41171.0</v>
      </c>
      <c r="N745" s="26">
        <v>0.3</v>
      </c>
      <c r="O745" s="26">
        <v>0.3</v>
      </c>
      <c r="P745" s="99" t="s">
        <v>2231</v>
      </c>
      <c r="Q745" s="26">
        <v>0.64</v>
      </c>
      <c r="R745" s="84">
        <v>0.41</v>
      </c>
    </row>
    <row r="746" ht="14.25" customHeight="1">
      <c r="A746" s="104" t="s">
        <v>1437</v>
      </c>
      <c r="B746" s="105" t="s">
        <v>2302</v>
      </c>
      <c r="C746" s="105" t="s">
        <v>1449</v>
      </c>
      <c r="D746" s="105" t="s">
        <v>1452</v>
      </c>
      <c r="E746" s="19" t="s">
        <v>2303</v>
      </c>
      <c r="F746" s="83" t="s">
        <v>2303</v>
      </c>
      <c r="G746" s="23">
        <v>21708.0</v>
      </c>
      <c r="H746" s="26">
        <v>0.47</v>
      </c>
      <c r="I746" s="21">
        <v>19463.0</v>
      </c>
      <c r="J746" s="105" t="s">
        <v>1628</v>
      </c>
      <c r="K746" s="106" t="s">
        <v>1599</v>
      </c>
      <c r="L746" s="21">
        <v>52935.0</v>
      </c>
      <c r="M746" s="21">
        <v>41171.0</v>
      </c>
      <c r="N746" s="26">
        <v>0.3</v>
      </c>
      <c r="O746" s="26">
        <v>0.3</v>
      </c>
      <c r="P746" s="99" t="s">
        <v>2231</v>
      </c>
      <c r="Q746" s="26">
        <v>0.63</v>
      </c>
      <c r="R746" s="84">
        <v>0.4</v>
      </c>
    </row>
    <row r="747" ht="14.25" customHeight="1">
      <c r="A747" s="104" t="s">
        <v>1437</v>
      </c>
      <c r="B747" s="107"/>
      <c r="C747" s="105" t="s">
        <v>1449</v>
      </c>
      <c r="D747" s="105" t="s">
        <v>1452</v>
      </c>
      <c r="E747" s="19" t="s">
        <v>2304</v>
      </c>
      <c r="F747" s="83" t="s">
        <v>2304</v>
      </c>
      <c r="G747" s="23">
        <v>21708.0</v>
      </c>
      <c r="H747" s="26">
        <v>0.47</v>
      </c>
      <c r="I747" s="21">
        <v>19463.0</v>
      </c>
      <c r="J747" s="105" t="s">
        <v>1628</v>
      </c>
      <c r="K747" s="106" t="s">
        <v>1599</v>
      </c>
      <c r="L747" s="21">
        <v>52935.0</v>
      </c>
      <c r="M747" s="21">
        <v>41171.0</v>
      </c>
      <c r="N747" s="26">
        <v>0.3</v>
      </c>
      <c r="O747" s="26">
        <v>0.3</v>
      </c>
      <c r="P747" s="99" t="s">
        <v>2231</v>
      </c>
      <c r="Q747" s="26">
        <v>0.63</v>
      </c>
      <c r="R747" s="84">
        <v>0.4</v>
      </c>
    </row>
    <row r="748" ht="14.25" customHeight="1">
      <c r="A748" s="104" t="s">
        <v>1437</v>
      </c>
      <c r="B748" s="107"/>
      <c r="C748" s="105" t="s">
        <v>1449</v>
      </c>
      <c r="D748" s="105" t="s">
        <v>1452</v>
      </c>
      <c r="E748" s="19" t="s">
        <v>2305</v>
      </c>
      <c r="F748" s="83" t="s">
        <v>2305</v>
      </c>
      <c r="G748" s="23">
        <v>28967.0</v>
      </c>
      <c r="H748" s="26">
        <v>0.45</v>
      </c>
      <c r="I748" s="21">
        <v>23969.0</v>
      </c>
      <c r="J748" s="105" t="s">
        <v>1597</v>
      </c>
      <c r="K748" s="106" t="s">
        <v>1628</v>
      </c>
      <c r="L748" s="21">
        <v>70582.0</v>
      </c>
      <c r="M748" s="21">
        <v>52935.0</v>
      </c>
      <c r="N748" s="26">
        <v>0.3</v>
      </c>
      <c r="O748" s="26">
        <v>0.3</v>
      </c>
      <c r="P748" s="99" t="s">
        <v>2231</v>
      </c>
      <c r="Q748" s="26">
        <v>0.62</v>
      </c>
      <c r="R748" s="84">
        <v>0.39</v>
      </c>
    </row>
    <row r="749" ht="14.25" customHeight="1">
      <c r="A749" s="104" t="s">
        <v>1437</v>
      </c>
      <c r="B749" s="105" t="s">
        <v>2306</v>
      </c>
      <c r="C749" s="105" t="s">
        <v>1449</v>
      </c>
      <c r="D749" s="105" t="s">
        <v>1452</v>
      </c>
      <c r="E749" s="19" t="s">
        <v>2307</v>
      </c>
      <c r="F749" s="83" t="s">
        <v>2307</v>
      </c>
      <c r="G749" s="23">
        <v>28967.0</v>
      </c>
      <c r="H749" s="26">
        <v>0.45</v>
      </c>
      <c r="I749" s="21">
        <v>23969.0</v>
      </c>
      <c r="J749" s="105" t="s">
        <v>1597</v>
      </c>
      <c r="K749" s="106" t="s">
        <v>1628</v>
      </c>
      <c r="L749" s="21">
        <v>70582.0</v>
      </c>
      <c r="M749" s="21">
        <v>52935.0</v>
      </c>
      <c r="N749" s="26">
        <v>0.3</v>
      </c>
      <c r="O749" s="26">
        <v>0.3</v>
      </c>
      <c r="P749" s="99" t="s">
        <v>2231</v>
      </c>
      <c r="Q749" s="26">
        <v>0.62</v>
      </c>
      <c r="R749" s="84">
        <v>0.39</v>
      </c>
    </row>
    <row r="750" ht="14.25" customHeight="1">
      <c r="A750" s="104" t="s">
        <v>1437</v>
      </c>
      <c r="B750" s="105" t="s">
        <v>2308</v>
      </c>
      <c r="C750" s="105" t="s">
        <v>1438</v>
      </c>
      <c r="D750" s="105" t="s">
        <v>1439</v>
      </c>
      <c r="E750" s="19" t="s">
        <v>2309</v>
      </c>
      <c r="F750" s="83" t="s">
        <v>2309</v>
      </c>
      <c r="G750" s="23">
        <v>4968.0</v>
      </c>
      <c r="H750" s="26">
        <v>0.44</v>
      </c>
      <c r="I750" s="21">
        <v>3850.0</v>
      </c>
      <c r="J750" s="105" t="s">
        <v>1604</v>
      </c>
      <c r="K750" s="106" t="s">
        <v>1605</v>
      </c>
      <c r="L750" s="21">
        <v>11759.0</v>
      </c>
      <c r="M750" s="21">
        <v>8818.0</v>
      </c>
      <c r="N750" s="26">
        <v>0.3</v>
      </c>
      <c r="O750" s="26">
        <v>0.3</v>
      </c>
      <c r="P750" s="99" t="s">
        <v>2231</v>
      </c>
      <c r="Q750" s="26">
        <v>0.61</v>
      </c>
      <c r="R750" s="84">
        <v>0.38</v>
      </c>
    </row>
    <row r="751" ht="14.25" customHeight="1">
      <c r="A751" s="104" t="s">
        <v>1437</v>
      </c>
      <c r="B751" s="107"/>
      <c r="C751" s="105" t="s">
        <v>1438</v>
      </c>
      <c r="D751" s="105" t="s">
        <v>1439</v>
      </c>
      <c r="E751" s="19" t="s">
        <v>2310</v>
      </c>
      <c r="F751" s="83" t="s">
        <v>2310</v>
      </c>
      <c r="G751" s="23">
        <v>4968.0</v>
      </c>
      <c r="H751" s="26">
        <v>0.44</v>
      </c>
      <c r="I751" s="21">
        <v>3850.0</v>
      </c>
      <c r="J751" s="105" t="s">
        <v>1604</v>
      </c>
      <c r="K751" s="106" t="s">
        <v>1605</v>
      </c>
      <c r="L751" s="21">
        <v>11759.0</v>
      </c>
      <c r="M751" s="21">
        <v>8818.0</v>
      </c>
      <c r="N751" s="26">
        <v>0.3</v>
      </c>
      <c r="O751" s="26">
        <v>0.3</v>
      </c>
      <c r="P751" s="99" t="s">
        <v>2231</v>
      </c>
      <c r="Q751" s="26">
        <v>0.61</v>
      </c>
      <c r="R751" s="84">
        <v>0.38</v>
      </c>
    </row>
    <row r="752" ht="14.25" customHeight="1">
      <c r="A752" s="104" t="s">
        <v>1437</v>
      </c>
      <c r="B752" s="107"/>
      <c r="C752" s="105" t="s">
        <v>1459</v>
      </c>
      <c r="D752" s="105" t="s">
        <v>1460</v>
      </c>
      <c r="E752" s="19" t="s">
        <v>2311</v>
      </c>
      <c r="F752" s="83" t="s">
        <v>2311</v>
      </c>
      <c r="G752" s="23">
        <v>35053.0</v>
      </c>
      <c r="H752" s="26">
        <v>0.4</v>
      </c>
      <c r="I752" s="21">
        <v>23765.0</v>
      </c>
      <c r="J752" s="105" t="s">
        <v>1598</v>
      </c>
      <c r="K752" s="106" t="s">
        <v>1596</v>
      </c>
      <c r="L752" s="21">
        <v>82347.0</v>
      </c>
      <c r="M752" s="21">
        <v>58818.0</v>
      </c>
      <c r="N752" s="26">
        <v>0.3</v>
      </c>
      <c r="O752" s="26">
        <v>0.3</v>
      </c>
      <c r="P752" s="99" t="s">
        <v>2231</v>
      </c>
      <c r="Q752" s="26">
        <v>0.58</v>
      </c>
      <c r="R752" s="84">
        <v>0.35</v>
      </c>
    </row>
    <row r="753" ht="14.25" customHeight="1">
      <c r="A753" s="104" t="s">
        <v>1437</v>
      </c>
      <c r="B753" s="107"/>
      <c r="C753" s="105" t="s">
        <v>1459</v>
      </c>
      <c r="D753" s="105" t="s">
        <v>1460</v>
      </c>
      <c r="E753" s="19" t="s">
        <v>2312</v>
      </c>
      <c r="F753" s="83" t="s">
        <v>2312</v>
      </c>
      <c r="G753" s="23">
        <v>18000.0</v>
      </c>
      <c r="H753" s="26">
        <v>0.39</v>
      </c>
      <c r="I753" s="21">
        <v>11406.0</v>
      </c>
      <c r="J753" s="105" t="s">
        <v>1599</v>
      </c>
      <c r="K753" s="106" t="s">
        <v>1606</v>
      </c>
      <c r="L753" s="21">
        <v>41171.0</v>
      </c>
      <c r="M753" s="21">
        <v>29406.0</v>
      </c>
      <c r="N753" s="26">
        <v>0.3</v>
      </c>
      <c r="O753" s="26">
        <v>0.3</v>
      </c>
      <c r="P753" s="99" t="s">
        <v>2231</v>
      </c>
      <c r="Q753" s="26">
        <v>0.57</v>
      </c>
      <c r="R753" s="84">
        <v>0.34</v>
      </c>
    </row>
    <row r="754" ht="14.25" customHeight="1">
      <c r="A754" s="104" t="s">
        <v>1437</v>
      </c>
      <c r="B754" s="107"/>
      <c r="C754" s="105" t="s">
        <v>1459</v>
      </c>
      <c r="D754" s="105" t="s">
        <v>1460</v>
      </c>
      <c r="E754" s="19" t="s">
        <v>2313</v>
      </c>
      <c r="F754" s="83" t="s">
        <v>2313</v>
      </c>
      <c r="G754" s="23">
        <v>36765.0</v>
      </c>
      <c r="H754" s="26">
        <v>0.43</v>
      </c>
      <c r="I754" s="21">
        <v>27935.0</v>
      </c>
      <c r="J754" s="105" t="s">
        <v>1622</v>
      </c>
      <c r="K754" s="106" t="s">
        <v>2314</v>
      </c>
      <c r="L754" s="21">
        <v>88229.0</v>
      </c>
      <c r="M754" s="21">
        <v>64700.0</v>
      </c>
      <c r="N754" s="26">
        <v>0.3</v>
      </c>
      <c r="O754" s="26">
        <v>0.3</v>
      </c>
      <c r="P754" s="99" t="s">
        <v>2231</v>
      </c>
      <c r="Q754" s="26">
        <v>0.6</v>
      </c>
      <c r="R754" s="84">
        <v>0.37</v>
      </c>
    </row>
    <row r="755" ht="14.25" customHeight="1">
      <c r="A755" s="104" t="s">
        <v>1437</v>
      </c>
      <c r="B755" s="107"/>
      <c r="C755" s="105" t="s">
        <v>1459</v>
      </c>
      <c r="D755" s="105" t="s">
        <v>1460</v>
      </c>
      <c r="E755" s="19" t="s">
        <v>2315</v>
      </c>
      <c r="F755" s="83" t="s">
        <v>2315</v>
      </c>
      <c r="G755" s="23">
        <v>81330.0</v>
      </c>
      <c r="H755" s="26">
        <v>0.45</v>
      </c>
      <c r="I755" s="21">
        <v>65723.0</v>
      </c>
      <c r="J755" s="105" t="s">
        <v>2316</v>
      </c>
      <c r="K755" s="106" t="s">
        <v>1752</v>
      </c>
      <c r="L755" s="21">
        <v>194112.0</v>
      </c>
      <c r="M755" s="21">
        <v>147053.0</v>
      </c>
      <c r="N755" s="26">
        <v>0.3</v>
      </c>
      <c r="O755" s="26">
        <v>0.3</v>
      </c>
      <c r="P755" s="99" t="s">
        <v>2231</v>
      </c>
      <c r="Q755" s="26">
        <v>0.61</v>
      </c>
      <c r="R755" s="84">
        <v>0.38</v>
      </c>
    </row>
    <row r="756" ht="14.25" customHeight="1">
      <c r="A756" s="104" t="s">
        <v>1437</v>
      </c>
      <c r="B756" s="107"/>
      <c r="C756" s="105" t="s">
        <v>1459</v>
      </c>
      <c r="D756" s="105" t="s">
        <v>1460</v>
      </c>
      <c r="E756" s="19" t="s">
        <v>2317</v>
      </c>
      <c r="F756" s="83" t="s">
        <v>2317</v>
      </c>
      <c r="G756" s="23">
        <v>155975.0</v>
      </c>
      <c r="H756" s="26">
        <v>0.34</v>
      </c>
      <c r="I756" s="21">
        <v>79313.0</v>
      </c>
      <c r="J756" s="105" t="s">
        <v>1654</v>
      </c>
      <c r="K756" s="106" t="s">
        <v>2318</v>
      </c>
      <c r="L756" s="21">
        <v>352935.0</v>
      </c>
      <c r="M756" s="21">
        <v>235288.0</v>
      </c>
      <c r="N756" s="26">
        <v>0.3</v>
      </c>
      <c r="O756" s="26">
        <v>0.3</v>
      </c>
      <c r="P756" s="99" t="s">
        <v>2231</v>
      </c>
      <c r="Q756" s="26">
        <v>0.54</v>
      </c>
      <c r="R756" s="84">
        <v>0.31</v>
      </c>
    </row>
    <row r="757" ht="14.25" customHeight="1">
      <c r="A757" s="104" t="s">
        <v>1437</v>
      </c>
      <c r="B757" s="107"/>
      <c r="C757" s="105" t="s">
        <v>1459</v>
      </c>
      <c r="D757" s="105" t="s">
        <v>1460</v>
      </c>
      <c r="E757" s="19" t="s">
        <v>2319</v>
      </c>
      <c r="F757" s="83" t="s">
        <v>2319</v>
      </c>
      <c r="G757" s="23">
        <v>200539.0</v>
      </c>
      <c r="H757" s="26">
        <v>0.32</v>
      </c>
      <c r="I757" s="21">
        <v>93573.0</v>
      </c>
      <c r="J757" s="105" t="s">
        <v>1640</v>
      </c>
      <c r="K757" s="106" t="s">
        <v>2299</v>
      </c>
      <c r="L757" s="21">
        <v>411759.0</v>
      </c>
      <c r="M757" s="21">
        <v>294112.0</v>
      </c>
      <c r="N757" s="26">
        <v>0.3</v>
      </c>
      <c r="O757" s="26">
        <v>0.3</v>
      </c>
      <c r="P757" s="99" t="s">
        <v>2231</v>
      </c>
      <c r="Q757" s="26">
        <v>0.52</v>
      </c>
      <c r="R757" s="84">
        <v>0.29</v>
      </c>
    </row>
    <row r="758" ht="14.25" customHeight="1">
      <c r="A758" s="104" t="s">
        <v>1437</v>
      </c>
      <c r="B758" s="107"/>
      <c r="C758" s="105" t="s">
        <v>1459</v>
      </c>
      <c r="D758" s="105" t="s">
        <v>1460</v>
      </c>
      <c r="E758" s="19" t="s">
        <v>2320</v>
      </c>
      <c r="F758" s="83" t="s">
        <v>2320</v>
      </c>
      <c r="G758" s="23">
        <v>89128.0</v>
      </c>
      <c r="H758" s="26">
        <v>0.34</v>
      </c>
      <c r="I758" s="21">
        <v>46160.0</v>
      </c>
      <c r="J758" s="105" t="s">
        <v>1752</v>
      </c>
      <c r="K758" s="106" t="s">
        <v>2321</v>
      </c>
      <c r="L758" s="21">
        <v>147053.0</v>
      </c>
      <c r="M758" s="21">
        <v>135288.0</v>
      </c>
      <c r="N758" s="26">
        <v>0.3</v>
      </c>
      <c r="O758" s="26">
        <v>0.3</v>
      </c>
      <c r="P758" s="99" t="s">
        <v>2231</v>
      </c>
      <c r="Q758" s="26">
        <v>0.54</v>
      </c>
      <c r="R758" s="84">
        <v>0.31</v>
      </c>
    </row>
    <row r="759" ht="14.25" customHeight="1">
      <c r="A759" s="104" t="s">
        <v>1437</v>
      </c>
      <c r="B759" s="107"/>
      <c r="C759" s="105" t="s">
        <v>1459</v>
      </c>
      <c r="D759" s="105" t="s">
        <v>1460</v>
      </c>
      <c r="E759" s="19" t="s">
        <v>2322</v>
      </c>
      <c r="F759" s="83" t="s">
        <v>2322</v>
      </c>
      <c r="G759" s="23">
        <v>8913.0</v>
      </c>
      <c r="H759" s="26">
        <v>0.39</v>
      </c>
      <c r="I759" s="21">
        <v>5787.0</v>
      </c>
      <c r="J759" s="105" t="s">
        <v>1608</v>
      </c>
      <c r="K759" s="106" t="s">
        <v>1601</v>
      </c>
      <c r="L759" s="21">
        <v>23524.0</v>
      </c>
      <c r="M759" s="21">
        <v>14700.0</v>
      </c>
      <c r="N759" s="26">
        <v>0.3</v>
      </c>
      <c r="O759" s="26">
        <v>0.3</v>
      </c>
      <c r="P759" s="99" t="s">
        <v>2231</v>
      </c>
      <c r="Q759" s="26">
        <v>0.58</v>
      </c>
      <c r="R759" s="84">
        <v>0.35</v>
      </c>
    </row>
    <row r="760" ht="14.25" customHeight="1">
      <c r="A760" s="104" t="s">
        <v>1437</v>
      </c>
      <c r="B760" s="107"/>
      <c r="C760" s="105" t="s">
        <v>1459</v>
      </c>
      <c r="D760" s="105" t="s">
        <v>1460</v>
      </c>
      <c r="E760" s="19" t="s">
        <v>2323</v>
      </c>
      <c r="F760" s="83" t="s">
        <v>2323</v>
      </c>
      <c r="G760" s="23">
        <v>18940.0</v>
      </c>
      <c r="H760" s="26">
        <v>0.36</v>
      </c>
      <c r="I760" s="21">
        <v>10466.0</v>
      </c>
      <c r="J760" s="105" t="s">
        <v>1596</v>
      </c>
      <c r="K760" s="106" t="s">
        <v>1606</v>
      </c>
      <c r="L760" s="21">
        <v>58818.0</v>
      </c>
      <c r="M760" s="21">
        <v>29406.0</v>
      </c>
      <c r="N760" s="26">
        <v>0.3</v>
      </c>
      <c r="O760" s="26">
        <v>0.3</v>
      </c>
      <c r="P760" s="99" t="s">
        <v>2231</v>
      </c>
      <c r="Q760" s="26">
        <v>0.55</v>
      </c>
      <c r="R760" s="84">
        <v>0.32</v>
      </c>
    </row>
    <row r="761" ht="14.25" customHeight="1">
      <c r="A761" s="104" t="s">
        <v>1437</v>
      </c>
      <c r="B761" s="105" t="s">
        <v>2324</v>
      </c>
      <c r="C761" s="105" t="s">
        <v>1459</v>
      </c>
      <c r="D761" s="105" t="s">
        <v>1460</v>
      </c>
      <c r="E761" s="19" t="s">
        <v>2325</v>
      </c>
      <c r="F761" s="83" t="s">
        <v>2325</v>
      </c>
      <c r="G761" s="23">
        <v>12960.0</v>
      </c>
      <c r="H761" s="26">
        <v>0.63</v>
      </c>
      <c r="I761" s="21">
        <v>22328.0</v>
      </c>
      <c r="J761" s="105" t="s">
        <v>1596</v>
      </c>
      <c r="K761" s="106" t="s">
        <v>1594</v>
      </c>
      <c r="L761" s="21">
        <v>58818.0</v>
      </c>
      <c r="M761" s="21">
        <v>35288.0</v>
      </c>
      <c r="N761" s="26">
        <v>0.3</v>
      </c>
      <c r="O761" s="26">
        <v>0.3</v>
      </c>
      <c r="P761" s="99" t="s">
        <v>2231</v>
      </c>
      <c r="Q761" s="26">
        <v>0.74</v>
      </c>
      <c r="R761" s="84">
        <v>0.51</v>
      </c>
    </row>
    <row r="762" ht="14.25" customHeight="1">
      <c r="A762" s="104" t="s">
        <v>1475</v>
      </c>
      <c r="B762" s="105" t="s">
        <v>2326</v>
      </c>
      <c r="C762" s="105" t="s">
        <v>1476</v>
      </c>
      <c r="D762" s="105" t="s">
        <v>1477</v>
      </c>
      <c r="E762" s="19" t="s">
        <v>2327</v>
      </c>
      <c r="F762" s="83" t="s">
        <v>2327</v>
      </c>
      <c r="G762" s="23">
        <v>14040.0</v>
      </c>
      <c r="H762" s="26">
        <v>0.4</v>
      </c>
      <c r="I762" s="21">
        <v>9484.0</v>
      </c>
      <c r="J762" s="105" t="s">
        <v>1697</v>
      </c>
      <c r="K762" s="106" t="s">
        <v>1608</v>
      </c>
      <c r="L762" s="21">
        <v>47053.0</v>
      </c>
      <c r="M762" s="21">
        <v>23524.0</v>
      </c>
      <c r="N762" s="26">
        <v>0.3</v>
      </c>
      <c r="O762" s="26">
        <v>0.3</v>
      </c>
      <c r="P762" s="99" t="s">
        <v>2231</v>
      </c>
      <c r="Q762" s="26">
        <v>0.58</v>
      </c>
      <c r="R762" s="84">
        <v>0.35</v>
      </c>
    </row>
    <row r="763" ht="14.25" customHeight="1">
      <c r="A763" s="108" t="s">
        <v>1475</v>
      </c>
      <c r="B763" s="105" t="s">
        <v>2328</v>
      </c>
      <c r="C763" s="83" t="s">
        <v>1476</v>
      </c>
      <c r="D763" s="105" t="s">
        <v>2329</v>
      </c>
      <c r="E763" s="19" t="s">
        <v>2330</v>
      </c>
      <c r="F763" s="83" t="s">
        <v>2330</v>
      </c>
      <c r="G763" s="23">
        <v>39960.0</v>
      </c>
      <c r="H763" s="26">
        <v>0.32</v>
      </c>
      <c r="I763" s="21">
        <v>18858.0</v>
      </c>
      <c r="J763" s="105" t="s">
        <v>1623</v>
      </c>
      <c r="K763" s="106" t="s">
        <v>1596</v>
      </c>
      <c r="L763" s="21">
        <v>76465.0</v>
      </c>
      <c r="M763" s="21">
        <v>58818.0</v>
      </c>
      <c r="N763" s="26">
        <v>0.3</v>
      </c>
      <c r="O763" s="26">
        <v>0.3</v>
      </c>
      <c r="P763" s="99" t="s">
        <v>2231</v>
      </c>
      <c r="Q763" s="26">
        <v>0.52</v>
      </c>
      <c r="R763" s="84">
        <v>0.29</v>
      </c>
    </row>
    <row r="764" ht="14.25" customHeight="1">
      <c r="A764" s="104" t="s">
        <v>16</v>
      </c>
      <c r="B764" s="105" t="s">
        <v>2331</v>
      </c>
      <c r="C764" s="105" t="s">
        <v>21</v>
      </c>
      <c r="D764" s="105" t="s">
        <v>39</v>
      </c>
      <c r="E764" s="19" t="s">
        <v>2332</v>
      </c>
      <c r="F764" s="83" t="s">
        <v>2332</v>
      </c>
      <c r="G764" s="23">
        <v>15120.0</v>
      </c>
      <c r="H764" s="26">
        <v>0.43</v>
      </c>
      <c r="I764" s="21">
        <v>11562.0</v>
      </c>
      <c r="J764" s="105" t="s">
        <v>2333</v>
      </c>
      <c r="K764" s="106" t="s">
        <v>2334</v>
      </c>
      <c r="L764" s="21">
        <v>35576.0</v>
      </c>
      <c r="M764" s="21">
        <v>26682.0</v>
      </c>
      <c r="N764" s="26">
        <v>0.3</v>
      </c>
      <c r="O764" s="26">
        <v>0.3</v>
      </c>
      <c r="P764" s="99" t="s">
        <v>2231</v>
      </c>
      <c r="Q764" s="26">
        <v>0.6</v>
      </c>
      <c r="R764" s="84">
        <v>0.37</v>
      </c>
    </row>
    <row r="765" ht="14.25" customHeight="1">
      <c r="A765" s="104" t="s">
        <v>16</v>
      </c>
      <c r="B765" s="105" t="s">
        <v>2335</v>
      </c>
      <c r="C765" s="105" t="s">
        <v>21</v>
      </c>
      <c r="D765" s="105" t="s">
        <v>39</v>
      </c>
      <c r="E765" s="19" t="s">
        <v>2336</v>
      </c>
      <c r="F765" s="83" t="s">
        <v>2336</v>
      </c>
      <c r="G765" s="23">
        <v>23393.0</v>
      </c>
      <c r="H765" s="26">
        <v>0.43</v>
      </c>
      <c r="I765" s="21">
        <v>17889.0</v>
      </c>
      <c r="J765" s="105" t="s">
        <v>2337</v>
      </c>
      <c r="K765" s="106" t="s">
        <v>2338</v>
      </c>
      <c r="L765" s="21">
        <v>55042.0</v>
      </c>
      <c r="M765" s="21">
        <v>41281.0</v>
      </c>
      <c r="N765" s="26">
        <v>0.3</v>
      </c>
      <c r="O765" s="26">
        <v>0.3</v>
      </c>
      <c r="P765" s="99" t="s">
        <v>2231</v>
      </c>
      <c r="Q765" s="26">
        <v>0.6</v>
      </c>
      <c r="R765" s="84">
        <v>0.37</v>
      </c>
    </row>
    <row r="766" ht="14.25" customHeight="1">
      <c r="A766" s="104" t="s">
        <v>16</v>
      </c>
      <c r="B766" s="105" t="s">
        <v>2339</v>
      </c>
      <c r="C766" s="105" t="s">
        <v>21</v>
      </c>
      <c r="D766" s="105" t="s">
        <v>39</v>
      </c>
      <c r="E766" s="19" t="s">
        <v>2340</v>
      </c>
      <c r="F766" s="83" t="s">
        <v>2340</v>
      </c>
      <c r="G766" s="23">
        <v>45360.0</v>
      </c>
      <c r="H766" s="26">
        <v>0.43</v>
      </c>
      <c r="I766" s="21">
        <v>34687.0</v>
      </c>
      <c r="J766" s="105" t="s">
        <v>2341</v>
      </c>
      <c r="K766" s="106" t="s">
        <v>2342</v>
      </c>
      <c r="L766" s="21">
        <v>106729.0</v>
      </c>
      <c r="M766" s="21">
        <v>80047.0</v>
      </c>
      <c r="N766" s="26">
        <v>0.3</v>
      </c>
      <c r="O766" s="26">
        <v>0.3</v>
      </c>
      <c r="P766" s="99" t="s">
        <v>2231</v>
      </c>
      <c r="Q766" s="26">
        <v>0.6</v>
      </c>
      <c r="R766" s="84">
        <v>0.37</v>
      </c>
    </row>
    <row r="767" ht="14.25" customHeight="1">
      <c r="A767" s="104" t="s">
        <v>16</v>
      </c>
      <c r="B767" s="105" t="s">
        <v>2343</v>
      </c>
      <c r="C767" s="105" t="s">
        <v>21</v>
      </c>
      <c r="D767" s="105" t="s">
        <v>39</v>
      </c>
      <c r="E767" s="19" t="s">
        <v>2344</v>
      </c>
      <c r="F767" s="83" t="s">
        <v>2344</v>
      </c>
      <c r="G767" s="23">
        <v>32400.0</v>
      </c>
      <c r="H767" s="26">
        <v>0.43</v>
      </c>
      <c r="I767" s="21">
        <v>24776.0</v>
      </c>
      <c r="J767" s="105" t="s">
        <v>2345</v>
      </c>
      <c r="K767" s="106" t="s">
        <v>2346</v>
      </c>
      <c r="L767" s="21">
        <v>76235.0</v>
      </c>
      <c r="M767" s="21">
        <v>57176.0</v>
      </c>
      <c r="N767" s="26">
        <v>0.3</v>
      </c>
      <c r="O767" s="26">
        <v>0.3</v>
      </c>
      <c r="P767" s="99" t="s">
        <v>2231</v>
      </c>
      <c r="Q767" s="26">
        <v>0.6</v>
      </c>
      <c r="R767" s="84">
        <v>0.37</v>
      </c>
    </row>
    <row r="768" ht="14.25" customHeight="1">
      <c r="A768" s="104" t="s">
        <v>16</v>
      </c>
      <c r="B768" s="105" t="s">
        <v>2347</v>
      </c>
      <c r="C768" s="105" t="s">
        <v>56</v>
      </c>
      <c r="D768" s="105" t="s">
        <v>77</v>
      </c>
      <c r="E768" s="19" t="s">
        <v>2348</v>
      </c>
      <c r="F768" s="83" t="s">
        <v>2348</v>
      </c>
      <c r="G768" s="23">
        <v>34020.0</v>
      </c>
      <c r="H768" s="26">
        <v>0.43</v>
      </c>
      <c r="I768" s="21">
        <v>26015.0</v>
      </c>
      <c r="J768" s="105" t="s">
        <v>2342</v>
      </c>
      <c r="K768" s="106" t="s">
        <v>2349</v>
      </c>
      <c r="L768" s="21">
        <v>80047.0</v>
      </c>
      <c r="M768" s="21">
        <v>60035.0</v>
      </c>
      <c r="N768" s="26">
        <v>0.3</v>
      </c>
      <c r="O768" s="26">
        <v>0.3</v>
      </c>
      <c r="P768" s="99" t="s">
        <v>2231</v>
      </c>
      <c r="Q768" s="26">
        <v>0.6</v>
      </c>
      <c r="R768" s="84">
        <v>0.37</v>
      </c>
    </row>
    <row r="769" ht="14.25" customHeight="1">
      <c r="A769" s="104" t="s">
        <v>16</v>
      </c>
      <c r="B769" s="105" t="s">
        <v>2350</v>
      </c>
      <c r="C769" s="105" t="s">
        <v>56</v>
      </c>
      <c r="D769" s="105" t="s">
        <v>77</v>
      </c>
      <c r="E769" s="19" t="s">
        <v>2351</v>
      </c>
      <c r="F769" s="83" t="s">
        <v>2351</v>
      </c>
      <c r="G769" s="23">
        <v>11880.0</v>
      </c>
      <c r="H769" s="26">
        <v>0.43</v>
      </c>
      <c r="I769" s="21">
        <v>9085.0</v>
      </c>
      <c r="J769" s="105" t="s">
        <v>2352</v>
      </c>
      <c r="K769" s="106" t="s">
        <v>2353</v>
      </c>
      <c r="L769" s="21">
        <v>27953.0</v>
      </c>
      <c r="M769" s="21">
        <v>20965.0</v>
      </c>
      <c r="N769" s="26">
        <v>0.3</v>
      </c>
      <c r="O769" s="26">
        <v>0.3</v>
      </c>
      <c r="P769" s="99" t="s">
        <v>2231</v>
      </c>
      <c r="Q769" s="26">
        <v>0.6</v>
      </c>
      <c r="R769" s="84">
        <v>0.37</v>
      </c>
    </row>
    <row r="770" ht="14.25" customHeight="1">
      <c r="A770" s="105" t="s">
        <v>16</v>
      </c>
      <c r="B770" s="16"/>
      <c r="C770" s="105" t="s">
        <v>56</v>
      </c>
      <c r="D770" s="105" t="s">
        <v>77</v>
      </c>
      <c r="E770" s="19" t="s">
        <v>2354</v>
      </c>
      <c r="F770" s="83" t="s">
        <v>2354</v>
      </c>
      <c r="G770" s="23">
        <v>11880.0</v>
      </c>
      <c r="H770" s="26">
        <v>0.43</v>
      </c>
      <c r="I770" s="21">
        <v>9085.0</v>
      </c>
      <c r="J770" s="105" t="s">
        <v>2352</v>
      </c>
      <c r="K770" s="106" t="s">
        <v>2353</v>
      </c>
      <c r="L770" s="21">
        <v>27953.0</v>
      </c>
      <c r="M770" s="21">
        <v>20965.0</v>
      </c>
      <c r="N770" s="26">
        <v>0.3</v>
      </c>
      <c r="O770" s="26">
        <v>0.3</v>
      </c>
      <c r="P770" s="99" t="s">
        <v>2231</v>
      </c>
      <c r="Q770" s="26">
        <v>0.6</v>
      </c>
      <c r="R770" s="84">
        <v>0.37</v>
      </c>
    </row>
    <row r="771" ht="14.25" customHeight="1">
      <c r="A771" s="109"/>
      <c r="B771" s="110"/>
      <c r="C771" s="110"/>
      <c r="D771" s="110"/>
      <c r="E771" s="44"/>
      <c r="F771" s="44"/>
      <c r="G771" s="46"/>
      <c r="H771" s="48"/>
      <c r="I771" s="47"/>
      <c r="J771" s="111"/>
      <c r="K771" s="111"/>
      <c r="L771" s="47"/>
      <c r="M771" s="47"/>
      <c r="N771" s="48"/>
      <c r="O771" s="48"/>
      <c r="P771" s="109"/>
      <c r="Q771" s="112"/>
      <c r="R771" s="112"/>
    </row>
    <row r="772" ht="14.25" customHeight="1">
      <c r="A772" s="109"/>
      <c r="B772" s="110"/>
      <c r="C772" s="110"/>
      <c r="D772" s="110"/>
      <c r="E772" s="44"/>
      <c r="F772" s="44"/>
      <c r="G772" s="46"/>
      <c r="H772" s="48"/>
      <c r="I772" s="47"/>
      <c r="J772" s="111"/>
      <c r="K772" s="111"/>
      <c r="L772" s="47"/>
      <c r="M772" s="47"/>
      <c r="N772" s="48"/>
      <c r="O772" s="48"/>
      <c r="P772" s="109"/>
      <c r="Q772" s="112"/>
      <c r="R772" s="112"/>
    </row>
    <row r="773" ht="14.25" customHeight="1">
      <c r="A773" s="109"/>
      <c r="B773" s="110"/>
      <c r="C773" s="110"/>
      <c r="D773" s="110"/>
      <c r="E773" s="44"/>
      <c r="F773" s="44"/>
      <c r="G773" s="46"/>
      <c r="H773" s="48"/>
      <c r="I773" s="47"/>
      <c r="J773" s="111"/>
      <c r="K773" s="111"/>
      <c r="L773" s="47"/>
      <c r="M773" s="47"/>
      <c r="N773" s="48"/>
      <c r="O773" s="48"/>
      <c r="P773" s="109"/>
      <c r="Q773" s="112"/>
      <c r="R773" s="112"/>
    </row>
    <row r="774" ht="14.25" customHeight="1">
      <c r="A774" s="109"/>
      <c r="B774" s="110"/>
      <c r="C774" s="110"/>
      <c r="D774" s="110"/>
      <c r="E774" s="44"/>
      <c r="F774" s="44"/>
      <c r="G774" s="46"/>
      <c r="H774" s="48"/>
      <c r="I774" s="47"/>
      <c r="J774" s="111"/>
      <c r="K774" s="111"/>
      <c r="L774" s="47"/>
      <c r="M774" s="47"/>
      <c r="N774" s="48"/>
      <c r="O774" s="48"/>
      <c r="P774" s="109"/>
      <c r="Q774" s="112"/>
      <c r="R774" s="112"/>
    </row>
    <row r="775" ht="14.25" customHeight="1">
      <c r="A775" s="109"/>
      <c r="B775" s="110"/>
      <c r="C775" s="110"/>
      <c r="D775" s="110"/>
      <c r="E775" s="44"/>
      <c r="F775" s="44"/>
      <c r="G775" s="46"/>
      <c r="H775" s="48"/>
      <c r="I775" s="47"/>
      <c r="J775" s="111"/>
      <c r="K775" s="111"/>
      <c r="L775" s="47"/>
      <c r="M775" s="47"/>
      <c r="N775" s="48"/>
      <c r="O775" s="48"/>
      <c r="P775" s="109"/>
      <c r="Q775" s="112"/>
      <c r="R775" s="112"/>
    </row>
    <row r="776" ht="14.25" customHeight="1">
      <c r="A776" s="109"/>
      <c r="B776" s="110"/>
      <c r="C776" s="110"/>
      <c r="D776" s="110"/>
      <c r="E776" s="44"/>
      <c r="F776" s="44"/>
      <c r="G776" s="46"/>
      <c r="H776" s="48"/>
      <c r="I776" s="47"/>
      <c r="J776" s="111"/>
      <c r="K776" s="111"/>
      <c r="L776" s="47"/>
      <c r="M776" s="47"/>
      <c r="N776" s="48"/>
      <c r="O776" s="48"/>
      <c r="P776" s="109"/>
      <c r="Q776" s="112"/>
      <c r="R776" s="112"/>
    </row>
    <row r="777" ht="14.25" customHeight="1">
      <c r="A777" s="109"/>
      <c r="B777" s="110"/>
      <c r="C777" s="110"/>
      <c r="D777" s="110"/>
      <c r="E777" s="44"/>
      <c r="F777" s="44"/>
      <c r="G777" s="46"/>
      <c r="H777" s="48"/>
      <c r="I777" s="47"/>
      <c r="J777" s="111"/>
      <c r="K777" s="111"/>
      <c r="L777" s="47"/>
      <c r="M777" s="47"/>
      <c r="N777" s="48"/>
      <c r="O777" s="48"/>
      <c r="P777" s="109"/>
      <c r="Q777" s="112"/>
      <c r="R777" s="112"/>
    </row>
    <row r="778" ht="14.25" customHeight="1">
      <c r="A778" s="109"/>
      <c r="B778" s="110"/>
      <c r="C778" s="110"/>
      <c r="D778" s="110"/>
      <c r="E778" s="44"/>
      <c r="F778" s="44"/>
      <c r="G778" s="46"/>
      <c r="H778" s="48"/>
      <c r="I778" s="47"/>
      <c r="J778" s="111"/>
      <c r="K778" s="111"/>
      <c r="L778" s="47"/>
      <c r="M778" s="47"/>
      <c r="N778" s="48"/>
      <c r="O778" s="48"/>
      <c r="P778" s="109"/>
      <c r="Q778" s="112"/>
      <c r="R778" s="112"/>
    </row>
    <row r="779" ht="14.25" customHeight="1">
      <c r="A779" s="109"/>
      <c r="B779" s="110"/>
      <c r="C779" s="110"/>
      <c r="D779" s="110"/>
      <c r="E779" s="44"/>
      <c r="F779" s="44"/>
      <c r="G779" s="46"/>
      <c r="H779" s="48"/>
      <c r="I779" s="47"/>
      <c r="J779" s="111"/>
      <c r="K779" s="111"/>
      <c r="L779" s="47"/>
      <c r="M779" s="47"/>
      <c r="N779" s="48"/>
      <c r="O779" s="48"/>
      <c r="P779" s="109"/>
      <c r="Q779" s="112"/>
      <c r="R779" s="112"/>
    </row>
    <row r="780" ht="14.25" customHeight="1">
      <c r="A780" s="109"/>
      <c r="B780" s="110"/>
      <c r="C780" s="110"/>
      <c r="D780" s="110"/>
      <c r="E780" s="44"/>
      <c r="F780" s="44"/>
      <c r="G780" s="46"/>
      <c r="H780" s="48"/>
      <c r="I780" s="47"/>
      <c r="J780" s="111"/>
      <c r="K780" s="111"/>
      <c r="L780" s="47"/>
      <c r="M780" s="47"/>
      <c r="N780" s="48"/>
      <c r="O780" s="48"/>
      <c r="P780" s="109"/>
      <c r="Q780" s="112"/>
      <c r="R780" s="112"/>
    </row>
    <row r="781" ht="14.25" customHeight="1">
      <c r="A781" s="109"/>
      <c r="B781" s="110"/>
      <c r="C781" s="110"/>
      <c r="D781" s="110"/>
      <c r="E781" s="44"/>
      <c r="F781" s="44"/>
      <c r="G781" s="46"/>
      <c r="H781" s="48"/>
      <c r="I781" s="47"/>
      <c r="J781" s="111"/>
      <c r="K781" s="111"/>
      <c r="L781" s="47"/>
      <c r="M781" s="47"/>
      <c r="N781" s="48"/>
      <c r="O781" s="48"/>
      <c r="P781" s="109"/>
      <c r="Q781" s="112"/>
      <c r="R781" s="112"/>
    </row>
    <row r="782" ht="14.25" customHeight="1">
      <c r="A782" s="109"/>
      <c r="B782" s="110"/>
      <c r="C782" s="110"/>
      <c r="D782" s="110"/>
      <c r="E782" s="44"/>
      <c r="F782" s="44"/>
      <c r="G782" s="46"/>
      <c r="H782" s="48"/>
      <c r="I782" s="47"/>
      <c r="J782" s="111"/>
      <c r="K782" s="111"/>
      <c r="L782" s="47"/>
      <c r="M782" s="47"/>
      <c r="N782" s="48"/>
      <c r="O782" s="48"/>
      <c r="P782" s="109"/>
      <c r="Q782" s="112"/>
      <c r="R782" s="112"/>
    </row>
    <row r="783" ht="14.25" customHeight="1">
      <c r="A783" s="16"/>
      <c r="B783" s="19"/>
      <c r="C783" s="113"/>
      <c r="D783" s="113"/>
      <c r="E783" s="16"/>
      <c r="F783" s="16"/>
      <c r="G783" s="23"/>
      <c r="H783" s="26"/>
      <c r="I783" s="22"/>
      <c r="J783" s="89"/>
      <c r="K783" s="89"/>
      <c r="L783" s="22"/>
      <c r="M783" s="22"/>
      <c r="N783" s="26"/>
      <c r="O783" s="26"/>
      <c r="P783" s="97"/>
      <c r="Q783" s="84"/>
      <c r="R783" s="84"/>
    </row>
    <row r="784" ht="14.25" customHeight="1">
      <c r="A784" s="97"/>
      <c r="B784" s="102"/>
      <c r="C784" s="113"/>
      <c r="D784" s="113"/>
      <c r="E784" s="16"/>
      <c r="F784" s="16"/>
      <c r="G784" s="23"/>
      <c r="H784" s="26"/>
      <c r="I784" s="22"/>
      <c r="J784" s="89"/>
      <c r="K784" s="89"/>
      <c r="L784" s="22"/>
      <c r="M784" s="22"/>
      <c r="N784" s="26"/>
      <c r="O784" s="26"/>
      <c r="P784" s="97"/>
      <c r="Q784" s="84"/>
      <c r="R784" s="84"/>
    </row>
    <row r="785" ht="14.25" customHeight="1">
      <c r="A785" s="97"/>
      <c r="B785" s="102"/>
      <c r="C785" s="113"/>
      <c r="D785" s="113"/>
      <c r="E785" s="16"/>
      <c r="F785" s="16"/>
      <c r="G785" s="23"/>
      <c r="H785" s="26"/>
      <c r="I785" s="22"/>
      <c r="J785" s="89"/>
      <c r="K785" s="89"/>
      <c r="L785" s="22"/>
      <c r="M785" s="22"/>
      <c r="N785" s="26"/>
      <c r="O785" s="26"/>
      <c r="P785" s="97"/>
      <c r="Q785" s="84"/>
      <c r="R785" s="84"/>
    </row>
    <row r="786" ht="14.25" customHeight="1">
      <c r="A786" s="97"/>
      <c r="B786" s="102"/>
      <c r="C786" s="113"/>
      <c r="D786" s="113"/>
      <c r="E786" s="16"/>
      <c r="F786" s="16"/>
      <c r="G786" s="23"/>
      <c r="H786" s="26"/>
      <c r="I786" s="22"/>
      <c r="J786" s="89"/>
      <c r="K786" s="89"/>
      <c r="L786" s="22"/>
      <c r="M786" s="22"/>
      <c r="N786" s="26"/>
      <c r="O786" s="26"/>
      <c r="P786" s="97"/>
      <c r="Q786" s="84"/>
      <c r="R786" s="84"/>
    </row>
    <row r="787" ht="14.25" customHeight="1">
      <c r="A787" s="97"/>
      <c r="B787" s="19"/>
      <c r="C787" s="113"/>
      <c r="D787" s="113"/>
      <c r="E787" s="16"/>
      <c r="F787" s="16"/>
      <c r="G787" s="23"/>
      <c r="H787" s="26"/>
      <c r="I787" s="22"/>
      <c r="J787" s="89"/>
      <c r="K787" s="89"/>
      <c r="L787" s="22"/>
      <c r="M787" s="22"/>
      <c r="N787" s="26"/>
      <c r="O787" s="26"/>
      <c r="P787" s="97"/>
      <c r="Q787" s="84"/>
      <c r="R787" s="84"/>
    </row>
    <row r="788" ht="14.25" customHeight="1">
      <c r="A788" s="97"/>
      <c r="B788" s="19"/>
      <c r="C788" s="113"/>
      <c r="D788" s="113"/>
      <c r="E788" s="16"/>
      <c r="F788" s="16"/>
      <c r="G788" s="23"/>
      <c r="H788" s="26"/>
      <c r="I788" s="22"/>
      <c r="J788" s="89"/>
      <c r="K788" s="89"/>
      <c r="L788" s="22"/>
      <c r="M788" s="22"/>
      <c r="N788" s="26"/>
      <c r="O788" s="26"/>
      <c r="P788" s="97"/>
      <c r="Q788" s="84"/>
      <c r="R788" s="84"/>
    </row>
    <row r="789" ht="14.25" customHeight="1">
      <c r="A789" s="97"/>
      <c r="B789" s="102"/>
      <c r="C789" s="113"/>
      <c r="D789" s="113"/>
      <c r="E789" s="16"/>
      <c r="F789" s="16"/>
      <c r="G789" s="23"/>
      <c r="H789" s="26"/>
      <c r="I789" s="22"/>
      <c r="J789" s="89"/>
      <c r="K789" s="89"/>
      <c r="L789" s="22"/>
      <c r="M789" s="22"/>
      <c r="N789" s="26"/>
      <c r="O789" s="26"/>
      <c r="P789" s="97"/>
      <c r="Q789" s="84"/>
      <c r="R789" s="84"/>
    </row>
    <row r="790" ht="14.25" customHeight="1">
      <c r="A790" s="97"/>
      <c r="B790" s="102"/>
      <c r="C790" s="113"/>
      <c r="D790" s="113"/>
      <c r="E790" s="16"/>
      <c r="F790" s="16"/>
      <c r="G790" s="23"/>
      <c r="H790" s="26"/>
      <c r="I790" s="22"/>
      <c r="J790" s="89"/>
      <c r="K790" s="89"/>
      <c r="L790" s="22"/>
      <c r="M790" s="22"/>
      <c r="N790" s="26"/>
      <c r="O790" s="26"/>
      <c r="P790" s="97"/>
      <c r="Q790" s="84"/>
      <c r="R790" s="84"/>
    </row>
    <row r="791" ht="14.25" customHeight="1">
      <c r="A791" s="97"/>
      <c r="B791" s="102"/>
      <c r="C791" s="113"/>
      <c r="D791" s="113"/>
      <c r="E791" s="16"/>
      <c r="F791" s="16"/>
      <c r="G791" s="23"/>
      <c r="H791" s="26"/>
      <c r="I791" s="22"/>
      <c r="J791" s="89"/>
      <c r="K791" s="89"/>
      <c r="L791" s="22"/>
      <c r="M791" s="22"/>
      <c r="N791" s="26"/>
      <c r="O791" s="26"/>
      <c r="P791" s="97"/>
      <c r="Q791" s="84"/>
      <c r="R791" s="84"/>
    </row>
    <row r="792" ht="14.25" customHeight="1">
      <c r="A792" s="97"/>
      <c r="B792" s="102"/>
      <c r="C792" s="113"/>
      <c r="D792" s="113"/>
      <c r="E792" s="16"/>
      <c r="F792" s="16"/>
      <c r="G792" s="23"/>
      <c r="H792" s="26"/>
      <c r="I792" s="22"/>
      <c r="J792" s="89"/>
      <c r="K792" s="89"/>
      <c r="L792" s="22"/>
      <c r="M792" s="22"/>
      <c r="N792" s="26"/>
      <c r="O792" s="26"/>
      <c r="P792" s="97"/>
      <c r="Q792" s="84"/>
      <c r="R792" s="84"/>
    </row>
    <row r="793" ht="14.25" customHeight="1">
      <c r="A793" s="97"/>
      <c r="B793" s="102"/>
      <c r="C793" s="113"/>
      <c r="D793" s="113"/>
      <c r="E793" s="16"/>
      <c r="F793" s="16"/>
      <c r="G793" s="23"/>
      <c r="H793" s="26"/>
      <c r="I793" s="22"/>
      <c r="J793" s="89"/>
      <c r="K793" s="89"/>
      <c r="L793" s="22"/>
      <c r="M793" s="22"/>
      <c r="N793" s="26"/>
      <c r="O793" s="26"/>
      <c r="P793" s="97"/>
      <c r="Q793" s="84"/>
      <c r="R793" s="84"/>
    </row>
    <row r="794" ht="14.25" customHeight="1">
      <c r="A794" s="97"/>
      <c r="B794" s="19"/>
      <c r="C794" s="113"/>
      <c r="D794" s="113"/>
      <c r="E794" s="16"/>
      <c r="F794" s="16"/>
      <c r="G794" s="23"/>
      <c r="H794" s="26"/>
      <c r="I794" s="22"/>
      <c r="J794" s="89"/>
      <c r="K794" s="89"/>
      <c r="L794" s="22"/>
      <c r="M794" s="22"/>
      <c r="N794" s="26"/>
      <c r="O794" s="26"/>
      <c r="P794" s="97"/>
      <c r="Q794" s="84"/>
      <c r="R794" s="84"/>
    </row>
    <row r="795" ht="14.25" customHeight="1">
      <c r="A795" s="97"/>
      <c r="B795" s="19"/>
      <c r="C795" s="113"/>
      <c r="D795" s="113"/>
      <c r="E795" s="16"/>
      <c r="F795" s="16"/>
      <c r="G795" s="23"/>
      <c r="H795" s="26"/>
      <c r="I795" s="22"/>
      <c r="J795" s="89"/>
      <c r="K795" s="89"/>
      <c r="L795" s="22"/>
      <c r="M795" s="22"/>
      <c r="N795" s="26"/>
      <c r="O795" s="26"/>
      <c r="P795" s="97"/>
      <c r="Q795" s="84"/>
      <c r="R795" s="84"/>
    </row>
    <row r="796" ht="14.25" customHeight="1">
      <c r="A796" s="97"/>
      <c r="B796" s="19"/>
      <c r="C796" s="113"/>
      <c r="D796" s="113"/>
      <c r="E796" s="16"/>
      <c r="F796" s="16"/>
      <c r="G796" s="23"/>
      <c r="H796" s="26"/>
      <c r="I796" s="22"/>
      <c r="J796" s="89"/>
      <c r="K796" s="89"/>
      <c r="L796" s="22"/>
      <c r="M796" s="22"/>
      <c r="N796" s="26"/>
      <c r="O796" s="26"/>
      <c r="P796" s="97"/>
      <c r="Q796" s="84"/>
      <c r="R796" s="84"/>
    </row>
    <row r="797" ht="14.25" customHeight="1">
      <c r="A797" s="97"/>
      <c r="B797" s="19"/>
      <c r="C797" s="113"/>
      <c r="D797" s="113"/>
      <c r="E797" s="16"/>
      <c r="F797" s="16"/>
      <c r="G797" s="23"/>
      <c r="H797" s="26"/>
      <c r="I797" s="22"/>
      <c r="J797" s="89"/>
      <c r="K797" s="89"/>
      <c r="L797" s="22"/>
      <c r="M797" s="22"/>
      <c r="N797" s="26"/>
      <c r="O797" s="26"/>
      <c r="P797" s="97"/>
      <c r="Q797" s="84"/>
      <c r="R797" s="84"/>
    </row>
    <row r="798" ht="14.25" customHeight="1">
      <c r="A798" s="16"/>
      <c r="B798" s="19"/>
      <c r="C798" s="113"/>
      <c r="D798" s="113"/>
      <c r="E798" s="16"/>
      <c r="F798" s="16"/>
      <c r="G798" s="23"/>
      <c r="H798" s="26"/>
      <c r="I798" s="22"/>
      <c r="J798" s="89"/>
      <c r="K798" s="89"/>
      <c r="L798" s="22"/>
      <c r="M798" s="22"/>
      <c r="N798" s="26"/>
      <c r="O798" s="26"/>
      <c r="P798" s="97"/>
      <c r="Q798" s="84"/>
      <c r="R798" s="84"/>
    </row>
    <row r="799" ht="14.25" customHeight="1">
      <c r="C799" s="17"/>
      <c r="G799" s="114"/>
      <c r="O799" s="115"/>
    </row>
    <row r="800" ht="14.25" customHeight="1">
      <c r="C800" s="17"/>
      <c r="G800" s="114"/>
      <c r="O800" s="115"/>
    </row>
    <row r="801" ht="14.25" customHeight="1">
      <c r="C801" s="17"/>
      <c r="G801" s="114"/>
      <c r="O801" s="115"/>
    </row>
    <row r="802" ht="14.25" customHeight="1">
      <c r="C802" s="17"/>
      <c r="G802" s="114"/>
      <c r="O802" s="115"/>
    </row>
    <row r="803" ht="14.25" customHeight="1">
      <c r="C803" s="17"/>
      <c r="G803" s="114"/>
      <c r="O803" s="115"/>
    </row>
    <row r="804" ht="14.25" customHeight="1">
      <c r="C804" s="17"/>
      <c r="G804" s="114"/>
      <c r="O804" s="115"/>
    </row>
    <row r="805" ht="14.25" customHeight="1">
      <c r="C805" s="17"/>
      <c r="G805" s="114"/>
      <c r="O805" s="115"/>
    </row>
    <row r="806" ht="14.25" customHeight="1">
      <c r="C806" s="17"/>
      <c r="G806" s="114"/>
      <c r="O806" s="115"/>
    </row>
    <row r="807" ht="14.25" customHeight="1">
      <c r="C807" s="17"/>
      <c r="G807" s="114"/>
      <c r="O807" s="115"/>
    </row>
    <row r="808" ht="14.25" customHeight="1">
      <c r="C808" s="17"/>
      <c r="G808" s="114"/>
      <c r="O808" s="115"/>
    </row>
    <row r="809" ht="14.25" customHeight="1">
      <c r="C809" s="17"/>
      <c r="G809" s="114"/>
      <c r="O809" s="115"/>
    </row>
    <row r="810" ht="14.25" customHeight="1">
      <c r="C810" s="17"/>
      <c r="G810" s="114"/>
      <c r="O810" s="115"/>
    </row>
    <row r="811" ht="14.25" customHeight="1">
      <c r="C811" s="17"/>
      <c r="G811" s="114"/>
      <c r="O811" s="115"/>
    </row>
    <row r="812" ht="14.25" customHeight="1">
      <c r="C812" s="17"/>
      <c r="G812" s="114"/>
      <c r="O812" s="115"/>
    </row>
    <row r="813" ht="14.25" customHeight="1">
      <c r="C813" s="17"/>
      <c r="G813" s="114"/>
      <c r="O813" s="115"/>
    </row>
    <row r="814" ht="14.25" customHeight="1">
      <c r="C814" s="17"/>
      <c r="G814" s="114"/>
      <c r="O814" s="115"/>
    </row>
    <row r="815" ht="14.25" customHeight="1">
      <c r="C815" s="17"/>
      <c r="G815" s="114"/>
      <c r="O815" s="115"/>
    </row>
    <row r="816" ht="14.25" customHeight="1">
      <c r="C816" s="17"/>
      <c r="G816" s="114"/>
      <c r="O816" s="115"/>
    </row>
    <row r="817" ht="14.25" customHeight="1">
      <c r="C817" s="17"/>
      <c r="G817" s="114"/>
      <c r="O817" s="115"/>
    </row>
    <row r="818" ht="14.25" customHeight="1">
      <c r="C818" s="17"/>
      <c r="G818" s="114"/>
      <c r="O818" s="115"/>
    </row>
    <row r="819" ht="14.25" customHeight="1">
      <c r="C819" s="17"/>
      <c r="G819" s="114"/>
      <c r="O819" s="115"/>
    </row>
    <row r="820" ht="14.25" customHeight="1">
      <c r="C820" s="17"/>
      <c r="G820" s="114"/>
      <c r="O820" s="115"/>
    </row>
    <row r="821" ht="14.25" customHeight="1">
      <c r="C821" s="17"/>
      <c r="G821" s="114"/>
      <c r="O821" s="115"/>
    </row>
    <row r="822" ht="14.25" customHeight="1">
      <c r="C822" s="17"/>
      <c r="G822" s="114"/>
      <c r="O822" s="115"/>
    </row>
    <row r="823" ht="14.25" customHeight="1">
      <c r="C823" s="17"/>
      <c r="G823" s="114"/>
      <c r="O823" s="115"/>
    </row>
    <row r="824" ht="14.25" customHeight="1">
      <c r="C824" s="17"/>
      <c r="G824" s="114"/>
      <c r="O824" s="115"/>
    </row>
    <row r="825" ht="14.25" customHeight="1">
      <c r="C825" s="17"/>
      <c r="G825" s="114"/>
      <c r="O825" s="115"/>
    </row>
    <row r="826" ht="14.25" customHeight="1">
      <c r="C826" s="17"/>
      <c r="G826" s="114"/>
      <c r="O826" s="115"/>
    </row>
    <row r="827" ht="14.25" customHeight="1">
      <c r="C827" s="17"/>
      <c r="G827" s="114"/>
      <c r="O827" s="115"/>
    </row>
    <row r="828" ht="14.25" customHeight="1">
      <c r="C828" s="17"/>
      <c r="G828" s="114"/>
      <c r="O828" s="115"/>
    </row>
    <row r="829" ht="14.25" customHeight="1">
      <c r="C829" s="17"/>
      <c r="G829" s="114"/>
      <c r="O829" s="115"/>
    </row>
    <row r="830" ht="14.25" customHeight="1">
      <c r="C830" s="17"/>
      <c r="G830" s="114"/>
      <c r="O830" s="115"/>
    </row>
    <row r="831" ht="14.25" customHeight="1">
      <c r="C831" s="17"/>
      <c r="G831" s="114"/>
      <c r="O831" s="115"/>
    </row>
    <row r="832" ht="14.25" customHeight="1">
      <c r="C832" s="17"/>
      <c r="G832" s="114"/>
      <c r="O832" s="115"/>
    </row>
    <row r="833" ht="14.25" customHeight="1">
      <c r="C833" s="17"/>
      <c r="G833" s="114"/>
      <c r="O833" s="115"/>
    </row>
    <row r="834" ht="14.25" customHeight="1">
      <c r="C834" s="17"/>
      <c r="G834" s="114"/>
      <c r="O834" s="115"/>
    </row>
    <row r="835" ht="14.25" customHeight="1">
      <c r="C835" s="17"/>
      <c r="G835" s="114"/>
      <c r="O835" s="115"/>
    </row>
    <row r="836" ht="14.25" customHeight="1">
      <c r="C836" s="17"/>
      <c r="G836" s="114"/>
      <c r="O836" s="115"/>
    </row>
    <row r="837" ht="14.25" customHeight="1">
      <c r="C837" s="17"/>
      <c r="G837" s="114"/>
      <c r="O837" s="115"/>
    </row>
    <row r="838" ht="14.25" customHeight="1">
      <c r="C838" s="17"/>
      <c r="G838" s="114"/>
      <c r="O838" s="115"/>
    </row>
    <row r="839" ht="14.25" customHeight="1">
      <c r="C839" s="17"/>
      <c r="G839" s="114"/>
      <c r="O839" s="115"/>
    </row>
    <row r="840" ht="14.25" customHeight="1">
      <c r="C840" s="17"/>
      <c r="G840" s="114"/>
      <c r="O840" s="115"/>
    </row>
    <row r="841" ht="14.25" customHeight="1">
      <c r="C841" s="17"/>
      <c r="G841" s="114"/>
      <c r="O841" s="115"/>
    </row>
    <row r="842" ht="14.25" customHeight="1">
      <c r="C842" s="17"/>
      <c r="G842" s="114"/>
      <c r="O842" s="115"/>
    </row>
    <row r="843" ht="14.25" customHeight="1">
      <c r="C843" s="17"/>
      <c r="G843" s="114"/>
      <c r="O843" s="115"/>
    </row>
    <row r="844" ht="14.25" customHeight="1">
      <c r="C844" s="17"/>
      <c r="G844" s="114"/>
      <c r="O844" s="115"/>
    </row>
    <row r="845" ht="14.25" customHeight="1">
      <c r="C845" s="17"/>
      <c r="G845" s="114"/>
      <c r="O845" s="115"/>
    </row>
    <row r="846" ht="14.25" customHeight="1">
      <c r="C846" s="17"/>
      <c r="G846" s="114"/>
      <c r="O846" s="115"/>
    </row>
    <row r="847" ht="14.25" customHeight="1">
      <c r="C847" s="17"/>
      <c r="G847" s="114"/>
      <c r="O847" s="115"/>
    </row>
    <row r="848" ht="14.25" customHeight="1">
      <c r="C848" s="17"/>
      <c r="G848" s="114"/>
      <c r="O848" s="115"/>
    </row>
    <row r="849" ht="14.25" customHeight="1">
      <c r="C849" s="17"/>
      <c r="G849" s="114"/>
      <c r="O849" s="115"/>
    </row>
    <row r="850" ht="14.25" customHeight="1">
      <c r="C850" s="17"/>
      <c r="G850" s="114"/>
      <c r="O850" s="115"/>
    </row>
    <row r="851" ht="14.25" customHeight="1">
      <c r="C851" s="17"/>
      <c r="G851" s="114"/>
      <c r="O851" s="115"/>
    </row>
    <row r="852" ht="14.25" customHeight="1">
      <c r="C852" s="17"/>
      <c r="G852" s="114"/>
      <c r="O852" s="115"/>
    </row>
    <row r="853" ht="14.25" customHeight="1">
      <c r="C853" s="17"/>
      <c r="G853" s="114"/>
      <c r="O853" s="115"/>
    </row>
    <row r="854" ht="14.25" customHeight="1">
      <c r="C854" s="17"/>
      <c r="G854" s="114"/>
      <c r="O854" s="115"/>
    </row>
    <row r="855" ht="14.25" customHeight="1">
      <c r="C855" s="17"/>
      <c r="G855" s="114"/>
      <c r="O855" s="115"/>
    </row>
    <row r="856" ht="14.25" customHeight="1">
      <c r="C856" s="17"/>
      <c r="G856" s="114"/>
      <c r="O856" s="115"/>
    </row>
    <row r="857" ht="14.25" customHeight="1">
      <c r="C857" s="17"/>
      <c r="G857" s="114"/>
      <c r="O857" s="115"/>
    </row>
    <row r="858" ht="14.25" customHeight="1">
      <c r="C858" s="17"/>
      <c r="G858" s="114"/>
      <c r="O858" s="115"/>
    </row>
    <row r="859" ht="14.25" customHeight="1">
      <c r="C859" s="17"/>
      <c r="G859" s="114"/>
      <c r="O859" s="115"/>
    </row>
    <row r="860" ht="14.25" customHeight="1">
      <c r="C860" s="17"/>
      <c r="G860" s="114"/>
      <c r="O860" s="115"/>
    </row>
    <row r="861" ht="14.25" customHeight="1">
      <c r="C861" s="17"/>
      <c r="G861" s="114"/>
      <c r="O861" s="115"/>
    </row>
    <row r="862" ht="14.25" customHeight="1">
      <c r="C862" s="17"/>
      <c r="G862" s="114"/>
      <c r="O862" s="115"/>
    </row>
    <row r="863" ht="14.25" customHeight="1">
      <c r="C863" s="17"/>
      <c r="G863" s="114"/>
      <c r="O863" s="115"/>
    </row>
    <row r="864" ht="14.25" customHeight="1">
      <c r="C864" s="17"/>
      <c r="G864" s="114"/>
      <c r="O864" s="115"/>
    </row>
    <row r="865" ht="14.25" customHeight="1">
      <c r="C865" s="17"/>
      <c r="G865" s="114"/>
      <c r="O865" s="115"/>
    </row>
    <row r="866" ht="14.25" customHeight="1">
      <c r="C866" s="17"/>
      <c r="G866" s="114"/>
      <c r="O866" s="115"/>
    </row>
    <row r="867" ht="14.25" customHeight="1">
      <c r="C867" s="17"/>
      <c r="G867" s="114"/>
      <c r="O867" s="115"/>
    </row>
    <row r="868" ht="14.25" customHeight="1">
      <c r="C868" s="17"/>
      <c r="G868" s="114"/>
      <c r="O868" s="115"/>
    </row>
    <row r="869" ht="14.25" customHeight="1">
      <c r="C869" s="17"/>
      <c r="G869" s="114"/>
      <c r="O869" s="115"/>
    </row>
    <row r="870" ht="14.25" customHeight="1">
      <c r="C870" s="17"/>
      <c r="G870" s="114"/>
      <c r="O870" s="115"/>
    </row>
    <row r="871" ht="14.25" customHeight="1">
      <c r="C871" s="17"/>
      <c r="G871" s="114"/>
      <c r="O871" s="115"/>
    </row>
    <row r="872" ht="14.25" customHeight="1">
      <c r="C872" s="17"/>
      <c r="G872" s="114"/>
      <c r="O872" s="115"/>
    </row>
    <row r="873" ht="14.25" customHeight="1">
      <c r="C873" s="17"/>
      <c r="G873" s="114"/>
      <c r="O873" s="115"/>
    </row>
    <row r="874" ht="14.25" customHeight="1">
      <c r="C874" s="17"/>
      <c r="G874" s="114"/>
      <c r="O874" s="115"/>
    </row>
    <row r="875" ht="14.25" customHeight="1">
      <c r="C875" s="17"/>
      <c r="G875" s="114"/>
      <c r="O875" s="115"/>
    </row>
    <row r="876" ht="14.25" customHeight="1">
      <c r="C876" s="17"/>
      <c r="G876" s="114"/>
      <c r="O876" s="115"/>
    </row>
    <row r="877" ht="14.25" customHeight="1">
      <c r="C877" s="17"/>
      <c r="G877" s="114"/>
      <c r="O877" s="115"/>
    </row>
    <row r="878" ht="14.25" customHeight="1">
      <c r="C878" s="17"/>
      <c r="G878" s="114"/>
      <c r="O878" s="115"/>
    </row>
    <row r="879" ht="14.25" customHeight="1">
      <c r="C879" s="17"/>
      <c r="G879" s="114"/>
      <c r="O879" s="115"/>
    </row>
    <row r="880" ht="14.25" customHeight="1">
      <c r="C880" s="17"/>
      <c r="G880" s="114"/>
      <c r="O880" s="115"/>
    </row>
    <row r="881" ht="14.25" customHeight="1">
      <c r="C881" s="17"/>
      <c r="G881" s="114"/>
      <c r="O881" s="115"/>
    </row>
    <row r="882" ht="14.25" customHeight="1">
      <c r="C882" s="17"/>
      <c r="G882" s="114"/>
      <c r="O882" s="115"/>
    </row>
    <row r="883" ht="14.25" customHeight="1">
      <c r="C883" s="17"/>
      <c r="G883" s="114"/>
      <c r="O883" s="115"/>
    </row>
    <row r="884" ht="14.25" customHeight="1">
      <c r="C884" s="17"/>
      <c r="G884" s="114"/>
      <c r="O884" s="115"/>
    </row>
    <row r="885" ht="14.25" customHeight="1">
      <c r="C885" s="17"/>
      <c r="G885" s="114"/>
      <c r="O885" s="115"/>
    </row>
    <row r="886" ht="14.25" customHeight="1">
      <c r="C886" s="17"/>
      <c r="G886" s="114"/>
      <c r="O886" s="115"/>
    </row>
    <row r="887" ht="14.25" customHeight="1">
      <c r="C887" s="17"/>
      <c r="G887" s="114"/>
      <c r="O887" s="115"/>
    </row>
    <row r="888" ht="14.25" customHeight="1">
      <c r="C888" s="17"/>
      <c r="G888" s="114"/>
      <c r="O888" s="115"/>
    </row>
    <row r="889" ht="14.25" customHeight="1">
      <c r="C889" s="17"/>
      <c r="G889" s="114"/>
      <c r="O889" s="115"/>
    </row>
    <row r="890" ht="14.25" customHeight="1">
      <c r="C890" s="17"/>
      <c r="G890" s="114"/>
      <c r="O890" s="115"/>
    </row>
    <row r="891" ht="14.25" customHeight="1">
      <c r="C891" s="17"/>
      <c r="G891" s="114"/>
      <c r="O891" s="115"/>
    </row>
    <row r="892" ht="14.25" customHeight="1">
      <c r="C892" s="17"/>
      <c r="G892" s="114"/>
      <c r="O892" s="115"/>
    </row>
    <row r="893" ht="14.25" customHeight="1">
      <c r="C893" s="17"/>
      <c r="G893" s="114"/>
      <c r="O893" s="115"/>
    </row>
    <row r="894" ht="14.25" customHeight="1">
      <c r="C894" s="17"/>
      <c r="G894" s="114"/>
      <c r="O894" s="115"/>
    </row>
    <row r="895" ht="14.25" customHeight="1">
      <c r="C895" s="17"/>
      <c r="G895" s="114"/>
      <c r="O895" s="115"/>
    </row>
    <row r="896" ht="14.25" customHeight="1">
      <c r="C896" s="17"/>
      <c r="G896" s="114"/>
      <c r="O896" s="115"/>
    </row>
    <row r="897" ht="14.25" customHeight="1">
      <c r="C897" s="17"/>
      <c r="G897" s="114"/>
      <c r="O897" s="115"/>
    </row>
    <row r="898" ht="14.25" customHeight="1">
      <c r="C898" s="17"/>
      <c r="G898" s="114"/>
      <c r="O898" s="115"/>
    </row>
    <row r="899" ht="14.25" customHeight="1">
      <c r="C899" s="17"/>
      <c r="G899" s="114"/>
      <c r="O899" s="115"/>
    </row>
    <row r="900" ht="14.25" customHeight="1">
      <c r="C900" s="17"/>
      <c r="G900" s="114"/>
      <c r="O900" s="115"/>
    </row>
    <row r="901" ht="14.25" customHeight="1">
      <c r="C901" s="17"/>
      <c r="G901" s="114"/>
      <c r="O901" s="115"/>
    </row>
    <row r="902" ht="14.25" customHeight="1">
      <c r="C902" s="17"/>
      <c r="G902" s="114"/>
      <c r="O902" s="115"/>
    </row>
    <row r="903" ht="14.25" customHeight="1">
      <c r="C903" s="17"/>
      <c r="G903" s="114"/>
      <c r="O903" s="115"/>
    </row>
    <row r="904" ht="14.25" customHeight="1">
      <c r="C904" s="17"/>
      <c r="G904" s="114"/>
      <c r="O904" s="115"/>
    </row>
    <row r="905" ht="14.25" customHeight="1">
      <c r="C905" s="17"/>
      <c r="G905" s="114"/>
      <c r="O905" s="115"/>
    </row>
    <row r="906" ht="14.25" customHeight="1">
      <c r="C906" s="17"/>
      <c r="G906" s="114"/>
      <c r="O906" s="115"/>
    </row>
    <row r="907" ht="14.25" customHeight="1">
      <c r="C907" s="17"/>
      <c r="G907" s="114"/>
      <c r="O907" s="115"/>
    </row>
    <row r="908" ht="14.25" customHeight="1">
      <c r="C908" s="17"/>
      <c r="G908" s="114"/>
      <c r="O908" s="115"/>
    </row>
    <row r="909" ht="14.25" customHeight="1">
      <c r="C909" s="17"/>
      <c r="G909" s="114"/>
      <c r="O909" s="115"/>
    </row>
    <row r="910" ht="14.25" customHeight="1">
      <c r="C910" s="17"/>
      <c r="G910" s="114"/>
      <c r="O910" s="115"/>
    </row>
    <row r="911" ht="14.25" customHeight="1">
      <c r="C911" s="17"/>
      <c r="G911" s="114"/>
      <c r="O911" s="115"/>
    </row>
    <row r="912" ht="14.25" customHeight="1">
      <c r="C912" s="17"/>
      <c r="G912" s="114"/>
      <c r="O912" s="115"/>
    </row>
    <row r="913" ht="14.25" customHeight="1">
      <c r="C913" s="17"/>
      <c r="G913" s="114"/>
      <c r="O913" s="115"/>
    </row>
    <row r="914" ht="14.25" customHeight="1">
      <c r="C914" s="17"/>
      <c r="G914" s="114"/>
      <c r="O914" s="115"/>
    </row>
    <row r="915" ht="14.25" customHeight="1">
      <c r="C915" s="17"/>
      <c r="G915" s="114"/>
      <c r="O915" s="115"/>
    </row>
    <row r="916" ht="14.25" customHeight="1">
      <c r="C916" s="17"/>
      <c r="G916" s="114"/>
      <c r="O916" s="115"/>
    </row>
    <row r="917" ht="14.25" customHeight="1">
      <c r="C917" s="17"/>
      <c r="G917" s="114"/>
      <c r="O917" s="115"/>
    </row>
    <row r="918" ht="14.25" customHeight="1">
      <c r="C918" s="17"/>
      <c r="G918" s="114"/>
      <c r="O918" s="115"/>
    </row>
    <row r="919" ht="14.25" customHeight="1">
      <c r="C919" s="17"/>
      <c r="G919" s="114"/>
      <c r="O919" s="115"/>
    </row>
    <row r="920" ht="14.25" customHeight="1">
      <c r="C920" s="17"/>
      <c r="G920" s="114"/>
      <c r="O920" s="115"/>
    </row>
    <row r="921" ht="14.25" customHeight="1">
      <c r="C921" s="17"/>
      <c r="G921" s="114"/>
      <c r="O921" s="115"/>
    </row>
    <row r="922" ht="14.25" customHeight="1">
      <c r="C922" s="17"/>
      <c r="G922" s="114"/>
      <c r="O922" s="115"/>
    </row>
    <row r="923" ht="14.25" customHeight="1">
      <c r="C923" s="17"/>
      <c r="G923" s="114"/>
      <c r="O923" s="115"/>
    </row>
    <row r="924" ht="14.25" customHeight="1">
      <c r="C924" s="17"/>
      <c r="G924" s="114"/>
      <c r="O924" s="115"/>
    </row>
    <row r="925" ht="14.25" customHeight="1">
      <c r="C925" s="17"/>
      <c r="G925" s="114"/>
      <c r="O925" s="115"/>
    </row>
    <row r="926" ht="14.25" customHeight="1">
      <c r="C926" s="17"/>
      <c r="G926" s="114"/>
      <c r="O926" s="115"/>
    </row>
    <row r="927" ht="14.25" customHeight="1">
      <c r="C927" s="17"/>
      <c r="G927" s="114"/>
      <c r="O927" s="115"/>
    </row>
    <row r="928" ht="14.25" customHeight="1">
      <c r="C928" s="17"/>
      <c r="G928" s="114"/>
      <c r="O928" s="115"/>
    </row>
    <row r="929" ht="14.25" customHeight="1">
      <c r="C929" s="17"/>
      <c r="G929" s="114"/>
      <c r="O929" s="115"/>
    </row>
    <row r="930" ht="14.25" customHeight="1">
      <c r="C930" s="17"/>
      <c r="G930" s="114"/>
      <c r="O930" s="115"/>
    </row>
    <row r="931" ht="14.25" customHeight="1">
      <c r="C931" s="17"/>
      <c r="G931" s="114"/>
      <c r="O931" s="115"/>
    </row>
    <row r="932" ht="14.25" customHeight="1">
      <c r="C932" s="17"/>
      <c r="G932" s="114"/>
      <c r="O932" s="115"/>
    </row>
    <row r="933" ht="14.25" customHeight="1">
      <c r="C933" s="17"/>
      <c r="G933" s="114"/>
      <c r="O933" s="115"/>
    </row>
    <row r="934" ht="14.25" customHeight="1">
      <c r="C934" s="17"/>
      <c r="G934" s="114"/>
      <c r="O934" s="115"/>
    </row>
    <row r="935" ht="14.25" customHeight="1">
      <c r="C935" s="17"/>
      <c r="G935" s="114"/>
      <c r="O935" s="115"/>
    </row>
    <row r="936" ht="14.25" customHeight="1">
      <c r="C936" s="17"/>
      <c r="G936" s="114"/>
      <c r="O936" s="115"/>
    </row>
    <row r="937" ht="14.25" customHeight="1">
      <c r="C937" s="17"/>
      <c r="G937" s="114"/>
      <c r="O937" s="115"/>
    </row>
    <row r="938" ht="14.25" customHeight="1">
      <c r="C938" s="17"/>
      <c r="G938" s="114"/>
      <c r="O938" s="115"/>
    </row>
    <row r="939" ht="14.25" customHeight="1">
      <c r="C939" s="17"/>
      <c r="G939" s="114"/>
      <c r="O939" s="115"/>
    </row>
    <row r="940" ht="14.25" customHeight="1">
      <c r="C940" s="17"/>
      <c r="G940" s="114"/>
      <c r="O940" s="115"/>
    </row>
    <row r="941" ht="14.25" customHeight="1">
      <c r="C941" s="17"/>
      <c r="G941" s="114"/>
      <c r="O941" s="115"/>
    </row>
    <row r="942" ht="14.25" customHeight="1">
      <c r="C942" s="17"/>
      <c r="G942" s="114"/>
      <c r="O942" s="115"/>
    </row>
    <row r="943" ht="14.25" customHeight="1">
      <c r="C943" s="17"/>
      <c r="G943" s="114"/>
      <c r="O943" s="115"/>
    </row>
    <row r="944" ht="14.25" customHeight="1">
      <c r="C944" s="17"/>
      <c r="G944" s="114"/>
      <c r="O944" s="115"/>
    </row>
    <row r="945" ht="14.25" customHeight="1">
      <c r="C945" s="17"/>
      <c r="G945" s="114"/>
      <c r="O945" s="115"/>
    </row>
    <row r="946" ht="14.25" customHeight="1">
      <c r="C946" s="17"/>
      <c r="G946" s="114"/>
      <c r="O946" s="115"/>
    </row>
    <row r="947" ht="14.25" customHeight="1">
      <c r="C947" s="17"/>
      <c r="G947" s="114"/>
      <c r="O947" s="115"/>
    </row>
    <row r="948" ht="14.25" customHeight="1">
      <c r="C948" s="17"/>
      <c r="G948" s="114"/>
      <c r="O948" s="115"/>
    </row>
    <row r="949" ht="14.25" customHeight="1">
      <c r="C949" s="17"/>
      <c r="G949" s="114"/>
      <c r="O949" s="115"/>
    </row>
    <row r="950" ht="14.25" customHeight="1">
      <c r="C950" s="17"/>
      <c r="G950" s="114"/>
      <c r="O950" s="115"/>
    </row>
    <row r="951" ht="14.25" customHeight="1">
      <c r="C951" s="17"/>
      <c r="G951" s="114"/>
      <c r="O951" s="115"/>
    </row>
    <row r="952" ht="14.25" customHeight="1">
      <c r="C952" s="17"/>
      <c r="G952" s="114"/>
      <c r="O952" s="115"/>
    </row>
    <row r="953" ht="14.25" customHeight="1">
      <c r="C953" s="17"/>
      <c r="G953" s="114"/>
      <c r="O953" s="115"/>
    </row>
    <row r="954" ht="14.25" customHeight="1">
      <c r="C954" s="17"/>
      <c r="G954" s="114"/>
      <c r="O954" s="115"/>
    </row>
    <row r="955" ht="14.25" customHeight="1">
      <c r="C955" s="17"/>
      <c r="G955" s="114"/>
      <c r="O955" s="115"/>
    </row>
    <row r="956" ht="14.25" customHeight="1">
      <c r="C956" s="17"/>
      <c r="G956" s="114"/>
      <c r="O956" s="115"/>
    </row>
    <row r="957" ht="14.25" customHeight="1">
      <c r="C957" s="17"/>
      <c r="G957" s="114"/>
      <c r="O957" s="115"/>
    </row>
    <row r="958" ht="14.25" customHeight="1">
      <c r="C958" s="17"/>
      <c r="G958" s="114"/>
      <c r="O958" s="115"/>
    </row>
    <row r="959" ht="14.25" customHeight="1">
      <c r="C959" s="17"/>
      <c r="G959" s="114"/>
      <c r="O959" s="115"/>
    </row>
    <row r="960" ht="14.25" customHeight="1">
      <c r="C960" s="17"/>
      <c r="G960" s="114"/>
      <c r="O960" s="115"/>
    </row>
    <row r="961" ht="14.25" customHeight="1">
      <c r="C961" s="17"/>
      <c r="G961" s="114"/>
      <c r="O961" s="115"/>
    </row>
    <row r="962" ht="14.25" customHeight="1">
      <c r="C962" s="17"/>
      <c r="G962" s="114"/>
      <c r="O962" s="115"/>
    </row>
    <row r="963" ht="14.25" customHeight="1">
      <c r="C963" s="17"/>
      <c r="G963" s="114"/>
      <c r="O963" s="115"/>
    </row>
    <row r="964" ht="14.25" customHeight="1">
      <c r="C964" s="17"/>
      <c r="G964" s="114"/>
      <c r="O964" s="115"/>
    </row>
    <row r="965" ht="14.25" customHeight="1">
      <c r="C965" s="17"/>
      <c r="G965" s="114"/>
      <c r="O965" s="115"/>
    </row>
    <row r="966" ht="14.25" customHeight="1">
      <c r="C966" s="17"/>
      <c r="G966" s="114"/>
      <c r="O966" s="115"/>
    </row>
    <row r="967" ht="14.25" customHeight="1">
      <c r="C967" s="17"/>
      <c r="G967" s="114"/>
      <c r="O967" s="115"/>
    </row>
    <row r="968" ht="14.25" customHeight="1">
      <c r="C968" s="17"/>
      <c r="G968" s="114"/>
      <c r="O968" s="115"/>
    </row>
    <row r="969" ht="14.25" customHeight="1">
      <c r="C969" s="17"/>
      <c r="G969" s="114"/>
      <c r="O969" s="115"/>
    </row>
    <row r="970" ht="14.25" customHeight="1">
      <c r="C970" s="17"/>
      <c r="G970" s="114"/>
      <c r="O970" s="115"/>
    </row>
    <row r="971" ht="14.25" customHeight="1">
      <c r="C971" s="17"/>
      <c r="G971" s="114"/>
      <c r="O971" s="115"/>
    </row>
    <row r="972" ht="14.25" customHeight="1">
      <c r="C972" s="17"/>
      <c r="G972" s="114"/>
      <c r="O972" s="115"/>
    </row>
    <row r="973" ht="14.25" customHeight="1">
      <c r="C973" s="17"/>
      <c r="G973" s="114"/>
      <c r="O973" s="115"/>
    </row>
    <row r="974" ht="14.25" customHeight="1">
      <c r="C974" s="17"/>
      <c r="G974" s="114"/>
      <c r="O974" s="115"/>
    </row>
    <row r="975" ht="14.25" customHeight="1">
      <c r="C975" s="17"/>
      <c r="G975" s="114"/>
      <c r="O975" s="115"/>
    </row>
    <row r="976" ht="14.25" customHeight="1">
      <c r="C976" s="17"/>
      <c r="G976" s="114"/>
      <c r="O976" s="115"/>
    </row>
    <row r="977" ht="14.25" customHeight="1">
      <c r="C977" s="17"/>
      <c r="G977" s="114"/>
      <c r="O977" s="115"/>
    </row>
    <row r="978" ht="14.25" customHeight="1">
      <c r="C978" s="17"/>
      <c r="G978" s="114"/>
      <c r="O978" s="115"/>
    </row>
    <row r="979" ht="14.25" customHeight="1">
      <c r="C979" s="17"/>
      <c r="G979" s="114"/>
      <c r="O979" s="115"/>
    </row>
    <row r="980" ht="14.25" customHeight="1">
      <c r="C980" s="17"/>
      <c r="G980" s="114"/>
      <c r="O980" s="115"/>
    </row>
    <row r="981" ht="14.25" customHeight="1">
      <c r="C981" s="17"/>
      <c r="G981" s="114"/>
      <c r="O981" s="115"/>
    </row>
    <row r="982" ht="14.25" customHeight="1">
      <c r="C982" s="17"/>
      <c r="G982" s="114"/>
      <c r="O982" s="115"/>
    </row>
    <row r="983" ht="14.25" customHeight="1">
      <c r="C983" s="17"/>
      <c r="G983" s="114"/>
      <c r="O983" s="115"/>
    </row>
    <row r="984" ht="14.25" customHeight="1">
      <c r="C984" s="17"/>
      <c r="G984" s="114"/>
      <c r="O984" s="115"/>
    </row>
    <row r="985" ht="14.25" customHeight="1">
      <c r="C985" s="17"/>
      <c r="G985" s="114"/>
      <c r="O985" s="115"/>
    </row>
  </sheetData>
  <autoFilter ref="$A$2:$R$770"/>
  <mergeCells count="13">
    <mergeCell ref="U49:V49"/>
    <mergeCell ref="U381:V381"/>
    <mergeCell ref="U382:V382"/>
    <mergeCell ref="U383:V383"/>
    <mergeCell ref="U384:V384"/>
    <mergeCell ref="U519:V519"/>
    <mergeCell ref="E2:F2"/>
    <mergeCell ref="G2:I2"/>
    <mergeCell ref="J2:O2"/>
    <mergeCell ref="G3:I3"/>
    <mergeCell ref="J3:K3"/>
    <mergeCell ref="L3:M3"/>
    <mergeCell ref="N3:O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9.0"/>
    <col customWidth="1" min="2" max="2" width="21.38"/>
  </cols>
  <sheetData>
    <row r="1">
      <c r="A1" s="116" t="s">
        <v>2355</v>
      </c>
      <c r="B1" s="116" t="s">
        <v>2356</v>
      </c>
      <c r="C1" s="116" t="s">
        <v>2357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27" t="s">
        <v>2358</v>
      </c>
      <c r="B2" s="27">
        <v>1.000190502E9</v>
      </c>
      <c r="C2" s="27" t="s">
        <v>2359</v>
      </c>
    </row>
    <row r="3">
      <c r="A3" s="27" t="s">
        <v>2360</v>
      </c>
      <c r="B3" s="27">
        <v>1.513614057219E12</v>
      </c>
      <c r="C3" s="27" t="s">
        <v>2361</v>
      </c>
    </row>
    <row r="4">
      <c r="A4" s="27" t="s">
        <v>2362</v>
      </c>
      <c r="B4" s="27">
        <v>1.52353664788E12</v>
      </c>
      <c r="C4" s="27" t="s">
        <v>2363</v>
      </c>
    </row>
    <row r="5">
      <c r="A5" s="27" t="s">
        <v>2364</v>
      </c>
      <c r="B5" s="27">
        <v>1.564150627423E12</v>
      </c>
      <c r="C5" s="27" t="s">
        <v>2365</v>
      </c>
    </row>
    <row r="6">
      <c r="A6" s="27" t="s">
        <v>2366</v>
      </c>
      <c r="B6" s="27">
        <v>1.564150661249E12</v>
      </c>
      <c r="C6" s="27" t="s">
        <v>2365</v>
      </c>
    </row>
    <row r="7">
      <c r="A7" s="27" t="s">
        <v>2367</v>
      </c>
      <c r="B7" s="27">
        <v>1.566335721736E12</v>
      </c>
      <c r="C7" s="27" t="s">
        <v>2368</v>
      </c>
    </row>
    <row r="8">
      <c r="A8" s="27" t="s">
        <v>2369</v>
      </c>
      <c r="B8" s="27">
        <v>1.566849947902E12</v>
      </c>
      <c r="C8" s="27" t="s">
        <v>2370</v>
      </c>
    </row>
    <row r="9">
      <c r="A9" s="27" t="s">
        <v>2371</v>
      </c>
      <c r="B9" s="27">
        <v>1.571423280815E12</v>
      </c>
      <c r="C9" s="27" t="s">
        <v>2372</v>
      </c>
    </row>
    <row r="10">
      <c r="A10" s="27" t="s">
        <v>2373</v>
      </c>
      <c r="B10" s="27">
        <v>1.592492799236E12</v>
      </c>
      <c r="C10" s="27" t="s">
        <v>2365</v>
      </c>
    </row>
    <row r="11">
      <c r="A11" s="27" t="s">
        <v>2374</v>
      </c>
      <c r="B11" s="27">
        <v>1.59708649984E12</v>
      </c>
      <c r="C11" s="27" t="s">
        <v>2365</v>
      </c>
    </row>
    <row r="12">
      <c r="A12" s="27" t="s">
        <v>2375</v>
      </c>
      <c r="B12" s="27">
        <v>1.597098592591E12</v>
      </c>
      <c r="C12" s="27" t="s">
        <v>2376</v>
      </c>
    </row>
    <row r="13">
      <c r="A13" s="27" t="s">
        <v>2377</v>
      </c>
      <c r="B13" s="27">
        <v>1.61538336617E12</v>
      </c>
      <c r="C13" s="27" t="s">
        <v>2378</v>
      </c>
    </row>
    <row r="14">
      <c r="A14" s="27" t="s">
        <v>2379</v>
      </c>
      <c r="B14" s="27">
        <v>1.615383407099E12</v>
      </c>
      <c r="C14" s="27" t="s">
        <v>2380</v>
      </c>
    </row>
    <row r="15">
      <c r="A15" s="27" t="s">
        <v>2381</v>
      </c>
      <c r="B15" s="27">
        <v>1.623703690011E12</v>
      </c>
      <c r="C15" s="27" t="s">
        <v>2382</v>
      </c>
    </row>
    <row r="16">
      <c r="A16" s="27" t="s">
        <v>2383</v>
      </c>
      <c r="B16" s="27">
        <v>1.623703728452E12</v>
      </c>
      <c r="C16" s="27" t="s">
        <v>2384</v>
      </c>
    </row>
    <row r="17">
      <c r="A17" s="27" t="s">
        <v>2385</v>
      </c>
      <c r="B17" s="27">
        <v>1.623703861303E12</v>
      </c>
      <c r="C17" s="27" t="s">
        <v>2386</v>
      </c>
    </row>
    <row r="18">
      <c r="A18" s="27" t="s">
        <v>2387</v>
      </c>
      <c r="B18" s="27">
        <v>1.62741684103E12</v>
      </c>
      <c r="C18" s="27" t="s">
        <v>2388</v>
      </c>
    </row>
    <row r="19">
      <c r="A19" s="27" t="s">
        <v>2389</v>
      </c>
      <c r="B19" s="27">
        <v>1.627418180602E12</v>
      </c>
      <c r="C19" s="27" t="s">
        <v>2390</v>
      </c>
    </row>
    <row r="20">
      <c r="A20" s="27" t="s">
        <v>2391</v>
      </c>
      <c r="B20" s="27">
        <v>1.627418212924E12</v>
      </c>
      <c r="C20" s="27" t="s">
        <v>2392</v>
      </c>
    </row>
    <row r="21">
      <c r="A21" s="27" t="s">
        <v>2393</v>
      </c>
      <c r="B21" s="27">
        <v>1.62801820637E12</v>
      </c>
      <c r="C21" s="27" t="s">
        <v>2394</v>
      </c>
    </row>
    <row r="22">
      <c r="A22" s="27" t="s">
        <v>2395</v>
      </c>
      <c r="B22" s="27">
        <v>1.634845754276E12</v>
      </c>
      <c r="C22" s="27" t="s">
        <v>2396</v>
      </c>
    </row>
    <row r="23">
      <c r="A23" s="27" t="s">
        <v>2397</v>
      </c>
      <c r="B23" s="27">
        <v>1.635956574926E12</v>
      </c>
      <c r="C23" s="27" t="s">
        <v>2380</v>
      </c>
    </row>
    <row r="24">
      <c r="A24" s="27" t="s">
        <v>2398</v>
      </c>
      <c r="B24" s="27">
        <v>1.635956597983E12</v>
      </c>
      <c r="C24" s="27" t="s">
        <v>2399</v>
      </c>
    </row>
    <row r="25">
      <c r="A25" s="27" t="s">
        <v>2400</v>
      </c>
      <c r="B25" s="27">
        <v>1.639085807876E12</v>
      </c>
      <c r="C25" s="27" t="s">
        <v>2363</v>
      </c>
    </row>
    <row r="26">
      <c r="A26" s="27" t="s">
        <v>2401</v>
      </c>
      <c r="B26" s="27">
        <v>1.645629782262E12</v>
      </c>
      <c r="C26" s="27" t="s">
        <v>2402</v>
      </c>
    </row>
    <row r="27">
      <c r="A27" s="27" t="s">
        <v>2403</v>
      </c>
      <c r="B27" s="27">
        <v>1.650295261109E12</v>
      </c>
      <c r="C27" s="27" t="s">
        <v>2404</v>
      </c>
    </row>
    <row r="28">
      <c r="A28" s="27" t="s">
        <v>2405</v>
      </c>
      <c r="B28" s="27">
        <v>1.650295282448E12</v>
      </c>
      <c r="C28" s="27" t="s">
        <v>2382</v>
      </c>
    </row>
    <row r="29">
      <c r="A29" s="27" t="s">
        <v>2406</v>
      </c>
      <c r="B29" s="27">
        <v>1.650301031879E12</v>
      </c>
      <c r="C29" s="27" t="s">
        <v>2407</v>
      </c>
    </row>
    <row r="30">
      <c r="A30" s="27" t="s">
        <v>2408</v>
      </c>
      <c r="B30" s="27">
        <v>1.650302269777E12</v>
      </c>
      <c r="C30" s="27" t="s">
        <v>2409</v>
      </c>
    </row>
    <row r="31">
      <c r="A31" s="27" t="s">
        <v>2410</v>
      </c>
      <c r="B31" s="27">
        <v>1.652825027456E12</v>
      </c>
      <c r="C31" s="27" t="s">
        <v>2411</v>
      </c>
    </row>
    <row r="32">
      <c r="A32" s="27" t="s">
        <v>2412</v>
      </c>
      <c r="B32" s="27">
        <v>1.654189048611E12</v>
      </c>
      <c r="C32" s="27" t="s">
        <v>2413</v>
      </c>
    </row>
    <row r="33">
      <c r="A33" s="27" t="s">
        <v>2414</v>
      </c>
      <c r="B33" s="27">
        <v>1.654189204021E12</v>
      </c>
      <c r="C33" s="27" t="s">
        <v>2394</v>
      </c>
    </row>
    <row r="34">
      <c r="A34" s="27" t="s">
        <v>2415</v>
      </c>
      <c r="B34" s="27">
        <v>1.654207295633E12</v>
      </c>
      <c r="C34" s="27" t="s">
        <v>2416</v>
      </c>
    </row>
    <row r="35">
      <c r="A35" s="27" t="s">
        <v>2417</v>
      </c>
      <c r="B35" s="27">
        <v>1.654207307551E12</v>
      </c>
      <c r="C35" s="27" t="s">
        <v>2384</v>
      </c>
    </row>
    <row r="36">
      <c r="A36" s="27" t="s">
        <v>2418</v>
      </c>
      <c r="B36" s="27">
        <v>1.654207333519E12</v>
      </c>
      <c r="C36" s="27" t="s">
        <v>2419</v>
      </c>
    </row>
    <row r="37">
      <c r="A37" s="27" t="s">
        <v>2420</v>
      </c>
      <c r="B37" s="27">
        <v>1.654207372101E12</v>
      </c>
      <c r="C37" s="27" t="s">
        <v>2421</v>
      </c>
    </row>
    <row r="38">
      <c r="A38" s="27" t="s">
        <v>2422</v>
      </c>
      <c r="B38" s="27">
        <v>1.656603353038E12</v>
      </c>
      <c r="C38" s="27" t="s">
        <v>2404</v>
      </c>
    </row>
    <row r="39">
      <c r="A39" s="27" t="s">
        <v>2423</v>
      </c>
      <c r="B39" s="27">
        <v>1.659991971809E12</v>
      </c>
      <c r="C39" s="27" t="s">
        <v>2372</v>
      </c>
    </row>
    <row r="40">
      <c r="A40" s="27" t="s">
        <v>2424</v>
      </c>
      <c r="B40" s="27">
        <v>1.659991999728E12</v>
      </c>
      <c r="C40" s="27" t="s">
        <v>2396</v>
      </c>
    </row>
    <row r="41">
      <c r="A41" s="27" t="s">
        <v>2425</v>
      </c>
      <c r="B41" s="27">
        <v>1.659999392257E12</v>
      </c>
      <c r="C41" s="27" t="s">
        <v>2426</v>
      </c>
    </row>
    <row r="42">
      <c r="A42" s="27" t="s">
        <v>2427</v>
      </c>
      <c r="B42" s="27">
        <v>1.659999410637E12</v>
      </c>
      <c r="C42" s="27" t="s">
        <v>2394</v>
      </c>
    </row>
    <row r="43">
      <c r="A43" s="27" t="s">
        <v>2428</v>
      </c>
      <c r="B43" s="27">
        <v>1.660857914743E12</v>
      </c>
      <c r="C43" s="27" t="s">
        <v>2409</v>
      </c>
    </row>
    <row r="44">
      <c r="A44" s="27" t="s">
        <v>2429</v>
      </c>
      <c r="B44" s="27">
        <v>1.66085796352E12</v>
      </c>
      <c r="C44" s="27" t="s">
        <v>2378</v>
      </c>
    </row>
    <row r="45">
      <c r="A45" s="27" t="s">
        <v>2430</v>
      </c>
      <c r="B45" s="27">
        <v>1.660858101318E12</v>
      </c>
      <c r="C45" s="27" t="s">
        <v>2399</v>
      </c>
    </row>
    <row r="46">
      <c r="A46" s="27" t="s">
        <v>2431</v>
      </c>
      <c r="B46" s="27">
        <v>1.660858118518E12</v>
      </c>
      <c r="C46" s="27" t="s">
        <v>2432</v>
      </c>
    </row>
    <row r="47">
      <c r="A47" s="27" t="s">
        <v>2433</v>
      </c>
      <c r="B47" s="27">
        <v>1.660858341796E12</v>
      </c>
      <c r="C47" s="27" t="s">
        <v>2409</v>
      </c>
    </row>
    <row r="48">
      <c r="A48" s="27" t="s">
        <v>2434</v>
      </c>
      <c r="B48" s="27">
        <v>1.660858356962E12</v>
      </c>
      <c r="C48" s="27" t="s">
        <v>2435</v>
      </c>
    </row>
    <row r="49">
      <c r="A49" s="27" t="s">
        <v>2436</v>
      </c>
      <c r="B49" s="27">
        <v>1.660858416606E12</v>
      </c>
      <c r="C49" s="27" t="s">
        <v>2437</v>
      </c>
    </row>
    <row r="50">
      <c r="A50" s="27" t="s">
        <v>2438</v>
      </c>
      <c r="B50" s="27">
        <v>1.6608587024E12</v>
      </c>
      <c r="C50" s="27" t="s">
        <v>2439</v>
      </c>
    </row>
    <row r="51">
      <c r="A51" s="27" t="s">
        <v>2440</v>
      </c>
      <c r="B51" s="27">
        <v>1.660858756233E12</v>
      </c>
      <c r="C51" s="27" t="s">
        <v>2441</v>
      </c>
    </row>
    <row r="52">
      <c r="A52" s="27" t="s">
        <v>2442</v>
      </c>
      <c r="B52" s="27">
        <v>1.660858776726E12</v>
      </c>
      <c r="C52" s="27" t="s">
        <v>2378</v>
      </c>
    </row>
    <row r="53">
      <c r="A53" s="27" t="s">
        <v>2443</v>
      </c>
      <c r="B53" s="27">
        <v>1.660858793429E12</v>
      </c>
      <c r="C53" s="27" t="s">
        <v>2407</v>
      </c>
    </row>
    <row r="54">
      <c r="A54" s="27" t="s">
        <v>2444</v>
      </c>
      <c r="B54" s="27">
        <v>1.660858812938E12</v>
      </c>
      <c r="C54" s="27" t="s">
        <v>2363</v>
      </c>
    </row>
    <row r="55">
      <c r="A55" s="27" t="s">
        <v>2445</v>
      </c>
      <c r="B55" s="27">
        <v>1.660858828618E12</v>
      </c>
      <c r="C55" s="27" t="s">
        <v>2380</v>
      </c>
    </row>
    <row r="56">
      <c r="A56" s="27" t="s">
        <v>2446</v>
      </c>
      <c r="B56" s="27">
        <v>1.660858844449E12</v>
      </c>
      <c r="C56" s="27" t="s">
        <v>2447</v>
      </c>
    </row>
    <row r="57">
      <c r="A57" s="27" t="s">
        <v>2448</v>
      </c>
      <c r="B57" s="27">
        <v>1.660859171584E12</v>
      </c>
      <c r="C57" s="27" t="s">
        <v>2380</v>
      </c>
    </row>
    <row r="58">
      <c r="A58" s="27" t="s">
        <v>2449</v>
      </c>
      <c r="B58" s="27">
        <v>1.661872956577E12</v>
      </c>
      <c r="C58" s="27" t="s">
        <v>2407</v>
      </c>
    </row>
    <row r="59">
      <c r="A59" s="27" t="s">
        <v>2450</v>
      </c>
      <c r="B59" s="27">
        <v>1.661873799978E12</v>
      </c>
      <c r="C59" s="27" t="s">
        <v>2451</v>
      </c>
    </row>
    <row r="60">
      <c r="A60" s="27" t="s">
        <v>2452</v>
      </c>
      <c r="B60" s="27">
        <v>186296.0</v>
      </c>
      <c r="C60" s="27" t="s">
        <v>2359</v>
      </c>
    </row>
    <row r="61">
      <c r="A61" s="27" t="s">
        <v>2453</v>
      </c>
      <c r="B61" s="27">
        <v>1.90900006151E12</v>
      </c>
      <c r="C61" s="27" t="s">
        <v>2359</v>
      </c>
    </row>
    <row r="62">
      <c r="A62" s="27" t="s">
        <v>2454</v>
      </c>
      <c r="B62" s="27" t="s">
        <v>2455</v>
      </c>
      <c r="C62" s="27" t="s">
        <v>2359</v>
      </c>
    </row>
    <row r="63">
      <c r="A63" s="27" t="s">
        <v>2456</v>
      </c>
      <c r="B63" s="27" t="s">
        <v>2457</v>
      </c>
      <c r="C63" s="27" t="s">
        <v>2359</v>
      </c>
    </row>
    <row r="64">
      <c r="A64" s="27" t="s">
        <v>2458</v>
      </c>
      <c r="B64" s="27">
        <v>6182252.0</v>
      </c>
      <c r="C64" s="27" t="s">
        <v>2359</v>
      </c>
    </row>
    <row r="65">
      <c r="A65" s="27" t="s">
        <v>2459</v>
      </c>
      <c r="B65" s="27">
        <v>6.6800469437952E13</v>
      </c>
      <c r="C65" s="27" t="s">
        <v>2363</v>
      </c>
    </row>
    <row r="66">
      <c r="A66" s="27" t="s">
        <v>2460</v>
      </c>
      <c r="B66" s="27">
        <v>6.6800472805184E13</v>
      </c>
      <c r="C66" s="27" t="s">
        <v>2380</v>
      </c>
    </row>
    <row r="67">
      <c r="A67" s="27" t="s">
        <v>2461</v>
      </c>
      <c r="B67" s="27">
        <v>6.6800506435054E13</v>
      </c>
      <c r="C67" s="27" t="s">
        <v>2462</v>
      </c>
    </row>
    <row r="68">
      <c r="A68" s="27" t="s">
        <v>2463</v>
      </c>
      <c r="B68" s="27">
        <v>6.6800509015029E13</v>
      </c>
      <c r="C68" s="27" t="s">
        <v>2380</v>
      </c>
    </row>
    <row r="69">
      <c r="A69" s="27" t="s">
        <v>2464</v>
      </c>
      <c r="B69" s="27">
        <v>6.7327712330533E13</v>
      </c>
      <c r="C69" s="27" t="s">
        <v>2465</v>
      </c>
    </row>
    <row r="70">
      <c r="A70" s="27" t="s">
        <v>2466</v>
      </c>
      <c r="B70" s="27">
        <v>6.793383184397E13</v>
      </c>
      <c r="C70" s="27" t="s">
        <v>2365</v>
      </c>
    </row>
    <row r="71">
      <c r="A71" s="27" t="s">
        <v>2467</v>
      </c>
      <c r="B71" s="27">
        <v>6.7933833934278E13</v>
      </c>
      <c r="C71" s="27" t="s">
        <v>2365</v>
      </c>
    </row>
    <row r="72">
      <c r="A72" s="27" t="s">
        <v>2468</v>
      </c>
      <c r="B72" s="27">
        <v>6.7933835121467E13</v>
      </c>
      <c r="C72" s="27" t="s">
        <v>2380</v>
      </c>
    </row>
    <row r="73">
      <c r="A73" s="27" t="s">
        <v>2469</v>
      </c>
      <c r="B73" s="27">
        <v>6.7933854599885E13</v>
      </c>
      <c r="C73" s="27" t="s">
        <v>2409</v>
      </c>
    </row>
    <row r="74">
      <c r="A74" s="27" t="s">
        <v>2470</v>
      </c>
      <c r="B74" s="27">
        <v>6.7933857637909E13</v>
      </c>
      <c r="C74" s="27" t="s">
        <v>2394</v>
      </c>
    </row>
    <row r="75">
      <c r="A75" s="27" t="s">
        <v>2471</v>
      </c>
      <c r="B75" s="27">
        <v>6.7933859111971E13</v>
      </c>
      <c r="C75" s="27" t="s">
        <v>2407</v>
      </c>
    </row>
    <row r="76">
      <c r="A76" s="27" t="s">
        <v>2472</v>
      </c>
      <c r="B76" s="27">
        <v>6.7933860407346E13</v>
      </c>
      <c r="C76" s="27" t="s">
        <v>2382</v>
      </c>
    </row>
    <row r="77">
      <c r="A77" s="27" t="s">
        <v>2473</v>
      </c>
      <c r="B77" s="27">
        <v>6.7933863068841E13</v>
      </c>
      <c r="C77" s="27" t="s">
        <v>2370</v>
      </c>
    </row>
    <row r="78">
      <c r="A78" s="27" t="s">
        <v>2474</v>
      </c>
      <c r="B78" s="27">
        <v>6.7951421434761E13</v>
      </c>
      <c r="C78" s="27" t="s">
        <v>2441</v>
      </c>
    </row>
    <row r="79">
      <c r="A79" s="27" t="s">
        <v>2475</v>
      </c>
      <c r="B79" s="27">
        <v>6.8540051413139E13</v>
      </c>
      <c r="C79" s="27" t="s">
        <v>2413</v>
      </c>
    </row>
    <row r="80">
      <c r="A80" s="27" t="s">
        <v>2476</v>
      </c>
      <c r="B80" s="27">
        <v>6.8658866289861E13</v>
      </c>
      <c r="C80" s="27" t="s">
        <v>2365</v>
      </c>
    </row>
    <row r="81">
      <c r="A81" s="27" t="s">
        <v>2477</v>
      </c>
      <c r="B81" s="27">
        <v>6.8658868763602E13</v>
      </c>
      <c r="C81" s="27" t="s">
        <v>2365</v>
      </c>
    </row>
    <row r="82">
      <c r="A82" s="27" t="s">
        <v>2478</v>
      </c>
      <c r="B82" s="27">
        <v>6.902221318688E12</v>
      </c>
      <c r="C82" s="27" t="s">
        <v>2437</v>
      </c>
    </row>
    <row r="83">
      <c r="A83" s="27" t="s">
        <v>2479</v>
      </c>
      <c r="B83" s="27">
        <v>7.57450527587E11</v>
      </c>
      <c r="C83" s="27" t="s">
        <v>2359</v>
      </c>
    </row>
    <row r="84">
      <c r="A84" s="27" t="s">
        <v>2480</v>
      </c>
      <c r="B84" s="27">
        <v>7.57450527808E11</v>
      </c>
      <c r="C84" s="27" t="s">
        <v>2363</v>
      </c>
    </row>
    <row r="85">
      <c r="A85" s="27" t="s">
        <v>2481</v>
      </c>
      <c r="B85" s="27">
        <v>7.57450527853E11</v>
      </c>
      <c r="C85" s="27" t="s">
        <v>2359</v>
      </c>
    </row>
    <row r="86">
      <c r="A86" s="27" t="s">
        <v>2482</v>
      </c>
      <c r="B86" s="27">
        <v>7.57450528058E11</v>
      </c>
      <c r="C86" s="27" t="s">
        <v>2359</v>
      </c>
    </row>
    <row r="87">
      <c r="A87" s="27" t="s">
        <v>2483</v>
      </c>
      <c r="B87" s="27" t="s">
        <v>2484</v>
      </c>
      <c r="C87" s="27" t="s">
        <v>2409</v>
      </c>
    </row>
    <row r="88">
      <c r="A88" s="27" t="s">
        <v>2485</v>
      </c>
      <c r="B88" s="27" t="s">
        <v>2486</v>
      </c>
      <c r="C88" s="27" t="s">
        <v>2359</v>
      </c>
    </row>
    <row r="89">
      <c r="A89" s="27" t="s">
        <v>2487</v>
      </c>
      <c r="B89" s="27" t="s">
        <v>2488</v>
      </c>
      <c r="C89" s="27" t="s">
        <v>2441</v>
      </c>
    </row>
    <row r="90">
      <c r="A90" s="27" t="s">
        <v>2489</v>
      </c>
      <c r="B90" s="27" t="s">
        <v>2490</v>
      </c>
      <c r="C90" s="27" t="s">
        <v>2359</v>
      </c>
    </row>
    <row r="91">
      <c r="A91" s="27" t="s">
        <v>2491</v>
      </c>
      <c r="B91" s="27" t="s">
        <v>2492</v>
      </c>
      <c r="C91" s="27" t="s">
        <v>2359</v>
      </c>
    </row>
    <row r="92">
      <c r="A92" s="27" t="s">
        <v>2493</v>
      </c>
      <c r="B92" s="27" t="s">
        <v>2494</v>
      </c>
      <c r="C92" s="27" t="s">
        <v>2437</v>
      </c>
    </row>
    <row r="93">
      <c r="A93" s="27" t="s">
        <v>2495</v>
      </c>
      <c r="B93" s="27" t="s">
        <v>2496</v>
      </c>
      <c r="C93" s="27" t="s">
        <v>2437</v>
      </c>
    </row>
    <row r="94">
      <c r="A94" s="27" t="s">
        <v>2497</v>
      </c>
      <c r="B94" s="27" t="s">
        <v>2498</v>
      </c>
      <c r="C94" s="27" t="s">
        <v>2359</v>
      </c>
    </row>
    <row r="95">
      <c r="A95" s="27" t="s">
        <v>2499</v>
      </c>
      <c r="B95" s="27" t="s">
        <v>2500</v>
      </c>
      <c r="C95" s="27" t="s">
        <v>2359</v>
      </c>
    </row>
    <row r="96">
      <c r="A96" s="27" t="s">
        <v>2501</v>
      </c>
      <c r="B96" s="27" t="s">
        <v>2502</v>
      </c>
      <c r="C96" s="27" t="s">
        <v>2359</v>
      </c>
    </row>
    <row r="97">
      <c r="A97" s="27" t="s">
        <v>2503</v>
      </c>
      <c r="B97" s="27" t="s">
        <v>90</v>
      </c>
      <c r="C97" s="27" t="s">
        <v>2361</v>
      </c>
    </row>
    <row r="98">
      <c r="A98" s="27" t="s">
        <v>2504</v>
      </c>
      <c r="B98" s="27" t="s">
        <v>95</v>
      </c>
      <c r="C98" s="27" t="s">
        <v>2505</v>
      </c>
    </row>
    <row r="99">
      <c r="A99" s="27" t="s">
        <v>2506</v>
      </c>
      <c r="B99" s="27" t="s">
        <v>103</v>
      </c>
      <c r="C99" s="27" t="s">
        <v>2462</v>
      </c>
    </row>
    <row r="100">
      <c r="A100" s="27" t="s">
        <v>2507</v>
      </c>
      <c r="B100" s="27" t="s">
        <v>97</v>
      </c>
      <c r="C100" s="27" t="s">
        <v>2437</v>
      </c>
    </row>
    <row r="101">
      <c r="A101" s="27" t="s">
        <v>2508</v>
      </c>
      <c r="B101" s="27" t="s">
        <v>99</v>
      </c>
      <c r="C101" s="27" t="s">
        <v>2451</v>
      </c>
    </row>
    <row r="102">
      <c r="A102" s="27" t="s">
        <v>2509</v>
      </c>
      <c r="B102" s="27" t="s">
        <v>93</v>
      </c>
      <c r="C102" s="27" t="s">
        <v>2413</v>
      </c>
    </row>
    <row r="103">
      <c r="A103" s="27" t="s">
        <v>2510</v>
      </c>
      <c r="B103" s="27" t="s">
        <v>2511</v>
      </c>
      <c r="C103" s="27" t="s">
        <v>2359</v>
      </c>
    </row>
    <row r="104">
      <c r="A104" s="27" t="s">
        <v>2512</v>
      </c>
      <c r="B104" s="27" t="s">
        <v>2513</v>
      </c>
      <c r="C104" s="27" t="s">
        <v>2359</v>
      </c>
    </row>
    <row r="105">
      <c r="A105" s="27" t="s">
        <v>2514</v>
      </c>
      <c r="B105" s="27" t="s">
        <v>2515</v>
      </c>
      <c r="C105" s="27" t="s">
        <v>2359</v>
      </c>
    </row>
    <row r="106">
      <c r="A106" s="27" t="s">
        <v>2516</v>
      </c>
      <c r="B106" s="27" t="s">
        <v>2517</v>
      </c>
      <c r="C106" s="27" t="s">
        <v>2359</v>
      </c>
    </row>
    <row r="107">
      <c r="A107" s="27" t="s">
        <v>2518</v>
      </c>
      <c r="B107" s="27" t="s">
        <v>2519</v>
      </c>
      <c r="C107" s="27" t="s">
        <v>2441</v>
      </c>
    </row>
    <row r="108">
      <c r="A108" s="27" t="s">
        <v>2520</v>
      </c>
      <c r="B108" s="27" t="s">
        <v>2521</v>
      </c>
      <c r="C108" s="27" t="s">
        <v>2437</v>
      </c>
    </row>
    <row r="109">
      <c r="A109" s="27" t="s">
        <v>2522</v>
      </c>
      <c r="B109" s="27" t="s">
        <v>2523</v>
      </c>
      <c r="C109" s="27" t="s">
        <v>2359</v>
      </c>
    </row>
    <row r="110">
      <c r="A110" s="27" t="s">
        <v>2524</v>
      </c>
      <c r="B110" s="27" t="s">
        <v>2525</v>
      </c>
      <c r="C110" s="27" t="s">
        <v>2359</v>
      </c>
    </row>
    <row r="111">
      <c r="A111" s="27" t="s">
        <v>2526</v>
      </c>
      <c r="B111" s="27" t="s">
        <v>2527</v>
      </c>
      <c r="C111" s="27" t="s">
        <v>2359</v>
      </c>
    </row>
    <row r="112">
      <c r="A112" s="27" t="s">
        <v>2528</v>
      </c>
      <c r="B112" s="27" t="s">
        <v>2529</v>
      </c>
      <c r="C112" s="27" t="s">
        <v>2359</v>
      </c>
    </row>
    <row r="113">
      <c r="A113" s="27" t="s">
        <v>2530</v>
      </c>
      <c r="B113" s="27" t="s">
        <v>2531</v>
      </c>
      <c r="C113" s="27" t="s">
        <v>2359</v>
      </c>
    </row>
    <row r="114">
      <c r="A114" s="27" t="s">
        <v>2532</v>
      </c>
      <c r="B114" s="27" t="s">
        <v>466</v>
      </c>
      <c r="C114" s="27" t="s">
        <v>2451</v>
      </c>
    </row>
    <row r="115">
      <c r="A115" s="27" t="s">
        <v>2533</v>
      </c>
      <c r="B115" s="27" t="s">
        <v>529</v>
      </c>
      <c r="C115" s="27" t="s">
        <v>2407</v>
      </c>
    </row>
    <row r="116">
      <c r="A116" s="27" t="s">
        <v>2534</v>
      </c>
      <c r="B116" s="27" t="s">
        <v>531</v>
      </c>
      <c r="C116" s="27" t="s">
        <v>2386</v>
      </c>
    </row>
    <row r="117">
      <c r="A117" s="27" t="s">
        <v>2535</v>
      </c>
      <c r="B117" s="27" t="s">
        <v>533</v>
      </c>
      <c r="C117" s="27" t="s">
        <v>2370</v>
      </c>
    </row>
    <row r="118">
      <c r="A118" s="27" t="s">
        <v>2536</v>
      </c>
      <c r="B118" s="27" t="s">
        <v>603</v>
      </c>
      <c r="C118" s="27" t="s">
        <v>2407</v>
      </c>
    </row>
    <row r="119">
      <c r="A119" s="27" t="s">
        <v>2537</v>
      </c>
      <c r="B119" s="27" t="s">
        <v>601</v>
      </c>
      <c r="C119" s="27" t="s">
        <v>2402</v>
      </c>
    </row>
    <row r="120">
      <c r="A120" s="27" t="s">
        <v>2538</v>
      </c>
      <c r="B120" s="27" t="s">
        <v>605</v>
      </c>
      <c r="C120" s="27" t="s">
        <v>2451</v>
      </c>
    </row>
    <row r="121">
      <c r="A121" s="27" t="s">
        <v>2539</v>
      </c>
      <c r="B121" s="27" t="s">
        <v>607</v>
      </c>
      <c r="C121" s="27" t="s">
        <v>2407</v>
      </c>
    </row>
    <row r="122">
      <c r="A122" s="27" t="s">
        <v>2540</v>
      </c>
      <c r="B122" s="27" t="s">
        <v>631</v>
      </c>
      <c r="C122" s="27" t="s">
        <v>2361</v>
      </c>
    </row>
    <row r="123">
      <c r="A123" s="27" t="s">
        <v>2541</v>
      </c>
      <c r="B123" s="27" t="s">
        <v>635</v>
      </c>
      <c r="C123" s="27" t="s">
        <v>2462</v>
      </c>
    </row>
    <row r="124">
      <c r="A124" s="27" t="s">
        <v>2542</v>
      </c>
      <c r="B124" s="27" t="s">
        <v>629</v>
      </c>
      <c r="C124" s="27" t="s">
        <v>2462</v>
      </c>
    </row>
    <row r="125">
      <c r="A125" s="27" t="s">
        <v>2543</v>
      </c>
      <c r="B125" s="27" t="s">
        <v>633</v>
      </c>
      <c r="C125" s="27" t="s">
        <v>2380</v>
      </c>
    </row>
    <row r="126">
      <c r="A126" s="27" t="s">
        <v>2544</v>
      </c>
      <c r="B126" s="27" t="s">
        <v>542</v>
      </c>
      <c r="C126" s="27" t="s">
        <v>2409</v>
      </c>
    </row>
    <row r="127">
      <c r="A127" s="27" t="s">
        <v>2545</v>
      </c>
      <c r="B127" s="27" t="s">
        <v>544</v>
      </c>
      <c r="C127" s="27" t="s">
        <v>2394</v>
      </c>
    </row>
    <row r="128">
      <c r="A128" s="27" t="s">
        <v>2546</v>
      </c>
      <c r="B128" s="27" t="s">
        <v>548</v>
      </c>
      <c r="C128" s="27" t="s">
        <v>2547</v>
      </c>
    </row>
    <row r="129">
      <c r="A129" s="27" t="s">
        <v>2548</v>
      </c>
      <c r="B129" s="27" t="s">
        <v>540</v>
      </c>
      <c r="C129" s="27" t="s">
        <v>2394</v>
      </c>
    </row>
    <row r="130">
      <c r="A130" s="27" t="s">
        <v>2549</v>
      </c>
      <c r="B130" s="27" t="s">
        <v>550</v>
      </c>
      <c r="C130" s="27" t="s">
        <v>2441</v>
      </c>
    </row>
    <row r="131">
      <c r="A131" s="27" t="s">
        <v>2550</v>
      </c>
      <c r="B131" s="27" t="s">
        <v>722</v>
      </c>
      <c r="C131" s="27" t="s">
        <v>2409</v>
      </c>
    </row>
    <row r="132">
      <c r="A132" s="27" t="s">
        <v>2551</v>
      </c>
      <c r="B132" s="27" t="s">
        <v>472</v>
      </c>
      <c r="C132" s="27" t="s">
        <v>2552</v>
      </c>
    </row>
    <row r="133">
      <c r="A133" s="27" t="s">
        <v>2553</v>
      </c>
      <c r="B133" s="27" t="s">
        <v>357</v>
      </c>
      <c r="C133" s="27" t="s">
        <v>2382</v>
      </c>
    </row>
    <row r="134">
      <c r="A134" s="27" t="s">
        <v>2554</v>
      </c>
      <c r="B134" s="27" t="s">
        <v>357</v>
      </c>
      <c r="C134" s="27" t="s">
        <v>2394</v>
      </c>
    </row>
    <row r="135">
      <c r="A135" s="27" t="s">
        <v>2555</v>
      </c>
      <c r="B135" s="27" t="s">
        <v>359</v>
      </c>
      <c r="C135" s="27" t="s">
        <v>2380</v>
      </c>
    </row>
    <row r="136">
      <c r="A136" s="27" t="s">
        <v>2556</v>
      </c>
      <c r="B136" s="27" t="s">
        <v>359</v>
      </c>
      <c r="C136" s="27" t="s">
        <v>2557</v>
      </c>
    </row>
    <row r="137">
      <c r="A137" s="27" t="s">
        <v>2558</v>
      </c>
      <c r="B137" s="27" t="s">
        <v>361</v>
      </c>
      <c r="C137" s="27" t="s">
        <v>2380</v>
      </c>
    </row>
    <row r="138">
      <c r="A138" s="27" t="s">
        <v>2559</v>
      </c>
      <c r="B138" s="27" t="s">
        <v>361</v>
      </c>
      <c r="C138" s="27" t="s">
        <v>2557</v>
      </c>
    </row>
    <row r="139">
      <c r="A139" s="27" t="s">
        <v>2560</v>
      </c>
      <c r="B139" s="27" t="s">
        <v>369</v>
      </c>
      <c r="C139" s="27" t="s">
        <v>2462</v>
      </c>
    </row>
    <row r="140">
      <c r="A140" s="27" t="s">
        <v>2561</v>
      </c>
      <c r="B140" s="27" t="s">
        <v>371</v>
      </c>
      <c r="C140" s="27" t="s">
        <v>2380</v>
      </c>
    </row>
    <row r="141">
      <c r="A141" s="27" t="s">
        <v>2562</v>
      </c>
      <c r="B141" s="27" t="s">
        <v>373</v>
      </c>
      <c r="C141" s="27" t="s">
        <v>2447</v>
      </c>
    </row>
    <row r="142">
      <c r="A142" s="27" t="s">
        <v>2563</v>
      </c>
      <c r="B142" s="27" t="s">
        <v>353</v>
      </c>
      <c r="C142" s="27" t="s">
        <v>2462</v>
      </c>
    </row>
    <row r="143">
      <c r="A143" s="27" t="s">
        <v>2564</v>
      </c>
      <c r="B143" s="27" t="s">
        <v>355</v>
      </c>
      <c r="C143" s="27" t="s">
        <v>2378</v>
      </c>
    </row>
    <row r="144">
      <c r="A144" s="27" t="s">
        <v>2565</v>
      </c>
      <c r="B144" s="27" t="s">
        <v>557</v>
      </c>
      <c r="C144" s="27" t="s">
        <v>2566</v>
      </c>
    </row>
    <row r="145">
      <c r="A145" s="27" t="s">
        <v>2567</v>
      </c>
      <c r="B145" s="27" t="s">
        <v>559</v>
      </c>
      <c r="C145" s="27" t="s">
        <v>2409</v>
      </c>
    </row>
    <row r="146">
      <c r="A146" s="27" t="s">
        <v>2568</v>
      </c>
      <c r="B146" s="27" t="s">
        <v>561</v>
      </c>
      <c r="C146" s="27" t="s">
        <v>2361</v>
      </c>
    </row>
    <row r="147">
      <c r="A147" s="27" t="s">
        <v>2569</v>
      </c>
      <c r="B147" s="27" t="s">
        <v>716</v>
      </c>
      <c r="C147" s="27" t="s">
        <v>2437</v>
      </c>
    </row>
    <row r="148">
      <c r="A148" s="27" t="s">
        <v>2570</v>
      </c>
      <c r="B148" s="27" t="s">
        <v>714</v>
      </c>
      <c r="C148" s="27" t="s">
        <v>2380</v>
      </c>
    </row>
    <row r="149">
      <c r="A149" s="27" t="s">
        <v>2571</v>
      </c>
      <c r="B149" s="27" t="s">
        <v>710</v>
      </c>
      <c r="C149" s="27" t="s">
        <v>2421</v>
      </c>
    </row>
    <row r="150">
      <c r="A150" s="27" t="s">
        <v>2572</v>
      </c>
      <c r="B150" s="27" t="s">
        <v>706</v>
      </c>
      <c r="C150" s="27" t="s">
        <v>2361</v>
      </c>
    </row>
    <row r="151">
      <c r="A151" s="27" t="s">
        <v>2573</v>
      </c>
      <c r="B151" s="27" t="s">
        <v>572</v>
      </c>
      <c r="C151" s="27" t="s">
        <v>2394</v>
      </c>
    </row>
    <row r="152">
      <c r="A152" s="27" t="s">
        <v>2574</v>
      </c>
      <c r="B152" s="27" t="s">
        <v>568</v>
      </c>
      <c r="C152" s="27" t="s">
        <v>2437</v>
      </c>
    </row>
    <row r="153">
      <c r="A153" s="27" t="s">
        <v>2575</v>
      </c>
      <c r="B153" s="27" t="s">
        <v>570</v>
      </c>
      <c r="C153" s="27" t="s">
        <v>2361</v>
      </c>
    </row>
    <row r="154">
      <c r="A154" s="27" t="s">
        <v>2576</v>
      </c>
      <c r="B154" s="27" t="s">
        <v>588</v>
      </c>
      <c r="C154" s="27" t="s">
        <v>2407</v>
      </c>
    </row>
    <row r="155">
      <c r="A155" s="27" t="s">
        <v>2577</v>
      </c>
      <c r="B155" s="27" t="s">
        <v>595</v>
      </c>
      <c r="C155" s="27" t="s">
        <v>2505</v>
      </c>
    </row>
    <row r="156">
      <c r="A156" s="27" t="s">
        <v>2578</v>
      </c>
      <c r="B156" s="27" t="s">
        <v>597</v>
      </c>
      <c r="C156" s="27" t="s">
        <v>2579</v>
      </c>
    </row>
    <row r="157">
      <c r="A157" s="27" t="s">
        <v>2580</v>
      </c>
      <c r="B157" s="27" t="s">
        <v>490</v>
      </c>
      <c r="C157" s="27" t="s">
        <v>2359</v>
      </c>
    </row>
    <row r="158">
      <c r="A158" s="27" t="s">
        <v>2581</v>
      </c>
      <c r="B158" s="27" t="s">
        <v>502</v>
      </c>
      <c r="C158" s="27" t="s">
        <v>2390</v>
      </c>
    </row>
    <row r="159">
      <c r="A159" s="27" t="s">
        <v>2582</v>
      </c>
      <c r="B159" s="27" t="s">
        <v>504</v>
      </c>
      <c r="C159" s="27" t="s">
        <v>2583</v>
      </c>
    </row>
    <row r="160">
      <c r="A160" s="27" t="s">
        <v>2584</v>
      </c>
      <c r="B160" s="27" t="s">
        <v>506</v>
      </c>
      <c r="C160" s="27" t="s">
        <v>2585</v>
      </c>
    </row>
    <row r="161">
      <c r="A161" s="27" t="s">
        <v>2586</v>
      </c>
      <c r="B161" s="27" t="s">
        <v>508</v>
      </c>
      <c r="C161" s="27" t="s">
        <v>2587</v>
      </c>
    </row>
    <row r="162">
      <c r="A162" s="27" t="s">
        <v>2588</v>
      </c>
      <c r="B162" s="27" t="s">
        <v>453</v>
      </c>
      <c r="C162" s="27" t="s">
        <v>2363</v>
      </c>
    </row>
    <row r="163">
      <c r="A163" s="27" t="s">
        <v>2589</v>
      </c>
      <c r="B163" s="27" t="s">
        <v>455</v>
      </c>
      <c r="C163" s="27" t="s">
        <v>2409</v>
      </c>
    </row>
    <row r="164">
      <c r="A164" s="27" t="s">
        <v>2590</v>
      </c>
      <c r="B164" s="27" t="s">
        <v>669</v>
      </c>
      <c r="C164" s="27" t="s">
        <v>2363</v>
      </c>
    </row>
    <row r="165">
      <c r="A165" s="27" t="s">
        <v>2591</v>
      </c>
      <c r="B165" s="27" t="s">
        <v>667</v>
      </c>
      <c r="C165" s="27" t="s">
        <v>2363</v>
      </c>
    </row>
    <row r="166">
      <c r="A166" s="27" t="s">
        <v>2592</v>
      </c>
      <c r="B166" s="27" t="s">
        <v>661</v>
      </c>
      <c r="C166" s="27" t="s">
        <v>2441</v>
      </c>
    </row>
    <row r="167">
      <c r="A167" s="27" t="s">
        <v>2593</v>
      </c>
      <c r="B167" s="27" t="s">
        <v>728</v>
      </c>
      <c r="C167" s="27" t="s">
        <v>2361</v>
      </c>
    </row>
    <row r="168">
      <c r="A168" s="27" t="s">
        <v>2594</v>
      </c>
      <c r="B168" s="27" t="s">
        <v>732</v>
      </c>
      <c r="C168" s="27" t="s">
        <v>2595</v>
      </c>
    </row>
    <row r="169">
      <c r="A169" s="27" t="s">
        <v>2596</v>
      </c>
      <c r="B169" s="27" t="s">
        <v>730</v>
      </c>
      <c r="C169" s="27" t="s">
        <v>2407</v>
      </c>
    </row>
    <row r="170">
      <c r="A170" s="27" t="s">
        <v>2597</v>
      </c>
      <c r="B170" s="27" t="s">
        <v>734</v>
      </c>
      <c r="C170" s="27" t="s">
        <v>2378</v>
      </c>
    </row>
    <row r="171">
      <c r="A171" s="27" t="s">
        <v>2598</v>
      </c>
      <c r="B171" s="27" t="s">
        <v>726</v>
      </c>
      <c r="C171" s="27" t="s">
        <v>2407</v>
      </c>
    </row>
    <row r="172">
      <c r="A172" s="27" t="s">
        <v>2599</v>
      </c>
      <c r="B172" s="27" t="s">
        <v>1093</v>
      </c>
      <c r="C172" s="27" t="s">
        <v>2579</v>
      </c>
    </row>
    <row r="173">
      <c r="A173" s="27" t="s">
        <v>2600</v>
      </c>
      <c r="B173" s="27" t="s">
        <v>1095</v>
      </c>
      <c r="C173" s="27" t="s">
        <v>2601</v>
      </c>
    </row>
    <row r="174">
      <c r="A174" s="27" t="s">
        <v>2602</v>
      </c>
      <c r="B174" s="27" t="s">
        <v>1097</v>
      </c>
      <c r="C174" s="27" t="s">
        <v>2603</v>
      </c>
    </row>
    <row r="175">
      <c r="A175" s="27" t="s">
        <v>2604</v>
      </c>
      <c r="B175" s="27" t="s">
        <v>1099</v>
      </c>
      <c r="C175" s="27" t="s">
        <v>2603</v>
      </c>
    </row>
    <row r="176">
      <c r="A176" s="27" t="s">
        <v>2605</v>
      </c>
      <c r="B176" s="27" t="s">
        <v>988</v>
      </c>
      <c r="C176" s="27" t="s">
        <v>2361</v>
      </c>
    </row>
    <row r="177">
      <c r="A177" s="27" t="s">
        <v>2606</v>
      </c>
      <c r="B177" s="27" t="s">
        <v>996</v>
      </c>
      <c r="C177" s="27" t="s">
        <v>2361</v>
      </c>
    </row>
    <row r="178">
      <c r="A178" s="27" t="s">
        <v>2607</v>
      </c>
      <c r="B178" s="27" t="s">
        <v>990</v>
      </c>
      <c r="C178" s="27" t="s">
        <v>2441</v>
      </c>
    </row>
    <row r="179">
      <c r="A179" s="27" t="s">
        <v>2608</v>
      </c>
      <c r="B179" s="27" t="s">
        <v>998</v>
      </c>
      <c r="C179" s="27" t="s">
        <v>2451</v>
      </c>
    </row>
    <row r="180">
      <c r="A180" s="27" t="s">
        <v>2609</v>
      </c>
      <c r="B180" s="27" t="s">
        <v>992</v>
      </c>
      <c r="C180" s="27" t="s">
        <v>2363</v>
      </c>
    </row>
    <row r="181">
      <c r="A181" s="27" t="s">
        <v>2610</v>
      </c>
      <c r="B181" s="27" t="s">
        <v>1000</v>
      </c>
      <c r="C181" s="27" t="s">
        <v>2363</v>
      </c>
    </row>
    <row r="182">
      <c r="A182" s="27" t="s">
        <v>2611</v>
      </c>
      <c r="B182" s="27" t="s">
        <v>994</v>
      </c>
      <c r="C182" s="27" t="s">
        <v>2359</v>
      </c>
    </row>
    <row r="183">
      <c r="A183" s="27" t="s">
        <v>2612</v>
      </c>
      <c r="B183" s="27" t="s">
        <v>1002</v>
      </c>
      <c r="C183" s="27" t="s">
        <v>2363</v>
      </c>
    </row>
    <row r="184">
      <c r="A184" s="27" t="s">
        <v>2613</v>
      </c>
      <c r="B184" s="27" t="s">
        <v>972</v>
      </c>
      <c r="C184" s="27" t="s">
        <v>2447</v>
      </c>
    </row>
    <row r="185">
      <c r="A185" s="27" t="s">
        <v>2614</v>
      </c>
      <c r="B185" s="27" t="s">
        <v>980</v>
      </c>
      <c r="C185" s="27" t="s">
        <v>2447</v>
      </c>
    </row>
    <row r="186">
      <c r="A186" s="27" t="s">
        <v>2615</v>
      </c>
      <c r="B186" s="27" t="s">
        <v>974</v>
      </c>
      <c r="C186" s="27" t="s">
        <v>2361</v>
      </c>
    </row>
    <row r="187">
      <c r="A187" s="27" t="s">
        <v>2616</v>
      </c>
      <c r="B187" s="27" t="s">
        <v>982</v>
      </c>
      <c r="C187" s="27" t="s">
        <v>2361</v>
      </c>
    </row>
    <row r="188">
      <c r="A188" s="27" t="s">
        <v>2617</v>
      </c>
      <c r="B188" s="27" t="s">
        <v>976</v>
      </c>
      <c r="C188" s="27" t="s">
        <v>2437</v>
      </c>
    </row>
    <row r="189">
      <c r="A189" s="27" t="s">
        <v>2618</v>
      </c>
      <c r="B189" s="27" t="s">
        <v>984</v>
      </c>
      <c r="C189" s="27" t="s">
        <v>2437</v>
      </c>
    </row>
    <row r="190">
      <c r="A190" s="27" t="s">
        <v>2619</v>
      </c>
      <c r="B190" s="27" t="s">
        <v>978</v>
      </c>
      <c r="C190" s="27" t="s">
        <v>2363</v>
      </c>
    </row>
    <row r="191">
      <c r="A191" s="27" t="s">
        <v>2620</v>
      </c>
      <c r="B191" s="27" t="s">
        <v>986</v>
      </c>
      <c r="C191" s="27" t="s">
        <v>2437</v>
      </c>
    </row>
    <row r="192">
      <c r="A192" s="27" t="s">
        <v>2621</v>
      </c>
      <c r="B192" s="27" t="s">
        <v>956</v>
      </c>
      <c r="C192" s="27" t="s">
        <v>2451</v>
      </c>
    </row>
    <row r="193">
      <c r="A193" s="27" t="s">
        <v>2622</v>
      </c>
      <c r="B193" s="27" t="s">
        <v>964</v>
      </c>
      <c r="C193" s="27" t="s">
        <v>2361</v>
      </c>
    </row>
    <row r="194">
      <c r="A194" s="27" t="s">
        <v>2623</v>
      </c>
      <c r="B194" s="27" t="s">
        <v>958</v>
      </c>
      <c r="C194" s="27" t="s">
        <v>2437</v>
      </c>
    </row>
    <row r="195">
      <c r="A195" s="27" t="s">
        <v>2624</v>
      </c>
      <c r="B195" s="27" t="s">
        <v>966</v>
      </c>
      <c r="C195" s="27" t="s">
        <v>2451</v>
      </c>
    </row>
    <row r="196">
      <c r="A196" s="27" t="s">
        <v>2625</v>
      </c>
      <c r="B196" s="27" t="s">
        <v>960</v>
      </c>
      <c r="C196" s="27" t="s">
        <v>2437</v>
      </c>
    </row>
    <row r="197">
      <c r="A197" s="27" t="s">
        <v>2626</v>
      </c>
      <c r="B197" s="27" t="s">
        <v>968</v>
      </c>
      <c r="C197" s="27" t="s">
        <v>2363</v>
      </c>
    </row>
    <row r="198">
      <c r="A198" s="27" t="s">
        <v>2627</v>
      </c>
      <c r="B198" s="27" t="s">
        <v>962</v>
      </c>
      <c r="C198" s="27" t="s">
        <v>2363</v>
      </c>
    </row>
    <row r="199">
      <c r="A199" s="27" t="s">
        <v>2628</v>
      </c>
      <c r="B199" s="27" t="s">
        <v>970</v>
      </c>
      <c r="C199" s="27" t="s">
        <v>2437</v>
      </c>
    </row>
    <row r="200">
      <c r="A200" s="27" t="s">
        <v>2629</v>
      </c>
      <c r="B200" s="27" t="s">
        <v>1020</v>
      </c>
      <c r="C200" s="27" t="s">
        <v>2462</v>
      </c>
    </row>
    <row r="201">
      <c r="A201" s="27" t="s">
        <v>2630</v>
      </c>
      <c r="B201" s="27" t="s">
        <v>1028</v>
      </c>
      <c r="C201" s="27" t="s">
        <v>2407</v>
      </c>
    </row>
    <row r="202">
      <c r="A202" s="27" t="s">
        <v>2631</v>
      </c>
      <c r="B202" s="27" t="s">
        <v>1022</v>
      </c>
      <c r="C202" s="27" t="s">
        <v>2451</v>
      </c>
    </row>
    <row r="203">
      <c r="A203" s="27" t="s">
        <v>2632</v>
      </c>
      <c r="B203" s="27" t="s">
        <v>1030</v>
      </c>
      <c r="C203" s="27" t="s">
        <v>2447</v>
      </c>
    </row>
    <row r="204">
      <c r="A204" s="27" t="s">
        <v>2633</v>
      </c>
      <c r="B204" s="27" t="s">
        <v>1024</v>
      </c>
      <c r="C204" s="27" t="s">
        <v>2437</v>
      </c>
    </row>
    <row r="205">
      <c r="A205" s="27" t="s">
        <v>2634</v>
      </c>
      <c r="B205" s="27" t="s">
        <v>1032</v>
      </c>
      <c r="C205" s="27" t="s">
        <v>2361</v>
      </c>
    </row>
    <row r="206">
      <c r="A206" s="27" t="s">
        <v>2635</v>
      </c>
      <c r="B206" s="27" t="s">
        <v>1026</v>
      </c>
      <c r="C206" s="27" t="s">
        <v>2363</v>
      </c>
    </row>
    <row r="207">
      <c r="A207" s="27" t="s">
        <v>2636</v>
      </c>
      <c r="B207" s="27" t="s">
        <v>1034</v>
      </c>
      <c r="C207" s="27" t="s">
        <v>2409</v>
      </c>
    </row>
    <row r="208">
      <c r="A208" s="27" t="s">
        <v>2637</v>
      </c>
      <c r="B208" s="27" t="s">
        <v>913</v>
      </c>
      <c r="C208" s="27" t="s">
        <v>2595</v>
      </c>
    </row>
    <row r="209">
      <c r="A209" s="27" t="s">
        <v>2638</v>
      </c>
      <c r="B209" s="27" t="s">
        <v>921</v>
      </c>
      <c r="C209" s="27" t="s">
        <v>2361</v>
      </c>
    </row>
    <row r="210">
      <c r="A210" s="27" t="s">
        <v>2639</v>
      </c>
      <c r="B210" s="27" t="s">
        <v>915</v>
      </c>
      <c r="C210" s="27" t="s">
        <v>2441</v>
      </c>
    </row>
    <row r="211">
      <c r="A211" s="27" t="s">
        <v>2640</v>
      </c>
      <c r="B211" s="27" t="s">
        <v>923</v>
      </c>
      <c r="C211" s="27" t="s">
        <v>2462</v>
      </c>
    </row>
    <row r="212">
      <c r="A212" s="27" t="s">
        <v>2641</v>
      </c>
      <c r="B212" s="27" t="s">
        <v>917</v>
      </c>
      <c r="C212" s="27" t="s">
        <v>2363</v>
      </c>
    </row>
    <row r="213">
      <c r="A213" s="27" t="s">
        <v>2642</v>
      </c>
      <c r="B213" s="27" t="s">
        <v>925</v>
      </c>
      <c r="C213" s="27" t="s">
        <v>2359</v>
      </c>
    </row>
    <row r="214">
      <c r="A214" s="27" t="s">
        <v>2643</v>
      </c>
      <c r="B214" s="27" t="s">
        <v>919</v>
      </c>
      <c r="C214" s="27" t="s">
        <v>2359</v>
      </c>
    </row>
    <row r="215">
      <c r="A215" s="27" t="s">
        <v>2644</v>
      </c>
      <c r="B215" s="27" t="s">
        <v>927</v>
      </c>
      <c r="C215" s="27" t="s">
        <v>2441</v>
      </c>
    </row>
    <row r="216">
      <c r="A216" s="27" t="s">
        <v>2645</v>
      </c>
      <c r="B216" s="27" t="s">
        <v>905</v>
      </c>
      <c r="C216" s="27" t="s">
        <v>2361</v>
      </c>
    </row>
    <row r="217">
      <c r="A217" s="27" t="s">
        <v>2646</v>
      </c>
      <c r="B217" s="27" t="s">
        <v>897</v>
      </c>
      <c r="C217" s="27" t="s">
        <v>2409</v>
      </c>
    </row>
    <row r="218">
      <c r="A218" s="27" t="s">
        <v>2647</v>
      </c>
      <c r="B218" s="27" t="s">
        <v>907</v>
      </c>
      <c r="C218" s="27" t="s">
        <v>2409</v>
      </c>
    </row>
    <row r="219">
      <c r="A219" s="27" t="s">
        <v>2648</v>
      </c>
      <c r="B219" s="27" t="s">
        <v>909</v>
      </c>
      <c r="C219" s="27" t="s">
        <v>2359</v>
      </c>
    </row>
    <row r="220">
      <c r="A220" s="27" t="s">
        <v>2649</v>
      </c>
      <c r="B220" s="27" t="s">
        <v>901</v>
      </c>
      <c r="C220" s="27" t="s">
        <v>2359</v>
      </c>
    </row>
    <row r="221">
      <c r="A221" s="27" t="s">
        <v>2650</v>
      </c>
      <c r="B221" s="27" t="s">
        <v>911</v>
      </c>
      <c r="C221" s="27" t="s">
        <v>2359</v>
      </c>
    </row>
    <row r="222">
      <c r="A222" s="27" t="s">
        <v>2651</v>
      </c>
      <c r="B222" s="27" t="s">
        <v>903</v>
      </c>
      <c r="C222" s="27" t="s">
        <v>2359</v>
      </c>
    </row>
    <row r="223">
      <c r="A223" s="27" t="s">
        <v>2652</v>
      </c>
      <c r="B223" s="27" t="s">
        <v>929</v>
      </c>
      <c r="C223" s="27" t="s">
        <v>2361</v>
      </c>
    </row>
    <row r="224">
      <c r="A224" s="27" t="s">
        <v>2653</v>
      </c>
      <c r="B224" s="27" t="s">
        <v>931</v>
      </c>
      <c r="C224" s="27" t="s">
        <v>2441</v>
      </c>
    </row>
    <row r="225">
      <c r="A225" s="27" t="s">
        <v>2654</v>
      </c>
      <c r="B225" s="27" t="s">
        <v>933</v>
      </c>
      <c r="C225" s="27" t="s">
        <v>2363</v>
      </c>
    </row>
    <row r="226">
      <c r="A226" s="27" t="s">
        <v>2655</v>
      </c>
      <c r="B226" s="27" t="s">
        <v>935</v>
      </c>
      <c r="C226" s="27" t="s">
        <v>2363</v>
      </c>
    </row>
    <row r="227">
      <c r="A227" s="27" t="s">
        <v>2656</v>
      </c>
      <c r="B227" s="27" t="s">
        <v>842</v>
      </c>
      <c r="C227" s="27" t="s">
        <v>2359</v>
      </c>
    </row>
    <row r="228">
      <c r="A228" s="27" t="s">
        <v>2657</v>
      </c>
      <c r="B228" s="27" t="s">
        <v>840</v>
      </c>
      <c r="C228" s="27" t="s">
        <v>2441</v>
      </c>
    </row>
    <row r="229">
      <c r="A229" s="27" t="s">
        <v>2658</v>
      </c>
      <c r="B229" s="27" t="s">
        <v>1012</v>
      </c>
      <c r="C229" s="27" t="s">
        <v>2462</v>
      </c>
    </row>
    <row r="230">
      <c r="A230" s="27" t="s">
        <v>2659</v>
      </c>
      <c r="B230" s="27" t="s">
        <v>1004</v>
      </c>
      <c r="C230" s="27" t="s">
        <v>2409</v>
      </c>
    </row>
    <row r="231">
      <c r="A231" s="27" t="s">
        <v>2660</v>
      </c>
      <c r="B231" s="27" t="s">
        <v>1014</v>
      </c>
      <c r="C231" s="27" t="s">
        <v>2361</v>
      </c>
    </row>
    <row r="232">
      <c r="A232" s="27" t="s">
        <v>2661</v>
      </c>
      <c r="B232" s="27" t="s">
        <v>1006</v>
      </c>
      <c r="C232" s="27" t="s">
        <v>2451</v>
      </c>
    </row>
    <row r="233">
      <c r="A233" s="27" t="s">
        <v>2662</v>
      </c>
      <c r="B233" s="27" t="s">
        <v>1016</v>
      </c>
      <c r="C233" s="27" t="s">
        <v>2437</v>
      </c>
    </row>
    <row r="234">
      <c r="A234" s="27" t="s">
        <v>2663</v>
      </c>
      <c r="B234" s="27" t="s">
        <v>1008</v>
      </c>
      <c r="C234" s="27" t="s">
        <v>2363</v>
      </c>
    </row>
    <row r="235">
      <c r="A235" s="27" t="s">
        <v>2664</v>
      </c>
      <c r="B235" s="27" t="s">
        <v>1018</v>
      </c>
      <c r="C235" s="27" t="s">
        <v>2363</v>
      </c>
    </row>
    <row r="236">
      <c r="A236" s="27" t="s">
        <v>2665</v>
      </c>
      <c r="B236" s="27" t="s">
        <v>1010</v>
      </c>
      <c r="C236" s="27" t="s">
        <v>2363</v>
      </c>
    </row>
    <row r="237">
      <c r="A237" s="27" t="s">
        <v>2666</v>
      </c>
      <c r="B237" s="27" t="s">
        <v>1069</v>
      </c>
      <c r="C237" s="27" t="s">
        <v>2359</v>
      </c>
    </row>
    <row r="238">
      <c r="A238" s="27" t="s">
        <v>2667</v>
      </c>
      <c r="B238" s="27" t="s">
        <v>1073</v>
      </c>
      <c r="C238" s="27" t="s">
        <v>2363</v>
      </c>
    </row>
    <row r="239">
      <c r="A239" s="27" t="s">
        <v>2668</v>
      </c>
      <c r="B239" s="27" t="s">
        <v>1071</v>
      </c>
      <c r="C239" s="27" t="s">
        <v>2363</v>
      </c>
    </row>
    <row r="240">
      <c r="A240" s="27" t="s">
        <v>2669</v>
      </c>
      <c r="B240" s="27" t="s">
        <v>1075</v>
      </c>
      <c r="C240" s="27" t="s">
        <v>2363</v>
      </c>
    </row>
    <row r="241">
      <c r="A241" s="27" t="s">
        <v>2670</v>
      </c>
      <c r="B241" s="27" t="s">
        <v>1079</v>
      </c>
      <c r="C241" s="27" t="s">
        <v>2437</v>
      </c>
    </row>
    <row r="242">
      <c r="A242" s="27" t="s">
        <v>2671</v>
      </c>
      <c r="B242" s="27" t="s">
        <v>172</v>
      </c>
      <c r="C242" s="27" t="s">
        <v>2672</v>
      </c>
    </row>
    <row r="243">
      <c r="A243" s="27" t="s">
        <v>2673</v>
      </c>
      <c r="B243" s="27" t="s">
        <v>174</v>
      </c>
      <c r="C243" s="27" t="s">
        <v>2394</v>
      </c>
    </row>
    <row r="244">
      <c r="A244" s="27" t="s">
        <v>2674</v>
      </c>
      <c r="B244" s="27" t="s">
        <v>170</v>
      </c>
      <c r="C244" s="27" t="s">
        <v>2595</v>
      </c>
    </row>
    <row r="245">
      <c r="A245" s="27" t="s">
        <v>2675</v>
      </c>
      <c r="B245" s="27" t="s">
        <v>184</v>
      </c>
      <c r="C245" s="27" t="s">
        <v>2441</v>
      </c>
    </row>
    <row r="246">
      <c r="A246" s="27" t="s">
        <v>2676</v>
      </c>
      <c r="B246" s="27" t="s">
        <v>182</v>
      </c>
      <c r="C246" s="27" t="s">
        <v>2394</v>
      </c>
    </row>
    <row r="247">
      <c r="A247" s="27" t="s">
        <v>2677</v>
      </c>
      <c r="B247" s="27" t="s">
        <v>186</v>
      </c>
      <c r="C247" s="27" t="s">
        <v>2386</v>
      </c>
    </row>
    <row r="248">
      <c r="A248" s="27" t="s">
        <v>2678</v>
      </c>
      <c r="B248" s="27" t="s">
        <v>271</v>
      </c>
      <c r="C248" s="27" t="s">
        <v>2679</v>
      </c>
    </row>
    <row r="249">
      <c r="A249" s="27" t="s">
        <v>2680</v>
      </c>
      <c r="B249" s="27" t="s">
        <v>276</v>
      </c>
      <c r="C249" s="27" t="s">
        <v>2505</v>
      </c>
    </row>
    <row r="250">
      <c r="A250" s="27" t="s">
        <v>2681</v>
      </c>
      <c r="B250" s="27" t="s">
        <v>274</v>
      </c>
      <c r="C250" s="27" t="s">
        <v>2682</v>
      </c>
    </row>
    <row r="251">
      <c r="A251" s="27" t="s">
        <v>2683</v>
      </c>
      <c r="B251" s="27" t="s">
        <v>228</v>
      </c>
      <c r="C251" s="27" t="s">
        <v>2595</v>
      </c>
    </row>
    <row r="252">
      <c r="A252" s="27" t="s">
        <v>2684</v>
      </c>
      <c r="B252" s="27" t="s">
        <v>292</v>
      </c>
      <c r="C252" s="27" t="s">
        <v>2409</v>
      </c>
    </row>
    <row r="253">
      <c r="A253" s="27" t="s">
        <v>2685</v>
      </c>
      <c r="B253" s="27" t="s">
        <v>2686</v>
      </c>
      <c r="C253" s="27" t="s">
        <v>2451</v>
      </c>
    </row>
    <row r="254">
      <c r="A254" s="27" t="s">
        <v>2687</v>
      </c>
      <c r="B254" s="27" t="s">
        <v>2688</v>
      </c>
      <c r="C254" s="27" t="s">
        <v>2359</v>
      </c>
    </row>
    <row r="255">
      <c r="A255" s="27" t="s">
        <v>2689</v>
      </c>
      <c r="B255" s="27" t="s">
        <v>2690</v>
      </c>
      <c r="C255" s="27" t="s">
        <v>2359</v>
      </c>
    </row>
    <row r="256">
      <c r="A256" s="27" t="s">
        <v>2691</v>
      </c>
      <c r="B256" s="27" t="s">
        <v>2692</v>
      </c>
      <c r="C256" s="27" t="s">
        <v>2359</v>
      </c>
    </row>
    <row r="257">
      <c r="A257" s="27" t="s">
        <v>2693</v>
      </c>
      <c r="B257" s="27" t="s">
        <v>2694</v>
      </c>
      <c r="C257" s="27" t="s">
        <v>2363</v>
      </c>
    </row>
    <row r="258">
      <c r="A258" s="27" t="s">
        <v>2695</v>
      </c>
      <c r="B258" s="27" t="s">
        <v>2696</v>
      </c>
      <c r="C258" s="27" t="s">
        <v>2359</v>
      </c>
    </row>
    <row r="259">
      <c r="A259" s="27" t="s">
        <v>2697</v>
      </c>
      <c r="B259" s="27" t="s">
        <v>2698</v>
      </c>
      <c r="C259" s="27" t="s">
        <v>2359</v>
      </c>
    </row>
    <row r="260">
      <c r="A260" s="27" t="s">
        <v>2699</v>
      </c>
      <c r="B260" s="27" t="s">
        <v>2700</v>
      </c>
      <c r="C260" s="27" t="s">
        <v>2359</v>
      </c>
    </row>
    <row r="261">
      <c r="A261" s="27" t="s">
        <v>2701</v>
      </c>
      <c r="B261" s="27" t="s">
        <v>2702</v>
      </c>
      <c r="C261" s="27" t="s">
        <v>2359</v>
      </c>
    </row>
    <row r="262">
      <c r="A262" s="27" t="s">
        <v>2703</v>
      </c>
      <c r="B262" s="27" t="s">
        <v>2704</v>
      </c>
      <c r="C262" s="27" t="s">
        <v>2359</v>
      </c>
    </row>
    <row r="263">
      <c r="A263" s="27" t="s">
        <v>2705</v>
      </c>
      <c r="B263" s="27" t="s">
        <v>2706</v>
      </c>
      <c r="C263" s="27" t="s">
        <v>2359</v>
      </c>
    </row>
    <row r="264">
      <c r="A264" s="27" t="s">
        <v>2707</v>
      </c>
      <c r="B264" s="27" t="s">
        <v>2708</v>
      </c>
      <c r="C264" s="27" t="s">
        <v>2359</v>
      </c>
    </row>
    <row r="265">
      <c r="A265" s="27" t="s">
        <v>2709</v>
      </c>
      <c r="B265" s="27" t="s">
        <v>1425</v>
      </c>
      <c r="C265" s="27" t="s">
        <v>2421</v>
      </c>
    </row>
    <row r="266">
      <c r="A266" s="27" t="s">
        <v>2710</v>
      </c>
      <c r="B266" s="27" t="s">
        <v>1427</v>
      </c>
      <c r="C266" s="27" t="s">
        <v>2378</v>
      </c>
    </row>
    <row r="267">
      <c r="A267" s="27" t="s">
        <v>2711</v>
      </c>
      <c r="B267" s="27" t="s">
        <v>1433</v>
      </c>
      <c r="C267" s="27" t="s">
        <v>2409</v>
      </c>
    </row>
    <row r="268">
      <c r="A268" s="27" t="s">
        <v>2712</v>
      </c>
      <c r="B268" s="27" t="s">
        <v>1261</v>
      </c>
      <c r="C268" s="27" t="s">
        <v>2382</v>
      </c>
    </row>
    <row r="269">
      <c r="A269" s="27" t="s">
        <v>2713</v>
      </c>
      <c r="B269" s="27" t="s">
        <v>1247</v>
      </c>
      <c r="C269" s="27" t="s">
        <v>2437</v>
      </c>
    </row>
    <row r="270">
      <c r="A270" s="27" t="s">
        <v>2714</v>
      </c>
      <c r="B270" s="27" t="s">
        <v>1253</v>
      </c>
      <c r="C270" s="27" t="s">
        <v>2409</v>
      </c>
    </row>
    <row r="271">
      <c r="A271" s="27" t="s">
        <v>2715</v>
      </c>
      <c r="B271" s="27" t="s">
        <v>1185</v>
      </c>
      <c r="C271" s="27" t="s">
        <v>2451</v>
      </c>
    </row>
    <row r="272">
      <c r="A272" s="27" t="s">
        <v>2716</v>
      </c>
      <c r="B272" s="27" t="s">
        <v>1405</v>
      </c>
      <c r="C272" s="27" t="s">
        <v>2378</v>
      </c>
    </row>
    <row r="273">
      <c r="A273" s="27" t="s">
        <v>2717</v>
      </c>
      <c r="B273" s="27" t="s">
        <v>1189</v>
      </c>
      <c r="C273" s="27" t="s">
        <v>2718</v>
      </c>
    </row>
    <row r="274">
      <c r="A274" s="27" t="s">
        <v>2719</v>
      </c>
      <c r="B274" s="27" t="s">
        <v>1410</v>
      </c>
      <c r="C274" s="27" t="s">
        <v>2359</v>
      </c>
    </row>
    <row r="275">
      <c r="A275" s="27" t="s">
        <v>2720</v>
      </c>
      <c r="B275" s="27" t="s">
        <v>1429</v>
      </c>
      <c r="C275" s="27" t="s">
        <v>2682</v>
      </c>
    </row>
    <row r="276">
      <c r="A276" s="27" t="s">
        <v>2721</v>
      </c>
      <c r="B276" s="27" t="s">
        <v>1431</v>
      </c>
      <c r="C276" s="27" t="s">
        <v>2439</v>
      </c>
    </row>
    <row r="277">
      <c r="A277" s="27" t="s">
        <v>2722</v>
      </c>
      <c r="B277" s="27" t="s">
        <v>1285</v>
      </c>
      <c r="C277" s="27" t="s">
        <v>2413</v>
      </c>
    </row>
    <row r="278">
      <c r="A278" s="27" t="s">
        <v>2723</v>
      </c>
      <c r="B278" s="27" t="s">
        <v>1423</v>
      </c>
      <c r="C278" s="27" t="s">
        <v>2413</v>
      </c>
    </row>
    <row r="279">
      <c r="A279" s="27" t="s">
        <v>2724</v>
      </c>
      <c r="B279" s="27" t="s">
        <v>1361</v>
      </c>
      <c r="C279" s="27" t="s">
        <v>2380</v>
      </c>
    </row>
    <row r="280">
      <c r="A280" s="27" t="s">
        <v>2725</v>
      </c>
      <c r="B280" s="27" t="s">
        <v>1363</v>
      </c>
      <c r="C280" s="27" t="s">
        <v>2447</v>
      </c>
    </row>
    <row r="281">
      <c r="A281" s="27" t="s">
        <v>2726</v>
      </c>
      <c r="B281" s="27" t="s">
        <v>1365</v>
      </c>
      <c r="C281" s="27" t="s">
        <v>2359</v>
      </c>
    </row>
    <row r="282">
      <c r="A282" s="27" t="s">
        <v>2727</v>
      </c>
      <c r="B282" s="27" t="s">
        <v>2728</v>
      </c>
      <c r="C282" s="27" t="s">
        <v>2359</v>
      </c>
    </row>
    <row r="283">
      <c r="A283" s="27" t="s">
        <v>2729</v>
      </c>
      <c r="B283" s="27" t="s">
        <v>1234</v>
      </c>
      <c r="C283" s="27" t="s">
        <v>2359</v>
      </c>
    </row>
    <row r="284">
      <c r="A284" s="27" t="s">
        <v>2730</v>
      </c>
      <c r="B284" s="27" t="s">
        <v>2731</v>
      </c>
      <c r="C284" s="27" t="s">
        <v>2359</v>
      </c>
    </row>
    <row r="285">
      <c r="A285" s="27" t="s">
        <v>2732</v>
      </c>
      <c r="B285" s="27" t="s">
        <v>2733</v>
      </c>
      <c r="C285" s="27" t="s">
        <v>2359</v>
      </c>
    </row>
    <row r="286">
      <c r="A286" s="27" t="s">
        <v>2734</v>
      </c>
      <c r="B286" s="27" t="s">
        <v>2735</v>
      </c>
      <c r="C286" s="27" t="s">
        <v>2404</v>
      </c>
    </row>
    <row r="287">
      <c r="A287" s="27" t="s">
        <v>2736</v>
      </c>
      <c r="B287" s="27">
        <v>1.652825295706E12</v>
      </c>
      <c r="C287" s="27" t="s">
        <v>2363</v>
      </c>
    </row>
    <row r="288">
      <c r="A288" s="27" t="s">
        <v>2431</v>
      </c>
      <c r="B288" s="27">
        <v>1.660858118518E12</v>
      </c>
      <c r="C288" s="27" t="s">
        <v>2363</v>
      </c>
    </row>
    <row r="289">
      <c r="A289" s="27" t="s">
        <v>2436</v>
      </c>
      <c r="B289" s="27">
        <v>1.660858416606E12</v>
      </c>
      <c r="C289" s="27" t="s">
        <v>2363</v>
      </c>
    </row>
    <row r="290">
      <c r="A290" s="27" t="s">
        <v>2448</v>
      </c>
      <c r="B290" s="27">
        <v>1.660859171584E12</v>
      </c>
      <c r="C290" s="27" t="s">
        <v>2363</v>
      </c>
    </row>
    <row r="291">
      <c r="A291" s="27" t="s">
        <v>2470</v>
      </c>
      <c r="B291" s="27">
        <v>6.7933857637909E13</v>
      </c>
      <c r="C291" s="27" t="s">
        <v>2363</v>
      </c>
    </row>
    <row r="292">
      <c r="A292" s="27" t="s">
        <v>2737</v>
      </c>
      <c r="B292" s="27" t="s">
        <v>1236</v>
      </c>
      <c r="C292" s="27" t="s">
        <v>2363</v>
      </c>
    </row>
    <row r="293">
      <c r="A293" s="27" t="s">
        <v>2738</v>
      </c>
      <c r="B293" s="27" t="s">
        <v>1245</v>
      </c>
      <c r="C293" s="27" t="s">
        <v>2363</v>
      </c>
    </row>
    <row r="294">
      <c r="A294" s="27" t="s">
        <v>2739</v>
      </c>
      <c r="B294" s="27" t="s">
        <v>1251</v>
      </c>
      <c r="C294" s="27" t="s">
        <v>2363</v>
      </c>
    </row>
    <row r="295">
      <c r="A295" s="27" t="s">
        <v>2740</v>
      </c>
      <c r="B295" s="27" t="s">
        <v>1265</v>
      </c>
      <c r="C295" s="27" t="s">
        <v>2363</v>
      </c>
    </row>
    <row r="296">
      <c r="A296" s="27" t="s">
        <v>2741</v>
      </c>
      <c r="B296" s="27" t="s">
        <v>1255</v>
      </c>
      <c r="C296" s="27" t="s">
        <v>2441</v>
      </c>
    </row>
    <row r="297">
      <c r="A297" s="27" t="s">
        <v>2714</v>
      </c>
      <c r="B297" s="27" t="s">
        <v>1253</v>
      </c>
      <c r="C297" s="27" t="s">
        <v>2363</v>
      </c>
    </row>
    <row r="298">
      <c r="A298" s="27" t="s">
        <v>2742</v>
      </c>
      <c r="B298" s="27" t="s">
        <v>1403</v>
      </c>
      <c r="C298" s="27" t="s">
        <v>2363</v>
      </c>
    </row>
    <row r="299">
      <c r="A299" s="27" t="s">
        <v>2717</v>
      </c>
      <c r="B299" s="27" t="s">
        <v>1189</v>
      </c>
      <c r="C299" s="27" t="s">
        <v>2363</v>
      </c>
    </row>
    <row r="300">
      <c r="A300" s="27" t="s">
        <v>2743</v>
      </c>
      <c r="B300" s="27" t="s">
        <v>1412</v>
      </c>
      <c r="C300" s="27" t="s">
        <v>2363</v>
      </c>
    </row>
    <row r="301">
      <c r="A301" s="27" t="s">
        <v>2744</v>
      </c>
      <c r="B301" s="27" t="s">
        <v>1414</v>
      </c>
      <c r="C301" s="27" t="s">
        <v>2359</v>
      </c>
    </row>
    <row r="302">
      <c r="A302" s="27" t="s">
        <v>2719</v>
      </c>
      <c r="B302" s="27" t="s">
        <v>1410</v>
      </c>
      <c r="C302" s="27" t="s">
        <v>2363</v>
      </c>
    </row>
    <row r="303">
      <c r="A303" s="27" t="s">
        <v>2720</v>
      </c>
      <c r="B303" s="27" t="s">
        <v>1429</v>
      </c>
      <c r="C303" s="27" t="s">
        <v>2363</v>
      </c>
    </row>
    <row r="304">
      <c r="A304" s="27" t="s">
        <v>2745</v>
      </c>
      <c r="B304" s="27" t="s">
        <v>2735</v>
      </c>
      <c r="C304" s="27" t="s">
        <v>2746</v>
      </c>
    </row>
    <row r="305">
      <c r="A305" s="27" t="s">
        <v>2747</v>
      </c>
      <c r="B305" s="27">
        <v>1.535543463599E12</v>
      </c>
      <c r="C305" s="27" t="s">
        <v>2409</v>
      </c>
    </row>
    <row r="306">
      <c r="A306" s="27" t="s">
        <v>2748</v>
      </c>
      <c r="B306" s="27">
        <v>1.538141129434E12</v>
      </c>
      <c r="C306" s="27" t="s">
        <v>2361</v>
      </c>
    </row>
    <row r="307">
      <c r="A307" s="27" t="s">
        <v>2749</v>
      </c>
      <c r="B307" s="27">
        <v>1.543406075297E12</v>
      </c>
      <c r="C307" s="27" t="s">
        <v>2437</v>
      </c>
    </row>
    <row r="308">
      <c r="A308" s="27" t="s">
        <v>2750</v>
      </c>
      <c r="B308" s="27">
        <v>1.548358566329E12</v>
      </c>
      <c r="C308" s="27" t="s">
        <v>2359</v>
      </c>
    </row>
    <row r="309">
      <c r="A309" s="27" t="s">
        <v>2364</v>
      </c>
      <c r="B309" s="27">
        <v>1.564150627423E12</v>
      </c>
      <c r="C309" s="27" t="s">
        <v>2751</v>
      </c>
    </row>
    <row r="310">
      <c r="A310" s="27" t="s">
        <v>2366</v>
      </c>
      <c r="B310" s="27">
        <v>1.564150661249E12</v>
      </c>
      <c r="C310" s="27" t="s">
        <v>2426</v>
      </c>
    </row>
    <row r="311">
      <c r="A311" s="27" t="s">
        <v>2367</v>
      </c>
      <c r="B311" s="27">
        <v>1.566335721736E12</v>
      </c>
      <c r="C311" s="27" t="s">
        <v>2752</v>
      </c>
    </row>
    <row r="312">
      <c r="A312" s="27" t="s">
        <v>2369</v>
      </c>
      <c r="B312" s="27">
        <v>1.566849947902E12</v>
      </c>
      <c r="C312" s="27" t="s">
        <v>2380</v>
      </c>
    </row>
    <row r="313">
      <c r="A313" s="27" t="s">
        <v>2371</v>
      </c>
      <c r="B313" s="27">
        <v>1.571423280815E12</v>
      </c>
      <c r="C313" s="27" t="s">
        <v>2361</v>
      </c>
    </row>
    <row r="314">
      <c r="A314" s="27" t="s">
        <v>2753</v>
      </c>
      <c r="B314" s="27">
        <v>1.589209076056E12</v>
      </c>
      <c r="C314" s="27" t="s">
        <v>2380</v>
      </c>
    </row>
    <row r="315">
      <c r="A315" s="27" t="s">
        <v>2373</v>
      </c>
      <c r="B315" s="27">
        <v>1.592492799236E12</v>
      </c>
      <c r="C315" s="27" t="s">
        <v>2396</v>
      </c>
    </row>
    <row r="316">
      <c r="A316" s="27" t="s">
        <v>2374</v>
      </c>
      <c r="B316" s="27">
        <v>1.59708649984E12</v>
      </c>
      <c r="C316" s="27" t="s">
        <v>2359</v>
      </c>
    </row>
    <row r="317">
      <c r="A317" s="27" t="s">
        <v>2754</v>
      </c>
      <c r="B317" s="27">
        <v>1.614194024408E12</v>
      </c>
      <c r="C317" s="27" t="s">
        <v>2437</v>
      </c>
    </row>
    <row r="318">
      <c r="A318" s="27" t="s">
        <v>2377</v>
      </c>
      <c r="B318" s="27">
        <v>1.61538336617E12</v>
      </c>
      <c r="C318" s="27" t="s">
        <v>2363</v>
      </c>
    </row>
    <row r="319">
      <c r="A319" s="27" t="s">
        <v>2755</v>
      </c>
      <c r="B319" s="27">
        <v>1.616009024556E12</v>
      </c>
      <c r="C319" s="27" t="s">
        <v>2437</v>
      </c>
    </row>
    <row r="320">
      <c r="A320" s="27" t="s">
        <v>2756</v>
      </c>
      <c r="B320" s="27">
        <v>1.616450827982E12</v>
      </c>
      <c r="C320" s="27" t="s">
        <v>2359</v>
      </c>
    </row>
    <row r="321">
      <c r="A321" s="27" t="s">
        <v>2383</v>
      </c>
      <c r="B321" s="27">
        <v>1.623703728452E12</v>
      </c>
      <c r="C321" s="27" t="s">
        <v>2363</v>
      </c>
    </row>
    <row r="322">
      <c r="A322" s="27" t="s">
        <v>2385</v>
      </c>
      <c r="B322" s="27">
        <v>1.623703861303E12</v>
      </c>
      <c r="C322" s="27" t="s">
        <v>2409</v>
      </c>
    </row>
    <row r="323">
      <c r="A323" s="27" t="s">
        <v>2757</v>
      </c>
      <c r="B323" s="27">
        <v>1.623703942966E12</v>
      </c>
      <c r="C323" s="27" t="s">
        <v>2361</v>
      </c>
    </row>
    <row r="324">
      <c r="A324" s="27" t="s">
        <v>2758</v>
      </c>
      <c r="B324" s="27">
        <v>1.623891882677E12</v>
      </c>
      <c r="C324" s="27" t="s">
        <v>2372</v>
      </c>
    </row>
    <row r="325">
      <c r="A325" s="27" t="s">
        <v>2387</v>
      </c>
      <c r="B325" s="27">
        <v>1.62741684103E12</v>
      </c>
      <c r="C325" s="27" t="s">
        <v>2447</v>
      </c>
    </row>
    <row r="326">
      <c r="A326" s="27" t="s">
        <v>2389</v>
      </c>
      <c r="B326" s="27">
        <v>1.627418180602E12</v>
      </c>
      <c r="C326" s="27" t="s">
        <v>2759</v>
      </c>
    </row>
    <row r="327">
      <c r="A327" s="27" t="s">
        <v>2391</v>
      </c>
      <c r="B327" s="27">
        <v>1.627418212924E12</v>
      </c>
      <c r="C327" s="27" t="s">
        <v>2603</v>
      </c>
    </row>
    <row r="328">
      <c r="A328" s="27" t="s">
        <v>2760</v>
      </c>
      <c r="B328" s="27">
        <v>1.628016796209E12</v>
      </c>
      <c r="C328" s="27" t="s">
        <v>2363</v>
      </c>
    </row>
    <row r="329">
      <c r="A329" s="27" t="s">
        <v>2393</v>
      </c>
      <c r="B329" s="27">
        <v>1.62801820637E12</v>
      </c>
      <c r="C329" s="27" t="s">
        <v>2451</v>
      </c>
    </row>
    <row r="330">
      <c r="A330" s="27" t="s">
        <v>2761</v>
      </c>
      <c r="B330" s="27">
        <v>1.629726091782E12</v>
      </c>
      <c r="C330" s="27" t="s">
        <v>2441</v>
      </c>
    </row>
    <row r="331">
      <c r="A331" s="27" t="s">
        <v>2762</v>
      </c>
      <c r="B331" s="27">
        <v>1.629726117626E12</v>
      </c>
      <c r="C331" s="27" t="s">
        <v>2372</v>
      </c>
    </row>
    <row r="332">
      <c r="A332" s="27" t="s">
        <v>2763</v>
      </c>
      <c r="B332" s="27">
        <v>1.6303705794E12</v>
      </c>
      <c r="C332" s="27" t="s">
        <v>2363</v>
      </c>
    </row>
    <row r="333">
      <c r="A333" s="27" t="s">
        <v>2764</v>
      </c>
      <c r="B333" s="27">
        <v>1.630370852776E12</v>
      </c>
      <c r="C333" s="27" t="s">
        <v>2451</v>
      </c>
    </row>
    <row r="334">
      <c r="A334" s="27" t="s">
        <v>2765</v>
      </c>
      <c r="B334" s="27">
        <v>1.63456703401E12</v>
      </c>
      <c r="C334" s="27" t="s">
        <v>2363</v>
      </c>
    </row>
    <row r="335">
      <c r="A335" s="27" t="s">
        <v>2766</v>
      </c>
      <c r="B335" s="27">
        <v>1.638799019582E12</v>
      </c>
      <c r="C335" s="27" t="s">
        <v>2437</v>
      </c>
    </row>
    <row r="336">
      <c r="A336" s="27" t="s">
        <v>2767</v>
      </c>
      <c r="B336" s="27">
        <v>1.639085706913E12</v>
      </c>
      <c r="C336" s="27" t="s">
        <v>2437</v>
      </c>
    </row>
    <row r="337">
      <c r="A337" s="27" t="s">
        <v>2768</v>
      </c>
      <c r="B337" s="27">
        <v>1.639085745522E12</v>
      </c>
      <c r="C337" s="27" t="s">
        <v>2409</v>
      </c>
    </row>
    <row r="338">
      <c r="A338" s="27" t="s">
        <v>2769</v>
      </c>
      <c r="B338" s="27">
        <v>1.639085755244E12</v>
      </c>
      <c r="C338" s="27" t="s">
        <v>2595</v>
      </c>
    </row>
    <row r="339">
      <c r="A339" s="27" t="s">
        <v>2770</v>
      </c>
      <c r="B339" s="27">
        <v>1.640091153797E12</v>
      </c>
      <c r="C339" s="27" t="s">
        <v>2363</v>
      </c>
    </row>
    <row r="340">
      <c r="A340" s="27" t="s">
        <v>2401</v>
      </c>
      <c r="B340" s="27">
        <v>1.645629782262E12</v>
      </c>
      <c r="C340" s="27" t="s">
        <v>2361</v>
      </c>
    </row>
    <row r="341">
      <c r="A341" s="27" t="s">
        <v>2403</v>
      </c>
      <c r="B341" s="27">
        <v>1.650295261109E12</v>
      </c>
      <c r="C341" s="27" t="s">
        <v>2441</v>
      </c>
    </row>
    <row r="342">
      <c r="A342" s="27" t="s">
        <v>2405</v>
      </c>
      <c r="B342" s="27">
        <v>1.650295282448E12</v>
      </c>
      <c r="C342" s="27" t="s">
        <v>2363</v>
      </c>
    </row>
    <row r="343">
      <c r="A343" s="27" t="s">
        <v>2771</v>
      </c>
      <c r="B343" s="27">
        <v>1.65029871717E12</v>
      </c>
      <c r="C343" s="27" t="s">
        <v>2363</v>
      </c>
    </row>
    <row r="344">
      <c r="A344" s="27" t="s">
        <v>2772</v>
      </c>
      <c r="B344" s="27">
        <v>1.650298908518E12</v>
      </c>
      <c r="C344" s="27" t="s">
        <v>2439</v>
      </c>
    </row>
    <row r="345">
      <c r="A345" s="27" t="s">
        <v>2408</v>
      </c>
      <c r="B345" s="27">
        <v>1.650302269777E12</v>
      </c>
      <c r="C345" s="27" t="s">
        <v>2437</v>
      </c>
    </row>
    <row r="346">
      <c r="A346" s="27" t="s">
        <v>2773</v>
      </c>
      <c r="B346" s="27">
        <v>1.652824796337E12</v>
      </c>
      <c r="C346" s="27" t="s">
        <v>2361</v>
      </c>
    </row>
    <row r="347">
      <c r="A347" s="27" t="s">
        <v>2774</v>
      </c>
      <c r="B347" s="27">
        <v>1.652824942453E12</v>
      </c>
      <c r="C347" s="27" t="s">
        <v>2409</v>
      </c>
    </row>
    <row r="348">
      <c r="A348" s="27" t="s">
        <v>2775</v>
      </c>
      <c r="B348" s="27">
        <v>1.652824957424E12</v>
      </c>
      <c r="C348" s="27" t="s">
        <v>2462</v>
      </c>
    </row>
    <row r="349">
      <c r="A349" s="27" t="s">
        <v>2410</v>
      </c>
      <c r="B349" s="27">
        <v>1.652825027456E12</v>
      </c>
      <c r="C349" s="27" t="s">
        <v>2437</v>
      </c>
    </row>
    <row r="350">
      <c r="A350" s="27" t="s">
        <v>2412</v>
      </c>
      <c r="B350" s="27">
        <v>1.654189048611E12</v>
      </c>
      <c r="C350" s="27" t="s">
        <v>2361</v>
      </c>
    </row>
    <row r="351">
      <c r="A351" s="27" t="s">
        <v>2414</v>
      </c>
      <c r="B351" s="27">
        <v>1.654189204021E12</v>
      </c>
      <c r="C351" s="27" t="s">
        <v>2441</v>
      </c>
    </row>
    <row r="352">
      <c r="A352" s="27" t="s">
        <v>2415</v>
      </c>
      <c r="B352" s="27">
        <v>1.654207295633E12</v>
      </c>
      <c r="C352" s="27" t="s">
        <v>2378</v>
      </c>
    </row>
    <row r="353">
      <c r="A353" s="27" t="s">
        <v>2417</v>
      </c>
      <c r="B353" s="27">
        <v>1.654207307551E12</v>
      </c>
      <c r="C353" s="27" t="s">
        <v>2776</v>
      </c>
    </row>
    <row r="354">
      <c r="A354" s="27" t="s">
        <v>2418</v>
      </c>
      <c r="B354" s="27">
        <v>1.654207333519E12</v>
      </c>
      <c r="C354" s="27" t="s">
        <v>2399</v>
      </c>
    </row>
    <row r="355">
      <c r="A355" s="27" t="s">
        <v>2777</v>
      </c>
      <c r="B355" s="27">
        <v>1.654207352499E12</v>
      </c>
      <c r="C355" s="27" t="s">
        <v>2505</v>
      </c>
    </row>
    <row r="356">
      <c r="A356" s="27" t="s">
        <v>2420</v>
      </c>
      <c r="B356" s="27">
        <v>1.654207372101E12</v>
      </c>
      <c r="C356" s="27" t="s">
        <v>2363</v>
      </c>
    </row>
    <row r="357">
      <c r="A357" s="27" t="s">
        <v>2778</v>
      </c>
      <c r="B357" s="27">
        <v>1.65420774834E12</v>
      </c>
      <c r="C357" s="27" t="s">
        <v>2441</v>
      </c>
    </row>
    <row r="358">
      <c r="A358" s="27" t="s">
        <v>2422</v>
      </c>
      <c r="B358" s="27">
        <v>1.656603353038E12</v>
      </c>
      <c r="C358" s="27" t="s">
        <v>2441</v>
      </c>
    </row>
    <row r="359">
      <c r="A359" s="27" t="s">
        <v>2779</v>
      </c>
      <c r="B359" s="27">
        <v>1.656603804695E12</v>
      </c>
      <c r="C359" s="27" t="s">
        <v>2409</v>
      </c>
    </row>
    <row r="360">
      <c r="A360" s="27" t="s">
        <v>2780</v>
      </c>
      <c r="B360" s="27">
        <v>1.657222641841E12</v>
      </c>
      <c r="C360" s="27" t="s">
        <v>2363</v>
      </c>
    </row>
    <row r="361">
      <c r="A361" s="27" t="s">
        <v>2781</v>
      </c>
      <c r="B361" s="27">
        <v>1.658269683485E12</v>
      </c>
      <c r="C361" s="27" t="s">
        <v>2441</v>
      </c>
    </row>
    <row r="362">
      <c r="A362" s="27" t="s">
        <v>2782</v>
      </c>
      <c r="B362" s="27">
        <v>1.658330420825E12</v>
      </c>
      <c r="C362" s="27" t="s">
        <v>2447</v>
      </c>
    </row>
    <row r="363">
      <c r="A363" s="27" t="s">
        <v>2783</v>
      </c>
      <c r="B363" s="27">
        <v>1.658525816907E12</v>
      </c>
      <c r="C363" s="27" t="s">
        <v>2437</v>
      </c>
    </row>
    <row r="364">
      <c r="A364" s="27" t="s">
        <v>2784</v>
      </c>
      <c r="B364" s="27">
        <v>1.659989549286E12</v>
      </c>
      <c r="C364" s="27" t="s">
        <v>2441</v>
      </c>
    </row>
    <row r="365">
      <c r="A365" s="27" t="s">
        <v>2785</v>
      </c>
      <c r="B365" s="27">
        <v>1.659989621591E12</v>
      </c>
      <c r="C365" s="27" t="s">
        <v>2361</v>
      </c>
    </row>
    <row r="366">
      <c r="A366" s="27" t="s">
        <v>2786</v>
      </c>
      <c r="B366" s="27">
        <v>1.659990725288E12</v>
      </c>
      <c r="C366" s="27" t="s">
        <v>2361</v>
      </c>
    </row>
    <row r="367">
      <c r="A367" s="27" t="s">
        <v>2787</v>
      </c>
      <c r="B367" s="27">
        <v>1.659991379695E12</v>
      </c>
      <c r="C367" s="27" t="s">
        <v>2363</v>
      </c>
    </row>
    <row r="368">
      <c r="A368" s="27" t="s">
        <v>2788</v>
      </c>
      <c r="B368" s="27">
        <v>1.659991481176E12</v>
      </c>
      <c r="C368" s="27" t="s">
        <v>2437</v>
      </c>
    </row>
    <row r="369">
      <c r="A369" s="27" t="s">
        <v>2423</v>
      </c>
      <c r="B369" s="27">
        <v>1.659991971809E12</v>
      </c>
      <c r="C369" s="27" t="s">
        <v>2441</v>
      </c>
    </row>
    <row r="370">
      <c r="A370" s="27" t="s">
        <v>2424</v>
      </c>
      <c r="B370" s="27">
        <v>1.659991999728E12</v>
      </c>
      <c r="C370" s="27" t="s">
        <v>2363</v>
      </c>
    </row>
    <row r="371">
      <c r="A371" s="27" t="s">
        <v>2789</v>
      </c>
      <c r="B371" s="27">
        <v>1.659992478281E12</v>
      </c>
      <c r="C371" s="27" t="s">
        <v>2359</v>
      </c>
    </row>
    <row r="372">
      <c r="A372" s="27" t="s">
        <v>2790</v>
      </c>
      <c r="B372" s="27" t="s">
        <v>2791</v>
      </c>
      <c r="C372" s="27" t="s">
        <v>2462</v>
      </c>
    </row>
    <row r="373">
      <c r="A373" s="27" t="s">
        <v>2792</v>
      </c>
      <c r="B373" s="27">
        <v>1.660857800718E12</v>
      </c>
      <c r="C373" s="27" t="s">
        <v>2437</v>
      </c>
    </row>
    <row r="374">
      <c r="A374" s="27" t="s">
        <v>2430</v>
      </c>
      <c r="B374" s="27">
        <v>1.660858101318E12</v>
      </c>
      <c r="C374" s="27" t="s">
        <v>2359</v>
      </c>
    </row>
    <row r="375">
      <c r="A375" s="27" t="s">
        <v>2431</v>
      </c>
      <c r="B375" s="27">
        <v>1.660858118518E12</v>
      </c>
      <c r="C375" s="27" t="s">
        <v>2437</v>
      </c>
    </row>
    <row r="376">
      <c r="A376" s="27" t="s">
        <v>2793</v>
      </c>
      <c r="B376" s="27">
        <v>1.660858235219E12</v>
      </c>
      <c r="C376" s="27" t="s">
        <v>2437</v>
      </c>
    </row>
    <row r="377">
      <c r="A377" s="27" t="s">
        <v>2434</v>
      </c>
      <c r="B377" s="27">
        <v>1.660858356962E12</v>
      </c>
      <c r="C377" s="27" t="s">
        <v>2378</v>
      </c>
    </row>
    <row r="378">
      <c r="A378" s="27" t="s">
        <v>2436</v>
      </c>
      <c r="B378" s="27">
        <v>1.660858416606E12</v>
      </c>
      <c r="C378" s="27" t="s">
        <v>2363</v>
      </c>
    </row>
    <row r="379">
      <c r="A379" s="27" t="s">
        <v>2438</v>
      </c>
      <c r="B379" s="27">
        <v>1.6608587024E12</v>
      </c>
      <c r="C379" s="27" t="s">
        <v>2566</v>
      </c>
    </row>
    <row r="380">
      <c r="A380" s="27" t="s">
        <v>2440</v>
      </c>
      <c r="B380" s="27">
        <v>1.660858756233E12</v>
      </c>
      <c r="C380" s="27" t="s">
        <v>2437</v>
      </c>
    </row>
    <row r="381">
      <c r="A381" s="27" t="s">
        <v>2443</v>
      </c>
      <c r="B381" s="27">
        <v>1.660858793429E12</v>
      </c>
      <c r="C381" s="27" t="s">
        <v>2359</v>
      </c>
    </row>
    <row r="382">
      <c r="A382" s="27" t="s">
        <v>2446</v>
      </c>
      <c r="B382" s="27">
        <v>1.660858844449E12</v>
      </c>
      <c r="C382" s="27" t="s">
        <v>2359</v>
      </c>
    </row>
    <row r="383">
      <c r="A383" s="27" t="s">
        <v>2794</v>
      </c>
      <c r="B383" s="27">
        <v>1.660859287583E12</v>
      </c>
      <c r="C383" s="27" t="s">
        <v>2363</v>
      </c>
    </row>
    <row r="384">
      <c r="A384" s="27" t="s">
        <v>2795</v>
      </c>
      <c r="B384" s="27" t="s">
        <v>2796</v>
      </c>
      <c r="C384" s="27" t="s">
        <v>2797</v>
      </c>
    </row>
    <row r="385">
      <c r="A385" s="27" t="s">
        <v>2449</v>
      </c>
      <c r="B385" s="27">
        <v>1.661872956577E12</v>
      </c>
      <c r="C385" s="27" t="s">
        <v>2441</v>
      </c>
    </row>
    <row r="386">
      <c r="A386" s="27" t="s">
        <v>2798</v>
      </c>
      <c r="B386" s="27">
        <v>1.66187377951E12</v>
      </c>
      <c r="C386" s="27" t="s">
        <v>2372</v>
      </c>
    </row>
    <row r="387">
      <c r="A387" s="27" t="s">
        <v>2799</v>
      </c>
      <c r="B387" s="27">
        <v>1.662389376894E12</v>
      </c>
      <c r="C387" s="27" t="s">
        <v>2359</v>
      </c>
    </row>
    <row r="388">
      <c r="A388" s="27" t="s">
        <v>2800</v>
      </c>
      <c r="B388" s="27">
        <v>1700887.0</v>
      </c>
      <c r="C388" s="27" t="s">
        <v>2359</v>
      </c>
    </row>
    <row r="389">
      <c r="A389" s="27" t="s">
        <v>2801</v>
      </c>
      <c r="B389" s="27">
        <v>1709226.0</v>
      </c>
      <c r="C389" s="27" t="s">
        <v>2363</v>
      </c>
    </row>
    <row r="390">
      <c r="A390" s="27" t="s">
        <v>2802</v>
      </c>
      <c r="B390" s="27">
        <v>1720434.0</v>
      </c>
      <c r="C390" s="27" t="s">
        <v>2437</v>
      </c>
    </row>
    <row r="391">
      <c r="A391" s="27" t="s">
        <v>2803</v>
      </c>
      <c r="B391" s="27">
        <v>1720662.0</v>
      </c>
      <c r="C391" s="27" t="s">
        <v>2437</v>
      </c>
    </row>
    <row r="392">
      <c r="A392" s="27" t="s">
        <v>2804</v>
      </c>
      <c r="B392" s="27">
        <v>184957.0</v>
      </c>
      <c r="C392" s="27" t="s">
        <v>2363</v>
      </c>
    </row>
    <row r="393">
      <c r="A393" s="27" t="s">
        <v>2452</v>
      </c>
      <c r="B393" s="27">
        <v>186296.0</v>
      </c>
      <c r="C393" s="27" t="s">
        <v>2451</v>
      </c>
    </row>
    <row r="394">
      <c r="A394" s="27" t="s">
        <v>2805</v>
      </c>
      <c r="B394" s="27" t="s">
        <v>2806</v>
      </c>
      <c r="C394" s="27" t="s">
        <v>2359</v>
      </c>
    </row>
    <row r="395">
      <c r="A395" s="27" t="s">
        <v>2807</v>
      </c>
      <c r="B395" s="27">
        <v>25533.0</v>
      </c>
      <c r="C395" s="27" t="s">
        <v>2437</v>
      </c>
    </row>
    <row r="396">
      <c r="A396" s="27" t="s">
        <v>2808</v>
      </c>
      <c r="B396" s="27">
        <v>25782.0</v>
      </c>
      <c r="C396" s="27" t="s">
        <v>2363</v>
      </c>
    </row>
    <row r="397">
      <c r="A397" s="27" t="s">
        <v>2809</v>
      </c>
      <c r="B397" s="27">
        <v>26667.0</v>
      </c>
      <c r="C397" s="27" t="s">
        <v>2359</v>
      </c>
    </row>
    <row r="398">
      <c r="A398" s="27" t="s">
        <v>2810</v>
      </c>
      <c r="B398" s="27">
        <v>26668.0</v>
      </c>
      <c r="C398" s="27" t="s">
        <v>2363</v>
      </c>
    </row>
    <row r="399">
      <c r="A399" s="27" t="s">
        <v>2811</v>
      </c>
      <c r="B399" s="27">
        <v>26882.0</v>
      </c>
      <c r="C399" s="27" t="s">
        <v>2363</v>
      </c>
    </row>
    <row r="400">
      <c r="A400" s="27" t="s">
        <v>2812</v>
      </c>
      <c r="B400" s="27">
        <v>2691516.0</v>
      </c>
      <c r="C400" s="27" t="s">
        <v>2437</v>
      </c>
    </row>
    <row r="401">
      <c r="A401" s="27" t="s">
        <v>2813</v>
      </c>
      <c r="B401" s="27">
        <v>26925.0</v>
      </c>
      <c r="C401" s="27" t="s">
        <v>2363</v>
      </c>
    </row>
    <row r="402">
      <c r="A402" s="27" t="s">
        <v>2814</v>
      </c>
      <c r="B402" s="27">
        <v>26967.0</v>
      </c>
      <c r="C402" s="27" t="s">
        <v>2359</v>
      </c>
    </row>
    <row r="403">
      <c r="A403" s="27" t="s">
        <v>2815</v>
      </c>
      <c r="B403" s="27" t="s">
        <v>2816</v>
      </c>
      <c r="C403" s="27" t="s">
        <v>2359</v>
      </c>
    </row>
    <row r="404">
      <c r="A404" s="27" t="s">
        <v>2817</v>
      </c>
      <c r="B404" s="27">
        <v>6.6800471275549E13</v>
      </c>
      <c r="C404" s="27" t="s">
        <v>2361</v>
      </c>
    </row>
    <row r="405">
      <c r="A405" s="27" t="s">
        <v>2460</v>
      </c>
      <c r="B405" s="27">
        <v>6.6800472805184E13</v>
      </c>
      <c r="C405" s="27" t="s">
        <v>2462</v>
      </c>
    </row>
    <row r="406">
      <c r="A406" s="27" t="s">
        <v>2461</v>
      </c>
      <c r="B406" s="27">
        <v>6.6800506435054E13</v>
      </c>
      <c r="C406" s="27" t="s">
        <v>2380</v>
      </c>
    </row>
    <row r="407">
      <c r="A407" s="27" t="s">
        <v>2818</v>
      </c>
      <c r="B407" s="27">
        <v>6.680050766593E13</v>
      </c>
      <c r="C407" s="27" t="s">
        <v>2441</v>
      </c>
    </row>
    <row r="408">
      <c r="A408" s="27" t="s">
        <v>2463</v>
      </c>
      <c r="B408" s="27">
        <v>6.6800509015029E13</v>
      </c>
      <c r="C408" s="27" t="s">
        <v>2380</v>
      </c>
    </row>
    <row r="409">
      <c r="A409" s="27" t="s">
        <v>2819</v>
      </c>
      <c r="B409" s="27">
        <v>6.6800510263382E13</v>
      </c>
      <c r="C409" s="27" t="s">
        <v>2378</v>
      </c>
    </row>
    <row r="410">
      <c r="A410" s="27" t="s">
        <v>2820</v>
      </c>
      <c r="B410" s="27">
        <v>6.7114505814137E13</v>
      </c>
      <c r="C410" s="27" t="s">
        <v>2359</v>
      </c>
    </row>
    <row r="411">
      <c r="A411" s="27" t="s">
        <v>2821</v>
      </c>
      <c r="B411" s="27">
        <v>6.7327559384453E13</v>
      </c>
      <c r="C411" s="27" t="s">
        <v>2394</v>
      </c>
    </row>
    <row r="412">
      <c r="A412" s="27" t="s">
        <v>2464</v>
      </c>
      <c r="B412" s="27">
        <v>6.7327712330533E13</v>
      </c>
      <c r="C412" s="27" t="s">
        <v>2822</v>
      </c>
    </row>
    <row r="413">
      <c r="A413" s="27" t="s">
        <v>2823</v>
      </c>
      <c r="B413" s="27">
        <v>6.7898087132855E13</v>
      </c>
      <c r="C413" s="27" t="s">
        <v>2363</v>
      </c>
    </row>
    <row r="414">
      <c r="A414" s="27" t="s">
        <v>2824</v>
      </c>
      <c r="B414" s="27">
        <v>6.7898258445967E13</v>
      </c>
      <c r="C414" s="27" t="s">
        <v>2363</v>
      </c>
    </row>
    <row r="415">
      <c r="A415" s="27" t="s">
        <v>2825</v>
      </c>
      <c r="B415" s="27">
        <v>6.7898465380537E13</v>
      </c>
      <c r="C415" s="27" t="s">
        <v>2359</v>
      </c>
    </row>
    <row r="416">
      <c r="A416" s="27" t="s">
        <v>2826</v>
      </c>
      <c r="B416" s="27">
        <v>6.7898498248964E13</v>
      </c>
      <c r="C416" s="27" t="s">
        <v>2441</v>
      </c>
    </row>
    <row r="417">
      <c r="A417" s="27" t="s">
        <v>2827</v>
      </c>
      <c r="B417" s="27">
        <v>6.7898499812968E13</v>
      </c>
      <c r="C417" s="27" t="s">
        <v>2447</v>
      </c>
    </row>
    <row r="418">
      <c r="A418" s="27" t="s">
        <v>2466</v>
      </c>
      <c r="B418" s="27">
        <v>6.793383184397E13</v>
      </c>
      <c r="C418" s="27" t="s">
        <v>2552</v>
      </c>
    </row>
    <row r="419">
      <c r="A419" s="27" t="s">
        <v>2467</v>
      </c>
      <c r="B419" s="27">
        <v>6.7933833934278E13</v>
      </c>
      <c r="C419" s="27" t="s">
        <v>2396</v>
      </c>
    </row>
    <row r="420">
      <c r="A420" s="27" t="s">
        <v>2828</v>
      </c>
      <c r="B420" s="27">
        <v>6.7933835988925E13</v>
      </c>
      <c r="C420" s="27" t="s">
        <v>2451</v>
      </c>
    </row>
    <row r="421">
      <c r="A421" s="27" t="s">
        <v>2470</v>
      </c>
      <c r="B421" s="27">
        <v>6.7933857637909E13</v>
      </c>
      <c r="C421" s="27" t="s">
        <v>2363</v>
      </c>
    </row>
    <row r="422">
      <c r="A422" s="27" t="s">
        <v>2472</v>
      </c>
      <c r="B422" s="27">
        <v>6.7933860407346E13</v>
      </c>
      <c r="C422" s="27" t="s">
        <v>2396</v>
      </c>
    </row>
    <row r="423">
      <c r="A423" s="27" t="s">
        <v>2473</v>
      </c>
      <c r="B423" s="27">
        <v>6.7933863068841E13</v>
      </c>
      <c r="C423" s="27" t="s">
        <v>2378</v>
      </c>
    </row>
    <row r="424">
      <c r="A424" s="27" t="s">
        <v>2474</v>
      </c>
      <c r="B424" s="27">
        <v>6.7951421434761E13</v>
      </c>
      <c r="C424" s="27" t="s">
        <v>2441</v>
      </c>
    </row>
    <row r="425">
      <c r="A425" s="27" t="s">
        <v>2829</v>
      </c>
      <c r="B425" s="27">
        <v>6.7951425161311E13</v>
      </c>
      <c r="C425" s="27" t="s">
        <v>2437</v>
      </c>
    </row>
    <row r="426">
      <c r="A426" s="27" t="s">
        <v>2830</v>
      </c>
      <c r="B426" s="27">
        <v>6.8142278578308E13</v>
      </c>
      <c r="C426" s="27" t="s">
        <v>2447</v>
      </c>
    </row>
    <row r="427">
      <c r="A427" s="27" t="s">
        <v>2831</v>
      </c>
      <c r="B427" s="27">
        <v>6.814228073269E13</v>
      </c>
      <c r="C427" s="27" t="s">
        <v>2447</v>
      </c>
    </row>
    <row r="428">
      <c r="A428" s="27" t="s">
        <v>2832</v>
      </c>
      <c r="B428" s="27">
        <v>6.8313284342161E13</v>
      </c>
      <c r="C428" s="27" t="s">
        <v>2359</v>
      </c>
    </row>
    <row r="429">
      <c r="A429" s="27" t="s">
        <v>2833</v>
      </c>
      <c r="B429" s="27">
        <v>6.8540048936286E13</v>
      </c>
      <c r="C429" s="27" t="s">
        <v>2409</v>
      </c>
    </row>
    <row r="430">
      <c r="A430" s="27" t="s">
        <v>2476</v>
      </c>
      <c r="B430" s="27">
        <v>6.8658866289861E13</v>
      </c>
      <c r="C430" s="27" t="s">
        <v>2672</v>
      </c>
    </row>
    <row r="431">
      <c r="A431" s="27" t="s">
        <v>2477</v>
      </c>
      <c r="B431" s="27">
        <v>6.8658868763602E13</v>
      </c>
      <c r="C431" s="27" t="s">
        <v>2404</v>
      </c>
    </row>
    <row r="432">
      <c r="A432" s="27" t="s">
        <v>2834</v>
      </c>
      <c r="B432" s="27">
        <v>6.902221315267E12</v>
      </c>
      <c r="C432" s="27" t="s">
        <v>2363</v>
      </c>
    </row>
    <row r="433">
      <c r="A433" s="27" t="s">
        <v>2835</v>
      </c>
      <c r="B433" s="27">
        <v>6.902221333193E12</v>
      </c>
      <c r="C433" s="27" t="s">
        <v>2359</v>
      </c>
    </row>
    <row r="434">
      <c r="A434" s="27" t="s">
        <v>2836</v>
      </c>
      <c r="B434" s="27">
        <v>6.902221335197E12</v>
      </c>
      <c r="C434" s="27" t="s">
        <v>2363</v>
      </c>
    </row>
    <row r="435">
      <c r="A435" s="27" t="s">
        <v>2837</v>
      </c>
      <c r="B435" s="27">
        <v>6.902221335227E12</v>
      </c>
      <c r="C435" s="27" t="s">
        <v>2359</v>
      </c>
    </row>
    <row r="436">
      <c r="A436" s="27" t="s">
        <v>2838</v>
      </c>
      <c r="B436" s="27">
        <v>6.909621325537E12</v>
      </c>
      <c r="C436" s="27" t="s">
        <v>2359</v>
      </c>
    </row>
    <row r="437">
      <c r="A437" s="27" t="s">
        <v>2839</v>
      </c>
      <c r="B437" s="27">
        <v>7.574505276E11</v>
      </c>
      <c r="C437" s="27" t="s">
        <v>2359</v>
      </c>
    </row>
    <row r="438">
      <c r="A438" s="27" t="s">
        <v>2840</v>
      </c>
      <c r="B438" s="27">
        <v>7.57450527785E11</v>
      </c>
      <c r="C438" s="27" t="s">
        <v>2441</v>
      </c>
    </row>
    <row r="439">
      <c r="A439" s="27" t="s">
        <v>2841</v>
      </c>
      <c r="B439" s="27">
        <v>7.57450527846E11</v>
      </c>
      <c r="C439" s="27" t="s">
        <v>2359</v>
      </c>
    </row>
    <row r="440">
      <c r="A440" s="27" t="s">
        <v>2842</v>
      </c>
      <c r="B440" s="27">
        <v>7.57450527884E11</v>
      </c>
      <c r="C440" s="27" t="s">
        <v>2363</v>
      </c>
    </row>
    <row r="441">
      <c r="A441" s="27" t="s">
        <v>2843</v>
      </c>
      <c r="B441" s="27">
        <v>7.57450527921E11</v>
      </c>
      <c r="C441" s="27" t="s">
        <v>2363</v>
      </c>
    </row>
    <row r="442">
      <c r="A442" s="27" t="s">
        <v>2482</v>
      </c>
      <c r="B442" s="27">
        <v>7.57450528058E11</v>
      </c>
      <c r="C442" s="27" t="s">
        <v>2437</v>
      </c>
    </row>
    <row r="443">
      <c r="A443" s="27" t="s">
        <v>2844</v>
      </c>
      <c r="B443" s="27">
        <v>76636.0</v>
      </c>
      <c r="C443" s="27" t="s">
        <v>2359</v>
      </c>
    </row>
    <row r="444">
      <c r="A444" s="27" t="s">
        <v>2845</v>
      </c>
      <c r="B444" s="27" t="s">
        <v>2846</v>
      </c>
      <c r="C444" s="27" t="s">
        <v>2359</v>
      </c>
    </row>
    <row r="445">
      <c r="A445" s="27" t="s">
        <v>2847</v>
      </c>
      <c r="B445" s="27">
        <v>89388.0</v>
      </c>
      <c r="C445" s="27" t="s">
        <v>2378</v>
      </c>
    </row>
    <row r="446">
      <c r="A446" s="27" t="s">
        <v>2848</v>
      </c>
      <c r="B446" s="27">
        <v>925166.0</v>
      </c>
      <c r="C446" s="27" t="s">
        <v>2441</v>
      </c>
    </row>
    <row r="447">
      <c r="A447" s="27" t="s">
        <v>2849</v>
      </c>
      <c r="B447" s="27">
        <v>9550134.0</v>
      </c>
      <c r="C447" s="27" t="s">
        <v>2361</v>
      </c>
    </row>
    <row r="448">
      <c r="A448" s="27" t="s">
        <v>2850</v>
      </c>
      <c r="B448" s="27" t="s">
        <v>2851</v>
      </c>
      <c r="C448" s="27" t="s">
        <v>2437</v>
      </c>
    </row>
    <row r="449">
      <c r="A449" s="27" t="s">
        <v>2852</v>
      </c>
      <c r="B449" s="27" t="s">
        <v>2853</v>
      </c>
      <c r="C449" s="27" t="s">
        <v>2363</v>
      </c>
    </row>
    <row r="450">
      <c r="A450" s="27" t="s">
        <v>2854</v>
      </c>
      <c r="B450" s="27" t="s">
        <v>2855</v>
      </c>
      <c r="C450" s="27" t="s">
        <v>2363</v>
      </c>
    </row>
    <row r="451">
      <c r="A451" s="27" t="s">
        <v>2856</v>
      </c>
      <c r="B451" s="27" t="s">
        <v>2857</v>
      </c>
      <c r="C451" s="27" t="s">
        <v>2363</v>
      </c>
    </row>
    <row r="452">
      <c r="A452" s="27" t="s">
        <v>2858</v>
      </c>
      <c r="B452" s="27" t="s">
        <v>2859</v>
      </c>
      <c r="C452" s="27" t="s">
        <v>2363</v>
      </c>
    </row>
    <row r="453">
      <c r="A453" s="27" t="s">
        <v>2860</v>
      </c>
      <c r="B453" s="27" t="s">
        <v>2861</v>
      </c>
      <c r="C453" s="27" t="s">
        <v>2363</v>
      </c>
    </row>
    <row r="454">
      <c r="A454" s="27" t="s">
        <v>2862</v>
      </c>
      <c r="B454" s="27" t="s">
        <v>2863</v>
      </c>
      <c r="C454" s="27" t="s">
        <v>2363</v>
      </c>
    </row>
    <row r="455">
      <c r="A455" s="27" t="s">
        <v>2864</v>
      </c>
      <c r="B455" s="27" t="s">
        <v>2865</v>
      </c>
      <c r="C455" s="27" t="s">
        <v>2363</v>
      </c>
    </row>
    <row r="456">
      <c r="A456" s="27" t="s">
        <v>2866</v>
      </c>
      <c r="B456" s="27" t="s">
        <v>2867</v>
      </c>
      <c r="C456" s="27" t="s">
        <v>2451</v>
      </c>
    </row>
    <row r="457">
      <c r="A457" s="27" t="s">
        <v>2868</v>
      </c>
      <c r="B457" s="27" t="s">
        <v>2869</v>
      </c>
      <c r="C457" s="27" t="s">
        <v>2363</v>
      </c>
    </row>
    <row r="458">
      <c r="A458" s="27" t="s">
        <v>2870</v>
      </c>
      <c r="B458" s="27" t="s">
        <v>2871</v>
      </c>
      <c r="C458" s="27" t="s">
        <v>2363</v>
      </c>
    </row>
    <row r="459">
      <c r="A459" s="27" t="s">
        <v>2872</v>
      </c>
      <c r="B459" s="27" t="s">
        <v>2873</v>
      </c>
      <c r="C459" s="27" t="s">
        <v>2451</v>
      </c>
    </row>
    <row r="460">
      <c r="A460" s="27" t="s">
        <v>2874</v>
      </c>
      <c r="B460" s="27" t="s">
        <v>2875</v>
      </c>
      <c r="C460" s="27" t="s">
        <v>2363</v>
      </c>
    </row>
    <row r="461">
      <c r="A461" s="27" t="s">
        <v>2876</v>
      </c>
      <c r="B461" s="27" t="s">
        <v>2877</v>
      </c>
      <c r="C461" s="27" t="s">
        <v>2363</v>
      </c>
    </row>
    <row r="462">
      <c r="A462" s="27" t="s">
        <v>2878</v>
      </c>
      <c r="B462" s="27" t="s">
        <v>2879</v>
      </c>
      <c r="C462" s="27" t="s">
        <v>2462</v>
      </c>
    </row>
    <row r="463">
      <c r="A463" s="27" t="s">
        <v>2487</v>
      </c>
      <c r="B463" s="27" t="s">
        <v>2488</v>
      </c>
      <c r="C463" s="27" t="s">
        <v>2363</v>
      </c>
    </row>
    <row r="464">
      <c r="A464" s="27" t="s">
        <v>2880</v>
      </c>
      <c r="B464" s="27" t="s">
        <v>2881</v>
      </c>
      <c r="C464" s="27" t="s">
        <v>2462</v>
      </c>
    </row>
    <row r="465">
      <c r="A465" s="27" t="s">
        <v>2491</v>
      </c>
      <c r="B465" s="27" t="s">
        <v>2492</v>
      </c>
      <c r="C465" s="27" t="s">
        <v>2361</v>
      </c>
    </row>
    <row r="466">
      <c r="A466" s="27" t="s">
        <v>2495</v>
      </c>
      <c r="B466" s="27" t="s">
        <v>2496</v>
      </c>
      <c r="C466" s="27" t="s">
        <v>2363</v>
      </c>
    </row>
    <row r="467">
      <c r="A467" s="27" t="s">
        <v>2882</v>
      </c>
      <c r="B467" s="27" t="s">
        <v>2883</v>
      </c>
      <c r="C467" s="27" t="s">
        <v>2378</v>
      </c>
    </row>
    <row r="468">
      <c r="A468" s="27" t="s">
        <v>2884</v>
      </c>
      <c r="B468" s="27" t="s">
        <v>2885</v>
      </c>
      <c r="C468" s="27" t="s">
        <v>2409</v>
      </c>
    </row>
    <row r="469">
      <c r="A469" s="27" t="s">
        <v>2886</v>
      </c>
      <c r="B469" s="27" t="s">
        <v>2887</v>
      </c>
      <c r="C469" s="27" t="s">
        <v>2409</v>
      </c>
    </row>
    <row r="470">
      <c r="A470" s="27" t="s">
        <v>2888</v>
      </c>
      <c r="B470" s="27" t="s">
        <v>2889</v>
      </c>
      <c r="C470" s="27" t="s">
        <v>2451</v>
      </c>
    </row>
    <row r="471">
      <c r="A471" s="27" t="s">
        <v>2501</v>
      </c>
      <c r="B471" s="27" t="s">
        <v>2502</v>
      </c>
      <c r="C471" s="27" t="s">
        <v>2359</v>
      </c>
    </row>
    <row r="472">
      <c r="A472" s="27" t="s">
        <v>2890</v>
      </c>
      <c r="B472" s="27" t="s">
        <v>2891</v>
      </c>
      <c r="C472" s="27" t="s">
        <v>2437</v>
      </c>
    </row>
    <row r="473">
      <c r="A473" s="27" t="s">
        <v>2892</v>
      </c>
      <c r="B473" s="27" t="s">
        <v>2893</v>
      </c>
      <c r="C473" s="27" t="s">
        <v>2437</v>
      </c>
    </row>
    <row r="474">
      <c r="A474" s="27" t="s">
        <v>2894</v>
      </c>
      <c r="B474" s="27" t="s">
        <v>2895</v>
      </c>
      <c r="C474" s="27" t="s">
        <v>2437</v>
      </c>
    </row>
    <row r="475">
      <c r="A475" s="27" t="s">
        <v>2896</v>
      </c>
      <c r="B475" s="27" t="s">
        <v>2897</v>
      </c>
      <c r="C475" s="27" t="s">
        <v>2359</v>
      </c>
    </row>
    <row r="476">
      <c r="A476" s="27" t="s">
        <v>2520</v>
      </c>
      <c r="B476" s="27" t="s">
        <v>2521</v>
      </c>
      <c r="C476" s="27" t="s">
        <v>2441</v>
      </c>
    </row>
    <row r="477">
      <c r="A477" s="27" t="s">
        <v>2898</v>
      </c>
      <c r="B477" s="27" t="s">
        <v>2899</v>
      </c>
      <c r="C477" s="27" t="s">
        <v>2359</v>
      </c>
    </row>
    <row r="478">
      <c r="A478" s="27" t="s">
        <v>2900</v>
      </c>
      <c r="B478" s="27" t="s">
        <v>2901</v>
      </c>
      <c r="C478" s="27" t="s">
        <v>2359</v>
      </c>
    </row>
    <row r="479">
      <c r="A479" s="27" t="s">
        <v>2902</v>
      </c>
      <c r="B479" s="27" t="s">
        <v>2903</v>
      </c>
      <c r="C479" s="27" t="s">
        <v>2437</v>
      </c>
    </row>
    <row r="480">
      <c r="A480" s="27" t="s">
        <v>2904</v>
      </c>
      <c r="B480" s="27" t="s">
        <v>2905</v>
      </c>
      <c r="C480" s="27" t="s">
        <v>2441</v>
      </c>
    </row>
    <row r="481">
      <c r="A481" s="27" t="s">
        <v>2906</v>
      </c>
      <c r="B481" s="27" t="s">
        <v>2907</v>
      </c>
      <c r="C481" s="27" t="s">
        <v>2451</v>
      </c>
    </row>
    <row r="482">
      <c r="A482" s="27" t="s">
        <v>2908</v>
      </c>
      <c r="B482" s="27" t="s">
        <v>2909</v>
      </c>
      <c r="C482" s="27" t="s">
        <v>2359</v>
      </c>
    </row>
    <row r="483">
      <c r="A483" s="27" t="s">
        <v>2910</v>
      </c>
      <c r="B483" s="27" t="s">
        <v>2911</v>
      </c>
      <c r="C483" s="27" t="s">
        <v>2441</v>
      </c>
    </row>
    <row r="484">
      <c r="A484" s="27" t="s">
        <v>2912</v>
      </c>
      <c r="B484" s="27" t="s">
        <v>657</v>
      </c>
      <c r="C484" s="27" t="s">
        <v>2363</v>
      </c>
    </row>
    <row r="485">
      <c r="A485" s="27" t="s">
        <v>2913</v>
      </c>
      <c r="B485" s="27" t="s">
        <v>653</v>
      </c>
      <c r="C485" s="27" t="s">
        <v>2363</v>
      </c>
    </row>
    <row r="486">
      <c r="A486" s="27" t="s">
        <v>2914</v>
      </c>
      <c r="B486" s="27" t="s">
        <v>659</v>
      </c>
      <c r="C486" s="27" t="s">
        <v>2359</v>
      </c>
    </row>
    <row r="487">
      <c r="A487" s="27" t="s">
        <v>2915</v>
      </c>
      <c r="B487" s="27" t="s">
        <v>655</v>
      </c>
      <c r="C487" s="27" t="s">
        <v>2363</v>
      </c>
    </row>
    <row r="488">
      <c r="A488" s="27" t="s">
        <v>2916</v>
      </c>
      <c r="B488" s="27" t="s">
        <v>623</v>
      </c>
      <c r="C488" s="27" t="s">
        <v>2363</v>
      </c>
    </row>
    <row r="489">
      <c r="A489" s="27" t="s">
        <v>2917</v>
      </c>
      <c r="B489" s="27" t="s">
        <v>617</v>
      </c>
      <c r="C489" s="27" t="s">
        <v>2363</v>
      </c>
    </row>
    <row r="490">
      <c r="A490" s="27" t="s">
        <v>2918</v>
      </c>
      <c r="B490" s="27" t="s">
        <v>619</v>
      </c>
      <c r="C490" s="27" t="s">
        <v>2363</v>
      </c>
    </row>
    <row r="491">
      <c r="A491" s="27" t="s">
        <v>2919</v>
      </c>
      <c r="B491" s="27" t="s">
        <v>621</v>
      </c>
      <c r="C491" s="27" t="s">
        <v>2363</v>
      </c>
    </row>
    <row r="492">
      <c r="A492" s="27" t="s">
        <v>2920</v>
      </c>
      <c r="B492" s="27" t="s">
        <v>625</v>
      </c>
      <c r="C492" s="27" t="s">
        <v>2363</v>
      </c>
    </row>
    <row r="493">
      <c r="A493" s="27" t="s">
        <v>2540</v>
      </c>
      <c r="B493" s="27" t="s">
        <v>631</v>
      </c>
      <c r="C493" s="27" t="s">
        <v>2363</v>
      </c>
    </row>
    <row r="494">
      <c r="A494" s="27" t="s">
        <v>2921</v>
      </c>
      <c r="B494" s="27" t="s">
        <v>627</v>
      </c>
      <c r="C494" s="27" t="s">
        <v>2363</v>
      </c>
    </row>
    <row r="495">
      <c r="A495" s="27" t="s">
        <v>2541</v>
      </c>
      <c r="B495" s="27" t="s">
        <v>635</v>
      </c>
      <c r="C495" s="27" t="s">
        <v>2363</v>
      </c>
    </row>
    <row r="496">
      <c r="A496" s="27" t="s">
        <v>2922</v>
      </c>
      <c r="B496" s="27" t="s">
        <v>767</v>
      </c>
      <c r="C496" s="27" t="s">
        <v>2380</v>
      </c>
    </row>
    <row r="497">
      <c r="A497" s="27" t="s">
        <v>2923</v>
      </c>
      <c r="B497" s="27" t="s">
        <v>769</v>
      </c>
      <c r="C497" s="27" t="s">
        <v>2380</v>
      </c>
    </row>
    <row r="498">
      <c r="A498" s="27" t="s">
        <v>2924</v>
      </c>
      <c r="B498" s="27" t="s">
        <v>771</v>
      </c>
      <c r="C498" s="27" t="s">
        <v>2441</v>
      </c>
    </row>
    <row r="499">
      <c r="A499" s="27" t="s">
        <v>2574</v>
      </c>
      <c r="B499" s="27" t="s">
        <v>568</v>
      </c>
      <c r="C499" s="27" t="s">
        <v>2437</v>
      </c>
    </row>
    <row r="500">
      <c r="A500" s="27" t="s">
        <v>2575</v>
      </c>
      <c r="B500" s="27" t="s">
        <v>570</v>
      </c>
      <c r="C500" s="27" t="s">
        <v>2441</v>
      </c>
    </row>
    <row r="501">
      <c r="A501" s="27" t="s">
        <v>2925</v>
      </c>
      <c r="B501" s="27" t="s">
        <v>739</v>
      </c>
      <c r="C501" s="27" t="s">
        <v>2363</v>
      </c>
    </row>
    <row r="502">
      <c r="A502" s="27" t="s">
        <v>2926</v>
      </c>
      <c r="B502" s="27" t="s">
        <v>743</v>
      </c>
      <c r="C502" s="27" t="s">
        <v>2363</v>
      </c>
    </row>
    <row r="503">
      <c r="A503" s="27" t="s">
        <v>2927</v>
      </c>
      <c r="B503" s="27" t="s">
        <v>741</v>
      </c>
      <c r="C503" s="27" t="s">
        <v>2363</v>
      </c>
    </row>
    <row r="504">
      <c r="A504" s="27" t="s">
        <v>2928</v>
      </c>
      <c r="B504" s="27" t="s">
        <v>737</v>
      </c>
      <c r="C504" s="27" t="s">
        <v>2363</v>
      </c>
    </row>
    <row r="505">
      <c r="A505" s="27" t="s">
        <v>2929</v>
      </c>
      <c r="B505" s="27" t="s">
        <v>665</v>
      </c>
      <c r="C505" s="27" t="s">
        <v>2363</v>
      </c>
    </row>
    <row r="506">
      <c r="A506" s="27" t="s">
        <v>2930</v>
      </c>
      <c r="B506" s="27" t="s">
        <v>663</v>
      </c>
      <c r="C506" s="27" t="s">
        <v>2363</v>
      </c>
    </row>
    <row r="507">
      <c r="A507" s="27" t="s">
        <v>2590</v>
      </c>
      <c r="B507" s="27" t="s">
        <v>669</v>
      </c>
      <c r="C507" s="27" t="s">
        <v>2363</v>
      </c>
    </row>
    <row r="508">
      <c r="A508" s="27" t="s">
        <v>2591</v>
      </c>
      <c r="B508" s="27" t="s">
        <v>667</v>
      </c>
      <c r="C508" s="27" t="s">
        <v>2359</v>
      </c>
    </row>
    <row r="509">
      <c r="A509" s="27" t="s">
        <v>2592</v>
      </c>
      <c r="B509" s="27" t="s">
        <v>661</v>
      </c>
      <c r="C509" s="27" t="s">
        <v>2363</v>
      </c>
    </row>
    <row r="510">
      <c r="A510" s="27" t="s">
        <v>2674</v>
      </c>
      <c r="B510" s="27" t="s">
        <v>170</v>
      </c>
      <c r="C510" s="27" t="s">
        <v>2437</v>
      </c>
    </row>
    <row r="511">
      <c r="A511" s="27" t="s">
        <v>2931</v>
      </c>
      <c r="B511" s="27" t="s">
        <v>168</v>
      </c>
      <c r="C511" s="27" t="s">
        <v>2437</v>
      </c>
    </row>
    <row r="512">
      <c r="A512" s="27" t="s">
        <v>2675</v>
      </c>
      <c r="B512" s="27" t="s">
        <v>184</v>
      </c>
      <c r="C512" s="27" t="s">
        <v>2451</v>
      </c>
    </row>
    <row r="513">
      <c r="A513" s="27" t="s">
        <v>2676</v>
      </c>
      <c r="B513" s="27" t="s">
        <v>182</v>
      </c>
      <c r="C513" s="27" t="s">
        <v>2441</v>
      </c>
    </row>
    <row r="514">
      <c r="A514" s="27" t="s">
        <v>2677</v>
      </c>
      <c r="B514" s="27" t="s">
        <v>186</v>
      </c>
      <c r="C514" s="27" t="s">
        <v>2437</v>
      </c>
    </row>
    <row r="515">
      <c r="A515" s="27" t="s">
        <v>2684</v>
      </c>
      <c r="B515" s="27" t="s">
        <v>292</v>
      </c>
      <c r="C515" s="27" t="s">
        <v>2441</v>
      </c>
    </row>
    <row r="516">
      <c r="A516" s="27" t="s">
        <v>2685</v>
      </c>
      <c r="B516" s="27" t="s">
        <v>2686</v>
      </c>
      <c r="C516" s="27" t="s">
        <v>2447</v>
      </c>
    </row>
    <row r="517">
      <c r="A517" s="27" t="s">
        <v>2932</v>
      </c>
      <c r="B517" s="27" t="s">
        <v>2933</v>
      </c>
      <c r="C517" s="27" t="s">
        <v>2437</v>
      </c>
    </row>
    <row r="518">
      <c r="A518" s="27" t="s">
        <v>2934</v>
      </c>
      <c r="B518" s="27" t="s">
        <v>2935</v>
      </c>
      <c r="C518" s="27" t="s">
        <v>2363</v>
      </c>
    </row>
    <row r="519">
      <c r="A519" s="27" t="s">
        <v>2936</v>
      </c>
      <c r="B519" s="27" t="s">
        <v>2937</v>
      </c>
      <c r="C519" s="27" t="s">
        <v>2363</v>
      </c>
    </row>
    <row r="520">
      <c r="A520" s="27" t="s">
        <v>2938</v>
      </c>
      <c r="B520" s="27" t="s">
        <v>2939</v>
      </c>
      <c r="C520" s="27" t="s">
        <v>2359</v>
      </c>
    </row>
    <row r="521">
      <c r="A521" s="27" t="s">
        <v>2940</v>
      </c>
      <c r="B521" s="27" t="s">
        <v>2941</v>
      </c>
      <c r="C521" s="27" t="s">
        <v>2363</v>
      </c>
    </row>
    <row r="522">
      <c r="A522" s="27" t="s">
        <v>2942</v>
      </c>
      <c r="B522" s="27" t="s">
        <v>2943</v>
      </c>
      <c r="C522" s="27" t="s">
        <v>2359</v>
      </c>
    </row>
    <row r="523">
      <c r="A523" s="27" t="s">
        <v>2944</v>
      </c>
      <c r="B523" s="27" t="s">
        <v>2945</v>
      </c>
      <c r="C523" s="27" t="s">
        <v>2359</v>
      </c>
    </row>
    <row r="524">
      <c r="A524" s="27" t="s">
        <v>2946</v>
      </c>
      <c r="B524" s="27" t="s">
        <v>2947</v>
      </c>
      <c r="C524" s="27" t="s">
        <v>2451</v>
      </c>
    </row>
    <row r="525">
      <c r="A525" s="27" t="s">
        <v>2948</v>
      </c>
      <c r="B525" s="27" t="s">
        <v>2949</v>
      </c>
      <c r="C525" s="27" t="s">
        <v>2363</v>
      </c>
    </row>
    <row r="526">
      <c r="A526" s="27" t="s">
        <v>2950</v>
      </c>
      <c r="B526" s="27" t="s">
        <v>2951</v>
      </c>
      <c r="C526" s="27" t="s">
        <v>2437</v>
      </c>
    </row>
    <row r="527">
      <c r="A527" s="27" t="s">
        <v>2952</v>
      </c>
      <c r="B527" s="27" t="s">
        <v>2953</v>
      </c>
      <c r="C527" s="27" t="s">
        <v>2437</v>
      </c>
    </row>
    <row r="528">
      <c r="A528" s="27" t="s">
        <v>2954</v>
      </c>
      <c r="B528" s="27" t="s">
        <v>2955</v>
      </c>
      <c r="C528" s="27" t="s">
        <v>2363</v>
      </c>
    </row>
    <row r="529">
      <c r="A529" s="27" t="s">
        <v>2956</v>
      </c>
      <c r="B529" s="27" t="s">
        <v>2957</v>
      </c>
      <c r="C529" s="27" t="s">
        <v>2363</v>
      </c>
    </row>
    <row r="530">
      <c r="A530" s="27" t="s">
        <v>2958</v>
      </c>
      <c r="B530" s="27" t="s">
        <v>2959</v>
      </c>
      <c r="C530" s="27" t="s">
        <v>2363</v>
      </c>
    </row>
    <row r="531">
      <c r="A531" s="27" t="s">
        <v>2960</v>
      </c>
      <c r="B531" s="27" t="s">
        <v>2961</v>
      </c>
      <c r="C531" s="27" t="s">
        <v>2437</v>
      </c>
    </row>
    <row r="532">
      <c r="A532" s="27" t="s">
        <v>2962</v>
      </c>
      <c r="B532" s="27" t="s">
        <v>2963</v>
      </c>
      <c r="C532" s="27" t="s">
        <v>2363</v>
      </c>
    </row>
    <row r="533">
      <c r="A533" s="27" t="s">
        <v>2964</v>
      </c>
      <c r="B533" s="27" t="s">
        <v>2965</v>
      </c>
      <c r="C533" s="27" t="s">
        <v>2437</v>
      </c>
    </row>
    <row r="534">
      <c r="A534" s="27" t="s">
        <v>2966</v>
      </c>
      <c r="B534" s="27" t="s">
        <v>2967</v>
      </c>
      <c r="C534" s="27" t="s">
        <v>2363</v>
      </c>
    </row>
    <row r="535">
      <c r="A535" s="27" t="s">
        <v>2968</v>
      </c>
      <c r="B535" s="27" t="s">
        <v>2969</v>
      </c>
      <c r="C535" s="27" t="s">
        <v>2359</v>
      </c>
    </row>
    <row r="536">
      <c r="A536" s="27" t="s">
        <v>2970</v>
      </c>
      <c r="B536" s="27" t="s">
        <v>2971</v>
      </c>
      <c r="C536" s="27" t="s">
        <v>2359</v>
      </c>
    </row>
    <row r="537">
      <c r="A537" s="27" t="s">
        <v>2972</v>
      </c>
      <c r="B537" s="27" t="s">
        <v>2973</v>
      </c>
      <c r="C537" s="27" t="s">
        <v>2462</v>
      </c>
    </row>
    <row r="538">
      <c r="A538" s="27" t="s">
        <v>2974</v>
      </c>
      <c r="B538" s="27" t="s">
        <v>2975</v>
      </c>
      <c r="C538" s="27" t="s">
        <v>2359</v>
      </c>
    </row>
    <row r="539">
      <c r="A539" s="27" t="s">
        <v>2976</v>
      </c>
      <c r="B539" s="27" t="s">
        <v>2977</v>
      </c>
      <c r="C539" s="27" t="s">
        <v>2380</v>
      </c>
    </row>
    <row r="540">
      <c r="A540" s="27" t="s">
        <v>2978</v>
      </c>
      <c r="B540" s="27" t="s">
        <v>2979</v>
      </c>
      <c r="C540" s="27" t="s">
        <v>2462</v>
      </c>
    </row>
    <row r="541">
      <c r="A541" s="27" t="s">
        <v>2980</v>
      </c>
      <c r="B541" s="27" t="s">
        <v>2981</v>
      </c>
      <c r="C541" s="27" t="s">
        <v>2462</v>
      </c>
    </row>
    <row r="542">
      <c r="A542" s="27" t="s">
        <v>2982</v>
      </c>
      <c r="B542" s="27" t="s">
        <v>2983</v>
      </c>
      <c r="C542" s="27" t="s">
        <v>2451</v>
      </c>
    </row>
    <row r="543">
      <c r="A543" s="27" t="s">
        <v>2984</v>
      </c>
      <c r="B543" s="27" t="s">
        <v>2985</v>
      </c>
      <c r="C543" s="27" t="s">
        <v>2437</v>
      </c>
    </row>
    <row r="544">
      <c r="A544" s="27" t="s">
        <v>2986</v>
      </c>
      <c r="B544" s="27" t="s">
        <v>2987</v>
      </c>
      <c r="C544" s="27" t="s">
        <v>2363</v>
      </c>
    </row>
    <row r="545">
      <c r="A545" s="27" t="s">
        <v>2988</v>
      </c>
      <c r="B545" s="27" t="s">
        <v>2989</v>
      </c>
      <c r="C545" s="27" t="s">
        <v>2409</v>
      </c>
    </row>
    <row r="546">
      <c r="A546" s="27" t="s">
        <v>2990</v>
      </c>
      <c r="B546" s="27" t="s">
        <v>2991</v>
      </c>
      <c r="C546" s="27" t="s">
        <v>2359</v>
      </c>
    </row>
    <row r="547">
      <c r="A547" s="27" t="s">
        <v>2992</v>
      </c>
      <c r="B547" s="27" t="s">
        <v>2993</v>
      </c>
      <c r="C547" s="27" t="s">
        <v>2359</v>
      </c>
    </row>
    <row r="548">
      <c r="A548" s="27" t="s">
        <v>2994</v>
      </c>
      <c r="B548" s="27" t="s">
        <v>2995</v>
      </c>
      <c r="C548" s="27" t="s">
        <v>2359</v>
      </c>
    </row>
    <row r="549">
      <c r="A549" s="27" t="s">
        <v>2996</v>
      </c>
      <c r="B549" s="27" t="s">
        <v>2997</v>
      </c>
      <c r="C549" s="27" t="s">
        <v>2359</v>
      </c>
    </row>
    <row r="550">
      <c r="A550" s="27" t="s">
        <v>2998</v>
      </c>
      <c r="B550" s="27" t="s">
        <v>1228</v>
      </c>
      <c r="C550" s="27" t="s">
        <v>2437</v>
      </c>
    </row>
    <row r="551">
      <c r="A551" s="27" t="s">
        <v>2999</v>
      </c>
      <c r="B551" s="27" t="s">
        <v>3000</v>
      </c>
      <c r="C551" s="27" t="s">
        <v>2441</v>
      </c>
    </row>
    <row r="552">
      <c r="A552" s="27" t="s">
        <v>3001</v>
      </c>
      <c r="B552" s="27" t="s">
        <v>3002</v>
      </c>
      <c r="C552" s="27" t="s">
        <v>2437</v>
      </c>
    </row>
    <row r="553">
      <c r="A553" s="27" t="s">
        <v>3003</v>
      </c>
      <c r="B553" s="27" t="s">
        <v>3004</v>
      </c>
      <c r="C553" s="27" t="s">
        <v>2361</v>
      </c>
    </row>
    <row r="554">
      <c r="A554" s="27" t="s">
        <v>3005</v>
      </c>
      <c r="B554" s="27" t="s">
        <v>3006</v>
      </c>
      <c r="C554" s="27" t="s">
        <v>2363</v>
      </c>
    </row>
    <row r="555">
      <c r="A555" s="27" t="s">
        <v>2727</v>
      </c>
      <c r="B555" s="27" t="s">
        <v>2728</v>
      </c>
      <c r="C555" s="27" t="s">
        <v>2441</v>
      </c>
    </row>
    <row r="556">
      <c r="A556" s="27" t="s">
        <v>3007</v>
      </c>
      <c r="B556" s="27" t="s">
        <v>3008</v>
      </c>
      <c r="C556" s="27" t="s">
        <v>2363</v>
      </c>
    </row>
    <row r="557">
      <c r="A557" s="27" t="s">
        <v>3009</v>
      </c>
      <c r="B557" s="27" t="s">
        <v>3010</v>
      </c>
      <c r="C557" s="27" t="s">
        <v>2363</v>
      </c>
    </row>
    <row r="558">
      <c r="A558" s="27" t="s">
        <v>3011</v>
      </c>
      <c r="B558" s="27" t="s">
        <v>3012</v>
      </c>
      <c r="C558" s="27" t="s">
        <v>2361</v>
      </c>
    </row>
    <row r="559">
      <c r="A559" s="27" t="s">
        <v>3013</v>
      </c>
      <c r="B559" s="27" t="s">
        <v>3014</v>
      </c>
      <c r="C559" s="27" t="s">
        <v>2359</v>
      </c>
    </row>
    <row r="560">
      <c r="A560" s="27" t="s">
        <v>3015</v>
      </c>
      <c r="B560" s="27" t="s">
        <v>3016</v>
      </c>
      <c r="C560" s="27" t="s">
        <v>2437</v>
      </c>
    </row>
    <row r="561">
      <c r="A561" s="27" t="s">
        <v>3017</v>
      </c>
      <c r="B561" s="27" t="s">
        <v>2735</v>
      </c>
      <c r="C561" s="27" t="s">
        <v>3018</v>
      </c>
    </row>
    <row r="562">
      <c r="A562" s="27" t="s">
        <v>3019</v>
      </c>
      <c r="B562" s="27">
        <v>1.479750635184E12</v>
      </c>
      <c r="C562" s="27" t="s">
        <v>2363</v>
      </c>
    </row>
    <row r="563">
      <c r="A563" s="27" t="s">
        <v>3020</v>
      </c>
      <c r="B563" s="27">
        <v>1.496183099853E12</v>
      </c>
      <c r="C563" s="27" t="s">
        <v>2359</v>
      </c>
    </row>
    <row r="564">
      <c r="A564" s="27" t="s">
        <v>2360</v>
      </c>
      <c r="B564" s="27">
        <v>1.513614057219E12</v>
      </c>
      <c r="C564" s="27" t="s">
        <v>2451</v>
      </c>
    </row>
    <row r="565">
      <c r="A565" s="27" t="s">
        <v>2362</v>
      </c>
      <c r="B565" s="27">
        <v>1.52353664788E12</v>
      </c>
      <c r="C565" s="27" t="s">
        <v>2359</v>
      </c>
    </row>
    <row r="566">
      <c r="A566" s="27" t="s">
        <v>3021</v>
      </c>
      <c r="B566" s="27">
        <v>1.53788936885E12</v>
      </c>
      <c r="C566" s="27" t="s">
        <v>2441</v>
      </c>
    </row>
    <row r="567">
      <c r="A567" s="27" t="s">
        <v>2748</v>
      </c>
      <c r="B567" s="27">
        <v>1.538141129434E12</v>
      </c>
      <c r="C567" s="27" t="s">
        <v>2363</v>
      </c>
    </row>
    <row r="568">
      <c r="A568" s="27" t="s">
        <v>3022</v>
      </c>
      <c r="B568" s="27">
        <v>1.538570367611E12</v>
      </c>
      <c r="C568" s="27" t="s">
        <v>2441</v>
      </c>
    </row>
    <row r="569">
      <c r="A569" s="27" t="s">
        <v>3023</v>
      </c>
      <c r="B569" s="27">
        <v>1.538570373373E12</v>
      </c>
      <c r="C569" s="27" t="s">
        <v>2359</v>
      </c>
    </row>
    <row r="570">
      <c r="A570" s="27" t="s">
        <v>3024</v>
      </c>
      <c r="B570" s="27">
        <v>1.542051526349E12</v>
      </c>
      <c r="C570" s="27" t="s">
        <v>2361</v>
      </c>
    </row>
    <row r="571">
      <c r="A571" s="27" t="s">
        <v>3025</v>
      </c>
      <c r="B571" s="27">
        <v>1.542051551484E12</v>
      </c>
      <c r="C571" s="27" t="s">
        <v>2437</v>
      </c>
    </row>
    <row r="572">
      <c r="A572" s="27" t="s">
        <v>3026</v>
      </c>
      <c r="B572" s="27">
        <v>1.542051822796E12</v>
      </c>
      <c r="C572" s="27" t="s">
        <v>2363</v>
      </c>
    </row>
    <row r="573">
      <c r="A573" s="27" t="s">
        <v>2749</v>
      </c>
      <c r="B573" s="27">
        <v>1.543406075297E12</v>
      </c>
      <c r="C573" s="27" t="s">
        <v>2363</v>
      </c>
    </row>
    <row r="574">
      <c r="A574" s="27" t="s">
        <v>2364</v>
      </c>
      <c r="B574" s="27">
        <v>1.564150627423E12</v>
      </c>
      <c r="C574" s="27" t="s">
        <v>2382</v>
      </c>
    </row>
    <row r="575">
      <c r="A575" s="27" t="s">
        <v>2366</v>
      </c>
      <c r="B575" s="27">
        <v>1.564150661249E12</v>
      </c>
      <c r="C575" s="27" t="s">
        <v>2372</v>
      </c>
    </row>
    <row r="576">
      <c r="A576" s="27" t="s">
        <v>2367</v>
      </c>
      <c r="B576" s="27">
        <v>1.566335721736E12</v>
      </c>
      <c r="C576" s="27" t="s">
        <v>2363</v>
      </c>
    </row>
    <row r="577">
      <c r="A577" s="27" t="s">
        <v>2369</v>
      </c>
      <c r="B577" s="27">
        <v>1.566849947902E12</v>
      </c>
      <c r="C577" s="27" t="s">
        <v>2547</v>
      </c>
    </row>
    <row r="578">
      <c r="A578" s="27" t="s">
        <v>2371</v>
      </c>
      <c r="B578" s="27">
        <v>1.571423280815E12</v>
      </c>
      <c r="C578" s="27" t="s">
        <v>2441</v>
      </c>
    </row>
    <row r="579">
      <c r="A579" s="27" t="s">
        <v>3027</v>
      </c>
      <c r="B579" s="27">
        <v>1.577101558492E12</v>
      </c>
      <c r="C579" s="27" t="s">
        <v>2451</v>
      </c>
    </row>
    <row r="580">
      <c r="A580" s="27" t="s">
        <v>3028</v>
      </c>
      <c r="B580" s="27">
        <v>1.579014517754E12</v>
      </c>
      <c r="C580" s="27" t="s">
        <v>2437</v>
      </c>
    </row>
    <row r="581">
      <c r="A581" s="27" t="s">
        <v>3029</v>
      </c>
      <c r="B581" s="27">
        <v>1.579117521866E12</v>
      </c>
      <c r="C581" s="27" t="s">
        <v>2363</v>
      </c>
    </row>
    <row r="582">
      <c r="A582" s="27" t="s">
        <v>3030</v>
      </c>
      <c r="B582" s="27">
        <v>1.581963986702E12</v>
      </c>
      <c r="C582" s="27" t="s">
        <v>2437</v>
      </c>
    </row>
    <row r="583">
      <c r="A583" s="27" t="s">
        <v>3031</v>
      </c>
      <c r="B583" s="27">
        <v>1.581963991564E12</v>
      </c>
      <c r="C583" s="27" t="s">
        <v>2359</v>
      </c>
    </row>
    <row r="584">
      <c r="A584" s="27" t="s">
        <v>3032</v>
      </c>
      <c r="B584" s="27">
        <v>1.58196399706E12</v>
      </c>
      <c r="C584" s="27" t="s">
        <v>2363</v>
      </c>
    </row>
    <row r="585">
      <c r="A585" s="27" t="s">
        <v>3033</v>
      </c>
      <c r="B585" s="27">
        <v>1.581964006972E12</v>
      </c>
      <c r="C585" s="27" t="s">
        <v>2359</v>
      </c>
    </row>
    <row r="586">
      <c r="A586" s="27" t="s">
        <v>2373</v>
      </c>
      <c r="B586" s="27">
        <v>1.592492799236E12</v>
      </c>
      <c r="C586" s="27" t="s">
        <v>2439</v>
      </c>
    </row>
    <row r="587">
      <c r="A587" s="27" t="s">
        <v>2374</v>
      </c>
      <c r="B587" s="27">
        <v>1.59708649984E12</v>
      </c>
      <c r="C587" s="27" t="s">
        <v>2447</v>
      </c>
    </row>
    <row r="588">
      <c r="A588" s="27" t="s">
        <v>2375</v>
      </c>
      <c r="B588" s="27">
        <v>1.597098592591E12</v>
      </c>
      <c r="C588" s="27" t="s">
        <v>2437</v>
      </c>
    </row>
    <row r="589">
      <c r="A589" s="27" t="s">
        <v>3034</v>
      </c>
      <c r="B589" s="27">
        <v>1.602623177408E12</v>
      </c>
      <c r="C589" s="27" t="s">
        <v>2363</v>
      </c>
    </row>
    <row r="590">
      <c r="A590" s="27" t="s">
        <v>3035</v>
      </c>
      <c r="B590" s="27">
        <v>1.606847480521E12</v>
      </c>
      <c r="C590" s="27" t="s">
        <v>2359</v>
      </c>
    </row>
    <row r="591">
      <c r="A591" s="27" t="s">
        <v>3036</v>
      </c>
      <c r="B591" s="27">
        <v>1.608208175202E12</v>
      </c>
      <c r="C591" s="27" t="s">
        <v>2359</v>
      </c>
    </row>
    <row r="592">
      <c r="A592" s="27" t="s">
        <v>3037</v>
      </c>
      <c r="B592" s="27">
        <v>1.608208205086E12</v>
      </c>
      <c r="C592" s="27" t="s">
        <v>2359</v>
      </c>
    </row>
    <row r="593">
      <c r="A593" s="27" t="s">
        <v>3038</v>
      </c>
      <c r="B593" s="27">
        <v>1.608588603788E12</v>
      </c>
      <c r="C593" s="27" t="s">
        <v>2359</v>
      </c>
    </row>
    <row r="594">
      <c r="A594" s="27" t="s">
        <v>2754</v>
      </c>
      <c r="B594" s="27">
        <v>1.614194024408E12</v>
      </c>
      <c r="C594" s="27" t="s">
        <v>2437</v>
      </c>
    </row>
    <row r="595">
      <c r="A595" s="27" t="s">
        <v>2379</v>
      </c>
      <c r="B595" s="27">
        <v>1.615383407099E12</v>
      </c>
      <c r="C595" s="27" t="s">
        <v>2409</v>
      </c>
    </row>
    <row r="596">
      <c r="A596" s="27" t="s">
        <v>3039</v>
      </c>
      <c r="B596" s="27">
        <v>1.616006872824E12</v>
      </c>
      <c r="C596" s="27" t="s">
        <v>2441</v>
      </c>
    </row>
    <row r="597">
      <c r="A597" s="27" t="s">
        <v>3040</v>
      </c>
      <c r="B597" s="27">
        <v>1.616006958885E12</v>
      </c>
      <c r="C597" s="27" t="s">
        <v>2441</v>
      </c>
    </row>
    <row r="598">
      <c r="A598" s="27" t="s">
        <v>3041</v>
      </c>
      <c r="B598" s="27">
        <v>1.61600888211E12</v>
      </c>
      <c r="C598" s="27" t="s">
        <v>2359</v>
      </c>
    </row>
    <row r="599">
      <c r="A599" s="27" t="s">
        <v>2756</v>
      </c>
      <c r="B599" s="27">
        <v>1.616450827982E12</v>
      </c>
      <c r="C599" s="27" t="s">
        <v>2363</v>
      </c>
    </row>
    <row r="600">
      <c r="A600" s="27" t="s">
        <v>3042</v>
      </c>
      <c r="B600" s="27">
        <v>1.618617475539E12</v>
      </c>
      <c r="C600" s="27" t="s">
        <v>2363</v>
      </c>
    </row>
    <row r="601">
      <c r="A601" s="27" t="s">
        <v>2381</v>
      </c>
      <c r="B601" s="27">
        <v>1.623703690011E12</v>
      </c>
      <c r="C601" s="27" t="s">
        <v>2394</v>
      </c>
    </row>
    <row r="602">
      <c r="A602" s="27" t="s">
        <v>2383</v>
      </c>
      <c r="B602" s="27">
        <v>1.623703728452E12</v>
      </c>
      <c r="C602" s="27" t="s">
        <v>2378</v>
      </c>
    </row>
    <row r="603">
      <c r="A603" s="27" t="s">
        <v>2385</v>
      </c>
      <c r="B603" s="27">
        <v>1.623703861303E12</v>
      </c>
      <c r="C603" s="27" t="s">
        <v>2441</v>
      </c>
    </row>
    <row r="604">
      <c r="A604" s="27" t="s">
        <v>2757</v>
      </c>
      <c r="B604" s="27">
        <v>1.623703942966E12</v>
      </c>
      <c r="C604" s="27" t="s">
        <v>2363</v>
      </c>
    </row>
    <row r="605">
      <c r="A605" s="27" t="s">
        <v>2758</v>
      </c>
      <c r="B605" s="27">
        <v>1.623891882677E12</v>
      </c>
      <c r="C605" s="27" t="s">
        <v>2359</v>
      </c>
    </row>
    <row r="606">
      <c r="A606" s="27" t="s">
        <v>3043</v>
      </c>
      <c r="B606" s="27">
        <v>1.627416826283E12</v>
      </c>
      <c r="C606" s="27" t="s">
        <v>2359</v>
      </c>
    </row>
    <row r="607">
      <c r="A607" s="27" t="s">
        <v>3044</v>
      </c>
      <c r="B607" s="27">
        <v>1.627418225537E12</v>
      </c>
      <c r="C607" s="27" t="s">
        <v>2359</v>
      </c>
    </row>
    <row r="608">
      <c r="A608" s="27" t="s">
        <v>3045</v>
      </c>
      <c r="B608" s="27">
        <v>1.627418258229E12</v>
      </c>
      <c r="C608" s="27" t="s">
        <v>2363</v>
      </c>
    </row>
    <row r="609">
      <c r="A609" s="27" t="s">
        <v>3046</v>
      </c>
      <c r="B609" s="27">
        <v>1.627418329116E12</v>
      </c>
      <c r="C609" s="27" t="s">
        <v>2437</v>
      </c>
    </row>
    <row r="610">
      <c r="A610" s="27" t="s">
        <v>3047</v>
      </c>
      <c r="B610" s="27">
        <v>1.627424867043E12</v>
      </c>
      <c r="C610" s="27" t="s">
        <v>2359</v>
      </c>
    </row>
    <row r="611">
      <c r="A611" s="27" t="s">
        <v>2761</v>
      </c>
      <c r="B611" s="27">
        <v>1.629726091782E12</v>
      </c>
      <c r="C611" s="27" t="s">
        <v>2359</v>
      </c>
    </row>
    <row r="612">
      <c r="A612" s="27" t="s">
        <v>2764</v>
      </c>
      <c r="B612" s="27">
        <v>1.630370852776E12</v>
      </c>
      <c r="C612" s="27" t="s">
        <v>2359</v>
      </c>
    </row>
    <row r="613">
      <c r="A613" s="27" t="s">
        <v>2765</v>
      </c>
      <c r="B613" s="27">
        <v>1.63456703401E12</v>
      </c>
      <c r="C613" s="27" t="s">
        <v>2359</v>
      </c>
    </row>
    <row r="614">
      <c r="A614" s="27" t="s">
        <v>2398</v>
      </c>
      <c r="B614" s="27">
        <v>1.635956597983E12</v>
      </c>
      <c r="C614" s="27" t="s">
        <v>2359</v>
      </c>
    </row>
    <row r="615">
      <c r="A615" s="27" t="s">
        <v>2767</v>
      </c>
      <c r="B615" s="27">
        <v>1.639085706913E12</v>
      </c>
      <c r="C615" s="27" t="s">
        <v>2547</v>
      </c>
    </row>
    <row r="616">
      <c r="A616" s="27" t="s">
        <v>3048</v>
      </c>
      <c r="B616" s="27">
        <v>1.639085736261E12</v>
      </c>
      <c r="C616" s="27" t="s">
        <v>2363</v>
      </c>
    </row>
    <row r="617">
      <c r="A617" s="27" t="s">
        <v>2768</v>
      </c>
      <c r="B617" s="27">
        <v>1.639085745522E12</v>
      </c>
      <c r="C617" s="27" t="s">
        <v>2363</v>
      </c>
    </row>
    <row r="618">
      <c r="A618" s="27" t="s">
        <v>2769</v>
      </c>
      <c r="B618" s="27">
        <v>1.639085755244E12</v>
      </c>
      <c r="C618" s="27" t="s">
        <v>2363</v>
      </c>
    </row>
    <row r="619">
      <c r="A619" s="27" t="s">
        <v>3049</v>
      </c>
      <c r="B619" s="27">
        <v>1.639085763857E12</v>
      </c>
      <c r="C619" s="27" t="s">
        <v>2437</v>
      </c>
    </row>
    <row r="620">
      <c r="A620" s="27" t="s">
        <v>3050</v>
      </c>
      <c r="B620" s="27">
        <v>1.639085780345E12</v>
      </c>
      <c r="C620" s="27" t="s">
        <v>2441</v>
      </c>
    </row>
    <row r="621">
      <c r="A621" s="27" t="s">
        <v>3051</v>
      </c>
      <c r="B621" s="27">
        <v>1.639085790351E12</v>
      </c>
      <c r="C621" s="27" t="s">
        <v>2363</v>
      </c>
    </row>
    <row r="622">
      <c r="A622" s="27" t="s">
        <v>3052</v>
      </c>
      <c r="B622" s="27">
        <v>1.639085799549E12</v>
      </c>
      <c r="C622" s="27" t="s">
        <v>2437</v>
      </c>
    </row>
    <row r="623">
      <c r="A623" s="27" t="s">
        <v>2400</v>
      </c>
      <c r="B623" s="27">
        <v>1.639085807876E12</v>
      </c>
      <c r="C623" s="27" t="s">
        <v>2359</v>
      </c>
    </row>
    <row r="624">
      <c r="A624" s="27" t="s">
        <v>3053</v>
      </c>
      <c r="B624" s="27">
        <v>1.639085816442E12</v>
      </c>
      <c r="C624" s="27" t="s">
        <v>2359</v>
      </c>
    </row>
    <row r="625">
      <c r="A625" s="27" t="s">
        <v>3054</v>
      </c>
      <c r="B625" s="27">
        <v>1.639483512405E12</v>
      </c>
      <c r="C625" s="27" t="s">
        <v>2363</v>
      </c>
    </row>
    <row r="626">
      <c r="A626" s="27" t="s">
        <v>2401</v>
      </c>
      <c r="B626" s="27">
        <v>1.645629782262E12</v>
      </c>
      <c r="C626" s="27" t="s">
        <v>2363</v>
      </c>
    </row>
    <row r="627">
      <c r="A627" s="27" t="s">
        <v>2403</v>
      </c>
      <c r="B627" s="27">
        <v>1.650295261109E12</v>
      </c>
      <c r="C627" s="27" t="s">
        <v>2363</v>
      </c>
    </row>
    <row r="628">
      <c r="A628" s="27" t="s">
        <v>2771</v>
      </c>
      <c r="B628" s="27">
        <v>1.65029871717E12</v>
      </c>
      <c r="C628" s="27" t="s">
        <v>2363</v>
      </c>
    </row>
    <row r="629">
      <c r="A629" s="27" t="s">
        <v>3055</v>
      </c>
      <c r="B629" s="27">
        <v>1.652824769553E12</v>
      </c>
      <c r="C629" s="27" t="s">
        <v>2451</v>
      </c>
    </row>
    <row r="630">
      <c r="A630" s="27" t="s">
        <v>3056</v>
      </c>
      <c r="B630" s="27">
        <v>1.652824902758E12</v>
      </c>
      <c r="C630" s="27" t="s">
        <v>2441</v>
      </c>
    </row>
    <row r="631">
      <c r="A631" s="27" t="s">
        <v>3057</v>
      </c>
      <c r="B631" s="27">
        <v>1.652824924113E12</v>
      </c>
      <c r="C631" s="27" t="s">
        <v>2421</v>
      </c>
    </row>
    <row r="632">
      <c r="A632" s="27" t="s">
        <v>2774</v>
      </c>
      <c r="B632" s="27">
        <v>1.652824942453E12</v>
      </c>
      <c r="C632" s="27" t="s">
        <v>2363</v>
      </c>
    </row>
    <row r="633">
      <c r="A633" s="27" t="s">
        <v>2775</v>
      </c>
      <c r="B633" s="27">
        <v>1.652824957424E12</v>
      </c>
      <c r="C633" s="27" t="s">
        <v>2421</v>
      </c>
    </row>
    <row r="634">
      <c r="A634" s="27" t="s">
        <v>2412</v>
      </c>
      <c r="B634" s="27">
        <v>1.654189048611E12</v>
      </c>
      <c r="C634" s="27" t="s">
        <v>2437</v>
      </c>
    </row>
    <row r="635">
      <c r="A635" s="27" t="s">
        <v>2418</v>
      </c>
      <c r="B635" s="27">
        <v>1.654207333519E12</v>
      </c>
      <c r="C635" s="27" t="s">
        <v>2359</v>
      </c>
    </row>
    <row r="636">
      <c r="A636" s="27" t="s">
        <v>2777</v>
      </c>
      <c r="B636" s="27">
        <v>1.654207352499E12</v>
      </c>
      <c r="C636" s="27" t="s">
        <v>2441</v>
      </c>
    </row>
    <row r="637">
      <c r="A637" s="27" t="s">
        <v>2420</v>
      </c>
      <c r="B637" s="27">
        <v>1.654207372101E12</v>
      </c>
      <c r="C637" s="27" t="s">
        <v>2359</v>
      </c>
    </row>
    <row r="638">
      <c r="A638" s="27" t="s">
        <v>2779</v>
      </c>
      <c r="B638" s="27">
        <v>1.656603804695E12</v>
      </c>
      <c r="C638" s="27" t="s">
        <v>2682</v>
      </c>
    </row>
    <row r="639">
      <c r="A639" s="27" t="s">
        <v>3058</v>
      </c>
      <c r="B639" s="27">
        <v>1.656603823688E12</v>
      </c>
      <c r="C639" s="27" t="s">
        <v>2437</v>
      </c>
    </row>
    <row r="640">
      <c r="A640" s="27" t="s">
        <v>2789</v>
      </c>
      <c r="B640" s="27">
        <v>1.659992478281E12</v>
      </c>
      <c r="C640" s="27" t="s">
        <v>2384</v>
      </c>
    </row>
    <row r="641">
      <c r="A641" s="27" t="s">
        <v>3059</v>
      </c>
      <c r="B641" s="27">
        <v>1.659992503614E12</v>
      </c>
      <c r="C641" s="27" t="s">
        <v>2382</v>
      </c>
    </row>
    <row r="642">
      <c r="A642" s="27" t="s">
        <v>3060</v>
      </c>
      <c r="B642" s="27">
        <v>1.661873760641E12</v>
      </c>
      <c r="C642" s="27" t="s">
        <v>2447</v>
      </c>
    </row>
    <row r="643">
      <c r="A643" s="27" t="s">
        <v>2798</v>
      </c>
      <c r="B643" s="27">
        <v>1.66187377951E12</v>
      </c>
      <c r="C643" s="27" t="s">
        <v>2451</v>
      </c>
    </row>
    <row r="644">
      <c r="A644" s="27" t="s">
        <v>2450</v>
      </c>
      <c r="B644" s="27">
        <v>1.661873799978E12</v>
      </c>
      <c r="C644" s="27" t="s">
        <v>2382</v>
      </c>
    </row>
    <row r="645">
      <c r="A645" s="27" t="s">
        <v>3061</v>
      </c>
      <c r="B645" s="27">
        <v>1.748316345017E12</v>
      </c>
      <c r="C645" s="27" t="s">
        <v>2451</v>
      </c>
    </row>
    <row r="646">
      <c r="A646" s="27" t="s">
        <v>3062</v>
      </c>
      <c r="B646" s="27">
        <v>6.6436955223732E13</v>
      </c>
      <c r="C646" s="27" t="s">
        <v>2363</v>
      </c>
    </row>
    <row r="647">
      <c r="A647" s="27" t="s">
        <v>3063</v>
      </c>
      <c r="B647" s="27">
        <v>6.7898303200803E13</v>
      </c>
      <c r="C647" s="27" t="s">
        <v>2359</v>
      </c>
    </row>
    <row r="648">
      <c r="A648" s="27" t="s">
        <v>3064</v>
      </c>
      <c r="B648" s="27">
        <v>6.7898307709665E13</v>
      </c>
      <c r="C648" s="27" t="s">
        <v>2359</v>
      </c>
    </row>
    <row r="649">
      <c r="A649" s="27" t="s">
        <v>3065</v>
      </c>
      <c r="B649" s="27">
        <v>6.7898461965813E13</v>
      </c>
      <c r="C649" s="27" t="s">
        <v>2462</v>
      </c>
    </row>
    <row r="650">
      <c r="A650" s="27" t="s">
        <v>3066</v>
      </c>
      <c r="B650" s="27">
        <v>6.7898463643999E13</v>
      </c>
      <c r="C650" s="27" t="s">
        <v>2361</v>
      </c>
    </row>
    <row r="651">
      <c r="A651" s="27" t="s">
        <v>3067</v>
      </c>
      <c r="B651" s="27">
        <v>6.7898466886403E13</v>
      </c>
      <c r="C651" s="27" t="s">
        <v>2380</v>
      </c>
    </row>
    <row r="652">
      <c r="A652" s="27" t="s">
        <v>2827</v>
      </c>
      <c r="B652" s="27">
        <v>6.7898499812968E13</v>
      </c>
      <c r="C652" s="27" t="s">
        <v>2359</v>
      </c>
    </row>
    <row r="653">
      <c r="A653" s="27" t="s">
        <v>2476</v>
      </c>
      <c r="B653" s="27">
        <v>6.8658866289861E13</v>
      </c>
      <c r="C653" s="27" t="s">
        <v>2361</v>
      </c>
    </row>
    <row r="654">
      <c r="A654" s="27" t="s">
        <v>3068</v>
      </c>
      <c r="B654" s="27" t="s">
        <v>3069</v>
      </c>
      <c r="C654" s="27" t="s">
        <v>2359</v>
      </c>
    </row>
    <row r="655">
      <c r="A655" s="27" t="s">
        <v>3070</v>
      </c>
      <c r="B655" s="27" t="s">
        <v>2735</v>
      </c>
      <c r="C655" s="27" t="s">
        <v>3071</v>
      </c>
    </row>
    <row r="656">
      <c r="A656" s="27" t="s">
        <v>3019</v>
      </c>
      <c r="B656" s="27">
        <v>1.479750635184E12</v>
      </c>
      <c r="C656" s="27" t="s">
        <v>2462</v>
      </c>
    </row>
    <row r="657">
      <c r="A657" s="27" t="s">
        <v>3072</v>
      </c>
      <c r="B657" s="27">
        <v>1.479755068919E12</v>
      </c>
      <c r="C657" s="27" t="s">
        <v>2363</v>
      </c>
    </row>
    <row r="658">
      <c r="A658" s="27" t="s">
        <v>3073</v>
      </c>
      <c r="B658" s="27">
        <v>1.479823191801E12</v>
      </c>
      <c r="C658" s="27" t="s">
        <v>2437</v>
      </c>
    </row>
    <row r="659">
      <c r="A659" s="27" t="s">
        <v>3074</v>
      </c>
      <c r="B659" s="27">
        <v>1.481123917144E12</v>
      </c>
      <c r="C659" s="27" t="s">
        <v>2441</v>
      </c>
    </row>
    <row r="660">
      <c r="A660" s="27" t="s">
        <v>2360</v>
      </c>
      <c r="B660" s="27">
        <v>1.513614057219E12</v>
      </c>
      <c r="C660" s="27" t="s">
        <v>2361</v>
      </c>
    </row>
    <row r="661">
      <c r="A661" s="27" t="s">
        <v>2747</v>
      </c>
      <c r="B661" s="27">
        <v>1.535543463599E12</v>
      </c>
      <c r="C661" s="27" t="s">
        <v>2437</v>
      </c>
    </row>
    <row r="662">
      <c r="A662" s="27" t="s">
        <v>3021</v>
      </c>
      <c r="B662" s="27">
        <v>1.53788936885E12</v>
      </c>
      <c r="C662" s="27" t="s">
        <v>2363</v>
      </c>
    </row>
    <row r="663">
      <c r="A663" s="27" t="s">
        <v>3075</v>
      </c>
      <c r="B663" s="27">
        <v>1.53857036062E12</v>
      </c>
      <c r="C663" s="27" t="s">
        <v>2505</v>
      </c>
    </row>
    <row r="664">
      <c r="A664" s="27" t="s">
        <v>3022</v>
      </c>
      <c r="B664" s="27">
        <v>1.538570367611E12</v>
      </c>
      <c r="C664" s="27" t="s">
        <v>2595</v>
      </c>
    </row>
    <row r="665">
      <c r="A665" s="27" t="s">
        <v>3023</v>
      </c>
      <c r="B665" s="27">
        <v>1.538570373373E12</v>
      </c>
      <c r="C665" s="27" t="s">
        <v>2359</v>
      </c>
    </row>
    <row r="666">
      <c r="A666" s="27" t="s">
        <v>3076</v>
      </c>
      <c r="B666" s="27">
        <v>1.538657933192E12</v>
      </c>
      <c r="C666" s="27" t="s">
        <v>2441</v>
      </c>
    </row>
    <row r="667">
      <c r="A667" s="27" t="s">
        <v>2749</v>
      </c>
      <c r="B667" s="27">
        <v>1.543406075297E12</v>
      </c>
      <c r="C667" s="27" t="s">
        <v>2380</v>
      </c>
    </row>
    <row r="668">
      <c r="A668" s="27" t="s">
        <v>2364</v>
      </c>
      <c r="B668" s="27">
        <v>1.564150627423E12</v>
      </c>
      <c r="C668" s="27" t="s">
        <v>2363</v>
      </c>
    </row>
    <row r="669">
      <c r="A669" s="27" t="s">
        <v>2367</v>
      </c>
      <c r="B669" s="27">
        <v>1.566335721736E12</v>
      </c>
      <c r="C669" s="27" t="s">
        <v>2441</v>
      </c>
    </row>
    <row r="670">
      <c r="A670" s="27" t="s">
        <v>2369</v>
      </c>
      <c r="B670" s="27">
        <v>1.566849947902E12</v>
      </c>
      <c r="C670" s="27" t="s">
        <v>2451</v>
      </c>
    </row>
    <row r="671">
      <c r="A671" s="27" t="s">
        <v>2371</v>
      </c>
      <c r="B671" s="27">
        <v>1.571423280815E12</v>
      </c>
      <c r="C671" s="27" t="s">
        <v>2409</v>
      </c>
    </row>
    <row r="672">
      <c r="A672" s="27" t="s">
        <v>2373</v>
      </c>
      <c r="B672" s="27">
        <v>1.592492799236E12</v>
      </c>
      <c r="C672" s="27" t="s">
        <v>2363</v>
      </c>
    </row>
    <row r="673">
      <c r="A673" s="27" t="s">
        <v>2374</v>
      </c>
      <c r="B673" s="27">
        <v>1.59708649984E12</v>
      </c>
      <c r="C673" s="27" t="s">
        <v>2363</v>
      </c>
    </row>
    <row r="674">
      <c r="A674" s="27" t="s">
        <v>2375</v>
      </c>
      <c r="B674" s="27">
        <v>1.597098592591E12</v>
      </c>
      <c r="C674" s="27" t="s">
        <v>2451</v>
      </c>
    </row>
    <row r="675">
      <c r="A675" s="27" t="s">
        <v>3077</v>
      </c>
      <c r="B675" s="27">
        <v>1.60087188499E12</v>
      </c>
      <c r="C675" s="27" t="s">
        <v>2451</v>
      </c>
    </row>
    <row r="676">
      <c r="A676" s="27" t="s">
        <v>3078</v>
      </c>
      <c r="B676" s="27">
        <v>1.604333316238E12</v>
      </c>
      <c r="C676" s="27" t="s">
        <v>2363</v>
      </c>
    </row>
    <row r="677">
      <c r="A677" s="27" t="s">
        <v>3079</v>
      </c>
      <c r="B677" s="27">
        <v>1.610816377646E12</v>
      </c>
      <c r="C677" s="27" t="s">
        <v>2382</v>
      </c>
    </row>
    <row r="678">
      <c r="A678" s="27" t="s">
        <v>2377</v>
      </c>
      <c r="B678" s="27">
        <v>1.61538336617E12</v>
      </c>
      <c r="C678" s="27" t="s">
        <v>2437</v>
      </c>
    </row>
    <row r="679">
      <c r="A679" s="27" t="s">
        <v>2379</v>
      </c>
      <c r="B679" s="27">
        <v>1.615383407099E12</v>
      </c>
      <c r="C679" s="27" t="s">
        <v>2437</v>
      </c>
    </row>
    <row r="680">
      <c r="A680" s="27" t="s">
        <v>2757</v>
      </c>
      <c r="B680" s="27">
        <v>1.623703942966E12</v>
      </c>
      <c r="C680" s="27" t="s">
        <v>2441</v>
      </c>
    </row>
    <row r="681">
      <c r="A681" s="27" t="s">
        <v>2387</v>
      </c>
      <c r="B681" s="27">
        <v>1.62741684103E12</v>
      </c>
      <c r="C681" s="27" t="s">
        <v>2409</v>
      </c>
    </row>
    <row r="682">
      <c r="A682" s="27" t="s">
        <v>2389</v>
      </c>
      <c r="B682" s="27">
        <v>1.627418180602E12</v>
      </c>
      <c r="C682" s="27" t="s">
        <v>2451</v>
      </c>
    </row>
    <row r="683">
      <c r="A683" s="27" t="s">
        <v>3044</v>
      </c>
      <c r="B683" s="27">
        <v>1.627418225537E12</v>
      </c>
      <c r="C683" s="27" t="s">
        <v>2447</v>
      </c>
    </row>
    <row r="684">
      <c r="A684" s="27" t="s">
        <v>3046</v>
      </c>
      <c r="B684" s="27">
        <v>1.627418329116E12</v>
      </c>
      <c r="C684" s="27" t="s">
        <v>2361</v>
      </c>
    </row>
    <row r="685">
      <c r="A685" s="27" t="s">
        <v>2760</v>
      </c>
      <c r="B685" s="27">
        <v>1.628016796209E12</v>
      </c>
      <c r="C685" s="27" t="s">
        <v>2409</v>
      </c>
    </row>
    <row r="686">
      <c r="A686" s="27" t="s">
        <v>2393</v>
      </c>
      <c r="B686" s="27">
        <v>1.62801820637E12</v>
      </c>
      <c r="C686" s="27" t="s">
        <v>2451</v>
      </c>
    </row>
    <row r="687">
      <c r="A687" s="27" t="s">
        <v>2761</v>
      </c>
      <c r="B687" s="27">
        <v>1.629726091782E12</v>
      </c>
      <c r="C687" s="27" t="s">
        <v>2380</v>
      </c>
    </row>
    <row r="688">
      <c r="A688" s="27" t="s">
        <v>2762</v>
      </c>
      <c r="B688" s="27">
        <v>1.629726117626E12</v>
      </c>
      <c r="C688" s="27" t="s">
        <v>2462</v>
      </c>
    </row>
    <row r="689">
      <c r="A689" s="27" t="s">
        <v>3080</v>
      </c>
      <c r="B689" s="27">
        <v>1.629726159155E12</v>
      </c>
      <c r="C689" s="27" t="s">
        <v>2441</v>
      </c>
    </row>
    <row r="690">
      <c r="A690" s="27" t="s">
        <v>3081</v>
      </c>
      <c r="B690" s="27">
        <v>1.630369674271E12</v>
      </c>
      <c r="C690" s="27" t="s">
        <v>2363</v>
      </c>
    </row>
    <row r="691">
      <c r="A691" s="27" t="s">
        <v>2395</v>
      </c>
      <c r="B691" s="27">
        <v>1.634845754276E12</v>
      </c>
      <c r="C691" s="27" t="s">
        <v>2409</v>
      </c>
    </row>
    <row r="692">
      <c r="A692" s="27" t="s">
        <v>2397</v>
      </c>
      <c r="B692" s="27">
        <v>1.635956574926E12</v>
      </c>
      <c r="C692" s="27" t="s">
        <v>2409</v>
      </c>
    </row>
    <row r="693">
      <c r="A693" s="27" t="s">
        <v>2767</v>
      </c>
      <c r="B693" s="27">
        <v>1.639085706913E12</v>
      </c>
      <c r="C693" s="27" t="s">
        <v>2682</v>
      </c>
    </row>
    <row r="694">
      <c r="A694" s="27" t="s">
        <v>2768</v>
      </c>
      <c r="B694" s="27">
        <v>1.639085745522E12</v>
      </c>
      <c r="C694" s="27" t="s">
        <v>2439</v>
      </c>
    </row>
    <row r="695">
      <c r="A695" s="27" t="s">
        <v>3082</v>
      </c>
      <c r="B695" s="27">
        <v>1.63908577239E12</v>
      </c>
      <c r="C695" s="27" t="s">
        <v>2462</v>
      </c>
    </row>
    <row r="696">
      <c r="A696" s="27" t="s">
        <v>3050</v>
      </c>
      <c r="B696" s="27">
        <v>1.639085780345E12</v>
      </c>
      <c r="C696" s="27" t="s">
        <v>2437</v>
      </c>
    </row>
    <row r="697">
      <c r="A697" s="27" t="s">
        <v>2400</v>
      </c>
      <c r="B697" s="27">
        <v>1.639085807876E12</v>
      </c>
      <c r="C697" s="27" t="s">
        <v>2372</v>
      </c>
    </row>
    <row r="698">
      <c r="A698" s="27" t="s">
        <v>2770</v>
      </c>
      <c r="B698" s="27">
        <v>1.640091153797E12</v>
      </c>
      <c r="C698" s="27" t="s">
        <v>2437</v>
      </c>
    </row>
    <row r="699">
      <c r="A699" s="27" t="s">
        <v>2403</v>
      </c>
      <c r="B699" s="27">
        <v>1.650295261109E12</v>
      </c>
      <c r="C699" s="27" t="s">
        <v>2359</v>
      </c>
    </row>
    <row r="700">
      <c r="A700" s="27" t="s">
        <v>2405</v>
      </c>
      <c r="B700" s="27">
        <v>1.650295282448E12</v>
      </c>
      <c r="C700" s="27" t="s">
        <v>2437</v>
      </c>
    </row>
    <row r="701">
      <c r="A701" s="27" t="s">
        <v>2772</v>
      </c>
      <c r="B701" s="27">
        <v>1.650298908518E12</v>
      </c>
      <c r="C701" s="27" t="s">
        <v>2399</v>
      </c>
    </row>
    <row r="702">
      <c r="A702" s="27" t="s">
        <v>2406</v>
      </c>
      <c r="B702" s="27">
        <v>1.650301031879E12</v>
      </c>
      <c r="C702" s="27" t="s">
        <v>2437</v>
      </c>
    </row>
    <row r="703">
      <c r="A703" s="27" t="s">
        <v>3057</v>
      </c>
      <c r="B703" s="27">
        <v>1.652824924113E12</v>
      </c>
      <c r="C703" s="27" t="s">
        <v>2451</v>
      </c>
    </row>
    <row r="704">
      <c r="A704" s="27" t="s">
        <v>2774</v>
      </c>
      <c r="B704" s="27">
        <v>1.652824942453E12</v>
      </c>
      <c r="C704" s="27" t="s">
        <v>2363</v>
      </c>
    </row>
    <row r="705">
      <c r="A705" s="27" t="s">
        <v>2775</v>
      </c>
      <c r="B705" s="27">
        <v>1.652824957424E12</v>
      </c>
      <c r="C705" s="27" t="s">
        <v>2361</v>
      </c>
    </row>
    <row r="706">
      <c r="A706" s="27" t="s">
        <v>2410</v>
      </c>
      <c r="B706" s="27">
        <v>1.652825027456E12</v>
      </c>
      <c r="C706" s="27" t="s">
        <v>2441</v>
      </c>
    </row>
    <row r="707">
      <c r="A707" s="27" t="s">
        <v>2736</v>
      </c>
      <c r="B707" s="27">
        <v>1.652825295706E12</v>
      </c>
      <c r="C707" s="27" t="s">
        <v>2441</v>
      </c>
    </row>
    <row r="708">
      <c r="A708" s="27" t="s">
        <v>2412</v>
      </c>
      <c r="B708" s="27">
        <v>1.654189048611E12</v>
      </c>
      <c r="C708" s="27" t="s">
        <v>2359</v>
      </c>
    </row>
    <row r="709">
      <c r="A709" s="27" t="s">
        <v>2414</v>
      </c>
      <c r="B709" s="27">
        <v>1.654189204021E12</v>
      </c>
      <c r="C709" s="27" t="s">
        <v>2359</v>
      </c>
    </row>
    <row r="710">
      <c r="A710" s="27" t="s">
        <v>2778</v>
      </c>
      <c r="B710" s="27">
        <v>1.65420774834E12</v>
      </c>
      <c r="C710" s="27" t="s">
        <v>2441</v>
      </c>
    </row>
    <row r="711">
      <c r="A711" s="27" t="s">
        <v>2780</v>
      </c>
      <c r="B711" s="27">
        <v>1.657222641841E12</v>
      </c>
      <c r="C711" s="27" t="s">
        <v>2441</v>
      </c>
    </row>
    <row r="712">
      <c r="A712" s="27" t="s">
        <v>2781</v>
      </c>
      <c r="B712" s="27">
        <v>1.658269683485E12</v>
      </c>
      <c r="C712" s="27" t="s">
        <v>2447</v>
      </c>
    </row>
    <row r="713">
      <c r="A713" s="27" t="s">
        <v>2783</v>
      </c>
      <c r="B713" s="27">
        <v>1.658525816907E12</v>
      </c>
      <c r="C713" s="27" t="s">
        <v>2359</v>
      </c>
    </row>
    <row r="714">
      <c r="A714" s="27" t="s">
        <v>3083</v>
      </c>
      <c r="B714" s="27">
        <v>1.659971347046E12</v>
      </c>
      <c r="C714" s="27" t="s">
        <v>2462</v>
      </c>
    </row>
    <row r="715">
      <c r="A715" s="27" t="s">
        <v>2785</v>
      </c>
      <c r="B715" s="27">
        <v>1.659989621591E12</v>
      </c>
      <c r="C715" s="27" t="s">
        <v>2361</v>
      </c>
    </row>
    <row r="716">
      <c r="A716" s="27" t="s">
        <v>3084</v>
      </c>
      <c r="B716" s="27">
        <v>1.659990788079E12</v>
      </c>
      <c r="C716" s="27" t="s">
        <v>2409</v>
      </c>
    </row>
    <row r="717">
      <c r="A717" s="27" t="s">
        <v>3085</v>
      </c>
      <c r="B717" s="27">
        <v>1.65999080731E12</v>
      </c>
      <c r="C717" s="27" t="s">
        <v>2451</v>
      </c>
    </row>
    <row r="718">
      <c r="A718" s="27" t="s">
        <v>3086</v>
      </c>
      <c r="B718" s="27">
        <v>1.659990828178E12</v>
      </c>
      <c r="C718" s="27" t="s">
        <v>2372</v>
      </c>
    </row>
    <row r="719">
      <c r="A719" s="27" t="s">
        <v>2787</v>
      </c>
      <c r="B719" s="27">
        <v>1.659991379695E12</v>
      </c>
      <c r="C719" s="27" t="s">
        <v>2407</v>
      </c>
    </row>
    <row r="720">
      <c r="A720" s="27" t="s">
        <v>2788</v>
      </c>
      <c r="B720" s="27">
        <v>1.659991481176E12</v>
      </c>
      <c r="C720" s="27" t="s">
        <v>2380</v>
      </c>
    </row>
    <row r="721">
      <c r="A721" s="27" t="s">
        <v>2424</v>
      </c>
      <c r="B721" s="27">
        <v>1.659991999728E12</v>
      </c>
      <c r="C721" s="27" t="s">
        <v>2359</v>
      </c>
    </row>
    <row r="722">
      <c r="A722" s="27" t="s">
        <v>2789</v>
      </c>
      <c r="B722" s="27">
        <v>1.659992478281E12</v>
      </c>
      <c r="C722" s="27" t="s">
        <v>2437</v>
      </c>
    </row>
    <row r="723">
      <c r="A723" s="27" t="s">
        <v>3059</v>
      </c>
      <c r="B723" s="27">
        <v>1.659992503614E12</v>
      </c>
      <c r="C723" s="27" t="s">
        <v>2359</v>
      </c>
    </row>
    <row r="724">
      <c r="A724" s="27" t="s">
        <v>2427</v>
      </c>
      <c r="B724" s="27">
        <v>1.659999410637E12</v>
      </c>
      <c r="C724" s="27" t="s">
        <v>2557</v>
      </c>
    </row>
    <row r="725">
      <c r="A725" s="27" t="s">
        <v>2790</v>
      </c>
      <c r="B725" s="27" t="s">
        <v>2791</v>
      </c>
      <c r="C725" s="27" t="s">
        <v>2382</v>
      </c>
    </row>
    <row r="726">
      <c r="A726" s="27" t="s">
        <v>2430</v>
      </c>
      <c r="B726" s="27">
        <v>1.660858101318E12</v>
      </c>
      <c r="C726" s="27" t="s">
        <v>2363</v>
      </c>
    </row>
    <row r="727">
      <c r="A727" s="27" t="s">
        <v>2431</v>
      </c>
      <c r="B727" s="27">
        <v>1.660858118518E12</v>
      </c>
      <c r="C727" s="27" t="s">
        <v>2451</v>
      </c>
    </row>
    <row r="728">
      <c r="A728" s="27" t="s">
        <v>2433</v>
      </c>
      <c r="B728" s="27">
        <v>1.660858341796E12</v>
      </c>
      <c r="C728" s="27" t="s">
        <v>2402</v>
      </c>
    </row>
    <row r="729">
      <c r="A729" s="27" t="s">
        <v>2434</v>
      </c>
      <c r="B729" s="27">
        <v>1.660858356962E12</v>
      </c>
      <c r="C729" s="27" t="s">
        <v>2359</v>
      </c>
    </row>
    <row r="730">
      <c r="A730" s="27" t="s">
        <v>3087</v>
      </c>
      <c r="B730" s="27">
        <v>1.66085857751E12</v>
      </c>
      <c r="C730" s="27" t="s">
        <v>2595</v>
      </c>
    </row>
    <row r="731">
      <c r="A731" s="27" t="s">
        <v>2442</v>
      </c>
      <c r="B731" s="27">
        <v>1.660858776726E12</v>
      </c>
      <c r="C731" s="27" t="s">
        <v>2447</v>
      </c>
    </row>
    <row r="732">
      <c r="A732" s="27" t="s">
        <v>2443</v>
      </c>
      <c r="B732" s="27">
        <v>1.660858793429E12</v>
      </c>
      <c r="C732" s="27" t="s">
        <v>2451</v>
      </c>
    </row>
    <row r="733">
      <c r="A733" s="27" t="s">
        <v>2448</v>
      </c>
      <c r="B733" s="27">
        <v>1.660859171584E12</v>
      </c>
      <c r="C733" s="27" t="s">
        <v>2409</v>
      </c>
    </row>
    <row r="734">
      <c r="A734" s="27" t="s">
        <v>2794</v>
      </c>
      <c r="B734" s="27">
        <v>1.660859287583E12</v>
      </c>
      <c r="C734" s="27" t="s">
        <v>2363</v>
      </c>
    </row>
    <row r="735">
      <c r="A735" s="27" t="s">
        <v>3088</v>
      </c>
      <c r="B735" s="27">
        <v>1.660859424566E12</v>
      </c>
      <c r="C735" s="27" t="s">
        <v>2441</v>
      </c>
    </row>
    <row r="736">
      <c r="A736" s="27" t="s">
        <v>2795</v>
      </c>
      <c r="B736" s="27" t="s">
        <v>2796</v>
      </c>
      <c r="C736" s="27" t="s">
        <v>2437</v>
      </c>
    </row>
    <row r="737">
      <c r="A737" s="27" t="s">
        <v>3089</v>
      </c>
      <c r="B737" s="27">
        <v>1.661872713289E12</v>
      </c>
      <c r="C737" s="27" t="s">
        <v>2380</v>
      </c>
    </row>
    <row r="738">
      <c r="A738" s="27" t="s">
        <v>2449</v>
      </c>
      <c r="B738" s="27">
        <v>1.661872956577E12</v>
      </c>
      <c r="C738" s="27" t="s">
        <v>2359</v>
      </c>
    </row>
    <row r="739">
      <c r="A739" s="27" t="s">
        <v>3060</v>
      </c>
      <c r="B739" s="27">
        <v>1.661873760641E12</v>
      </c>
      <c r="C739" s="27" t="s">
        <v>2437</v>
      </c>
    </row>
    <row r="740">
      <c r="A740" s="27" t="s">
        <v>3090</v>
      </c>
      <c r="B740" s="27">
        <v>1.661894945281E12</v>
      </c>
      <c r="C740" s="27" t="s">
        <v>2409</v>
      </c>
    </row>
    <row r="741">
      <c r="A741" s="27" t="s">
        <v>3091</v>
      </c>
      <c r="B741" s="27">
        <v>1700284.0</v>
      </c>
      <c r="C741" s="27" t="s">
        <v>2359</v>
      </c>
    </row>
    <row r="742">
      <c r="A742" s="27" t="s">
        <v>3092</v>
      </c>
      <c r="B742" s="27">
        <v>1796402.0</v>
      </c>
      <c r="C742" s="27" t="s">
        <v>2451</v>
      </c>
    </row>
    <row r="743">
      <c r="A743" s="27" t="s">
        <v>2804</v>
      </c>
      <c r="B743" s="27">
        <v>184957.0</v>
      </c>
      <c r="C743" s="27" t="s">
        <v>2363</v>
      </c>
    </row>
    <row r="744">
      <c r="A744" s="27" t="s">
        <v>2456</v>
      </c>
      <c r="B744" s="27" t="s">
        <v>2457</v>
      </c>
      <c r="C744" s="27" t="s">
        <v>2437</v>
      </c>
    </row>
    <row r="745">
      <c r="A745" s="27" t="s">
        <v>3093</v>
      </c>
      <c r="B745" s="27" t="s">
        <v>3094</v>
      </c>
      <c r="C745" s="27" t="s">
        <v>2437</v>
      </c>
    </row>
    <row r="746">
      <c r="A746" s="27" t="s">
        <v>3095</v>
      </c>
      <c r="B746" s="27">
        <v>6.6436804863605E13</v>
      </c>
      <c r="C746" s="27" t="s">
        <v>2437</v>
      </c>
    </row>
    <row r="747">
      <c r="A747" s="27" t="s">
        <v>3096</v>
      </c>
      <c r="B747" s="27">
        <v>6.6436950085067E13</v>
      </c>
      <c r="C747" s="27" t="s">
        <v>2363</v>
      </c>
    </row>
    <row r="748">
      <c r="A748" s="27" t="s">
        <v>2459</v>
      </c>
      <c r="B748" s="27">
        <v>6.6800469437952E13</v>
      </c>
      <c r="C748" s="27" t="s">
        <v>2380</v>
      </c>
    </row>
    <row r="749">
      <c r="A749" s="27" t="s">
        <v>2817</v>
      </c>
      <c r="B749" s="27">
        <v>6.6800471275549E13</v>
      </c>
      <c r="C749" s="27" t="s">
        <v>2380</v>
      </c>
    </row>
    <row r="750">
      <c r="A750" s="27" t="s">
        <v>2460</v>
      </c>
      <c r="B750" s="27">
        <v>6.6800472805184E13</v>
      </c>
      <c r="C750" s="27" t="s">
        <v>2437</v>
      </c>
    </row>
    <row r="751">
      <c r="A751" s="27" t="s">
        <v>2461</v>
      </c>
      <c r="B751" s="27">
        <v>6.6800506435054E13</v>
      </c>
      <c r="C751" s="27" t="s">
        <v>2451</v>
      </c>
    </row>
    <row r="752">
      <c r="A752" s="27" t="s">
        <v>2818</v>
      </c>
      <c r="B752" s="27">
        <v>6.680050766593E13</v>
      </c>
      <c r="C752" s="27" t="s">
        <v>2441</v>
      </c>
    </row>
    <row r="753">
      <c r="A753" s="27" t="s">
        <v>2463</v>
      </c>
      <c r="B753" s="27">
        <v>6.6800509015029E13</v>
      </c>
      <c r="C753" s="27" t="s">
        <v>2451</v>
      </c>
    </row>
    <row r="754">
      <c r="A754" s="27" t="s">
        <v>2823</v>
      </c>
      <c r="B754" s="27">
        <v>6.7898087132855E13</v>
      </c>
      <c r="C754" s="27" t="s">
        <v>2380</v>
      </c>
    </row>
    <row r="755">
      <c r="A755" s="27" t="s">
        <v>3065</v>
      </c>
      <c r="B755" s="27">
        <v>6.7898461965813E13</v>
      </c>
      <c r="C755" s="27" t="s">
        <v>2378</v>
      </c>
    </row>
    <row r="756">
      <c r="A756" s="27" t="s">
        <v>3066</v>
      </c>
      <c r="B756" s="27">
        <v>6.7898463643999E13</v>
      </c>
      <c r="C756" s="27" t="s">
        <v>2372</v>
      </c>
    </row>
    <row r="757">
      <c r="A757" s="27" t="s">
        <v>3067</v>
      </c>
      <c r="B757" s="27">
        <v>6.7898466886403E13</v>
      </c>
      <c r="C757" s="27" t="s">
        <v>2407</v>
      </c>
    </row>
    <row r="758">
      <c r="A758" s="27" t="s">
        <v>3097</v>
      </c>
      <c r="B758" s="27">
        <v>6.7933856404072E13</v>
      </c>
      <c r="C758" s="27" t="s">
        <v>2437</v>
      </c>
    </row>
    <row r="759">
      <c r="A759" s="27" t="s">
        <v>2470</v>
      </c>
      <c r="B759" s="27">
        <v>6.7933857637909E13</v>
      </c>
      <c r="C759" s="27" t="s">
        <v>2359</v>
      </c>
    </row>
    <row r="760">
      <c r="A760" s="27" t="s">
        <v>2471</v>
      </c>
      <c r="B760" s="27">
        <v>6.7933859111971E13</v>
      </c>
      <c r="C760" s="27" t="s">
        <v>2409</v>
      </c>
    </row>
    <row r="761">
      <c r="A761" s="27" t="s">
        <v>2472</v>
      </c>
      <c r="B761" s="27">
        <v>6.7933860407346E13</v>
      </c>
      <c r="C761" s="27" t="s">
        <v>2380</v>
      </c>
    </row>
    <row r="762">
      <c r="A762" s="27" t="s">
        <v>3098</v>
      </c>
      <c r="B762" s="27">
        <v>6.7933861722733E13</v>
      </c>
      <c r="C762" s="27" t="s">
        <v>2380</v>
      </c>
    </row>
    <row r="763">
      <c r="A763" s="27" t="s">
        <v>2473</v>
      </c>
      <c r="B763" s="27">
        <v>6.7933863068841E13</v>
      </c>
      <c r="C763" s="27" t="s">
        <v>2372</v>
      </c>
    </row>
    <row r="764">
      <c r="A764" s="27" t="s">
        <v>3099</v>
      </c>
      <c r="B764" s="27">
        <v>6.7951423489593E13</v>
      </c>
      <c r="C764" s="27" t="s">
        <v>2595</v>
      </c>
    </row>
    <row r="765">
      <c r="A765" s="27" t="s">
        <v>3100</v>
      </c>
      <c r="B765" s="27">
        <v>6.902221290779E12</v>
      </c>
      <c r="C765" s="27" t="s">
        <v>2363</v>
      </c>
    </row>
    <row r="766">
      <c r="A766" s="27" t="s">
        <v>3101</v>
      </c>
      <c r="B766" s="27">
        <v>6.902221296221E12</v>
      </c>
      <c r="C766" s="27" t="s">
        <v>2359</v>
      </c>
    </row>
    <row r="767">
      <c r="A767" s="27" t="s">
        <v>3102</v>
      </c>
      <c r="B767" s="27">
        <v>6.902221297884E12</v>
      </c>
      <c r="C767" s="27" t="s">
        <v>2363</v>
      </c>
    </row>
    <row r="768">
      <c r="A768" s="27" t="s">
        <v>3103</v>
      </c>
      <c r="B768" s="27">
        <v>6.902221297891E12</v>
      </c>
      <c r="C768" s="27" t="s">
        <v>2363</v>
      </c>
    </row>
    <row r="769">
      <c r="A769" s="27" t="s">
        <v>3104</v>
      </c>
      <c r="B769" s="27">
        <v>6.902221315144E12</v>
      </c>
      <c r="C769" s="27" t="s">
        <v>2363</v>
      </c>
    </row>
    <row r="770">
      <c r="A770" s="27" t="s">
        <v>3105</v>
      </c>
      <c r="B770" s="27">
        <v>6.902221315151E12</v>
      </c>
      <c r="C770" s="27" t="s">
        <v>2359</v>
      </c>
    </row>
    <row r="771">
      <c r="A771" s="27" t="s">
        <v>3106</v>
      </c>
      <c r="B771" s="27">
        <v>6.909821325559E12</v>
      </c>
      <c r="C771" s="27" t="s">
        <v>2359</v>
      </c>
    </row>
    <row r="772">
      <c r="A772" s="27" t="s">
        <v>3107</v>
      </c>
      <c r="B772" s="27">
        <v>7.57450527792E11</v>
      </c>
      <c r="C772" s="27" t="s">
        <v>2361</v>
      </c>
    </row>
    <row r="773">
      <c r="A773" s="27" t="s">
        <v>2845</v>
      </c>
      <c r="B773" s="27" t="s">
        <v>2846</v>
      </c>
      <c r="C773" s="27" t="s">
        <v>2441</v>
      </c>
    </row>
    <row r="774">
      <c r="A774" s="27" t="s">
        <v>3108</v>
      </c>
      <c r="B774" s="27" t="s">
        <v>3109</v>
      </c>
      <c r="C774" s="27" t="s">
        <v>2363</v>
      </c>
    </row>
    <row r="775">
      <c r="A775" s="27" t="s">
        <v>3110</v>
      </c>
      <c r="B775" s="27" t="s">
        <v>3111</v>
      </c>
      <c r="C775" s="27" t="s">
        <v>2363</v>
      </c>
    </row>
    <row r="776">
      <c r="A776" s="27" t="s">
        <v>2876</v>
      </c>
      <c r="B776" s="27" t="s">
        <v>2877</v>
      </c>
      <c r="C776" s="27" t="s">
        <v>2437</v>
      </c>
    </row>
    <row r="777">
      <c r="A777" s="27" t="s">
        <v>2878</v>
      </c>
      <c r="B777" s="27" t="s">
        <v>2879</v>
      </c>
      <c r="C777" s="27" t="s">
        <v>2402</v>
      </c>
    </row>
    <row r="778">
      <c r="A778" s="27" t="s">
        <v>3112</v>
      </c>
      <c r="B778" s="27" t="s">
        <v>3113</v>
      </c>
      <c r="C778" s="27" t="s">
        <v>2394</v>
      </c>
    </row>
    <row r="779">
      <c r="A779" s="27" t="s">
        <v>2497</v>
      </c>
      <c r="B779" s="27" t="s">
        <v>2498</v>
      </c>
      <c r="C779" s="27" t="s">
        <v>2409</v>
      </c>
    </row>
    <row r="780">
      <c r="A780" s="27" t="s">
        <v>3114</v>
      </c>
      <c r="B780" s="27" t="s">
        <v>3115</v>
      </c>
      <c r="C780" s="27" t="s">
        <v>2441</v>
      </c>
    </row>
    <row r="781">
      <c r="A781" s="27" t="s">
        <v>2882</v>
      </c>
      <c r="B781" s="27" t="s">
        <v>2883</v>
      </c>
      <c r="C781" s="27" t="s">
        <v>2363</v>
      </c>
    </row>
    <row r="782">
      <c r="A782" s="27" t="s">
        <v>3116</v>
      </c>
      <c r="B782" s="27" t="s">
        <v>3117</v>
      </c>
      <c r="C782" s="27" t="s">
        <v>2451</v>
      </c>
    </row>
    <row r="783">
      <c r="A783" s="27" t="s">
        <v>2894</v>
      </c>
      <c r="B783" s="27" t="s">
        <v>2895</v>
      </c>
      <c r="C783" s="27" t="s">
        <v>2441</v>
      </c>
    </row>
    <row r="784">
      <c r="A784" s="27" t="s">
        <v>2520</v>
      </c>
      <c r="B784" s="27" t="s">
        <v>2521</v>
      </c>
      <c r="C784" s="27" t="s">
        <v>2361</v>
      </c>
    </row>
    <row r="785">
      <c r="A785" s="27" t="s">
        <v>3118</v>
      </c>
      <c r="B785" s="27" t="s">
        <v>3119</v>
      </c>
      <c r="C785" s="27" t="s">
        <v>2359</v>
      </c>
    </row>
    <row r="786">
      <c r="A786" s="27" t="s">
        <v>3120</v>
      </c>
      <c r="B786" s="27" t="s">
        <v>3121</v>
      </c>
      <c r="C786" s="27" t="s">
        <v>2437</v>
      </c>
    </row>
    <row r="787">
      <c r="A787" s="27" t="s">
        <v>2908</v>
      </c>
      <c r="B787" s="27" t="s">
        <v>2909</v>
      </c>
      <c r="C787" s="27" t="s">
        <v>2437</v>
      </c>
    </row>
    <row r="788">
      <c r="A788" s="27" t="s">
        <v>2916</v>
      </c>
      <c r="B788" s="27" t="s">
        <v>623</v>
      </c>
      <c r="C788" s="27" t="s">
        <v>2363</v>
      </c>
    </row>
    <row r="789">
      <c r="A789" s="27" t="s">
        <v>2917</v>
      </c>
      <c r="B789" s="27" t="s">
        <v>617</v>
      </c>
      <c r="C789" s="27" t="s">
        <v>2363</v>
      </c>
    </row>
    <row r="790">
      <c r="A790" s="27" t="s">
        <v>2918</v>
      </c>
      <c r="B790" s="27" t="s">
        <v>619</v>
      </c>
      <c r="C790" s="27" t="s">
        <v>2363</v>
      </c>
    </row>
    <row r="791">
      <c r="A791" s="27" t="s">
        <v>2919</v>
      </c>
      <c r="B791" s="27" t="s">
        <v>621</v>
      </c>
      <c r="C791" s="27" t="s">
        <v>2363</v>
      </c>
    </row>
    <row r="792">
      <c r="A792" s="27" t="s">
        <v>2920</v>
      </c>
      <c r="B792" s="27" t="s">
        <v>625</v>
      </c>
      <c r="C792" s="27" t="s">
        <v>2363</v>
      </c>
    </row>
    <row r="793">
      <c r="A793" s="27" t="s">
        <v>2540</v>
      </c>
      <c r="B793" s="27" t="s">
        <v>631</v>
      </c>
      <c r="C793" s="27" t="s">
        <v>2363</v>
      </c>
    </row>
    <row r="794">
      <c r="A794" s="27" t="s">
        <v>2921</v>
      </c>
      <c r="B794" s="27" t="s">
        <v>627</v>
      </c>
      <c r="C794" s="27" t="s">
        <v>2363</v>
      </c>
    </row>
    <row r="795">
      <c r="A795" s="27" t="s">
        <v>2541</v>
      </c>
      <c r="B795" s="27" t="s">
        <v>635</v>
      </c>
      <c r="C795" s="27" t="s">
        <v>2363</v>
      </c>
    </row>
    <row r="796">
      <c r="A796" s="27" t="s">
        <v>2542</v>
      </c>
      <c r="B796" s="27" t="s">
        <v>629</v>
      </c>
      <c r="C796" s="27" t="s">
        <v>2363</v>
      </c>
    </row>
    <row r="797">
      <c r="A797" s="27" t="s">
        <v>2543</v>
      </c>
      <c r="B797" s="27" t="s">
        <v>633</v>
      </c>
      <c r="C797" s="27" t="s">
        <v>2363</v>
      </c>
    </row>
    <row r="798">
      <c r="A798" s="27" t="s">
        <v>2550</v>
      </c>
      <c r="B798" s="27" t="s">
        <v>722</v>
      </c>
      <c r="C798" s="27" t="s">
        <v>2363</v>
      </c>
    </row>
    <row r="799">
      <c r="A799" s="27" t="s">
        <v>3122</v>
      </c>
      <c r="B799" s="27" t="s">
        <v>720</v>
      </c>
      <c r="C799" s="27" t="s">
        <v>2363</v>
      </c>
    </row>
    <row r="800">
      <c r="A800" s="27" t="s">
        <v>3123</v>
      </c>
      <c r="B800" s="27" t="s">
        <v>724</v>
      </c>
      <c r="C800" s="27" t="s">
        <v>2363</v>
      </c>
    </row>
    <row r="801">
      <c r="A801" s="27" t="s">
        <v>3124</v>
      </c>
      <c r="B801" s="27" t="s">
        <v>718</v>
      </c>
      <c r="C801" s="27" t="s">
        <v>2363</v>
      </c>
    </row>
    <row r="802">
      <c r="A802" s="27" t="s">
        <v>3125</v>
      </c>
      <c r="B802" s="27" t="s">
        <v>708</v>
      </c>
      <c r="C802" s="27" t="s">
        <v>2363</v>
      </c>
    </row>
    <row r="803">
      <c r="A803" s="27" t="s">
        <v>2569</v>
      </c>
      <c r="B803" s="27" t="s">
        <v>716</v>
      </c>
      <c r="C803" s="27" t="s">
        <v>2363</v>
      </c>
    </row>
    <row r="804">
      <c r="A804" s="27" t="s">
        <v>3126</v>
      </c>
      <c r="B804" s="27" t="s">
        <v>712</v>
      </c>
      <c r="C804" s="27" t="s">
        <v>2363</v>
      </c>
    </row>
    <row r="805">
      <c r="A805" s="27" t="s">
        <v>2571</v>
      </c>
      <c r="B805" s="27" t="s">
        <v>710</v>
      </c>
      <c r="C805" s="27" t="s">
        <v>2363</v>
      </c>
    </row>
    <row r="806">
      <c r="A806" s="27" t="s">
        <v>2572</v>
      </c>
      <c r="B806" s="27" t="s">
        <v>706</v>
      </c>
      <c r="C806" s="27" t="s">
        <v>2363</v>
      </c>
    </row>
    <row r="807">
      <c r="A807" s="27" t="s">
        <v>2925</v>
      </c>
      <c r="B807" s="27" t="s">
        <v>739</v>
      </c>
      <c r="C807" s="27" t="s">
        <v>2363</v>
      </c>
    </row>
    <row r="808">
      <c r="A808" s="27" t="s">
        <v>2926</v>
      </c>
      <c r="B808" s="27" t="s">
        <v>743</v>
      </c>
      <c r="C808" s="27" t="s">
        <v>2363</v>
      </c>
    </row>
    <row r="809">
      <c r="A809" s="27" t="s">
        <v>2927</v>
      </c>
      <c r="B809" s="27" t="s">
        <v>741</v>
      </c>
      <c r="C809" s="27" t="s">
        <v>2363</v>
      </c>
    </row>
    <row r="810">
      <c r="A810" s="27" t="s">
        <v>2928</v>
      </c>
      <c r="B810" s="27" t="s">
        <v>737</v>
      </c>
      <c r="C810" s="27" t="s">
        <v>2363</v>
      </c>
    </row>
    <row r="811">
      <c r="A811" s="27" t="s">
        <v>2685</v>
      </c>
      <c r="B811" s="27" t="s">
        <v>2686</v>
      </c>
      <c r="C811" s="27" t="s">
        <v>2451</v>
      </c>
    </row>
    <row r="812">
      <c r="A812" s="27" t="s">
        <v>2972</v>
      </c>
      <c r="B812" s="27" t="s">
        <v>2973</v>
      </c>
      <c r="C812" s="27" t="s">
        <v>2409</v>
      </c>
    </row>
    <row r="813">
      <c r="A813" s="27" t="s">
        <v>3127</v>
      </c>
      <c r="B813" s="27" t="s">
        <v>3128</v>
      </c>
      <c r="C813" s="27" t="s">
        <v>2361</v>
      </c>
    </row>
    <row r="814">
      <c r="A814" s="27" t="s">
        <v>3009</v>
      </c>
      <c r="B814" s="27" t="s">
        <v>3010</v>
      </c>
      <c r="C814" s="27" t="s">
        <v>2441</v>
      </c>
    </row>
    <row r="815">
      <c r="A815" s="27" t="s">
        <v>2730</v>
      </c>
      <c r="B815" s="27" t="s">
        <v>2731</v>
      </c>
      <c r="C815" s="27" t="s">
        <v>2359</v>
      </c>
    </row>
    <row r="816">
      <c r="A816" s="27" t="s">
        <v>3013</v>
      </c>
      <c r="B816" s="27" t="s">
        <v>3014</v>
      </c>
      <c r="C816" s="27" t="s">
        <v>2441</v>
      </c>
    </row>
    <row r="817">
      <c r="A817" s="27" t="s">
        <v>3015</v>
      </c>
      <c r="B817" s="27" t="s">
        <v>3016</v>
      </c>
      <c r="C817" s="27" t="s">
        <v>2363</v>
      </c>
    </row>
    <row r="818">
      <c r="A818" s="27" t="s">
        <v>3129</v>
      </c>
      <c r="B818" s="27" t="s">
        <v>2735</v>
      </c>
      <c r="C818" s="27" t="s">
        <v>3130</v>
      </c>
    </row>
    <row r="819">
      <c r="A819" s="27" t="s">
        <v>3019</v>
      </c>
      <c r="B819" s="27">
        <v>1.479750635184E12</v>
      </c>
      <c r="C819" s="27" t="s">
        <v>2361</v>
      </c>
    </row>
    <row r="820">
      <c r="A820" s="27" t="s">
        <v>2748</v>
      </c>
      <c r="B820" s="27">
        <v>1.538141129434E12</v>
      </c>
      <c r="C820" s="27" t="s">
        <v>2462</v>
      </c>
    </row>
    <row r="821">
      <c r="A821" s="27" t="s">
        <v>2364</v>
      </c>
      <c r="B821" s="27">
        <v>1.564150627423E12</v>
      </c>
      <c r="C821" s="27" t="s">
        <v>2437</v>
      </c>
    </row>
    <row r="822">
      <c r="A822" s="27" t="s">
        <v>2366</v>
      </c>
      <c r="B822" s="27">
        <v>1.564150661249E12</v>
      </c>
      <c r="C822" s="27" t="s">
        <v>2441</v>
      </c>
    </row>
    <row r="823">
      <c r="A823" s="27" t="s">
        <v>2367</v>
      </c>
      <c r="B823" s="27">
        <v>1.566335721736E12</v>
      </c>
      <c r="C823" s="27" t="s">
        <v>2380</v>
      </c>
    </row>
    <row r="824">
      <c r="A824" s="27" t="s">
        <v>2371</v>
      </c>
      <c r="B824" s="27">
        <v>1.571423280815E12</v>
      </c>
      <c r="C824" s="27" t="s">
        <v>2437</v>
      </c>
    </row>
    <row r="825">
      <c r="A825" s="27" t="s">
        <v>2381</v>
      </c>
      <c r="B825" s="27">
        <v>1.623703690011E12</v>
      </c>
      <c r="C825" s="27" t="s">
        <v>2359</v>
      </c>
    </row>
    <row r="826">
      <c r="A826" s="27" t="s">
        <v>2393</v>
      </c>
      <c r="B826" s="27">
        <v>1.62801820637E12</v>
      </c>
      <c r="C826" s="27" t="s">
        <v>2359</v>
      </c>
    </row>
    <row r="827">
      <c r="A827" s="27" t="s">
        <v>3080</v>
      </c>
      <c r="B827" s="27">
        <v>1.629726159155E12</v>
      </c>
      <c r="C827" s="27" t="s">
        <v>2437</v>
      </c>
    </row>
    <row r="828">
      <c r="A828" s="27" t="s">
        <v>3081</v>
      </c>
      <c r="B828" s="27">
        <v>1.630369674271E12</v>
      </c>
      <c r="C828" s="27" t="s">
        <v>2437</v>
      </c>
    </row>
    <row r="829">
      <c r="A829" s="27" t="s">
        <v>2764</v>
      </c>
      <c r="B829" s="27">
        <v>1.630370852776E12</v>
      </c>
      <c r="C829" s="27" t="s">
        <v>2441</v>
      </c>
    </row>
    <row r="830">
      <c r="A830" s="27" t="s">
        <v>2765</v>
      </c>
      <c r="B830" s="27">
        <v>1.63456703401E12</v>
      </c>
      <c r="C830" s="27" t="s">
        <v>2378</v>
      </c>
    </row>
    <row r="831">
      <c r="A831" s="27" t="s">
        <v>2395</v>
      </c>
      <c r="B831" s="27">
        <v>1.634845754276E12</v>
      </c>
      <c r="C831" s="27" t="s">
        <v>2359</v>
      </c>
    </row>
    <row r="832">
      <c r="A832" s="27" t="s">
        <v>2397</v>
      </c>
      <c r="B832" s="27">
        <v>1.635956574926E12</v>
      </c>
      <c r="C832" s="27" t="s">
        <v>2363</v>
      </c>
    </row>
    <row r="833">
      <c r="A833" s="27" t="s">
        <v>2767</v>
      </c>
      <c r="B833" s="27">
        <v>1.639085706913E12</v>
      </c>
      <c r="C833" s="27" t="s">
        <v>2359</v>
      </c>
    </row>
    <row r="834">
      <c r="A834" s="27" t="s">
        <v>2769</v>
      </c>
      <c r="B834" s="27">
        <v>1.639085755244E12</v>
      </c>
      <c r="C834" s="27" t="s">
        <v>2437</v>
      </c>
    </row>
    <row r="835">
      <c r="A835" s="27" t="s">
        <v>3082</v>
      </c>
      <c r="B835" s="27">
        <v>1.63908577239E12</v>
      </c>
      <c r="C835" s="27" t="s">
        <v>2394</v>
      </c>
    </row>
    <row r="836">
      <c r="A836" s="27" t="s">
        <v>2770</v>
      </c>
      <c r="B836" s="27">
        <v>1.640091153797E12</v>
      </c>
      <c r="C836" s="27" t="s">
        <v>2363</v>
      </c>
    </row>
    <row r="837">
      <c r="A837" s="27" t="s">
        <v>2782</v>
      </c>
      <c r="B837" s="27">
        <v>1.658330420825E12</v>
      </c>
      <c r="C837" s="27" t="s">
        <v>2361</v>
      </c>
    </row>
    <row r="838">
      <c r="A838" s="27" t="s">
        <v>3131</v>
      </c>
      <c r="B838" s="27">
        <v>1.658330471799E12</v>
      </c>
      <c r="C838" s="27" t="s">
        <v>2437</v>
      </c>
    </row>
    <row r="839">
      <c r="A839" s="27" t="s">
        <v>2423</v>
      </c>
      <c r="B839" s="27">
        <v>1.659991971809E12</v>
      </c>
      <c r="C839" s="27" t="s">
        <v>2451</v>
      </c>
    </row>
    <row r="840">
      <c r="A840" s="27" t="s">
        <v>2789</v>
      </c>
      <c r="B840" s="27">
        <v>1.659992478281E12</v>
      </c>
      <c r="C840" s="27" t="s">
        <v>2359</v>
      </c>
    </row>
    <row r="841">
      <c r="A841" s="27" t="s">
        <v>2425</v>
      </c>
      <c r="B841" s="27">
        <v>1.659999392257E12</v>
      </c>
      <c r="C841" s="27" t="s">
        <v>2441</v>
      </c>
    </row>
    <row r="842">
      <c r="A842" s="27" t="s">
        <v>3087</v>
      </c>
      <c r="B842" s="27">
        <v>1.66085857751E12</v>
      </c>
      <c r="C842" s="27" t="s">
        <v>2441</v>
      </c>
    </row>
    <row r="843">
      <c r="A843" s="27" t="s">
        <v>2448</v>
      </c>
      <c r="B843" s="27">
        <v>1.660859171584E12</v>
      </c>
      <c r="C843" s="27" t="s">
        <v>2359</v>
      </c>
    </row>
    <row r="844">
      <c r="A844" s="27" t="s">
        <v>2450</v>
      </c>
      <c r="B844" s="27">
        <v>1.661873799978E12</v>
      </c>
      <c r="C844" s="27" t="s">
        <v>2363</v>
      </c>
    </row>
    <row r="845">
      <c r="A845" s="27" t="s">
        <v>2804</v>
      </c>
      <c r="B845" s="27">
        <v>184957.0</v>
      </c>
      <c r="C845" s="27" t="s">
        <v>2363</v>
      </c>
    </row>
    <row r="846">
      <c r="A846" s="27" t="s">
        <v>3132</v>
      </c>
      <c r="B846" s="27" t="s">
        <v>3133</v>
      </c>
      <c r="C846" s="27" t="s">
        <v>2363</v>
      </c>
    </row>
    <row r="847">
      <c r="A847" s="27" t="s">
        <v>3096</v>
      </c>
      <c r="B847" s="27">
        <v>6.6436950085067E13</v>
      </c>
      <c r="C847" s="27" t="s">
        <v>2359</v>
      </c>
    </row>
    <row r="848">
      <c r="A848" s="27" t="s">
        <v>2459</v>
      </c>
      <c r="B848" s="27">
        <v>6.6800469437952E13</v>
      </c>
      <c r="C848" s="27" t="s">
        <v>2359</v>
      </c>
    </row>
    <row r="849">
      <c r="A849" s="27" t="s">
        <v>2817</v>
      </c>
      <c r="B849" s="27">
        <v>6.6800471275549E13</v>
      </c>
      <c r="C849" s="27" t="s">
        <v>2462</v>
      </c>
    </row>
    <row r="850">
      <c r="A850" s="27" t="s">
        <v>2460</v>
      </c>
      <c r="B850" s="27">
        <v>6.6800472805184E13</v>
      </c>
      <c r="C850" s="27" t="s">
        <v>2363</v>
      </c>
    </row>
    <row r="851">
      <c r="A851" s="27" t="s">
        <v>2818</v>
      </c>
      <c r="B851" s="27">
        <v>6.680050766593E13</v>
      </c>
      <c r="C851" s="27" t="s">
        <v>2451</v>
      </c>
    </row>
    <row r="852">
      <c r="A852" s="27" t="s">
        <v>2820</v>
      </c>
      <c r="B852" s="27">
        <v>6.7114505814137E13</v>
      </c>
      <c r="C852" s="27" t="s">
        <v>2447</v>
      </c>
    </row>
    <row r="853">
      <c r="A853" s="27" t="s">
        <v>2482</v>
      </c>
      <c r="B853" s="27">
        <v>7.57450528058E11</v>
      </c>
      <c r="C853" s="27" t="s">
        <v>2363</v>
      </c>
    </row>
    <row r="854">
      <c r="A854" s="27" t="s">
        <v>2878</v>
      </c>
      <c r="B854" s="27" t="s">
        <v>2879</v>
      </c>
      <c r="C854" s="27" t="s">
        <v>2359</v>
      </c>
    </row>
    <row r="855">
      <c r="A855" s="27" t="s">
        <v>2491</v>
      </c>
      <c r="B855" s="27" t="s">
        <v>2492</v>
      </c>
      <c r="C855" s="27" t="s">
        <v>2359</v>
      </c>
    </row>
    <row r="856">
      <c r="A856" s="27" t="s">
        <v>2493</v>
      </c>
      <c r="B856" s="27" t="s">
        <v>2494</v>
      </c>
      <c r="C856" s="27" t="s">
        <v>2363</v>
      </c>
    </row>
    <row r="857">
      <c r="A857" s="27" t="s">
        <v>3134</v>
      </c>
      <c r="B857" s="27" t="s">
        <v>3135</v>
      </c>
      <c r="C857" s="27" t="s">
        <v>2359</v>
      </c>
    </row>
    <row r="858">
      <c r="A858" s="27" t="s">
        <v>2518</v>
      </c>
      <c r="B858" s="27" t="s">
        <v>2519</v>
      </c>
      <c r="C858" s="27" t="s">
        <v>2363</v>
      </c>
    </row>
    <row r="859">
      <c r="A859" s="27" t="s">
        <v>2520</v>
      </c>
      <c r="B859" s="27" t="s">
        <v>2521</v>
      </c>
      <c r="C859" s="27" t="s">
        <v>2437</v>
      </c>
    </row>
    <row r="860">
      <c r="A860" s="27" t="s">
        <v>2522</v>
      </c>
      <c r="B860" s="27" t="s">
        <v>2523</v>
      </c>
      <c r="C860" s="27" t="s">
        <v>2437</v>
      </c>
    </row>
    <row r="861">
      <c r="A861" s="27" t="s">
        <v>3136</v>
      </c>
      <c r="B861" s="27" t="s">
        <v>3137</v>
      </c>
      <c r="C861" s="27" t="s">
        <v>2363</v>
      </c>
    </row>
    <row r="862">
      <c r="A862" s="27" t="s">
        <v>3138</v>
      </c>
      <c r="B862" s="27" t="s">
        <v>3139</v>
      </c>
      <c r="C862" s="27" t="s">
        <v>2363</v>
      </c>
    </row>
    <row r="863">
      <c r="A863" s="27" t="s">
        <v>3140</v>
      </c>
      <c r="B863" s="27" t="s">
        <v>3141</v>
      </c>
      <c r="C863" s="27" t="s">
        <v>2363</v>
      </c>
    </row>
    <row r="864">
      <c r="A864" s="27" t="s">
        <v>3127</v>
      </c>
      <c r="B864" s="27" t="s">
        <v>3128</v>
      </c>
      <c r="C864" s="27" t="s">
        <v>2361</v>
      </c>
    </row>
    <row r="865">
      <c r="A865" s="27" t="s">
        <v>3009</v>
      </c>
      <c r="B865" s="27" t="s">
        <v>3010</v>
      </c>
      <c r="C865" s="27" t="s">
        <v>2380</v>
      </c>
    </row>
    <row r="866">
      <c r="A866" s="27" t="s">
        <v>3013</v>
      </c>
      <c r="B866" s="27" t="s">
        <v>3014</v>
      </c>
      <c r="C866" s="27" t="s">
        <v>2441</v>
      </c>
    </row>
    <row r="867">
      <c r="A867" s="27" t="s">
        <v>3142</v>
      </c>
      <c r="B867" s="27" t="s">
        <v>2735</v>
      </c>
      <c r="C867" s="27" t="s">
        <v>3143</v>
      </c>
    </row>
    <row r="868">
      <c r="A868" s="27" t="s">
        <v>3019</v>
      </c>
      <c r="B868" s="27">
        <v>1.479750635184E12</v>
      </c>
      <c r="C868" s="27" t="s">
        <v>2451</v>
      </c>
    </row>
    <row r="869">
      <c r="A869" s="27" t="s">
        <v>2360</v>
      </c>
      <c r="B869" s="27">
        <v>1.513614057219E12</v>
      </c>
      <c r="C869" s="27" t="s">
        <v>2441</v>
      </c>
    </row>
    <row r="870">
      <c r="A870" s="27" t="s">
        <v>2362</v>
      </c>
      <c r="B870" s="27">
        <v>1.52353664788E12</v>
      </c>
      <c r="C870" s="27" t="s">
        <v>2359</v>
      </c>
    </row>
    <row r="871">
      <c r="A871" s="27" t="s">
        <v>3021</v>
      </c>
      <c r="B871" s="27">
        <v>1.53788936885E12</v>
      </c>
      <c r="C871" s="27" t="s">
        <v>2451</v>
      </c>
    </row>
    <row r="872">
      <c r="A872" s="27" t="s">
        <v>2748</v>
      </c>
      <c r="B872" s="27">
        <v>1.538141129434E12</v>
      </c>
      <c r="C872" s="27" t="s">
        <v>2441</v>
      </c>
    </row>
    <row r="873">
      <c r="A873" s="27" t="s">
        <v>2364</v>
      </c>
      <c r="B873" s="27">
        <v>1.564150627423E12</v>
      </c>
      <c r="C873" s="27" t="s">
        <v>2451</v>
      </c>
    </row>
    <row r="874">
      <c r="A874" s="27" t="s">
        <v>2366</v>
      </c>
      <c r="B874" s="27">
        <v>1.564150661249E12</v>
      </c>
      <c r="C874" s="27" t="s">
        <v>2451</v>
      </c>
    </row>
    <row r="875">
      <c r="A875" s="27" t="s">
        <v>2367</v>
      </c>
      <c r="B875" s="27">
        <v>1.566335721736E12</v>
      </c>
      <c r="C875" s="27" t="s">
        <v>2451</v>
      </c>
    </row>
    <row r="876">
      <c r="A876" s="27" t="s">
        <v>2371</v>
      </c>
      <c r="B876" s="27">
        <v>1.571423280815E12</v>
      </c>
      <c r="C876" s="27" t="s">
        <v>2451</v>
      </c>
    </row>
    <row r="877">
      <c r="A877" s="27" t="s">
        <v>2373</v>
      </c>
      <c r="B877" s="27">
        <v>1.592492799236E12</v>
      </c>
      <c r="C877" s="27" t="s">
        <v>2441</v>
      </c>
    </row>
    <row r="878">
      <c r="A878" s="27" t="s">
        <v>2374</v>
      </c>
      <c r="B878" s="27">
        <v>1.59708649984E12</v>
      </c>
      <c r="C878" s="27" t="s">
        <v>2451</v>
      </c>
    </row>
    <row r="879">
      <c r="A879" s="27" t="s">
        <v>2375</v>
      </c>
      <c r="B879" s="27">
        <v>1.597098592591E12</v>
      </c>
      <c r="C879" s="27" t="s">
        <v>2441</v>
      </c>
    </row>
    <row r="880">
      <c r="A880" s="27" t="s">
        <v>2377</v>
      </c>
      <c r="B880" s="27">
        <v>1.61538336617E12</v>
      </c>
      <c r="C880" s="27" t="s">
        <v>2451</v>
      </c>
    </row>
    <row r="881">
      <c r="A881" s="27" t="s">
        <v>2379</v>
      </c>
      <c r="B881" s="27">
        <v>1.615383407099E12</v>
      </c>
      <c r="C881" s="27" t="s">
        <v>2451</v>
      </c>
    </row>
    <row r="882">
      <c r="A882" s="27" t="s">
        <v>2381</v>
      </c>
      <c r="B882" s="27">
        <v>1.623703690011E12</v>
      </c>
      <c r="C882" s="27" t="s">
        <v>2451</v>
      </c>
    </row>
    <row r="883">
      <c r="A883" s="27" t="s">
        <v>2385</v>
      </c>
      <c r="B883" s="27">
        <v>1.623703861303E12</v>
      </c>
      <c r="C883" s="27" t="s">
        <v>2451</v>
      </c>
    </row>
    <row r="884">
      <c r="A884" s="27" t="s">
        <v>2757</v>
      </c>
      <c r="B884" s="27">
        <v>1.623703942966E12</v>
      </c>
      <c r="C884" s="27" t="s">
        <v>2451</v>
      </c>
    </row>
    <row r="885">
      <c r="A885" s="27" t="s">
        <v>2387</v>
      </c>
      <c r="B885" s="27">
        <v>1.62741684103E12</v>
      </c>
      <c r="C885" s="27" t="s">
        <v>2451</v>
      </c>
    </row>
    <row r="886">
      <c r="A886" s="27" t="s">
        <v>2389</v>
      </c>
      <c r="B886" s="27">
        <v>1.627418180602E12</v>
      </c>
      <c r="C886" s="27" t="s">
        <v>2437</v>
      </c>
    </row>
    <row r="887">
      <c r="A887" s="27" t="s">
        <v>2391</v>
      </c>
      <c r="B887" s="27">
        <v>1.627418212924E12</v>
      </c>
      <c r="C887" s="27" t="s">
        <v>2437</v>
      </c>
    </row>
    <row r="888">
      <c r="A888" s="27" t="s">
        <v>2761</v>
      </c>
      <c r="B888" s="27">
        <v>1.629726091782E12</v>
      </c>
      <c r="C888" s="27" t="s">
        <v>2441</v>
      </c>
    </row>
    <row r="889">
      <c r="A889" s="27" t="s">
        <v>2395</v>
      </c>
      <c r="B889" s="27">
        <v>1.634845754276E12</v>
      </c>
      <c r="C889" s="27" t="s">
        <v>2437</v>
      </c>
    </row>
    <row r="890">
      <c r="A890" s="27" t="s">
        <v>2397</v>
      </c>
      <c r="B890" s="27">
        <v>1.635956574926E12</v>
      </c>
      <c r="C890" s="27" t="s">
        <v>2441</v>
      </c>
    </row>
    <row r="891">
      <c r="A891" s="27" t="s">
        <v>3082</v>
      </c>
      <c r="B891" s="27">
        <v>1.63908577239E12</v>
      </c>
      <c r="C891" s="27" t="s">
        <v>2359</v>
      </c>
    </row>
    <row r="892">
      <c r="A892" s="27" t="s">
        <v>2400</v>
      </c>
      <c r="B892" s="27">
        <v>1.639085807876E12</v>
      </c>
      <c r="C892" s="27" t="s">
        <v>2451</v>
      </c>
    </row>
    <row r="893">
      <c r="A893" s="27" t="s">
        <v>3144</v>
      </c>
      <c r="B893" s="27">
        <v>1.639488921197E12</v>
      </c>
      <c r="C893" s="27" t="s">
        <v>2437</v>
      </c>
    </row>
    <row r="894">
      <c r="A894" s="27" t="s">
        <v>2401</v>
      </c>
      <c r="B894" s="27">
        <v>1.645629782262E12</v>
      </c>
      <c r="C894" s="27" t="s">
        <v>2451</v>
      </c>
    </row>
    <row r="895">
      <c r="A895" s="27" t="s">
        <v>2403</v>
      </c>
      <c r="B895" s="27">
        <v>1.650295261109E12</v>
      </c>
      <c r="C895" s="27" t="s">
        <v>2451</v>
      </c>
    </row>
    <row r="896">
      <c r="A896" s="27" t="s">
        <v>2405</v>
      </c>
      <c r="B896" s="27">
        <v>1.650295282448E12</v>
      </c>
      <c r="C896" s="27" t="s">
        <v>2441</v>
      </c>
    </row>
    <row r="897">
      <c r="A897" s="27" t="s">
        <v>2772</v>
      </c>
      <c r="B897" s="27">
        <v>1.650298908518E12</v>
      </c>
      <c r="C897" s="27" t="s">
        <v>2437</v>
      </c>
    </row>
    <row r="898">
      <c r="A898" s="27" t="s">
        <v>3145</v>
      </c>
      <c r="B898" s="27">
        <v>1.650299083874E12</v>
      </c>
      <c r="C898" s="27" t="s">
        <v>2441</v>
      </c>
    </row>
    <row r="899">
      <c r="A899" s="27" t="s">
        <v>2408</v>
      </c>
      <c r="B899" s="27">
        <v>1.650302269777E12</v>
      </c>
      <c r="C899" s="27" t="s">
        <v>2359</v>
      </c>
    </row>
    <row r="900">
      <c r="A900" s="27" t="s">
        <v>2410</v>
      </c>
      <c r="B900" s="27">
        <v>1.652825027456E12</v>
      </c>
      <c r="C900" s="27" t="s">
        <v>2437</v>
      </c>
    </row>
    <row r="901">
      <c r="A901" s="27" t="s">
        <v>2412</v>
      </c>
      <c r="B901" s="27">
        <v>1.654189048611E12</v>
      </c>
      <c r="C901" s="27" t="s">
        <v>2451</v>
      </c>
    </row>
    <row r="902">
      <c r="A902" s="27" t="s">
        <v>2414</v>
      </c>
      <c r="B902" s="27">
        <v>1.654189204021E12</v>
      </c>
      <c r="C902" s="27" t="s">
        <v>2451</v>
      </c>
    </row>
    <row r="903">
      <c r="A903" s="27" t="s">
        <v>2778</v>
      </c>
      <c r="B903" s="27">
        <v>1.65420774834E12</v>
      </c>
      <c r="C903" s="27" t="s">
        <v>2437</v>
      </c>
    </row>
    <row r="904">
      <c r="A904" s="27" t="s">
        <v>2422</v>
      </c>
      <c r="B904" s="27">
        <v>1.656603353038E12</v>
      </c>
      <c r="C904" s="27" t="s">
        <v>2451</v>
      </c>
    </row>
    <row r="905">
      <c r="A905" s="27" t="s">
        <v>3083</v>
      </c>
      <c r="B905" s="27">
        <v>1.659971347046E12</v>
      </c>
      <c r="C905" s="27" t="s">
        <v>2451</v>
      </c>
    </row>
    <row r="906">
      <c r="A906" s="27" t="s">
        <v>2784</v>
      </c>
      <c r="B906" s="27">
        <v>1.659989549286E12</v>
      </c>
      <c r="C906" s="27" t="s">
        <v>2363</v>
      </c>
    </row>
    <row r="907">
      <c r="A907" s="27" t="s">
        <v>3085</v>
      </c>
      <c r="B907" s="27">
        <v>1.65999080731E12</v>
      </c>
      <c r="C907" s="27" t="s">
        <v>2451</v>
      </c>
    </row>
    <row r="908">
      <c r="A908" s="27" t="s">
        <v>3086</v>
      </c>
      <c r="B908" s="27">
        <v>1.659990828178E12</v>
      </c>
      <c r="C908" s="27" t="s">
        <v>2451</v>
      </c>
    </row>
    <row r="909">
      <c r="A909" s="27" t="s">
        <v>2787</v>
      </c>
      <c r="B909" s="27">
        <v>1.659991379695E12</v>
      </c>
      <c r="C909" s="27" t="s">
        <v>2363</v>
      </c>
    </row>
    <row r="910">
      <c r="A910" s="27" t="s">
        <v>2788</v>
      </c>
      <c r="B910" s="27">
        <v>1.659991481176E12</v>
      </c>
      <c r="C910" s="27" t="s">
        <v>2451</v>
      </c>
    </row>
    <row r="911">
      <c r="A911" s="27" t="s">
        <v>2424</v>
      </c>
      <c r="B911" s="27">
        <v>1.659991999728E12</v>
      </c>
      <c r="C911" s="27" t="s">
        <v>2451</v>
      </c>
    </row>
    <row r="912">
      <c r="A912" s="27" t="s">
        <v>2792</v>
      </c>
      <c r="B912" s="27">
        <v>1.660857800718E12</v>
      </c>
      <c r="C912" s="27" t="s">
        <v>2441</v>
      </c>
    </row>
    <row r="913">
      <c r="A913" s="27" t="s">
        <v>2429</v>
      </c>
      <c r="B913" s="27">
        <v>1.66085796352E12</v>
      </c>
      <c r="C913" s="27" t="s">
        <v>2363</v>
      </c>
    </row>
    <row r="914">
      <c r="A914" s="27" t="s">
        <v>3146</v>
      </c>
      <c r="B914" s="27">
        <v>1.660858025311E12</v>
      </c>
      <c r="C914" s="27" t="s">
        <v>2451</v>
      </c>
    </row>
    <row r="915">
      <c r="A915" s="27" t="s">
        <v>2430</v>
      </c>
      <c r="B915" s="27">
        <v>1.660858101318E12</v>
      </c>
      <c r="C915" s="27" t="s">
        <v>2451</v>
      </c>
    </row>
    <row r="916">
      <c r="A916" s="27" t="s">
        <v>3147</v>
      </c>
      <c r="B916" s="27">
        <v>1.660858118518E12</v>
      </c>
      <c r="C916" s="27" t="s">
        <v>2359</v>
      </c>
    </row>
    <row r="917">
      <c r="A917" s="27" t="s">
        <v>2434</v>
      </c>
      <c r="B917" s="27">
        <v>1.660858356962E12</v>
      </c>
      <c r="C917" s="27" t="s">
        <v>2437</v>
      </c>
    </row>
    <row r="918">
      <c r="A918" s="27" t="s">
        <v>2436</v>
      </c>
      <c r="B918" s="27">
        <v>1.660858416606E12</v>
      </c>
      <c r="C918" s="27" t="s">
        <v>2359</v>
      </c>
    </row>
    <row r="919">
      <c r="A919" s="27" t="s">
        <v>2438</v>
      </c>
      <c r="B919" s="27">
        <v>1.6608587024E12</v>
      </c>
      <c r="C919" s="27" t="s">
        <v>2437</v>
      </c>
    </row>
    <row r="920">
      <c r="A920" s="27" t="s">
        <v>2440</v>
      </c>
      <c r="B920" s="27">
        <v>1.660858756233E12</v>
      </c>
      <c r="C920" s="27" t="s">
        <v>2451</v>
      </c>
    </row>
    <row r="921">
      <c r="A921" s="27" t="s">
        <v>2442</v>
      </c>
      <c r="B921" s="27">
        <v>1.660858776726E12</v>
      </c>
      <c r="C921" s="27" t="s">
        <v>2451</v>
      </c>
    </row>
    <row r="922">
      <c r="A922" s="27" t="s">
        <v>2443</v>
      </c>
      <c r="B922" s="27">
        <v>1.660858793429E12</v>
      </c>
      <c r="C922" s="27" t="s">
        <v>2451</v>
      </c>
    </row>
    <row r="923">
      <c r="A923" s="27" t="s">
        <v>2444</v>
      </c>
      <c r="B923" s="27">
        <v>1.660858812938E12</v>
      </c>
      <c r="C923" s="27" t="s">
        <v>2409</v>
      </c>
    </row>
    <row r="924">
      <c r="A924" s="27" t="s">
        <v>2445</v>
      </c>
      <c r="B924" s="27">
        <v>1.660858828618E12</v>
      </c>
      <c r="C924" s="27" t="s">
        <v>2380</v>
      </c>
    </row>
    <row r="925">
      <c r="A925" s="27" t="s">
        <v>2446</v>
      </c>
      <c r="B925" s="27">
        <v>1.660858844449E12</v>
      </c>
      <c r="C925" s="27" t="s">
        <v>2409</v>
      </c>
    </row>
    <row r="926">
      <c r="A926" s="27" t="s">
        <v>3148</v>
      </c>
      <c r="B926" s="27">
        <v>1.660859102915E12</v>
      </c>
      <c r="C926" s="27" t="s">
        <v>2451</v>
      </c>
    </row>
    <row r="927">
      <c r="A927" s="27" t="s">
        <v>2448</v>
      </c>
      <c r="B927" s="27">
        <v>1.660859171584E12</v>
      </c>
      <c r="C927" s="27" t="s">
        <v>2451</v>
      </c>
    </row>
    <row r="928">
      <c r="A928" s="27" t="s">
        <v>2794</v>
      </c>
      <c r="B928" s="27">
        <v>1.660859287583E12</v>
      </c>
      <c r="C928" s="27" t="s">
        <v>2441</v>
      </c>
    </row>
    <row r="929">
      <c r="A929" s="27" t="s">
        <v>2449</v>
      </c>
      <c r="B929" s="27">
        <v>1.661872956577E12</v>
      </c>
      <c r="C929" s="27" t="s">
        <v>2437</v>
      </c>
    </row>
    <row r="930">
      <c r="A930" s="27" t="s">
        <v>3095</v>
      </c>
      <c r="B930" s="27">
        <v>6.6436804863605E13</v>
      </c>
      <c r="C930" s="27" t="s">
        <v>2451</v>
      </c>
    </row>
    <row r="931">
      <c r="A931" s="27" t="s">
        <v>2459</v>
      </c>
      <c r="B931" s="27">
        <v>6.6800469437952E13</v>
      </c>
      <c r="C931" s="27" t="s">
        <v>2451</v>
      </c>
    </row>
    <row r="932">
      <c r="A932" s="27" t="s">
        <v>2817</v>
      </c>
      <c r="B932" s="27">
        <v>6.6800471275549E13</v>
      </c>
      <c r="C932" s="27" t="s">
        <v>2451</v>
      </c>
    </row>
    <row r="933">
      <c r="A933" s="27" t="s">
        <v>2460</v>
      </c>
      <c r="B933" s="27">
        <v>6.6800472805184E13</v>
      </c>
      <c r="C933" s="27" t="s">
        <v>2451</v>
      </c>
    </row>
    <row r="934">
      <c r="A934" s="27" t="s">
        <v>2461</v>
      </c>
      <c r="B934" s="27">
        <v>6.6800506435054E13</v>
      </c>
      <c r="C934" s="27" t="s">
        <v>2437</v>
      </c>
    </row>
    <row r="935">
      <c r="A935" s="27" t="s">
        <v>2463</v>
      </c>
      <c r="B935" s="27">
        <v>6.6800509015029E13</v>
      </c>
      <c r="C935" s="27" t="s">
        <v>2437</v>
      </c>
    </row>
    <row r="936">
      <c r="A936" s="27" t="s">
        <v>2819</v>
      </c>
      <c r="B936" s="27">
        <v>6.6800510263382E13</v>
      </c>
      <c r="C936" s="27" t="s">
        <v>2359</v>
      </c>
    </row>
    <row r="937">
      <c r="A937" s="27" t="s">
        <v>2464</v>
      </c>
      <c r="B937" s="27">
        <v>6.7327712330533E13</v>
      </c>
      <c r="C937" s="27" t="s">
        <v>2363</v>
      </c>
    </row>
    <row r="938">
      <c r="A938" s="27" t="s">
        <v>2467</v>
      </c>
      <c r="B938" s="27">
        <v>6.7933833934278E13</v>
      </c>
      <c r="C938" s="27" t="s">
        <v>2363</v>
      </c>
    </row>
    <row r="939">
      <c r="A939" s="27" t="s">
        <v>3097</v>
      </c>
      <c r="B939" s="27">
        <v>6.7933856404072E13</v>
      </c>
      <c r="C939" s="27" t="s">
        <v>2451</v>
      </c>
    </row>
    <row r="940">
      <c r="A940" s="27" t="s">
        <v>2471</v>
      </c>
      <c r="B940" s="27">
        <v>6.7933859111971E13</v>
      </c>
      <c r="C940" s="27" t="s">
        <v>2451</v>
      </c>
    </row>
    <row r="941">
      <c r="A941" s="27" t="s">
        <v>3098</v>
      </c>
      <c r="B941" s="27">
        <v>6.7933861722733E13</v>
      </c>
      <c r="C941" s="27" t="s">
        <v>2363</v>
      </c>
    </row>
    <row r="942">
      <c r="A942" s="27" t="s">
        <v>2473</v>
      </c>
      <c r="B942" s="27">
        <v>6.7933863068841E13</v>
      </c>
      <c r="C942" s="27" t="s">
        <v>2451</v>
      </c>
    </row>
    <row r="943">
      <c r="A943" s="27" t="s">
        <v>2474</v>
      </c>
      <c r="B943" s="27">
        <v>6.7951421434761E13</v>
      </c>
      <c r="C943" s="27" t="s">
        <v>2451</v>
      </c>
    </row>
    <row r="944">
      <c r="A944" s="27" t="s">
        <v>3099</v>
      </c>
      <c r="B944" s="27">
        <v>6.7951423489593E13</v>
      </c>
      <c r="C944" s="27" t="s">
        <v>2451</v>
      </c>
    </row>
    <row r="945">
      <c r="A945" s="27" t="s">
        <v>2829</v>
      </c>
      <c r="B945" s="27">
        <v>6.7951425161311E13</v>
      </c>
      <c r="C945" s="27" t="s">
        <v>2451</v>
      </c>
    </row>
    <row r="946">
      <c r="A946" s="27" t="s">
        <v>2830</v>
      </c>
      <c r="B946" s="27">
        <v>6.8142278578308E13</v>
      </c>
      <c r="C946" s="27" t="s">
        <v>2451</v>
      </c>
    </row>
    <row r="947">
      <c r="A947" s="27" t="s">
        <v>2831</v>
      </c>
      <c r="B947" s="27">
        <v>6.814228073269E13</v>
      </c>
      <c r="C947" s="27" t="s">
        <v>2451</v>
      </c>
    </row>
    <row r="948">
      <c r="A948" s="27" t="s">
        <v>2833</v>
      </c>
      <c r="B948" s="27">
        <v>6.8540048936286E13</v>
      </c>
      <c r="C948" s="27" t="s">
        <v>2451</v>
      </c>
    </row>
    <row r="949">
      <c r="A949" s="27" t="s">
        <v>2475</v>
      </c>
      <c r="B949" s="27">
        <v>6.8540051413139E13</v>
      </c>
      <c r="C949" s="27" t="s">
        <v>2441</v>
      </c>
    </row>
    <row r="950">
      <c r="A950" s="27" t="s">
        <v>3149</v>
      </c>
      <c r="B950" s="27">
        <v>6.9746014453052E13</v>
      </c>
      <c r="C950" s="27" t="s">
        <v>2451</v>
      </c>
    </row>
    <row r="951">
      <c r="A951" s="27" t="s">
        <v>2533</v>
      </c>
      <c r="B951" s="27" t="s">
        <v>529</v>
      </c>
      <c r="C951" s="27" t="s">
        <v>2437</v>
      </c>
    </row>
    <row r="952">
      <c r="A952" s="27" t="s">
        <v>2534</v>
      </c>
      <c r="B952" s="27" t="s">
        <v>531</v>
      </c>
      <c r="C952" s="27" t="s">
        <v>2451</v>
      </c>
    </row>
    <row r="953">
      <c r="A953" s="27" t="s">
        <v>2535</v>
      </c>
      <c r="B953" s="27" t="s">
        <v>533</v>
      </c>
      <c r="C953" s="27" t="s">
        <v>2451</v>
      </c>
    </row>
    <row r="954">
      <c r="A954" s="27" t="s">
        <v>3150</v>
      </c>
      <c r="B954" s="27" t="s">
        <v>611</v>
      </c>
      <c r="C954" s="27" t="s">
        <v>2451</v>
      </c>
    </row>
    <row r="955">
      <c r="A955" s="27" t="s">
        <v>2536</v>
      </c>
      <c r="B955" s="27" t="s">
        <v>603</v>
      </c>
      <c r="C955" s="27" t="s">
        <v>2451</v>
      </c>
    </row>
    <row r="956">
      <c r="A956" s="27" t="s">
        <v>2538</v>
      </c>
      <c r="B956" s="27" t="s">
        <v>605</v>
      </c>
      <c r="C956" s="27" t="s">
        <v>2451</v>
      </c>
    </row>
    <row r="957">
      <c r="A957" s="27" t="s">
        <v>2914</v>
      </c>
      <c r="B957" s="27" t="s">
        <v>659</v>
      </c>
      <c r="C957" s="27" t="s">
        <v>2363</v>
      </c>
    </row>
    <row r="958">
      <c r="A958" s="27" t="s">
        <v>2916</v>
      </c>
      <c r="B958" s="27" t="s">
        <v>623</v>
      </c>
      <c r="C958" s="27" t="s">
        <v>2441</v>
      </c>
    </row>
    <row r="959">
      <c r="A959" s="27" t="s">
        <v>2918</v>
      </c>
      <c r="B959" s="27" t="s">
        <v>619</v>
      </c>
      <c r="C959" s="27" t="s">
        <v>2451</v>
      </c>
    </row>
    <row r="960">
      <c r="A960" s="27" t="s">
        <v>2919</v>
      </c>
      <c r="B960" s="27" t="s">
        <v>621</v>
      </c>
      <c r="C960" s="27" t="s">
        <v>2359</v>
      </c>
    </row>
    <row r="961">
      <c r="A961" s="27" t="s">
        <v>2920</v>
      </c>
      <c r="B961" s="27" t="s">
        <v>625</v>
      </c>
      <c r="C961" s="27" t="s">
        <v>2451</v>
      </c>
    </row>
    <row r="962">
      <c r="A962" s="27" t="s">
        <v>2921</v>
      </c>
      <c r="B962" s="27" t="s">
        <v>627</v>
      </c>
      <c r="C962" s="27" t="s">
        <v>2451</v>
      </c>
    </row>
    <row r="963">
      <c r="A963" s="27" t="s">
        <v>2545</v>
      </c>
      <c r="B963" s="27" t="s">
        <v>544</v>
      </c>
      <c r="C963" s="27" t="s">
        <v>2451</v>
      </c>
    </row>
    <row r="964">
      <c r="A964" s="27" t="s">
        <v>2546</v>
      </c>
      <c r="B964" s="27" t="s">
        <v>548</v>
      </c>
      <c r="C964" s="27" t="s">
        <v>2451</v>
      </c>
    </row>
    <row r="965">
      <c r="A965" s="27" t="s">
        <v>2548</v>
      </c>
      <c r="B965" s="27" t="s">
        <v>540</v>
      </c>
      <c r="C965" s="27" t="s">
        <v>2451</v>
      </c>
    </row>
    <row r="966">
      <c r="A966" s="27" t="s">
        <v>2549</v>
      </c>
      <c r="B966" s="27" t="s">
        <v>550</v>
      </c>
      <c r="C966" s="27" t="s">
        <v>2451</v>
      </c>
    </row>
    <row r="967">
      <c r="A967" s="27" t="s">
        <v>3123</v>
      </c>
      <c r="B967" s="27" t="s">
        <v>724</v>
      </c>
      <c r="C967" s="27" t="s">
        <v>2451</v>
      </c>
    </row>
    <row r="968">
      <c r="A968" s="27" t="s">
        <v>3124</v>
      </c>
      <c r="B968" s="27" t="s">
        <v>718</v>
      </c>
      <c r="C968" s="27" t="s">
        <v>2441</v>
      </c>
    </row>
    <row r="969">
      <c r="A969" s="27" t="s">
        <v>2565</v>
      </c>
      <c r="B969" s="27" t="s">
        <v>557</v>
      </c>
      <c r="C969" s="27" t="s">
        <v>2451</v>
      </c>
    </row>
    <row r="970">
      <c r="A970" s="27" t="s">
        <v>2567</v>
      </c>
      <c r="B970" s="27" t="s">
        <v>559</v>
      </c>
      <c r="C970" s="27" t="s">
        <v>2437</v>
      </c>
    </row>
    <row r="971">
      <c r="A971" s="27" t="s">
        <v>2568</v>
      </c>
      <c r="B971" s="27" t="s">
        <v>561</v>
      </c>
      <c r="C971" s="27" t="s">
        <v>2441</v>
      </c>
    </row>
    <row r="972">
      <c r="A972" s="27" t="s">
        <v>3151</v>
      </c>
      <c r="B972" s="27" t="s">
        <v>555</v>
      </c>
      <c r="C972" s="27" t="s">
        <v>2363</v>
      </c>
    </row>
    <row r="973">
      <c r="A973" s="27" t="s">
        <v>3125</v>
      </c>
      <c r="B973" s="27" t="s">
        <v>708</v>
      </c>
      <c r="C973" s="27" t="s">
        <v>2451</v>
      </c>
    </row>
    <row r="974">
      <c r="A974" s="27" t="s">
        <v>2570</v>
      </c>
      <c r="B974" s="27" t="s">
        <v>714</v>
      </c>
      <c r="C974" s="27" t="s">
        <v>2451</v>
      </c>
    </row>
    <row r="975">
      <c r="A975" s="27" t="s">
        <v>2571</v>
      </c>
      <c r="B975" s="27" t="s">
        <v>710</v>
      </c>
      <c r="C975" s="27" t="s">
        <v>2451</v>
      </c>
    </row>
    <row r="976">
      <c r="A976" s="27" t="s">
        <v>3152</v>
      </c>
      <c r="B976" s="27" t="s">
        <v>574</v>
      </c>
      <c r="C976" s="27" t="s">
        <v>2363</v>
      </c>
    </row>
    <row r="977">
      <c r="A977" s="27" t="s">
        <v>3153</v>
      </c>
      <c r="B977" s="27" t="s">
        <v>576</v>
      </c>
      <c r="C977" s="27" t="s">
        <v>2359</v>
      </c>
    </row>
    <row r="978">
      <c r="A978" s="27" t="s">
        <v>3154</v>
      </c>
      <c r="B978" s="27" t="s">
        <v>751</v>
      </c>
      <c r="C978" s="27" t="s">
        <v>2451</v>
      </c>
    </row>
    <row r="979">
      <c r="A979" s="27" t="s">
        <v>3155</v>
      </c>
      <c r="B979" s="27" t="s">
        <v>753</v>
      </c>
      <c r="C979" s="27" t="s">
        <v>2363</v>
      </c>
    </row>
    <row r="980">
      <c r="A980" s="27" t="s">
        <v>3156</v>
      </c>
      <c r="B980" s="27" t="s">
        <v>773</v>
      </c>
      <c r="C980" s="27" t="s">
        <v>2359</v>
      </c>
    </row>
    <row r="981">
      <c r="A981" s="27" t="s">
        <v>3157</v>
      </c>
      <c r="B981" s="27" t="s">
        <v>775</v>
      </c>
      <c r="C981" s="27" t="s">
        <v>2359</v>
      </c>
    </row>
    <row r="982">
      <c r="A982" s="27" t="s">
        <v>2927</v>
      </c>
      <c r="B982" s="27" t="s">
        <v>741</v>
      </c>
      <c r="C982" s="27" t="s">
        <v>2359</v>
      </c>
    </row>
    <row r="983">
      <c r="A983" s="27" t="s">
        <v>2930</v>
      </c>
      <c r="B983" s="27" t="s">
        <v>663</v>
      </c>
      <c r="C983" s="27" t="s">
        <v>2441</v>
      </c>
    </row>
    <row r="984">
      <c r="A984" s="27" t="s">
        <v>2591</v>
      </c>
      <c r="B984" s="27" t="s">
        <v>667</v>
      </c>
      <c r="C984" s="27" t="s">
        <v>2359</v>
      </c>
    </row>
    <row r="985">
      <c r="A985" s="27" t="s">
        <v>2593</v>
      </c>
      <c r="B985" s="27" t="s">
        <v>728</v>
      </c>
      <c r="C985" s="27" t="s">
        <v>2451</v>
      </c>
    </row>
    <row r="986">
      <c r="A986" s="27" t="s">
        <v>2594</v>
      </c>
      <c r="B986" s="27" t="s">
        <v>732</v>
      </c>
      <c r="C986" s="27" t="s">
        <v>2451</v>
      </c>
    </row>
    <row r="987">
      <c r="A987" s="27" t="s">
        <v>2596</v>
      </c>
      <c r="B987" s="27" t="s">
        <v>730</v>
      </c>
      <c r="C987" s="27" t="s">
        <v>2451</v>
      </c>
    </row>
    <row r="988">
      <c r="A988" s="27" t="s">
        <v>2597</v>
      </c>
      <c r="B988" s="27" t="s">
        <v>734</v>
      </c>
      <c r="C988" s="27" t="s">
        <v>2451</v>
      </c>
    </row>
    <row r="989">
      <c r="A989" s="27" t="s">
        <v>2598</v>
      </c>
      <c r="B989" s="27" t="s">
        <v>726</v>
      </c>
      <c r="C989" s="27" t="s">
        <v>2451</v>
      </c>
    </row>
    <row r="990">
      <c r="A990" s="27" t="s">
        <v>2674</v>
      </c>
      <c r="B990" s="27" t="s">
        <v>170</v>
      </c>
      <c r="C990" s="27" t="s">
        <v>2451</v>
      </c>
    </row>
    <row r="991">
      <c r="A991" s="27" t="s">
        <v>2675</v>
      </c>
      <c r="B991" s="27" t="s">
        <v>184</v>
      </c>
      <c r="C991" s="27" t="s">
        <v>2441</v>
      </c>
    </row>
    <row r="992">
      <c r="A992" s="27" t="s">
        <v>3158</v>
      </c>
      <c r="B992" s="27" t="s">
        <v>190</v>
      </c>
      <c r="C992" s="27" t="s">
        <v>2437</v>
      </c>
    </row>
    <row r="993">
      <c r="A993" s="27" t="s">
        <v>2680</v>
      </c>
      <c r="B993" s="27" t="s">
        <v>276</v>
      </c>
      <c r="C993" s="27" t="s">
        <v>2363</v>
      </c>
    </row>
    <row r="994">
      <c r="A994" s="27" t="s">
        <v>2684</v>
      </c>
      <c r="B994" s="27" t="s">
        <v>292</v>
      </c>
      <c r="C994" s="27" t="s">
        <v>2451</v>
      </c>
    </row>
    <row r="995">
      <c r="A995" s="27" t="s">
        <v>3159</v>
      </c>
      <c r="B995" s="27" t="s">
        <v>1355</v>
      </c>
      <c r="C995" s="27" t="s">
        <v>2359</v>
      </c>
    </row>
    <row r="996">
      <c r="A996" s="27" t="s">
        <v>2724</v>
      </c>
      <c r="B996" s="27" t="s">
        <v>1361</v>
      </c>
      <c r="C996" s="27" t="s">
        <v>2451</v>
      </c>
    </row>
    <row r="997">
      <c r="A997" s="27" t="s">
        <v>2725</v>
      </c>
      <c r="B997" s="27" t="s">
        <v>1363</v>
      </c>
      <c r="C997" s="27" t="s">
        <v>2437</v>
      </c>
    </row>
    <row r="998">
      <c r="A998" s="27" t="s">
        <v>2726</v>
      </c>
      <c r="B998" s="27" t="s">
        <v>1365</v>
      </c>
      <c r="C998" s="27" t="s">
        <v>2451</v>
      </c>
    </row>
    <row r="999">
      <c r="A999" s="27" t="s">
        <v>3160</v>
      </c>
      <c r="B999" s="27" t="s">
        <v>1367</v>
      </c>
      <c r="C999" s="27" t="s">
        <v>2451</v>
      </c>
    </row>
    <row r="1000">
      <c r="A1000" s="27" t="s">
        <v>2729</v>
      </c>
      <c r="B1000" s="27" t="s">
        <v>1234</v>
      </c>
      <c r="C1000" s="27" t="s">
        <v>2441</v>
      </c>
    </row>
    <row r="1001">
      <c r="A1001" s="27" t="s">
        <v>3161</v>
      </c>
      <c r="B1001" s="27" t="s">
        <v>2735</v>
      </c>
      <c r="C1001" s="27" t="s">
        <v>3162</v>
      </c>
    </row>
    <row r="1002">
      <c r="A1002" s="27" t="s">
        <v>3021</v>
      </c>
      <c r="B1002" s="27">
        <v>1.53788936885E12</v>
      </c>
      <c r="C1002" s="27" t="s">
        <v>2451</v>
      </c>
    </row>
    <row r="1003">
      <c r="A1003" s="27" t="s">
        <v>2364</v>
      </c>
      <c r="B1003" s="27">
        <v>1.564150627423E12</v>
      </c>
      <c r="C1003" s="27" t="s">
        <v>2462</v>
      </c>
    </row>
    <row r="1004">
      <c r="A1004" s="27" t="s">
        <v>2366</v>
      </c>
      <c r="B1004" s="27">
        <v>1.564150661249E12</v>
      </c>
      <c r="C1004" s="27" t="s">
        <v>2409</v>
      </c>
    </row>
    <row r="1005">
      <c r="A1005" s="27" t="s">
        <v>2367</v>
      </c>
      <c r="B1005" s="27">
        <v>1.566335721736E12</v>
      </c>
      <c r="C1005" s="27" t="s">
        <v>2462</v>
      </c>
    </row>
    <row r="1006">
      <c r="A1006" s="27" t="s">
        <v>2369</v>
      </c>
      <c r="B1006" s="27">
        <v>1.566849947902E12</v>
      </c>
      <c r="C1006" s="27" t="s">
        <v>2361</v>
      </c>
    </row>
    <row r="1007">
      <c r="A1007" s="27" t="s">
        <v>2371</v>
      </c>
      <c r="B1007" s="27">
        <v>1.571423280815E12</v>
      </c>
      <c r="C1007" s="27" t="s">
        <v>2437</v>
      </c>
    </row>
    <row r="1008">
      <c r="A1008" s="27" t="s">
        <v>2373</v>
      </c>
      <c r="B1008" s="27">
        <v>1.592492799236E12</v>
      </c>
      <c r="C1008" s="27" t="s">
        <v>2462</v>
      </c>
    </row>
    <row r="1009">
      <c r="A1009" s="27" t="s">
        <v>2374</v>
      </c>
      <c r="B1009" s="27">
        <v>1.59708649984E12</v>
      </c>
      <c r="C1009" s="27" t="s">
        <v>2441</v>
      </c>
    </row>
    <row r="1010">
      <c r="A1010" s="27" t="s">
        <v>2375</v>
      </c>
      <c r="B1010" s="27">
        <v>1.597098592591E12</v>
      </c>
      <c r="C1010" s="27" t="s">
        <v>2451</v>
      </c>
    </row>
    <row r="1011">
      <c r="A1011" s="27" t="s">
        <v>2377</v>
      </c>
      <c r="B1011" s="27">
        <v>1.61538336617E12</v>
      </c>
      <c r="C1011" s="27" t="s">
        <v>2363</v>
      </c>
    </row>
    <row r="1012">
      <c r="A1012" s="27" t="s">
        <v>2379</v>
      </c>
      <c r="B1012" s="27">
        <v>1.615383407099E12</v>
      </c>
      <c r="C1012" s="27" t="s">
        <v>2363</v>
      </c>
    </row>
    <row r="1013">
      <c r="A1013" s="27" t="s">
        <v>2381</v>
      </c>
      <c r="B1013" s="27">
        <v>1.623703690011E12</v>
      </c>
      <c r="C1013" s="27" t="s">
        <v>2437</v>
      </c>
    </row>
    <row r="1014">
      <c r="A1014" s="27" t="s">
        <v>2383</v>
      </c>
      <c r="B1014" s="27">
        <v>1.623703728452E12</v>
      </c>
      <c r="C1014" s="27" t="s">
        <v>2437</v>
      </c>
    </row>
    <row r="1015">
      <c r="A1015" s="27" t="s">
        <v>3052</v>
      </c>
      <c r="B1015" s="27">
        <v>1.639085799549E12</v>
      </c>
      <c r="C1015" s="27" t="s">
        <v>2595</v>
      </c>
    </row>
    <row r="1016">
      <c r="A1016" s="27" t="s">
        <v>2400</v>
      </c>
      <c r="B1016" s="27">
        <v>1.639085807876E12</v>
      </c>
      <c r="C1016" s="27" t="s">
        <v>2359</v>
      </c>
    </row>
    <row r="1017">
      <c r="A1017" s="27" t="s">
        <v>3163</v>
      </c>
      <c r="B1017" s="27">
        <v>1.639085816442E12</v>
      </c>
      <c r="C1017" s="27" t="s">
        <v>3164</v>
      </c>
    </row>
    <row r="1018">
      <c r="A1018" s="27" t="s">
        <v>2450</v>
      </c>
      <c r="B1018" s="27">
        <v>1.661873799978E12</v>
      </c>
      <c r="C1018" s="27" t="s">
        <v>2451</v>
      </c>
    </row>
    <row r="1019">
      <c r="A1019" s="27" t="s">
        <v>3063</v>
      </c>
      <c r="B1019" s="27">
        <v>6.7898303200803E13</v>
      </c>
      <c r="C1019" s="27" t="s">
        <v>2437</v>
      </c>
    </row>
    <row r="1020">
      <c r="A1020" s="27" t="s">
        <v>3064</v>
      </c>
      <c r="B1020" s="27">
        <v>6.7898307709665E13</v>
      </c>
      <c r="C1020" s="27" t="s">
        <v>2437</v>
      </c>
    </row>
    <row r="1021">
      <c r="A1021" s="27" t="s">
        <v>2466</v>
      </c>
      <c r="B1021" s="27">
        <v>6.793383184397E13</v>
      </c>
      <c r="C1021" s="27" t="s">
        <v>2441</v>
      </c>
    </row>
    <row r="1022">
      <c r="A1022" s="27" t="s">
        <v>2467</v>
      </c>
      <c r="B1022" s="27">
        <v>6.7933833934278E13</v>
      </c>
      <c r="C1022" s="27" t="s">
        <v>2441</v>
      </c>
    </row>
    <row r="1023">
      <c r="A1023" s="27" t="s">
        <v>2468</v>
      </c>
      <c r="B1023" s="27">
        <v>6.7933835121467E13</v>
      </c>
      <c r="C1023" s="27" t="s">
        <v>2437</v>
      </c>
    </row>
    <row r="1024">
      <c r="A1024" s="27" t="s">
        <v>2828</v>
      </c>
      <c r="B1024" s="27">
        <v>6.7933835988925E13</v>
      </c>
      <c r="C1024" s="27" t="s">
        <v>2441</v>
      </c>
    </row>
    <row r="1025">
      <c r="A1025" s="27" t="s">
        <v>2476</v>
      </c>
      <c r="B1025" s="27">
        <v>6.8658866289861E13</v>
      </c>
      <c r="C1025" s="27" t="s">
        <v>2451</v>
      </c>
    </row>
    <row r="1026">
      <c r="A1026" s="27" t="s">
        <v>2477</v>
      </c>
      <c r="B1026" s="27">
        <v>6.8658868763602E13</v>
      </c>
      <c r="C1026" s="27" t="s">
        <v>2451</v>
      </c>
    </row>
    <row r="1027">
      <c r="A1027" s="27" t="s">
        <v>2532</v>
      </c>
      <c r="B1027" s="27" t="s">
        <v>466</v>
      </c>
      <c r="C1027" s="27" t="s">
        <v>2441</v>
      </c>
    </row>
    <row r="1028">
      <c r="A1028" s="27" t="s">
        <v>3165</v>
      </c>
      <c r="B1028" s="27" t="s">
        <v>474</v>
      </c>
      <c r="C1028" s="27" t="s">
        <v>2451</v>
      </c>
    </row>
    <row r="1029">
      <c r="A1029" s="27" t="s">
        <v>2533</v>
      </c>
      <c r="B1029" s="27" t="s">
        <v>529</v>
      </c>
      <c r="C1029" s="27" t="s">
        <v>2361</v>
      </c>
    </row>
    <row r="1030">
      <c r="A1030" s="27" t="s">
        <v>2534</v>
      </c>
      <c r="B1030" s="27" t="s">
        <v>531</v>
      </c>
      <c r="C1030" s="27" t="s">
        <v>2361</v>
      </c>
    </row>
    <row r="1031">
      <c r="A1031" s="27" t="s">
        <v>2535</v>
      </c>
      <c r="B1031" s="27" t="s">
        <v>533</v>
      </c>
      <c r="C1031" s="27" t="s">
        <v>2462</v>
      </c>
    </row>
    <row r="1032">
      <c r="A1032" s="27" t="s">
        <v>3150</v>
      </c>
      <c r="B1032" s="27" t="s">
        <v>611</v>
      </c>
      <c r="C1032" s="27" t="s">
        <v>2441</v>
      </c>
    </row>
    <row r="1033">
      <c r="A1033" s="27" t="s">
        <v>2536</v>
      </c>
      <c r="B1033" s="27" t="s">
        <v>603</v>
      </c>
      <c r="C1033" s="27" t="s">
        <v>2451</v>
      </c>
    </row>
    <row r="1034">
      <c r="A1034" s="27" t="s">
        <v>2537</v>
      </c>
      <c r="B1034" s="27" t="s">
        <v>601</v>
      </c>
      <c r="C1034" s="27" t="s">
        <v>2361</v>
      </c>
    </row>
    <row r="1035">
      <c r="A1035" s="27" t="s">
        <v>2538</v>
      </c>
      <c r="B1035" s="27" t="s">
        <v>605</v>
      </c>
      <c r="C1035" s="27" t="s">
        <v>2441</v>
      </c>
    </row>
    <row r="1036">
      <c r="A1036" s="27" t="s">
        <v>2539</v>
      </c>
      <c r="B1036" s="27" t="s">
        <v>607</v>
      </c>
      <c r="C1036" s="27" t="s">
        <v>2451</v>
      </c>
    </row>
    <row r="1037">
      <c r="A1037" s="27" t="s">
        <v>3166</v>
      </c>
      <c r="B1037" s="27" t="s">
        <v>609</v>
      </c>
      <c r="C1037" s="27" t="s">
        <v>2441</v>
      </c>
    </row>
    <row r="1038">
      <c r="A1038" s="27" t="s">
        <v>2912</v>
      </c>
      <c r="B1038" s="27" t="s">
        <v>657</v>
      </c>
      <c r="C1038" s="27" t="s">
        <v>2359</v>
      </c>
    </row>
    <row r="1039">
      <c r="A1039" s="27" t="s">
        <v>2913</v>
      </c>
      <c r="B1039" s="27" t="s">
        <v>653</v>
      </c>
      <c r="C1039" s="27" t="s">
        <v>2437</v>
      </c>
    </row>
    <row r="1040">
      <c r="A1040" s="27" t="s">
        <v>2914</v>
      </c>
      <c r="B1040" s="27" t="s">
        <v>659</v>
      </c>
      <c r="C1040" s="27" t="s">
        <v>2441</v>
      </c>
    </row>
    <row r="1041">
      <c r="A1041" s="27" t="s">
        <v>2915</v>
      </c>
      <c r="B1041" s="27" t="s">
        <v>655</v>
      </c>
      <c r="C1041" s="27" t="s">
        <v>2441</v>
      </c>
    </row>
    <row r="1042">
      <c r="A1042" s="27" t="s">
        <v>2916</v>
      </c>
      <c r="B1042" s="27" t="s">
        <v>623</v>
      </c>
      <c r="C1042" s="27" t="s">
        <v>2359</v>
      </c>
    </row>
    <row r="1043">
      <c r="A1043" s="27" t="s">
        <v>2919</v>
      </c>
      <c r="B1043" s="27" t="s">
        <v>621</v>
      </c>
      <c r="C1043" s="27" t="s">
        <v>2359</v>
      </c>
    </row>
    <row r="1044">
      <c r="A1044" s="27" t="s">
        <v>2920</v>
      </c>
      <c r="B1044" s="27" t="s">
        <v>625</v>
      </c>
      <c r="C1044" s="27" t="s">
        <v>3164</v>
      </c>
    </row>
    <row r="1045">
      <c r="A1045" s="27" t="s">
        <v>2540</v>
      </c>
      <c r="B1045" s="27" t="s">
        <v>631</v>
      </c>
      <c r="C1045" s="27" t="s">
        <v>2363</v>
      </c>
    </row>
    <row r="1046">
      <c r="A1046" s="27" t="s">
        <v>2921</v>
      </c>
      <c r="B1046" s="27" t="s">
        <v>627</v>
      </c>
      <c r="C1046" s="27" t="s">
        <v>2441</v>
      </c>
    </row>
    <row r="1047">
      <c r="A1047" s="27" t="s">
        <v>2541</v>
      </c>
      <c r="B1047" s="27" t="s">
        <v>635</v>
      </c>
      <c r="C1047" s="27" t="s">
        <v>2437</v>
      </c>
    </row>
    <row r="1048">
      <c r="A1048" s="27" t="s">
        <v>2542</v>
      </c>
      <c r="B1048" s="27" t="s">
        <v>629</v>
      </c>
      <c r="C1048" s="27" t="s">
        <v>2437</v>
      </c>
    </row>
    <row r="1049">
      <c r="A1049" s="27" t="s">
        <v>2543</v>
      </c>
      <c r="B1049" s="27" t="s">
        <v>633</v>
      </c>
      <c r="C1049" s="27" t="s">
        <v>2437</v>
      </c>
    </row>
    <row r="1050">
      <c r="A1050" s="27" t="s">
        <v>3167</v>
      </c>
      <c r="B1050" s="27" t="s">
        <v>637</v>
      </c>
      <c r="C1050" s="27" t="s">
        <v>2441</v>
      </c>
    </row>
    <row r="1051">
      <c r="A1051" s="27" t="s">
        <v>3168</v>
      </c>
      <c r="B1051" s="27" t="s">
        <v>639</v>
      </c>
      <c r="C1051" s="27" t="s">
        <v>2437</v>
      </c>
    </row>
    <row r="1052">
      <c r="A1052" s="27" t="s">
        <v>3169</v>
      </c>
      <c r="B1052" s="27" t="s">
        <v>641</v>
      </c>
      <c r="C1052" s="27" t="s">
        <v>2441</v>
      </c>
    </row>
    <row r="1053">
      <c r="A1053" s="27" t="s">
        <v>3170</v>
      </c>
      <c r="B1053" s="27" t="s">
        <v>643</v>
      </c>
      <c r="C1053" s="27" t="s">
        <v>2437</v>
      </c>
    </row>
    <row r="1054">
      <c r="A1054" s="27" t="s">
        <v>3171</v>
      </c>
      <c r="B1054" s="27" t="s">
        <v>645</v>
      </c>
      <c r="C1054" s="27" t="s">
        <v>2441</v>
      </c>
    </row>
    <row r="1055">
      <c r="A1055" s="27" t="s">
        <v>3172</v>
      </c>
      <c r="B1055" s="27" t="s">
        <v>647</v>
      </c>
      <c r="C1055" s="27" t="s">
        <v>2437</v>
      </c>
    </row>
    <row r="1056">
      <c r="A1056" s="27" t="s">
        <v>3173</v>
      </c>
      <c r="B1056" s="27" t="s">
        <v>649</v>
      </c>
      <c r="C1056" s="27" t="s">
        <v>2441</v>
      </c>
    </row>
    <row r="1057">
      <c r="A1057" s="27" t="s">
        <v>3174</v>
      </c>
      <c r="B1057" s="27" t="s">
        <v>651</v>
      </c>
      <c r="C1057" s="27" t="s">
        <v>2441</v>
      </c>
    </row>
    <row r="1058">
      <c r="A1058" s="27" t="s">
        <v>2544</v>
      </c>
      <c r="B1058" s="27" t="s">
        <v>542</v>
      </c>
      <c r="C1058" s="27" t="s">
        <v>2437</v>
      </c>
    </row>
    <row r="1059">
      <c r="A1059" s="27" t="s">
        <v>3175</v>
      </c>
      <c r="B1059" s="27" t="s">
        <v>546</v>
      </c>
      <c r="C1059" s="27" t="s">
        <v>2441</v>
      </c>
    </row>
    <row r="1060">
      <c r="A1060" s="27" t="s">
        <v>2545</v>
      </c>
      <c r="B1060" s="27" t="s">
        <v>544</v>
      </c>
      <c r="C1060" s="27" t="s">
        <v>2451</v>
      </c>
    </row>
    <row r="1061">
      <c r="A1061" s="27" t="s">
        <v>2546</v>
      </c>
      <c r="B1061" s="27" t="s">
        <v>548</v>
      </c>
      <c r="C1061" s="27" t="s">
        <v>2441</v>
      </c>
    </row>
    <row r="1062">
      <c r="A1062" s="27" t="s">
        <v>2548</v>
      </c>
      <c r="B1062" s="27" t="s">
        <v>540</v>
      </c>
      <c r="C1062" s="27" t="s">
        <v>2441</v>
      </c>
    </row>
    <row r="1063">
      <c r="A1063" s="27" t="s">
        <v>2549</v>
      </c>
      <c r="B1063" s="27" t="s">
        <v>550</v>
      </c>
      <c r="C1063" s="27" t="s">
        <v>2441</v>
      </c>
    </row>
    <row r="1064">
      <c r="A1064" s="27" t="s">
        <v>3176</v>
      </c>
      <c r="B1064" s="27" t="s">
        <v>1173</v>
      </c>
      <c r="C1064" s="27" t="s">
        <v>2363</v>
      </c>
    </row>
    <row r="1065">
      <c r="A1065" s="27" t="s">
        <v>3177</v>
      </c>
      <c r="B1065" s="27" t="s">
        <v>1175</v>
      </c>
      <c r="C1065" s="27" t="s">
        <v>2437</v>
      </c>
    </row>
    <row r="1066">
      <c r="A1066" s="27" t="s">
        <v>2550</v>
      </c>
      <c r="B1066" s="27" t="s">
        <v>722</v>
      </c>
      <c r="C1066" s="27" t="s">
        <v>2363</v>
      </c>
    </row>
    <row r="1067">
      <c r="A1067" s="27" t="s">
        <v>3122</v>
      </c>
      <c r="B1067" s="27" t="s">
        <v>720</v>
      </c>
      <c r="C1067" s="27" t="s">
        <v>2359</v>
      </c>
    </row>
    <row r="1068">
      <c r="A1068" s="27" t="s">
        <v>3178</v>
      </c>
      <c r="B1068" s="27" t="s">
        <v>470</v>
      </c>
      <c r="C1068" s="27" t="s">
        <v>2441</v>
      </c>
    </row>
    <row r="1069">
      <c r="A1069" s="27" t="s">
        <v>2551</v>
      </c>
      <c r="B1069" s="27" t="s">
        <v>472</v>
      </c>
      <c r="C1069" s="27" t="s">
        <v>2441</v>
      </c>
    </row>
    <row r="1070">
      <c r="A1070" s="27" t="s">
        <v>3179</v>
      </c>
      <c r="B1070" s="27" t="s">
        <v>476</v>
      </c>
      <c r="C1070" s="27" t="s">
        <v>2361</v>
      </c>
    </row>
    <row r="1071">
      <c r="A1071" s="27" t="s">
        <v>3180</v>
      </c>
      <c r="B1071" s="27" t="s">
        <v>478</v>
      </c>
      <c r="C1071" s="27" t="s">
        <v>2361</v>
      </c>
    </row>
    <row r="1072">
      <c r="A1072" s="27" t="s">
        <v>2554</v>
      </c>
      <c r="B1072" s="27" t="s">
        <v>357</v>
      </c>
      <c r="C1072" s="27" t="s">
        <v>2451</v>
      </c>
    </row>
    <row r="1073">
      <c r="A1073" s="27" t="s">
        <v>2556</v>
      </c>
      <c r="B1073" s="27" t="s">
        <v>359</v>
      </c>
      <c r="C1073" s="27" t="s">
        <v>2451</v>
      </c>
    </row>
    <row r="1074">
      <c r="A1074" s="27" t="s">
        <v>2559</v>
      </c>
      <c r="B1074" s="27" t="s">
        <v>361</v>
      </c>
      <c r="C1074" s="27" t="s">
        <v>2451</v>
      </c>
    </row>
    <row r="1075">
      <c r="A1075" s="27" t="s">
        <v>3181</v>
      </c>
      <c r="B1075" s="27" t="s">
        <v>363</v>
      </c>
      <c r="C1075" s="27" t="s">
        <v>2451</v>
      </c>
    </row>
    <row r="1076">
      <c r="A1076" s="27" t="s">
        <v>3182</v>
      </c>
      <c r="B1076" s="27" t="s">
        <v>367</v>
      </c>
      <c r="C1076" s="27" t="s">
        <v>2451</v>
      </c>
    </row>
    <row r="1077">
      <c r="A1077" s="27" t="s">
        <v>3183</v>
      </c>
      <c r="B1077" s="27" t="s">
        <v>365</v>
      </c>
      <c r="C1077" s="27" t="s">
        <v>2451</v>
      </c>
    </row>
    <row r="1078">
      <c r="A1078" s="27" t="s">
        <v>3184</v>
      </c>
      <c r="B1078" s="27" t="s">
        <v>347</v>
      </c>
      <c r="C1078" s="27" t="s">
        <v>2451</v>
      </c>
    </row>
    <row r="1079">
      <c r="A1079" s="27" t="s">
        <v>3185</v>
      </c>
      <c r="B1079" s="27" t="s">
        <v>351</v>
      </c>
      <c r="C1079" s="27" t="s">
        <v>2451</v>
      </c>
    </row>
    <row r="1080">
      <c r="A1080" s="27" t="s">
        <v>3186</v>
      </c>
      <c r="B1080" s="27" t="s">
        <v>349</v>
      </c>
      <c r="C1080" s="27" t="s">
        <v>2451</v>
      </c>
    </row>
    <row r="1081">
      <c r="A1081" s="27" t="s">
        <v>2560</v>
      </c>
      <c r="B1081" s="27" t="s">
        <v>369</v>
      </c>
      <c r="C1081" s="27" t="s">
        <v>2441</v>
      </c>
    </row>
    <row r="1082">
      <c r="A1082" s="27" t="s">
        <v>2561</v>
      </c>
      <c r="B1082" s="27" t="s">
        <v>371</v>
      </c>
      <c r="C1082" s="27" t="s">
        <v>2451</v>
      </c>
    </row>
    <row r="1083">
      <c r="A1083" s="27" t="s">
        <v>2562</v>
      </c>
      <c r="B1083" s="27" t="s">
        <v>373</v>
      </c>
      <c r="C1083" s="27" t="s">
        <v>2441</v>
      </c>
    </row>
    <row r="1084">
      <c r="A1084" s="27" t="s">
        <v>2563</v>
      </c>
      <c r="B1084" s="27" t="s">
        <v>353</v>
      </c>
      <c r="C1084" s="27" t="s">
        <v>2451</v>
      </c>
    </row>
    <row r="1085">
      <c r="A1085" s="27" t="s">
        <v>2564</v>
      </c>
      <c r="B1085" s="27" t="s">
        <v>355</v>
      </c>
      <c r="C1085" s="27" t="s">
        <v>2451</v>
      </c>
    </row>
    <row r="1086">
      <c r="A1086" s="27" t="s">
        <v>2565</v>
      </c>
      <c r="B1086" s="27" t="s">
        <v>557</v>
      </c>
      <c r="C1086" s="27" t="s">
        <v>2437</v>
      </c>
    </row>
    <row r="1087">
      <c r="A1087" s="27" t="s">
        <v>2567</v>
      </c>
      <c r="B1087" s="27" t="s">
        <v>559</v>
      </c>
      <c r="C1087" s="27" t="s">
        <v>2363</v>
      </c>
    </row>
    <row r="1088">
      <c r="A1088" s="27" t="s">
        <v>2568</v>
      </c>
      <c r="B1088" s="27" t="s">
        <v>561</v>
      </c>
      <c r="C1088" s="27" t="s">
        <v>2363</v>
      </c>
    </row>
    <row r="1089">
      <c r="A1089" s="27" t="s">
        <v>3151</v>
      </c>
      <c r="B1089" s="27" t="s">
        <v>555</v>
      </c>
      <c r="C1089" s="27" t="s">
        <v>2441</v>
      </c>
    </row>
    <row r="1090">
      <c r="A1090" s="27" t="s">
        <v>3125</v>
      </c>
      <c r="B1090" s="27" t="s">
        <v>708</v>
      </c>
      <c r="C1090" s="27" t="s">
        <v>2359</v>
      </c>
    </row>
    <row r="1091">
      <c r="A1091" s="27" t="s">
        <v>2569</v>
      </c>
      <c r="B1091" s="27" t="s">
        <v>716</v>
      </c>
      <c r="C1091" s="27" t="s">
        <v>2437</v>
      </c>
    </row>
    <row r="1092">
      <c r="A1092" s="27" t="s">
        <v>2570</v>
      </c>
      <c r="B1092" s="27" t="s">
        <v>714</v>
      </c>
      <c r="C1092" s="27" t="s">
        <v>2363</v>
      </c>
    </row>
    <row r="1093">
      <c r="A1093" s="27" t="s">
        <v>3126</v>
      </c>
      <c r="B1093" s="27" t="s">
        <v>712</v>
      </c>
      <c r="C1093" s="27" t="s">
        <v>3164</v>
      </c>
    </row>
    <row r="1094">
      <c r="A1094" s="27" t="s">
        <v>2571</v>
      </c>
      <c r="B1094" s="27" t="s">
        <v>710</v>
      </c>
      <c r="C1094" s="27" t="s">
        <v>2437</v>
      </c>
    </row>
    <row r="1095">
      <c r="A1095" s="27" t="s">
        <v>2572</v>
      </c>
      <c r="B1095" s="27" t="s">
        <v>706</v>
      </c>
      <c r="C1095" s="27" t="s">
        <v>2437</v>
      </c>
    </row>
    <row r="1096">
      <c r="A1096" s="27" t="s">
        <v>2573</v>
      </c>
      <c r="B1096" s="27" t="s">
        <v>572</v>
      </c>
      <c r="C1096" s="27" t="s">
        <v>2437</v>
      </c>
    </row>
    <row r="1097">
      <c r="A1097" s="27" t="s">
        <v>2574</v>
      </c>
      <c r="B1097" s="27" t="s">
        <v>568</v>
      </c>
      <c r="C1097" s="27" t="s">
        <v>2363</v>
      </c>
    </row>
    <row r="1098">
      <c r="A1098" s="27" t="s">
        <v>2575</v>
      </c>
      <c r="B1098" s="27" t="s">
        <v>570</v>
      </c>
      <c r="C1098" s="27" t="s">
        <v>2437</v>
      </c>
    </row>
    <row r="1099">
      <c r="A1099" s="27" t="s">
        <v>3152</v>
      </c>
      <c r="B1099" s="27" t="s">
        <v>574</v>
      </c>
      <c r="C1099" s="27" t="s">
        <v>2363</v>
      </c>
    </row>
    <row r="1100">
      <c r="A1100" s="27" t="s">
        <v>3153</v>
      </c>
      <c r="B1100" s="27" t="s">
        <v>576</v>
      </c>
      <c r="C1100" s="27" t="s">
        <v>2437</v>
      </c>
    </row>
    <row r="1101">
      <c r="A1101" s="27" t="s">
        <v>2577</v>
      </c>
      <c r="B1101" s="27" t="s">
        <v>595</v>
      </c>
      <c r="C1101" s="27" t="s">
        <v>2462</v>
      </c>
    </row>
    <row r="1102">
      <c r="A1102" s="27" t="s">
        <v>2578</v>
      </c>
      <c r="B1102" s="27" t="s">
        <v>597</v>
      </c>
      <c r="C1102" s="27" t="s">
        <v>2462</v>
      </c>
    </row>
    <row r="1103">
      <c r="A1103" s="27" t="s">
        <v>3187</v>
      </c>
      <c r="B1103" s="27" t="s">
        <v>386</v>
      </c>
      <c r="C1103" s="27" t="s">
        <v>2437</v>
      </c>
    </row>
    <row r="1104">
      <c r="A1104" s="27" t="s">
        <v>3188</v>
      </c>
      <c r="B1104" s="27" t="s">
        <v>388</v>
      </c>
      <c r="C1104" s="27" t="s">
        <v>2441</v>
      </c>
    </row>
    <row r="1105">
      <c r="A1105" s="27" t="s">
        <v>3189</v>
      </c>
      <c r="B1105" s="27" t="s">
        <v>390</v>
      </c>
      <c r="C1105" s="27" t="s">
        <v>2451</v>
      </c>
    </row>
    <row r="1106">
      <c r="A1106" s="27" t="s">
        <v>3190</v>
      </c>
      <c r="B1106" s="27" t="s">
        <v>392</v>
      </c>
      <c r="C1106" s="27" t="s">
        <v>2437</v>
      </c>
    </row>
    <row r="1107">
      <c r="A1107" s="27" t="s">
        <v>3191</v>
      </c>
      <c r="B1107" s="27" t="s">
        <v>394</v>
      </c>
      <c r="C1107" s="27" t="s">
        <v>2437</v>
      </c>
    </row>
    <row r="1108">
      <c r="A1108" s="27" t="s">
        <v>3192</v>
      </c>
      <c r="B1108" s="27" t="s">
        <v>376</v>
      </c>
      <c r="C1108" s="27" t="s">
        <v>2437</v>
      </c>
    </row>
    <row r="1109">
      <c r="A1109" s="27" t="s">
        <v>3193</v>
      </c>
      <c r="B1109" s="27" t="s">
        <v>378</v>
      </c>
      <c r="C1109" s="27" t="s">
        <v>2441</v>
      </c>
    </row>
    <row r="1110">
      <c r="A1110" s="27" t="s">
        <v>3194</v>
      </c>
      <c r="B1110" s="27" t="s">
        <v>380</v>
      </c>
      <c r="C1110" s="27" t="s">
        <v>2451</v>
      </c>
    </row>
    <row r="1111">
      <c r="A1111" s="27" t="s">
        <v>3195</v>
      </c>
      <c r="B1111" s="27" t="s">
        <v>382</v>
      </c>
      <c r="C1111" s="27" t="s">
        <v>2437</v>
      </c>
    </row>
    <row r="1112">
      <c r="A1112" s="27" t="s">
        <v>3196</v>
      </c>
      <c r="B1112" s="27" t="s">
        <v>384</v>
      </c>
      <c r="C1112" s="27" t="s">
        <v>2437</v>
      </c>
    </row>
    <row r="1113">
      <c r="A1113" s="27" t="s">
        <v>3197</v>
      </c>
      <c r="B1113" s="27" t="s">
        <v>396</v>
      </c>
      <c r="C1113" s="27" t="s">
        <v>2437</v>
      </c>
    </row>
    <row r="1114">
      <c r="A1114" s="27" t="s">
        <v>3198</v>
      </c>
      <c r="B1114" s="27" t="s">
        <v>398</v>
      </c>
      <c r="C1114" s="27" t="s">
        <v>2441</v>
      </c>
    </row>
    <row r="1115">
      <c r="A1115" s="27" t="s">
        <v>3199</v>
      </c>
      <c r="B1115" s="27" t="s">
        <v>400</v>
      </c>
      <c r="C1115" s="27" t="s">
        <v>2451</v>
      </c>
    </row>
    <row r="1116">
      <c r="A1116" s="27" t="s">
        <v>3200</v>
      </c>
      <c r="B1116" s="27" t="s">
        <v>402</v>
      </c>
      <c r="C1116" s="27" t="s">
        <v>2441</v>
      </c>
    </row>
    <row r="1117">
      <c r="A1117" s="27" t="s">
        <v>3201</v>
      </c>
      <c r="B1117" s="27" t="s">
        <v>404</v>
      </c>
      <c r="C1117" s="27" t="s">
        <v>2437</v>
      </c>
    </row>
    <row r="1118">
      <c r="A1118" s="27" t="s">
        <v>2580</v>
      </c>
      <c r="B1118" s="27" t="s">
        <v>490</v>
      </c>
      <c r="C1118" s="27" t="s">
        <v>2359</v>
      </c>
    </row>
    <row r="1119">
      <c r="A1119" s="27" t="s">
        <v>3202</v>
      </c>
      <c r="B1119" s="27" t="s">
        <v>492</v>
      </c>
      <c r="C1119" s="27" t="s">
        <v>2437</v>
      </c>
    </row>
    <row r="1120">
      <c r="A1120" s="27" t="s">
        <v>3203</v>
      </c>
      <c r="B1120" s="27" t="s">
        <v>494</v>
      </c>
      <c r="C1120" s="27" t="s">
        <v>2437</v>
      </c>
    </row>
    <row r="1121">
      <c r="A1121" s="27" t="s">
        <v>3204</v>
      </c>
      <c r="B1121" s="27" t="s">
        <v>496</v>
      </c>
      <c r="C1121" s="27" t="s">
        <v>2363</v>
      </c>
    </row>
    <row r="1122">
      <c r="A1122" s="27" t="s">
        <v>3205</v>
      </c>
      <c r="B1122" s="27" t="s">
        <v>498</v>
      </c>
      <c r="C1122" s="27" t="s">
        <v>2437</v>
      </c>
    </row>
    <row r="1123">
      <c r="A1123" s="27" t="s">
        <v>3206</v>
      </c>
      <c r="B1123" s="27" t="s">
        <v>500</v>
      </c>
      <c r="C1123" s="27" t="s">
        <v>2437</v>
      </c>
    </row>
    <row r="1124">
      <c r="A1124" s="27" t="s">
        <v>2581</v>
      </c>
      <c r="B1124" s="27" t="s">
        <v>502</v>
      </c>
      <c r="C1124" s="27" t="s">
        <v>2441</v>
      </c>
    </row>
    <row r="1125">
      <c r="A1125" s="27" t="s">
        <v>2582</v>
      </c>
      <c r="B1125" s="27" t="s">
        <v>504</v>
      </c>
      <c r="C1125" s="27" t="s">
        <v>2441</v>
      </c>
    </row>
    <row r="1126">
      <c r="A1126" s="27" t="s">
        <v>2584</v>
      </c>
      <c r="B1126" s="27" t="s">
        <v>506</v>
      </c>
      <c r="C1126" s="27" t="s">
        <v>2441</v>
      </c>
    </row>
    <row r="1127">
      <c r="A1127" s="27" t="s">
        <v>2586</v>
      </c>
      <c r="B1127" s="27" t="s">
        <v>508</v>
      </c>
      <c r="C1127" s="27" t="s">
        <v>2441</v>
      </c>
    </row>
    <row r="1128">
      <c r="A1128" s="27" t="s">
        <v>3154</v>
      </c>
      <c r="B1128" s="27" t="s">
        <v>751</v>
      </c>
      <c r="C1128" s="27" t="s">
        <v>2437</v>
      </c>
    </row>
    <row r="1129">
      <c r="A1129" s="27" t="s">
        <v>3155</v>
      </c>
      <c r="B1129" s="27" t="s">
        <v>753</v>
      </c>
      <c r="C1129" s="27" t="s">
        <v>2437</v>
      </c>
    </row>
    <row r="1130">
      <c r="A1130" s="27" t="s">
        <v>3207</v>
      </c>
      <c r="B1130" s="27" t="s">
        <v>755</v>
      </c>
      <c r="C1130" s="27" t="s">
        <v>2437</v>
      </c>
    </row>
    <row r="1131">
      <c r="A1131" s="27" t="s">
        <v>3156</v>
      </c>
      <c r="B1131" s="27" t="s">
        <v>773</v>
      </c>
      <c r="C1131" s="27" t="s">
        <v>2441</v>
      </c>
    </row>
    <row r="1132">
      <c r="A1132" s="27" t="s">
        <v>3157</v>
      </c>
      <c r="B1132" s="27" t="s">
        <v>775</v>
      </c>
      <c r="C1132" s="27" t="s">
        <v>2441</v>
      </c>
    </row>
    <row r="1133">
      <c r="A1133" s="27" t="s">
        <v>3208</v>
      </c>
      <c r="B1133" s="27" t="s">
        <v>784</v>
      </c>
      <c r="C1133" s="27" t="s">
        <v>2437</v>
      </c>
    </row>
    <row r="1134">
      <c r="A1134" s="27" t="s">
        <v>3209</v>
      </c>
      <c r="B1134" s="27" t="s">
        <v>788</v>
      </c>
      <c r="C1134" s="27" t="s">
        <v>2441</v>
      </c>
    </row>
    <row r="1135">
      <c r="A1135" s="27" t="s">
        <v>3210</v>
      </c>
      <c r="B1135" s="27" t="s">
        <v>793</v>
      </c>
      <c r="C1135" s="27" t="s">
        <v>2437</v>
      </c>
    </row>
    <row r="1136">
      <c r="A1136" s="27" t="s">
        <v>3211</v>
      </c>
      <c r="B1136" s="27" t="s">
        <v>795</v>
      </c>
      <c r="C1136" s="27" t="s">
        <v>2363</v>
      </c>
    </row>
    <row r="1137">
      <c r="A1137" s="27" t="s">
        <v>2925</v>
      </c>
      <c r="B1137" s="27" t="s">
        <v>739</v>
      </c>
      <c r="C1137" s="27" t="s">
        <v>2363</v>
      </c>
    </row>
    <row r="1138">
      <c r="A1138" s="27" t="s">
        <v>2926</v>
      </c>
      <c r="B1138" s="27" t="s">
        <v>743</v>
      </c>
      <c r="C1138" s="27" t="s">
        <v>2437</v>
      </c>
    </row>
    <row r="1139">
      <c r="A1139" s="27" t="s">
        <v>2927</v>
      </c>
      <c r="B1139" s="27" t="s">
        <v>741</v>
      </c>
      <c r="C1139" s="27" t="s">
        <v>2441</v>
      </c>
    </row>
    <row r="1140">
      <c r="A1140" s="27" t="s">
        <v>2928</v>
      </c>
      <c r="B1140" s="27" t="s">
        <v>737</v>
      </c>
      <c r="C1140" s="27" t="s">
        <v>2437</v>
      </c>
    </row>
    <row r="1141">
      <c r="A1141" s="27" t="s">
        <v>2588</v>
      </c>
      <c r="B1141" s="27" t="s">
        <v>453</v>
      </c>
      <c r="C1141" s="27" t="s">
        <v>2462</v>
      </c>
    </row>
    <row r="1142">
      <c r="A1142" s="27" t="s">
        <v>2589</v>
      </c>
      <c r="B1142" s="27" t="s">
        <v>455</v>
      </c>
      <c r="C1142" s="27" t="s">
        <v>2462</v>
      </c>
    </row>
    <row r="1143">
      <c r="A1143" s="27" t="s">
        <v>3212</v>
      </c>
      <c r="B1143" s="27" t="s">
        <v>671</v>
      </c>
      <c r="C1143" s="27" t="s">
        <v>2447</v>
      </c>
    </row>
    <row r="1144">
      <c r="A1144" s="27" t="s">
        <v>3213</v>
      </c>
      <c r="B1144" s="27" t="s">
        <v>673</v>
      </c>
      <c r="C1144" s="27" t="s">
        <v>2380</v>
      </c>
    </row>
    <row r="1145">
      <c r="A1145" s="27" t="s">
        <v>2929</v>
      </c>
      <c r="B1145" s="27" t="s">
        <v>665</v>
      </c>
      <c r="C1145" s="27" t="s">
        <v>2359</v>
      </c>
    </row>
    <row r="1146">
      <c r="A1146" s="27" t="s">
        <v>2930</v>
      </c>
      <c r="B1146" s="27" t="s">
        <v>663</v>
      </c>
      <c r="C1146" s="27" t="s">
        <v>2437</v>
      </c>
    </row>
    <row r="1147">
      <c r="A1147" s="27" t="s">
        <v>2590</v>
      </c>
      <c r="B1147" s="27" t="s">
        <v>669</v>
      </c>
      <c r="C1147" s="27" t="s">
        <v>2437</v>
      </c>
    </row>
    <row r="1148">
      <c r="A1148" s="27" t="s">
        <v>2591</v>
      </c>
      <c r="B1148" s="27" t="s">
        <v>667</v>
      </c>
      <c r="C1148" s="27" t="s">
        <v>2363</v>
      </c>
    </row>
    <row r="1149">
      <c r="A1149" s="27" t="s">
        <v>2592</v>
      </c>
      <c r="B1149" s="27" t="s">
        <v>661</v>
      </c>
      <c r="C1149" s="27" t="s">
        <v>2437</v>
      </c>
    </row>
    <row r="1150">
      <c r="A1150" s="27" t="s">
        <v>2593</v>
      </c>
      <c r="B1150" s="27" t="s">
        <v>728</v>
      </c>
      <c r="C1150" s="27" t="s">
        <v>2363</v>
      </c>
    </row>
    <row r="1151">
      <c r="A1151" s="27" t="s">
        <v>2594</v>
      </c>
      <c r="B1151" s="27" t="s">
        <v>732</v>
      </c>
      <c r="C1151" s="27" t="s">
        <v>2437</v>
      </c>
    </row>
    <row r="1152">
      <c r="A1152" s="27" t="s">
        <v>2596</v>
      </c>
      <c r="B1152" s="27" t="s">
        <v>730</v>
      </c>
      <c r="C1152" s="27" t="s">
        <v>2437</v>
      </c>
    </row>
    <row r="1153">
      <c r="A1153" s="27" t="s">
        <v>2597</v>
      </c>
      <c r="B1153" s="27" t="s">
        <v>734</v>
      </c>
      <c r="C1153" s="27" t="s">
        <v>2437</v>
      </c>
    </row>
    <row r="1154">
      <c r="A1154" s="27" t="s">
        <v>2598</v>
      </c>
      <c r="B1154" s="27" t="s">
        <v>726</v>
      </c>
      <c r="C1154" s="27" t="s">
        <v>2437</v>
      </c>
    </row>
    <row r="1155">
      <c r="A1155" s="27" t="s">
        <v>2599</v>
      </c>
      <c r="B1155" s="27" t="s">
        <v>1093</v>
      </c>
      <c r="C1155" s="27" t="s">
        <v>2407</v>
      </c>
    </row>
    <row r="1156">
      <c r="A1156" s="27" t="s">
        <v>2600</v>
      </c>
      <c r="B1156" s="27" t="s">
        <v>1095</v>
      </c>
      <c r="C1156" s="27" t="s">
        <v>2409</v>
      </c>
    </row>
    <row r="1157">
      <c r="A1157" s="27" t="s">
        <v>2602</v>
      </c>
      <c r="B1157" s="27" t="s">
        <v>1097</v>
      </c>
      <c r="C1157" s="27" t="s">
        <v>2441</v>
      </c>
    </row>
    <row r="1158">
      <c r="A1158" s="27" t="s">
        <v>2604</v>
      </c>
      <c r="B1158" s="27" t="s">
        <v>1099</v>
      </c>
      <c r="C1158" s="27" t="s">
        <v>2441</v>
      </c>
    </row>
    <row r="1159">
      <c r="A1159" s="27" t="s">
        <v>2605</v>
      </c>
      <c r="B1159" s="27" t="s">
        <v>988</v>
      </c>
      <c r="C1159" s="27" t="s">
        <v>2797</v>
      </c>
    </row>
    <row r="1160">
      <c r="A1160" s="27" t="s">
        <v>2606</v>
      </c>
      <c r="B1160" s="27" t="s">
        <v>996</v>
      </c>
      <c r="C1160" s="27" t="s">
        <v>2797</v>
      </c>
    </row>
    <row r="1161">
      <c r="A1161" s="27" t="s">
        <v>2607</v>
      </c>
      <c r="B1161" s="27" t="s">
        <v>990</v>
      </c>
      <c r="C1161" s="27" t="s">
        <v>2394</v>
      </c>
    </row>
    <row r="1162">
      <c r="A1162" s="27" t="s">
        <v>2608</v>
      </c>
      <c r="B1162" s="27" t="s">
        <v>998</v>
      </c>
      <c r="C1162" s="27" t="s">
        <v>2372</v>
      </c>
    </row>
    <row r="1163">
      <c r="A1163" s="27" t="s">
        <v>2609</v>
      </c>
      <c r="B1163" s="27" t="s">
        <v>992</v>
      </c>
      <c r="C1163" s="27" t="s">
        <v>2361</v>
      </c>
    </row>
    <row r="1164">
      <c r="A1164" s="27" t="s">
        <v>2610</v>
      </c>
      <c r="B1164" s="27" t="s">
        <v>1000</v>
      </c>
      <c r="C1164" s="27" t="s">
        <v>2361</v>
      </c>
    </row>
    <row r="1165">
      <c r="A1165" s="27" t="s">
        <v>2611</v>
      </c>
      <c r="B1165" s="27" t="s">
        <v>994</v>
      </c>
      <c r="C1165" s="27" t="s">
        <v>2361</v>
      </c>
    </row>
    <row r="1166">
      <c r="A1166" s="27" t="s">
        <v>2612</v>
      </c>
      <c r="B1166" s="27" t="s">
        <v>1002</v>
      </c>
      <c r="C1166" s="27" t="s">
        <v>2451</v>
      </c>
    </row>
    <row r="1167">
      <c r="A1167" s="27" t="s">
        <v>2613</v>
      </c>
      <c r="B1167" s="27" t="s">
        <v>972</v>
      </c>
      <c r="C1167" s="27" t="s">
        <v>2409</v>
      </c>
    </row>
    <row r="1168">
      <c r="A1168" s="27" t="s">
        <v>2614</v>
      </c>
      <c r="B1168" s="27" t="s">
        <v>980</v>
      </c>
      <c r="C1168" s="27" t="s">
        <v>2409</v>
      </c>
    </row>
    <row r="1169">
      <c r="A1169" s="27" t="s">
        <v>2615</v>
      </c>
      <c r="B1169" s="27" t="s">
        <v>974</v>
      </c>
      <c r="C1169" s="27" t="s">
        <v>2451</v>
      </c>
    </row>
    <row r="1170">
      <c r="A1170" s="27" t="s">
        <v>2616</v>
      </c>
      <c r="B1170" s="27" t="s">
        <v>982</v>
      </c>
      <c r="C1170" s="27" t="s">
        <v>2451</v>
      </c>
    </row>
    <row r="1171">
      <c r="A1171" s="27" t="s">
        <v>2617</v>
      </c>
      <c r="B1171" s="27" t="s">
        <v>976</v>
      </c>
      <c r="C1171" s="27" t="s">
        <v>2359</v>
      </c>
    </row>
    <row r="1172">
      <c r="A1172" s="27" t="s">
        <v>2618</v>
      </c>
      <c r="B1172" s="27" t="s">
        <v>984</v>
      </c>
      <c r="C1172" s="27" t="s">
        <v>2363</v>
      </c>
    </row>
    <row r="1173">
      <c r="A1173" s="27" t="s">
        <v>2619</v>
      </c>
      <c r="B1173" s="27" t="s">
        <v>978</v>
      </c>
      <c r="C1173" s="27" t="s">
        <v>2363</v>
      </c>
    </row>
    <row r="1174">
      <c r="A1174" s="27" t="s">
        <v>2620</v>
      </c>
      <c r="B1174" s="27" t="s">
        <v>986</v>
      </c>
      <c r="C1174" s="27" t="s">
        <v>2359</v>
      </c>
    </row>
    <row r="1175">
      <c r="A1175" s="27" t="s">
        <v>2621</v>
      </c>
      <c r="B1175" s="27" t="s">
        <v>956</v>
      </c>
      <c r="C1175" s="27" t="s">
        <v>2447</v>
      </c>
    </row>
    <row r="1176">
      <c r="A1176" s="27" t="s">
        <v>2622</v>
      </c>
      <c r="B1176" s="27" t="s">
        <v>964</v>
      </c>
      <c r="C1176" s="27" t="s">
        <v>2447</v>
      </c>
    </row>
    <row r="1177">
      <c r="A1177" s="27" t="s">
        <v>2623</v>
      </c>
      <c r="B1177" s="27" t="s">
        <v>958</v>
      </c>
      <c r="C1177" s="27" t="s">
        <v>2361</v>
      </c>
    </row>
    <row r="1178">
      <c r="A1178" s="27" t="s">
        <v>2624</v>
      </c>
      <c r="B1178" s="27" t="s">
        <v>966</v>
      </c>
      <c r="C1178" s="27" t="s">
        <v>2361</v>
      </c>
    </row>
    <row r="1179">
      <c r="A1179" s="27" t="s">
        <v>2625</v>
      </c>
      <c r="B1179" s="27" t="s">
        <v>960</v>
      </c>
      <c r="C1179" s="27" t="s">
        <v>2437</v>
      </c>
    </row>
    <row r="1180">
      <c r="A1180" s="27" t="s">
        <v>2626</v>
      </c>
      <c r="B1180" s="27" t="s">
        <v>968</v>
      </c>
      <c r="C1180" s="27" t="s">
        <v>2437</v>
      </c>
    </row>
    <row r="1181">
      <c r="A1181" s="27" t="s">
        <v>2627</v>
      </c>
      <c r="B1181" s="27" t="s">
        <v>962</v>
      </c>
      <c r="C1181" s="27" t="s">
        <v>2437</v>
      </c>
    </row>
    <row r="1182">
      <c r="A1182" s="27" t="s">
        <v>2628</v>
      </c>
      <c r="B1182" s="27" t="s">
        <v>970</v>
      </c>
      <c r="C1182" s="27" t="s">
        <v>2437</v>
      </c>
    </row>
    <row r="1183">
      <c r="A1183" s="27" t="s">
        <v>2629</v>
      </c>
      <c r="B1183" s="27" t="s">
        <v>1020</v>
      </c>
      <c r="C1183" s="27" t="s">
        <v>2409</v>
      </c>
    </row>
    <row r="1184">
      <c r="A1184" s="27" t="s">
        <v>2630</v>
      </c>
      <c r="B1184" s="27" t="s">
        <v>1028</v>
      </c>
      <c r="C1184" s="27" t="s">
        <v>2409</v>
      </c>
    </row>
    <row r="1185">
      <c r="A1185" s="27" t="s">
        <v>2631</v>
      </c>
      <c r="B1185" s="27" t="s">
        <v>1022</v>
      </c>
      <c r="C1185" s="27" t="s">
        <v>2451</v>
      </c>
    </row>
    <row r="1186">
      <c r="A1186" s="27" t="s">
        <v>2632</v>
      </c>
      <c r="B1186" s="27" t="s">
        <v>1030</v>
      </c>
      <c r="C1186" s="27" t="s">
        <v>2451</v>
      </c>
    </row>
    <row r="1187">
      <c r="A1187" s="27" t="s">
        <v>2633</v>
      </c>
      <c r="B1187" s="27" t="s">
        <v>1024</v>
      </c>
      <c r="C1187" s="27" t="s">
        <v>2363</v>
      </c>
    </row>
    <row r="1188">
      <c r="A1188" s="27" t="s">
        <v>2634</v>
      </c>
      <c r="B1188" s="27" t="s">
        <v>1032</v>
      </c>
      <c r="C1188" s="27" t="s">
        <v>2363</v>
      </c>
    </row>
    <row r="1189">
      <c r="A1189" s="27" t="s">
        <v>2635</v>
      </c>
      <c r="B1189" s="27" t="s">
        <v>1026</v>
      </c>
      <c r="C1189" s="27" t="s">
        <v>2363</v>
      </c>
    </row>
    <row r="1190">
      <c r="A1190" s="27" t="s">
        <v>2636</v>
      </c>
      <c r="B1190" s="27" t="s">
        <v>1034</v>
      </c>
      <c r="C1190" s="27" t="s">
        <v>2363</v>
      </c>
    </row>
    <row r="1191">
      <c r="A1191" s="27" t="s">
        <v>2637</v>
      </c>
      <c r="B1191" s="27" t="s">
        <v>913</v>
      </c>
      <c r="C1191" s="27" t="s">
        <v>2447</v>
      </c>
    </row>
    <row r="1192">
      <c r="A1192" s="27" t="s">
        <v>2638</v>
      </c>
      <c r="B1192" s="27" t="s">
        <v>921</v>
      </c>
      <c r="C1192" s="27" t="s">
        <v>2447</v>
      </c>
    </row>
    <row r="1193">
      <c r="A1193" s="27" t="s">
        <v>2639</v>
      </c>
      <c r="B1193" s="27" t="s">
        <v>915</v>
      </c>
      <c r="C1193" s="27" t="s">
        <v>2361</v>
      </c>
    </row>
    <row r="1194">
      <c r="A1194" s="27" t="s">
        <v>2640</v>
      </c>
      <c r="B1194" s="27" t="s">
        <v>923</v>
      </c>
      <c r="C1194" s="27" t="s">
        <v>2361</v>
      </c>
    </row>
    <row r="1195">
      <c r="A1195" s="27" t="s">
        <v>2641</v>
      </c>
      <c r="B1195" s="27" t="s">
        <v>917</v>
      </c>
      <c r="C1195" s="27" t="s">
        <v>2437</v>
      </c>
    </row>
    <row r="1196">
      <c r="A1196" s="27" t="s">
        <v>2642</v>
      </c>
      <c r="B1196" s="27" t="s">
        <v>925</v>
      </c>
      <c r="C1196" s="27" t="s">
        <v>2437</v>
      </c>
    </row>
    <row r="1197">
      <c r="A1197" s="27" t="s">
        <v>2643</v>
      </c>
      <c r="B1197" s="27" t="s">
        <v>919</v>
      </c>
      <c r="C1197" s="27" t="s">
        <v>2437</v>
      </c>
    </row>
    <row r="1198">
      <c r="A1198" s="27" t="s">
        <v>2644</v>
      </c>
      <c r="B1198" s="27" t="s">
        <v>927</v>
      </c>
      <c r="C1198" s="27" t="s">
        <v>2437</v>
      </c>
    </row>
    <row r="1199">
      <c r="A1199" s="27" t="s">
        <v>2645</v>
      </c>
      <c r="B1199" s="27" t="s">
        <v>905</v>
      </c>
      <c r="C1199" s="27" t="s">
        <v>2409</v>
      </c>
    </row>
    <row r="1200">
      <c r="A1200" s="27" t="s">
        <v>2646</v>
      </c>
      <c r="B1200" s="27" t="s">
        <v>897</v>
      </c>
      <c r="C1200" s="27" t="s">
        <v>2409</v>
      </c>
    </row>
    <row r="1201">
      <c r="A1201" s="27" t="s">
        <v>2647</v>
      </c>
      <c r="B1201" s="27" t="s">
        <v>907</v>
      </c>
      <c r="C1201" s="27" t="s">
        <v>2451</v>
      </c>
    </row>
    <row r="1202">
      <c r="A1202" s="27" t="s">
        <v>3214</v>
      </c>
      <c r="B1202" s="27" t="s">
        <v>899</v>
      </c>
      <c r="C1202" s="27" t="s">
        <v>2451</v>
      </c>
    </row>
    <row r="1203">
      <c r="A1203" s="27" t="s">
        <v>2648</v>
      </c>
      <c r="B1203" s="27" t="s">
        <v>909</v>
      </c>
      <c r="C1203" s="27" t="s">
        <v>2363</v>
      </c>
    </row>
    <row r="1204">
      <c r="A1204" s="27" t="s">
        <v>2649</v>
      </c>
      <c r="B1204" s="27" t="s">
        <v>901</v>
      </c>
      <c r="C1204" s="27" t="s">
        <v>2363</v>
      </c>
    </row>
    <row r="1205">
      <c r="A1205" s="27" t="s">
        <v>2650</v>
      </c>
      <c r="B1205" s="27" t="s">
        <v>911</v>
      </c>
      <c r="C1205" s="27" t="s">
        <v>2363</v>
      </c>
    </row>
    <row r="1206">
      <c r="A1206" s="27" t="s">
        <v>2651</v>
      </c>
      <c r="B1206" s="27" t="s">
        <v>903</v>
      </c>
      <c r="C1206" s="27" t="s">
        <v>2363</v>
      </c>
    </row>
    <row r="1207">
      <c r="A1207" s="27" t="s">
        <v>2652</v>
      </c>
      <c r="B1207" s="27" t="s">
        <v>929</v>
      </c>
      <c r="C1207" s="27" t="s">
        <v>2409</v>
      </c>
    </row>
    <row r="1208">
      <c r="A1208" s="27" t="s">
        <v>2653</v>
      </c>
      <c r="B1208" s="27" t="s">
        <v>931</v>
      </c>
      <c r="C1208" s="27" t="s">
        <v>2451</v>
      </c>
    </row>
    <row r="1209">
      <c r="A1209" s="27" t="s">
        <v>2654</v>
      </c>
      <c r="B1209" s="27" t="s">
        <v>933</v>
      </c>
      <c r="C1209" s="27" t="s">
        <v>2363</v>
      </c>
    </row>
    <row r="1210">
      <c r="A1210" s="27" t="s">
        <v>2655</v>
      </c>
      <c r="B1210" s="27" t="s">
        <v>935</v>
      </c>
      <c r="C1210" s="27" t="s">
        <v>2363</v>
      </c>
    </row>
    <row r="1211">
      <c r="A1211" s="27" t="s">
        <v>3215</v>
      </c>
      <c r="B1211" s="27" t="s">
        <v>844</v>
      </c>
      <c r="C1211" s="27" t="s">
        <v>2363</v>
      </c>
    </row>
    <row r="1212">
      <c r="A1212" s="27" t="s">
        <v>3216</v>
      </c>
      <c r="B1212" s="27" t="s">
        <v>836</v>
      </c>
      <c r="C1212" s="27" t="s">
        <v>2363</v>
      </c>
    </row>
    <row r="1213">
      <c r="A1213" s="27" t="s">
        <v>2656</v>
      </c>
      <c r="B1213" s="27" t="s">
        <v>842</v>
      </c>
      <c r="C1213" s="27" t="s">
        <v>2451</v>
      </c>
    </row>
    <row r="1214">
      <c r="A1214" s="27" t="s">
        <v>3217</v>
      </c>
      <c r="B1214" s="27" t="s">
        <v>834</v>
      </c>
      <c r="C1214" s="27" t="s">
        <v>2451</v>
      </c>
    </row>
    <row r="1215">
      <c r="A1215" s="27" t="s">
        <v>2657</v>
      </c>
      <c r="B1215" s="27" t="s">
        <v>840</v>
      </c>
      <c r="C1215" s="27" t="s">
        <v>2409</v>
      </c>
    </row>
    <row r="1216">
      <c r="A1216" s="27" t="s">
        <v>3218</v>
      </c>
      <c r="B1216" s="27" t="s">
        <v>832</v>
      </c>
      <c r="C1216" s="27" t="s">
        <v>2409</v>
      </c>
    </row>
    <row r="1217">
      <c r="A1217" s="27" t="s">
        <v>3219</v>
      </c>
      <c r="B1217" s="27" t="s">
        <v>846</v>
      </c>
      <c r="C1217" s="27" t="s">
        <v>2363</v>
      </c>
    </row>
    <row r="1218">
      <c r="A1218" s="27" t="s">
        <v>3220</v>
      </c>
      <c r="B1218" s="27" t="s">
        <v>838</v>
      </c>
      <c r="C1218" s="27" t="s">
        <v>2363</v>
      </c>
    </row>
    <row r="1219">
      <c r="A1219" s="27" t="s">
        <v>2658</v>
      </c>
      <c r="B1219" s="27" t="s">
        <v>1012</v>
      </c>
      <c r="C1219" s="27" t="s">
        <v>2409</v>
      </c>
    </row>
    <row r="1220">
      <c r="A1220" s="27" t="s">
        <v>2659</v>
      </c>
      <c r="B1220" s="27" t="s">
        <v>1004</v>
      </c>
      <c r="C1220" s="27" t="s">
        <v>2409</v>
      </c>
    </row>
    <row r="1221">
      <c r="A1221" s="27" t="s">
        <v>2660</v>
      </c>
      <c r="B1221" s="27" t="s">
        <v>1014</v>
      </c>
      <c r="C1221" s="27" t="s">
        <v>2451</v>
      </c>
    </row>
    <row r="1222">
      <c r="A1222" s="27" t="s">
        <v>2661</v>
      </c>
      <c r="B1222" s="27" t="s">
        <v>1006</v>
      </c>
      <c r="C1222" s="27" t="s">
        <v>2451</v>
      </c>
    </row>
    <row r="1223">
      <c r="A1223" s="27" t="s">
        <v>2662</v>
      </c>
      <c r="B1223" s="27" t="s">
        <v>1016</v>
      </c>
      <c r="C1223" s="27" t="s">
        <v>2363</v>
      </c>
    </row>
    <row r="1224">
      <c r="A1224" s="27" t="s">
        <v>2663</v>
      </c>
      <c r="B1224" s="27" t="s">
        <v>1008</v>
      </c>
      <c r="C1224" s="27" t="s">
        <v>2363</v>
      </c>
    </row>
    <row r="1225">
      <c r="A1225" s="27" t="s">
        <v>2664</v>
      </c>
      <c r="B1225" s="27" t="s">
        <v>1018</v>
      </c>
      <c r="C1225" s="27" t="s">
        <v>2363</v>
      </c>
    </row>
    <row r="1226">
      <c r="A1226" s="27" t="s">
        <v>2665</v>
      </c>
      <c r="B1226" s="27" t="s">
        <v>1010</v>
      </c>
      <c r="C1226" s="27" t="s">
        <v>2363</v>
      </c>
    </row>
    <row r="1227">
      <c r="A1227" s="27" t="s">
        <v>2666</v>
      </c>
      <c r="B1227" s="27" t="s">
        <v>1069</v>
      </c>
      <c r="C1227" s="27" t="s">
        <v>2447</v>
      </c>
    </row>
    <row r="1228">
      <c r="A1228" s="27" t="s">
        <v>2667</v>
      </c>
      <c r="B1228" s="27" t="s">
        <v>1073</v>
      </c>
      <c r="C1228" s="27" t="s">
        <v>2447</v>
      </c>
    </row>
    <row r="1229">
      <c r="A1229" s="27" t="s">
        <v>2668</v>
      </c>
      <c r="B1229" s="27" t="s">
        <v>1071</v>
      </c>
      <c r="C1229" s="27" t="s">
        <v>2447</v>
      </c>
    </row>
    <row r="1230">
      <c r="A1230" s="27" t="s">
        <v>2669</v>
      </c>
      <c r="B1230" s="27" t="s">
        <v>1075</v>
      </c>
      <c r="C1230" s="27" t="s">
        <v>2361</v>
      </c>
    </row>
    <row r="1231">
      <c r="A1231" s="27" t="s">
        <v>2670</v>
      </c>
      <c r="B1231" s="27" t="s">
        <v>1079</v>
      </c>
      <c r="C1231" s="27" t="s">
        <v>2361</v>
      </c>
    </row>
    <row r="1232">
      <c r="A1232" s="27" t="s">
        <v>3221</v>
      </c>
      <c r="B1232" s="27" t="s">
        <v>1077</v>
      </c>
      <c r="C1232" s="27" t="s">
        <v>2361</v>
      </c>
    </row>
    <row r="1233">
      <c r="A1233" s="27" t="s">
        <v>3222</v>
      </c>
      <c r="B1233" s="27" t="s">
        <v>1081</v>
      </c>
      <c r="C1233" s="27" t="s">
        <v>2437</v>
      </c>
    </row>
    <row r="1234">
      <c r="A1234" s="27" t="s">
        <v>3223</v>
      </c>
      <c r="B1234" s="27" t="s">
        <v>1085</v>
      </c>
      <c r="C1234" s="27" t="s">
        <v>2437</v>
      </c>
    </row>
    <row r="1235">
      <c r="A1235" s="27" t="s">
        <v>3224</v>
      </c>
      <c r="B1235" s="27" t="s">
        <v>1083</v>
      </c>
      <c r="C1235" s="27" t="s">
        <v>2437</v>
      </c>
    </row>
    <row r="1236">
      <c r="A1236" s="27" t="s">
        <v>3225</v>
      </c>
      <c r="B1236" s="27" t="s">
        <v>1087</v>
      </c>
      <c r="C1236" s="27" t="s">
        <v>2437</v>
      </c>
    </row>
    <row r="1237">
      <c r="A1237" s="27" t="s">
        <v>3226</v>
      </c>
      <c r="B1237" s="27" t="s">
        <v>1091</v>
      </c>
      <c r="C1237" s="27" t="s">
        <v>2437</v>
      </c>
    </row>
    <row r="1238">
      <c r="A1238" s="27" t="s">
        <v>3227</v>
      </c>
      <c r="B1238" s="27" t="s">
        <v>1089</v>
      </c>
      <c r="C1238" s="27" t="s">
        <v>2437</v>
      </c>
    </row>
    <row r="1239">
      <c r="A1239" s="27" t="s">
        <v>3228</v>
      </c>
      <c r="B1239" s="27" t="s">
        <v>2735</v>
      </c>
      <c r="C1239" s="27" t="s">
        <v>3164</v>
      </c>
    </row>
    <row r="1240">
      <c r="A1240" s="27" t="s">
        <v>3229</v>
      </c>
      <c r="B1240" s="27" t="s">
        <v>2735</v>
      </c>
      <c r="C1240" s="27" t="s">
        <v>3164</v>
      </c>
    </row>
    <row r="1241">
      <c r="A1241" s="27" t="s">
        <v>3230</v>
      </c>
      <c r="B1241" s="27" t="s">
        <v>2735</v>
      </c>
      <c r="C1241" s="27" t="s">
        <v>3231</v>
      </c>
    </row>
    <row r="1242">
      <c r="A1242" s="27" t="s">
        <v>2364</v>
      </c>
      <c r="B1242" s="27">
        <v>1.564150627423E12</v>
      </c>
      <c r="C1242" s="27" t="s">
        <v>2462</v>
      </c>
    </row>
    <row r="1243">
      <c r="A1243" s="27" t="s">
        <v>2366</v>
      </c>
      <c r="B1243" s="27">
        <v>1.564150661249E12</v>
      </c>
      <c r="C1243" s="27" t="s">
        <v>2409</v>
      </c>
    </row>
    <row r="1244">
      <c r="A1244" s="27" t="s">
        <v>2367</v>
      </c>
      <c r="B1244" s="27">
        <v>1.566335721736E12</v>
      </c>
      <c r="C1244" s="27" t="s">
        <v>2462</v>
      </c>
    </row>
    <row r="1245">
      <c r="A1245" s="27" t="s">
        <v>2369</v>
      </c>
      <c r="B1245" s="27">
        <v>1.566849947902E12</v>
      </c>
      <c r="C1245" s="27" t="s">
        <v>2451</v>
      </c>
    </row>
    <row r="1246">
      <c r="A1246" s="27" t="s">
        <v>2373</v>
      </c>
      <c r="B1246" s="27">
        <v>1.592492799236E12</v>
      </c>
      <c r="C1246" s="27" t="s">
        <v>2361</v>
      </c>
    </row>
    <row r="1247">
      <c r="A1247" s="27" t="s">
        <v>2374</v>
      </c>
      <c r="B1247" s="27">
        <v>1.59708649984E12</v>
      </c>
      <c r="C1247" s="27" t="s">
        <v>2451</v>
      </c>
    </row>
    <row r="1248">
      <c r="A1248" s="27" t="s">
        <v>2375</v>
      </c>
      <c r="B1248" s="27">
        <v>1.597098592591E12</v>
      </c>
      <c r="C1248" s="27" t="s">
        <v>2441</v>
      </c>
    </row>
    <row r="1249">
      <c r="A1249" s="27" t="s">
        <v>2377</v>
      </c>
      <c r="B1249" s="27">
        <v>1.61538336617E12</v>
      </c>
      <c r="C1249" s="27" t="s">
        <v>2359</v>
      </c>
    </row>
    <row r="1250">
      <c r="A1250" s="27" t="s">
        <v>2379</v>
      </c>
      <c r="B1250" s="27">
        <v>1.615383407099E12</v>
      </c>
      <c r="C1250" s="27" t="s">
        <v>2359</v>
      </c>
    </row>
    <row r="1251">
      <c r="A1251" s="27" t="s">
        <v>2381</v>
      </c>
      <c r="B1251" s="27">
        <v>1.623703690011E12</v>
      </c>
      <c r="C1251" s="27" t="s">
        <v>2363</v>
      </c>
    </row>
    <row r="1252">
      <c r="A1252" s="27" t="s">
        <v>2383</v>
      </c>
      <c r="B1252" s="27">
        <v>1.623703728452E12</v>
      </c>
      <c r="C1252" s="27" t="s">
        <v>2363</v>
      </c>
    </row>
    <row r="1253">
      <c r="A1253" s="27" t="s">
        <v>3232</v>
      </c>
      <c r="B1253" s="27">
        <v>1.639085799549E12</v>
      </c>
      <c r="C1253" s="27" t="s">
        <v>2447</v>
      </c>
    </row>
    <row r="1254">
      <c r="A1254" s="27" t="s">
        <v>3052</v>
      </c>
      <c r="B1254" s="27">
        <v>1.639085799549E12</v>
      </c>
      <c r="C1254" s="27" t="s">
        <v>2437</v>
      </c>
    </row>
    <row r="1255">
      <c r="A1255" s="27" t="s">
        <v>3233</v>
      </c>
      <c r="B1255" s="27">
        <v>1.639085799549E12</v>
      </c>
      <c r="C1255" s="27" t="s">
        <v>3234</v>
      </c>
    </row>
    <row r="1256">
      <c r="A1256" s="27" t="s">
        <v>2400</v>
      </c>
      <c r="B1256" s="27">
        <v>1.639085807876E12</v>
      </c>
      <c r="C1256" s="27" t="s">
        <v>2437</v>
      </c>
    </row>
    <row r="1257">
      <c r="A1257" s="27" t="s">
        <v>3235</v>
      </c>
      <c r="B1257" s="27">
        <v>1.661873818029E12</v>
      </c>
      <c r="C1257" s="27" t="s">
        <v>2363</v>
      </c>
    </row>
    <row r="1258">
      <c r="A1258" s="27" t="s">
        <v>3063</v>
      </c>
      <c r="B1258" s="27">
        <v>6.7898303200803E13</v>
      </c>
      <c r="C1258" s="27" t="s">
        <v>2437</v>
      </c>
    </row>
    <row r="1259">
      <c r="A1259" s="27" t="s">
        <v>3064</v>
      </c>
      <c r="B1259" s="27">
        <v>6.7898307709665E13</v>
      </c>
      <c r="C1259" s="27" t="s">
        <v>2437</v>
      </c>
    </row>
    <row r="1260">
      <c r="A1260" s="27" t="s">
        <v>2466</v>
      </c>
      <c r="B1260" s="27">
        <v>6.793383184397E13</v>
      </c>
      <c r="C1260" s="27" t="s">
        <v>2441</v>
      </c>
    </row>
    <row r="1261">
      <c r="A1261" s="27" t="s">
        <v>2467</v>
      </c>
      <c r="B1261" s="27">
        <v>6.7933833934278E13</v>
      </c>
      <c r="C1261" s="27" t="s">
        <v>2441</v>
      </c>
    </row>
    <row r="1262">
      <c r="A1262" s="27" t="s">
        <v>2468</v>
      </c>
      <c r="B1262" s="27">
        <v>6.7933835121467E13</v>
      </c>
      <c r="C1262" s="27" t="s">
        <v>2441</v>
      </c>
    </row>
    <row r="1263">
      <c r="A1263" s="27" t="s">
        <v>2828</v>
      </c>
      <c r="B1263" s="27">
        <v>6.7933835988925E13</v>
      </c>
      <c r="C1263" s="27" t="s">
        <v>2441</v>
      </c>
    </row>
    <row r="1264">
      <c r="A1264" s="27" t="s">
        <v>2476</v>
      </c>
      <c r="B1264" s="27">
        <v>6.8658866289861E13</v>
      </c>
      <c r="C1264" s="27" t="s">
        <v>2451</v>
      </c>
    </row>
    <row r="1265">
      <c r="A1265" s="27" t="s">
        <v>2477</v>
      </c>
      <c r="B1265" s="27">
        <v>6.8658868763602E13</v>
      </c>
      <c r="C1265" s="27" t="s">
        <v>2441</v>
      </c>
    </row>
    <row r="1266">
      <c r="A1266" s="27" t="s">
        <v>2532</v>
      </c>
      <c r="B1266" s="27" t="s">
        <v>466</v>
      </c>
      <c r="C1266" s="27" t="s">
        <v>2363</v>
      </c>
    </row>
    <row r="1267">
      <c r="A1267" s="27" t="s">
        <v>3165</v>
      </c>
      <c r="B1267" s="27" t="s">
        <v>474</v>
      </c>
      <c r="C1267" s="27" t="s">
        <v>2441</v>
      </c>
    </row>
    <row r="1268">
      <c r="A1268" s="27" t="s">
        <v>2533</v>
      </c>
      <c r="B1268" s="27" t="s">
        <v>529</v>
      </c>
      <c r="C1268" s="27" t="s">
        <v>2361</v>
      </c>
    </row>
    <row r="1269">
      <c r="A1269" s="27" t="s">
        <v>2534</v>
      </c>
      <c r="B1269" s="27" t="s">
        <v>531</v>
      </c>
      <c r="C1269" s="27" t="s">
        <v>2409</v>
      </c>
    </row>
    <row r="1270">
      <c r="A1270" s="27" t="s">
        <v>2535</v>
      </c>
      <c r="B1270" s="27" t="s">
        <v>533</v>
      </c>
      <c r="C1270" s="27" t="s">
        <v>2361</v>
      </c>
    </row>
    <row r="1271">
      <c r="A1271" s="27" t="s">
        <v>3150</v>
      </c>
      <c r="B1271" s="27" t="s">
        <v>611</v>
      </c>
      <c r="C1271" s="27" t="s">
        <v>2359</v>
      </c>
    </row>
    <row r="1272">
      <c r="A1272" s="27" t="s">
        <v>2536</v>
      </c>
      <c r="B1272" s="27" t="s">
        <v>603</v>
      </c>
      <c r="C1272" s="27" t="s">
        <v>2441</v>
      </c>
    </row>
    <row r="1273">
      <c r="A1273" s="27" t="s">
        <v>2537</v>
      </c>
      <c r="B1273" s="27" t="s">
        <v>601</v>
      </c>
      <c r="C1273" s="27" t="s">
        <v>2409</v>
      </c>
    </row>
    <row r="1274">
      <c r="A1274" s="27" t="s">
        <v>2538</v>
      </c>
      <c r="B1274" s="27" t="s">
        <v>605</v>
      </c>
      <c r="C1274" s="27" t="s">
        <v>2437</v>
      </c>
    </row>
    <row r="1275">
      <c r="A1275" s="27" t="s">
        <v>2539</v>
      </c>
      <c r="B1275" s="27" t="s">
        <v>607</v>
      </c>
      <c r="C1275" s="27" t="s">
        <v>2437</v>
      </c>
    </row>
    <row r="1276">
      <c r="A1276" s="27" t="s">
        <v>2912</v>
      </c>
      <c r="B1276" s="27" t="s">
        <v>657</v>
      </c>
      <c r="C1276" s="27" t="s">
        <v>2363</v>
      </c>
    </row>
    <row r="1277">
      <c r="A1277" s="27" t="s">
        <v>2913</v>
      </c>
      <c r="B1277" s="27" t="s">
        <v>653</v>
      </c>
      <c r="C1277" s="27" t="s">
        <v>2363</v>
      </c>
    </row>
    <row r="1278">
      <c r="A1278" s="27" t="s">
        <v>2914</v>
      </c>
      <c r="B1278" s="27" t="s">
        <v>659</v>
      </c>
      <c r="C1278" s="27" t="s">
        <v>2363</v>
      </c>
    </row>
    <row r="1279">
      <c r="A1279" s="27" t="s">
        <v>2915</v>
      </c>
      <c r="B1279" s="27" t="s">
        <v>655</v>
      </c>
      <c r="C1279" s="27" t="s">
        <v>2441</v>
      </c>
    </row>
    <row r="1280">
      <c r="A1280" s="27" t="s">
        <v>2919</v>
      </c>
      <c r="B1280" s="27" t="s">
        <v>621</v>
      </c>
      <c r="C1280" s="27" t="s">
        <v>2359</v>
      </c>
    </row>
    <row r="1281">
      <c r="A1281" s="27" t="s">
        <v>2540</v>
      </c>
      <c r="B1281" s="27" t="s">
        <v>631</v>
      </c>
      <c r="C1281" s="27" t="s">
        <v>2437</v>
      </c>
    </row>
    <row r="1282">
      <c r="A1282" s="27" t="s">
        <v>2921</v>
      </c>
      <c r="B1282" s="27" t="s">
        <v>627</v>
      </c>
      <c r="C1282" s="27" t="s">
        <v>2363</v>
      </c>
    </row>
    <row r="1283">
      <c r="A1283" s="27" t="s">
        <v>2541</v>
      </c>
      <c r="B1283" s="27" t="s">
        <v>635</v>
      </c>
      <c r="C1283" s="27" t="s">
        <v>2359</v>
      </c>
    </row>
    <row r="1284">
      <c r="A1284" s="27" t="s">
        <v>2542</v>
      </c>
      <c r="B1284" s="27" t="s">
        <v>629</v>
      </c>
      <c r="C1284" s="27" t="s">
        <v>2437</v>
      </c>
    </row>
    <row r="1285">
      <c r="A1285" s="27" t="s">
        <v>3167</v>
      </c>
      <c r="B1285" s="27" t="s">
        <v>637</v>
      </c>
      <c r="C1285" s="27" t="s">
        <v>2363</v>
      </c>
    </row>
    <row r="1286">
      <c r="A1286" s="27" t="s">
        <v>3168</v>
      </c>
      <c r="B1286" s="27" t="s">
        <v>639</v>
      </c>
      <c r="C1286" s="27" t="s">
        <v>2441</v>
      </c>
    </row>
    <row r="1287">
      <c r="A1287" s="27" t="s">
        <v>3169</v>
      </c>
      <c r="B1287" s="27" t="s">
        <v>641</v>
      </c>
      <c r="C1287" s="27" t="s">
        <v>2441</v>
      </c>
    </row>
    <row r="1288">
      <c r="A1288" s="27" t="s">
        <v>3170</v>
      </c>
      <c r="B1288" s="27" t="s">
        <v>643</v>
      </c>
      <c r="C1288" s="27" t="s">
        <v>2447</v>
      </c>
    </row>
    <row r="1289">
      <c r="A1289" s="27" t="s">
        <v>3171</v>
      </c>
      <c r="B1289" s="27" t="s">
        <v>645</v>
      </c>
      <c r="C1289" s="27" t="s">
        <v>2451</v>
      </c>
    </row>
    <row r="1290">
      <c r="A1290" s="27" t="s">
        <v>3172</v>
      </c>
      <c r="B1290" s="27" t="s">
        <v>647</v>
      </c>
      <c r="C1290" s="27" t="s">
        <v>2451</v>
      </c>
    </row>
    <row r="1291">
      <c r="A1291" s="27" t="s">
        <v>3173</v>
      </c>
      <c r="B1291" s="27" t="s">
        <v>649</v>
      </c>
      <c r="C1291" s="27" t="s">
        <v>2437</v>
      </c>
    </row>
    <row r="1292">
      <c r="A1292" s="27" t="s">
        <v>3174</v>
      </c>
      <c r="B1292" s="27" t="s">
        <v>651</v>
      </c>
      <c r="C1292" s="27" t="s">
        <v>2441</v>
      </c>
    </row>
    <row r="1293">
      <c r="A1293" s="27" t="s">
        <v>2544</v>
      </c>
      <c r="B1293" s="27" t="s">
        <v>542</v>
      </c>
      <c r="C1293" s="27" t="s">
        <v>2437</v>
      </c>
    </row>
    <row r="1294">
      <c r="A1294" s="27" t="s">
        <v>3175</v>
      </c>
      <c r="B1294" s="27" t="s">
        <v>546</v>
      </c>
      <c r="C1294" s="27" t="s">
        <v>2441</v>
      </c>
    </row>
    <row r="1295">
      <c r="A1295" s="27" t="s">
        <v>2545</v>
      </c>
      <c r="B1295" s="27" t="s">
        <v>544</v>
      </c>
      <c r="C1295" s="27" t="s">
        <v>2451</v>
      </c>
    </row>
    <row r="1296">
      <c r="A1296" s="27" t="s">
        <v>2546</v>
      </c>
      <c r="B1296" s="27" t="s">
        <v>548</v>
      </c>
      <c r="C1296" s="27" t="s">
        <v>2451</v>
      </c>
    </row>
    <row r="1297">
      <c r="A1297" s="27" t="s">
        <v>2548</v>
      </c>
      <c r="B1297" s="27" t="s">
        <v>540</v>
      </c>
      <c r="C1297" s="27" t="s">
        <v>2441</v>
      </c>
    </row>
    <row r="1298">
      <c r="A1298" s="27" t="s">
        <v>2549</v>
      </c>
      <c r="B1298" s="27" t="s">
        <v>550</v>
      </c>
      <c r="C1298" s="27" t="s">
        <v>2451</v>
      </c>
    </row>
    <row r="1299">
      <c r="A1299" s="27" t="s">
        <v>3176</v>
      </c>
      <c r="B1299" s="27" t="s">
        <v>1173</v>
      </c>
      <c r="C1299" s="27" t="s">
        <v>2363</v>
      </c>
    </row>
    <row r="1300">
      <c r="A1300" s="27" t="s">
        <v>3177</v>
      </c>
      <c r="B1300" s="27" t="s">
        <v>1175</v>
      </c>
      <c r="C1300" s="27" t="s">
        <v>2437</v>
      </c>
    </row>
    <row r="1301">
      <c r="A1301" s="27" t="s">
        <v>3123</v>
      </c>
      <c r="B1301" s="27" t="s">
        <v>724</v>
      </c>
      <c r="C1301" s="27" t="s">
        <v>2359</v>
      </c>
    </row>
    <row r="1302">
      <c r="A1302" s="27" t="s">
        <v>3178</v>
      </c>
      <c r="B1302" s="27" t="s">
        <v>470</v>
      </c>
      <c r="C1302" s="27" t="s">
        <v>2441</v>
      </c>
    </row>
    <row r="1303">
      <c r="A1303" s="27" t="s">
        <v>2551</v>
      </c>
      <c r="B1303" s="27" t="s">
        <v>472</v>
      </c>
      <c r="C1303" s="27" t="s">
        <v>2441</v>
      </c>
    </row>
    <row r="1304">
      <c r="A1304" s="27" t="s">
        <v>3179</v>
      </c>
      <c r="B1304" s="27" t="s">
        <v>476</v>
      </c>
      <c r="C1304" s="27" t="s">
        <v>2451</v>
      </c>
    </row>
    <row r="1305">
      <c r="A1305" s="27" t="s">
        <v>3180</v>
      </c>
      <c r="B1305" s="27" t="s">
        <v>478</v>
      </c>
      <c r="C1305" s="27" t="s">
        <v>2451</v>
      </c>
    </row>
    <row r="1306">
      <c r="A1306" s="27" t="s">
        <v>2554</v>
      </c>
      <c r="B1306" s="27" t="s">
        <v>357</v>
      </c>
      <c r="C1306" s="27" t="s">
        <v>2441</v>
      </c>
    </row>
    <row r="1307">
      <c r="A1307" s="27" t="s">
        <v>2556</v>
      </c>
      <c r="B1307" s="27" t="s">
        <v>359</v>
      </c>
      <c r="C1307" s="27" t="s">
        <v>2451</v>
      </c>
    </row>
    <row r="1308">
      <c r="A1308" s="27" t="s">
        <v>2559</v>
      </c>
      <c r="B1308" s="27" t="s">
        <v>361</v>
      </c>
      <c r="C1308" s="27" t="s">
        <v>2451</v>
      </c>
    </row>
    <row r="1309">
      <c r="A1309" s="27" t="s">
        <v>3181</v>
      </c>
      <c r="B1309" s="27" t="s">
        <v>363</v>
      </c>
      <c r="C1309" s="27" t="s">
        <v>2361</v>
      </c>
    </row>
    <row r="1310">
      <c r="A1310" s="27" t="s">
        <v>3182</v>
      </c>
      <c r="B1310" s="27" t="s">
        <v>367</v>
      </c>
      <c r="C1310" s="27" t="s">
        <v>2437</v>
      </c>
    </row>
    <row r="1311">
      <c r="A1311" s="27" t="s">
        <v>3183</v>
      </c>
      <c r="B1311" s="27" t="s">
        <v>365</v>
      </c>
      <c r="C1311" s="27" t="s">
        <v>2441</v>
      </c>
    </row>
    <row r="1312">
      <c r="A1312" s="27" t="s">
        <v>3184</v>
      </c>
      <c r="B1312" s="27" t="s">
        <v>347</v>
      </c>
      <c r="C1312" s="27" t="s">
        <v>2451</v>
      </c>
    </row>
    <row r="1313">
      <c r="A1313" s="27" t="s">
        <v>3185</v>
      </c>
      <c r="B1313" s="27" t="s">
        <v>351</v>
      </c>
      <c r="C1313" s="27" t="s">
        <v>2451</v>
      </c>
    </row>
    <row r="1314">
      <c r="A1314" s="27" t="s">
        <v>3186</v>
      </c>
      <c r="B1314" s="27" t="s">
        <v>349</v>
      </c>
      <c r="C1314" s="27" t="s">
        <v>2451</v>
      </c>
    </row>
    <row r="1315">
      <c r="A1315" s="27" t="s">
        <v>2560</v>
      </c>
      <c r="B1315" s="27" t="s">
        <v>369</v>
      </c>
      <c r="C1315" s="27" t="s">
        <v>2451</v>
      </c>
    </row>
    <row r="1316">
      <c r="A1316" s="27" t="s">
        <v>2561</v>
      </c>
      <c r="B1316" s="27" t="s">
        <v>371</v>
      </c>
      <c r="C1316" s="27" t="s">
        <v>2451</v>
      </c>
    </row>
    <row r="1317">
      <c r="A1317" s="27" t="s">
        <v>2562</v>
      </c>
      <c r="B1317" s="27" t="s">
        <v>373</v>
      </c>
      <c r="C1317" s="27" t="s">
        <v>2441</v>
      </c>
    </row>
    <row r="1318">
      <c r="A1318" s="27" t="s">
        <v>2563</v>
      </c>
      <c r="B1318" s="27" t="s">
        <v>353</v>
      </c>
      <c r="C1318" s="27" t="s">
        <v>2451</v>
      </c>
    </row>
    <row r="1319">
      <c r="A1319" s="27" t="s">
        <v>2564</v>
      </c>
      <c r="B1319" s="27" t="s">
        <v>355</v>
      </c>
      <c r="C1319" s="27" t="s">
        <v>2451</v>
      </c>
    </row>
    <row r="1320">
      <c r="A1320" s="27" t="s">
        <v>2565</v>
      </c>
      <c r="B1320" s="27" t="s">
        <v>557</v>
      </c>
      <c r="C1320" s="27" t="s">
        <v>2363</v>
      </c>
    </row>
    <row r="1321">
      <c r="A1321" s="27" t="s">
        <v>2567</v>
      </c>
      <c r="B1321" s="27" t="s">
        <v>559</v>
      </c>
      <c r="C1321" s="27" t="s">
        <v>2363</v>
      </c>
    </row>
    <row r="1322">
      <c r="A1322" s="27" t="s">
        <v>2568</v>
      </c>
      <c r="B1322" s="27" t="s">
        <v>561</v>
      </c>
      <c r="C1322" s="27" t="s">
        <v>2363</v>
      </c>
    </row>
    <row r="1323">
      <c r="A1323" s="27" t="s">
        <v>2569</v>
      </c>
      <c r="B1323" s="27" t="s">
        <v>716</v>
      </c>
      <c r="C1323" s="27" t="s">
        <v>2359</v>
      </c>
    </row>
    <row r="1324">
      <c r="A1324" s="27" t="s">
        <v>2570</v>
      </c>
      <c r="B1324" s="27" t="s">
        <v>714</v>
      </c>
      <c r="C1324" s="27" t="s">
        <v>2437</v>
      </c>
    </row>
    <row r="1325">
      <c r="A1325" s="27" t="s">
        <v>3126</v>
      </c>
      <c r="B1325" s="27" t="s">
        <v>712</v>
      </c>
      <c r="C1325" s="27" t="s">
        <v>2363</v>
      </c>
    </row>
    <row r="1326">
      <c r="A1326" s="27" t="s">
        <v>2571</v>
      </c>
      <c r="B1326" s="27" t="s">
        <v>710</v>
      </c>
      <c r="C1326" s="27" t="s">
        <v>2363</v>
      </c>
    </row>
    <row r="1327">
      <c r="A1327" s="27" t="s">
        <v>2572</v>
      </c>
      <c r="B1327" s="27" t="s">
        <v>706</v>
      </c>
      <c r="C1327" s="27" t="s">
        <v>2363</v>
      </c>
    </row>
    <row r="1328">
      <c r="A1328" s="27" t="s">
        <v>2573</v>
      </c>
      <c r="B1328" s="27" t="s">
        <v>572</v>
      </c>
      <c r="C1328" s="27" t="s">
        <v>2363</v>
      </c>
    </row>
    <row r="1329">
      <c r="A1329" s="27" t="s">
        <v>2574</v>
      </c>
      <c r="B1329" s="27" t="s">
        <v>568</v>
      </c>
      <c r="C1329" s="27" t="s">
        <v>2363</v>
      </c>
    </row>
    <row r="1330">
      <c r="A1330" s="27" t="s">
        <v>2575</v>
      </c>
      <c r="B1330" s="27" t="s">
        <v>570</v>
      </c>
      <c r="C1330" s="27" t="s">
        <v>2441</v>
      </c>
    </row>
    <row r="1331">
      <c r="A1331" s="27" t="s">
        <v>3152</v>
      </c>
      <c r="B1331" s="27" t="s">
        <v>574</v>
      </c>
      <c r="C1331" s="27" t="s">
        <v>2441</v>
      </c>
    </row>
    <row r="1332">
      <c r="A1332" s="27" t="s">
        <v>3153</v>
      </c>
      <c r="B1332" s="27" t="s">
        <v>576</v>
      </c>
      <c r="C1332" s="27" t="s">
        <v>2359</v>
      </c>
    </row>
    <row r="1333">
      <c r="A1333" s="27" t="s">
        <v>2577</v>
      </c>
      <c r="B1333" s="27" t="s">
        <v>595</v>
      </c>
      <c r="C1333" s="27" t="s">
        <v>2447</v>
      </c>
    </row>
    <row r="1334">
      <c r="A1334" s="27" t="s">
        <v>2578</v>
      </c>
      <c r="B1334" s="27" t="s">
        <v>597</v>
      </c>
      <c r="C1334" s="27" t="s">
        <v>2409</v>
      </c>
    </row>
    <row r="1335">
      <c r="A1335" s="27" t="s">
        <v>2580</v>
      </c>
      <c r="B1335" s="27" t="s">
        <v>490</v>
      </c>
      <c r="C1335" s="27" t="s">
        <v>2437</v>
      </c>
    </row>
    <row r="1336">
      <c r="A1336" s="27" t="s">
        <v>3202</v>
      </c>
      <c r="B1336" s="27" t="s">
        <v>492</v>
      </c>
      <c r="C1336" s="27" t="s">
        <v>2437</v>
      </c>
    </row>
    <row r="1337">
      <c r="A1337" s="27" t="s">
        <v>3203</v>
      </c>
      <c r="B1337" s="27" t="s">
        <v>494</v>
      </c>
      <c r="C1337" s="27" t="s">
        <v>2437</v>
      </c>
    </row>
    <row r="1338">
      <c r="A1338" s="27" t="s">
        <v>3204</v>
      </c>
      <c r="B1338" s="27" t="s">
        <v>496</v>
      </c>
      <c r="C1338" s="27" t="s">
        <v>2437</v>
      </c>
    </row>
    <row r="1339">
      <c r="A1339" s="27" t="s">
        <v>3205</v>
      </c>
      <c r="B1339" s="27" t="s">
        <v>498</v>
      </c>
      <c r="C1339" s="27" t="s">
        <v>2437</v>
      </c>
    </row>
    <row r="1340">
      <c r="A1340" s="27" t="s">
        <v>3206</v>
      </c>
      <c r="B1340" s="27" t="s">
        <v>500</v>
      </c>
      <c r="C1340" s="27" t="s">
        <v>2437</v>
      </c>
    </row>
    <row r="1341">
      <c r="A1341" s="27" t="s">
        <v>2581</v>
      </c>
      <c r="B1341" s="27" t="s">
        <v>502</v>
      </c>
      <c r="C1341" s="27" t="s">
        <v>2363</v>
      </c>
    </row>
    <row r="1342">
      <c r="A1342" s="27" t="s">
        <v>2582</v>
      </c>
      <c r="B1342" s="27" t="s">
        <v>504</v>
      </c>
      <c r="C1342" s="27" t="s">
        <v>2441</v>
      </c>
    </row>
    <row r="1343">
      <c r="A1343" s="27" t="s">
        <v>2584</v>
      </c>
      <c r="B1343" s="27" t="s">
        <v>506</v>
      </c>
      <c r="C1343" s="27" t="s">
        <v>2441</v>
      </c>
    </row>
    <row r="1344">
      <c r="A1344" s="27" t="s">
        <v>2586</v>
      </c>
      <c r="B1344" s="27" t="s">
        <v>508</v>
      </c>
      <c r="C1344" s="27" t="s">
        <v>2437</v>
      </c>
    </row>
    <row r="1345">
      <c r="A1345" s="27" t="s">
        <v>3154</v>
      </c>
      <c r="B1345" s="27" t="s">
        <v>751</v>
      </c>
      <c r="C1345" s="27" t="s">
        <v>2441</v>
      </c>
    </row>
    <row r="1346">
      <c r="A1346" s="27" t="s">
        <v>3155</v>
      </c>
      <c r="B1346" s="27" t="s">
        <v>753</v>
      </c>
      <c r="C1346" s="27" t="s">
        <v>2437</v>
      </c>
    </row>
    <row r="1347">
      <c r="A1347" s="27" t="s">
        <v>3207</v>
      </c>
      <c r="B1347" s="27" t="s">
        <v>755</v>
      </c>
      <c r="C1347" s="27" t="s">
        <v>2437</v>
      </c>
    </row>
    <row r="1348">
      <c r="A1348" s="27" t="s">
        <v>3156</v>
      </c>
      <c r="B1348" s="27" t="s">
        <v>773</v>
      </c>
      <c r="C1348" s="27" t="s">
        <v>2437</v>
      </c>
    </row>
    <row r="1349">
      <c r="A1349" s="27" t="s">
        <v>3157</v>
      </c>
      <c r="B1349" s="27" t="s">
        <v>775</v>
      </c>
      <c r="C1349" s="27" t="s">
        <v>2441</v>
      </c>
    </row>
    <row r="1350">
      <c r="A1350" s="27" t="s">
        <v>3208</v>
      </c>
      <c r="B1350" s="27" t="s">
        <v>784</v>
      </c>
      <c r="C1350" s="27" t="s">
        <v>2441</v>
      </c>
    </row>
    <row r="1351">
      <c r="A1351" s="27" t="s">
        <v>3236</v>
      </c>
      <c r="B1351" s="27" t="s">
        <v>786</v>
      </c>
      <c r="C1351" s="27" t="s">
        <v>2451</v>
      </c>
    </row>
    <row r="1352">
      <c r="A1352" s="27" t="s">
        <v>3209</v>
      </c>
      <c r="B1352" s="27" t="s">
        <v>788</v>
      </c>
      <c r="C1352" s="27" t="s">
        <v>2437</v>
      </c>
    </row>
    <row r="1353">
      <c r="A1353" s="27" t="s">
        <v>3210</v>
      </c>
      <c r="B1353" s="27" t="s">
        <v>793</v>
      </c>
      <c r="C1353" s="27" t="s">
        <v>2363</v>
      </c>
    </row>
    <row r="1354">
      <c r="A1354" s="27" t="s">
        <v>3211</v>
      </c>
      <c r="B1354" s="27" t="s">
        <v>795</v>
      </c>
      <c r="C1354" s="27" t="s">
        <v>2363</v>
      </c>
    </row>
    <row r="1355">
      <c r="A1355" s="27" t="s">
        <v>2925</v>
      </c>
      <c r="B1355" s="27" t="s">
        <v>739</v>
      </c>
      <c r="C1355" s="27" t="s">
        <v>2451</v>
      </c>
    </row>
    <row r="1356">
      <c r="A1356" s="27" t="s">
        <v>2926</v>
      </c>
      <c r="B1356" s="27" t="s">
        <v>743</v>
      </c>
      <c r="C1356" s="27" t="s">
        <v>2363</v>
      </c>
    </row>
    <row r="1357">
      <c r="A1357" s="27" t="s">
        <v>2927</v>
      </c>
      <c r="B1357" s="27" t="s">
        <v>741</v>
      </c>
      <c r="C1357" s="27" t="s">
        <v>2437</v>
      </c>
    </row>
    <row r="1358">
      <c r="A1358" s="27" t="s">
        <v>2928</v>
      </c>
      <c r="B1358" s="27" t="s">
        <v>737</v>
      </c>
      <c r="C1358" s="27" t="s">
        <v>2437</v>
      </c>
    </row>
    <row r="1359">
      <c r="A1359" s="27" t="s">
        <v>2588</v>
      </c>
      <c r="B1359" s="27" t="s">
        <v>453</v>
      </c>
      <c r="C1359" s="27" t="s">
        <v>2447</v>
      </c>
    </row>
    <row r="1360">
      <c r="A1360" s="27" t="s">
        <v>2589</v>
      </c>
      <c r="B1360" s="27" t="s">
        <v>455</v>
      </c>
      <c r="C1360" s="27" t="s">
        <v>2462</v>
      </c>
    </row>
    <row r="1361">
      <c r="A1361" s="27" t="s">
        <v>3212</v>
      </c>
      <c r="B1361" s="27" t="s">
        <v>671</v>
      </c>
      <c r="C1361" s="27" t="s">
        <v>2409</v>
      </c>
    </row>
    <row r="1362">
      <c r="A1362" s="27" t="s">
        <v>3213</v>
      </c>
      <c r="B1362" s="27" t="s">
        <v>673</v>
      </c>
      <c r="C1362" s="27" t="s">
        <v>2447</v>
      </c>
    </row>
    <row r="1363">
      <c r="A1363" s="27" t="s">
        <v>2929</v>
      </c>
      <c r="B1363" s="27" t="s">
        <v>665</v>
      </c>
      <c r="C1363" s="27" t="s">
        <v>2363</v>
      </c>
    </row>
    <row r="1364">
      <c r="A1364" s="27" t="s">
        <v>2930</v>
      </c>
      <c r="B1364" s="27" t="s">
        <v>663</v>
      </c>
      <c r="C1364" s="27" t="s">
        <v>2441</v>
      </c>
    </row>
    <row r="1365">
      <c r="A1365" s="27" t="s">
        <v>2590</v>
      </c>
      <c r="B1365" s="27" t="s">
        <v>669</v>
      </c>
      <c r="C1365" s="27" t="s">
        <v>2359</v>
      </c>
    </row>
    <row r="1366">
      <c r="A1366" s="27" t="s">
        <v>2591</v>
      </c>
      <c r="B1366" s="27" t="s">
        <v>667</v>
      </c>
      <c r="C1366" s="27" t="s">
        <v>2363</v>
      </c>
    </row>
    <row r="1367">
      <c r="A1367" s="27" t="s">
        <v>2592</v>
      </c>
      <c r="B1367" s="27" t="s">
        <v>661</v>
      </c>
      <c r="C1367" s="27" t="s">
        <v>2363</v>
      </c>
    </row>
    <row r="1368">
      <c r="A1368" s="27" t="s">
        <v>2593</v>
      </c>
      <c r="B1368" s="27" t="s">
        <v>728</v>
      </c>
      <c r="C1368" s="27" t="s">
        <v>2437</v>
      </c>
    </row>
    <row r="1369">
      <c r="A1369" s="27" t="s">
        <v>2594</v>
      </c>
      <c r="B1369" s="27" t="s">
        <v>732</v>
      </c>
      <c r="C1369" s="27" t="s">
        <v>2437</v>
      </c>
    </row>
    <row r="1370">
      <c r="A1370" s="27" t="s">
        <v>2596</v>
      </c>
      <c r="B1370" s="27" t="s">
        <v>730</v>
      </c>
      <c r="C1370" s="27" t="s">
        <v>2437</v>
      </c>
    </row>
    <row r="1371">
      <c r="A1371" s="27" t="s">
        <v>2597</v>
      </c>
      <c r="B1371" s="27" t="s">
        <v>734</v>
      </c>
      <c r="C1371" s="27" t="s">
        <v>2437</v>
      </c>
    </row>
    <row r="1372">
      <c r="A1372" s="27" t="s">
        <v>2598</v>
      </c>
      <c r="B1372" s="27" t="s">
        <v>726</v>
      </c>
      <c r="C1372" s="27" t="s">
        <v>2437</v>
      </c>
    </row>
    <row r="1373">
      <c r="A1373" s="27" t="s">
        <v>2599</v>
      </c>
      <c r="B1373" s="27" t="s">
        <v>1093</v>
      </c>
      <c r="C1373" s="27" t="s">
        <v>2407</v>
      </c>
    </row>
    <row r="1374">
      <c r="A1374" s="27" t="s">
        <v>2600</v>
      </c>
      <c r="B1374" s="27" t="s">
        <v>1095</v>
      </c>
      <c r="C1374" s="27" t="s">
        <v>2409</v>
      </c>
    </row>
    <row r="1375">
      <c r="A1375" s="27" t="s">
        <v>2602</v>
      </c>
      <c r="B1375" s="27" t="s">
        <v>1097</v>
      </c>
      <c r="C1375" s="27" t="s">
        <v>2441</v>
      </c>
    </row>
    <row r="1376">
      <c r="A1376" s="27" t="s">
        <v>2604</v>
      </c>
      <c r="B1376" s="27" t="s">
        <v>1099</v>
      </c>
      <c r="C1376" s="27" t="s">
        <v>2441</v>
      </c>
    </row>
    <row r="1377">
      <c r="A1377" s="27" t="s">
        <v>2605</v>
      </c>
      <c r="B1377" s="27" t="s">
        <v>988</v>
      </c>
      <c r="C1377" s="27" t="s">
        <v>2409</v>
      </c>
    </row>
    <row r="1378">
      <c r="A1378" s="27" t="s">
        <v>2606</v>
      </c>
      <c r="B1378" s="27" t="s">
        <v>996</v>
      </c>
      <c r="C1378" s="27" t="s">
        <v>2409</v>
      </c>
    </row>
    <row r="1379">
      <c r="A1379" s="27" t="s">
        <v>2607</v>
      </c>
      <c r="B1379" s="27" t="s">
        <v>990</v>
      </c>
      <c r="C1379" s="27" t="s">
        <v>2451</v>
      </c>
    </row>
    <row r="1380">
      <c r="A1380" s="27" t="s">
        <v>2608</v>
      </c>
      <c r="B1380" s="27" t="s">
        <v>998</v>
      </c>
      <c r="C1380" s="27" t="s">
        <v>2451</v>
      </c>
    </row>
    <row r="1381">
      <c r="A1381" s="27" t="s">
        <v>2609</v>
      </c>
      <c r="B1381" s="27" t="s">
        <v>992</v>
      </c>
      <c r="C1381" s="27" t="s">
        <v>2363</v>
      </c>
    </row>
    <row r="1382">
      <c r="A1382" s="27" t="s">
        <v>2610</v>
      </c>
      <c r="B1382" s="27" t="s">
        <v>1000</v>
      </c>
      <c r="C1382" s="27" t="s">
        <v>2363</v>
      </c>
    </row>
    <row r="1383">
      <c r="A1383" s="27" t="s">
        <v>2611</v>
      </c>
      <c r="B1383" s="27" t="s">
        <v>994</v>
      </c>
      <c r="C1383" s="27" t="s">
        <v>2363</v>
      </c>
    </row>
    <row r="1384">
      <c r="A1384" s="27" t="s">
        <v>2612</v>
      </c>
      <c r="B1384" s="27" t="s">
        <v>1002</v>
      </c>
      <c r="C1384" s="27" t="s">
        <v>2363</v>
      </c>
    </row>
    <row r="1385">
      <c r="A1385" s="27" t="s">
        <v>2613</v>
      </c>
      <c r="B1385" s="27" t="s">
        <v>972</v>
      </c>
      <c r="C1385" s="27" t="s">
        <v>2409</v>
      </c>
    </row>
    <row r="1386">
      <c r="A1386" s="27" t="s">
        <v>2614</v>
      </c>
      <c r="B1386" s="27" t="s">
        <v>980</v>
      </c>
      <c r="C1386" s="27" t="s">
        <v>2361</v>
      </c>
    </row>
    <row r="1387">
      <c r="A1387" s="27" t="s">
        <v>2615</v>
      </c>
      <c r="B1387" s="27" t="s">
        <v>974</v>
      </c>
      <c r="C1387" s="27" t="s">
        <v>2451</v>
      </c>
    </row>
    <row r="1388">
      <c r="A1388" s="27" t="s">
        <v>2616</v>
      </c>
      <c r="B1388" s="27" t="s">
        <v>982</v>
      </c>
      <c r="C1388" s="27" t="s">
        <v>2451</v>
      </c>
    </row>
    <row r="1389">
      <c r="A1389" s="27" t="s">
        <v>2617</v>
      </c>
      <c r="B1389" s="27" t="s">
        <v>976</v>
      </c>
      <c r="C1389" s="27" t="s">
        <v>2363</v>
      </c>
    </row>
    <row r="1390">
      <c r="A1390" s="27" t="s">
        <v>2618</v>
      </c>
      <c r="B1390" s="27" t="s">
        <v>984</v>
      </c>
      <c r="C1390" s="27" t="s">
        <v>2363</v>
      </c>
    </row>
    <row r="1391">
      <c r="A1391" s="27" t="s">
        <v>2619</v>
      </c>
      <c r="B1391" s="27" t="s">
        <v>978</v>
      </c>
      <c r="C1391" s="27" t="s">
        <v>2363</v>
      </c>
    </row>
    <row r="1392">
      <c r="A1392" s="27" t="s">
        <v>2620</v>
      </c>
      <c r="B1392" s="27" t="s">
        <v>986</v>
      </c>
      <c r="C1392" s="27" t="s">
        <v>2363</v>
      </c>
    </row>
    <row r="1393">
      <c r="A1393" s="27" t="s">
        <v>2621</v>
      </c>
      <c r="B1393" s="27" t="s">
        <v>956</v>
      </c>
      <c r="C1393" s="27" t="s">
        <v>2447</v>
      </c>
    </row>
    <row r="1394">
      <c r="A1394" s="27" t="s">
        <v>2622</v>
      </c>
      <c r="B1394" s="27" t="s">
        <v>964</v>
      </c>
      <c r="C1394" s="27" t="s">
        <v>2447</v>
      </c>
    </row>
    <row r="1395">
      <c r="A1395" s="27" t="s">
        <v>2623</v>
      </c>
      <c r="B1395" s="27" t="s">
        <v>958</v>
      </c>
      <c r="C1395" s="27" t="s">
        <v>2361</v>
      </c>
    </row>
    <row r="1396">
      <c r="A1396" s="27" t="s">
        <v>2624</v>
      </c>
      <c r="B1396" s="27" t="s">
        <v>966</v>
      </c>
      <c r="C1396" s="27" t="s">
        <v>2361</v>
      </c>
    </row>
    <row r="1397">
      <c r="A1397" s="27" t="s">
        <v>2625</v>
      </c>
      <c r="B1397" s="27" t="s">
        <v>960</v>
      </c>
      <c r="C1397" s="27" t="s">
        <v>2437</v>
      </c>
    </row>
    <row r="1398">
      <c r="A1398" s="27" t="s">
        <v>2626</v>
      </c>
      <c r="B1398" s="27" t="s">
        <v>968</v>
      </c>
      <c r="C1398" s="27" t="s">
        <v>2437</v>
      </c>
    </row>
    <row r="1399">
      <c r="A1399" s="27" t="s">
        <v>2627</v>
      </c>
      <c r="B1399" s="27" t="s">
        <v>962</v>
      </c>
      <c r="C1399" s="27" t="s">
        <v>2437</v>
      </c>
    </row>
    <row r="1400">
      <c r="A1400" s="27" t="s">
        <v>2628</v>
      </c>
      <c r="B1400" s="27" t="s">
        <v>970</v>
      </c>
      <c r="C1400" s="27" t="s">
        <v>2437</v>
      </c>
    </row>
    <row r="1401">
      <c r="A1401" s="27" t="s">
        <v>2629</v>
      </c>
      <c r="B1401" s="27" t="s">
        <v>1020</v>
      </c>
      <c r="C1401" s="27" t="s">
        <v>2361</v>
      </c>
    </row>
    <row r="1402">
      <c r="A1402" s="27" t="s">
        <v>2630</v>
      </c>
      <c r="B1402" s="27" t="s">
        <v>1028</v>
      </c>
      <c r="C1402" s="27" t="s">
        <v>2409</v>
      </c>
    </row>
    <row r="1403">
      <c r="A1403" s="27" t="s">
        <v>2631</v>
      </c>
      <c r="B1403" s="27" t="s">
        <v>1022</v>
      </c>
      <c r="C1403" s="27" t="s">
        <v>2451</v>
      </c>
    </row>
    <row r="1404">
      <c r="A1404" s="27" t="s">
        <v>2632</v>
      </c>
      <c r="B1404" s="27" t="s">
        <v>1030</v>
      </c>
      <c r="C1404" s="27" t="s">
        <v>2451</v>
      </c>
    </row>
    <row r="1405">
      <c r="A1405" s="27" t="s">
        <v>2633</v>
      </c>
      <c r="B1405" s="27" t="s">
        <v>1024</v>
      </c>
      <c r="C1405" s="27" t="s">
        <v>2363</v>
      </c>
    </row>
    <row r="1406">
      <c r="A1406" s="27" t="s">
        <v>2634</v>
      </c>
      <c r="B1406" s="27" t="s">
        <v>1032</v>
      </c>
      <c r="C1406" s="27" t="s">
        <v>2363</v>
      </c>
    </row>
    <row r="1407">
      <c r="A1407" s="27" t="s">
        <v>2635</v>
      </c>
      <c r="B1407" s="27" t="s">
        <v>1026</v>
      </c>
      <c r="C1407" s="27" t="s">
        <v>2363</v>
      </c>
    </row>
    <row r="1408">
      <c r="A1408" s="27" t="s">
        <v>2636</v>
      </c>
      <c r="B1408" s="27" t="s">
        <v>1034</v>
      </c>
      <c r="C1408" s="27" t="s">
        <v>2363</v>
      </c>
    </row>
    <row r="1409">
      <c r="A1409" s="27" t="s">
        <v>2637</v>
      </c>
      <c r="B1409" s="27" t="s">
        <v>913</v>
      </c>
      <c r="C1409" s="27" t="s">
        <v>2447</v>
      </c>
    </row>
    <row r="1410">
      <c r="A1410" s="27" t="s">
        <v>2639</v>
      </c>
      <c r="B1410" s="27" t="s">
        <v>915</v>
      </c>
      <c r="C1410" s="27" t="s">
        <v>2361</v>
      </c>
    </row>
    <row r="1411">
      <c r="A1411" s="27" t="s">
        <v>2640</v>
      </c>
      <c r="B1411" s="27" t="s">
        <v>923</v>
      </c>
      <c r="C1411" s="27" t="s">
        <v>2361</v>
      </c>
    </row>
    <row r="1412">
      <c r="A1412" s="27" t="s">
        <v>2641</v>
      </c>
      <c r="B1412" s="27" t="s">
        <v>917</v>
      </c>
      <c r="C1412" s="27" t="s">
        <v>2363</v>
      </c>
    </row>
    <row r="1413">
      <c r="A1413" s="27" t="s">
        <v>2642</v>
      </c>
      <c r="B1413" s="27" t="s">
        <v>925</v>
      </c>
      <c r="C1413" s="27" t="s">
        <v>2437</v>
      </c>
    </row>
    <row r="1414">
      <c r="A1414" s="27" t="s">
        <v>2643</v>
      </c>
      <c r="B1414" s="27" t="s">
        <v>919</v>
      </c>
      <c r="C1414" s="27" t="s">
        <v>2437</v>
      </c>
    </row>
    <row r="1415">
      <c r="A1415" s="27" t="s">
        <v>2644</v>
      </c>
      <c r="B1415" s="27" t="s">
        <v>927</v>
      </c>
      <c r="C1415" s="27" t="s">
        <v>2437</v>
      </c>
    </row>
    <row r="1416">
      <c r="A1416" s="27" t="s">
        <v>2645</v>
      </c>
      <c r="B1416" s="27" t="s">
        <v>905</v>
      </c>
      <c r="C1416" s="27" t="s">
        <v>2361</v>
      </c>
    </row>
    <row r="1417">
      <c r="A1417" s="27" t="s">
        <v>2646</v>
      </c>
      <c r="B1417" s="27" t="s">
        <v>897</v>
      </c>
      <c r="C1417" s="27" t="s">
        <v>2409</v>
      </c>
    </row>
    <row r="1418">
      <c r="A1418" s="27" t="s">
        <v>2647</v>
      </c>
      <c r="B1418" s="27" t="s">
        <v>907</v>
      </c>
      <c r="C1418" s="27" t="s">
        <v>2451</v>
      </c>
    </row>
    <row r="1419">
      <c r="A1419" s="27" t="s">
        <v>3214</v>
      </c>
      <c r="B1419" s="27" t="s">
        <v>899</v>
      </c>
      <c r="C1419" s="27" t="s">
        <v>2451</v>
      </c>
    </row>
    <row r="1420">
      <c r="A1420" s="27" t="s">
        <v>2648</v>
      </c>
      <c r="B1420" s="27" t="s">
        <v>909</v>
      </c>
      <c r="C1420" s="27" t="s">
        <v>2363</v>
      </c>
    </row>
    <row r="1421">
      <c r="A1421" s="27" t="s">
        <v>2649</v>
      </c>
      <c r="B1421" s="27" t="s">
        <v>901</v>
      </c>
      <c r="C1421" s="27" t="s">
        <v>2363</v>
      </c>
    </row>
    <row r="1422">
      <c r="A1422" s="27" t="s">
        <v>2650</v>
      </c>
      <c r="B1422" s="27" t="s">
        <v>911</v>
      </c>
      <c r="C1422" s="27" t="s">
        <v>2363</v>
      </c>
    </row>
    <row r="1423">
      <c r="A1423" s="27" t="s">
        <v>2651</v>
      </c>
      <c r="B1423" s="27" t="s">
        <v>903</v>
      </c>
      <c r="C1423" s="27" t="s">
        <v>2363</v>
      </c>
    </row>
    <row r="1424">
      <c r="A1424" s="27" t="s">
        <v>2652</v>
      </c>
      <c r="B1424" s="27" t="s">
        <v>929</v>
      </c>
      <c r="C1424" s="27" t="s">
        <v>2409</v>
      </c>
    </row>
    <row r="1425">
      <c r="A1425" s="27" t="s">
        <v>2653</v>
      </c>
      <c r="B1425" s="27" t="s">
        <v>931</v>
      </c>
      <c r="C1425" s="27" t="s">
        <v>2441</v>
      </c>
    </row>
    <row r="1426">
      <c r="A1426" s="27" t="s">
        <v>2654</v>
      </c>
      <c r="B1426" s="27" t="s">
        <v>933</v>
      </c>
      <c r="C1426" s="27" t="s">
        <v>2363</v>
      </c>
    </row>
    <row r="1427">
      <c r="A1427" s="27" t="s">
        <v>2655</v>
      </c>
      <c r="B1427" s="27" t="s">
        <v>935</v>
      </c>
      <c r="C1427" s="27" t="s">
        <v>2363</v>
      </c>
    </row>
    <row r="1428">
      <c r="A1428" s="27" t="s">
        <v>3215</v>
      </c>
      <c r="B1428" s="27" t="s">
        <v>844</v>
      </c>
      <c r="C1428" s="27" t="s">
        <v>2363</v>
      </c>
    </row>
    <row r="1429">
      <c r="A1429" s="27" t="s">
        <v>3216</v>
      </c>
      <c r="B1429" s="27" t="s">
        <v>836</v>
      </c>
      <c r="C1429" s="27" t="s">
        <v>2363</v>
      </c>
    </row>
    <row r="1430">
      <c r="A1430" s="27" t="s">
        <v>2656</v>
      </c>
      <c r="B1430" s="27" t="s">
        <v>842</v>
      </c>
      <c r="C1430" s="27" t="s">
        <v>2451</v>
      </c>
    </row>
    <row r="1431">
      <c r="A1431" s="27" t="s">
        <v>3217</v>
      </c>
      <c r="B1431" s="27" t="s">
        <v>834</v>
      </c>
      <c r="C1431" s="27" t="s">
        <v>2451</v>
      </c>
    </row>
    <row r="1432">
      <c r="A1432" s="27" t="s">
        <v>2657</v>
      </c>
      <c r="B1432" s="27" t="s">
        <v>840</v>
      </c>
      <c r="C1432" s="27" t="s">
        <v>2409</v>
      </c>
    </row>
    <row r="1433">
      <c r="A1433" s="27" t="s">
        <v>3218</v>
      </c>
      <c r="B1433" s="27" t="s">
        <v>832</v>
      </c>
      <c r="C1433" s="27" t="s">
        <v>2409</v>
      </c>
    </row>
    <row r="1434">
      <c r="A1434" s="27" t="s">
        <v>3219</v>
      </c>
      <c r="B1434" s="27" t="s">
        <v>846</v>
      </c>
      <c r="C1434" s="27" t="s">
        <v>2363</v>
      </c>
    </row>
    <row r="1435">
      <c r="A1435" s="27" t="s">
        <v>3220</v>
      </c>
      <c r="B1435" s="27" t="s">
        <v>838</v>
      </c>
      <c r="C1435" s="27" t="s">
        <v>2363</v>
      </c>
    </row>
    <row r="1436">
      <c r="A1436" s="27" t="s">
        <v>2658</v>
      </c>
      <c r="B1436" s="27" t="s">
        <v>1012</v>
      </c>
      <c r="C1436" s="27" t="s">
        <v>2361</v>
      </c>
    </row>
    <row r="1437">
      <c r="A1437" s="27" t="s">
        <v>2659</v>
      </c>
      <c r="B1437" s="27" t="s">
        <v>1004</v>
      </c>
      <c r="C1437" s="27" t="s">
        <v>2409</v>
      </c>
    </row>
    <row r="1438">
      <c r="A1438" s="27" t="s">
        <v>2660</v>
      </c>
      <c r="B1438" s="27" t="s">
        <v>1014</v>
      </c>
      <c r="C1438" s="27" t="s">
        <v>2451</v>
      </c>
    </row>
    <row r="1439">
      <c r="A1439" s="27" t="s">
        <v>2661</v>
      </c>
      <c r="B1439" s="27" t="s">
        <v>1006</v>
      </c>
      <c r="C1439" s="27" t="s">
        <v>2451</v>
      </c>
    </row>
    <row r="1440">
      <c r="A1440" s="27" t="s">
        <v>2662</v>
      </c>
      <c r="B1440" s="27" t="s">
        <v>1016</v>
      </c>
      <c r="C1440" s="27" t="s">
        <v>2363</v>
      </c>
    </row>
    <row r="1441">
      <c r="A1441" s="27" t="s">
        <v>2663</v>
      </c>
      <c r="B1441" s="27" t="s">
        <v>1008</v>
      </c>
      <c r="C1441" s="27" t="s">
        <v>2363</v>
      </c>
    </row>
    <row r="1442">
      <c r="A1442" s="27" t="s">
        <v>2664</v>
      </c>
      <c r="B1442" s="27" t="s">
        <v>1018</v>
      </c>
      <c r="C1442" s="27" t="s">
        <v>2363</v>
      </c>
    </row>
    <row r="1443">
      <c r="A1443" s="27" t="s">
        <v>2665</v>
      </c>
      <c r="B1443" s="27" t="s">
        <v>1010</v>
      </c>
      <c r="C1443" s="27" t="s">
        <v>2363</v>
      </c>
    </row>
    <row r="1444">
      <c r="A1444" s="27" t="s">
        <v>2666</v>
      </c>
      <c r="B1444" s="27" t="s">
        <v>1069</v>
      </c>
      <c r="C1444" s="27" t="s">
        <v>2462</v>
      </c>
    </row>
    <row r="1445">
      <c r="A1445" s="27" t="s">
        <v>2667</v>
      </c>
      <c r="B1445" s="27" t="s">
        <v>1073</v>
      </c>
      <c r="C1445" s="27" t="s">
        <v>2447</v>
      </c>
    </row>
    <row r="1446">
      <c r="A1446" s="27" t="s">
        <v>2668</v>
      </c>
      <c r="B1446" s="27" t="s">
        <v>1071</v>
      </c>
      <c r="C1446" s="27" t="s">
        <v>2447</v>
      </c>
    </row>
    <row r="1447">
      <c r="A1447" s="27" t="s">
        <v>2669</v>
      </c>
      <c r="B1447" s="27" t="s">
        <v>1075</v>
      </c>
      <c r="C1447" s="27" t="s">
        <v>2361</v>
      </c>
    </row>
    <row r="1448">
      <c r="A1448" s="27" t="s">
        <v>2670</v>
      </c>
      <c r="B1448" s="27" t="s">
        <v>1079</v>
      </c>
      <c r="C1448" s="27" t="s">
        <v>2451</v>
      </c>
    </row>
    <row r="1449">
      <c r="A1449" s="27" t="s">
        <v>3221</v>
      </c>
      <c r="B1449" s="27" t="s">
        <v>1077</v>
      </c>
      <c r="C1449" s="27" t="s">
        <v>2361</v>
      </c>
    </row>
    <row r="1450">
      <c r="A1450" s="27" t="s">
        <v>3222</v>
      </c>
      <c r="B1450" s="27" t="s">
        <v>1081</v>
      </c>
      <c r="C1450" s="27" t="s">
        <v>2437</v>
      </c>
    </row>
    <row r="1451">
      <c r="A1451" s="27" t="s">
        <v>3223</v>
      </c>
      <c r="B1451" s="27" t="s">
        <v>1085</v>
      </c>
      <c r="C1451" s="27" t="s">
        <v>2437</v>
      </c>
    </row>
    <row r="1452">
      <c r="A1452" s="27" t="s">
        <v>3224</v>
      </c>
      <c r="B1452" s="27" t="s">
        <v>1083</v>
      </c>
      <c r="C1452" s="27" t="s">
        <v>2437</v>
      </c>
    </row>
    <row r="1453">
      <c r="A1453" s="27" t="s">
        <v>3225</v>
      </c>
      <c r="B1453" s="27" t="s">
        <v>1087</v>
      </c>
      <c r="C1453" s="27" t="s">
        <v>2437</v>
      </c>
    </row>
    <row r="1454">
      <c r="A1454" s="27" t="s">
        <v>3226</v>
      </c>
      <c r="B1454" s="27" t="s">
        <v>1091</v>
      </c>
      <c r="C1454" s="27" t="s">
        <v>2437</v>
      </c>
    </row>
    <row r="1455">
      <c r="A1455" s="27" t="s">
        <v>3227</v>
      </c>
      <c r="B1455" s="27" t="s">
        <v>1089</v>
      </c>
      <c r="C1455" s="27" t="s">
        <v>2437</v>
      </c>
    </row>
    <row r="1456">
      <c r="A1456" s="27" t="s">
        <v>3237</v>
      </c>
      <c r="B1456" s="27" t="s">
        <v>2735</v>
      </c>
      <c r="C1456" s="27" t="s">
        <v>3238</v>
      </c>
    </row>
    <row r="1457">
      <c r="A1457" s="27" t="s">
        <v>2364</v>
      </c>
      <c r="B1457" s="27">
        <v>1.564150627423E12</v>
      </c>
      <c r="C1457" s="27" t="s">
        <v>2462</v>
      </c>
    </row>
    <row r="1458">
      <c r="A1458" s="27" t="s">
        <v>2366</v>
      </c>
      <c r="B1458" s="27">
        <v>1.564150661249E12</v>
      </c>
      <c r="C1458" s="27" t="s">
        <v>2462</v>
      </c>
    </row>
    <row r="1459">
      <c r="A1459" s="27" t="s">
        <v>2367</v>
      </c>
      <c r="B1459" s="27">
        <v>1.566335721736E12</v>
      </c>
      <c r="C1459" s="27" t="s">
        <v>2462</v>
      </c>
    </row>
    <row r="1460">
      <c r="A1460" s="27" t="s">
        <v>2369</v>
      </c>
      <c r="B1460" s="27">
        <v>1.566849947902E12</v>
      </c>
      <c r="C1460" s="27" t="s">
        <v>2451</v>
      </c>
    </row>
    <row r="1461">
      <c r="A1461" s="27" t="s">
        <v>2373</v>
      </c>
      <c r="B1461" s="27">
        <v>1.592492799236E12</v>
      </c>
      <c r="C1461" s="27" t="s">
        <v>2462</v>
      </c>
    </row>
    <row r="1462">
      <c r="A1462" s="27" t="s">
        <v>2374</v>
      </c>
      <c r="B1462" s="27">
        <v>1.59708649984E12</v>
      </c>
      <c r="C1462" s="27" t="s">
        <v>2451</v>
      </c>
    </row>
    <row r="1463">
      <c r="A1463" s="27" t="s">
        <v>2375</v>
      </c>
      <c r="B1463" s="27">
        <v>1.597098592591E12</v>
      </c>
      <c r="C1463" s="27" t="s">
        <v>2451</v>
      </c>
    </row>
    <row r="1464">
      <c r="A1464" s="27" t="s">
        <v>2381</v>
      </c>
      <c r="B1464" s="27">
        <v>1.623703690011E12</v>
      </c>
      <c r="C1464" s="27" t="s">
        <v>2437</v>
      </c>
    </row>
    <row r="1465">
      <c r="A1465" s="27" t="s">
        <v>2383</v>
      </c>
      <c r="B1465" s="27">
        <v>1.623703728452E12</v>
      </c>
      <c r="C1465" s="27" t="s">
        <v>2363</v>
      </c>
    </row>
    <row r="1466">
      <c r="A1466" s="27" t="s">
        <v>2757</v>
      </c>
      <c r="B1466" s="27">
        <v>1.623703942966E12</v>
      </c>
      <c r="C1466" s="27" t="s">
        <v>2441</v>
      </c>
    </row>
    <row r="1467">
      <c r="A1467" s="27" t="s">
        <v>2450</v>
      </c>
      <c r="B1467" s="27">
        <v>1.661873799978E12</v>
      </c>
      <c r="C1467" s="27" t="s">
        <v>2451</v>
      </c>
    </row>
    <row r="1468">
      <c r="A1468" s="27" t="s">
        <v>2466</v>
      </c>
      <c r="B1468" s="27">
        <v>6.793383184397E13</v>
      </c>
      <c r="C1468" s="27" t="s">
        <v>2441</v>
      </c>
    </row>
    <row r="1469">
      <c r="A1469" s="27" t="s">
        <v>2467</v>
      </c>
      <c r="B1469" s="27">
        <v>6.7933833934278E13</v>
      </c>
      <c r="C1469" s="27" t="s">
        <v>2441</v>
      </c>
    </row>
    <row r="1470">
      <c r="A1470" s="27" t="s">
        <v>2468</v>
      </c>
      <c r="B1470" s="27">
        <v>6.7933835121467E13</v>
      </c>
      <c r="C1470" s="27" t="s">
        <v>2441</v>
      </c>
    </row>
    <row r="1471">
      <c r="A1471" s="27" t="s">
        <v>2828</v>
      </c>
      <c r="B1471" s="27">
        <v>6.7933835988925E13</v>
      </c>
      <c r="C1471" s="27" t="s">
        <v>2441</v>
      </c>
    </row>
    <row r="1472">
      <c r="A1472" s="27" t="s">
        <v>2476</v>
      </c>
      <c r="B1472" s="27">
        <v>6.8658866289861E13</v>
      </c>
      <c r="C1472" s="27" t="s">
        <v>2451</v>
      </c>
    </row>
    <row r="1473">
      <c r="A1473" s="27" t="s">
        <v>2477</v>
      </c>
      <c r="B1473" s="27">
        <v>6.8658868763602E13</v>
      </c>
      <c r="C1473" s="27" t="s">
        <v>2451</v>
      </c>
    </row>
    <row r="1474">
      <c r="A1474" s="27" t="s">
        <v>2532</v>
      </c>
      <c r="B1474" s="27" t="s">
        <v>466</v>
      </c>
      <c r="C1474" s="27" t="s">
        <v>2363</v>
      </c>
    </row>
    <row r="1475">
      <c r="A1475" s="27" t="s">
        <v>3165</v>
      </c>
      <c r="B1475" s="27" t="s">
        <v>474</v>
      </c>
      <c r="C1475" s="27" t="s">
        <v>2451</v>
      </c>
    </row>
    <row r="1476">
      <c r="A1476" s="27" t="s">
        <v>2533</v>
      </c>
      <c r="B1476" s="27" t="s">
        <v>529</v>
      </c>
      <c r="C1476" s="27" t="s">
        <v>2361</v>
      </c>
    </row>
    <row r="1477">
      <c r="A1477" s="27" t="s">
        <v>2534</v>
      </c>
      <c r="B1477" s="27" t="s">
        <v>531</v>
      </c>
      <c r="C1477" s="27" t="s">
        <v>2462</v>
      </c>
    </row>
    <row r="1478">
      <c r="A1478" s="27" t="s">
        <v>2535</v>
      </c>
      <c r="B1478" s="27" t="s">
        <v>533</v>
      </c>
      <c r="C1478" s="27" t="s">
        <v>2462</v>
      </c>
    </row>
    <row r="1479">
      <c r="A1479" s="27" t="s">
        <v>3150</v>
      </c>
      <c r="B1479" s="27" t="s">
        <v>611</v>
      </c>
      <c r="C1479" s="27" t="s">
        <v>2441</v>
      </c>
    </row>
    <row r="1480">
      <c r="A1480" s="27" t="s">
        <v>2536</v>
      </c>
      <c r="B1480" s="27" t="s">
        <v>603</v>
      </c>
      <c r="C1480" s="27" t="s">
        <v>2451</v>
      </c>
    </row>
    <row r="1481">
      <c r="A1481" s="27" t="s">
        <v>2537</v>
      </c>
      <c r="B1481" s="27" t="s">
        <v>601</v>
      </c>
      <c r="C1481" s="27" t="s">
        <v>2409</v>
      </c>
    </row>
    <row r="1482">
      <c r="A1482" s="27" t="s">
        <v>2538</v>
      </c>
      <c r="B1482" s="27" t="s">
        <v>605</v>
      </c>
      <c r="C1482" s="27" t="s">
        <v>2441</v>
      </c>
    </row>
    <row r="1483">
      <c r="A1483" s="27" t="s">
        <v>2539</v>
      </c>
      <c r="B1483" s="27" t="s">
        <v>607</v>
      </c>
      <c r="C1483" s="27" t="s">
        <v>2451</v>
      </c>
    </row>
    <row r="1484">
      <c r="A1484" s="27" t="s">
        <v>2912</v>
      </c>
      <c r="B1484" s="27" t="s">
        <v>657</v>
      </c>
      <c r="C1484" s="27" t="s">
        <v>2441</v>
      </c>
    </row>
    <row r="1485">
      <c r="A1485" s="27" t="s">
        <v>2913</v>
      </c>
      <c r="B1485" s="27" t="s">
        <v>653</v>
      </c>
      <c r="C1485" s="27" t="s">
        <v>2437</v>
      </c>
    </row>
    <row r="1486">
      <c r="A1486" s="27" t="s">
        <v>2914</v>
      </c>
      <c r="B1486" s="27" t="s">
        <v>659</v>
      </c>
      <c r="C1486" s="27" t="s">
        <v>2441</v>
      </c>
    </row>
    <row r="1487">
      <c r="A1487" s="27" t="s">
        <v>2915</v>
      </c>
      <c r="B1487" s="27" t="s">
        <v>655</v>
      </c>
      <c r="C1487" s="27" t="s">
        <v>2441</v>
      </c>
    </row>
    <row r="1488">
      <c r="A1488" s="27" t="s">
        <v>2916</v>
      </c>
      <c r="B1488" s="27" t="s">
        <v>623</v>
      </c>
      <c r="C1488" s="27" t="s">
        <v>3164</v>
      </c>
    </row>
    <row r="1489">
      <c r="A1489" s="27" t="s">
        <v>2918</v>
      </c>
      <c r="B1489" s="27" t="s">
        <v>619</v>
      </c>
      <c r="C1489" s="27" t="s">
        <v>2359</v>
      </c>
    </row>
    <row r="1490">
      <c r="A1490" s="27" t="s">
        <v>2919</v>
      </c>
      <c r="B1490" s="27" t="s">
        <v>621</v>
      </c>
      <c r="C1490" s="27" t="s">
        <v>2363</v>
      </c>
    </row>
    <row r="1491">
      <c r="A1491" s="27" t="s">
        <v>2920</v>
      </c>
      <c r="B1491" s="27" t="s">
        <v>625</v>
      </c>
      <c r="C1491" s="27" t="s">
        <v>3164</v>
      </c>
    </row>
    <row r="1492">
      <c r="A1492" s="27" t="s">
        <v>2540</v>
      </c>
      <c r="B1492" s="27" t="s">
        <v>631</v>
      </c>
      <c r="C1492" s="27" t="s">
        <v>2437</v>
      </c>
    </row>
    <row r="1493">
      <c r="A1493" s="27" t="s">
        <v>2921</v>
      </c>
      <c r="B1493" s="27" t="s">
        <v>627</v>
      </c>
      <c r="C1493" s="27" t="s">
        <v>2359</v>
      </c>
    </row>
    <row r="1494">
      <c r="A1494" s="27" t="s">
        <v>2541</v>
      </c>
      <c r="B1494" s="27" t="s">
        <v>635</v>
      </c>
      <c r="C1494" s="27" t="s">
        <v>2437</v>
      </c>
    </row>
    <row r="1495">
      <c r="A1495" s="27" t="s">
        <v>2542</v>
      </c>
      <c r="B1495" s="27" t="s">
        <v>629</v>
      </c>
      <c r="C1495" s="27" t="s">
        <v>2437</v>
      </c>
    </row>
    <row r="1496">
      <c r="A1496" s="27" t="s">
        <v>2543</v>
      </c>
      <c r="B1496" s="27" t="s">
        <v>633</v>
      </c>
      <c r="C1496" s="27" t="s">
        <v>2437</v>
      </c>
    </row>
    <row r="1497">
      <c r="A1497" s="27" t="s">
        <v>3167</v>
      </c>
      <c r="B1497" s="27" t="s">
        <v>637</v>
      </c>
      <c r="C1497" s="27" t="s">
        <v>2441</v>
      </c>
    </row>
    <row r="1498">
      <c r="A1498" s="27" t="s">
        <v>3168</v>
      </c>
      <c r="B1498" s="27" t="s">
        <v>639</v>
      </c>
      <c r="C1498" s="27" t="s">
        <v>2437</v>
      </c>
    </row>
    <row r="1499">
      <c r="A1499" s="27" t="s">
        <v>3169</v>
      </c>
      <c r="B1499" s="27" t="s">
        <v>641</v>
      </c>
      <c r="C1499" s="27" t="s">
        <v>2441</v>
      </c>
    </row>
    <row r="1500">
      <c r="A1500" s="27" t="s">
        <v>3170</v>
      </c>
      <c r="B1500" s="27" t="s">
        <v>643</v>
      </c>
      <c r="C1500" s="27" t="s">
        <v>2441</v>
      </c>
    </row>
    <row r="1501">
      <c r="A1501" s="27" t="s">
        <v>3171</v>
      </c>
      <c r="B1501" s="27" t="s">
        <v>645</v>
      </c>
      <c r="C1501" s="27" t="s">
        <v>2363</v>
      </c>
    </row>
    <row r="1502">
      <c r="A1502" s="27" t="s">
        <v>3172</v>
      </c>
      <c r="B1502" s="27" t="s">
        <v>647</v>
      </c>
      <c r="C1502" s="27" t="s">
        <v>2437</v>
      </c>
    </row>
    <row r="1503">
      <c r="A1503" s="27" t="s">
        <v>3173</v>
      </c>
      <c r="B1503" s="27" t="s">
        <v>649</v>
      </c>
      <c r="C1503" s="27" t="s">
        <v>2451</v>
      </c>
    </row>
    <row r="1504">
      <c r="A1504" s="27" t="s">
        <v>3174</v>
      </c>
      <c r="B1504" s="27" t="s">
        <v>651</v>
      </c>
      <c r="C1504" s="27" t="s">
        <v>2451</v>
      </c>
    </row>
    <row r="1505">
      <c r="A1505" s="27" t="s">
        <v>2544</v>
      </c>
      <c r="B1505" s="27" t="s">
        <v>542</v>
      </c>
      <c r="C1505" s="27" t="s">
        <v>2441</v>
      </c>
    </row>
    <row r="1506">
      <c r="A1506" s="27" t="s">
        <v>3175</v>
      </c>
      <c r="B1506" s="27" t="s">
        <v>546</v>
      </c>
      <c r="C1506" s="27" t="s">
        <v>2441</v>
      </c>
    </row>
    <row r="1507">
      <c r="A1507" s="27" t="s">
        <v>2545</v>
      </c>
      <c r="B1507" s="27" t="s">
        <v>544</v>
      </c>
      <c r="C1507" s="27" t="s">
        <v>2441</v>
      </c>
    </row>
    <row r="1508">
      <c r="A1508" s="27" t="s">
        <v>2546</v>
      </c>
      <c r="B1508" s="27" t="s">
        <v>548</v>
      </c>
      <c r="C1508" s="27" t="s">
        <v>2437</v>
      </c>
    </row>
    <row r="1509">
      <c r="A1509" s="27" t="s">
        <v>2548</v>
      </c>
      <c r="B1509" s="27" t="s">
        <v>540</v>
      </c>
      <c r="C1509" s="27" t="s">
        <v>2441</v>
      </c>
    </row>
    <row r="1510">
      <c r="A1510" s="27" t="s">
        <v>2549</v>
      </c>
      <c r="B1510" s="27" t="s">
        <v>550</v>
      </c>
      <c r="C1510" s="27" t="s">
        <v>2451</v>
      </c>
    </row>
    <row r="1511">
      <c r="A1511" s="27" t="s">
        <v>3176</v>
      </c>
      <c r="B1511" s="27" t="s">
        <v>1173</v>
      </c>
      <c r="C1511" s="27" t="s">
        <v>2363</v>
      </c>
    </row>
    <row r="1512">
      <c r="A1512" s="27" t="s">
        <v>3177</v>
      </c>
      <c r="B1512" s="27" t="s">
        <v>1175</v>
      </c>
      <c r="C1512" s="27" t="s">
        <v>2437</v>
      </c>
    </row>
    <row r="1513">
      <c r="A1513" s="27" t="s">
        <v>2550</v>
      </c>
      <c r="B1513" s="27" t="s">
        <v>722</v>
      </c>
      <c r="C1513" s="27" t="s">
        <v>2437</v>
      </c>
    </row>
    <row r="1514">
      <c r="A1514" s="27" t="s">
        <v>3178</v>
      </c>
      <c r="B1514" s="27" t="s">
        <v>470</v>
      </c>
      <c r="C1514" s="27" t="s">
        <v>2441</v>
      </c>
    </row>
    <row r="1515">
      <c r="A1515" s="27" t="s">
        <v>2551</v>
      </c>
      <c r="B1515" s="27" t="s">
        <v>472</v>
      </c>
      <c r="C1515" s="27" t="s">
        <v>2441</v>
      </c>
    </row>
    <row r="1516">
      <c r="A1516" s="27" t="s">
        <v>3179</v>
      </c>
      <c r="B1516" s="27" t="s">
        <v>476</v>
      </c>
      <c r="C1516" s="27" t="s">
        <v>2361</v>
      </c>
    </row>
    <row r="1517">
      <c r="A1517" s="27" t="s">
        <v>3180</v>
      </c>
      <c r="B1517" s="27" t="s">
        <v>478</v>
      </c>
      <c r="C1517" s="27" t="s">
        <v>2361</v>
      </c>
    </row>
    <row r="1518">
      <c r="A1518" s="27" t="s">
        <v>2554</v>
      </c>
      <c r="B1518" s="27" t="s">
        <v>357</v>
      </c>
      <c r="C1518" s="27" t="s">
        <v>2451</v>
      </c>
    </row>
    <row r="1519">
      <c r="A1519" s="27" t="s">
        <v>2556</v>
      </c>
      <c r="B1519" s="27" t="s">
        <v>359</v>
      </c>
      <c r="C1519" s="27" t="s">
        <v>2451</v>
      </c>
    </row>
    <row r="1520">
      <c r="A1520" s="27" t="s">
        <v>2559</v>
      </c>
      <c r="B1520" s="27" t="s">
        <v>361</v>
      </c>
      <c r="C1520" s="27" t="s">
        <v>2451</v>
      </c>
    </row>
    <row r="1521">
      <c r="A1521" s="27" t="s">
        <v>3181</v>
      </c>
      <c r="B1521" s="27" t="s">
        <v>363</v>
      </c>
      <c r="C1521" s="27" t="s">
        <v>2451</v>
      </c>
    </row>
    <row r="1522">
      <c r="A1522" s="27" t="s">
        <v>3182</v>
      </c>
      <c r="B1522" s="27" t="s">
        <v>367</v>
      </c>
      <c r="C1522" s="27" t="s">
        <v>2451</v>
      </c>
    </row>
    <row r="1523">
      <c r="A1523" s="27" t="s">
        <v>3183</v>
      </c>
      <c r="B1523" s="27" t="s">
        <v>365</v>
      </c>
      <c r="C1523" s="27" t="s">
        <v>2451</v>
      </c>
    </row>
    <row r="1524">
      <c r="A1524" s="27" t="s">
        <v>3184</v>
      </c>
      <c r="B1524" s="27" t="s">
        <v>347</v>
      </c>
      <c r="C1524" s="27" t="s">
        <v>2451</v>
      </c>
    </row>
    <row r="1525">
      <c r="A1525" s="27" t="s">
        <v>3185</v>
      </c>
      <c r="B1525" s="27" t="s">
        <v>351</v>
      </c>
      <c r="C1525" s="27" t="s">
        <v>2451</v>
      </c>
    </row>
    <row r="1526">
      <c r="A1526" s="27" t="s">
        <v>3186</v>
      </c>
      <c r="B1526" s="27" t="s">
        <v>349</v>
      </c>
      <c r="C1526" s="27" t="s">
        <v>2451</v>
      </c>
    </row>
    <row r="1527">
      <c r="A1527" s="27" t="s">
        <v>2560</v>
      </c>
      <c r="B1527" s="27" t="s">
        <v>369</v>
      </c>
      <c r="C1527" s="27" t="s">
        <v>2451</v>
      </c>
    </row>
    <row r="1528">
      <c r="A1528" s="27" t="s">
        <v>2561</v>
      </c>
      <c r="B1528" s="27" t="s">
        <v>371</v>
      </c>
      <c r="C1528" s="27" t="s">
        <v>2451</v>
      </c>
    </row>
    <row r="1529">
      <c r="A1529" s="27" t="s">
        <v>2562</v>
      </c>
      <c r="B1529" s="27" t="s">
        <v>373</v>
      </c>
      <c r="C1529" s="27" t="s">
        <v>2451</v>
      </c>
    </row>
    <row r="1530">
      <c r="A1530" s="27" t="s">
        <v>2563</v>
      </c>
      <c r="B1530" s="27" t="s">
        <v>353</v>
      </c>
      <c r="C1530" s="27" t="s">
        <v>2451</v>
      </c>
    </row>
    <row r="1531">
      <c r="A1531" s="27" t="s">
        <v>2564</v>
      </c>
      <c r="B1531" s="27" t="s">
        <v>355</v>
      </c>
      <c r="C1531" s="27" t="s">
        <v>2451</v>
      </c>
    </row>
    <row r="1532">
      <c r="A1532" s="27" t="s">
        <v>2565</v>
      </c>
      <c r="B1532" s="27" t="s">
        <v>557</v>
      </c>
      <c r="C1532" s="27" t="s">
        <v>2363</v>
      </c>
    </row>
    <row r="1533">
      <c r="A1533" s="27" t="s">
        <v>2567</v>
      </c>
      <c r="B1533" s="27" t="s">
        <v>559</v>
      </c>
      <c r="C1533" s="27" t="s">
        <v>2363</v>
      </c>
    </row>
    <row r="1534">
      <c r="A1534" s="27" t="s">
        <v>2568</v>
      </c>
      <c r="B1534" s="27" t="s">
        <v>561</v>
      </c>
      <c r="C1534" s="27" t="s">
        <v>2363</v>
      </c>
    </row>
    <row r="1535">
      <c r="A1535" s="27" t="s">
        <v>3125</v>
      </c>
      <c r="B1535" s="27" t="s">
        <v>708</v>
      </c>
      <c r="C1535" s="27" t="s">
        <v>2359</v>
      </c>
    </row>
    <row r="1536">
      <c r="A1536" s="27" t="s">
        <v>2569</v>
      </c>
      <c r="B1536" s="27" t="s">
        <v>716</v>
      </c>
      <c r="C1536" s="27" t="s">
        <v>2437</v>
      </c>
    </row>
    <row r="1537">
      <c r="A1537" s="27" t="s">
        <v>2570</v>
      </c>
      <c r="B1537" s="27" t="s">
        <v>714</v>
      </c>
      <c r="C1537" s="27" t="s">
        <v>2437</v>
      </c>
    </row>
    <row r="1538">
      <c r="A1538" s="27" t="s">
        <v>3126</v>
      </c>
      <c r="B1538" s="27" t="s">
        <v>712</v>
      </c>
      <c r="C1538" s="27" t="s">
        <v>2437</v>
      </c>
    </row>
    <row r="1539">
      <c r="A1539" s="27" t="s">
        <v>2571</v>
      </c>
      <c r="B1539" s="27" t="s">
        <v>710</v>
      </c>
      <c r="C1539" s="27" t="s">
        <v>2363</v>
      </c>
    </row>
    <row r="1540">
      <c r="A1540" s="27" t="s">
        <v>2572</v>
      </c>
      <c r="B1540" s="27" t="s">
        <v>706</v>
      </c>
      <c r="C1540" s="27" t="s">
        <v>2437</v>
      </c>
    </row>
    <row r="1541">
      <c r="A1541" s="27" t="s">
        <v>2573</v>
      </c>
      <c r="B1541" s="27" t="s">
        <v>572</v>
      </c>
      <c r="C1541" s="27" t="s">
        <v>2437</v>
      </c>
    </row>
    <row r="1542">
      <c r="A1542" s="27" t="s">
        <v>2574</v>
      </c>
      <c r="B1542" s="27" t="s">
        <v>568</v>
      </c>
      <c r="C1542" s="27" t="s">
        <v>2363</v>
      </c>
    </row>
    <row r="1543">
      <c r="A1543" s="27" t="s">
        <v>2575</v>
      </c>
      <c r="B1543" s="27" t="s">
        <v>570</v>
      </c>
      <c r="C1543" s="27" t="s">
        <v>2363</v>
      </c>
    </row>
    <row r="1544">
      <c r="A1544" s="27" t="s">
        <v>3152</v>
      </c>
      <c r="B1544" s="27" t="s">
        <v>574</v>
      </c>
      <c r="C1544" s="27" t="s">
        <v>2363</v>
      </c>
    </row>
    <row r="1545">
      <c r="A1545" s="27" t="s">
        <v>2577</v>
      </c>
      <c r="B1545" s="27" t="s">
        <v>595</v>
      </c>
      <c r="C1545" s="27" t="s">
        <v>2462</v>
      </c>
    </row>
    <row r="1546">
      <c r="A1546" s="27" t="s">
        <v>2578</v>
      </c>
      <c r="B1546" s="27" t="s">
        <v>597</v>
      </c>
      <c r="C1546" s="27" t="s">
        <v>2447</v>
      </c>
    </row>
    <row r="1547">
      <c r="A1547" s="27" t="s">
        <v>3187</v>
      </c>
      <c r="B1547" s="27" t="s">
        <v>386</v>
      </c>
      <c r="C1547" s="27" t="s">
        <v>2437</v>
      </c>
    </row>
    <row r="1548">
      <c r="A1548" s="27" t="s">
        <v>3188</v>
      </c>
      <c r="B1548" s="27" t="s">
        <v>388</v>
      </c>
      <c r="C1548" s="27" t="s">
        <v>2441</v>
      </c>
    </row>
    <row r="1549">
      <c r="A1549" s="27" t="s">
        <v>3189</v>
      </c>
      <c r="B1549" s="27" t="s">
        <v>390</v>
      </c>
      <c r="C1549" s="27" t="s">
        <v>2451</v>
      </c>
    </row>
    <row r="1550">
      <c r="A1550" s="27" t="s">
        <v>3190</v>
      </c>
      <c r="B1550" s="27" t="s">
        <v>392</v>
      </c>
      <c r="C1550" s="27" t="s">
        <v>2441</v>
      </c>
    </row>
    <row r="1551">
      <c r="A1551" s="27" t="s">
        <v>3191</v>
      </c>
      <c r="B1551" s="27" t="s">
        <v>394</v>
      </c>
      <c r="C1551" s="27" t="s">
        <v>2437</v>
      </c>
    </row>
    <row r="1552">
      <c r="A1552" s="27" t="s">
        <v>3192</v>
      </c>
      <c r="B1552" s="27" t="s">
        <v>376</v>
      </c>
      <c r="C1552" s="27" t="s">
        <v>2437</v>
      </c>
    </row>
    <row r="1553">
      <c r="A1553" s="27" t="s">
        <v>3193</v>
      </c>
      <c r="B1553" s="27" t="s">
        <v>378</v>
      </c>
      <c r="C1553" s="27" t="s">
        <v>2441</v>
      </c>
    </row>
    <row r="1554">
      <c r="A1554" s="27" t="s">
        <v>3194</v>
      </c>
      <c r="B1554" s="27" t="s">
        <v>380</v>
      </c>
      <c r="C1554" s="27" t="s">
        <v>2451</v>
      </c>
    </row>
    <row r="1555">
      <c r="A1555" s="27" t="s">
        <v>3195</v>
      </c>
      <c r="B1555" s="27" t="s">
        <v>382</v>
      </c>
      <c r="C1555" s="27" t="s">
        <v>2441</v>
      </c>
    </row>
    <row r="1556">
      <c r="A1556" s="27" t="s">
        <v>3196</v>
      </c>
      <c r="B1556" s="27" t="s">
        <v>384</v>
      </c>
      <c r="C1556" s="27" t="s">
        <v>2437</v>
      </c>
    </row>
    <row r="1557">
      <c r="A1557" s="27" t="s">
        <v>3197</v>
      </c>
      <c r="B1557" s="27" t="s">
        <v>396</v>
      </c>
      <c r="C1557" s="27" t="s">
        <v>2437</v>
      </c>
    </row>
    <row r="1558">
      <c r="A1558" s="27" t="s">
        <v>3198</v>
      </c>
      <c r="B1558" s="27" t="s">
        <v>398</v>
      </c>
      <c r="C1558" s="27" t="s">
        <v>2441</v>
      </c>
    </row>
    <row r="1559">
      <c r="A1559" s="27" t="s">
        <v>3199</v>
      </c>
      <c r="B1559" s="27" t="s">
        <v>400</v>
      </c>
      <c r="C1559" s="27" t="s">
        <v>2451</v>
      </c>
    </row>
    <row r="1560">
      <c r="A1560" s="27" t="s">
        <v>3200</v>
      </c>
      <c r="B1560" s="27" t="s">
        <v>402</v>
      </c>
      <c r="C1560" s="27" t="s">
        <v>2441</v>
      </c>
    </row>
    <row r="1561">
      <c r="A1561" s="27" t="s">
        <v>3201</v>
      </c>
      <c r="B1561" s="27" t="s">
        <v>404</v>
      </c>
      <c r="C1561" s="27" t="s">
        <v>2437</v>
      </c>
    </row>
    <row r="1562">
      <c r="A1562" s="27" t="s">
        <v>2580</v>
      </c>
      <c r="B1562" s="27" t="s">
        <v>490</v>
      </c>
      <c r="C1562" s="27" t="s">
        <v>2363</v>
      </c>
    </row>
    <row r="1563">
      <c r="A1563" s="27" t="s">
        <v>3202</v>
      </c>
      <c r="B1563" s="27" t="s">
        <v>492</v>
      </c>
      <c r="C1563" s="27" t="s">
        <v>2437</v>
      </c>
    </row>
    <row r="1564">
      <c r="A1564" s="27" t="s">
        <v>3203</v>
      </c>
      <c r="B1564" s="27" t="s">
        <v>494</v>
      </c>
      <c r="C1564" s="27" t="s">
        <v>2437</v>
      </c>
    </row>
    <row r="1565">
      <c r="A1565" s="27" t="s">
        <v>3204</v>
      </c>
      <c r="B1565" s="27" t="s">
        <v>496</v>
      </c>
      <c r="C1565" s="27" t="s">
        <v>2437</v>
      </c>
    </row>
    <row r="1566">
      <c r="A1566" s="27" t="s">
        <v>3205</v>
      </c>
      <c r="B1566" s="27" t="s">
        <v>498</v>
      </c>
      <c r="C1566" s="27" t="s">
        <v>2437</v>
      </c>
    </row>
    <row r="1567">
      <c r="A1567" s="27" t="s">
        <v>3206</v>
      </c>
      <c r="B1567" s="27" t="s">
        <v>500</v>
      </c>
      <c r="C1567" s="27" t="s">
        <v>2437</v>
      </c>
    </row>
    <row r="1568">
      <c r="A1568" s="27" t="s">
        <v>2581</v>
      </c>
      <c r="B1568" s="27" t="s">
        <v>502</v>
      </c>
      <c r="C1568" s="27" t="s">
        <v>2441</v>
      </c>
    </row>
    <row r="1569">
      <c r="A1569" s="27" t="s">
        <v>2582</v>
      </c>
      <c r="B1569" s="27" t="s">
        <v>504</v>
      </c>
      <c r="C1569" s="27" t="s">
        <v>2441</v>
      </c>
    </row>
    <row r="1570">
      <c r="A1570" s="27" t="s">
        <v>2584</v>
      </c>
      <c r="B1570" s="27" t="s">
        <v>506</v>
      </c>
      <c r="C1570" s="27" t="s">
        <v>2441</v>
      </c>
    </row>
    <row r="1571">
      <c r="A1571" s="27" t="s">
        <v>2586</v>
      </c>
      <c r="B1571" s="27" t="s">
        <v>508</v>
      </c>
      <c r="C1571" s="27" t="s">
        <v>2441</v>
      </c>
    </row>
    <row r="1572">
      <c r="A1572" s="27" t="s">
        <v>3154</v>
      </c>
      <c r="B1572" s="27" t="s">
        <v>751</v>
      </c>
      <c r="C1572" s="27" t="s">
        <v>2437</v>
      </c>
    </row>
    <row r="1573">
      <c r="A1573" s="27" t="s">
        <v>3155</v>
      </c>
      <c r="B1573" s="27" t="s">
        <v>753</v>
      </c>
      <c r="C1573" s="27" t="s">
        <v>2437</v>
      </c>
    </row>
    <row r="1574">
      <c r="A1574" s="27" t="s">
        <v>3207</v>
      </c>
      <c r="B1574" s="27" t="s">
        <v>755</v>
      </c>
      <c r="C1574" s="27" t="s">
        <v>2437</v>
      </c>
    </row>
    <row r="1575">
      <c r="A1575" s="27" t="s">
        <v>3156</v>
      </c>
      <c r="B1575" s="27" t="s">
        <v>773</v>
      </c>
      <c r="C1575" s="27" t="s">
        <v>2441</v>
      </c>
    </row>
    <row r="1576">
      <c r="A1576" s="27" t="s">
        <v>3157</v>
      </c>
      <c r="B1576" s="27" t="s">
        <v>775</v>
      </c>
      <c r="C1576" s="27" t="s">
        <v>2437</v>
      </c>
    </row>
    <row r="1577">
      <c r="A1577" s="27" t="s">
        <v>3208</v>
      </c>
      <c r="B1577" s="27" t="s">
        <v>784</v>
      </c>
      <c r="C1577" s="27" t="s">
        <v>2441</v>
      </c>
    </row>
    <row r="1578">
      <c r="A1578" s="27" t="s">
        <v>3209</v>
      </c>
      <c r="B1578" s="27" t="s">
        <v>788</v>
      </c>
      <c r="C1578" s="27" t="s">
        <v>2437</v>
      </c>
    </row>
    <row r="1579">
      <c r="A1579" s="27" t="s">
        <v>3210</v>
      </c>
      <c r="B1579" s="27" t="s">
        <v>793</v>
      </c>
      <c r="C1579" s="27" t="s">
        <v>2363</v>
      </c>
    </row>
    <row r="1580">
      <c r="A1580" s="27" t="s">
        <v>3211</v>
      </c>
      <c r="B1580" s="27" t="s">
        <v>795</v>
      </c>
      <c r="C1580" s="27" t="s">
        <v>2363</v>
      </c>
    </row>
    <row r="1581">
      <c r="A1581" s="27" t="s">
        <v>2925</v>
      </c>
      <c r="B1581" s="27" t="s">
        <v>739</v>
      </c>
      <c r="C1581" s="27" t="s">
        <v>2359</v>
      </c>
    </row>
    <row r="1582">
      <c r="A1582" s="27" t="s">
        <v>2926</v>
      </c>
      <c r="B1582" s="27" t="s">
        <v>743</v>
      </c>
      <c r="C1582" s="27" t="s">
        <v>2437</v>
      </c>
    </row>
    <row r="1583">
      <c r="A1583" s="27" t="s">
        <v>2927</v>
      </c>
      <c r="B1583" s="27" t="s">
        <v>741</v>
      </c>
      <c r="C1583" s="27" t="s">
        <v>2441</v>
      </c>
    </row>
    <row r="1584">
      <c r="A1584" s="27" t="s">
        <v>2928</v>
      </c>
      <c r="B1584" s="27" t="s">
        <v>737</v>
      </c>
      <c r="C1584" s="27" t="s">
        <v>2437</v>
      </c>
    </row>
    <row r="1585">
      <c r="A1585" s="27" t="s">
        <v>2588</v>
      </c>
      <c r="B1585" s="27" t="s">
        <v>453</v>
      </c>
      <c r="C1585" s="27" t="s">
        <v>2380</v>
      </c>
    </row>
    <row r="1586">
      <c r="A1586" s="27" t="s">
        <v>2589</v>
      </c>
      <c r="B1586" s="27" t="s">
        <v>455</v>
      </c>
      <c r="C1586" s="27" t="s">
        <v>2380</v>
      </c>
    </row>
    <row r="1587">
      <c r="A1587" s="27" t="s">
        <v>3212</v>
      </c>
      <c r="B1587" s="27" t="s">
        <v>671</v>
      </c>
      <c r="C1587" s="27" t="s">
        <v>2380</v>
      </c>
    </row>
    <row r="1588">
      <c r="A1588" s="27" t="s">
        <v>3213</v>
      </c>
      <c r="B1588" s="27" t="s">
        <v>673</v>
      </c>
      <c r="C1588" s="27" t="s">
        <v>2380</v>
      </c>
    </row>
    <row r="1589">
      <c r="A1589" s="27" t="s">
        <v>2929</v>
      </c>
      <c r="B1589" s="27" t="s">
        <v>665</v>
      </c>
      <c r="C1589" s="27" t="s">
        <v>3164</v>
      </c>
    </row>
    <row r="1590">
      <c r="A1590" s="27" t="s">
        <v>2930</v>
      </c>
      <c r="B1590" s="27" t="s">
        <v>663</v>
      </c>
      <c r="C1590" s="27" t="s">
        <v>2363</v>
      </c>
    </row>
    <row r="1591">
      <c r="A1591" s="27" t="s">
        <v>2590</v>
      </c>
      <c r="B1591" s="27" t="s">
        <v>669</v>
      </c>
      <c r="C1591" s="27" t="s">
        <v>2363</v>
      </c>
    </row>
    <row r="1592">
      <c r="A1592" s="27" t="s">
        <v>2591</v>
      </c>
      <c r="B1592" s="27" t="s">
        <v>667</v>
      </c>
      <c r="C1592" s="27" t="s">
        <v>2437</v>
      </c>
    </row>
    <row r="1593">
      <c r="A1593" s="27" t="s">
        <v>2592</v>
      </c>
      <c r="B1593" s="27" t="s">
        <v>661</v>
      </c>
      <c r="C1593" s="27" t="s">
        <v>2437</v>
      </c>
    </row>
    <row r="1594">
      <c r="A1594" s="27" t="s">
        <v>2593</v>
      </c>
      <c r="B1594" s="27" t="s">
        <v>728</v>
      </c>
      <c r="C1594" s="27" t="s">
        <v>2437</v>
      </c>
    </row>
    <row r="1595">
      <c r="A1595" s="27" t="s">
        <v>2594</v>
      </c>
      <c r="B1595" s="27" t="s">
        <v>732</v>
      </c>
      <c r="C1595" s="27" t="s">
        <v>2437</v>
      </c>
    </row>
    <row r="1596">
      <c r="A1596" s="27" t="s">
        <v>2596</v>
      </c>
      <c r="B1596" s="27" t="s">
        <v>730</v>
      </c>
      <c r="C1596" s="27" t="s">
        <v>2437</v>
      </c>
    </row>
    <row r="1597">
      <c r="A1597" s="27" t="s">
        <v>2597</v>
      </c>
      <c r="B1597" s="27" t="s">
        <v>734</v>
      </c>
      <c r="C1597" s="27" t="s">
        <v>2437</v>
      </c>
    </row>
    <row r="1598">
      <c r="A1598" s="27" t="s">
        <v>2598</v>
      </c>
      <c r="B1598" s="27" t="s">
        <v>726</v>
      </c>
      <c r="C1598" s="27" t="s">
        <v>2437</v>
      </c>
    </row>
    <row r="1599">
      <c r="A1599" s="27" t="s">
        <v>2599</v>
      </c>
      <c r="B1599" s="27" t="s">
        <v>1093</v>
      </c>
      <c r="C1599" s="27" t="s">
        <v>2595</v>
      </c>
    </row>
    <row r="1600">
      <c r="A1600" s="27" t="s">
        <v>2600</v>
      </c>
      <c r="B1600" s="27" t="s">
        <v>1095</v>
      </c>
      <c r="C1600" s="27" t="s">
        <v>2447</v>
      </c>
    </row>
    <row r="1601">
      <c r="A1601" s="27" t="s">
        <v>2602</v>
      </c>
      <c r="B1601" s="27" t="s">
        <v>1097</v>
      </c>
      <c r="C1601" s="27" t="s">
        <v>2437</v>
      </c>
    </row>
    <row r="1602">
      <c r="A1602" s="27" t="s">
        <v>2604</v>
      </c>
      <c r="B1602" s="27" t="s">
        <v>1099</v>
      </c>
      <c r="C1602" s="27" t="s">
        <v>2441</v>
      </c>
    </row>
    <row r="1603">
      <c r="A1603" s="27" t="s">
        <v>2605</v>
      </c>
      <c r="B1603" s="27" t="s">
        <v>988</v>
      </c>
      <c r="C1603" s="27" t="s">
        <v>2382</v>
      </c>
    </row>
    <row r="1604">
      <c r="A1604" s="27" t="s">
        <v>2606</v>
      </c>
      <c r="B1604" s="27" t="s">
        <v>996</v>
      </c>
      <c r="C1604" s="27" t="s">
        <v>2797</v>
      </c>
    </row>
    <row r="1605">
      <c r="A1605" s="27" t="s">
        <v>2607</v>
      </c>
      <c r="B1605" s="27" t="s">
        <v>990</v>
      </c>
      <c r="C1605" s="27" t="s">
        <v>2394</v>
      </c>
    </row>
    <row r="1606">
      <c r="A1606" s="27" t="s">
        <v>2608</v>
      </c>
      <c r="B1606" s="27" t="s">
        <v>998</v>
      </c>
      <c r="C1606" s="27" t="s">
        <v>2372</v>
      </c>
    </row>
    <row r="1607">
      <c r="A1607" s="27" t="s">
        <v>2609</v>
      </c>
      <c r="B1607" s="27" t="s">
        <v>992</v>
      </c>
      <c r="C1607" s="27" t="s">
        <v>2361</v>
      </c>
    </row>
    <row r="1608">
      <c r="A1608" s="27" t="s">
        <v>2610</v>
      </c>
      <c r="B1608" s="27" t="s">
        <v>1000</v>
      </c>
      <c r="C1608" s="27" t="s">
        <v>2361</v>
      </c>
    </row>
    <row r="1609">
      <c r="A1609" s="27" t="s">
        <v>2611</v>
      </c>
      <c r="B1609" s="27" t="s">
        <v>994</v>
      </c>
      <c r="C1609" s="27" t="s">
        <v>2361</v>
      </c>
    </row>
    <row r="1610">
      <c r="A1610" s="27" t="s">
        <v>2612</v>
      </c>
      <c r="B1610" s="27" t="s">
        <v>1002</v>
      </c>
      <c r="C1610" s="27" t="s">
        <v>2441</v>
      </c>
    </row>
    <row r="1611">
      <c r="A1611" s="27" t="s">
        <v>2613</v>
      </c>
      <c r="B1611" s="27" t="s">
        <v>972</v>
      </c>
      <c r="C1611" s="27" t="s">
        <v>2409</v>
      </c>
    </row>
    <row r="1612">
      <c r="A1612" s="27" t="s">
        <v>2614</v>
      </c>
      <c r="B1612" s="27" t="s">
        <v>980</v>
      </c>
      <c r="C1612" s="27" t="s">
        <v>2409</v>
      </c>
    </row>
    <row r="1613">
      <c r="A1613" s="27" t="s">
        <v>2615</v>
      </c>
      <c r="B1613" s="27" t="s">
        <v>974</v>
      </c>
      <c r="C1613" s="27" t="s">
        <v>2451</v>
      </c>
    </row>
    <row r="1614">
      <c r="A1614" s="27" t="s">
        <v>2616</v>
      </c>
      <c r="B1614" s="27" t="s">
        <v>982</v>
      </c>
      <c r="C1614" s="27" t="s">
        <v>2451</v>
      </c>
    </row>
    <row r="1615">
      <c r="A1615" s="27" t="s">
        <v>2617</v>
      </c>
      <c r="B1615" s="27" t="s">
        <v>976</v>
      </c>
      <c r="C1615" s="27" t="s">
        <v>2363</v>
      </c>
    </row>
    <row r="1616">
      <c r="A1616" s="27" t="s">
        <v>2618</v>
      </c>
      <c r="B1616" s="27" t="s">
        <v>984</v>
      </c>
      <c r="C1616" s="27" t="s">
        <v>2363</v>
      </c>
    </row>
    <row r="1617">
      <c r="A1617" s="27" t="s">
        <v>2619</v>
      </c>
      <c r="B1617" s="27" t="s">
        <v>978</v>
      </c>
      <c r="C1617" s="27" t="s">
        <v>2363</v>
      </c>
    </row>
    <row r="1618">
      <c r="A1618" s="27" t="s">
        <v>2620</v>
      </c>
      <c r="B1618" s="27" t="s">
        <v>986</v>
      </c>
      <c r="C1618" s="27" t="s">
        <v>2363</v>
      </c>
    </row>
    <row r="1619">
      <c r="A1619" s="27" t="s">
        <v>2621</v>
      </c>
      <c r="B1619" s="27" t="s">
        <v>956</v>
      </c>
      <c r="C1619" s="27" t="s">
        <v>2447</v>
      </c>
    </row>
    <row r="1620">
      <c r="A1620" s="27" t="s">
        <v>2622</v>
      </c>
      <c r="B1620" s="27" t="s">
        <v>964</v>
      </c>
      <c r="C1620" s="27" t="s">
        <v>2447</v>
      </c>
    </row>
    <row r="1621">
      <c r="A1621" s="27" t="s">
        <v>2623</v>
      </c>
      <c r="B1621" s="27" t="s">
        <v>958</v>
      </c>
      <c r="C1621" s="27" t="s">
        <v>2361</v>
      </c>
    </row>
    <row r="1622">
      <c r="A1622" s="27" t="s">
        <v>2624</v>
      </c>
      <c r="B1622" s="27" t="s">
        <v>966</v>
      </c>
      <c r="C1622" s="27" t="s">
        <v>2361</v>
      </c>
    </row>
    <row r="1623">
      <c r="A1623" s="27" t="s">
        <v>2625</v>
      </c>
      <c r="B1623" s="27" t="s">
        <v>960</v>
      </c>
      <c r="C1623" s="27" t="s">
        <v>2437</v>
      </c>
    </row>
    <row r="1624">
      <c r="A1624" s="27" t="s">
        <v>2626</v>
      </c>
      <c r="B1624" s="27" t="s">
        <v>968</v>
      </c>
      <c r="C1624" s="27" t="s">
        <v>2437</v>
      </c>
    </row>
    <row r="1625">
      <c r="A1625" s="27" t="s">
        <v>2627</v>
      </c>
      <c r="B1625" s="27" t="s">
        <v>962</v>
      </c>
      <c r="C1625" s="27" t="s">
        <v>2437</v>
      </c>
    </row>
    <row r="1626">
      <c r="A1626" s="27" t="s">
        <v>2628</v>
      </c>
      <c r="B1626" s="27" t="s">
        <v>970</v>
      </c>
      <c r="C1626" s="27" t="s">
        <v>2437</v>
      </c>
    </row>
    <row r="1627">
      <c r="A1627" s="27" t="s">
        <v>2629</v>
      </c>
      <c r="B1627" s="27" t="s">
        <v>1020</v>
      </c>
      <c r="C1627" s="27" t="s">
        <v>2409</v>
      </c>
    </row>
    <row r="1628">
      <c r="A1628" s="27" t="s">
        <v>2630</v>
      </c>
      <c r="B1628" s="27" t="s">
        <v>1028</v>
      </c>
      <c r="C1628" s="27" t="s">
        <v>2409</v>
      </c>
    </row>
    <row r="1629">
      <c r="A1629" s="27" t="s">
        <v>2631</v>
      </c>
      <c r="B1629" s="27" t="s">
        <v>1022</v>
      </c>
      <c r="C1629" s="27" t="s">
        <v>2451</v>
      </c>
    </row>
    <row r="1630">
      <c r="A1630" s="27" t="s">
        <v>2632</v>
      </c>
      <c r="B1630" s="27" t="s">
        <v>1030</v>
      </c>
      <c r="C1630" s="27" t="s">
        <v>2451</v>
      </c>
    </row>
    <row r="1631">
      <c r="A1631" s="27" t="s">
        <v>2633</v>
      </c>
      <c r="B1631" s="27" t="s">
        <v>1024</v>
      </c>
      <c r="C1631" s="27" t="s">
        <v>2363</v>
      </c>
    </row>
    <row r="1632">
      <c r="A1632" s="27" t="s">
        <v>2634</v>
      </c>
      <c r="B1632" s="27" t="s">
        <v>1032</v>
      </c>
      <c r="C1632" s="27" t="s">
        <v>2363</v>
      </c>
    </row>
    <row r="1633">
      <c r="A1633" s="27" t="s">
        <v>2635</v>
      </c>
      <c r="B1633" s="27" t="s">
        <v>1026</v>
      </c>
      <c r="C1633" s="27" t="s">
        <v>2363</v>
      </c>
    </row>
    <row r="1634">
      <c r="A1634" s="27" t="s">
        <v>2636</v>
      </c>
      <c r="B1634" s="27" t="s">
        <v>1034</v>
      </c>
      <c r="C1634" s="27" t="s">
        <v>2363</v>
      </c>
    </row>
    <row r="1635">
      <c r="A1635" s="27" t="s">
        <v>2637</v>
      </c>
      <c r="B1635" s="27" t="s">
        <v>913</v>
      </c>
      <c r="C1635" s="27" t="s">
        <v>2447</v>
      </c>
    </row>
    <row r="1636">
      <c r="A1636" s="27" t="s">
        <v>2638</v>
      </c>
      <c r="B1636" s="27" t="s">
        <v>921</v>
      </c>
      <c r="C1636" s="27" t="s">
        <v>2447</v>
      </c>
    </row>
    <row r="1637">
      <c r="A1637" s="27" t="s">
        <v>2639</v>
      </c>
      <c r="B1637" s="27" t="s">
        <v>915</v>
      </c>
      <c r="C1637" s="27" t="s">
        <v>2361</v>
      </c>
    </row>
    <row r="1638">
      <c r="A1638" s="27" t="s">
        <v>2640</v>
      </c>
      <c r="B1638" s="27" t="s">
        <v>923</v>
      </c>
      <c r="C1638" s="27" t="s">
        <v>2361</v>
      </c>
    </row>
    <row r="1639">
      <c r="A1639" s="27" t="s">
        <v>2641</v>
      </c>
      <c r="B1639" s="27" t="s">
        <v>917</v>
      </c>
      <c r="C1639" s="27" t="s">
        <v>2437</v>
      </c>
    </row>
    <row r="1640">
      <c r="A1640" s="27" t="s">
        <v>2642</v>
      </c>
      <c r="B1640" s="27" t="s">
        <v>925</v>
      </c>
      <c r="C1640" s="27" t="s">
        <v>2437</v>
      </c>
    </row>
    <row r="1641">
      <c r="A1641" s="27" t="s">
        <v>2643</v>
      </c>
      <c r="B1641" s="27" t="s">
        <v>919</v>
      </c>
      <c r="C1641" s="27" t="s">
        <v>2437</v>
      </c>
    </row>
    <row r="1642">
      <c r="A1642" s="27" t="s">
        <v>2644</v>
      </c>
      <c r="B1642" s="27" t="s">
        <v>927</v>
      </c>
      <c r="C1642" s="27" t="s">
        <v>2437</v>
      </c>
    </row>
    <row r="1643">
      <c r="A1643" s="27" t="s">
        <v>2645</v>
      </c>
      <c r="B1643" s="27" t="s">
        <v>905</v>
      </c>
      <c r="C1643" s="27" t="s">
        <v>2409</v>
      </c>
    </row>
    <row r="1644">
      <c r="A1644" s="27" t="s">
        <v>2646</v>
      </c>
      <c r="B1644" s="27" t="s">
        <v>897</v>
      </c>
      <c r="C1644" s="27" t="s">
        <v>2409</v>
      </c>
    </row>
    <row r="1645">
      <c r="A1645" s="27" t="s">
        <v>2647</v>
      </c>
      <c r="B1645" s="27" t="s">
        <v>907</v>
      </c>
      <c r="C1645" s="27" t="s">
        <v>2451</v>
      </c>
    </row>
    <row r="1646">
      <c r="A1646" s="27" t="s">
        <v>3214</v>
      </c>
      <c r="B1646" s="27" t="s">
        <v>899</v>
      </c>
      <c r="C1646" s="27" t="s">
        <v>2451</v>
      </c>
    </row>
    <row r="1647">
      <c r="A1647" s="27" t="s">
        <v>2648</v>
      </c>
      <c r="B1647" s="27" t="s">
        <v>909</v>
      </c>
      <c r="C1647" s="27" t="s">
        <v>2363</v>
      </c>
    </row>
    <row r="1648">
      <c r="A1648" s="27" t="s">
        <v>2649</v>
      </c>
      <c r="B1648" s="27" t="s">
        <v>901</v>
      </c>
      <c r="C1648" s="27" t="s">
        <v>2363</v>
      </c>
    </row>
    <row r="1649">
      <c r="A1649" s="27" t="s">
        <v>2650</v>
      </c>
      <c r="B1649" s="27" t="s">
        <v>911</v>
      </c>
      <c r="C1649" s="27" t="s">
        <v>2363</v>
      </c>
    </row>
    <row r="1650">
      <c r="A1650" s="27" t="s">
        <v>2651</v>
      </c>
      <c r="B1650" s="27" t="s">
        <v>903</v>
      </c>
      <c r="C1650" s="27" t="s">
        <v>2363</v>
      </c>
    </row>
    <row r="1651">
      <c r="A1651" s="27" t="s">
        <v>2652</v>
      </c>
      <c r="B1651" s="27" t="s">
        <v>929</v>
      </c>
      <c r="C1651" s="27" t="s">
        <v>2409</v>
      </c>
    </row>
    <row r="1652">
      <c r="A1652" s="27" t="s">
        <v>2653</v>
      </c>
      <c r="B1652" s="27" t="s">
        <v>931</v>
      </c>
      <c r="C1652" s="27" t="s">
        <v>2451</v>
      </c>
    </row>
    <row r="1653">
      <c r="A1653" s="27" t="s">
        <v>2654</v>
      </c>
      <c r="B1653" s="27" t="s">
        <v>933</v>
      </c>
      <c r="C1653" s="27" t="s">
        <v>2359</v>
      </c>
    </row>
    <row r="1654">
      <c r="A1654" s="27" t="s">
        <v>2655</v>
      </c>
      <c r="B1654" s="27" t="s">
        <v>935</v>
      </c>
      <c r="C1654" s="27" t="s">
        <v>2363</v>
      </c>
    </row>
    <row r="1655">
      <c r="A1655" s="27" t="s">
        <v>3215</v>
      </c>
      <c r="B1655" s="27" t="s">
        <v>844</v>
      </c>
      <c r="C1655" s="27" t="s">
        <v>2363</v>
      </c>
    </row>
    <row r="1656">
      <c r="A1656" s="27" t="s">
        <v>3216</v>
      </c>
      <c r="B1656" s="27" t="s">
        <v>836</v>
      </c>
      <c r="C1656" s="27" t="s">
        <v>2363</v>
      </c>
    </row>
    <row r="1657">
      <c r="A1657" s="27" t="s">
        <v>2656</v>
      </c>
      <c r="B1657" s="27" t="s">
        <v>842</v>
      </c>
      <c r="C1657" s="27" t="s">
        <v>2451</v>
      </c>
    </row>
    <row r="1658">
      <c r="A1658" s="27" t="s">
        <v>3217</v>
      </c>
      <c r="B1658" s="27" t="s">
        <v>834</v>
      </c>
      <c r="C1658" s="27" t="s">
        <v>2451</v>
      </c>
    </row>
    <row r="1659">
      <c r="A1659" s="27" t="s">
        <v>2657</v>
      </c>
      <c r="B1659" s="27" t="s">
        <v>840</v>
      </c>
      <c r="C1659" s="27" t="s">
        <v>2409</v>
      </c>
    </row>
    <row r="1660">
      <c r="A1660" s="27" t="s">
        <v>3218</v>
      </c>
      <c r="B1660" s="27" t="s">
        <v>832</v>
      </c>
      <c r="C1660" s="27" t="s">
        <v>2409</v>
      </c>
    </row>
    <row r="1661">
      <c r="A1661" s="27" t="s">
        <v>3219</v>
      </c>
      <c r="B1661" s="27" t="s">
        <v>846</v>
      </c>
      <c r="C1661" s="27" t="s">
        <v>2363</v>
      </c>
    </row>
    <row r="1662">
      <c r="A1662" s="27" t="s">
        <v>3220</v>
      </c>
      <c r="B1662" s="27" t="s">
        <v>838</v>
      </c>
      <c r="C1662" s="27" t="s">
        <v>2359</v>
      </c>
    </row>
    <row r="1663">
      <c r="A1663" s="27" t="s">
        <v>2658</v>
      </c>
      <c r="B1663" s="27" t="s">
        <v>1012</v>
      </c>
      <c r="C1663" s="27" t="s">
        <v>2409</v>
      </c>
    </row>
    <row r="1664">
      <c r="A1664" s="27" t="s">
        <v>2659</v>
      </c>
      <c r="B1664" s="27" t="s">
        <v>1004</v>
      </c>
      <c r="C1664" s="27" t="s">
        <v>2409</v>
      </c>
    </row>
    <row r="1665">
      <c r="A1665" s="27" t="s">
        <v>2660</v>
      </c>
      <c r="B1665" s="27" t="s">
        <v>1014</v>
      </c>
      <c r="C1665" s="27" t="s">
        <v>2451</v>
      </c>
    </row>
    <row r="1666">
      <c r="A1666" s="27" t="s">
        <v>2661</v>
      </c>
      <c r="B1666" s="27" t="s">
        <v>1006</v>
      </c>
      <c r="C1666" s="27" t="s">
        <v>2451</v>
      </c>
    </row>
    <row r="1667">
      <c r="A1667" s="27" t="s">
        <v>2662</v>
      </c>
      <c r="B1667" s="27" t="s">
        <v>1016</v>
      </c>
      <c r="C1667" s="27" t="s">
        <v>2363</v>
      </c>
    </row>
    <row r="1668">
      <c r="A1668" s="27" t="s">
        <v>2663</v>
      </c>
      <c r="B1668" s="27" t="s">
        <v>1008</v>
      </c>
      <c r="C1668" s="27" t="s">
        <v>2363</v>
      </c>
    </row>
    <row r="1669">
      <c r="A1669" s="27" t="s">
        <v>2664</v>
      </c>
      <c r="B1669" s="27" t="s">
        <v>1018</v>
      </c>
      <c r="C1669" s="27" t="s">
        <v>2363</v>
      </c>
    </row>
    <row r="1670">
      <c r="A1670" s="27" t="s">
        <v>2665</v>
      </c>
      <c r="B1670" s="27" t="s">
        <v>1010</v>
      </c>
      <c r="C1670" s="27" t="s">
        <v>2363</v>
      </c>
    </row>
    <row r="1671">
      <c r="A1671" s="27" t="s">
        <v>2666</v>
      </c>
      <c r="B1671" s="27" t="s">
        <v>1069</v>
      </c>
      <c r="C1671" s="27" t="s">
        <v>2447</v>
      </c>
    </row>
    <row r="1672">
      <c r="A1672" s="27" t="s">
        <v>2667</v>
      </c>
      <c r="B1672" s="27" t="s">
        <v>1073</v>
      </c>
      <c r="C1672" s="27" t="s">
        <v>2447</v>
      </c>
    </row>
    <row r="1673">
      <c r="A1673" s="27" t="s">
        <v>2668</v>
      </c>
      <c r="B1673" s="27" t="s">
        <v>1071</v>
      </c>
      <c r="C1673" s="27" t="s">
        <v>2447</v>
      </c>
    </row>
    <row r="1674">
      <c r="A1674" s="27" t="s">
        <v>2669</v>
      </c>
      <c r="B1674" s="27" t="s">
        <v>1075</v>
      </c>
      <c r="C1674" s="27" t="s">
        <v>2361</v>
      </c>
    </row>
    <row r="1675">
      <c r="A1675" s="27" t="s">
        <v>2670</v>
      </c>
      <c r="B1675" s="27" t="s">
        <v>1079</v>
      </c>
      <c r="C1675" s="27" t="s">
        <v>2361</v>
      </c>
    </row>
    <row r="1676">
      <c r="A1676" s="27" t="s">
        <v>3221</v>
      </c>
      <c r="B1676" s="27" t="s">
        <v>1077</v>
      </c>
      <c r="C1676" s="27" t="s">
        <v>2361</v>
      </c>
    </row>
    <row r="1677">
      <c r="A1677" s="27" t="s">
        <v>3222</v>
      </c>
      <c r="B1677" s="27" t="s">
        <v>1081</v>
      </c>
      <c r="C1677" s="27" t="s">
        <v>2437</v>
      </c>
    </row>
    <row r="1678">
      <c r="A1678" s="27" t="s">
        <v>3223</v>
      </c>
      <c r="B1678" s="27" t="s">
        <v>1085</v>
      </c>
      <c r="C1678" s="27" t="s">
        <v>2437</v>
      </c>
    </row>
    <row r="1679">
      <c r="A1679" s="27" t="s">
        <v>3224</v>
      </c>
      <c r="B1679" s="27" t="s">
        <v>1083</v>
      </c>
      <c r="C1679" s="27" t="s">
        <v>2437</v>
      </c>
    </row>
    <row r="1680">
      <c r="A1680" s="27" t="s">
        <v>3225</v>
      </c>
      <c r="B1680" s="27" t="s">
        <v>1087</v>
      </c>
      <c r="C1680" s="27" t="s">
        <v>2437</v>
      </c>
    </row>
    <row r="1681">
      <c r="A1681" s="27" t="s">
        <v>3226</v>
      </c>
      <c r="B1681" s="27" t="s">
        <v>1091</v>
      </c>
      <c r="C1681" s="27" t="s">
        <v>2437</v>
      </c>
    </row>
    <row r="1682">
      <c r="A1682" s="27" t="s">
        <v>3227</v>
      </c>
      <c r="B1682" s="27" t="s">
        <v>1089</v>
      </c>
      <c r="C1682" s="27" t="s">
        <v>2437</v>
      </c>
    </row>
    <row r="1683">
      <c r="A1683" s="27" t="s">
        <v>3239</v>
      </c>
      <c r="B1683" s="27" t="s">
        <v>2735</v>
      </c>
      <c r="C1683" s="27" t="s">
        <v>3240</v>
      </c>
    </row>
    <row r="1684">
      <c r="A1684" s="27" t="s">
        <v>3241</v>
      </c>
      <c r="B1684" s="27">
        <v>1.0030030120102E13</v>
      </c>
      <c r="C1684" s="27" t="s">
        <v>2359</v>
      </c>
    </row>
    <row r="1685">
      <c r="A1685" s="27" t="s">
        <v>3242</v>
      </c>
      <c r="B1685" s="27">
        <v>1.008011025014E13</v>
      </c>
      <c r="C1685" s="27" t="s">
        <v>2359</v>
      </c>
    </row>
    <row r="1686">
      <c r="A1686" s="27" t="s">
        <v>3243</v>
      </c>
      <c r="B1686" s="27">
        <v>1.0080140470002E13</v>
      </c>
      <c r="C1686" s="27" t="s">
        <v>2359</v>
      </c>
    </row>
    <row r="1687">
      <c r="A1687" s="27" t="s">
        <v>3244</v>
      </c>
      <c r="B1687" s="27">
        <v>1.0080160500002E13</v>
      </c>
      <c r="C1687" s="27" t="s">
        <v>2359</v>
      </c>
    </row>
    <row r="1688">
      <c r="A1688" s="27" t="s">
        <v>3245</v>
      </c>
      <c r="B1688" s="27">
        <v>1.0100150210007E13</v>
      </c>
      <c r="C1688" s="27" t="s">
        <v>2359</v>
      </c>
    </row>
    <row r="1689">
      <c r="A1689" s="27" t="s">
        <v>3019</v>
      </c>
      <c r="B1689" s="27">
        <v>1.479750635184E12</v>
      </c>
      <c r="C1689" s="27" t="s">
        <v>2363</v>
      </c>
    </row>
    <row r="1690">
      <c r="A1690" s="27" t="s">
        <v>3073</v>
      </c>
      <c r="B1690" s="27">
        <v>1.479823191801E12</v>
      </c>
      <c r="C1690" s="27" t="s">
        <v>2437</v>
      </c>
    </row>
    <row r="1691">
      <c r="A1691" s="27" t="s">
        <v>3246</v>
      </c>
      <c r="B1691" s="27">
        <v>1.512566970929E12</v>
      </c>
      <c r="C1691" s="27" t="s">
        <v>2437</v>
      </c>
    </row>
    <row r="1692">
      <c r="A1692" s="27" t="s">
        <v>3247</v>
      </c>
      <c r="B1692" s="27">
        <v>1.513615272195E12</v>
      </c>
      <c r="C1692" s="27" t="s">
        <v>2363</v>
      </c>
    </row>
    <row r="1693">
      <c r="A1693" s="27" t="s">
        <v>3021</v>
      </c>
      <c r="B1693" s="27">
        <v>1.53788936885E12</v>
      </c>
      <c r="C1693" s="27" t="s">
        <v>2451</v>
      </c>
    </row>
    <row r="1694">
      <c r="A1694" s="27" t="s">
        <v>3075</v>
      </c>
      <c r="B1694" s="27">
        <v>1.53857036062E12</v>
      </c>
      <c r="C1694" s="27" t="s">
        <v>2451</v>
      </c>
    </row>
    <row r="1695">
      <c r="A1695" s="27" t="s">
        <v>3022</v>
      </c>
      <c r="B1695" s="27">
        <v>1.538570367611E12</v>
      </c>
      <c r="C1695" s="27" t="s">
        <v>2437</v>
      </c>
    </row>
    <row r="1696">
      <c r="A1696" s="27" t="s">
        <v>3023</v>
      </c>
      <c r="B1696" s="27">
        <v>1.538570373373E12</v>
      </c>
      <c r="C1696" s="27" t="s">
        <v>2441</v>
      </c>
    </row>
    <row r="1697">
      <c r="A1697" s="27" t="s">
        <v>3248</v>
      </c>
      <c r="B1697" s="27">
        <v>1.538570377166E12</v>
      </c>
      <c r="C1697" s="27" t="s">
        <v>2363</v>
      </c>
    </row>
    <row r="1698">
      <c r="A1698" s="27" t="s">
        <v>3249</v>
      </c>
      <c r="B1698" s="27">
        <v>1.542823095263E12</v>
      </c>
      <c r="C1698" s="27" t="s">
        <v>2359</v>
      </c>
    </row>
    <row r="1699">
      <c r="A1699" s="27" t="s">
        <v>2364</v>
      </c>
      <c r="B1699" s="27">
        <v>1.564150627423E12</v>
      </c>
      <c r="C1699" s="27" t="s">
        <v>3250</v>
      </c>
    </row>
    <row r="1700">
      <c r="A1700" s="27" t="s">
        <v>2366</v>
      </c>
      <c r="B1700" s="27">
        <v>1.564150661249E12</v>
      </c>
      <c r="C1700" s="27" t="s">
        <v>3251</v>
      </c>
    </row>
    <row r="1701">
      <c r="A1701" s="27" t="s">
        <v>2367</v>
      </c>
      <c r="B1701" s="27">
        <v>1.566335721736E12</v>
      </c>
      <c r="C1701" s="27" t="s">
        <v>2394</v>
      </c>
    </row>
    <row r="1702">
      <c r="A1702" s="27" t="s">
        <v>2369</v>
      </c>
      <c r="B1702" s="27">
        <v>1.566849947902E12</v>
      </c>
      <c r="C1702" s="27" t="s">
        <v>2363</v>
      </c>
    </row>
    <row r="1703">
      <c r="A1703" s="27" t="s">
        <v>3028</v>
      </c>
      <c r="B1703" s="27">
        <v>1.579014517754E12</v>
      </c>
      <c r="C1703" s="27" t="s">
        <v>2359</v>
      </c>
    </row>
    <row r="1704">
      <c r="A1704" s="27" t="s">
        <v>3030</v>
      </c>
      <c r="B1704" s="27">
        <v>1.581963986702E12</v>
      </c>
      <c r="C1704" s="27" t="s">
        <v>2437</v>
      </c>
    </row>
    <row r="1705">
      <c r="A1705" s="27" t="s">
        <v>3032</v>
      </c>
      <c r="B1705" s="27">
        <v>1.58196399706E12</v>
      </c>
      <c r="C1705" s="27" t="s">
        <v>2359</v>
      </c>
    </row>
    <row r="1706">
      <c r="A1706" s="27" t="s">
        <v>3033</v>
      </c>
      <c r="B1706" s="27">
        <v>1.581964006972E12</v>
      </c>
      <c r="C1706" s="27" t="s">
        <v>2363</v>
      </c>
    </row>
    <row r="1707">
      <c r="A1707" s="27" t="s">
        <v>2373</v>
      </c>
      <c r="B1707" s="27">
        <v>1.592492799236E12</v>
      </c>
      <c r="C1707" s="27" t="s">
        <v>2402</v>
      </c>
    </row>
    <row r="1708">
      <c r="A1708" s="27" t="s">
        <v>2374</v>
      </c>
      <c r="B1708" s="27">
        <v>1.59708649984E12</v>
      </c>
      <c r="C1708" s="27" t="s">
        <v>2451</v>
      </c>
    </row>
    <row r="1709">
      <c r="A1709" s="27" t="s">
        <v>2375</v>
      </c>
      <c r="B1709" s="27">
        <v>1.597098592591E12</v>
      </c>
      <c r="C1709" s="27" t="s">
        <v>2363</v>
      </c>
    </row>
    <row r="1710">
      <c r="A1710" s="27" t="s">
        <v>2377</v>
      </c>
      <c r="B1710" s="27">
        <v>1.61538336617E12</v>
      </c>
      <c r="C1710" s="27" t="s">
        <v>2359</v>
      </c>
    </row>
    <row r="1711">
      <c r="A1711" s="27" t="s">
        <v>2756</v>
      </c>
      <c r="B1711" s="27">
        <v>1.616450827982E12</v>
      </c>
      <c r="C1711" s="27" t="s">
        <v>2380</v>
      </c>
    </row>
    <row r="1712">
      <c r="A1712" s="27" t="s">
        <v>2387</v>
      </c>
      <c r="B1712" s="27">
        <v>1.62741684103E12</v>
      </c>
      <c r="C1712" s="27" t="s">
        <v>2437</v>
      </c>
    </row>
    <row r="1713">
      <c r="A1713" s="27" t="s">
        <v>2389</v>
      </c>
      <c r="B1713" s="27">
        <v>1.627418180602E12</v>
      </c>
      <c r="C1713" s="27" t="s">
        <v>2359</v>
      </c>
    </row>
    <row r="1714">
      <c r="A1714" s="27" t="s">
        <v>2391</v>
      </c>
      <c r="B1714" s="27">
        <v>1.627418212924E12</v>
      </c>
      <c r="C1714" s="27" t="s">
        <v>2363</v>
      </c>
    </row>
    <row r="1715">
      <c r="A1715" s="27" t="s">
        <v>3046</v>
      </c>
      <c r="B1715" s="27">
        <v>1.627418329116E12</v>
      </c>
      <c r="C1715" s="27" t="s">
        <v>2359</v>
      </c>
    </row>
    <row r="1716">
      <c r="A1716" s="27" t="s">
        <v>2760</v>
      </c>
      <c r="B1716" s="27">
        <v>1.628016796209E12</v>
      </c>
      <c r="C1716" s="27" t="s">
        <v>2363</v>
      </c>
    </row>
    <row r="1717">
      <c r="A1717" s="27" t="s">
        <v>2761</v>
      </c>
      <c r="B1717" s="27">
        <v>1.629726091782E12</v>
      </c>
      <c r="C1717" s="27" t="s">
        <v>2361</v>
      </c>
    </row>
    <row r="1718">
      <c r="A1718" s="27" t="s">
        <v>3252</v>
      </c>
      <c r="B1718" s="27">
        <v>1.630369235283E12</v>
      </c>
      <c r="C1718" s="27" t="s">
        <v>2451</v>
      </c>
    </row>
    <row r="1719">
      <c r="A1719" s="27" t="s">
        <v>2764</v>
      </c>
      <c r="B1719" s="27">
        <v>1.630370852776E12</v>
      </c>
      <c r="C1719" s="27" t="s">
        <v>2441</v>
      </c>
    </row>
    <row r="1720">
      <c r="A1720" s="27" t="s">
        <v>2765</v>
      </c>
      <c r="B1720" s="27">
        <v>1.63456703401E12</v>
      </c>
      <c r="C1720" s="27" t="s">
        <v>2363</v>
      </c>
    </row>
    <row r="1721">
      <c r="A1721" s="27" t="s">
        <v>2397</v>
      </c>
      <c r="B1721" s="27">
        <v>1.635956574926E12</v>
      </c>
      <c r="C1721" s="27" t="s">
        <v>2359</v>
      </c>
    </row>
    <row r="1722">
      <c r="A1722" s="27" t="s">
        <v>3253</v>
      </c>
      <c r="B1722" s="27">
        <v>1.635956592996E12</v>
      </c>
      <c r="C1722" s="27" t="s">
        <v>2363</v>
      </c>
    </row>
    <row r="1723">
      <c r="A1723" s="27" t="s">
        <v>3254</v>
      </c>
      <c r="B1723" s="27">
        <v>1.639085727598E12</v>
      </c>
      <c r="C1723" s="27" t="s">
        <v>2682</v>
      </c>
    </row>
    <row r="1724">
      <c r="A1724" s="27" t="s">
        <v>2768</v>
      </c>
      <c r="B1724" s="27">
        <v>1.639085745522E12</v>
      </c>
      <c r="C1724" s="27" t="s">
        <v>2359</v>
      </c>
    </row>
    <row r="1725">
      <c r="A1725" s="27" t="s">
        <v>2769</v>
      </c>
      <c r="B1725" s="27">
        <v>1.639085755244E12</v>
      </c>
      <c r="C1725" s="27" t="s">
        <v>2437</v>
      </c>
    </row>
    <row r="1726">
      <c r="A1726" s="27" t="s">
        <v>3082</v>
      </c>
      <c r="B1726" s="27">
        <v>1.63908577239E12</v>
      </c>
      <c r="C1726" s="27" t="s">
        <v>2682</v>
      </c>
    </row>
    <row r="1727">
      <c r="A1727" s="27" t="s">
        <v>3050</v>
      </c>
      <c r="B1727" s="27">
        <v>1.639085780345E12</v>
      </c>
      <c r="C1727" s="27" t="s">
        <v>2363</v>
      </c>
    </row>
    <row r="1728">
      <c r="A1728" s="27" t="s">
        <v>3051</v>
      </c>
      <c r="B1728" s="27">
        <v>1.639085790351E12</v>
      </c>
      <c r="C1728" s="27" t="s">
        <v>2359</v>
      </c>
    </row>
    <row r="1729">
      <c r="A1729" s="27" t="s">
        <v>3052</v>
      </c>
      <c r="B1729" s="27">
        <v>1.639085799549E12</v>
      </c>
      <c r="C1729" s="27" t="s">
        <v>2359</v>
      </c>
    </row>
    <row r="1730">
      <c r="A1730" s="27" t="s">
        <v>2400</v>
      </c>
      <c r="B1730" s="27">
        <v>1.639085807876E12</v>
      </c>
      <c r="C1730" s="27" t="s">
        <v>2437</v>
      </c>
    </row>
    <row r="1731">
      <c r="A1731" s="27" t="s">
        <v>2770</v>
      </c>
      <c r="B1731" s="27">
        <v>1.640091153797E12</v>
      </c>
      <c r="C1731" s="27" t="s">
        <v>2363</v>
      </c>
    </row>
    <row r="1732">
      <c r="A1732" s="27" t="s">
        <v>2401</v>
      </c>
      <c r="B1732" s="27">
        <v>1.645629782262E12</v>
      </c>
      <c r="C1732" s="27" t="s">
        <v>2359</v>
      </c>
    </row>
    <row r="1733">
      <c r="A1733" s="27" t="s">
        <v>2772</v>
      </c>
      <c r="B1733" s="27">
        <v>1.650298908518E12</v>
      </c>
      <c r="C1733" s="27" t="s">
        <v>2359</v>
      </c>
    </row>
    <row r="1734">
      <c r="A1734" s="27" t="s">
        <v>2406</v>
      </c>
      <c r="B1734" s="27">
        <v>1.650301031879E12</v>
      </c>
      <c r="C1734" s="27" t="s">
        <v>2451</v>
      </c>
    </row>
    <row r="1735">
      <c r="A1735" s="27" t="s">
        <v>2408</v>
      </c>
      <c r="B1735" s="27">
        <v>1.650302269777E12</v>
      </c>
      <c r="C1735" s="27" t="s">
        <v>2451</v>
      </c>
    </row>
    <row r="1736">
      <c r="A1736" s="27" t="s">
        <v>3055</v>
      </c>
      <c r="B1736" s="27">
        <v>1.652824769553E12</v>
      </c>
      <c r="C1736" s="27" t="s">
        <v>2451</v>
      </c>
    </row>
    <row r="1737">
      <c r="A1737" s="27" t="s">
        <v>3255</v>
      </c>
      <c r="B1737" s="27">
        <v>1.652824782363E12</v>
      </c>
      <c r="C1737" s="27" t="s">
        <v>2380</v>
      </c>
    </row>
    <row r="1738">
      <c r="A1738" s="27" t="s">
        <v>2773</v>
      </c>
      <c r="B1738" s="27">
        <v>1.652824796337E12</v>
      </c>
      <c r="C1738" s="27" t="s">
        <v>2361</v>
      </c>
    </row>
    <row r="1739">
      <c r="A1739" s="27" t="s">
        <v>3056</v>
      </c>
      <c r="B1739" s="27">
        <v>1.652824902758E12</v>
      </c>
      <c r="C1739" s="27" t="s">
        <v>2359</v>
      </c>
    </row>
    <row r="1740">
      <c r="A1740" s="27" t="s">
        <v>3057</v>
      </c>
      <c r="B1740" s="27">
        <v>1.652824924113E12</v>
      </c>
      <c r="C1740" s="27" t="s">
        <v>2437</v>
      </c>
    </row>
    <row r="1741">
      <c r="A1741" s="27" t="s">
        <v>2774</v>
      </c>
      <c r="B1741" s="27">
        <v>1.652824942453E12</v>
      </c>
      <c r="C1741" s="27" t="s">
        <v>2441</v>
      </c>
    </row>
    <row r="1742">
      <c r="A1742" s="27" t="s">
        <v>2775</v>
      </c>
      <c r="B1742" s="27">
        <v>1.652824957424E12</v>
      </c>
      <c r="C1742" s="27" t="s">
        <v>2363</v>
      </c>
    </row>
    <row r="1743">
      <c r="A1743" s="27" t="s">
        <v>2410</v>
      </c>
      <c r="B1743" s="27">
        <v>1.652825027456E12</v>
      </c>
      <c r="C1743" s="27" t="s">
        <v>2437</v>
      </c>
    </row>
    <row r="1744">
      <c r="A1744" s="27" t="s">
        <v>2736</v>
      </c>
      <c r="B1744" s="27">
        <v>1.652825295706E12</v>
      </c>
      <c r="C1744" s="27" t="s">
        <v>2359</v>
      </c>
    </row>
    <row r="1745">
      <c r="A1745" s="27" t="s">
        <v>2412</v>
      </c>
      <c r="B1745" s="27">
        <v>1.654189048611E12</v>
      </c>
      <c r="C1745" s="27" t="s">
        <v>2437</v>
      </c>
    </row>
    <row r="1746">
      <c r="A1746" s="27" t="s">
        <v>2415</v>
      </c>
      <c r="B1746" s="27">
        <v>1.654207295633E12</v>
      </c>
      <c r="C1746" s="27" t="s">
        <v>2441</v>
      </c>
    </row>
    <row r="1747">
      <c r="A1747" s="27" t="s">
        <v>2418</v>
      </c>
      <c r="B1747" s="27">
        <v>1.654207333519E12</v>
      </c>
      <c r="C1747" s="27" t="s">
        <v>2441</v>
      </c>
    </row>
    <row r="1748">
      <c r="A1748" s="27" t="s">
        <v>2420</v>
      </c>
      <c r="B1748" s="27">
        <v>1.654207372101E12</v>
      </c>
      <c r="C1748" s="27" t="s">
        <v>2363</v>
      </c>
    </row>
    <row r="1749">
      <c r="A1749" s="27" t="s">
        <v>2779</v>
      </c>
      <c r="B1749" s="27">
        <v>1.656603804695E12</v>
      </c>
      <c r="C1749" s="27" t="s">
        <v>2359</v>
      </c>
    </row>
    <row r="1750">
      <c r="A1750" s="27" t="s">
        <v>2780</v>
      </c>
      <c r="B1750" s="27">
        <v>1.657222641841E12</v>
      </c>
      <c r="C1750" s="27" t="s">
        <v>2359</v>
      </c>
    </row>
    <row r="1751">
      <c r="A1751" s="27" t="s">
        <v>2781</v>
      </c>
      <c r="B1751" s="27">
        <v>1.658269683485E12</v>
      </c>
      <c r="C1751" s="27" t="s">
        <v>2359</v>
      </c>
    </row>
    <row r="1752">
      <c r="A1752" s="27" t="s">
        <v>3256</v>
      </c>
      <c r="B1752" s="27">
        <v>1.658329968514E12</v>
      </c>
      <c r="C1752" s="27" t="s">
        <v>2359</v>
      </c>
    </row>
    <row r="1753">
      <c r="A1753" s="27" t="s">
        <v>2782</v>
      </c>
      <c r="B1753" s="27">
        <v>1.658330420825E12</v>
      </c>
      <c r="C1753" s="27" t="s">
        <v>2363</v>
      </c>
    </row>
    <row r="1754">
      <c r="A1754" s="27" t="s">
        <v>3131</v>
      </c>
      <c r="B1754" s="27">
        <v>1.658330471799E12</v>
      </c>
      <c r="C1754" s="27" t="s">
        <v>2437</v>
      </c>
    </row>
    <row r="1755">
      <c r="A1755" s="27" t="s">
        <v>2784</v>
      </c>
      <c r="B1755" s="27">
        <v>1.659989549286E12</v>
      </c>
      <c r="C1755" s="27" t="s">
        <v>2359</v>
      </c>
    </row>
    <row r="1756">
      <c r="A1756" s="27" t="s">
        <v>2785</v>
      </c>
      <c r="B1756" s="27">
        <v>1.659989621591E12</v>
      </c>
      <c r="C1756" s="27" t="s">
        <v>2363</v>
      </c>
    </row>
    <row r="1757">
      <c r="A1757" s="27" t="s">
        <v>2786</v>
      </c>
      <c r="B1757" s="27">
        <v>1.659990725288E12</v>
      </c>
      <c r="C1757" s="27" t="s">
        <v>2359</v>
      </c>
    </row>
    <row r="1758">
      <c r="A1758" s="27" t="s">
        <v>3085</v>
      </c>
      <c r="B1758" s="27">
        <v>1.65999080731E12</v>
      </c>
      <c r="C1758" s="27" t="s">
        <v>2363</v>
      </c>
    </row>
    <row r="1759">
      <c r="A1759" s="27" t="s">
        <v>3086</v>
      </c>
      <c r="B1759" s="27">
        <v>1.659990828178E12</v>
      </c>
      <c r="C1759" s="27" t="s">
        <v>2359</v>
      </c>
    </row>
    <row r="1760">
      <c r="A1760" s="27" t="s">
        <v>2787</v>
      </c>
      <c r="B1760" s="27">
        <v>1.659991379695E12</v>
      </c>
      <c r="C1760" s="27" t="s">
        <v>2363</v>
      </c>
    </row>
    <row r="1761">
      <c r="A1761" s="27" t="s">
        <v>2788</v>
      </c>
      <c r="B1761" s="27">
        <v>1.659991481176E12</v>
      </c>
      <c r="C1761" s="27" t="s">
        <v>2437</v>
      </c>
    </row>
    <row r="1762">
      <c r="A1762" s="27" t="s">
        <v>2423</v>
      </c>
      <c r="B1762" s="27">
        <v>1.659991971809E12</v>
      </c>
      <c r="C1762" s="27" t="s">
        <v>2447</v>
      </c>
    </row>
    <row r="1763">
      <c r="A1763" s="27" t="s">
        <v>2424</v>
      </c>
      <c r="B1763" s="27">
        <v>1.659991999728E12</v>
      </c>
      <c r="C1763" s="27" t="s">
        <v>2409</v>
      </c>
    </row>
    <row r="1764">
      <c r="A1764" s="27" t="s">
        <v>2425</v>
      </c>
      <c r="B1764" s="27">
        <v>1.659999392257E12</v>
      </c>
      <c r="C1764" s="27" t="s">
        <v>2359</v>
      </c>
    </row>
    <row r="1765">
      <c r="A1765" s="27" t="s">
        <v>2429</v>
      </c>
      <c r="B1765" s="27">
        <v>1.66085796352E12</v>
      </c>
      <c r="C1765" s="27" t="s">
        <v>2363</v>
      </c>
    </row>
    <row r="1766">
      <c r="A1766" s="27" t="s">
        <v>3146</v>
      </c>
      <c r="B1766" s="27">
        <v>1.660858025311E12</v>
      </c>
      <c r="C1766" s="27" t="s">
        <v>2363</v>
      </c>
    </row>
    <row r="1767">
      <c r="A1767" s="27" t="s">
        <v>2431</v>
      </c>
      <c r="B1767" s="27">
        <v>1.660858118518E12</v>
      </c>
      <c r="C1767" s="27" t="s">
        <v>2359</v>
      </c>
    </row>
    <row r="1768">
      <c r="A1768" s="27" t="s">
        <v>2433</v>
      </c>
      <c r="B1768" s="27">
        <v>1.660858341796E12</v>
      </c>
      <c r="C1768" s="27" t="s">
        <v>2359</v>
      </c>
    </row>
    <row r="1769">
      <c r="A1769" s="27" t="s">
        <v>2434</v>
      </c>
      <c r="B1769" s="27">
        <v>1.660858356962E12</v>
      </c>
      <c r="C1769" s="27" t="s">
        <v>2359</v>
      </c>
    </row>
    <row r="1770">
      <c r="A1770" s="27" t="s">
        <v>2438</v>
      </c>
      <c r="B1770" s="27">
        <v>1.6608587024E12</v>
      </c>
      <c r="C1770" s="27" t="s">
        <v>2359</v>
      </c>
    </row>
    <row r="1771">
      <c r="A1771" s="27" t="s">
        <v>2440</v>
      </c>
      <c r="B1771" s="27">
        <v>1.660858756233E12</v>
      </c>
      <c r="C1771" s="27" t="s">
        <v>2359</v>
      </c>
    </row>
    <row r="1772">
      <c r="A1772" s="27" t="s">
        <v>2448</v>
      </c>
      <c r="B1772" s="27">
        <v>1.660859171584E12</v>
      </c>
      <c r="C1772" s="27" t="s">
        <v>2437</v>
      </c>
    </row>
    <row r="1773">
      <c r="A1773" s="27" t="s">
        <v>2794</v>
      </c>
      <c r="B1773" s="27">
        <v>1.660859287583E12</v>
      </c>
      <c r="C1773" s="27" t="s">
        <v>2359</v>
      </c>
    </row>
    <row r="1774">
      <c r="A1774" s="27" t="s">
        <v>2449</v>
      </c>
      <c r="B1774" s="27">
        <v>1.661872956577E12</v>
      </c>
      <c r="C1774" s="27" t="s">
        <v>2437</v>
      </c>
    </row>
    <row r="1775">
      <c r="A1775" s="27" t="s">
        <v>3060</v>
      </c>
      <c r="B1775" s="27">
        <v>1.661873760641E12</v>
      </c>
      <c r="C1775" s="27" t="s">
        <v>2359</v>
      </c>
    </row>
    <row r="1776">
      <c r="A1776" s="27" t="s">
        <v>3235</v>
      </c>
      <c r="B1776" s="27">
        <v>1.661873818029E12</v>
      </c>
      <c r="C1776" s="27" t="s">
        <v>2359</v>
      </c>
    </row>
    <row r="1777">
      <c r="A1777" s="27" t="s">
        <v>3257</v>
      </c>
      <c r="B1777" s="27">
        <v>1.661892870974E12</v>
      </c>
      <c r="C1777" s="27" t="s">
        <v>2359</v>
      </c>
    </row>
    <row r="1778">
      <c r="A1778" s="27" t="s">
        <v>2799</v>
      </c>
      <c r="B1778" s="27">
        <v>1.662389376894E12</v>
      </c>
      <c r="C1778" s="27" t="s">
        <v>2359</v>
      </c>
    </row>
    <row r="1779">
      <c r="A1779" s="27" t="s">
        <v>2800</v>
      </c>
      <c r="B1779" s="27">
        <v>1700887.0</v>
      </c>
      <c r="C1779" s="27" t="s">
        <v>2359</v>
      </c>
    </row>
    <row r="1780">
      <c r="A1780" s="27" t="s">
        <v>3061</v>
      </c>
      <c r="B1780" s="27">
        <v>1.748316345017E12</v>
      </c>
      <c r="C1780" s="27" t="s">
        <v>2359</v>
      </c>
    </row>
    <row r="1781">
      <c r="A1781" s="27" t="s">
        <v>3258</v>
      </c>
      <c r="B1781" s="27" t="s">
        <v>3259</v>
      </c>
      <c r="C1781" s="27" t="s">
        <v>2359</v>
      </c>
    </row>
    <row r="1782">
      <c r="A1782" s="27" t="s">
        <v>3260</v>
      </c>
      <c r="B1782" s="27" t="s">
        <v>3261</v>
      </c>
      <c r="C1782" s="27" t="s">
        <v>2359</v>
      </c>
    </row>
    <row r="1783">
      <c r="A1783" s="27" t="s">
        <v>3262</v>
      </c>
      <c r="B1783" s="27">
        <v>2.0001009086E10</v>
      </c>
      <c r="C1783" s="27" t="s">
        <v>2363</v>
      </c>
    </row>
    <row r="1784">
      <c r="A1784" s="27" t="s">
        <v>3263</v>
      </c>
      <c r="B1784" s="27">
        <v>2.014000021508E12</v>
      </c>
      <c r="C1784" s="27" t="s">
        <v>2359</v>
      </c>
    </row>
    <row r="1785">
      <c r="A1785" s="27" t="s">
        <v>3264</v>
      </c>
      <c r="B1785" s="27">
        <v>2.11312923506E11</v>
      </c>
      <c r="C1785" s="27" t="s">
        <v>2359</v>
      </c>
    </row>
    <row r="1786">
      <c r="A1786" s="27" t="s">
        <v>3265</v>
      </c>
      <c r="B1786" s="27">
        <v>2.2130608615E10</v>
      </c>
      <c r="C1786" s="27" t="s">
        <v>2437</v>
      </c>
    </row>
    <row r="1787">
      <c r="A1787" s="27" t="s">
        <v>3266</v>
      </c>
      <c r="B1787" s="27">
        <v>2.2130608779E10</v>
      </c>
      <c r="C1787" s="27" t="s">
        <v>2359</v>
      </c>
    </row>
    <row r="1788">
      <c r="A1788" s="27" t="s">
        <v>3267</v>
      </c>
      <c r="B1788" s="27">
        <v>2.213060878E10</v>
      </c>
      <c r="C1788" s="27" t="s">
        <v>2359</v>
      </c>
    </row>
    <row r="1789">
      <c r="A1789" s="27" t="s">
        <v>3268</v>
      </c>
      <c r="B1789" s="27">
        <v>2.2130608785E10</v>
      </c>
      <c r="C1789" s="27" t="s">
        <v>2363</v>
      </c>
    </row>
    <row r="1790">
      <c r="A1790" s="27" t="s">
        <v>3269</v>
      </c>
      <c r="B1790" s="27" t="s">
        <v>3270</v>
      </c>
      <c r="C1790" s="27" t="s">
        <v>2359</v>
      </c>
    </row>
    <row r="1791">
      <c r="A1791" s="27" t="s">
        <v>3271</v>
      </c>
      <c r="B1791" s="27" t="s">
        <v>3272</v>
      </c>
      <c r="C1791" s="27" t="s">
        <v>2359</v>
      </c>
    </row>
    <row r="1792">
      <c r="A1792" s="27" t="s">
        <v>3273</v>
      </c>
      <c r="B1792" s="27">
        <v>25835.0</v>
      </c>
      <c r="C1792" s="27" t="s">
        <v>2359</v>
      </c>
    </row>
    <row r="1793">
      <c r="A1793" s="27" t="s">
        <v>3274</v>
      </c>
      <c r="B1793" s="27">
        <v>26225.0</v>
      </c>
      <c r="C1793" s="27" t="s">
        <v>2359</v>
      </c>
    </row>
    <row r="1794">
      <c r="A1794" s="27" t="s">
        <v>3275</v>
      </c>
      <c r="B1794" s="27">
        <v>26916.0</v>
      </c>
      <c r="C1794" s="27" t="s">
        <v>2437</v>
      </c>
    </row>
    <row r="1795">
      <c r="A1795" s="27" t="s">
        <v>3276</v>
      </c>
      <c r="B1795" s="27">
        <v>26917.0</v>
      </c>
      <c r="C1795" s="27" t="s">
        <v>2363</v>
      </c>
    </row>
    <row r="1796">
      <c r="A1796" s="27" t="s">
        <v>3277</v>
      </c>
      <c r="B1796" s="27">
        <v>27245.0</v>
      </c>
      <c r="C1796" s="27" t="s">
        <v>2441</v>
      </c>
    </row>
    <row r="1797">
      <c r="A1797" s="27" t="s">
        <v>3278</v>
      </c>
      <c r="B1797" s="27" t="s">
        <v>3279</v>
      </c>
      <c r="C1797" s="27" t="s">
        <v>2437</v>
      </c>
    </row>
    <row r="1798">
      <c r="A1798" s="27" t="s">
        <v>3280</v>
      </c>
      <c r="B1798" s="27" t="s">
        <v>3281</v>
      </c>
      <c r="C1798" s="27" t="s">
        <v>2437</v>
      </c>
    </row>
    <row r="1799">
      <c r="A1799" s="27" t="s">
        <v>3132</v>
      </c>
      <c r="B1799" s="27" t="s">
        <v>3133</v>
      </c>
      <c r="C1799" s="27" t="s">
        <v>2363</v>
      </c>
    </row>
    <row r="1800">
      <c r="A1800" s="27" t="s">
        <v>2815</v>
      </c>
      <c r="B1800" s="27" t="s">
        <v>2816</v>
      </c>
      <c r="C1800" s="27" t="s">
        <v>2359</v>
      </c>
    </row>
    <row r="1801">
      <c r="A1801" s="27" t="s">
        <v>3095</v>
      </c>
      <c r="B1801" s="27">
        <v>6.6436804863605E13</v>
      </c>
      <c r="C1801" s="27" t="s">
        <v>2363</v>
      </c>
    </row>
    <row r="1802">
      <c r="A1802" s="27" t="s">
        <v>3096</v>
      </c>
      <c r="B1802" s="27">
        <v>6.6436950085067E13</v>
      </c>
      <c r="C1802" s="27" t="s">
        <v>2411</v>
      </c>
    </row>
    <row r="1803">
      <c r="A1803" s="27" t="s">
        <v>3062</v>
      </c>
      <c r="B1803" s="27">
        <v>6.6436955223732E13</v>
      </c>
      <c r="C1803" s="27" t="s">
        <v>3282</v>
      </c>
    </row>
    <row r="1804">
      <c r="A1804" s="27" t="s">
        <v>2819</v>
      </c>
      <c r="B1804" s="27">
        <v>6.6800510263382E13</v>
      </c>
      <c r="C1804" s="27" t="s">
        <v>2359</v>
      </c>
    </row>
    <row r="1805">
      <c r="A1805" s="27" t="s">
        <v>3283</v>
      </c>
      <c r="B1805" s="27">
        <v>6.7114508251225E13</v>
      </c>
      <c r="C1805" s="27" t="s">
        <v>2359</v>
      </c>
    </row>
    <row r="1806">
      <c r="A1806" s="27" t="s">
        <v>3284</v>
      </c>
      <c r="B1806" s="27">
        <v>6.7114509855998E13</v>
      </c>
      <c r="C1806" s="27" t="s">
        <v>2359</v>
      </c>
    </row>
    <row r="1807">
      <c r="A1807" s="27" t="s">
        <v>2821</v>
      </c>
      <c r="B1807" s="27">
        <v>6.7327559384453E13</v>
      </c>
      <c r="C1807" s="27" t="s">
        <v>2359</v>
      </c>
    </row>
    <row r="1808">
      <c r="A1808" s="27" t="s">
        <v>2464</v>
      </c>
      <c r="B1808" s="27">
        <v>6.7327712330533E13</v>
      </c>
      <c r="C1808" s="27" t="s">
        <v>2409</v>
      </c>
    </row>
    <row r="1809">
      <c r="A1809" s="27" t="s">
        <v>2823</v>
      </c>
      <c r="B1809" s="27">
        <v>6.7898087132855E13</v>
      </c>
      <c r="C1809" s="27" t="s">
        <v>2359</v>
      </c>
    </row>
    <row r="1810">
      <c r="A1810" s="27" t="s">
        <v>2824</v>
      </c>
      <c r="B1810" s="27">
        <v>6.7898258445967E13</v>
      </c>
      <c r="C1810" s="27" t="s">
        <v>2359</v>
      </c>
    </row>
    <row r="1811">
      <c r="A1811" s="27" t="s">
        <v>3063</v>
      </c>
      <c r="B1811" s="27">
        <v>6.7898303200803E13</v>
      </c>
      <c r="C1811" s="27" t="s">
        <v>2363</v>
      </c>
    </row>
    <row r="1812">
      <c r="A1812" s="27" t="s">
        <v>2827</v>
      </c>
      <c r="B1812" s="27">
        <v>6.7898499812968E13</v>
      </c>
      <c r="C1812" s="27" t="s">
        <v>2451</v>
      </c>
    </row>
    <row r="1813">
      <c r="A1813" s="27" t="s">
        <v>3097</v>
      </c>
      <c r="B1813" s="27">
        <v>6.7933856404072E13</v>
      </c>
      <c r="C1813" s="27" t="s">
        <v>2359</v>
      </c>
    </row>
    <row r="1814">
      <c r="A1814" s="27" t="s">
        <v>2470</v>
      </c>
      <c r="B1814" s="27">
        <v>6.7933857637909E13</v>
      </c>
      <c r="C1814" s="27" t="s">
        <v>2363</v>
      </c>
    </row>
    <row r="1815">
      <c r="A1815" s="27" t="s">
        <v>3098</v>
      </c>
      <c r="B1815" s="27">
        <v>6.7933861722733E13</v>
      </c>
      <c r="C1815" s="27" t="s">
        <v>2363</v>
      </c>
    </row>
    <row r="1816">
      <c r="A1816" s="27" t="s">
        <v>2473</v>
      </c>
      <c r="B1816" s="27">
        <v>6.7933863068841E13</v>
      </c>
      <c r="C1816" s="27" t="s">
        <v>2363</v>
      </c>
    </row>
    <row r="1817">
      <c r="A1817" s="27" t="s">
        <v>2829</v>
      </c>
      <c r="B1817" s="27">
        <v>6.7951425161311E13</v>
      </c>
      <c r="C1817" s="27" t="s">
        <v>2359</v>
      </c>
    </row>
    <row r="1818">
      <c r="A1818" s="27" t="s">
        <v>3285</v>
      </c>
      <c r="B1818" s="27">
        <v>6.8142275737629E13</v>
      </c>
      <c r="C1818" s="27" t="s">
        <v>2359</v>
      </c>
    </row>
    <row r="1819">
      <c r="A1819" s="27" t="s">
        <v>2833</v>
      </c>
      <c r="B1819" s="27">
        <v>6.8540048936286E13</v>
      </c>
      <c r="C1819" s="27" t="s">
        <v>2363</v>
      </c>
    </row>
    <row r="1820">
      <c r="A1820" s="27" t="s">
        <v>2475</v>
      </c>
      <c r="B1820" s="27">
        <v>6.8540051413139E13</v>
      </c>
      <c r="C1820" s="27" t="s">
        <v>2359</v>
      </c>
    </row>
    <row r="1821">
      <c r="A1821" s="27" t="s">
        <v>2476</v>
      </c>
      <c r="B1821" s="27">
        <v>6.8658866289861E13</v>
      </c>
      <c r="C1821" s="27" t="s">
        <v>2363</v>
      </c>
    </row>
    <row r="1822">
      <c r="A1822" s="27" t="s">
        <v>2477</v>
      </c>
      <c r="B1822" s="27">
        <v>6.8658868763602E13</v>
      </c>
      <c r="C1822" s="27" t="s">
        <v>2451</v>
      </c>
    </row>
    <row r="1823">
      <c r="A1823" s="27" t="s">
        <v>3286</v>
      </c>
      <c r="B1823" s="27">
        <v>6.902221290595E12</v>
      </c>
      <c r="C1823" s="27" t="s">
        <v>2437</v>
      </c>
    </row>
    <row r="1824">
      <c r="A1824" s="27" t="s">
        <v>3287</v>
      </c>
      <c r="B1824" s="27">
        <v>6.902221314888E12</v>
      </c>
      <c r="C1824" s="27" t="s">
        <v>2359</v>
      </c>
    </row>
    <row r="1825">
      <c r="A1825" s="27" t="s">
        <v>3288</v>
      </c>
      <c r="B1825" s="27">
        <v>6.902221314895E12</v>
      </c>
      <c r="C1825" s="27" t="s">
        <v>2359</v>
      </c>
    </row>
    <row r="1826">
      <c r="A1826" s="27" t="s">
        <v>3289</v>
      </c>
      <c r="B1826" s="27">
        <v>6.902221365613E12</v>
      </c>
      <c r="C1826" s="27" t="s">
        <v>2359</v>
      </c>
    </row>
    <row r="1827">
      <c r="A1827" s="27" t="s">
        <v>3290</v>
      </c>
      <c r="B1827" s="27">
        <v>6.902221366597E12</v>
      </c>
      <c r="C1827" s="27" t="s">
        <v>2359</v>
      </c>
    </row>
    <row r="1828">
      <c r="A1828" s="27" t="s">
        <v>3291</v>
      </c>
      <c r="B1828" s="27">
        <v>6.902221378453E12</v>
      </c>
      <c r="C1828" s="27" t="s">
        <v>2359</v>
      </c>
    </row>
    <row r="1829">
      <c r="A1829" s="27" t="s">
        <v>3292</v>
      </c>
      <c r="B1829" s="27">
        <v>6.902221381835E12</v>
      </c>
      <c r="C1829" s="27" t="s">
        <v>2359</v>
      </c>
    </row>
    <row r="1830">
      <c r="A1830" s="27" t="s">
        <v>3293</v>
      </c>
      <c r="B1830" s="27">
        <v>6.902221385154E12</v>
      </c>
      <c r="C1830" s="27" t="s">
        <v>2363</v>
      </c>
    </row>
    <row r="1831">
      <c r="A1831" s="27" t="s">
        <v>3294</v>
      </c>
      <c r="B1831" s="27">
        <v>6.902221385963E12</v>
      </c>
      <c r="C1831" s="27" t="s">
        <v>2363</v>
      </c>
    </row>
    <row r="1832">
      <c r="A1832" s="27" t="s">
        <v>3295</v>
      </c>
      <c r="B1832" s="27">
        <v>6.902221385987E12</v>
      </c>
      <c r="C1832" s="27" t="s">
        <v>2359</v>
      </c>
    </row>
    <row r="1833">
      <c r="A1833" s="27" t="s">
        <v>3296</v>
      </c>
      <c r="B1833" s="27">
        <v>6.902221385994E12</v>
      </c>
      <c r="C1833" s="27" t="s">
        <v>2359</v>
      </c>
    </row>
    <row r="1834">
      <c r="A1834" s="27" t="s">
        <v>3297</v>
      </c>
      <c r="B1834" s="27">
        <v>6.902221386557E12</v>
      </c>
      <c r="C1834" s="27" t="s">
        <v>2359</v>
      </c>
    </row>
    <row r="1835">
      <c r="A1835" s="27" t="s">
        <v>3298</v>
      </c>
      <c r="B1835" s="27">
        <v>6.902221386588E12</v>
      </c>
      <c r="C1835" s="27" t="s">
        <v>2363</v>
      </c>
    </row>
    <row r="1836">
      <c r="A1836" s="27" t="s">
        <v>3299</v>
      </c>
      <c r="B1836" s="27">
        <v>6.902221386595E12</v>
      </c>
      <c r="C1836" s="27" t="s">
        <v>2359</v>
      </c>
    </row>
    <row r="1837">
      <c r="A1837" s="27" t="s">
        <v>3300</v>
      </c>
      <c r="B1837" s="27">
        <v>6.902221386601E12</v>
      </c>
      <c r="C1837" s="27" t="s">
        <v>2359</v>
      </c>
    </row>
    <row r="1838">
      <c r="A1838" s="27" t="s">
        <v>3301</v>
      </c>
      <c r="B1838" s="27">
        <v>6.902221386694E12</v>
      </c>
      <c r="C1838" s="27" t="s">
        <v>2363</v>
      </c>
    </row>
    <row r="1839">
      <c r="A1839" s="27" t="s">
        <v>3302</v>
      </c>
      <c r="B1839" s="27">
        <v>6.902221388155E12</v>
      </c>
      <c r="C1839" s="27" t="s">
        <v>2359</v>
      </c>
    </row>
    <row r="1840">
      <c r="A1840" s="27" t="s">
        <v>2479</v>
      </c>
      <c r="B1840" s="27">
        <v>7.57450527587E11</v>
      </c>
      <c r="C1840" s="27" t="s">
        <v>2437</v>
      </c>
    </row>
    <row r="1841">
      <c r="A1841" s="27" t="s">
        <v>3303</v>
      </c>
      <c r="B1841" s="27">
        <v>7.57450527594E11</v>
      </c>
      <c r="C1841" s="27" t="s">
        <v>2437</v>
      </c>
    </row>
    <row r="1842">
      <c r="A1842" s="27" t="s">
        <v>2839</v>
      </c>
      <c r="B1842" s="27">
        <v>7.574505276E11</v>
      </c>
      <c r="C1842" s="27" t="s">
        <v>2363</v>
      </c>
    </row>
    <row r="1843">
      <c r="A1843" s="27" t="s">
        <v>2840</v>
      </c>
      <c r="B1843" s="27">
        <v>7.57450527785E11</v>
      </c>
      <c r="C1843" s="27" t="s">
        <v>2441</v>
      </c>
    </row>
    <row r="1844">
      <c r="A1844" s="27" t="s">
        <v>3107</v>
      </c>
      <c r="B1844" s="27">
        <v>7.57450527792E11</v>
      </c>
      <c r="C1844" s="27" t="s">
        <v>2437</v>
      </c>
    </row>
    <row r="1845">
      <c r="A1845" s="27" t="s">
        <v>2842</v>
      </c>
      <c r="B1845" s="27">
        <v>7.57450527884E11</v>
      </c>
      <c r="C1845" s="27" t="s">
        <v>2359</v>
      </c>
    </row>
    <row r="1846">
      <c r="A1846" s="27" t="s">
        <v>2845</v>
      </c>
      <c r="B1846" s="27" t="s">
        <v>2846</v>
      </c>
      <c r="C1846" s="27" t="s">
        <v>2359</v>
      </c>
    </row>
    <row r="1847">
      <c r="A1847" s="27" t="s">
        <v>3304</v>
      </c>
      <c r="B1847" s="27" t="s">
        <v>3305</v>
      </c>
      <c r="C1847" s="27" t="s">
        <v>2359</v>
      </c>
    </row>
    <row r="1848">
      <c r="A1848" s="27" t="s">
        <v>3306</v>
      </c>
      <c r="B1848" s="27" t="s">
        <v>3307</v>
      </c>
      <c r="C1848" s="27" t="s">
        <v>2359</v>
      </c>
    </row>
    <row r="1849">
      <c r="A1849" s="27" t="s">
        <v>3308</v>
      </c>
      <c r="B1849" s="27" t="s">
        <v>3309</v>
      </c>
      <c r="C1849" s="27" t="s">
        <v>2359</v>
      </c>
    </row>
    <row r="1850">
      <c r="A1850" s="27" t="s">
        <v>3310</v>
      </c>
      <c r="B1850" s="27" t="s">
        <v>3311</v>
      </c>
      <c r="C1850" s="27" t="s">
        <v>2437</v>
      </c>
    </row>
    <row r="1851">
      <c r="A1851" s="27" t="s">
        <v>3312</v>
      </c>
      <c r="B1851" s="27">
        <v>8437.0</v>
      </c>
      <c r="C1851" s="27" t="s">
        <v>2359</v>
      </c>
    </row>
    <row r="1852">
      <c r="A1852" s="27" t="s">
        <v>3313</v>
      </c>
      <c r="B1852" s="27" t="s">
        <v>3314</v>
      </c>
      <c r="C1852" s="27" t="s">
        <v>2359</v>
      </c>
    </row>
    <row r="1853">
      <c r="A1853" s="27" t="s">
        <v>3315</v>
      </c>
      <c r="B1853" s="27" t="s">
        <v>3316</v>
      </c>
      <c r="C1853" s="27" t="s">
        <v>2359</v>
      </c>
    </row>
    <row r="1854">
      <c r="A1854" s="27" t="s">
        <v>3317</v>
      </c>
      <c r="B1854" s="27" t="s">
        <v>3318</v>
      </c>
      <c r="C1854" s="27" t="s">
        <v>2359</v>
      </c>
    </row>
    <row r="1855">
      <c r="A1855" s="27" t="s">
        <v>3319</v>
      </c>
      <c r="B1855" s="27" t="s">
        <v>3320</v>
      </c>
      <c r="C1855" s="27" t="s">
        <v>2359</v>
      </c>
    </row>
    <row r="1856">
      <c r="A1856" s="27" t="s">
        <v>3321</v>
      </c>
      <c r="B1856" s="27" t="s">
        <v>3322</v>
      </c>
      <c r="C1856" s="27" t="s">
        <v>2359</v>
      </c>
    </row>
    <row r="1857">
      <c r="A1857" s="27" t="s">
        <v>3323</v>
      </c>
      <c r="B1857" s="27" t="s">
        <v>3324</v>
      </c>
      <c r="C1857" s="27" t="s">
        <v>2363</v>
      </c>
    </row>
    <row r="1858">
      <c r="A1858" s="27" t="s">
        <v>3325</v>
      </c>
      <c r="B1858" s="27" t="s">
        <v>3326</v>
      </c>
      <c r="C1858" s="27" t="s">
        <v>2359</v>
      </c>
    </row>
    <row r="1859">
      <c r="A1859" s="27" t="s">
        <v>3112</v>
      </c>
      <c r="B1859" s="27" t="s">
        <v>3113</v>
      </c>
      <c r="C1859" s="27" t="s">
        <v>2359</v>
      </c>
    </row>
    <row r="1860">
      <c r="A1860" s="27" t="s">
        <v>3114</v>
      </c>
      <c r="B1860" s="27" t="s">
        <v>3115</v>
      </c>
      <c r="C1860" s="27" t="s">
        <v>2359</v>
      </c>
    </row>
    <row r="1861">
      <c r="A1861" s="27" t="s">
        <v>3327</v>
      </c>
      <c r="B1861" s="27" t="s">
        <v>3328</v>
      </c>
      <c r="C1861" s="27" t="s">
        <v>2359</v>
      </c>
    </row>
    <row r="1862">
      <c r="A1862" s="27" t="s">
        <v>3329</v>
      </c>
      <c r="B1862" s="27" t="s">
        <v>3330</v>
      </c>
      <c r="C1862" s="27" t="s">
        <v>2363</v>
      </c>
    </row>
    <row r="1863">
      <c r="A1863" s="27" t="s">
        <v>2896</v>
      </c>
      <c r="B1863" s="27" t="s">
        <v>2897</v>
      </c>
      <c r="C1863" s="27" t="s">
        <v>2363</v>
      </c>
    </row>
    <row r="1864">
      <c r="A1864" s="27" t="s">
        <v>3331</v>
      </c>
      <c r="B1864" s="27" t="s">
        <v>3332</v>
      </c>
      <c r="C1864" s="27" t="s">
        <v>2359</v>
      </c>
    </row>
    <row r="1865">
      <c r="A1865" s="27" t="s">
        <v>3333</v>
      </c>
      <c r="B1865" s="27" t="s">
        <v>3334</v>
      </c>
      <c r="C1865" s="27" t="s">
        <v>2359</v>
      </c>
    </row>
    <row r="1866">
      <c r="A1866" s="27" t="s">
        <v>3118</v>
      </c>
      <c r="B1866" s="27" t="s">
        <v>3119</v>
      </c>
      <c r="C1866" s="27" t="s">
        <v>2363</v>
      </c>
    </row>
    <row r="1867">
      <c r="A1867" s="27" t="s">
        <v>3335</v>
      </c>
      <c r="B1867" s="27" t="s">
        <v>3336</v>
      </c>
      <c r="C1867" s="27" t="s">
        <v>2359</v>
      </c>
    </row>
    <row r="1868">
      <c r="A1868" s="27" t="s">
        <v>2904</v>
      </c>
      <c r="B1868" s="27" t="s">
        <v>2905</v>
      </c>
      <c r="C1868" s="27" t="s">
        <v>2363</v>
      </c>
    </row>
    <row r="1869">
      <c r="A1869" s="27" t="s">
        <v>2924</v>
      </c>
      <c r="B1869" s="27" t="s">
        <v>771</v>
      </c>
      <c r="C1869" s="27" t="s">
        <v>2359</v>
      </c>
    </row>
    <row r="1870">
      <c r="A1870" s="27" t="s">
        <v>2931</v>
      </c>
      <c r="B1870" s="27" t="s">
        <v>168</v>
      </c>
      <c r="C1870" s="27" t="s">
        <v>2359</v>
      </c>
    </row>
    <row r="1871">
      <c r="A1871" s="27" t="s">
        <v>3337</v>
      </c>
      <c r="B1871" s="27" t="s">
        <v>3338</v>
      </c>
      <c r="C1871" s="27" t="s">
        <v>2409</v>
      </c>
    </row>
    <row r="1872">
      <c r="A1872" s="27" t="s">
        <v>3339</v>
      </c>
      <c r="B1872" s="27" t="s">
        <v>3340</v>
      </c>
      <c r="C1872" s="27" t="s">
        <v>2359</v>
      </c>
    </row>
    <row r="1873">
      <c r="A1873" s="27" t="s">
        <v>3341</v>
      </c>
      <c r="B1873" s="27" t="s">
        <v>3342</v>
      </c>
      <c r="C1873" s="27" t="s">
        <v>2359</v>
      </c>
    </row>
    <row r="1874">
      <c r="A1874" s="27" t="s">
        <v>3343</v>
      </c>
      <c r="B1874" s="27" t="s">
        <v>3344</v>
      </c>
      <c r="C1874" s="27" t="s">
        <v>2359</v>
      </c>
    </row>
    <row r="1875">
      <c r="A1875" s="27" t="s">
        <v>3345</v>
      </c>
      <c r="B1875" s="27" t="s">
        <v>3346</v>
      </c>
      <c r="C1875" s="27" t="s">
        <v>2359</v>
      </c>
    </row>
    <row r="1876">
      <c r="A1876" s="27" t="s">
        <v>3347</v>
      </c>
      <c r="B1876" s="27" t="s">
        <v>3348</v>
      </c>
      <c r="C1876" s="27" t="s">
        <v>2359</v>
      </c>
    </row>
    <row r="1877">
      <c r="A1877" s="27" t="s">
        <v>3349</v>
      </c>
      <c r="B1877" s="27" t="s">
        <v>3350</v>
      </c>
      <c r="C1877" s="27" t="s">
        <v>2359</v>
      </c>
    </row>
    <row r="1878">
      <c r="A1878" s="27" t="s">
        <v>2944</v>
      </c>
      <c r="B1878" s="27" t="s">
        <v>2945</v>
      </c>
      <c r="C1878" s="27" t="s">
        <v>2359</v>
      </c>
    </row>
    <row r="1879">
      <c r="A1879" s="27" t="s">
        <v>3351</v>
      </c>
      <c r="B1879" s="27" t="s">
        <v>3352</v>
      </c>
      <c r="C1879" s="27" t="s">
        <v>2359</v>
      </c>
    </row>
    <row r="1880">
      <c r="A1880" s="27" t="s">
        <v>3353</v>
      </c>
      <c r="B1880" s="27" t="s">
        <v>3354</v>
      </c>
      <c r="C1880" s="27" t="s">
        <v>2359</v>
      </c>
    </row>
    <row r="1881">
      <c r="A1881" s="27" t="s">
        <v>3355</v>
      </c>
      <c r="B1881" s="27" t="s">
        <v>3356</v>
      </c>
      <c r="C1881" s="27" t="s">
        <v>2359</v>
      </c>
    </row>
    <row r="1882">
      <c r="A1882" s="27" t="s">
        <v>3357</v>
      </c>
      <c r="B1882" s="27" t="s">
        <v>3358</v>
      </c>
      <c r="C1882" s="27" t="s">
        <v>2359</v>
      </c>
    </row>
    <row r="1883">
      <c r="A1883" s="27" t="s">
        <v>3140</v>
      </c>
      <c r="B1883" s="27" t="s">
        <v>3141</v>
      </c>
      <c r="C1883" s="27" t="s">
        <v>2359</v>
      </c>
    </row>
    <row r="1884">
      <c r="A1884" s="27" t="s">
        <v>3359</v>
      </c>
      <c r="B1884" s="27" t="s">
        <v>3360</v>
      </c>
      <c r="C1884" s="27" t="s">
        <v>2359</v>
      </c>
    </row>
    <row r="1885">
      <c r="A1885" s="27" t="s">
        <v>3361</v>
      </c>
      <c r="B1885" s="27" t="s">
        <v>3362</v>
      </c>
      <c r="C1885" s="27" t="s">
        <v>2359</v>
      </c>
    </row>
    <row r="1886">
      <c r="A1886" s="27" t="s">
        <v>3363</v>
      </c>
      <c r="B1886" s="27" t="s">
        <v>3364</v>
      </c>
      <c r="C1886" s="27" t="s">
        <v>2359</v>
      </c>
    </row>
    <row r="1887">
      <c r="A1887" s="27" t="s">
        <v>3365</v>
      </c>
      <c r="B1887" s="27" t="s">
        <v>3366</v>
      </c>
      <c r="C1887" s="27" t="s">
        <v>2359</v>
      </c>
    </row>
    <row r="1888">
      <c r="A1888" s="27" t="s">
        <v>2998</v>
      </c>
      <c r="B1888" s="27" t="s">
        <v>1228</v>
      </c>
      <c r="C1888" s="27" t="s">
        <v>2359</v>
      </c>
    </row>
    <row r="1889">
      <c r="A1889" s="27" t="s">
        <v>3367</v>
      </c>
      <c r="B1889" s="27" t="s">
        <v>3368</v>
      </c>
      <c r="C1889" s="27" t="s">
        <v>2359</v>
      </c>
    </row>
    <row r="1890">
      <c r="A1890" s="27" t="s">
        <v>3015</v>
      </c>
      <c r="B1890" s="27" t="s">
        <v>3016</v>
      </c>
      <c r="C1890" s="27" t="s">
        <v>2359</v>
      </c>
    </row>
    <row r="1891">
      <c r="A1891" s="27" t="s">
        <v>3369</v>
      </c>
      <c r="B1891" s="27" t="s">
        <v>2735</v>
      </c>
      <c r="C1891" s="27" t="s">
        <v>3370</v>
      </c>
    </row>
    <row r="1892">
      <c r="A1892" s="27" t="s">
        <v>3371</v>
      </c>
      <c r="B1892" s="27">
        <v>1.0080050250002E13</v>
      </c>
      <c r="C1892" s="27" t="s">
        <v>2451</v>
      </c>
    </row>
    <row r="1893">
      <c r="A1893" s="27" t="s">
        <v>3245</v>
      </c>
      <c r="B1893" s="27">
        <v>1.0100150210007E13</v>
      </c>
      <c r="C1893" s="27" t="s">
        <v>2451</v>
      </c>
    </row>
    <row r="1894">
      <c r="A1894" s="27" t="s">
        <v>3019</v>
      </c>
      <c r="B1894" s="27">
        <v>1.479750635184E12</v>
      </c>
      <c r="C1894" s="27" t="s">
        <v>2380</v>
      </c>
    </row>
    <row r="1895">
      <c r="A1895" s="27" t="s">
        <v>3021</v>
      </c>
      <c r="B1895" s="27">
        <v>1.53788936885E12</v>
      </c>
      <c r="C1895" s="27" t="s">
        <v>2595</v>
      </c>
    </row>
    <row r="1896">
      <c r="A1896" s="27" t="s">
        <v>2364</v>
      </c>
      <c r="B1896" s="27">
        <v>1.564150627423E12</v>
      </c>
      <c r="C1896" s="27" t="s">
        <v>2682</v>
      </c>
    </row>
    <row r="1897">
      <c r="A1897" s="27" t="s">
        <v>3372</v>
      </c>
      <c r="B1897" s="27">
        <v>1.571055493973E12</v>
      </c>
      <c r="C1897" s="27" t="s">
        <v>2441</v>
      </c>
    </row>
    <row r="1898">
      <c r="A1898" s="27" t="s">
        <v>2374</v>
      </c>
      <c r="B1898" s="27">
        <v>1.59708649984E12</v>
      </c>
      <c r="C1898" s="27" t="s">
        <v>2595</v>
      </c>
    </row>
    <row r="1899">
      <c r="A1899" s="27" t="s">
        <v>2377</v>
      </c>
      <c r="B1899" s="27">
        <v>1.61538336617E12</v>
      </c>
      <c r="C1899" s="27" t="s">
        <v>2380</v>
      </c>
    </row>
    <row r="1900">
      <c r="A1900" s="27" t="s">
        <v>2389</v>
      </c>
      <c r="B1900" s="27">
        <v>1.627418180602E12</v>
      </c>
      <c r="C1900" s="27" t="s">
        <v>2451</v>
      </c>
    </row>
    <row r="1901">
      <c r="A1901" s="27" t="s">
        <v>2391</v>
      </c>
      <c r="B1901" s="27">
        <v>1.627418212924E12</v>
      </c>
      <c r="C1901" s="27" t="s">
        <v>2441</v>
      </c>
    </row>
    <row r="1902">
      <c r="A1902" s="27" t="s">
        <v>2393</v>
      </c>
      <c r="B1902" s="27">
        <v>1.62801820637E12</v>
      </c>
      <c r="C1902" s="27" t="s">
        <v>2451</v>
      </c>
    </row>
    <row r="1903">
      <c r="A1903" s="27" t="s">
        <v>2397</v>
      </c>
      <c r="B1903" s="27">
        <v>1.635956574926E12</v>
      </c>
      <c r="C1903" s="27" t="s">
        <v>2359</v>
      </c>
    </row>
    <row r="1904">
      <c r="A1904" s="27" t="s">
        <v>2403</v>
      </c>
      <c r="B1904" s="27">
        <v>1.650295261109E12</v>
      </c>
      <c r="C1904" s="27" t="s">
        <v>2447</v>
      </c>
    </row>
    <row r="1905">
      <c r="A1905" s="27" t="s">
        <v>2405</v>
      </c>
      <c r="B1905" s="27">
        <v>1.650295282448E12</v>
      </c>
      <c r="C1905" s="27" t="s">
        <v>2441</v>
      </c>
    </row>
    <row r="1906">
      <c r="A1906" s="27" t="s">
        <v>3145</v>
      </c>
      <c r="B1906" s="27">
        <v>1.650299083874E12</v>
      </c>
      <c r="C1906" s="27" t="s">
        <v>2451</v>
      </c>
    </row>
    <row r="1907">
      <c r="A1907" s="27" t="s">
        <v>2406</v>
      </c>
      <c r="B1907" s="27">
        <v>1.650301031879E12</v>
      </c>
      <c r="C1907" s="27" t="s">
        <v>2437</v>
      </c>
    </row>
    <row r="1908">
      <c r="A1908" s="27" t="s">
        <v>3373</v>
      </c>
      <c r="B1908" s="27">
        <v>1.650302273911E12</v>
      </c>
      <c r="C1908" s="27" t="s">
        <v>2451</v>
      </c>
    </row>
    <row r="1909">
      <c r="A1909" s="27" t="s">
        <v>2417</v>
      </c>
      <c r="B1909" s="27">
        <v>1.654207307551E12</v>
      </c>
      <c r="C1909" s="27" t="s">
        <v>2441</v>
      </c>
    </row>
    <row r="1910">
      <c r="A1910" s="27" t="s">
        <v>3256</v>
      </c>
      <c r="B1910" s="27">
        <v>1.658329968514E12</v>
      </c>
      <c r="C1910" s="27" t="s">
        <v>2451</v>
      </c>
    </row>
    <row r="1911">
      <c r="A1911" s="27" t="s">
        <v>3083</v>
      </c>
      <c r="B1911" s="27">
        <v>1.659971347046E12</v>
      </c>
      <c r="C1911" s="27" t="s">
        <v>2595</v>
      </c>
    </row>
    <row r="1912">
      <c r="A1912" s="27" t="s">
        <v>2785</v>
      </c>
      <c r="B1912" s="27">
        <v>1.659989621591E12</v>
      </c>
      <c r="C1912" s="27" t="s">
        <v>2421</v>
      </c>
    </row>
    <row r="1913">
      <c r="A1913" s="27" t="s">
        <v>2786</v>
      </c>
      <c r="B1913" s="27">
        <v>1.659990725288E12</v>
      </c>
      <c r="C1913" s="27" t="s">
        <v>2451</v>
      </c>
    </row>
    <row r="1914">
      <c r="A1914" s="27" t="s">
        <v>3085</v>
      </c>
      <c r="B1914" s="27">
        <v>1.65999080731E12</v>
      </c>
      <c r="C1914" s="27" t="s">
        <v>2451</v>
      </c>
    </row>
    <row r="1915">
      <c r="A1915" s="27" t="s">
        <v>3086</v>
      </c>
      <c r="B1915" s="27">
        <v>1.659990828178E12</v>
      </c>
      <c r="C1915" s="27" t="s">
        <v>2451</v>
      </c>
    </row>
    <row r="1916">
      <c r="A1916" s="27" t="s">
        <v>2787</v>
      </c>
      <c r="B1916" s="27">
        <v>1.659991379695E12</v>
      </c>
      <c r="C1916" s="27" t="s">
        <v>2441</v>
      </c>
    </row>
    <row r="1917">
      <c r="A1917" s="27" t="s">
        <v>2423</v>
      </c>
      <c r="B1917" s="27">
        <v>1.659991971809E12</v>
      </c>
      <c r="C1917" s="27" t="s">
        <v>2359</v>
      </c>
    </row>
    <row r="1918">
      <c r="A1918" s="27" t="s">
        <v>2433</v>
      </c>
      <c r="B1918" s="27">
        <v>1.660858341796E12</v>
      </c>
      <c r="C1918" s="27" t="s">
        <v>2363</v>
      </c>
    </row>
    <row r="1919">
      <c r="A1919" s="27" t="s">
        <v>2434</v>
      </c>
      <c r="B1919" s="27">
        <v>1.660858356962E12</v>
      </c>
      <c r="C1919" s="27" t="s">
        <v>2451</v>
      </c>
    </row>
    <row r="1920">
      <c r="A1920" s="27" t="s">
        <v>2438</v>
      </c>
      <c r="B1920" s="27">
        <v>1.6608587024E12</v>
      </c>
      <c r="C1920" s="27" t="s">
        <v>2380</v>
      </c>
    </row>
    <row r="1921">
      <c r="A1921" s="27" t="s">
        <v>2445</v>
      </c>
      <c r="B1921" s="27">
        <v>1.660858828618E12</v>
      </c>
      <c r="C1921" s="27" t="s">
        <v>2451</v>
      </c>
    </row>
    <row r="1922">
      <c r="A1922" s="27" t="s">
        <v>3148</v>
      </c>
      <c r="B1922" s="27">
        <v>1.660859102915E12</v>
      </c>
      <c r="C1922" s="27" t="s">
        <v>2451</v>
      </c>
    </row>
    <row r="1923">
      <c r="A1923" s="27" t="s">
        <v>2448</v>
      </c>
      <c r="B1923" s="27">
        <v>1.660859171584E12</v>
      </c>
      <c r="C1923" s="27" t="s">
        <v>2451</v>
      </c>
    </row>
    <row r="1924">
      <c r="A1924" s="27" t="s">
        <v>3089</v>
      </c>
      <c r="B1924" s="27">
        <v>1.661872713289E12</v>
      </c>
      <c r="C1924" s="27" t="s">
        <v>2451</v>
      </c>
    </row>
    <row r="1925">
      <c r="A1925" s="27" t="s">
        <v>3061</v>
      </c>
      <c r="B1925" s="27">
        <v>1.748316345017E12</v>
      </c>
      <c r="C1925" s="27" t="s">
        <v>2451</v>
      </c>
    </row>
    <row r="1926">
      <c r="A1926" s="27" t="s">
        <v>3374</v>
      </c>
      <c r="B1926" s="27">
        <v>179073.0</v>
      </c>
      <c r="C1926" s="27" t="s">
        <v>2451</v>
      </c>
    </row>
    <row r="1927">
      <c r="A1927" s="27" t="s">
        <v>3375</v>
      </c>
      <c r="B1927" s="27" t="s">
        <v>3376</v>
      </c>
      <c r="C1927" s="27" t="s">
        <v>2359</v>
      </c>
    </row>
    <row r="1928">
      <c r="A1928" s="27" t="s">
        <v>3377</v>
      </c>
      <c r="B1928" s="27" t="s">
        <v>3378</v>
      </c>
      <c r="C1928" s="27" t="s">
        <v>2451</v>
      </c>
    </row>
    <row r="1929">
      <c r="A1929" s="27" t="s">
        <v>3379</v>
      </c>
      <c r="B1929" s="27">
        <v>2.0000807027E10</v>
      </c>
      <c r="C1929" s="27" t="s">
        <v>2451</v>
      </c>
    </row>
    <row r="1930">
      <c r="A1930" s="27" t="s">
        <v>3380</v>
      </c>
      <c r="B1930" s="27">
        <v>2.000080721E10</v>
      </c>
      <c r="C1930" s="27" t="s">
        <v>2451</v>
      </c>
    </row>
    <row r="1931">
      <c r="A1931" s="27" t="s">
        <v>3262</v>
      </c>
      <c r="B1931" s="27">
        <v>2.0001009086E10</v>
      </c>
      <c r="C1931" s="27" t="s">
        <v>2451</v>
      </c>
    </row>
    <row r="1932">
      <c r="A1932" s="27" t="s">
        <v>3269</v>
      </c>
      <c r="B1932" s="27" t="s">
        <v>3270</v>
      </c>
      <c r="C1932" s="27" t="s">
        <v>2451</v>
      </c>
    </row>
    <row r="1933">
      <c r="A1933" s="27" t="s">
        <v>3381</v>
      </c>
      <c r="B1933" s="27">
        <v>26027.0</v>
      </c>
      <c r="C1933" s="27" t="s">
        <v>2451</v>
      </c>
    </row>
    <row r="1934">
      <c r="A1934" s="27" t="s">
        <v>3382</v>
      </c>
      <c r="B1934" s="27">
        <v>26512.0</v>
      </c>
      <c r="C1934" s="27" t="s">
        <v>2451</v>
      </c>
    </row>
    <row r="1935">
      <c r="A1935" s="27" t="s">
        <v>3383</v>
      </c>
      <c r="B1935" s="27">
        <v>26956.0</v>
      </c>
      <c r="C1935" s="27" t="s">
        <v>2451</v>
      </c>
    </row>
    <row r="1936">
      <c r="A1936" s="27" t="s">
        <v>3384</v>
      </c>
      <c r="B1936" s="27">
        <v>3.000200821E9</v>
      </c>
      <c r="C1936" s="27" t="s">
        <v>2451</v>
      </c>
    </row>
    <row r="1937">
      <c r="A1937" s="27" t="s">
        <v>3385</v>
      </c>
      <c r="B1937" s="27">
        <v>34200.0</v>
      </c>
      <c r="C1937" s="27" t="s">
        <v>2451</v>
      </c>
    </row>
    <row r="1938">
      <c r="A1938" s="27" t="s">
        <v>3386</v>
      </c>
      <c r="B1938" s="27">
        <v>34211.0</v>
      </c>
      <c r="C1938" s="27" t="s">
        <v>2372</v>
      </c>
    </row>
    <row r="1939">
      <c r="A1939" s="27" t="s">
        <v>3387</v>
      </c>
      <c r="B1939" s="27">
        <v>6181130.0</v>
      </c>
      <c r="C1939" s="27" t="s">
        <v>2451</v>
      </c>
    </row>
    <row r="1940">
      <c r="A1940" s="27" t="s">
        <v>3095</v>
      </c>
      <c r="B1940" s="27">
        <v>6.6436804863605E13</v>
      </c>
      <c r="C1940" s="27" t="s">
        <v>2407</v>
      </c>
    </row>
    <row r="1941">
      <c r="A1941" s="27" t="s">
        <v>2464</v>
      </c>
      <c r="B1941" s="27">
        <v>6.7327712330533E13</v>
      </c>
      <c r="C1941" s="27" t="s">
        <v>2451</v>
      </c>
    </row>
    <row r="1942">
      <c r="A1942" s="27" t="s">
        <v>2467</v>
      </c>
      <c r="B1942" s="27">
        <v>6.7933833934278E13</v>
      </c>
      <c r="C1942" s="27" t="s">
        <v>2451</v>
      </c>
    </row>
    <row r="1943">
      <c r="A1943" s="27" t="s">
        <v>2471</v>
      </c>
      <c r="B1943" s="27">
        <v>6.7933859111971E13</v>
      </c>
      <c r="C1943" s="27" t="s">
        <v>2451</v>
      </c>
    </row>
    <row r="1944">
      <c r="A1944" s="27" t="s">
        <v>2472</v>
      </c>
      <c r="B1944" s="27">
        <v>6.7933860407346E13</v>
      </c>
      <c r="C1944" s="27" t="s">
        <v>2451</v>
      </c>
    </row>
    <row r="1945">
      <c r="A1945" s="27" t="s">
        <v>2475</v>
      </c>
      <c r="B1945" s="27">
        <v>6.8540051413139E13</v>
      </c>
      <c r="C1945" s="27" t="s">
        <v>2447</v>
      </c>
    </row>
    <row r="1946">
      <c r="A1946" s="27" t="s">
        <v>3388</v>
      </c>
      <c r="B1946" s="27">
        <v>6.902221318633E12</v>
      </c>
      <c r="C1946" s="27" t="s">
        <v>2451</v>
      </c>
    </row>
    <row r="1947">
      <c r="A1947" s="27" t="s">
        <v>2478</v>
      </c>
      <c r="B1947" s="27">
        <v>6.902221318688E12</v>
      </c>
      <c r="C1947" s="27" t="s">
        <v>2451</v>
      </c>
    </row>
    <row r="1948">
      <c r="A1948" s="27" t="s">
        <v>3389</v>
      </c>
      <c r="B1948" s="27">
        <v>6.902221342614E12</v>
      </c>
      <c r="C1948" s="27" t="s">
        <v>2451</v>
      </c>
    </row>
    <row r="1949">
      <c r="A1949" s="27" t="s">
        <v>3304</v>
      </c>
      <c r="B1949" s="27" t="s">
        <v>3305</v>
      </c>
      <c r="C1949" s="27" t="s">
        <v>2451</v>
      </c>
    </row>
    <row r="1950">
      <c r="A1950" s="27" t="s">
        <v>3390</v>
      </c>
      <c r="B1950" s="27" t="s">
        <v>3391</v>
      </c>
      <c r="C1950" s="27" t="s">
        <v>2451</v>
      </c>
    </row>
    <row r="1951">
      <c r="A1951" s="27" t="s">
        <v>3392</v>
      </c>
      <c r="B1951" s="27" t="s">
        <v>3393</v>
      </c>
      <c r="C1951" s="27" t="s">
        <v>2451</v>
      </c>
    </row>
    <row r="1952">
      <c r="A1952" s="27" t="s">
        <v>2884</v>
      </c>
      <c r="B1952" s="27" t="s">
        <v>2885</v>
      </c>
      <c r="C1952" s="27" t="s">
        <v>2451</v>
      </c>
    </row>
    <row r="1953">
      <c r="A1953" s="27" t="s">
        <v>2503</v>
      </c>
      <c r="B1953" s="27" t="s">
        <v>90</v>
      </c>
      <c r="C1953" s="27" t="s">
        <v>2451</v>
      </c>
    </row>
    <row r="1954">
      <c r="A1954" s="27" t="s">
        <v>2507</v>
      </c>
      <c r="B1954" s="27" t="s">
        <v>97</v>
      </c>
      <c r="C1954" s="27" t="s">
        <v>2451</v>
      </c>
    </row>
    <row r="1955">
      <c r="A1955" s="27" t="s">
        <v>2509</v>
      </c>
      <c r="B1955" s="27" t="s">
        <v>93</v>
      </c>
      <c r="C1955" s="27" t="s">
        <v>2441</v>
      </c>
    </row>
    <row r="1956">
      <c r="A1956" s="27" t="s">
        <v>3394</v>
      </c>
      <c r="B1956" s="27" t="s">
        <v>3395</v>
      </c>
      <c r="C1956" s="27" t="s">
        <v>2451</v>
      </c>
    </row>
    <row r="1957">
      <c r="A1957" s="27" t="s">
        <v>3396</v>
      </c>
      <c r="B1957" s="27" t="s">
        <v>3397</v>
      </c>
      <c r="C1957" s="27" t="s">
        <v>2451</v>
      </c>
    </row>
    <row r="1958">
      <c r="A1958" s="27" t="s">
        <v>3398</v>
      </c>
      <c r="B1958" s="27" t="s">
        <v>3399</v>
      </c>
    </row>
    <row r="1959">
      <c r="A1959" s="27" t="s">
        <v>2534</v>
      </c>
      <c r="B1959" s="27" t="s">
        <v>531</v>
      </c>
      <c r="C1959" s="27" t="s">
        <v>2451</v>
      </c>
    </row>
    <row r="1960">
      <c r="A1960" s="27" t="s">
        <v>2538</v>
      </c>
      <c r="B1960" s="27" t="s">
        <v>605</v>
      </c>
      <c r="C1960" s="27" t="s">
        <v>2451</v>
      </c>
    </row>
    <row r="1961">
      <c r="A1961" s="27" t="s">
        <v>2539</v>
      </c>
      <c r="B1961" s="27" t="s">
        <v>607</v>
      </c>
      <c r="C1961" s="27" t="s">
        <v>2359</v>
      </c>
    </row>
    <row r="1962">
      <c r="A1962" s="27" t="s">
        <v>2916</v>
      </c>
      <c r="B1962" s="27" t="s">
        <v>623</v>
      </c>
      <c r="C1962" s="27" t="s">
        <v>2451</v>
      </c>
    </row>
    <row r="1963">
      <c r="A1963" s="27" t="s">
        <v>2540</v>
      </c>
      <c r="B1963" s="27" t="s">
        <v>631</v>
      </c>
      <c r="C1963" s="27" t="s">
        <v>2409</v>
      </c>
    </row>
    <row r="1964">
      <c r="A1964" s="27" t="s">
        <v>3203</v>
      </c>
      <c r="B1964" s="27" t="s">
        <v>494</v>
      </c>
      <c r="C1964" s="27" t="s">
        <v>2451</v>
      </c>
    </row>
    <row r="1965">
      <c r="A1965" s="27" t="s">
        <v>3206</v>
      </c>
      <c r="B1965" s="27" t="s">
        <v>500</v>
      </c>
      <c r="C1965" s="27" t="s">
        <v>2451</v>
      </c>
    </row>
    <row r="1966">
      <c r="A1966" s="27" t="s">
        <v>2586</v>
      </c>
      <c r="B1966" s="27" t="s">
        <v>508</v>
      </c>
      <c r="C1966" s="27" t="s">
        <v>2451</v>
      </c>
    </row>
    <row r="1967">
      <c r="A1967" s="27" t="s">
        <v>3400</v>
      </c>
      <c r="B1967" s="27" t="s">
        <v>745</v>
      </c>
      <c r="C1967" s="27" t="s">
        <v>2451</v>
      </c>
    </row>
    <row r="1968">
      <c r="A1968" s="27" t="s">
        <v>2929</v>
      </c>
      <c r="B1968" s="27" t="s">
        <v>665</v>
      </c>
      <c r="C1968" s="27" t="s">
        <v>2380</v>
      </c>
    </row>
    <row r="1969">
      <c r="A1969" s="27" t="s">
        <v>2674</v>
      </c>
      <c r="B1969" s="27" t="s">
        <v>170</v>
      </c>
      <c r="C1969" s="27" t="s">
        <v>2451</v>
      </c>
    </row>
    <row r="1970">
      <c r="A1970" s="27" t="s">
        <v>3158</v>
      </c>
      <c r="B1970" s="27" t="s">
        <v>190</v>
      </c>
      <c r="C1970" s="27" t="s">
        <v>2359</v>
      </c>
    </row>
    <row r="1971">
      <c r="A1971" s="27" t="s">
        <v>3401</v>
      </c>
      <c r="B1971" s="27" t="s">
        <v>278</v>
      </c>
      <c r="C1971" s="27" t="s">
        <v>2462</v>
      </c>
    </row>
    <row r="1972">
      <c r="A1972" s="27" t="s">
        <v>2681</v>
      </c>
      <c r="B1972" s="27" t="s">
        <v>274</v>
      </c>
      <c r="C1972" s="27" t="s">
        <v>2361</v>
      </c>
    </row>
    <row r="1973">
      <c r="A1973" s="27" t="s">
        <v>2684</v>
      </c>
      <c r="B1973" s="27" t="s">
        <v>292</v>
      </c>
      <c r="C1973" s="27" t="s">
        <v>2359</v>
      </c>
    </row>
    <row r="1974">
      <c r="A1974" s="27" t="s">
        <v>3402</v>
      </c>
      <c r="B1974" s="27" t="s">
        <v>284</v>
      </c>
      <c r="C1974" s="27" t="s">
        <v>2361</v>
      </c>
    </row>
    <row r="1975">
      <c r="A1975" s="27" t="s">
        <v>3403</v>
      </c>
      <c r="B1975" s="27" t="s">
        <v>3404</v>
      </c>
      <c r="C1975" s="27" t="s">
        <v>2451</v>
      </c>
    </row>
    <row r="1976">
      <c r="A1976" s="27" t="s">
        <v>3405</v>
      </c>
      <c r="B1976" s="27" t="s">
        <v>3406</v>
      </c>
      <c r="C1976" s="27" t="s">
        <v>2359</v>
      </c>
    </row>
    <row r="1977">
      <c r="A1977" s="27" t="s">
        <v>3407</v>
      </c>
      <c r="B1977" s="27" t="s">
        <v>3408</v>
      </c>
    </row>
    <row r="1978">
      <c r="A1978" s="27" t="s">
        <v>3409</v>
      </c>
      <c r="B1978" s="27" t="s">
        <v>3410</v>
      </c>
    </row>
    <row r="1979">
      <c r="A1979" s="27" t="s">
        <v>3411</v>
      </c>
      <c r="B1979" s="27" t="s">
        <v>3412</v>
      </c>
      <c r="C1979" s="27" t="s">
        <v>2451</v>
      </c>
    </row>
    <row r="1980">
      <c r="A1980" s="27" t="s">
        <v>3413</v>
      </c>
      <c r="B1980" s="27" t="s">
        <v>3414</v>
      </c>
      <c r="C1980" s="27" t="s">
        <v>2380</v>
      </c>
    </row>
    <row r="1981">
      <c r="A1981" s="27" t="s">
        <v>3415</v>
      </c>
      <c r="B1981" s="27" t="s">
        <v>3416</v>
      </c>
      <c r="C1981" s="27" t="s">
        <v>2451</v>
      </c>
    </row>
    <row r="1982">
      <c r="A1982" s="27" t="s">
        <v>3417</v>
      </c>
      <c r="B1982" s="27" t="s">
        <v>3418</v>
      </c>
      <c r="C1982" s="27" t="s">
        <v>2451</v>
      </c>
    </row>
    <row r="1983">
      <c r="A1983" s="27" t="s">
        <v>3419</v>
      </c>
      <c r="B1983" s="27" t="s">
        <v>3420</v>
      </c>
      <c r="C1983" s="27" t="s">
        <v>2451</v>
      </c>
    </row>
    <row r="1984">
      <c r="A1984" s="27" t="s">
        <v>3421</v>
      </c>
      <c r="B1984" s="27" t="s">
        <v>3422</v>
      </c>
      <c r="C1984" s="27" t="s">
        <v>2451</v>
      </c>
    </row>
    <row r="1985">
      <c r="A1985" s="27" t="s">
        <v>3423</v>
      </c>
      <c r="B1985" s="27" t="s">
        <v>1339</v>
      </c>
      <c r="C1985" s="27" t="s">
        <v>2359</v>
      </c>
    </row>
    <row r="1986">
      <c r="A1986" s="27" t="s">
        <v>2738</v>
      </c>
      <c r="B1986" s="27" t="s">
        <v>1245</v>
      </c>
      <c r="C1986" s="27" t="s">
        <v>2447</v>
      </c>
    </row>
    <row r="1987">
      <c r="A1987" s="27" t="s">
        <v>2743</v>
      </c>
      <c r="B1987" s="27" t="s">
        <v>1412</v>
      </c>
      <c r="C1987" s="27" t="s">
        <v>2451</v>
      </c>
    </row>
    <row r="1988">
      <c r="A1988" s="27" t="s">
        <v>2744</v>
      </c>
      <c r="B1988" s="27" t="s">
        <v>1414</v>
      </c>
      <c r="C1988" s="27" t="s">
        <v>2363</v>
      </c>
    </row>
    <row r="1989">
      <c r="A1989" s="27" t="s">
        <v>2719</v>
      </c>
      <c r="B1989" s="27" t="s">
        <v>1410</v>
      </c>
      <c r="C1989" s="27" t="s">
        <v>2451</v>
      </c>
    </row>
    <row r="1990">
      <c r="A1990" s="27" t="s">
        <v>3424</v>
      </c>
      <c r="B1990" s="27" t="s">
        <v>1277</v>
      </c>
      <c r="C1990" s="27" t="s">
        <v>2380</v>
      </c>
    </row>
    <row r="1991">
      <c r="A1991" s="27" t="s">
        <v>2720</v>
      </c>
      <c r="B1991" s="27" t="s">
        <v>1429</v>
      </c>
      <c r="C1991" s="27" t="s">
        <v>2363</v>
      </c>
    </row>
    <row r="1992">
      <c r="A1992" s="27" t="s">
        <v>2729</v>
      </c>
      <c r="B1992" s="27" t="s">
        <v>1234</v>
      </c>
      <c r="C1992" s="27" t="s">
        <v>2359</v>
      </c>
    </row>
    <row r="1993">
      <c r="A1993" s="27" t="s">
        <v>3425</v>
      </c>
      <c r="B1993" s="27" t="s">
        <v>3426</v>
      </c>
      <c r="C1993" s="27" t="s">
        <v>2451</v>
      </c>
    </row>
    <row r="1994">
      <c r="A1994" s="27" t="s">
        <v>3427</v>
      </c>
      <c r="B1994" s="27" t="s">
        <v>3428</v>
      </c>
      <c r="C1994" s="27" t="s">
        <v>2451</v>
      </c>
    </row>
    <row r="1995">
      <c r="A1995" s="27" t="s">
        <v>3429</v>
      </c>
      <c r="B1995" s="27" t="s">
        <v>2735</v>
      </c>
      <c r="C1995" s="27" t="s">
        <v>2388</v>
      </c>
    </row>
    <row r="1996">
      <c r="A1996" s="27" t="s">
        <v>3085</v>
      </c>
      <c r="B1996" s="27">
        <v>1.65999080731E12</v>
      </c>
      <c r="C1996" s="27" t="s">
        <v>2451</v>
      </c>
    </row>
    <row r="1997">
      <c r="A1997" s="27" t="s">
        <v>3156</v>
      </c>
      <c r="B1997" s="27" t="s">
        <v>773</v>
      </c>
      <c r="C1997" s="27" t="s">
        <v>2451</v>
      </c>
    </row>
    <row r="1998">
      <c r="A1998" s="27" t="s">
        <v>3157</v>
      </c>
      <c r="B1998" s="27" t="s">
        <v>775</v>
      </c>
      <c r="C1998" s="27" t="s">
        <v>2451</v>
      </c>
    </row>
    <row r="1999">
      <c r="A1999" s="27" t="s">
        <v>3210</v>
      </c>
      <c r="B1999" s="27" t="s">
        <v>793</v>
      </c>
      <c r="C1999" s="27" t="s">
        <v>2451</v>
      </c>
    </row>
    <row r="2000">
      <c r="A2000" s="27" t="s">
        <v>3211</v>
      </c>
      <c r="B2000" s="27" t="s">
        <v>795</v>
      </c>
      <c r="C2000" s="27" t="s">
        <v>2451</v>
      </c>
    </row>
    <row r="2001">
      <c r="A2001" s="27" t="s">
        <v>2678</v>
      </c>
      <c r="B2001" s="27" t="s">
        <v>271</v>
      </c>
      <c r="C2001" s="27" t="s">
        <v>2451</v>
      </c>
    </row>
    <row r="2002">
      <c r="A2002" s="27" t="s">
        <v>2680</v>
      </c>
      <c r="B2002" s="27" t="s">
        <v>276</v>
      </c>
      <c r="C2002" s="27" t="s">
        <v>2451</v>
      </c>
    </row>
    <row r="2003">
      <c r="A2003" s="27" t="s">
        <v>3401</v>
      </c>
      <c r="B2003" s="27" t="s">
        <v>278</v>
      </c>
      <c r="C2003" s="27" t="s">
        <v>2451</v>
      </c>
    </row>
    <row r="2004">
      <c r="A2004" s="27" t="s">
        <v>2684</v>
      </c>
      <c r="B2004" s="27" t="s">
        <v>292</v>
      </c>
      <c r="C2004" s="27" t="s">
        <v>2437</v>
      </c>
    </row>
    <row r="2005">
      <c r="A2005" s="27" t="s">
        <v>3430</v>
      </c>
      <c r="B2005" s="27" t="s">
        <v>287</v>
      </c>
      <c r="C2005" s="27" t="s">
        <v>2437</v>
      </c>
    </row>
    <row r="2006">
      <c r="A2006" s="27" t="s">
        <v>3431</v>
      </c>
      <c r="B2006" s="27" t="s">
        <v>290</v>
      </c>
      <c r="C2006" s="27" t="s">
        <v>2437</v>
      </c>
    </row>
    <row r="2007">
      <c r="A2007" s="27" t="s">
        <v>3432</v>
      </c>
      <c r="B2007" s="27" t="s">
        <v>2735</v>
      </c>
      <c r="C2007" s="27" t="s">
        <v>2390</v>
      </c>
    </row>
    <row r="2008">
      <c r="A2008" s="27" t="s">
        <v>2748</v>
      </c>
      <c r="B2008" s="27">
        <v>1.538141129434E12</v>
      </c>
      <c r="C2008" s="27" t="s">
        <v>2359</v>
      </c>
    </row>
    <row r="2009">
      <c r="A2009" s="27" t="s">
        <v>2373</v>
      </c>
      <c r="B2009" s="27">
        <v>1.592492799236E12</v>
      </c>
      <c r="C2009" s="27" t="s">
        <v>2363</v>
      </c>
    </row>
    <row r="2010">
      <c r="A2010" s="27" t="s">
        <v>2374</v>
      </c>
      <c r="B2010" s="27">
        <v>1.59708649984E12</v>
      </c>
      <c r="C2010" s="27" t="s">
        <v>2359</v>
      </c>
    </row>
    <row r="2011">
      <c r="A2011" s="27" t="s">
        <v>2381</v>
      </c>
      <c r="B2011" s="27">
        <v>1.623703690011E12</v>
      </c>
      <c r="C2011" s="27" t="s">
        <v>2359</v>
      </c>
    </row>
    <row r="2012">
      <c r="A2012" s="27" t="s">
        <v>2762</v>
      </c>
      <c r="B2012" s="27">
        <v>1.629726117626E12</v>
      </c>
      <c r="C2012" s="27" t="s">
        <v>2363</v>
      </c>
    </row>
    <row r="2013">
      <c r="A2013" s="27" t="s">
        <v>2397</v>
      </c>
      <c r="B2013" s="27">
        <v>1.635956574926E12</v>
      </c>
      <c r="C2013" s="27" t="s">
        <v>2363</v>
      </c>
    </row>
    <row r="2014">
      <c r="A2014" s="27" t="s">
        <v>3253</v>
      </c>
      <c r="B2014" s="27">
        <v>1.635956592996E12</v>
      </c>
      <c r="C2014" s="27" t="s">
        <v>2359</v>
      </c>
    </row>
    <row r="2015">
      <c r="A2015" s="27" t="s">
        <v>3145</v>
      </c>
      <c r="B2015" s="27">
        <v>1.650299083874E12</v>
      </c>
      <c r="C2015" s="27" t="s">
        <v>2359</v>
      </c>
    </row>
    <row r="2016">
      <c r="A2016" s="27" t="s">
        <v>3433</v>
      </c>
      <c r="B2016" s="27">
        <v>1.652825203439E12</v>
      </c>
      <c r="C2016" s="27" t="s">
        <v>2359</v>
      </c>
    </row>
    <row r="2017">
      <c r="A2017" s="27" t="s">
        <v>3086</v>
      </c>
      <c r="B2017" s="27">
        <v>1.659990828178E12</v>
      </c>
      <c r="C2017" s="27" t="s">
        <v>2359</v>
      </c>
    </row>
    <row r="2018">
      <c r="A2018" s="27" t="s">
        <v>2430</v>
      </c>
      <c r="B2018" s="27">
        <v>1.660858101318E12</v>
      </c>
      <c r="C2018" s="27" t="s">
        <v>2359</v>
      </c>
    </row>
    <row r="2019">
      <c r="A2019" s="27" t="s">
        <v>2434</v>
      </c>
      <c r="B2019" s="27">
        <v>1.660858356962E12</v>
      </c>
      <c r="C2019" s="27" t="s">
        <v>2359</v>
      </c>
    </row>
    <row r="2020">
      <c r="A2020" s="27" t="s">
        <v>3095</v>
      </c>
      <c r="B2020" s="27">
        <v>6.6436804863605E13</v>
      </c>
      <c r="C2020" s="27" t="s">
        <v>2359</v>
      </c>
    </row>
    <row r="2021">
      <c r="A2021" s="27" t="s">
        <v>2817</v>
      </c>
      <c r="B2021" s="27">
        <v>6.6800471275549E13</v>
      </c>
      <c r="C2021" s="27" t="s">
        <v>2359</v>
      </c>
    </row>
    <row r="2022">
      <c r="A2022" s="27" t="s">
        <v>2466</v>
      </c>
      <c r="B2022" s="27">
        <v>6.793383184397E13</v>
      </c>
      <c r="C2022" s="27" t="s">
        <v>2363</v>
      </c>
    </row>
    <row r="2023">
      <c r="A2023" s="27" t="s">
        <v>2472</v>
      </c>
      <c r="B2023" s="27">
        <v>6.7933860407346E13</v>
      </c>
      <c r="C2023" s="27" t="s">
        <v>2359</v>
      </c>
    </row>
    <row r="2024">
      <c r="A2024" s="27" t="s">
        <v>2475</v>
      </c>
      <c r="B2024" s="27">
        <v>6.8540051413139E13</v>
      </c>
      <c r="C2024" s="27" t="s">
        <v>2363</v>
      </c>
    </row>
    <row r="2025">
      <c r="A2025" s="27" t="s">
        <v>2518</v>
      </c>
      <c r="B2025" s="27" t="s">
        <v>2519</v>
      </c>
      <c r="C2025" s="27" t="s">
        <v>2359</v>
      </c>
    </row>
    <row r="2026">
      <c r="A2026" s="27" t="s">
        <v>2591</v>
      </c>
      <c r="B2026" s="27" t="s">
        <v>667</v>
      </c>
      <c r="C2026" s="27" t="s">
        <v>2451</v>
      </c>
    </row>
    <row r="2027">
      <c r="A2027" s="27" t="s">
        <v>2998</v>
      </c>
      <c r="B2027" s="27" t="s">
        <v>1228</v>
      </c>
      <c r="C2027" s="27" t="s">
        <v>2359</v>
      </c>
    </row>
    <row r="2028">
      <c r="A2028" s="27" t="s">
        <v>3434</v>
      </c>
      <c r="B2028" s="27" t="s">
        <v>1238</v>
      </c>
      <c r="C2028" s="27" t="s">
        <v>2437</v>
      </c>
    </row>
    <row r="2029">
      <c r="A2029" s="27" t="s">
        <v>3015</v>
      </c>
      <c r="B2029" s="27" t="s">
        <v>3016</v>
      </c>
      <c r="C2029" s="27" t="s">
        <v>2413</v>
      </c>
    </row>
    <row r="2030">
      <c r="A2030" s="27" t="s">
        <v>3435</v>
      </c>
      <c r="B2030" s="27" t="s">
        <v>2735</v>
      </c>
      <c r="C2030" s="27" t="s">
        <v>3436</v>
      </c>
    </row>
    <row r="2031">
      <c r="A2031" s="27" t="s">
        <v>2389</v>
      </c>
      <c r="B2031" s="27">
        <v>1.627418180602E12</v>
      </c>
      <c r="C2031" s="27" t="s">
        <v>3437</v>
      </c>
    </row>
    <row r="2032">
      <c r="A2032" s="27" t="s">
        <v>2391</v>
      </c>
      <c r="B2032" s="27">
        <v>1.627418212924E12</v>
      </c>
      <c r="C2032" s="27" t="s">
        <v>3437</v>
      </c>
    </row>
    <row r="2033">
      <c r="A2033" s="27" t="s">
        <v>2397</v>
      </c>
      <c r="B2033" s="27">
        <v>1.635956574926E12</v>
      </c>
      <c r="C2033" s="27" t="s">
        <v>2382</v>
      </c>
    </row>
    <row r="2034">
      <c r="A2034" s="27" t="s">
        <v>3253</v>
      </c>
      <c r="B2034" s="27">
        <v>1.635956592996E12</v>
      </c>
      <c r="C2034" s="27" t="s">
        <v>3437</v>
      </c>
    </row>
    <row r="2035">
      <c r="A2035" s="27" t="s">
        <v>2398</v>
      </c>
      <c r="B2035" s="27">
        <v>1.635956597983E12</v>
      </c>
      <c r="C2035" s="27" t="s">
        <v>2399</v>
      </c>
    </row>
    <row r="2036">
      <c r="A2036" s="27" t="s">
        <v>3144</v>
      </c>
      <c r="B2036" s="27">
        <v>1.639488921197E12</v>
      </c>
      <c r="C2036" s="27" t="s">
        <v>2382</v>
      </c>
    </row>
    <row r="2037">
      <c r="A2037" s="27" t="s">
        <v>2784</v>
      </c>
      <c r="B2037" s="27">
        <v>1.659989549286E12</v>
      </c>
      <c r="C2037" s="27" t="s">
        <v>2399</v>
      </c>
    </row>
    <row r="2038">
      <c r="A2038" s="27" t="s">
        <v>3146</v>
      </c>
      <c r="B2038" s="27">
        <v>1.660858025311E12</v>
      </c>
      <c r="C2038" s="27" t="s">
        <v>2382</v>
      </c>
    </row>
    <row r="2039">
      <c r="A2039" s="27" t="s">
        <v>3147</v>
      </c>
      <c r="B2039" s="27">
        <v>1.660858118518E12</v>
      </c>
      <c r="C2039" s="27" t="s">
        <v>2399</v>
      </c>
    </row>
    <row r="2040">
      <c r="A2040" s="27" t="s">
        <v>2433</v>
      </c>
      <c r="B2040" s="27">
        <v>1.660858341796E12</v>
      </c>
      <c r="C2040" s="27" t="s">
        <v>2411</v>
      </c>
    </row>
    <row r="2041">
      <c r="A2041" s="27" t="s">
        <v>2434</v>
      </c>
      <c r="B2041" s="27">
        <v>1.660858356962E12</v>
      </c>
      <c r="C2041" s="27" t="s">
        <v>2411</v>
      </c>
    </row>
    <row r="2042">
      <c r="A2042" s="27" t="s">
        <v>2436</v>
      </c>
      <c r="B2042" s="27">
        <v>1.660858416606E12</v>
      </c>
      <c r="C2042" s="27" t="s">
        <v>2380</v>
      </c>
    </row>
    <row r="2043">
      <c r="A2043" s="27" t="s">
        <v>2438</v>
      </c>
      <c r="B2043" s="27">
        <v>1.6608587024E12</v>
      </c>
      <c r="C2043" s="27" t="s">
        <v>2411</v>
      </c>
    </row>
    <row r="2044">
      <c r="A2044" s="27" t="s">
        <v>3089</v>
      </c>
      <c r="B2044" s="27">
        <v>1.661872713289E12</v>
      </c>
      <c r="C2044" s="27" t="s">
        <v>2372</v>
      </c>
    </row>
    <row r="2045">
      <c r="A2045" s="27" t="s">
        <v>2449</v>
      </c>
      <c r="B2045" s="27">
        <v>1.661872956577E12</v>
      </c>
      <c r="C2045" s="27" t="s">
        <v>2382</v>
      </c>
    </row>
    <row r="2046">
      <c r="A2046" s="27" t="s">
        <v>2464</v>
      </c>
      <c r="B2046" s="27">
        <v>6.7327712330533E13</v>
      </c>
      <c r="C2046" s="27" t="s">
        <v>3437</v>
      </c>
    </row>
    <row r="2047">
      <c r="A2047" s="27" t="s">
        <v>3438</v>
      </c>
      <c r="B2047" s="27">
        <v>6.8432930518995E13</v>
      </c>
      <c r="C2047" s="27" t="s">
        <v>2380</v>
      </c>
    </row>
    <row r="2048">
      <c r="A2048" s="27" t="s">
        <v>2833</v>
      </c>
      <c r="B2048" s="27">
        <v>6.8540048936286E13</v>
      </c>
      <c r="C2048" s="27" t="s">
        <v>2399</v>
      </c>
    </row>
    <row r="2049">
      <c r="A2049" s="27" t="s">
        <v>2475</v>
      </c>
      <c r="B2049" s="27">
        <v>6.8540051413139E13</v>
      </c>
      <c r="C2049" s="27" t="s">
        <v>2399</v>
      </c>
    </row>
    <row r="2050">
      <c r="A2050" s="27" t="s">
        <v>2712</v>
      </c>
      <c r="B2050" s="27" t="s">
        <v>1261</v>
      </c>
      <c r="C2050" s="27" t="s">
        <v>2399</v>
      </c>
    </row>
    <row r="2051">
      <c r="A2051" s="27" t="s">
        <v>3439</v>
      </c>
      <c r="B2051" s="27" t="s">
        <v>1263</v>
      </c>
      <c r="C2051" s="27" t="s">
        <v>2399</v>
      </c>
    </row>
    <row r="2052">
      <c r="A2052" s="27" t="s">
        <v>2740</v>
      </c>
      <c r="B2052" s="27" t="s">
        <v>1265</v>
      </c>
      <c r="C2052" s="27" t="s">
        <v>2399</v>
      </c>
    </row>
    <row r="2053">
      <c r="A2053" s="27" t="s">
        <v>2724</v>
      </c>
      <c r="B2053" s="27" t="s">
        <v>1361</v>
      </c>
      <c r="C2053" s="27" t="s">
        <v>2382</v>
      </c>
    </row>
    <row r="2054">
      <c r="A2054" s="27" t="s">
        <v>2725</v>
      </c>
      <c r="B2054" s="27" t="s">
        <v>1363</v>
      </c>
      <c r="C2054" s="27" t="s">
        <v>2382</v>
      </c>
    </row>
    <row r="2055">
      <c r="A2055" s="27" t="s">
        <v>2726</v>
      </c>
      <c r="B2055" s="27" t="s">
        <v>1365</v>
      </c>
      <c r="C2055" s="27" t="s">
        <v>2382</v>
      </c>
    </row>
    <row r="2056">
      <c r="A2056" s="27" t="s">
        <v>3160</v>
      </c>
      <c r="B2056" s="27" t="s">
        <v>1367</v>
      </c>
      <c r="C2056" s="27" t="s">
        <v>2382</v>
      </c>
    </row>
    <row r="2057">
      <c r="A2057" s="27" t="s">
        <v>3434</v>
      </c>
      <c r="B2057" s="27" t="s">
        <v>1238</v>
      </c>
      <c r="C2057" s="27" t="s">
        <v>2399</v>
      </c>
    </row>
    <row r="2058">
      <c r="A2058" s="27" t="s">
        <v>3440</v>
      </c>
      <c r="B2058" s="27" t="s">
        <v>2735</v>
      </c>
      <c r="C2058" s="27" t="s">
        <v>3441</v>
      </c>
    </row>
    <row r="2059">
      <c r="A2059" s="27" t="s">
        <v>3021</v>
      </c>
      <c r="B2059" s="27">
        <v>1.53788936885E12</v>
      </c>
      <c r="C2059" s="27" t="s">
        <v>3164</v>
      </c>
    </row>
    <row r="2060">
      <c r="A2060" s="27" t="s">
        <v>2364</v>
      </c>
      <c r="B2060" s="27">
        <v>1.564150627423E12</v>
      </c>
      <c r="C2060" s="27" t="s">
        <v>2462</v>
      </c>
    </row>
    <row r="2061">
      <c r="A2061" s="27" t="s">
        <v>2366</v>
      </c>
      <c r="B2061" s="27">
        <v>1.564150661249E12</v>
      </c>
      <c r="C2061" s="27" t="s">
        <v>2451</v>
      </c>
    </row>
    <row r="2062">
      <c r="A2062" s="27" t="s">
        <v>2367</v>
      </c>
      <c r="B2062" s="27">
        <v>1.566335721736E12</v>
      </c>
      <c r="C2062" s="27" t="s">
        <v>2462</v>
      </c>
    </row>
    <row r="2063">
      <c r="A2063" s="27" t="s">
        <v>2373</v>
      </c>
      <c r="B2063" s="27">
        <v>1.592492799236E12</v>
      </c>
      <c r="C2063" s="27" t="s">
        <v>2380</v>
      </c>
    </row>
    <row r="2064">
      <c r="A2064" s="27" t="s">
        <v>2374</v>
      </c>
      <c r="B2064" s="27">
        <v>1.59708649984E12</v>
      </c>
      <c r="C2064" s="27" t="s">
        <v>3442</v>
      </c>
    </row>
    <row r="2065">
      <c r="A2065" s="27" t="s">
        <v>2375</v>
      </c>
      <c r="B2065" s="27">
        <v>1.597098592591E12</v>
      </c>
      <c r="C2065" s="27" t="s">
        <v>3443</v>
      </c>
    </row>
    <row r="2066">
      <c r="A2066" s="27" t="s">
        <v>2381</v>
      </c>
      <c r="B2066" s="27">
        <v>1.623703690011E12</v>
      </c>
      <c r="C2066" s="27" t="s">
        <v>2441</v>
      </c>
    </row>
    <row r="2067">
      <c r="A2067" s="27" t="s">
        <v>2383</v>
      </c>
      <c r="B2067" s="27">
        <v>1.623703728452E12</v>
      </c>
      <c r="C2067" s="27" t="s">
        <v>2451</v>
      </c>
    </row>
    <row r="2068">
      <c r="A2068" s="27" t="s">
        <v>2385</v>
      </c>
      <c r="B2068" s="27">
        <v>1.623703861303E12</v>
      </c>
      <c r="C2068" s="27" t="s">
        <v>2363</v>
      </c>
    </row>
    <row r="2069">
      <c r="A2069" s="27" t="s">
        <v>2757</v>
      </c>
      <c r="B2069" s="27">
        <v>1.623703942966E12</v>
      </c>
      <c r="C2069" s="27" t="s">
        <v>3164</v>
      </c>
    </row>
    <row r="2070">
      <c r="A2070" s="27" t="s">
        <v>3060</v>
      </c>
      <c r="B2070" s="27">
        <v>1.661873760641E12</v>
      </c>
      <c r="C2070" s="27" t="s">
        <v>3164</v>
      </c>
    </row>
    <row r="2071">
      <c r="A2071" s="27" t="s">
        <v>2476</v>
      </c>
      <c r="B2071" s="27">
        <v>6.8658866289861E13</v>
      </c>
      <c r="C2071" s="27" t="s">
        <v>3442</v>
      </c>
    </row>
    <row r="2072">
      <c r="A2072" s="27" t="s">
        <v>2477</v>
      </c>
      <c r="B2072" s="27">
        <v>6.8658868763602E13</v>
      </c>
      <c r="C2072" s="27" t="s">
        <v>2441</v>
      </c>
    </row>
    <row r="2073">
      <c r="A2073" s="27" t="s">
        <v>2532</v>
      </c>
      <c r="B2073" s="27" t="s">
        <v>466</v>
      </c>
      <c r="C2073" s="27" t="s">
        <v>3443</v>
      </c>
    </row>
    <row r="2074">
      <c r="A2074" s="27" t="s">
        <v>3165</v>
      </c>
      <c r="B2074" s="27" t="s">
        <v>474</v>
      </c>
      <c r="C2074" s="27" t="s">
        <v>3444</v>
      </c>
    </row>
    <row r="2075">
      <c r="A2075" s="27" t="s">
        <v>2533</v>
      </c>
      <c r="B2075" s="27" t="s">
        <v>529</v>
      </c>
      <c r="C2075" s="27" t="s">
        <v>2441</v>
      </c>
    </row>
    <row r="2076">
      <c r="A2076" s="27" t="s">
        <v>2534</v>
      </c>
      <c r="B2076" s="27" t="s">
        <v>531</v>
      </c>
      <c r="C2076" s="27" t="s">
        <v>2437</v>
      </c>
    </row>
    <row r="2077">
      <c r="A2077" s="27" t="s">
        <v>2535</v>
      </c>
      <c r="B2077" s="27" t="s">
        <v>533</v>
      </c>
      <c r="C2077" s="27" t="s">
        <v>2451</v>
      </c>
    </row>
    <row r="2078">
      <c r="A2078" s="27" t="s">
        <v>3150</v>
      </c>
      <c r="B2078" s="27" t="s">
        <v>611</v>
      </c>
      <c r="C2078" s="27" t="s">
        <v>2451</v>
      </c>
    </row>
    <row r="2079">
      <c r="A2079" s="27" t="s">
        <v>2536</v>
      </c>
      <c r="B2079" s="27" t="s">
        <v>603</v>
      </c>
      <c r="C2079" s="27" t="s">
        <v>2451</v>
      </c>
    </row>
    <row r="2080">
      <c r="A2080" s="27" t="s">
        <v>2912</v>
      </c>
      <c r="B2080" s="27" t="s">
        <v>657</v>
      </c>
      <c r="C2080" s="27" t="s">
        <v>2363</v>
      </c>
    </row>
    <row r="2081">
      <c r="A2081" s="27" t="s">
        <v>2913</v>
      </c>
      <c r="B2081" s="27" t="s">
        <v>653</v>
      </c>
      <c r="C2081" s="27" t="s">
        <v>2437</v>
      </c>
    </row>
    <row r="2082">
      <c r="A2082" s="27" t="s">
        <v>2915</v>
      </c>
      <c r="B2082" s="27" t="s">
        <v>655</v>
      </c>
      <c r="C2082" s="27" t="s">
        <v>2363</v>
      </c>
    </row>
    <row r="2083">
      <c r="A2083" s="27" t="s">
        <v>3169</v>
      </c>
      <c r="B2083" s="27" t="s">
        <v>641</v>
      </c>
      <c r="C2083" s="27" t="s">
        <v>3234</v>
      </c>
    </row>
    <row r="2084">
      <c r="A2084" s="27" t="s">
        <v>3170</v>
      </c>
      <c r="B2084" s="27" t="s">
        <v>643</v>
      </c>
      <c r="C2084" s="27" t="s">
        <v>2437</v>
      </c>
    </row>
    <row r="2085">
      <c r="A2085" s="27" t="s">
        <v>3171</v>
      </c>
      <c r="B2085" s="27" t="s">
        <v>645</v>
      </c>
      <c r="C2085" s="27" t="s">
        <v>2437</v>
      </c>
    </row>
    <row r="2086">
      <c r="A2086" s="27" t="s">
        <v>3172</v>
      </c>
      <c r="B2086" s="27" t="s">
        <v>647</v>
      </c>
      <c r="C2086" s="27" t="s">
        <v>2363</v>
      </c>
    </row>
    <row r="2087">
      <c r="A2087" s="27" t="s">
        <v>3173</v>
      </c>
      <c r="B2087" s="27" t="s">
        <v>649</v>
      </c>
      <c r="C2087" s="27" t="s">
        <v>2363</v>
      </c>
    </row>
    <row r="2088">
      <c r="A2088" s="27" t="s">
        <v>3176</v>
      </c>
      <c r="B2088" s="27" t="s">
        <v>1173</v>
      </c>
      <c r="C2088" s="27" t="s">
        <v>2359</v>
      </c>
    </row>
    <row r="2089">
      <c r="A2089" s="27" t="s">
        <v>3177</v>
      </c>
      <c r="B2089" s="27" t="s">
        <v>1175</v>
      </c>
      <c r="C2089" s="27" t="s">
        <v>2363</v>
      </c>
    </row>
    <row r="2090">
      <c r="A2090" s="27" t="s">
        <v>3178</v>
      </c>
      <c r="B2090" s="27" t="s">
        <v>470</v>
      </c>
      <c r="C2090" s="27" t="s">
        <v>2441</v>
      </c>
    </row>
    <row r="2091">
      <c r="A2091" s="27" t="s">
        <v>2551</v>
      </c>
      <c r="B2091" s="27" t="s">
        <v>472</v>
      </c>
      <c r="C2091" s="27" t="s">
        <v>2451</v>
      </c>
    </row>
    <row r="2092">
      <c r="A2092" s="27" t="s">
        <v>3179</v>
      </c>
      <c r="B2092" s="27" t="s">
        <v>476</v>
      </c>
      <c r="C2092" s="27" t="s">
        <v>2451</v>
      </c>
    </row>
    <row r="2093">
      <c r="A2093" s="27" t="s">
        <v>3180</v>
      </c>
      <c r="B2093" s="27" t="s">
        <v>478</v>
      </c>
      <c r="C2093" s="27" t="s">
        <v>2462</v>
      </c>
    </row>
    <row r="2094">
      <c r="A2094" s="27" t="s">
        <v>2554</v>
      </c>
      <c r="B2094" s="27" t="s">
        <v>357</v>
      </c>
      <c r="C2094" s="27" t="s">
        <v>2437</v>
      </c>
    </row>
    <row r="2095">
      <c r="A2095" s="27" t="s">
        <v>2556</v>
      </c>
      <c r="B2095" s="27" t="s">
        <v>359</v>
      </c>
      <c r="C2095" s="27" t="s">
        <v>3234</v>
      </c>
    </row>
    <row r="2096">
      <c r="A2096" s="27" t="s">
        <v>2559</v>
      </c>
      <c r="B2096" s="27" t="s">
        <v>361</v>
      </c>
      <c r="C2096" s="27" t="s">
        <v>2451</v>
      </c>
    </row>
    <row r="2097">
      <c r="A2097" s="27" t="s">
        <v>3181</v>
      </c>
      <c r="B2097" s="27" t="s">
        <v>363</v>
      </c>
      <c r="C2097" s="27" t="s">
        <v>2363</v>
      </c>
    </row>
    <row r="2098">
      <c r="A2098" s="27" t="s">
        <v>3183</v>
      </c>
      <c r="B2098" s="27" t="s">
        <v>365</v>
      </c>
      <c r="C2098" s="27" t="s">
        <v>2363</v>
      </c>
    </row>
    <row r="2099">
      <c r="A2099" s="27" t="s">
        <v>2560</v>
      </c>
      <c r="B2099" s="27" t="s">
        <v>369</v>
      </c>
      <c r="C2099" s="27" t="s">
        <v>2363</v>
      </c>
    </row>
    <row r="2100">
      <c r="A2100" s="27" t="s">
        <v>2561</v>
      </c>
      <c r="B2100" s="27" t="s">
        <v>371</v>
      </c>
      <c r="C2100" s="27" t="s">
        <v>2359</v>
      </c>
    </row>
    <row r="2101">
      <c r="A2101" s="27" t="s">
        <v>2575</v>
      </c>
      <c r="B2101" s="27" t="s">
        <v>570</v>
      </c>
      <c r="C2101" s="27" t="s">
        <v>2359</v>
      </c>
    </row>
    <row r="2102">
      <c r="A2102" s="27" t="s">
        <v>3203</v>
      </c>
      <c r="B2102" s="27" t="s">
        <v>494</v>
      </c>
      <c r="C2102" s="27" t="s">
        <v>2363</v>
      </c>
    </row>
    <row r="2103">
      <c r="A2103" s="27" t="s">
        <v>3204</v>
      </c>
      <c r="B2103" s="27" t="s">
        <v>496</v>
      </c>
      <c r="C2103" s="27" t="s">
        <v>2363</v>
      </c>
    </row>
    <row r="2104">
      <c r="A2104" s="27" t="s">
        <v>3205</v>
      </c>
      <c r="B2104" s="27" t="s">
        <v>498</v>
      </c>
      <c r="C2104" s="27" t="s">
        <v>2363</v>
      </c>
    </row>
    <row r="2105">
      <c r="A2105" s="27" t="s">
        <v>3206</v>
      </c>
      <c r="B2105" s="27" t="s">
        <v>500</v>
      </c>
      <c r="C2105" s="27" t="s">
        <v>2363</v>
      </c>
    </row>
    <row r="2106">
      <c r="A2106" s="27" t="s">
        <v>2581</v>
      </c>
      <c r="B2106" s="27" t="s">
        <v>502</v>
      </c>
      <c r="C2106" s="27" t="s">
        <v>2359</v>
      </c>
    </row>
    <row r="2107">
      <c r="A2107" s="27" t="s">
        <v>2582</v>
      </c>
      <c r="B2107" s="27" t="s">
        <v>504</v>
      </c>
      <c r="C2107" s="27" t="s">
        <v>2363</v>
      </c>
    </row>
    <row r="2108">
      <c r="A2108" s="27" t="s">
        <v>2584</v>
      </c>
      <c r="B2108" s="27" t="s">
        <v>506</v>
      </c>
      <c r="C2108" s="27" t="s">
        <v>2363</v>
      </c>
    </row>
    <row r="2109">
      <c r="A2109" s="27" t="s">
        <v>2586</v>
      </c>
      <c r="B2109" s="27" t="s">
        <v>508</v>
      </c>
      <c r="C2109" s="27" t="s">
        <v>2363</v>
      </c>
    </row>
    <row r="2110">
      <c r="A2110" s="27" t="s">
        <v>3154</v>
      </c>
      <c r="B2110" s="27" t="s">
        <v>751</v>
      </c>
      <c r="C2110" s="27" t="s">
        <v>3164</v>
      </c>
    </row>
    <row r="2111">
      <c r="A2111" s="27" t="s">
        <v>3156</v>
      </c>
      <c r="B2111" s="27" t="s">
        <v>773</v>
      </c>
      <c r="C2111" s="27" t="s">
        <v>2380</v>
      </c>
    </row>
    <row r="2112">
      <c r="A2112" s="27" t="s">
        <v>3157</v>
      </c>
      <c r="B2112" s="27" t="s">
        <v>775</v>
      </c>
      <c r="C2112" s="27" t="s">
        <v>2441</v>
      </c>
    </row>
    <row r="2113">
      <c r="A2113" s="27" t="s">
        <v>3210</v>
      </c>
      <c r="B2113" s="27" t="s">
        <v>793</v>
      </c>
      <c r="C2113" s="27" t="s">
        <v>2451</v>
      </c>
    </row>
    <row r="2114">
      <c r="A2114" s="27" t="s">
        <v>3211</v>
      </c>
      <c r="B2114" s="27" t="s">
        <v>795</v>
      </c>
      <c r="C2114" s="27" t="s">
        <v>2451</v>
      </c>
    </row>
    <row r="2115">
      <c r="A2115" s="27" t="s">
        <v>2588</v>
      </c>
      <c r="B2115" s="27" t="s">
        <v>453</v>
      </c>
      <c r="C2115" s="27" t="s">
        <v>2437</v>
      </c>
    </row>
    <row r="2116">
      <c r="A2116" s="27" t="s">
        <v>2589</v>
      </c>
      <c r="B2116" s="27" t="s">
        <v>455</v>
      </c>
      <c r="C2116" s="27" t="s">
        <v>2437</v>
      </c>
    </row>
    <row r="2117">
      <c r="A2117" s="27" t="s">
        <v>2929</v>
      </c>
      <c r="B2117" s="27" t="s">
        <v>665</v>
      </c>
      <c r="C2117" s="27" t="s">
        <v>3164</v>
      </c>
    </row>
    <row r="2118">
      <c r="A2118" s="27" t="s">
        <v>2930</v>
      </c>
      <c r="B2118" s="27" t="s">
        <v>663</v>
      </c>
      <c r="C2118" s="27" t="s">
        <v>2363</v>
      </c>
    </row>
    <row r="2119">
      <c r="A2119" s="27" t="s">
        <v>2590</v>
      </c>
      <c r="B2119" s="27" t="s">
        <v>669</v>
      </c>
      <c r="C2119" s="27" t="s">
        <v>2363</v>
      </c>
    </row>
    <row r="2120">
      <c r="A2120" s="27" t="s">
        <v>2592</v>
      </c>
      <c r="B2120" s="27" t="s">
        <v>661</v>
      </c>
      <c r="C2120" s="27" t="s">
        <v>2363</v>
      </c>
    </row>
    <row r="2121">
      <c r="A2121" s="27" t="s">
        <v>2599</v>
      </c>
      <c r="B2121" s="27" t="s">
        <v>1093</v>
      </c>
      <c r="C2121" s="27" t="s">
        <v>2441</v>
      </c>
    </row>
    <row r="2122">
      <c r="A2122" s="27" t="s">
        <v>2600</v>
      </c>
      <c r="B2122" s="27" t="s">
        <v>1095</v>
      </c>
      <c r="C2122" s="27" t="s">
        <v>2441</v>
      </c>
    </row>
    <row r="2123">
      <c r="A2123" s="27" t="s">
        <v>2602</v>
      </c>
      <c r="B2123" s="27" t="s">
        <v>1097</v>
      </c>
      <c r="C2123" s="27" t="s">
        <v>2441</v>
      </c>
    </row>
    <row r="2124">
      <c r="A2124" s="27" t="s">
        <v>2604</v>
      </c>
      <c r="B2124" s="27" t="s">
        <v>1099</v>
      </c>
      <c r="C2124" s="27" t="s">
        <v>2441</v>
      </c>
    </row>
    <row r="2125">
      <c r="A2125" s="27" t="s">
        <v>2605</v>
      </c>
      <c r="B2125" s="27" t="s">
        <v>988</v>
      </c>
      <c r="C2125" s="27" t="s">
        <v>2363</v>
      </c>
    </row>
    <row r="2126">
      <c r="A2126" s="27" t="s">
        <v>2606</v>
      </c>
      <c r="B2126" s="27" t="s">
        <v>996</v>
      </c>
      <c r="C2126" s="27" t="s">
        <v>2363</v>
      </c>
    </row>
    <row r="2127">
      <c r="A2127" s="27" t="s">
        <v>2607</v>
      </c>
      <c r="B2127" s="27" t="s">
        <v>990</v>
      </c>
      <c r="C2127" s="27" t="s">
        <v>2359</v>
      </c>
    </row>
    <row r="2128">
      <c r="A2128" s="27" t="s">
        <v>2608</v>
      </c>
      <c r="B2128" s="27" t="s">
        <v>998</v>
      </c>
      <c r="C2128" s="27" t="s">
        <v>2437</v>
      </c>
    </row>
    <row r="2129">
      <c r="A2129" s="27" t="s">
        <v>2609</v>
      </c>
      <c r="B2129" s="27" t="s">
        <v>992</v>
      </c>
      <c r="C2129" s="27" t="s">
        <v>2359</v>
      </c>
    </row>
    <row r="2130">
      <c r="A2130" s="27" t="s">
        <v>2610</v>
      </c>
      <c r="B2130" s="27" t="s">
        <v>1000</v>
      </c>
      <c r="C2130" s="27" t="s">
        <v>2363</v>
      </c>
    </row>
    <row r="2131">
      <c r="A2131" s="27" t="s">
        <v>2611</v>
      </c>
      <c r="B2131" s="27" t="s">
        <v>994</v>
      </c>
      <c r="C2131" s="27" t="s">
        <v>2437</v>
      </c>
    </row>
    <row r="2132">
      <c r="A2132" s="27" t="s">
        <v>2612</v>
      </c>
      <c r="B2132" s="27" t="s">
        <v>1002</v>
      </c>
      <c r="C2132" s="27" t="s">
        <v>2437</v>
      </c>
    </row>
    <row r="2133">
      <c r="A2133" s="27" t="s">
        <v>2637</v>
      </c>
      <c r="B2133" s="27" t="s">
        <v>913</v>
      </c>
      <c r="C2133" s="27" t="s">
        <v>2363</v>
      </c>
    </row>
    <row r="2134">
      <c r="A2134" s="27" t="s">
        <v>2638</v>
      </c>
      <c r="B2134" s="27" t="s">
        <v>921</v>
      </c>
      <c r="C2134" s="27" t="s">
        <v>2363</v>
      </c>
    </row>
    <row r="2135">
      <c r="A2135" s="27" t="s">
        <v>2639</v>
      </c>
      <c r="B2135" s="27" t="s">
        <v>915</v>
      </c>
      <c r="C2135" s="27" t="s">
        <v>2363</v>
      </c>
    </row>
    <row r="2136">
      <c r="A2136" s="27" t="s">
        <v>2640</v>
      </c>
      <c r="B2136" s="27" t="s">
        <v>923</v>
      </c>
      <c r="C2136" s="27" t="s">
        <v>2363</v>
      </c>
    </row>
    <row r="2137">
      <c r="A2137" s="27" t="s">
        <v>2641</v>
      </c>
      <c r="B2137" s="27" t="s">
        <v>917</v>
      </c>
      <c r="C2137" s="27" t="s">
        <v>2363</v>
      </c>
    </row>
    <row r="2138">
      <c r="A2138" s="27" t="s">
        <v>2642</v>
      </c>
      <c r="B2138" s="27" t="s">
        <v>925</v>
      </c>
      <c r="C2138" s="27" t="s">
        <v>2363</v>
      </c>
    </row>
    <row r="2139">
      <c r="A2139" s="27" t="s">
        <v>2643</v>
      </c>
      <c r="B2139" s="27" t="s">
        <v>919</v>
      </c>
      <c r="C2139" s="27" t="s">
        <v>2363</v>
      </c>
    </row>
    <row r="2140">
      <c r="A2140" s="27" t="s">
        <v>2644</v>
      </c>
      <c r="B2140" s="27" t="s">
        <v>927</v>
      </c>
      <c r="C2140" s="27" t="s">
        <v>2363</v>
      </c>
    </row>
    <row r="2141">
      <c r="A2141" s="27" t="s">
        <v>2645</v>
      </c>
      <c r="B2141" s="27" t="s">
        <v>905</v>
      </c>
      <c r="C2141" s="27" t="s">
        <v>2363</v>
      </c>
    </row>
    <row r="2142">
      <c r="A2142" s="27" t="s">
        <v>2646</v>
      </c>
      <c r="B2142" s="27" t="s">
        <v>897</v>
      </c>
      <c r="C2142" s="27" t="s">
        <v>2363</v>
      </c>
    </row>
    <row r="2143">
      <c r="A2143" s="27" t="s">
        <v>2647</v>
      </c>
      <c r="B2143" s="27" t="s">
        <v>907</v>
      </c>
      <c r="C2143" s="27" t="s">
        <v>2363</v>
      </c>
    </row>
    <row r="2144">
      <c r="A2144" s="27" t="s">
        <v>3214</v>
      </c>
      <c r="B2144" s="27" t="s">
        <v>899</v>
      </c>
      <c r="C2144" s="27" t="s">
        <v>2359</v>
      </c>
    </row>
    <row r="2145">
      <c r="A2145" s="27" t="s">
        <v>2648</v>
      </c>
      <c r="B2145" s="27" t="s">
        <v>909</v>
      </c>
      <c r="C2145" s="27" t="s">
        <v>2359</v>
      </c>
    </row>
    <row r="2146">
      <c r="A2146" s="27" t="s">
        <v>2649</v>
      </c>
      <c r="B2146" s="27" t="s">
        <v>901</v>
      </c>
      <c r="C2146" s="27" t="s">
        <v>2359</v>
      </c>
    </row>
    <row r="2147">
      <c r="A2147" s="27" t="s">
        <v>2650</v>
      </c>
      <c r="B2147" s="27" t="s">
        <v>911</v>
      </c>
      <c r="C2147" s="27" t="s">
        <v>2359</v>
      </c>
    </row>
    <row r="2148">
      <c r="A2148" s="27" t="s">
        <v>2651</v>
      </c>
      <c r="B2148" s="27" t="s">
        <v>903</v>
      </c>
      <c r="C2148" s="27" t="s">
        <v>2359</v>
      </c>
    </row>
    <row r="2149">
      <c r="A2149" s="27" t="s">
        <v>3215</v>
      </c>
      <c r="B2149" s="27" t="s">
        <v>844</v>
      </c>
      <c r="C2149" s="27" t="s">
        <v>2359</v>
      </c>
    </row>
    <row r="2150">
      <c r="A2150" s="27" t="s">
        <v>3216</v>
      </c>
      <c r="B2150" s="27" t="s">
        <v>836</v>
      </c>
      <c r="C2150" s="27" t="s">
        <v>2359</v>
      </c>
    </row>
    <row r="2151">
      <c r="A2151" s="27" t="s">
        <v>2656</v>
      </c>
      <c r="B2151" s="27" t="s">
        <v>842</v>
      </c>
      <c r="C2151" s="27" t="s">
        <v>2363</v>
      </c>
    </row>
    <row r="2152">
      <c r="A2152" s="27" t="s">
        <v>2657</v>
      </c>
      <c r="B2152" s="27" t="s">
        <v>840</v>
      </c>
      <c r="C2152" s="27" t="s">
        <v>2363</v>
      </c>
    </row>
    <row r="2153">
      <c r="A2153" s="27" t="s">
        <v>3218</v>
      </c>
      <c r="B2153" s="27" t="s">
        <v>832</v>
      </c>
      <c r="C2153" s="27" t="s">
        <v>2363</v>
      </c>
    </row>
    <row r="2154">
      <c r="A2154" s="27" t="s">
        <v>3219</v>
      </c>
      <c r="B2154" s="27" t="s">
        <v>846</v>
      </c>
      <c r="C2154" s="27" t="s">
        <v>2359</v>
      </c>
    </row>
    <row r="2155">
      <c r="A2155" s="27" t="s">
        <v>3220</v>
      </c>
      <c r="B2155" s="27" t="s">
        <v>838</v>
      </c>
      <c r="C2155" s="27" t="s">
        <v>2359</v>
      </c>
    </row>
    <row r="2156">
      <c r="A2156" s="27" t="s">
        <v>2658</v>
      </c>
      <c r="B2156" s="27" t="s">
        <v>1012</v>
      </c>
      <c r="C2156" s="27" t="s">
        <v>2363</v>
      </c>
    </row>
    <row r="2157">
      <c r="A2157" s="27" t="s">
        <v>2659</v>
      </c>
      <c r="B2157" s="27" t="s">
        <v>1004</v>
      </c>
      <c r="C2157" s="27" t="s">
        <v>2363</v>
      </c>
    </row>
    <row r="2158">
      <c r="A2158" s="27" t="s">
        <v>2660</v>
      </c>
      <c r="B2158" s="27" t="s">
        <v>1014</v>
      </c>
      <c r="C2158" s="27" t="s">
        <v>2363</v>
      </c>
    </row>
    <row r="2159">
      <c r="A2159" s="27" t="s">
        <v>2661</v>
      </c>
      <c r="B2159" s="27" t="s">
        <v>1006</v>
      </c>
      <c r="C2159" s="27" t="s">
        <v>2363</v>
      </c>
    </row>
    <row r="2160">
      <c r="A2160" s="27" t="s">
        <v>2663</v>
      </c>
      <c r="B2160" s="27" t="s">
        <v>1008</v>
      </c>
      <c r="C2160" s="27" t="s">
        <v>2359</v>
      </c>
    </row>
    <row r="2161">
      <c r="A2161" s="27" t="s">
        <v>2664</v>
      </c>
      <c r="B2161" s="27" t="s">
        <v>1018</v>
      </c>
      <c r="C2161" s="27" t="s">
        <v>2359</v>
      </c>
    </row>
    <row r="2162">
      <c r="A2162" s="27" t="s">
        <v>2665</v>
      </c>
      <c r="B2162" s="27" t="s">
        <v>1010</v>
      </c>
      <c r="C2162" s="27" t="s">
        <v>2359</v>
      </c>
    </row>
    <row r="2163">
      <c r="A2163" s="27" t="s">
        <v>2666</v>
      </c>
      <c r="B2163" s="27" t="s">
        <v>1069</v>
      </c>
      <c r="C2163" s="27" t="s">
        <v>2363</v>
      </c>
    </row>
    <row r="2164">
      <c r="A2164" s="27" t="s">
        <v>2667</v>
      </c>
      <c r="B2164" s="27" t="s">
        <v>1073</v>
      </c>
      <c r="C2164" s="27" t="s">
        <v>2363</v>
      </c>
    </row>
    <row r="2165">
      <c r="A2165" s="27" t="s">
        <v>2668</v>
      </c>
      <c r="B2165" s="27" t="s">
        <v>1071</v>
      </c>
      <c r="C2165" s="27" t="s">
        <v>2363</v>
      </c>
    </row>
    <row r="2166">
      <c r="A2166" s="27" t="s">
        <v>2669</v>
      </c>
      <c r="B2166" s="27" t="s">
        <v>1075</v>
      </c>
      <c r="C2166" s="27" t="s">
        <v>2363</v>
      </c>
    </row>
    <row r="2167">
      <c r="A2167" s="27" t="s">
        <v>2670</v>
      </c>
      <c r="B2167" s="27" t="s">
        <v>1079</v>
      </c>
      <c r="C2167" s="27" t="s">
        <v>2363</v>
      </c>
    </row>
    <row r="2168">
      <c r="A2168" s="27" t="s">
        <v>3221</v>
      </c>
      <c r="B2168" s="27" t="s">
        <v>1077</v>
      </c>
      <c r="C2168" s="27" t="s">
        <v>2363</v>
      </c>
    </row>
    <row r="2169">
      <c r="A2169" s="27" t="s">
        <v>3222</v>
      </c>
      <c r="B2169" s="27" t="s">
        <v>1081</v>
      </c>
      <c r="C2169" s="27" t="s">
        <v>2359</v>
      </c>
    </row>
    <row r="2170">
      <c r="A2170" s="27" t="s">
        <v>3223</v>
      </c>
      <c r="B2170" s="27" t="s">
        <v>1085</v>
      </c>
      <c r="C2170" s="27" t="s">
        <v>2359</v>
      </c>
    </row>
    <row r="2171">
      <c r="A2171" s="27" t="s">
        <v>3224</v>
      </c>
      <c r="B2171" s="27" t="s">
        <v>1083</v>
      </c>
      <c r="C2171" s="27" t="s">
        <v>2359</v>
      </c>
    </row>
    <row r="2172">
      <c r="A2172" s="27" t="s">
        <v>3225</v>
      </c>
      <c r="B2172" s="27" t="s">
        <v>1087</v>
      </c>
      <c r="C2172" s="27" t="s">
        <v>2359</v>
      </c>
    </row>
    <row r="2173">
      <c r="A2173" s="27" t="s">
        <v>3226</v>
      </c>
      <c r="B2173" s="27" t="s">
        <v>1091</v>
      </c>
      <c r="C2173" s="27" t="s">
        <v>2359</v>
      </c>
    </row>
    <row r="2174">
      <c r="A2174" s="27" t="s">
        <v>3227</v>
      </c>
      <c r="B2174" s="27" t="s">
        <v>1089</v>
      </c>
      <c r="C2174" s="27" t="s">
        <v>2359</v>
      </c>
    </row>
    <row r="2175">
      <c r="A2175" s="27" t="s">
        <v>3445</v>
      </c>
      <c r="B2175" s="27" t="s">
        <v>2735</v>
      </c>
      <c r="C2175" s="27" t="s">
        <v>3446</v>
      </c>
    </row>
    <row r="2176">
      <c r="A2176" s="27" t="s">
        <v>3447</v>
      </c>
      <c r="B2176" s="27">
        <v>1.0020020040103E13</v>
      </c>
      <c r="C2176" s="27" t="s">
        <v>2437</v>
      </c>
    </row>
    <row r="2177">
      <c r="A2177" s="27" t="s">
        <v>3448</v>
      </c>
      <c r="B2177" s="27">
        <v>1.0020020160103E13</v>
      </c>
      <c r="C2177" s="27" t="s">
        <v>2441</v>
      </c>
    </row>
    <row r="2178">
      <c r="A2178" s="27" t="s">
        <v>3449</v>
      </c>
      <c r="B2178" s="27">
        <v>1.0040010020401E13</v>
      </c>
      <c r="C2178" s="27" t="s">
        <v>2359</v>
      </c>
    </row>
    <row r="2179">
      <c r="A2179" s="27" t="s">
        <v>3450</v>
      </c>
      <c r="B2179" s="27">
        <v>1.008002054E13</v>
      </c>
      <c r="C2179" s="27" t="s">
        <v>2359</v>
      </c>
    </row>
    <row r="2180">
      <c r="A2180" s="27" t="s">
        <v>3451</v>
      </c>
      <c r="B2180" s="27">
        <v>1.0080050230002E13</v>
      </c>
      <c r="C2180" s="27" t="s">
        <v>2359</v>
      </c>
    </row>
    <row r="2181">
      <c r="A2181" s="27" t="s">
        <v>3452</v>
      </c>
      <c r="B2181" s="27">
        <v>1.0080050320007E13</v>
      </c>
      <c r="C2181" s="27" t="s">
        <v>2359</v>
      </c>
    </row>
    <row r="2182">
      <c r="A2182" s="27" t="s">
        <v>3453</v>
      </c>
      <c r="B2182" s="27">
        <v>1.0080050430002E13</v>
      </c>
      <c r="C2182" s="27" t="s">
        <v>2363</v>
      </c>
    </row>
    <row r="2183">
      <c r="A2183" s="27" t="s">
        <v>3454</v>
      </c>
      <c r="B2183" s="27">
        <v>1.0080100220101E13</v>
      </c>
      <c r="C2183" s="27" t="s">
        <v>2359</v>
      </c>
    </row>
    <row r="2184">
      <c r="A2184" s="27" t="s">
        <v>3455</v>
      </c>
      <c r="B2184" s="27">
        <v>1.0080110250103E13</v>
      </c>
      <c r="C2184" s="27" t="s">
        <v>2359</v>
      </c>
    </row>
    <row r="2185">
      <c r="A2185" s="27" t="s">
        <v>3242</v>
      </c>
      <c r="B2185" s="27">
        <v>1.008011025014E13</v>
      </c>
      <c r="C2185" s="27" t="s">
        <v>2359</v>
      </c>
    </row>
    <row r="2186">
      <c r="A2186" s="27" t="s">
        <v>3456</v>
      </c>
      <c r="B2186" s="27">
        <v>1.008012055E13</v>
      </c>
      <c r="C2186" s="27" t="s">
        <v>2359</v>
      </c>
    </row>
    <row r="2187">
      <c r="A2187" s="27" t="s">
        <v>3457</v>
      </c>
      <c r="B2187" s="27">
        <v>1.0080130220002E13</v>
      </c>
      <c r="C2187" s="27" t="s">
        <v>2359</v>
      </c>
    </row>
    <row r="2188">
      <c r="A2188" s="27" t="s">
        <v>3243</v>
      </c>
      <c r="B2188" s="27">
        <v>1.0080140470002E13</v>
      </c>
      <c r="C2188" s="27" t="s">
        <v>2363</v>
      </c>
    </row>
    <row r="2189">
      <c r="A2189" s="27" t="s">
        <v>3458</v>
      </c>
      <c r="B2189" s="27">
        <v>1.0080150490001E13</v>
      </c>
      <c r="C2189" s="27" t="s">
        <v>2359</v>
      </c>
    </row>
    <row r="2190">
      <c r="A2190" s="27" t="s">
        <v>3459</v>
      </c>
      <c r="B2190" s="27">
        <v>1.0080151190002E13</v>
      </c>
      <c r="C2190" s="27" t="s">
        <v>2359</v>
      </c>
    </row>
    <row r="2191">
      <c r="A2191" s="27" t="s">
        <v>3244</v>
      </c>
      <c r="B2191" s="27">
        <v>1.0080160500002E13</v>
      </c>
      <c r="C2191" s="27" t="s">
        <v>2359</v>
      </c>
    </row>
    <row r="2192">
      <c r="A2192" s="27" t="s">
        <v>3460</v>
      </c>
      <c r="B2192" s="27">
        <v>1.20312743019E11</v>
      </c>
      <c r="C2192" s="27" t="s">
        <v>2359</v>
      </c>
    </row>
    <row r="2193">
      <c r="A2193" s="27" t="s">
        <v>3461</v>
      </c>
      <c r="B2193" s="27">
        <v>1.21312919409E11</v>
      </c>
      <c r="C2193" s="27" t="s">
        <v>2359</v>
      </c>
    </row>
    <row r="2194">
      <c r="A2194" s="27" t="s">
        <v>3462</v>
      </c>
      <c r="B2194" s="27">
        <v>1.21312919417E11</v>
      </c>
      <c r="C2194" s="27" t="s">
        <v>2359</v>
      </c>
    </row>
    <row r="2195">
      <c r="A2195" s="27" t="s">
        <v>3463</v>
      </c>
      <c r="B2195" s="27">
        <v>1.21312935198E11</v>
      </c>
      <c r="C2195" s="27" t="s">
        <v>2359</v>
      </c>
    </row>
    <row r="2196">
      <c r="A2196" s="27" t="s">
        <v>3019</v>
      </c>
      <c r="B2196" s="27">
        <v>1.479750635184E12</v>
      </c>
      <c r="C2196" s="27" t="s">
        <v>2394</v>
      </c>
    </row>
    <row r="2197">
      <c r="A2197" s="27" t="s">
        <v>3072</v>
      </c>
      <c r="B2197" s="27">
        <v>1.479755068919E12</v>
      </c>
      <c r="C2197" s="27" t="s">
        <v>2437</v>
      </c>
    </row>
    <row r="2198">
      <c r="A2198" s="27" t="s">
        <v>3073</v>
      </c>
      <c r="B2198" s="27">
        <v>1.479823191801E12</v>
      </c>
      <c r="C2198" s="27" t="s">
        <v>2363</v>
      </c>
    </row>
    <row r="2199">
      <c r="A2199" s="27" t="s">
        <v>3020</v>
      </c>
      <c r="B2199" s="27">
        <v>1.496183099853E12</v>
      </c>
      <c r="C2199" s="27" t="s">
        <v>2451</v>
      </c>
    </row>
    <row r="2200">
      <c r="A2200" s="27" t="s">
        <v>3464</v>
      </c>
      <c r="B2200" s="27">
        <v>1.505329353494E12</v>
      </c>
      <c r="C2200" s="27" t="s">
        <v>2359</v>
      </c>
    </row>
    <row r="2201">
      <c r="A2201" s="27" t="s">
        <v>3246</v>
      </c>
      <c r="B2201" s="27">
        <v>1.512566970929E12</v>
      </c>
      <c r="C2201" s="27" t="s">
        <v>2409</v>
      </c>
    </row>
    <row r="2202">
      <c r="A2202" s="27" t="s">
        <v>3465</v>
      </c>
      <c r="B2202" s="27">
        <v>1.513100019184E12</v>
      </c>
      <c r="C2202" s="27" t="s">
        <v>2359</v>
      </c>
    </row>
    <row r="2203">
      <c r="A2203" s="27" t="s">
        <v>2360</v>
      </c>
      <c r="B2203" s="27">
        <v>1.513614057219E12</v>
      </c>
      <c r="C2203" s="27" t="s">
        <v>2359</v>
      </c>
    </row>
    <row r="2204">
      <c r="A2204" s="27" t="s">
        <v>3247</v>
      </c>
      <c r="B2204" s="27">
        <v>1.513615272195E12</v>
      </c>
      <c r="C2204" s="27" t="s">
        <v>2437</v>
      </c>
    </row>
    <row r="2205">
      <c r="A2205" s="27" t="s">
        <v>2362</v>
      </c>
      <c r="B2205" s="27">
        <v>1.52353664788E12</v>
      </c>
      <c r="C2205" s="27" t="s">
        <v>2359</v>
      </c>
    </row>
    <row r="2206">
      <c r="A2206" s="27" t="s">
        <v>3466</v>
      </c>
      <c r="B2206" s="27">
        <v>1.535566560027E12</v>
      </c>
      <c r="C2206" s="27" t="s">
        <v>2437</v>
      </c>
    </row>
    <row r="2207">
      <c r="A2207" s="27" t="s">
        <v>3021</v>
      </c>
      <c r="B2207" s="27">
        <v>1.53788936885E12</v>
      </c>
      <c r="C2207" s="27" t="s">
        <v>2363</v>
      </c>
    </row>
    <row r="2208">
      <c r="A2208" s="27" t="s">
        <v>2748</v>
      </c>
      <c r="B2208" s="27">
        <v>1.538141129434E12</v>
      </c>
      <c r="C2208" s="27" t="s">
        <v>2437</v>
      </c>
    </row>
    <row r="2209">
      <c r="A2209" s="27" t="s">
        <v>3075</v>
      </c>
      <c r="B2209" s="27">
        <v>1.53857036062E12</v>
      </c>
      <c r="C2209" s="27" t="s">
        <v>2447</v>
      </c>
    </row>
    <row r="2210">
      <c r="A2210" s="27" t="s">
        <v>3022</v>
      </c>
      <c r="B2210" s="27">
        <v>1.538570367611E12</v>
      </c>
      <c r="C2210" s="27" t="s">
        <v>2451</v>
      </c>
    </row>
    <row r="2211">
      <c r="A2211" s="27" t="s">
        <v>3023</v>
      </c>
      <c r="B2211" s="27">
        <v>1.538570373373E12</v>
      </c>
      <c r="C2211" s="27" t="s">
        <v>2437</v>
      </c>
    </row>
    <row r="2212">
      <c r="A2212" s="27" t="s">
        <v>3467</v>
      </c>
      <c r="B2212" s="27">
        <v>1.539703106378E12</v>
      </c>
      <c r="C2212" s="27" t="s">
        <v>2359</v>
      </c>
    </row>
    <row r="2213">
      <c r="A2213" s="27" t="s">
        <v>3468</v>
      </c>
      <c r="B2213" s="27">
        <v>1.539703126734E12</v>
      </c>
      <c r="C2213" s="27" t="s">
        <v>2359</v>
      </c>
    </row>
    <row r="2214">
      <c r="A2214" s="27" t="s">
        <v>2749</v>
      </c>
      <c r="B2214" s="27">
        <v>1.543406075297E12</v>
      </c>
      <c r="C2214" s="27" t="s">
        <v>2437</v>
      </c>
    </row>
    <row r="2215">
      <c r="A2215" s="27" t="s">
        <v>3469</v>
      </c>
      <c r="B2215" s="27">
        <v>1.544125235646E12</v>
      </c>
      <c r="C2215" s="27" t="s">
        <v>2359</v>
      </c>
    </row>
    <row r="2216">
      <c r="A2216" s="27" t="s">
        <v>2750</v>
      </c>
      <c r="B2216" s="27">
        <v>1.548358566329E12</v>
      </c>
      <c r="C2216" s="27" t="s">
        <v>2437</v>
      </c>
    </row>
    <row r="2217">
      <c r="A2217" s="27" t="s">
        <v>2364</v>
      </c>
      <c r="B2217" s="27">
        <v>1.564150627423E12</v>
      </c>
      <c r="C2217" s="27" t="s">
        <v>2359</v>
      </c>
    </row>
    <row r="2218">
      <c r="A2218" s="27" t="s">
        <v>2366</v>
      </c>
      <c r="B2218" s="27">
        <v>1.564150661249E12</v>
      </c>
      <c r="C2218" s="27" t="s">
        <v>2380</v>
      </c>
    </row>
    <row r="2219">
      <c r="A2219" s="27" t="s">
        <v>3470</v>
      </c>
      <c r="B2219" s="27">
        <v>1.566335650094E12</v>
      </c>
      <c r="C2219" s="27" t="s">
        <v>2363</v>
      </c>
    </row>
    <row r="2220">
      <c r="A2220" s="27" t="s">
        <v>2367</v>
      </c>
      <c r="B2220" s="27">
        <v>1.566335721736E12</v>
      </c>
      <c r="C2220" s="27" t="s">
        <v>2437</v>
      </c>
    </row>
    <row r="2221">
      <c r="A2221" s="27" t="s">
        <v>2369</v>
      </c>
      <c r="B2221" s="27">
        <v>1.566849947902E12</v>
      </c>
      <c r="C2221" s="27" t="s">
        <v>2437</v>
      </c>
    </row>
    <row r="2222">
      <c r="A2222" s="27" t="s">
        <v>3372</v>
      </c>
      <c r="B2222" s="27">
        <v>1.571055493973E12</v>
      </c>
      <c r="C2222" s="27" t="s">
        <v>2441</v>
      </c>
    </row>
    <row r="2223">
      <c r="A2223" s="27" t="s">
        <v>2371</v>
      </c>
      <c r="B2223" s="27">
        <v>1.571423280815E12</v>
      </c>
      <c r="C2223" s="27" t="s">
        <v>2437</v>
      </c>
    </row>
    <row r="2224">
      <c r="A2224" s="27" t="s">
        <v>3027</v>
      </c>
      <c r="B2224" s="27">
        <v>1.577101558492E12</v>
      </c>
      <c r="C2224" s="27" t="s">
        <v>2359</v>
      </c>
    </row>
    <row r="2225">
      <c r="A2225" s="27" t="s">
        <v>3028</v>
      </c>
      <c r="B2225" s="27">
        <v>1.579014517754E12</v>
      </c>
      <c r="C2225" s="27" t="s">
        <v>2363</v>
      </c>
    </row>
    <row r="2226">
      <c r="A2226" s="27" t="s">
        <v>3471</v>
      </c>
      <c r="B2226" s="27">
        <v>1.579117587919E12</v>
      </c>
      <c r="C2226" s="27" t="s">
        <v>2359</v>
      </c>
    </row>
    <row r="2227">
      <c r="A2227" s="27" t="s">
        <v>3472</v>
      </c>
      <c r="B2227" s="27">
        <v>1.579117612971E12</v>
      </c>
      <c r="C2227" s="27" t="s">
        <v>2359</v>
      </c>
    </row>
    <row r="2228">
      <c r="A2228" s="27" t="s">
        <v>3030</v>
      </c>
      <c r="B2228" s="27">
        <v>1.581963986702E12</v>
      </c>
      <c r="C2228" s="27" t="s">
        <v>2359</v>
      </c>
    </row>
    <row r="2229">
      <c r="A2229" s="27" t="s">
        <v>3032</v>
      </c>
      <c r="B2229" s="27">
        <v>1.58196399706E12</v>
      </c>
      <c r="C2229" s="27" t="s">
        <v>2437</v>
      </c>
    </row>
    <row r="2230">
      <c r="A2230" s="27" t="s">
        <v>3033</v>
      </c>
      <c r="B2230" s="27">
        <v>1.581964006972E12</v>
      </c>
      <c r="C2230" s="27" t="s">
        <v>2451</v>
      </c>
    </row>
    <row r="2231">
      <c r="A2231" s="27" t="s">
        <v>2373</v>
      </c>
      <c r="B2231" s="27">
        <v>1.592492799236E12</v>
      </c>
      <c r="C2231" s="27" t="s">
        <v>2361</v>
      </c>
    </row>
    <row r="2232">
      <c r="A2232" s="27" t="s">
        <v>3473</v>
      </c>
      <c r="B2232" s="27">
        <v>1.594337749167E12</v>
      </c>
      <c r="C2232" s="27" t="s">
        <v>2437</v>
      </c>
    </row>
    <row r="2233">
      <c r="A2233" s="27" t="s">
        <v>3474</v>
      </c>
      <c r="B2233" s="27">
        <v>1.594405367324E12</v>
      </c>
      <c r="C2233" s="27" t="s">
        <v>2359</v>
      </c>
    </row>
    <row r="2234">
      <c r="A2234" s="27" t="s">
        <v>3475</v>
      </c>
      <c r="B2234" s="27">
        <v>1.597086403194E12</v>
      </c>
      <c r="C2234" s="27" t="s">
        <v>2359</v>
      </c>
    </row>
    <row r="2235">
      <c r="A2235" s="27" t="s">
        <v>2374</v>
      </c>
      <c r="B2235" s="27">
        <v>1.59708649984E12</v>
      </c>
      <c r="C2235" s="27" t="s">
        <v>2441</v>
      </c>
    </row>
    <row r="2236">
      <c r="A2236" s="27" t="s">
        <v>2375</v>
      </c>
      <c r="B2236" s="27">
        <v>1.597098592591E12</v>
      </c>
      <c r="C2236" s="27" t="s">
        <v>2363</v>
      </c>
    </row>
    <row r="2237">
      <c r="A2237" s="27" t="s">
        <v>3476</v>
      </c>
      <c r="B2237" s="27">
        <v>1.602029301612E12</v>
      </c>
      <c r="C2237" s="27" t="s">
        <v>2359</v>
      </c>
    </row>
    <row r="2238">
      <c r="A2238" s="27" t="s">
        <v>3034</v>
      </c>
      <c r="B2238" s="27">
        <v>1.602623177408E12</v>
      </c>
      <c r="C2238" s="27" t="s">
        <v>2363</v>
      </c>
    </row>
    <row r="2239">
      <c r="A2239" s="27" t="s">
        <v>3078</v>
      </c>
      <c r="B2239" s="27">
        <v>1.604333316238E12</v>
      </c>
      <c r="C2239" s="27" t="s">
        <v>2359</v>
      </c>
    </row>
    <row r="2240">
      <c r="A2240" s="27" t="s">
        <v>3477</v>
      </c>
      <c r="B2240" s="27">
        <v>1.605624680115E12</v>
      </c>
      <c r="C2240" s="27" t="s">
        <v>2359</v>
      </c>
    </row>
    <row r="2241">
      <c r="A2241" s="27" t="s">
        <v>3478</v>
      </c>
      <c r="B2241" s="27">
        <v>1.605707978907E12</v>
      </c>
      <c r="C2241" s="27" t="s">
        <v>2359</v>
      </c>
    </row>
    <row r="2242">
      <c r="A2242" s="27" t="s">
        <v>3035</v>
      </c>
      <c r="B2242" s="27">
        <v>1.606847480521E12</v>
      </c>
      <c r="C2242" s="27" t="s">
        <v>2359</v>
      </c>
    </row>
    <row r="2243">
      <c r="A2243" s="27" t="s">
        <v>3479</v>
      </c>
      <c r="B2243" s="27">
        <v>1.607526253622E12</v>
      </c>
      <c r="C2243" s="27" t="s">
        <v>2359</v>
      </c>
    </row>
    <row r="2244">
      <c r="A2244" s="27" t="s">
        <v>3480</v>
      </c>
      <c r="B2244" s="27">
        <v>1.607548770561E12</v>
      </c>
      <c r="C2244" s="27" t="s">
        <v>2359</v>
      </c>
    </row>
    <row r="2245">
      <c r="A2245" s="27" t="s">
        <v>3481</v>
      </c>
      <c r="B2245" s="27">
        <v>1.608037818E12</v>
      </c>
      <c r="C2245" s="27" t="s">
        <v>2363</v>
      </c>
    </row>
    <row r="2246">
      <c r="A2246" s="27" t="s">
        <v>3037</v>
      </c>
      <c r="B2246" s="27">
        <v>1.608208205086E12</v>
      </c>
      <c r="C2246" s="27" t="s">
        <v>2437</v>
      </c>
    </row>
    <row r="2247">
      <c r="A2247" s="27" t="s">
        <v>3038</v>
      </c>
      <c r="B2247" s="27">
        <v>1.608588603788E12</v>
      </c>
      <c r="C2247" s="27" t="s">
        <v>2441</v>
      </c>
    </row>
    <row r="2248">
      <c r="A2248" s="27" t="s">
        <v>3482</v>
      </c>
      <c r="B2248" s="27">
        <v>1.60858864361E12</v>
      </c>
      <c r="C2248" s="27" t="s">
        <v>2359</v>
      </c>
    </row>
    <row r="2249">
      <c r="A2249" s="27" t="s">
        <v>3483</v>
      </c>
      <c r="B2249" s="27">
        <v>1.60996587985E12</v>
      </c>
      <c r="C2249" s="27" t="s">
        <v>2359</v>
      </c>
    </row>
    <row r="2250">
      <c r="A2250" s="27" t="s">
        <v>2377</v>
      </c>
      <c r="B2250" s="27">
        <v>1.61538336617E12</v>
      </c>
      <c r="C2250" s="27" t="s">
        <v>2359</v>
      </c>
    </row>
    <row r="2251">
      <c r="A2251" s="27" t="s">
        <v>3039</v>
      </c>
      <c r="B2251" s="27">
        <v>1.616006872824E12</v>
      </c>
      <c r="C2251" s="27" t="s">
        <v>2359</v>
      </c>
    </row>
    <row r="2252">
      <c r="A2252" s="27" t="s">
        <v>3040</v>
      </c>
      <c r="B2252" s="27">
        <v>1.616006958885E12</v>
      </c>
      <c r="C2252" s="27" t="s">
        <v>2363</v>
      </c>
    </row>
    <row r="2253">
      <c r="A2253" s="27" t="s">
        <v>3484</v>
      </c>
      <c r="B2253" s="27">
        <v>1.616007431943E12</v>
      </c>
      <c r="C2253" s="27" t="s">
        <v>2363</v>
      </c>
    </row>
    <row r="2254">
      <c r="A2254" s="27" t="s">
        <v>2755</v>
      </c>
      <c r="B2254" s="27">
        <v>1.616009024556E12</v>
      </c>
      <c r="C2254" s="27" t="s">
        <v>2359</v>
      </c>
    </row>
    <row r="2255">
      <c r="A2255" s="27" t="s">
        <v>2756</v>
      </c>
      <c r="B2255" s="27">
        <v>1.616450827982E12</v>
      </c>
      <c r="C2255" s="27" t="s">
        <v>2437</v>
      </c>
    </row>
    <row r="2256">
      <c r="A2256" s="27" t="s">
        <v>2381</v>
      </c>
      <c r="B2256" s="27">
        <v>1.623703690011E12</v>
      </c>
      <c r="C2256" s="27" t="s">
        <v>2359</v>
      </c>
    </row>
    <row r="2257">
      <c r="A2257" s="27" t="s">
        <v>2383</v>
      </c>
      <c r="B2257" s="27">
        <v>1.623703728452E12</v>
      </c>
      <c r="C2257" s="27" t="s">
        <v>2359</v>
      </c>
    </row>
    <row r="2258">
      <c r="A2258" s="27" t="s">
        <v>2385</v>
      </c>
      <c r="B2258" s="27">
        <v>1.623703861303E12</v>
      </c>
      <c r="C2258" s="27" t="s">
        <v>2378</v>
      </c>
    </row>
    <row r="2259">
      <c r="A2259" s="27" t="s">
        <v>2757</v>
      </c>
      <c r="B2259" s="27">
        <v>1.623703942966E12</v>
      </c>
      <c r="C2259" s="27" t="s">
        <v>2363</v>
      </c>
    </row>
    <row r="2260">
      <c r="A2260" s="27" t="s">
        <v>3485</v>
      </c>
      <c r="B2260" s="27">
        <v>1.627416753683E12</v>
      </c>
      <c r="C2260" s="27" t="s">
        <v>2359</v>
      </c>
    </row>
    <row r="2261">
      <c r="A2261" s="27" t="s">
        <v>2387</v>
      </c>
      <c r="B2261" s="27">
        <v>1.62741684103E12</v>
      </c>
      <c r="C2261" s="27" t="s">
        <v>2451</v>
      </c>
    </row>
    <row r="2262">
      <c r="A2262" s="27" t="s">
        <v>2389</v>
      </c>
      <c r="B2262" s="27">
        <v>1.627418180602E12</v>
      </c>
      <c r="C2262" s="27" t="s">
        <v>2380</v>
      </c>
    </row>
    <row r="2263">
      <c r="A2263" s="27" t="s">
        <v>2391</v>
      </c>
      <c r="B2263" s="27">
        <v>1.627418212924E12</v>
      </c>
      <c r="C2263" s="27" t="s">
        <v>2363</v>
      </c>
    </row>
    <row r="2264">
      <c r="A2264" s="27" t="s">
        <v>3044</v>
      </c>
      <c r="B2264" s="27">
        <v>1.627418225537E12</v>
      </c>
      <c r="C2264" s="27" t="s">
        <v>2359</v>
      </c>
    </row>
    <row r="2265">
      <c r="A2265" s="27" t="s">
        <v>3046</v>
      </c>
      <c r="B2265" s="27">
        <v>1.627418329116E12</v>
      </c>
      <c r="C2265" s="27" t="s">
        <v>2437</v>
      </c>
    </row>
    <row r="2266">
      <c r="A2266" s="27" t="s">
        <v>3486</v>
      </c>
      <c r="B2266" s="27">
        <v>1.629725255197E12</v>
      </c>
      <c r="C2266" s="27" t="s">
        <v>2363</v>
      </c>
    </row>
    <row r="2267">
      <c r="A2267" s="27" t="s">
        <v>2761</v>
      </c>
      <c r="B2267" s="27">
        <v>1.629726091782E12</v>
      </c>
      <c r="C2267" s="27" t="s">
        <v>2437</v>
      </c>
    </row>
    <row r="2268">
      <c r="A2268" s="27" t="s">
        <v>2762</v>
      </c>
      <c r="B2268" s="27">
        <v>1.629726117626E12</v>
      </c>
      <c r="C2268" s="27" t="s">
        <v>2359</v>
      </c>
    </row>
    <row r="2269">
      <c r="A2269" s="27" t="s">
        <v>3080</v>
      </c>
      <c r="B2269" s="27">
        <v>1.629726159155E12</v>
      </c>
      <c r="C2269" s="27" t="s">
        <v>2359</v>
      </c>
    </row>
    <row r="2270">
      <c r="A2270" s="27" t="s">
        <v>3081</v>
      </c>
      <c r="B2270" s="27">
        <v>1.630369674271E12</v>
      </c>
      <c r="C2270" s="27" t="s">
        <v>2359</v>
      </c>
    </row>
    <row r="2271">
      <c r="A2271" s="27" t="s">
        <v>3487</v>
      </c>
      <c r="B2271" s="27">
        <v>1.634566934933E12</v>
      </c>
      <c r="C2271" s="27" t="s">
        <v>2359</v>
      </c>
    </row>
    <row r="2272">
      <c r="A2272" s="27" t="s">
        <v>2765</v>
      </c>
      <c r="B2272" s="27">
        <v>1.63456703401E12</v>
      </c>
      <c r="C2272" s="27" t="s">
        <v>2363</v>
      </c>
    </row>
    <row r="2273">
      <c r="A2273" s="27" t="s">
        <v>2395</v>
      </c>
      <c r="B2273" s="27">
        <v>1.634845754276E12</v>
      </c>
      <c r="C2273" s="27" t="s">
        <v>2547</v>
      </c>
    </row>
    <row r="2274">
      <c r="A2274" s="27" t="s">
        <v>2397</v>
      </c>
      <c r="B2274" s="27">
        <v>1.635956574926E12</v>
      </c>
      <c r="C2274" s="27" t="s">
        <v>2380</v>
      </c>
    </row>
    <row r="2275">
      <c r="A2275" s="27" t="s">
        <v>3253</v>
      </c>
      <c r="B2275" s="27">
        <v>1.635956592996E12</v>
      </c>
      <c r="C2275" s="27" t="s">
        <v>2359</v>
      </c>
    </row>
    <row r="2276">
      <c r="A2276" s="27" t="s">
        <v>2766</v>
      </c>
      <c r="B2276" s="27">
        <v>1.638799019582E12</v>
      </c>
      <c r="C2276" s="27" t="s">
        <v>2359</v>
      </c>
    </row>
    <row r="2277">
      <c r="A2277" s="27" t="s">
        <v>3254</v>
      </c>
      <c r="B2277" s="27">
        <v>1.639085727598E12</v>
      </c>
      <c r="C2277" s="27" t="s">
        <v>2359</v>
      </c>
    </row>
    <row r="2278">
      <c r="A2278" s="27" t="s">
        <v>2768</v>
      </c>
      <c r="B2278" s="27">
        <v>1.639085745522E12</v>
      </c>
      <c r="C2278" s="27" t="s">
        <v>2359</v>
      </c>
    </row>
    <row r="2279">
      <c r="A2279" s="27" t="s">
        <v>3082</v>
      </c>
      <c r="B2279" s="27">
        <v>1.63908577239E12</v>
      </c>
      <c r="C2279" s="27" t="s">
        <v>2451</v>
      </c>
    </row>
    <row r="2280">
      <c r="A2280" s="27" t="s">
        <v>3050</v>
      </c>
      <c r="B2280" s="27">
        <v>1.639085780345E12</v>
      </c>
      <c r="C2280" s="27" t="s">
        <v>2363</v>
      </c>
    </row>
    <row r="2281">
      <c r="A2281" s="27" t="s">
        <v>2770</v>
      </c>
      <c r="B2281" s="27">
        <v>1.640091153797E12</v>
      </c>
      <c r="C2281" s="27" t="s">
        <v>2359</v>
      </c>
    </row>
    <row r="2282">
      <c r="A2282" s="27" t="s">
        <v>2401</v>
      </c>
      <c r="B2282" s="27">
        <v>1.645629782262E12</v>
      </c>
      <c r="C2282" s="27" t="s">
        <v>2359</v>
      </c>
    </row>
    <row r="2283">
      <c r="A2283" s="27" t="s">
        <v>2403</v>
      </c>
      <c r="B2283" s="27">
        <v>1.650295261109E12</v>
      </c>
      <c r="C2283" s="27" t="s">
        <v>2437</v>
      </c>
    </row>
    <row r="2284">
      <c r="A2284" s="27" t="s">
        <v>2405</v>
      </c>
      <c r="B2284" s="27">
        <v>1.650295282448E12</v>
      </c>
      <c r="C2284" s="27" t="s">
        <v>2359</v>
      </c>
    </row>
    <row r="2285">
      <c r="A2285" s="27" t="s">
        <v>2772</v>
      </c>
      <c r="B2285" s="27">
        <v>1.650298908518E12</v>
      </c>
      <c r="C2285" s="27" t="s">
        <v>2359</v>
      </c>
    </row>
    <row r="2286">
      <c r="A2286" s="27" t="s">
        <v>3145</v>
      </c>
      <c r="B2286" s="27">
        <v>1.650299083874E12</v>
      </c>
      <c r="C2286" s="27" t="s">
        <v>2359</v>
      </c>
    </row>
    <row r="2287">
      <c r="A2287" s="27" t="s">
        <v>2406</v>
      </c>
      <c r="B2287" s="27">
        <v>1.650301031879E12</v>
      </c>
      <c r="C2287" s="27" t="s">
        <v>2451</v>
      </c>
    </row>
    <row r="2288">
      <c r="A2288" s="27" t="s">
        <v>2408</v>
      </c>
      <c r="B2288" s="27">
        <v>1.650302269777E12</v>
      </c>
      <c r="C2288" s="27" t="s">
        <v>2451</v>
      </c>
    </row>
    <row r="2289">
      <c r="A2289" s="27" t="s">
        <v>3055</v>
      </c>
      <c r="B2289" s="27">
        <v>1.652824769553E12</v>
      </c>
      <c r="C2289" s="27" t="s">
        <v>2437</v>
      </c>
    </row>
    <row r="2290">
      <c r="A2290" s="27" t="s">
        <v>3255</v>
      </c>
      <c r="B2290" s="27">
        <v>1.652824782363E12</v>
      </c>
      <c r="C2290" s="27" t="s">
        <v>2409</v>
      </c>
    </row>
    <row r="2291">
      <c r="A2291" s="27" t="s">
        <v>2773</v>
      </c>
      <c r="B2291" s="27">
        <v>1.652824796337E12</v>
      </c>
      <c r="C2291" s="27" t="s">
        <v>3488</v>
      </c>
    </row>
    <row r="2292">
      <c r="A2292" s="27" t="s">
        <v>3056</v>
      </c>
      <c r="B2292" s="27">
        <v>1.652824902758E12</v>
      </c>
      <c r="C2292" s="27" t="s">
        <v>2359</v>
      </c>
    </row>
    <row r="2293">
      <c r="A2293" s="27" t="s">
        <v>3057</v>
      </c>
      <c r="B2293" s="27">
        <v>1.652824924113E12</v>
      </c>
      <c r="C2293" s="27" t="s">
        <v>2437</v>
      </c>
    </row>
    <row r="2294">
      <c r="A2294" s="27" t="s">
        <v>2775</v>
      </c>
      <c r="B2294" s="27">
        <v>1.652824957424E12</v>
      </c>
      <c r="C2294" s="27" t="s">
        <v>2359</v>
      </c>
    </row>
    <row r="2295">
      <c r="A2295" s="27" t="s">
        <v>2410</v>
      </c>
      <c r="B2295" s="27">
        <v>1.652825027456E12</v>
      </c>
      <c r="C2295" s="27" t="s">
        <v>2363</v>
      </c>
    </row>
    <row r="2296">
      <c r="A2296" s="27" t="s">
        <v>3433</v>
      </c>
      <c r="B2296" s="27">
        <v>1.652825203439E12</v>
      </c>
      <c r="C2296" s="27" t="s">
        <v>2359</v>
      </c>
    </row>
    <row r="2297">
      <c r="A2297" s="27" t="s">
        <v>2736</v>
      </c>
      <c r="B2297" s="27">
        <v>1.652825295706E12</v>
      </c>
      <c r="C2297" s="27" t="s">
        <v>2359</v>
      </c>
    </row>
    <row r="2298">
      <c r="A2298" s="27" t="s">
        <v>2412</v>
      </c>
      <c r="B2298" s="27">
        <v>1.654189048611E12</v>
      </c>
      <c r="C2298" s="27" t="s">
        <v>2359</v>
      </c>
    </row>
    <row r="2299">
      <c r="A2299" s="27" t="s">
        <v>2414</v>
      </c>
      <c r="B2299" s="27">
        <v>1.654189204021E12</v>
      </c>
      <c r="C2299" s="27" t="s">
        <v>2361</v>
      </c>
    </row>
    <row r="2300">
      <c r="A2300" s="27" t="s">
        <v>2415</v>
      </c>
      <c r="B2300" s="27">
        <v>1.654207295633E12</v>
      </c>
      <c r="C2300" s="27" t="s">
        <v>3234</v>
      </c>
    </row>
    <row r="2301">
      <c r="A2301" s="27" t="s">
        <v>2418</v>
      </c>
      <c r="B2301" s="27">
        <v>1.654207333519E12</v>
      </c>
      <c r="C2301" s="27" t="s">
        <v>2451</v>
      </c>
    </row>
    <row r="2302">
      <c r="A2302" s="27" t="s">
        <v>2420</v>
      </c>
      <c r="B2302" s="27">
        <v>1.654207372101E12</v>
      </c>
      <c r="C2302" s="27" t="s">
        <v>2441</v>
      </c>
    </row>
    <row r="2303">
      <c r="A2303" s="27" t="s">
        <v>2778</v>
      </c>
      <c r="B2303" s="27">
        <v>1.65420774834E12</v>
      </c>
      <c r="C2303" s="27" t="s">
        <v>2359</v>
      </c>
    </row>
    <row r="2304">
      <c r="A2304" s="27" t="s">
        <v>2422</v>
      </c>
      <c r="B2304" s="27">
        <v>1.656603353038E12</v>
      </c>
      <c r="C2304" s="27" t="s">
        <v>2409</v>
      </c>
    </row>
    <row r="2305">
      <c r="A2305" s="27" t="s">
        <v>3256</v>
      </c>
      <c r="B2305" s="27">
        <v>1.658329968514E12</v>
      </c>
      <c r="C2305" s="27" t="s">
        <v>2363</v>
      </c>
    </row>
    <row r="2306">
      <c r="A2306" s="27" t="s">
        <v>2782</v>
      </c>
      <c r="B2306" s="27">
        <v>1.658330420825E12</v>
      </c>
      <c r="C2306" s="27" t="s">
        <v>2437</v>
      </c>
    </row>
    <row r="2307">
      <c r="A2307" s="27" t="s">
        <v>3131</v>
      </c>
      <c r="B2307" s="27">
        <v>1.658330471799E12</v>
      </c>
      <c r="C2307" s="27" t="s">
        <v>2359</v>
      </c>
    </row>
    <row r="2308">
      <c r="A2308" s="27" t="s">
        <v>3083</v>
      </c>
      <c r="B2308" s="27">
        <v>1.659971347046E12</v>
      </c>
      <c r="C2308" s="27" t="s">
        <v>2462</v>
      </c>
    </row>
    <row r="2309">
      <c r="A2309" s="27" t="s">
        <v>2785</v>
      </c>
      <c r="B2309" s="27">
        <v>1.659989621591E12</v>
      </c>
      <c r="C2309" s="27" t="s">
        <v>2437</v>
      </c>
    </row>
    <row r="2310">
      <c r="A2310" s="27" t="s">
        <v>2786</v>
      </c>
      <c r="B2310" s="27">
        <v>1.659990725288E12</v>
      </c>
      <c r="C2310" s="27" t="s">
        <v>2437</v>
      </c>
    </row>
    <row r="2311">
      <c r="A2311" s="27" t="s">
        <v>3084</v>
      </c>
      <c r="B2311" s="27">
        <v>1.659990788079E12</v>
      </c>
      <c r="C2311" s="27" t="s">
        <v>2359</v>
      </c>
    </row>
    <row r="2312">
      <c r="A2312" s="27" t="s">
        <v>3085</v>
      </c>
      <c r="B2312" s="27">
        <v>1.65999080731E12</v>
      </c>
      <c r="C2312" s="27" t="s">
        <v>2359</v>
      </c>
    </row>
    <row r="2313">
      <c r="A2313" s="27" t="s">
        <v>3086</v>
      </c>
      <c r="B2313" s="27">
        <v>1.659990828178E12</v>
      </c>
      <c r="C2313" s="27" t="s">
        <v>2363</v>
      </c>
    </row>
    <row r="2314">
      <c r="A2314" s="27" t="s">
        <v>2787</v>
      </c>
      <c r="B2314" s="27">
        <v>1.659991379695E12</v>
      </c>
      <c r="C2314" s="27" t="s">
        <v>3489</v>
      </c>
    </row>
    <row r="2315">
      <c r="A2315" s="27" t="s">
        <v>2788</v>
      </c>
      <c r="B2315" s="27">
        <v>1.659991481176E12</v>
      </c>
      <c r="C2315" s="27" t="s">
        <v>2359</v>
      </c>
    </row>
    <row r="2316">
      <c r="A2316" s="27" t="s">
        <v>2423</v>
      </c>
      <c r="B2316" s="27">
        <v>1.659991971809E12</v>
      </c>
      <c r="C2316" s="27" t="s">
        <v>2437</v>
      </c>
    </row>
    <row r="2317">
      <c r="A2317" s="27" t="s">
        <v>2424</v>
      </c>
      <c r="B2317" s="27">
        <v>1.659991999728E12</v>
      </c>
      <c r="C2317" s="27" t="s">
        <v>2451</v>
      </c>
    </row>
    <row r="2318">
      <c r="A2318" s="27" t="s">
        <v>2425</v>
      </c>
      <c r="B2318" s="27">
        <v>1.659999392257E12</v>
      </c>
      <c r="C2318" s="27" t="s">
        <v>2437</v>
      </c>
    </row>
    <row r="2319">
      <c r="A2319" s="27" t="s">
        <v>2427</v>
      </c>
      <c r="B2319" s="27">
        <v>1.659999410637E12</v>
      </c>
      <c r="C2319" s="27" t="s">
        <v>2363</v>
      </c>
    </row>
    <row r="2320">
      <c r="A2320" s="27" t="s">
        <v>2790</v>
      </c>
      <c r="B2320" s="27" t="s">
        <v>2791</v>
      </c>
      <c r="C2320" s="27" t="s">
        <v>2363</v>
      </c>
    </row>
    <row r="2321">
      <c r="A2321" s="27" t="s">
        <v>2429</v>
      </c>
      <c r="B2321" s="27">
        <v>1.66085796352E12</v>
      </c>
      <c r="C2321" s="27" t="s">
        <v>2451</v>
      </c>
    </row>
    <row r="2322">
      <c r="A2322" s="27" t="s">
        <v>2430</v>
      </c>
      <c r="B2322" s="27">
        <v>1.660858101318E12</v>
      </c>
      <c r="C2322" s="27" t="s">
        <v>2437</v>
      </c>
    </row>
    <row r="2323">
      <c r="A2323" s="27" t="s">
        <v>2431</v>
      </c>
      <c r="B2323" s="27">
        <v>1.660858118518E12</v>
      </c>
      <c r="C2323" s="27" t="s">
        <v>2363</v>
      </c>
    </row>
    <row r="2324">
      <c r="A2324" s="27" t="s">
        <v>2793</v>
      </c>
      <c r="B2324" s="27">
        <v>1.660858235219E12</v>
      </c>
      <c r="C2324" s="27" t="s">
        <v>2363</v>
      </c>
    </row>
    <row r="2325">
      <c r="A2325" s="27" t="s">
        <v>3490</v>
      </c>
      <c r="B2325" s="27">
        <v>1.660858266475E12</v>
      </c>
      <c r="C2325" s="27" t="s">
        <v>2437</v>
      </c>
    </row>
    <row r="2326">
      <c r="A2326" s="27" t="s">
        <v>2433</v>
      </c>
      <c r="B2326" s="27">
        <v>1.660858341796E12</v>
      </c>
      <c r="C2326" s="27" t="s">
        <v>2437</v>
      </c>
    </row>
    <row r="2327">
      <c r="A2327" s="27" t="s">
        <v>2436</v>
      </c>
      <c r="B2327" s="27">
        <v>1.660858416606E12</v>
      </c>
      <c r="C2327" s="27" t="s">
        <v>2437</v>
      </c>
    </row>
    <row r="2328">
      <c r="A2328" s="27" t="s">
        <v>3087</v>
      </c>
      <c r="B2328" s="27">
        <v>1.66085857751E12</v>
      </c>
      <c r="C2328" s="27" t="s">
        <v>2359</v>
      </c>
    </row>
    <row r="2329">
      <c r="A2329" s="27" t="s">
        <v>2438</v>
      </c>
      <c r="B2329" s="27">
        <v>1.6608587024E12</v>
      </c>
      <c r="C2329" s="27" t="s">
        <v>2359</v>
      </c>
    </row>
    <row r="2330">
      <c r="A2330" s="27" t="s">
        <v>2444</v>
      </c>
      <c r="B2330" s="27">
        <v>1.660858812938E12</v>
      </c>
      <c r="C2330" s="27" t="s">
        <v>2359</v>
      </c>
    </row>
    <row r="2331">
      <c r="A2331" s="27" t="s">
        <v>2445</v>
      </c>
      <c r="B2331" s="27">
        <v>1.660858828618E12</v>
      </c>
      <c r="C2331" s="27" t="s">
        <v>2359</v>
      </c>
    </row>
    <row r="2332">
      <c r="A2332" s="27" t="s">
        <v>2446</v>
      </c>
      <c r="B2332" s="27">
        <v>1.660858844449E12</v>
      </c>
      <c r="C2332" s="27" t="s">
        <v>2359</v>
      </c>
    </row>
    <row r="2333">
      <c r="A2333" s="27" t="s">
        <v>3148</v>
      </c>
      <c r="B2333" s="27">
        <v>1.660859102915E12</v>
      </c>
      <c r="C2333" s="27" t="s">
        <v>2359</v>
      </c>
    </row>
    <row r="2334">
      <c r="A2334" s="27" t="s">
        <v>2448</v>
      </c>
      <c r="B2334" s="27">
        <v>1.660859171584E12</v>
      </c>
      <c r="C2334" s="27" t="s">
        <v>2359</v>
      </c>
    </row>
    <row r="2335">
      <c r="A2335" s="27" t="s">
        <v>2794</v>
      </c>
      <c r="B2335" s="27">
        <v>1.660859287583E12</v>
      </c>
      <c r="C2335" s="27" t="s">
        <v>2394</v>
      </c>
    </row>
    <row r="2336">
      <c r="A2336" s="27" t="s">
        <v>3088</v>
      </c>
      <c r="B2336" s="27">
        <v>1.660859424566E12</v>
      </c>
      <c r="C2336" s="27" t="s">
        <v>2407</v>
      </c>
    </row>
    <row r="2337">
      <c r="A2337" s="27" t="s">
        <v>2795</v>
      </c>
      <c r="B2337" s="27" t="s">
        <v>2796</v>
      </c>
      <c r="C2337" s="27" t="s">
        <v>2363</v>
      </c>
    </row>
    <row r="2338">
      <c r="A2338" s="27" t="s">
        <v>3089</v>
      </c>
      <c r="B2338" s="27">
        <v>1.661872713289E12</v>
      </c>
      <c r="C2338" s="27" t="s">
        <v>2359</v>
      </c>
    </row>
    <row r="2339">
      <c r="A2339" s="27" t="s">
        <v>2449</v>
      </c>
      <c r="B2339" s="27">
        <v>1.661872956577E12</v>
      </c>
      <c r="C2339" s="27" t="s">
        <v>2447</v>
      </c>
    </row>
    <row r="2340">
      <c r="A2340" s="27" t="s">
        <v>3060</v>
      </c>
      <c r="B2340" s="27">
        <v>1.661873760641E12</v>
      </c>
      <c r="C2340" s="27" t="s">
        <v>2359</v>
      </c>
    </row>
    <row r="2341">
      <c r="A2341" s="27" t="s">
        <v>2450</v>
      </c>
      <c r="B2341" s="27">
        <v>1.661873799978E12</v>
      </c>
      <c r="C2341" s="27" t="s">
        <v>2437</v>
      </c>
    </row>
    <row r="2342">
      <c r="A2342" s="27" t="s">
        <v>3491</v>
      </c>
      <c r="B2342" s="27">
        <v>1.661877043628E12</v>
      </c>
      <c r="C2342" s="27" t="s">
        <v>2359</v>
      </c>
    </row>
    <row r="2343">
      <c r="A2343" s="27" t="s">
        <v>2800</v>
      </c>
      <c r="B2343" s="27">
        <v>1700887.0</v>
      </c>
      <c r="C2343" s="27" t="s">
        <v>2359</v>
      </c>
    </row>
    <row r="2344">
      <c r="A2344" s="27" t="s">
        <v>2802</v>
      </c>
      <c r="B2344" s="27">
        <v>1720434.0</v>
      </c>
      <c r="C2344" s="27" t="s">
        <v>2359</v>
      </c>
    </row>
    <row r="2345">
      <c r="A2345" s="27" t="s">
        <v>2803</v>
      </c>
      <c r="B2345" s="27">
        <v>1720662.0</v>
      </c>
      <c r="C2345" s="27" t="s">
        <v>2359</v>
      </c>
    </row>
    <row r="2346">
      <c r="A2346" s="27" t="s">
        <v>3492</v>
      </c>
      <c r="B2346" s="27">
        <v>1795456.0</v>
      </c>
      <c r="C2346" s="27" t="s">
        <v>2359</v>
      </c>
    </row>
    <row r="2347">
      <c r="A2347" s="27" t="s">
        <v>2804</v>
      </c>
      <c r="B2347" s="27">
        <v>184957.0</v>
      </c>
      <c r="C2347" s="27" t="s">
        <v>2359</v>
      </c>
    </row>
    <row r="2348">
      <c r="A2348" s="27" t="s">
        <v>3493</v>
      </c>
      <c r="B2348" s="27" t="s">
        <v>3494</v>
      </c>
      <c r="C2348" s="27" t="s">
        <v>2359</v>
      </c>
    </row>
    <row r="2349">
      <c r="A2349" s="27" t="s">
        <v>3262</v>
      </c>
      <c r="B2349" s="27">
        <v>2.0001009086E10</v>
      </c>
      <c r="C2349" s="27" t="s">
        <v>2359</v>
      </c>
    </row>
    <row r="2350">
      <c r="A2350" s="27" t="s">
        <v>3263</v>
      </c>
      <c r="B2350" s="27">
        <v>2.014000021508E12</v>
      </c>
      <c r="C2350" s="27" t="s">
        <v>2359</v>
      </c>
    </row>
    <row r="2351">
      <c r="A2351" s="27" t="s">
        <v>3495</v>
      </c>
      <c r="B2351" s="27" t="s">
        <v>3496</v>
      </c>
      <c r="C2351" s="27" t="s">
        <v>2359</v>
      </c>
    </row>
    <row r="2352">
      <c r="A2352" s="27" t="s">
        <v>3497</v>
      </c>
      <c r="B2352" s="27">
        <v>2.213060865E10</v>
      </c>
      <c r="C2352" s="27" t="s">
        <v>2359</v>
      </c>
    </row>
    <row r="2353">
      <c r="A2353" s="27" t="s">
        <v>3267</v>
      </c>
      <c r="B2353" s="27">
        <v>2.213060878E10</v>
      </c>
      <c r="C2353" s="27" t="s">
        <v>2359</v>
      </c>
    </row>
    <row r="2354">
      <c r="A2354" s="27" t="s">
        <v>3268</v>
      </c>
      <c r="B2354" s="27">
        <v>2.2130608785E10</v>
      </c>
      <c r="C2354" s="27" t="s">
        <v>2359</v>
      </c>
    </row>
    <row r="2355">
      <c r="A2355" s="27" t="s">
        <v>3498</v>
      </c>
      <c r="B2355" s="27" t="s">
        <v>3499</v>
      </c>
      <c r="C2355" s="27" t="s">
        <v>2359</v>
      </c>
    </row>
    <row r="2356">
      <c r="A2356" s="27" t="s">
        <v>3500</v>
      </c>
      <c r="B2356" s="27">
        <v>2651002.0</v>
      </c>
      <c r="C2356" s="27" t="s">
        <v>2359</v>
      </c>
    </row>
    <row r="2357">
      <c r="A2357" s="27" t="s">
        <v>2809</v>
      </c>
      <c r="B2357" s="27">
        <v>26667.0</v>
      </c>
      <c r="C2357" s="27" t="s">
        <v>2441</v>
      </c>
    </row>
    <row r="2358">
      <c r="A2358" s="27" t="s">
        <v>3501</v>
      </c>
      <c r="B2358" s="27">
        <v>26807.0</v>
      </c>
      <c r="C2358" s="27" t="s">
        <v>2359</v>
      </c>
    </row>
    <row r="2359">
      <c r="A2359" s="27" t="s">
        <v>3502</v>
      </c>
      <c r="B2359" s="27">
        <v>26968.0</v>
      </c>
      <c r="C2359" s="27" t="s">
        <v>2359</v>
      </c>
    </row>
    <row r="2360">
      <c r="A2360" s="27" t="s">
        <v>3503</v>
      </c>
      <c r="B2360" s="27">
        <v>26994.0</v>
      </c>
      <c r="C2360" s="27" t="s">
        <v>2359</v>
      </c>
    </row>
    <row r="2361">
      <c r="A2361" s="27" t="s">
        <v>3277</v>
      </c>
      <c r="B2361" s="27">
        <v>27245.0</v>
      </c>
      <c r="C2361" s="27" t="s">
        <v>2359</v>
      </c>
    </row>
    <row r="2362">
      <c r="A2362" s="27" t="s">
        <v>3504</v>
      </c>
      <c r="B2362" s="27">
        <v>27418.0</v>
      </c>
      <c r="C2362" s="27" t="s">
        <v>2359</v>
      </c>
    </row>
    <row r="2363">
      <c r="A2363" s="27" t="s">
        <v>3505</v>
      </c>
      <c r="B2363" s="27">
        <v>27433.0</v>
      </c>
      <c r="C2363" s="27" t="s">
        <v>2359</v>
      </c>
    </row>
    <row r="2364">
      <c r="A2364" s="27" t="s">
        <v>3506</v>
      </c>
      <c r="B2364" s="27">
        <v>27434.0</v>
      </c>
      <c r="C2364" s="27" t="s">
        <v>2359</v>
      </c>
    </row>
    <row r="2365">
      <c r="A2365" s="27" t="s">
        <v>3507</v>
      </c>
      <c r="B2365" s="27">
        <v>3.000140708E10</v>
      </c>
      <c r="C2365" s="27" t="s">
        <v>2363</v>
      </c>
    </row>
    <row r="2366">
      <c r="A2366" s="27" t="s">
        <v>3093</v>
      </c>
      <c r="B2366" s="27" t="s">
        <v>3094</v>
      </c>
      <c r="C2366" s="27" t="s">
        <v>2359</v>
      </c>
    </row>
    <row r="2367">
      <c r="A2367" s="27" t="s">
        <v>3508</v>
      </c>
      <c r="B2367" s="27" t="s">
        <v>3509</v>
      </c>
      <c r="C2367" s="27" t="s">
        <v>2363</v>
      </c>
    </row>
    <row r="2368">
      <c r="A2368" s="27" t="s">
        <v>2815</v>
      </c>
      <c r="B2368" s="27" t="s">
        <v>2816</v>
      </c>
      <c r="C2368" s="27" t="s">
        <v>2359</v>
      </c>
    </row>
    <row r="2369">
      <c r="A2369" s="27" t="s">
        <v>3510</v>
      </c>
      <c r="B2369" s="27">
        <v>6.32627814274E11</v>
      </c>
      <c r="C2369" s="27" t="s">
        <v>2359</v>
      </c>
    </row>
    <row r="2370">
      <c r="A2370" s="27" t="s">
        <v>3095</v>
      </c>
      <c r="B2370" s="27">
        <v>6.6436804863605E13</v>
      </c>
      <c r="C2370" s="27" t="s">
        <v>2359</v>
      </c>
    </row>
    <row r="2371">
      <c r="A2371" s="27" t="s">
        <v>3096</v>
      </c>
      <c r="B2371" s="27">
        <v>6.6436950085067E13</v>
      </c>
      <c r="C2371" s="27" t="s">
        <v>2361</v>
      </c>
    </row>
    <row r="2372">
      <c r="A2372" s="27" t="s">
        <v>3062</v>
      </c>
      <c r="B2372" s="27">
        <v>6.6436955223732E13</v>
      </c>
      <c r="C2372" s="27" t="s">
        <v>2595</v>
      </c>
    </row>
    <row r="2373">
      <c r="A2373" s="27" t="s">
        <v>2461</v>
      </c>
      <c r="B2373" s="27">
        <v>6.6800506435054E13</v>
      </c>
      <c r="C2373" s="27" t="s">
        <v>2359</v>
      </c>
    </row>
    <row r="2374">
      <c r="A2374" s="27" t="s">
        <v>2818</v>
      </c>
      <c r="B2374" s="27">
        <v>6.680050766593E13</v>
      </c>
      <c r="C2374" s="27" t="s">
        <v>2359</v>
      </c>
    </row>
    <row r="2375">
      <c r="A2375" s="27" t="s">
        <v>2463</v>
      </c>
      <c r="B2375" s="27">
        <v>6.6800509015029E13</v>
      </c>
      <c r="C2375" s="27" t="s">
        <v>2359</v>
      </c>
    </row>
    <row r="2376">
      <c r="A2376" s="27" t="s">
        <v>2820</v>
      </c>
      <c r="B2376" s="27">
        <v>6.7114505814137E13</v>
      </c>
      <c r="C2376" s="27" t="s">
        <v>2451</v>
      </c>
    </row>
    <row r="2377">
      <c r="A2377" s="27" t="s">
        <v>3283</v>
      </c>
      <c r="B2377" s="27">
        <v>6.7114508251225E13</v>
      </c>
      <c r="C2377" s="27" t="s">
        <v>2359</v>
      </c>
    </row>
    <row r="2378">
      <c r="A2378" s="27" t="s">
        <v>3284</v>
      </c>
      <c r="B2378" s="27">
        <v>6.7114509855998E13</v>
      </c>
      <c r="C2378" s="27" t="s">
        <v>2359</v>
      </c>
    </row>
    <row r="2379">
      <c r="A2379" s="27" t="s">
        <v>2821</v>
      </c>
      <c r="B2379" s="27">
        <v>6.7327559384453E13</v>
      </c>
      <c r="C2379" s="27" t="s">
        <v>2441</v>
      </c>
    </row>
    <row r="2380">
      <c r="A2380" s="27" t="s">
        <v>2464</v>
      </c>
      <c r="B2380" s="27">
        <v>6.7327712330533E13</v>
      </c>
      <c r="C2380" s="27" t="s">
        <v>2363</v>
      </c>
    </row>
    <row r="2381">
      <c r="A2381" s="27" t="s">
        <v>2824</v>
      </c>
      <c r="B2381" s="27">
        <v>6.7898258445967E13</v>
      </c>
      <c r="C2381" s="27" t="s">
        <v>2359</v>
      </c>
    </row>
    <row r="2382">
      <c r="A2382" s="27" t="s">
        <v>3065</v>
      </c>
      <c r="B2382" s="27">
        <v>6.7898461965813E13</v>
      </c>
      <c r="C2382" s="27" t="s">
        <v>2363</v>
      </c>
    </row>
    <row r="2383">
      <c r="A2383" s="27" t="s">
        <v>2825</v>
      </c>
      <c r="B2383" s="27">
        <v>6.7898465380537E13</v>
      </c>
      <c r="C2383" s="27" t="s">
        <v>2359</v>
      </c>
    </row>
    <row r="2384">
      <c r="A2384" s="27" t="s">
        <v>3067</v>
      </c>
      <c r="B2384" s="27">
        <v>6.7898466886403E13</v>
      </c>
      <c r="C2384" s="27" t="s">
        <v>2359</v>
      </c>
    </row>
    <row r="2385">
      <c r="A2385" s="27" t="s">
        <v>2826</v>
      </c>
      <c r="B2385" s="27">
        <v>6.7898498248964E13</v>
      </c>
      <c r="C2385" s="27" t="s">
        <v>2359</v>
      </c>
    </row>
    <row r="2386">
      <c r="A2386" s="27" t="s">
        <v>2466</v>
      </c>
      <c r="B2386" s="27">
        <v>6.793383184397E13</v>
      </c>
      <c r="C2386" s="27" t="s">
        <v>2451</v>
      </c>
    </row>
    <row r="2387">
      <c r="A2387" s="27" t="s">
        <v>2828</v>
      </c>
      <c r="B2387" s="27">
        <v>6.7933835988925E13</v>
      </c>
      <c r="C2387" s="27" t="s">
        <v>2359</v>
      </c>
    </row>
    <row r="2388">
      <c r="A2388" s="27" t="s">
        <v>3097</v>
      </c>
      <c r="B2388" s="27">
        <v>6.7933856404072E13</v>
      </c>
      <c r="C2388" s="27" t="s">
        <v>2363</v>
      </c>
    </row>
    <row r="2389">
      <c r="A2389" s="27" t="s">
        <v>2470</v>
      </c>
      <c r="B2389" s="27">
        <v>6.7933857637909E13</v>
      </c>
      <c r="C2389" s="27" t="s">
        <v>2447</v>
      </c>
    </row>
    <row r="2390">
      <c r="A2390" s="27" t="s">
        <v>2471</v>
      </c>
      <c r="B2390" s="27">
        <v>6.7933859111971E13</v>
      </c>
      <c r="C2390" s="27" t="s">
        <v>2409</v>
      </c>
    </row>
    <row r="2391">
      <c r="A2391" s="27" t="s">
        <v>2472</v>
      </c>
      <c r="B2391" s="27">
        <v>6.7933860407346E13</v>
      </c>
      <c r="C2391" s="27" t="s">
        <v>2359</v>
      </c>
    </row>
    <row r="2392">
      <c r="A2392" s="27" t="s">
        <v>3098</v>
      </c>
      <c r="B2392" s="27">
        <v>6.7933861722733E13</v>
      </c>
      <c r="C2392" s="27" t="s">
        <v>2451</v>
      </c>
    </row>
    <row r="2393">
      <c r="A2393" s="27" t="s">
        <v>2473</v>
      </c>
      <c r="B2393" s="27">
        <v>6.7933863068841E13</v>
      </c>
      <c r="C2393" s="27" t="s">
        <v>2359</v>
      </c>
    </row>
    <row r="2394">
      <c r="A2394" s="27" t="s">
        <v>2474</v>
      </c>
      <c r="B2394" s="27">
        <v>6.7951421434761E13</v>
      </c>
      <c r="C2394" s="27" t="s">
        <v>2359</v>
      </c>
    </row>
    <row r="2395">
      <c r="A2395" s="27" t="s">
        <v>2830</v>
      </c>
      <c r="B2395" s="27">
        <v>6.8142278578308E13</v>
      </c>
      <c r="C2395" s="27" t="s">
        <v>2359</v>
      </c>
    </row>
    <row r="2396">
      <c r="A2396" s="27" t="s">
        <v>2831</v>
      </c>
      <c r="B2396" s="27">
        <v>6.814228073269E13</v>
      </c>
      <c r="C2396" s="27" t="s">
        <v>2363</v>
      </c>
    </row>
    <row r="2397">
      <c r="A2397" s="27" t="s">
        <v>2832</v>
      </c>
      <c r="B2397" s="27">
        <v>6.8313284342161E13</v>
      </c>
      <c r="C2397" s="27" t="s">
        <v>2359</v>
      </c>
    </row>
    <row r="2398">
      <c r="A2398" s="27" t="s">
        <v>2833</v>
      </c>
      <c r="B2398" s="27">
        <v>6.8540048936286E13</v>
      </c>
      <c r="C2398" s="27" t="s">
        <v>2359</v>
      </c>
    </row>
    <row r="2399">
      <c r="A2399" s="27" t="s">
        <v>2475</v>
      </c>
      <c r="B2399" s="27">
        <v>6.8540051413139E13</v>
      </c>
      <c r="C2399" s="27" t="s">
        <v>2359</v>
      </c>
    </row>
    <row r="2400">
      <c r="A2400" s="27" t="s">
        <v>2476</v>
      </c>
      <c r="B2400" s="27">
        <v>6.8658866289861E13</v>
      </c>
      <c r="C2400" s="27" t="s">
        <v>2359</v>
      </c>
    </row>
    <row r="2401">
      <c r="A2401" s="27" t="s">
        <v>2477</v>
      </c>
      <c r="B2401" s="27">
        <v>6.8658868763602E13</v>
      </c>
      <c r="C2401" s="27" t="s">
        <v>2363</v>
      </c>
    </row>
    <row r="2402">
      <c r="A2402" s="27" t="s">
        <v>3511</v>
      </c>
      <c r="B2402" s="27">
        <v>6.902221289452E12</v>
      </c>
      <c r="C2402" s="27" t="s">
        <v>2359</v>
      </c>
    </row>
    <row r="2403">
      <c r="A2403" s="27" t="s">
        <v>3286</v>
      </c>
      <c r="B2403" s="27">
        <v>6.902221290595E12</v>
      </c>
      <c r="C2403" s="27" t="s">
        <v>2359</v>
      </c>
    </row>
    <row r="2404">
      <c r="A2404" s="27" t="s">
        <v>3512</v>
      </c>
      <c r="B2404" s="27">
        <v>6.902221292148E12</v>
      </c>
      <c r="C2404" s="27" t="s">
        <v>2359</v>
      </c>
    </row>
    <row r="2405">
      <c r="A2405" s="27" t="s">
        <v>3513</v>
      </c>
      <c r="B2405" s="27">
        <v>6.902221315342E12</v>
      </c>
      <c r="C2405" s="27" t="s">
        <v>2359</v>
      </c>
    </row>
    <row r="2406">
      <c r="A2406" s="27" t="s">
        <v>3514</v>
      </c>
      <c r="B2406" s="27">
        <v>6.902221318695E12</v>
      </c>
      <c r="C2406" s="27" t="s">
        <v>2359</v>
      </c>
    </row>
    <row r="2407">
      <c r="A2407" s="27" t="s">
        <v>3515</v>
      </c>
      <c r="B2407" s="27">
        <v>6.902221318909E12</v>
      </c>
      <c r="C2407" s="27" t="s">
        <v>2359</v>
      </c>
    </row>
    <row r="2408">
      <c r="A2408" s="27" t="s">
        <v>3516</v>
      </c>
      <c r="B2408" s="27">
        <v>6.902221332998E12</v>
      </c>
      <c r="C2408" s="27" t="s">
        <v>2363</v>
      </c>
    </row>
    <row r="2409">
      <c r="A2409" s="27" t="s">
        <v>3517</v>
      </c>
      <c r="B2409" s="27">
        <v>6.902221356635E12</v>
      </c>
      <c r="C2409" s="27" t="s">
        <v>2359</v>
      </c>
    </row>
    <row r="2410">
      <c r="A2410" s="27" t="s">
        <v>3518</v>
      </c>
      <c r="B2410" s="27">
        <v>6.902221356741E12</v>
      </c>
      <c r="C2410" s="27" t="s">
        <v>2359</v>
      </c>
    </row>
    <row r="2411">
      <c r="A2411" s="27" t="s">
        <v>3291</v>
      </c>
      <c r="B2411" s="27">
        <v>6.902221378453E12</v>
      </c>
      <c r="C2411" s="27" t="s">
        <v>2363</v>
      </c>
    </row>
    <row r="2412">
      <c r="A2412" s="27" t="s">
        <v>3292</v>
      </c>
      <c r="B2412" s="27">
        <v>6.902221381835E12</v>
      </c>
      <c r="C2412" s="27" t="s">
        <v>2359</v>
      </c>
    </row>
    <row r="2413">
      <c r="A2413" s="27" t="s">
        <v>3295</v>
      </c>
      <c r="B2413" s="27">
        <v>6.902221385987E12</v>
      </c>
      <c r="C2413" s="27" t="s">
        <v>2359</v>
      </c>
    </row>
    <row r="2414">
      <c r="A2414" s="27" t="s">
        <v>3519</v>
      </c>
      <c r="B2414" s="27">
        <v>6.902221386564E12</v>
      </c>
      <c r="C2414" s="27" t="s">
        <v>2437</v>
      </c>
    </row>
    <row r="2415">
      <c r="A2415" s="27" t="s">
        <v>3298</v>
      </c>
      <c r="B2415" s="27">
        <v>6.902221386588E12</v>
      </c>
      <c r="C2415" s="27" t="s">
        <v>2359</v>
      </c>
    </row>
    <row r="2416">
      <c r="A2416" s="27" t="s">
        <v>3520</v>
      </c>
      <c r="B2416" s="27">
        <v>6.902221386663E12</v>
      </c>
      <c r="C2416" s="27" t="s">
        <v>2359</v>
      </c>
    </row>
    <row r="2417">
      <c r="A2417" s="27" t="s">
        <v>3521</v>
      </c>
      <c r="B2417" s="27">
        <v>715.0</v>
      </c>
      <c r="C2417" s="27" t="s">
        <v>2359</v>
      </c>
    </row>
    <row r="2418">
      <c r="A2418" s="27" t="s">
        <v>2479</v>
      </c>
      <c r="B2418" s="27">
        <v>7.57450527587E11</v>
      </c>
      <c r="C2418" s="27" t="s">
        <v>2359</v>
      </c>
    </row>
    <row r="2419">
      <c r="A2419" s="27" t="s">
        <v>3303</v>
      </c>
      <c r="B2419" s="27">
        <v>7.57450527594E11</v>
      </c>
      <c r="C2419" s="27" t="s">
        <v>2359</v>
      </c>
    </row>
    <row r="2420">
      <c r="A2420" s="27" t="s">
        <v>2839</v>
      </c>
      <c r="B2420" s="27">
        <v>7.574505276E11</v>
      </c>
      <c r="C2420" s="27" t="s">
        <v>2359</v>
      </c>
    </row>
    <row r="2421">
      <c r="A2421" s="27" t="s">
        <v>2841</v>
      </c>
      <c r="B2421" s="27">
        <v>7.57450527846E11</v>
      </c>
      <c r="C2421" s="27" t="s">
        <v>2359</v>
      </c>
    </row>
    <row r="2422">
      <c r="A2422" s="27" t="s">
        <v>2481</v>
      </c>
      <c r="B2422" s="27">
        <v>7.57450527853E11</v>
      </c>
      <c r="C2422" s="27" t="s">
        <v>2359</v>
      </c>
    </row>
    <row r="2423">
      <c r="A2423" s="27" t="s">
        <v>3522</v>
      </c>
      <c r="B2423" s="27">
        <v>7.57450527877E11</v>
      </c>
      <c r="C2423" s="27" t="s">
        <v>2359</v>
      </c>
    </row>
    <row r="2424">
      <c r="A2424" s="27" t="s">
        <v>2845</v>
      </c>
      <c r="B2424" s="27" t="s">
        <v>2846</v>
      </c>
      <c r="C2424" s="27" t="s">
        <v>2363</v>
      </c>
    </row>
    <row r="2425">
      <c r="A2425" s="27" t="s">
        <v>3523</v>
      </c>
      <c r="B2425" s="27">
        <v>80317.0</v>
      </c>
      <c r="C2425" s="27" t="s">
        <v>2359</v>
      </c>
    </row>
    <row r="2426">
      <c r="A2426" s="27" t="s">
        <v>3312</v>
      </c>
      <c r="B2426" s="27">
        <v>8437.0</v>
      </c>
      <c r="C2426" s="27" t="s">
        <v>2363</v>
      </c>
    </row>
    <row r="2427">
      <c r="A2427" s="27" t="s">
        <v>2847</v>
      </c>
      <c r="B2427" s="27">
        <v>89388.0</v>
      </c>
      <c r="C2427" s="27" t="s">
        <v>2359</v>
      </c>
    </row>
    <row r="2428">
      <c r="A2428" s="27" t="s">
        <v>3524</v>
      </c>
      <c r="B2428" s="27">
        <v>89554.0</v>
      </c>
      <c r="C2428" s="27" t="s">
        <v>2359</v>
      </c>
    </row>
    <row r="2429">
      <c r="A2429" s="27" t="s">
        <v>2848</v>
      </c>
      <c r="B2429" s="27">
        <v>925166.0</v>
      </c>
      <c r="C2429" s="27" t="s">
        <v>2359</v>
      </c>
    </row>
    <row r="2430">
      <c r="A2430" s="27" t="s">
        <v>2849</v>
      </c>
      <c r="B2430" s="27">
        <v>9550134.0</v>
      </c>
      <c r="C2430" s="27" t="s">
        <v>2363</v>
      </c>
    </row>
    <row r="2431">
      <c r="A2431" s="27" t="s">
        <v>3525</v>
      </c>
      <c r="B2431" s="27" t="s">
        <v>3526</v>
      </c>
      <c r="C2431" s="27" t="s">
        <v>2361</v>
      </c>
    </row>
    <row r="2432">
      <c r="A2432" s="27" t="s">
        <v>3527</v>
      </c>
      <c r="B2432" s="27" t="s">
        <v>3528</v>
      </c>
      <c r="C2432" s="27" t="s">
        <v>2363</v>
      </c>
    </row>
    <row r="2433">
      <c r="A2433" s="27" t="s">
        <v>3529</v>
      </c>
      <c r="B2433" s="27" t="s">
        <v>3530</v>
      </c>
      <c r="C2433" s="27" t="s">
        <v>2359</v>
      </c>
    </row>
    <row r="2434">
      <c r="A2434" s="27" t="s">
        <v>2852</v>
      </c>
      <c r="B2434" s="27" t="s">
        <v>2853</v>
      </c>
      <c r="C2434" s="27" t="s">
        <v>2441</v>
      </c>
    </row>
    <row r="2435">
      <c r="A2435" s="27" t="s">
        <v>3531</v>
      </c>
      <c r="B2435" s="27" t="s">
        <v>3532</v>
      </c>
      <c r="C2435" s="27" t="s">
        <v>2359</v>
      </c>
    </row>
    <row r="2436">
      <c r="A2436" s="27" t="s">
        <v>2854</v>
      </c>
      <c r="B2436" s="27" t="s">
        <v>2855</v>
      </c>
      <c r="C2436" s="27" t="s">
        <v>2437</v>
      </c>
    </row>
    <row r="2437">
      <c r="A2437" s="27" t="s">
        <v>3533</v>
      </c>
      <c r="B2437" s="27" t="s">
        <v>3534</v>
      </c>
      <c r="C2437" s="27" t="s">
        <v>2359</v>
      </c>
    </row>
    <row r="2438">
      <c r="A2438" s="27" t="s">
        <v>3535</v>
      </c>
      <c r="B2438" s="27" t="s">
        <v>3536</v>
      </c>
      <c r="C2438" s="27" t="s">
        <v>2359</v>
      </c>
    </row>
    <row r="2439">
      <c r="A2439" s="27" t="s">
        <v>3537</v>
      </c>
      <c r="B2439" s="27" t="s">
        <v>3538</v>
      </c>
      <c r="C2439" s="27" t="s">
        <v>2363</v>
      </c>
    </row>
    <row r="2440">
      <c r="A2440" s="27" t="s">
        <v>3539</v>
      </c>
      <c r="B2440" s="27" t="s">
        <v>3540</v>
      </c>
      <c r="C2440" s="27" t="s">
        <v>2359</v>
      </c>
    </row>
    <row r="2441">
      <c r="A2441" s="27" t="s">
        <v>3541</v>
      </c>
      <c r="B2441" s="27" t="s">
        <v>3542</v>
      </c>
      <c r="C2441" s="27" t="s">
        <v>2359</v>
      </c>
    </row>
    <row r="2442">
      <c r="A2442" s="27" t="s">
        <v>3543</v>
      </c>
      <c r="B2442" s="27" t="s">
        <v>3544</v>
      </c>
      <c r="C2442" s="27" t="s">
        <v>2359</v>
      </c>
    </row>
    <row r="2443">
      <c r="A2443" s="27" t="s">
        <v>3545</v>
      </c>
      <c r="B2443" s="27" t="s">
        <v>3546</v>
      </c>
      <c r="C2443" s="27" t="s">
        <v>2359</v>
      </c>
    </row>
    <row r="2444">
      <c r="A2444" s="27" t="s">
        <v>2858</v>
      </c>
      <c r="B2444" s="27" t="s">
        <v>2859</v>
      </c>
      <c r="C2444" s="27" t="s">
        <v>2359</v>
      </c>
    </row>
    <row r="2445">
      <c r="A2445" s="27" t="s">
        <v>3547</v>
      </c>
      <c r="B2445" s="27" t="s">
        <v>3548</v>
      </c>
      <c r="C2445" s="27" t="s">
        <v>2359</v>
      </c>
    </row>
    <row r="2446">
      <c r="A2446" s="27" t="s">
        <v>3108</v>
      </c>
      <c r="B2446" s="27" t="s">
        <v>3109</v>
      </c>
      <c r="C2446" s="27" t="s">
        <v>2359</v>
      </c>
    </row>
    <row r="2447">
      <c r="A2447" s="27" t="s">
        <v>3549</v>
      </c>
      <c r="B2447" s="27" t="s">
        <v>3550</v>
      </c>
      <c r="C2447" s="27" t="s">
        <v>2437</v>
      </c>
    </row>
    <row r="2448">
      <c r="A2448" s="27" t="s">
        <v>3551</v>
      </c>
      <c r="B2448" s="27" t="s">
        <v>3552</v>
      </c>
      <c r="C2448" s="27" t="s">
        <v>2359</v>
      </c>
    </row>
    <row r="2449">
      <c r="A2449" s="27" t="s">
        <v>3553</v>
      </c>
      <c r="B2449" s="27" t="s">
        <v>3554</v>
      </c>
      <c r="C2449" s="27" t="s">
        <v>2359</v>
      </c>
    </row>
    <row r="2450">
      <c r="A2450" s="27" t="s">
        <v>2874</v>
      </c>
      <c r="B2450" s="27" t="s">
        <v>2875</v>
      </c>
      <c r="C2450" s="27" t="s">
        <v>2359</v>
      </c>
    </row>
    <row r="2451">
      <c r="A2451" s="27" t="s">
        <v>3555</v>
      </c>
      <c r="B2451" s="27" t="s">
        <v>3556</v>
      </c>
      <c r="C2451" s="27" t="s">
        <v>2359</v>
      </c>
    </row>
    <row r="2452">
      <c r="A2452" s="27" t="s">
        <v>2878</v>
      </c>
      <c r="B2452" s="27" t="s">
        <v>2879</v>
      </c>
      <c r="C2452" s="27" t="s">
        <v>2359</v>
      </c>
    </row>
    <row r="2453">
      <c r="A2453" s="27" t="s">
        <v>2489</v>
      </c>
      <c r="B2453" s="27" t="s">
        <v>2490</v>
      </c>
      <c r="C2453" s="27" t="s">
        <v>2363</v>
      </c>
    </row>
    <row r="2454">
      <c r="A2454" s="27" t="s">
        <v>2495</v>
      </c>
      <c r="B2454" s="27" t="s">
        <v>2496</v>
      </c>
      <c r="C2454" s="27" t="s">
        <v>2359</v>
      </c>
    </row>
    <row r="2455">
      <c r="A2455" s="27" t="s">
        <v>2497</v>
      </c>
      <c r="B2455" s="27" t="s">
        <v>2498</v>
      </c>
      <c r="C2455" s="27" t="s">
        <v>2359</v>
      </c>
    </row>
    <row r="2456">
      <c r="A2456" s="27" t="s">
        <v>2882</v>
      </c>
      <c r="B2456" s="27" t="s">
        <v>2883</v>
      </c>
      <c r="C2456" s="27" t="s">
        <v>2359</v>
      </c>
    </row>
    <row r="2457">
      <c r="A2457" s="27" t="s">
        <v>3116</v>
      </c>
      <c r="B2457" s="27" t="s">
        <v>3117</v>
      </c>
      <c r="C2457" s="27" t="s">
        <v>2363</v>
      </c>
    </row>
    <row r="2458">
      <c r="A2458" s="27" t="s">
        <v>2886</v>
      </c>
      <c r="B2458" s="27" t="s">
        <v>2887</v>
      </c>
      <c r="C2458" s="27" t="s">
        <v>2359</v>
      </c>
    </row>
    <row r="2459">
      <c r="A2459" s="27" t="s">
        <v>2888</v>
      </c>
      <c r="B2459" s="27" t="s">
        <v>2889</v>
      </c>
      <c r="C2459" s="27" t="s">
        <v>2359</v>
      </c>
    </row>
    <row r="2460">
      <c r="A2460" s="27" t="s">
        <v>2892</v>
      </c>
      <c r="B2460" s="27" t="s">
        <v>2893</v>
      </c>
      <c r="C2460" s="27" t="s">
        <v>2359</v>
      </c>
    </row>
    <row r="2461">
      <c r="A2461" s="27" t="s">
        <v>3557</v>
      </c>
      <c r="B2461" s="27" t="s">
        <v>3558</v>
      </c>
      <c r="C2461" s="27" t="s">
        <v>2363</v>
      </c>
    </row>
    <row r="2462">
      <c r="A2462" s="27" t="s">
        <v>3559</v>
      </c>
      <c r="B2462" s="27" t="s">
        <v>3560</v>
      </c>
      <c r="C2462" s="27" t="s">
        <v>2359</v>
      </c>
    </row>
    <row r="2463">
      <c r="A2463" s="27" t="s">
        <v>3329</v>
      </c>
      <c r="B2463" s="27" t="s">
        <v>3330</v>
      </c>
      <c r="C2463" s="27" t="s">
        <v>2359</v>
      </c>
    </row>
    <row r="2464">
      <c r="A2464" s="27" t="s">
        <v>3561</v>
      </c>
      <c r="B2464" s="27" t="s">
        <v>3562</v>
      </c>
      <c r="C2464" s="27" t="s">
        <v>2363</v>
      </c>
    </row>
    <row r="2465">
      <c r="A2465" s="27" t="s">
        <v>3563</v>
      </c>
      <c r="B2465" s="27" t="s">
        <v>3564</v>
      </c>
      <c r="C2465" s="27" t="s">
        <v>2359</v>
      </c>
    </row>
    <row r="2466">
      <c r="A2466" s="27" t="s">
        <v>3134</v>
      </c>
      <c r="B2466" s="27" t="s">
        <v>3135</v>
      </c>
      <c r="C2466" s="27" t="s">
        <v>2363</v>
      </c>
    </row>
    <row r="2467">
      <c r="A2467" s="27" t="s">
        <v>3565</v>
      </c>
      <c r="B2467" s="27" t="s">
        <v>3566</v>
      </c>
      <c r="C2467" s="27" t="s">
        <v>2359</v>
      </c>
    </row>
    <row r="2468">
      <c r="A2468" s="27" t="s">
        <v>3567</v>
      </c>
      <c r="B2468" s="27" t="s">
        <v>3568</v>
      </c>
      <c r="C2468" s="27" t="s">
        <v>2359</v>
      </c>
    </row>
    <row r="2469">
      <c r="A2469" s="27" t="s">
        <v>3569</v>
      </c>
      <c r="B2469" s="27" t="s">
        <v>3570</v>
      </c>
      <c r="C2469" s="27" t="s">
        <v>2359</v>
      </c>
    </row>
    <row r="2470">
      <c r="A2470" s="27" t="s">
        <v>3571</v>
      </c>
      <c r="B2470" s="27" t="s">
        <v>3572</v>
      </c>
      <c r="C2470" s="27" t="s">
        <v>2359</v>
      </c>
    </row>
    <row r="2471">
      <c r="A2471" s="27" t="s">
        <v>3573</v>
      </c>
      <c r="B2471" s="27" t="s">
        <v>3574</v>
      </c>
      <c r="C2471" s="27" t="s">
        <v>2363</v>
      </c>
    </row>
    <row r="2472">
      <c r="A2472" s="27" t="s">
        <v>3575</v>
      </c>
      <c r="B2472" s="27" t="s">
        <v>3576</v>
      </c>
      <c r="C2472" s="27" t="s">
        <v>2359</v>
      </c>
    </row>
    <row r="2473">
      <c r="A2473" s="27" t="s">
        <v>3335</v>
      </c>
      <c r="B2473" s="27" t="s">
        <v>3336</v>
      </c>
      <c r="C2473" s="27" t="s">
        <v>2363</v>
      </c>
    </row>
    <row r="2474">
      <c r="A2474" s="27" t="s">
        <v>3120</v>
      </c>
      <c r="B2474" s="27" t="s">
        <v>3121</v>
      </c>
      <c r="C2474" s="27" t="s">
        <v>2359</v>
      </c>
    </row>
    <row r="2475">
      <c r="A2475" s="27" t="s">
        <v>3577</v>
      </c>
      <c r="B2475" s="27" t="s">
        <v>3578</v>
      </c>
      <c r="C2475" s="27" t="s">
        <v>2363</v>
      </c>
    </row>
    <row r="2476">
      <c r="A2476" s="27" t="s">
        <v>3579</v>
      </c>
      <c r="B2476" s="27" t="s">
        <v>3580</v>
      </c>
      <c r="C2476" s="27" t="s">
        <v>2359</v>
      </c>
    </row>
    <row r="2477">
      <c r="A2477" s="27" t="s">
        <v>2906</v>
      </c>
      <c r="B2477" s="27" t="s">
        <v>2907</v>
      </c>
      <c r="C2477" s="27" t="s">
        <v>2359</v>
      </c>
    </row>
    <row r="2478">
      <c r="A2478" s="27" t="s">
        <v>3581</v>
      </c>
      <c r="B2478" s="27" t="s">
        <v>3582</v>
      </c>
      <c r="C2478" s="27" t="s">
        <v>2359</v>
      </c>
    </row>
    <row r="2479">
      <c r="A2479" s="27" t="s">
        <v>3583</v>
      </c>
      <c r="B2479" s="27" t="s">
        <v>3584</v>
      </c>
      <c r="C2479" s="27" t="s">
        <v>2363</v>
      </c>
    </row>
    <row r="2480">
      <c r="A2480" s="27" t="s">
        <v>2539</v>
      </c>
      <c r="B2480" s="27" t="s">
        <v>607</v>
      </c>
      <c r="C2480" s="27" t="s">
        <v>2441</v>
      </c>
    </row>
    <row r="2481">
      <c r="A2481" s="27" t="s">
        <v>2912</v>
      </c>
      <c r="B2481" s="27" t="s">
        <v>657</v>
      </c>
      <c r="C2481" s="27" t="s">
        <v>2359</v>
      </c>
    </row>
    <row r="2482">
      <c r="A2482" s="27" t="s">
        <v>2913</v>
      </c>
      <c r="B2482" s="27" t="s">
        <v>653</v>
      </c>
      <c r="C2482" s="27" t="s">
        <v>2437</v>
      </c>
    </row>
    <row r="2483">
      <c r="A2483" s="27" t="s">
        <v>2914</v>
      </c>
      <c r="B2483" s="27" t="s">
        <v>659</v>
      </c>
      <c r="C2483" s="27" t="s">
        <v>2359</v>
      </c>
    </row>
    <row r="2484">
      <c r="A2484" s="27" t="s">
        <v>2915</v>
      </c>
      <c r="B2484" s="27" t="s">
        <v>655</v>
      </c>
      <c r="C2484" s="27" t="s">
        <v>2359</v>
      </c>
    </row>
    <row r="2485">
      <c r="A2485" s="27" t="s">
        <v>2544</v>
      </c>
      <c r="B2485" s="27" t="s">
        <v>542</v>
      </c>
      <c r="C2485" s="27" t="s">
        <v>2359</v>
      </c>
    </row>
    <row r="2486">
      <c r="A2486" s="27" t="s">
        <v>2545</v>
      </c>
      <c r="B2486" s="27" t="s">
        <v>544</v>
      </c>
      <c r="C2486" s="27" t="s">
        <v>2359</v>
      </c>
    </row>
    <row r="2487">
      <c r="A2487" s="27" t="s">
        <v>2550</v>
      </c>
      <c r="B2487" s="27" t="s">
        <v>722</v>
      </c>
      <c r="C2487" s="27" t="s">
        <v>2359</v>
      </c>
    </row>
    <row r="2488">
      <c r="A2488" s="27" t="s">
        <v>2922</v>
      </c>
      <c r="B2488" s="27" t="s">
        <v>767</v>
      </c>
      <c r="C2488" s="27" t="s">
        <v>2359</v>
      </c>
    </row>
    <row r="2489">
      <c r="A2489" s="27" t="s">
        <v>2570</v>
      </c>
      <c r="B2489" s="27" t="s">
        <v>714</v>
      </c>
      <c r="C2489" s="27" t="s">
        <v>2363</v>
      </c>
    </row>
    <row r="2490">
      <c r="A2490" s="27" t="s">
        <v>3126</v>
      </c>
      <c r="B2490" s="27" t="s">
        <v>712</v>
      </c>
      <c r="C2490" s="27" t="s">
        <v>2359</v>
      </c>
    </row>
    <row r="2491">
      <c r="A2491" s="27" t="s">
        <v>2571</v>
      </c>
      <c r="B2491" s="27" t="s">
        <v>710</v>
      </c>
      <c r="C2491" s="27" t="s">
        <v>2437</v>
      </c>
    </row>
    <row r="2492">
      <c r="A2492" s="27" t="s">
        <v>2572</v>
      </c>
      <c r="B2492" s="27" t="s">
        <v>706</v>
      </c>
      <c r="C2492" s="27" t="s">
        <v>2359</v>
      </c>
    </row>
    <row r="2493">
      <c r="A2493" s="27" t="s">
        <v>2573</v>
      </c>
      <c r="B2493" s="27" t="s">
        <v>572</v>
      </c>
      <c r="C2493" s="27" t="s">
        <v>2359</v>
      </c>
    </row>
    <row r="2494">
      <c r="A2494" s="27" t="s">
        <v>2576</v>
      </c>
      <c r="B2494" s="27" t="s">
        <v>588</v>
      </c>
      <c r="C2494" s="27" t="s">
        <v>2359</v>
      </c>
    </row>
    <row r="2495">
      <c r="A2495" s="27" t="s">
        <v>3153</v>
      </c>
      <c r="B2495" s="27" t="s">
        <v>576</v>
      </c>
      <c r="C2495" s="27" t="s">
        <v>2359</v>
      </c>
    </row>
    <row r="2496">
      <c r="A2496" s="27" t="s">
        <v>3154</v>
      </c>
      <c r="B2496" s="27" t="s">
        <v>751</v>
      </c>
      <c r="C2496" s="27" t="s">
        <v>2359</v>
      </c>
    </row>
    <row r="2497">
      <c r="A2497" s="27" t="s">
        <v>3207</v>
      </c>
      <c r="B2497" s="27" t="s">
        <v>755</v>
      </c>
      <c r="C2497" s="27" t="s">
        <v>2363</v>
      </c>
    </row>
    <row r="2498">
      <c r="A2498" s="27" t="s">
        <v>2925</v>
      </c>
      <c r="B2498" s="27" t="s">
        <v>739</v>
      </c>
      <c r="C2498" s="27" t="s">
        <v>2363</v>
      </c>
    </row>
    <row r="2499">
      <c r="A2499" s="27" t="s">
        <v>2929</v>
      </c>
      <c r="B2499" s="27" t="s">
        <v>665</v>
      </c>
      <c r="C2499" s="27" t="s">
        <v>2359</v>
      </c>
    </row>
    <row r="2500">
      <c r="A2500" s="27" t="s">
        <v>3585</v>
      </c>
      <c r="B2500" s="27" t="s">
        <v>216</v>
      </c>
      <c r="C2500" s="27" t="s">
        <v>2437</v>
      </c>
    </row>
    <row r="2501">
      <c r="A2501" s="27" t="s">
        <v>2674</v>
      </c>
      <c r="B2501" s="27" t="s">
        <v>170</v>
      </c>
      <c r="C2501" s="27" t="s">
        <v>2359</v>
      </c>
    </row>
    <row r="2502">
      <c r="A2502" s="27" t="s">
        <v>2931</v>
      </c>
      <c r="B2502" s="27" t="s">
        <v>168</v>
      </c>
      <c r="C2502" s="27" t="s">
        <v>2359</v>
      </c>
    </row>
    <row r="2503">
      <c r="A2503" s="27" t="s">
        <v>2675</v>
      </c>
      <c r="B2503" s="27" t="s">
        <v>184</v>
      </c>
      <c r="C2503" s="27" t="s">
        <v>2359</v>
      </c>
    </row>
    <row r="2504">
      <c r="A2504" s="27" t="s">
        <v>2677</v>
      </c>
      <c r="B2504" s="27" t="s">
        <v>186</v>
      </c>
      <c r="C2504" s="27" t="s">
        <v>2359</v>
      </c>
    </row>
    <row r="2505">
      <c r="A2505" s="27" t="s">
        <v>2684</v>
      </c>
      <c r="B2505" s="27" t="s">
        <v>292</v>
      </c>
      <c r="C2505" s="27" t="s">
        <v>2359</v>
      </c>
    </row>
    <row r="2506">
      <c r="A2506" s="27" t="s">
        <v>3586</v>
      </c>
      <c r="B2506" s="27" t="s">
        <v>3587</v>
      </c>
      <c r="C2506" s="27" t="s">
        <v>2363</v>
      </c>
    </row>
    <row r="2507">
      <c r="A2507" s="27" t="s">
        <v>3588</v>
      </c>
      <c r="B2507" s="27" t="s">
        <v>3589</v>
      </c>
      <c r="C2507" s="27" t="s">
        <v>2359</v>
      </c>
    </row>
    <row r="2508">
      <c r="A2508" s="27" t="s">
        <v>3590</v>
      </c>
      <c r="B2508" s="27" t="s">
        <v>3591</v>
      </c>
      <c r="C2508" s="27" t="s">
        <v>2363</v>
      </c>
    </row>
    <row r="2509">
      <c r="A2509" s="27" t="s">
        <v>3339</v>
      </c>
      <c r="B2509" s="27" t="s">
        <v>3340</v>
      </c>
      <c r="C2509" s="27" t="s">
        <v>2359</v>
      </c>
    </row>
    <row r="2510">
      <c r="A2510" s="27" t="s">
        <v>3592</v>
      </c>
      <c r="B2510" s="27" t="s">
        <v>3593</v>
      </c>
      <c r="C2510" s="27" t="s">
        <v>2359</v>
      </c>
    </row>
    <row r="2511">
      <c r="A2511" s="27" t="s">
        <v>3594</v>
      </c>
      <c r="B2511" s="27" t="s">
        <v>3595</v>
      </c>
      <c r="C2511" s="27" t="s">
        <v>2363</v>
      </c>
    </row>
    <row r="2512">
      <c r="A2512" s="27" t="s">
        <v>3596</v>
      </c>
      <c r="B2512" s="27" t="s">
        <v>3597</v>
      </c>
      <c r="C2512" s="27" t="s">
        <v>2359</v>
      </c>
    </row>
    <row r="2513">
      <c r="A2513" s="27" t="s">
        <v>3598</v>
      </c>
      <c r="B2513" s="27" t="s">
        <v>3599</v>
      </c>
      <c r="C2513" s="27" t="s">
        <v>2359</v>
      </c>
    </row>
    <row r="2514">
      <c r="A2514" s="27" t="s">
        <v>2944</v>
      </c>
      <c r="B2514" s="27" t="s">
        <v>2945</v>
      </c>
      <c r="C2514" s="27" t="s">
        <v>2363</v>
      </c>
    </row>
    <row r="2515">
      <c r="A2515" s="27" t="s">
        <v>3600</v>
      </c>
      <c r="B2515" s="27" t="s">
        <v>3601</v>
      </c>
      <c r="C2515" s="27" t="s">
        <v>2359</v>
      </c>
    </row>
    <row r="2516">
      <c r="A2516" s="27" t="s">
        <v>3351</v>
      </c>
      <c r="B2516" s="27" t="s">
        <v>3352</v>
      </c>
      <c r="C2516" s="27" t="s">
        <v>2359</v>
      </c>
    </row>
    <row r="2517">
      <c r="A2517" s="27" t="s">
        <v>3602</v>
      </c>
      <c r="B2517" s="27" t="s">
        <v>3603</v>
      </c>
      <c r="C2517" s="27" t="s">
        <v>2359</v>
      </c>
    </row>
    <row r="2518">
      <c r="A2518" s="27" t="s">
        <v>3353</v>
      </c>
      <c r="B2518" s="27" t="s">
        <v>3354</v>
      </c>
      <c r="C2518" s="27" t="s">
        <v>2363</v>
      </c>
    </row>
    <row r="2519">
      <c r="A2519" s="27" t="s">
        <v>3604</v>
      </c>
      <c r="B2519" s="27" t="s">
        <v>3605</v>
      </c>
      <c r="C2519" s="27" t="s">
        <v>2359</v>
      </c>
    </row>
    <row r="2520">
      <c r="A2520" s="27" t="s">
        <v>3606</v>
      </c>
      <c r="B2520" s="27" t="s">
        <v>3607</v>
      </c>
      <c r="C2520" s="27" t="s">
        <v>2359</v>
      </c>
    </row>
    <row r="2521">
      <c r="A2521" s="27" t="s">
        <v>3608</v>
      </c>
      <c r="B2521" s="27" t="s">
        <v>3609</v>
      </c>
      <c r="C2521" s="27" t="s">
        <v>2359</v>
      </c>
    </row>
    <row r="2522">
      <c r="A2522" s="27" t="s">
        <v>3610</v>
      </c>
      <c r="B2522" s="27" t="s">
        <v>3611</v>
      </c>
      <c r="C2522" s="27" t="s">
        <v>2359</v>
      </c>
    </row>
    <row r="2523">
      <c r="A2523" s="27" t="s">
        <v>3612</v>
      </c>
      <c r="B2523" s="27" t="s">
        <v>3613</v>
      </c>
      <c r="C2523" s="27" t="s">
        <v>2359</v>
      </c>
    </row>
    <row r="2524">
      <c r="A2524" s="27" t="s">
        <v>3614</v>
      </c>
      <c r="B2524" s="27" t="s">
        <v>3615</v>
      </c>
      <c r="C2524" s="27" t="s">
        <v>2359</v>
      </c>
    </row>
    <row r="2525">
      <c r="A2525" s="27" t="s">
        <v>3140</v>
      </c>
      <c r="B2525" s="27" t="s">
        <v>3141</v>
      </c>
      <c r="C2525" s="27" t="s">
        <v>2451</v>
      </c>
    </row>
    <row r="2526">
      <c r="A2526" s="27" t="s">
        <v>3616</v>
      </c>
      <c r="B2526" s="27" t="s">
        <v>3617</v>
      </c>
      <c r="C2526" s="27" t="s">
        <v>2359</v>
      </c>
    </row>
    <row r="2527">
      <c r="A2527" s="27" t="s">
        <v>2990</v>
      </c>
      <c r="B2527" s="27" t="s">
        <v>2991</v>
      </c>
      <c r="C2527" s="27" t="s">
        <v>2359</v>
      </c>
    </row>
    <row r="2528">
      <c r="A2528" s="27" t="s">
        <v>3618</v>
      </c>
      <c r="B2528" s="27" t="s">
        <v>3619</v>
      </c>
      <c r="C2528" s="27" t="s">
        <v>2359</v>
      </c>
    </row>
    <row r="2529">
      <c r="A2529" s="27" t="s">
        <v>3620</v>
      </c>
      <c r="B2529" s="27" t="s">
        <v>3621</v>
      </c>
      <c r="C2529" s="27" t="s">
        <v>2359</v>
      </c>
    </row>
    <row r="2530">
      <c r="A2530" s="27" t="s">
        <v>3622</v>
      </c>
      <c r="B2530" s="27" t="s">
        <v>3623</v>
      </c>
      <c r="C2530" s="27" t="s">
        <v>2359</v>
      </c>
    </row>
    <row r="2531">
      <c r="A2531" s="27" t="s">
        <v>3624</v>
      </c>
      <c r="B2531" s="27" t="s">
        <v>3625</v>
      </c>
      <c r="C2531" s="27" t="s">
        <v>2363</v>
      </c>
    </row>
    <row r="2532">
      <c r="A2532" s="27" t="s">
        <v>3363</v>
      </c>
      <c r="B2532" s="27" t="s">
        <v>3364</v>
      </c>
      <c r="C2532" s="27" t="s">
        <v>2409</v>
      </c>
    </row>
    <row r="2533">
      <c r="A2533" s="27" t="s">
        <v>3626</v>
      </c>
      <c r="B2533" s="27" t="s">
        <v>3627</v>
      </c>
      <c r="C2533" s="27" t="s">
        <v>2359</v>
      </c>
    </row>
    <row r="2534">
      <c r="A2534" s="27" t="s">
        <v>2992</v>
      </c>
      <c r="B2534" s="27" t="s">
        <v>2993</v>
      </c>
      <c r="C2534" s="27" t="s">
        <v>2359</v>
      </c>
    </row>
    <row r="2535">
      <c r="A2535" s="27" t="s">
        <v>3628</v>
      </c>
      <c r="B2535" s="27" t="s">
        <v>3629</v>
      </c>
      <c r="C2535" s="27" t="s">
        <v>2363</v>
      </c>
    </row>
    <row r="2536">
      <c r="A2536" s="27" t="s">
        <v>3630</v>
      </c>
      <c r="B2536" s="27" t="s">
        <v>3631</v>
      </c>
      <c r="C2536" s="27" t="s">
        <v>2359</v>
      </c>
    </row>
    <row r="2537">
      <c r="A2537" s="27" t="s">
        <v>2998</v>
      </c>
      <c r="B2537" s="27" t="s">
        <v>1228</v>
      </c>
      <c r="C2537" s="27" t="s">
        <v>2409</v>
      </c>
    </row>
    <row r="2538">
      <c r="A2538" s="27" t="s">
        <v>3159</v>
      </c>
      <c r="B2538" s="27" t="s">
        <v>1355</v>
      </c>
      <c r="C2538" s="27" t="s">
        <v>2359</v>
      </c>
    </row>
    <row r="2539">
      <c r="A2539" s="27" t="s">
        <v>2724</v>
      </c>
      <c r="B2539" s="27" t="s">
        <v>1361</v>
      </c>
      <c r="C2539" s="27" t="s">
        <v>2363</v>
      </c>
    </row>
    <row r="2540">
      <c r="A2540" s="27" t="s">
        <v>2725</v>
      </c>
      <c r="B2540" s="27" t="s">
        <v>1363</v>
      </c>
      <c r="C2540" s="27" t="s">
        <v>2441</v>
      </c>
    </row>
    <row r="2541">
      <c r="A2541" s="27" t="s">
        <v>2726</v>
      </c>
      <c r="B2541" s="27" t="s">
        <v>1365</v>
      </c>
      <c r="C2541" s="27" t="s">
        <v>2359</v>
      </c>
    </row>
    <row r="2542">
      <c r="A2542" s="27" t="s">
        <v>3005</v>
      </c>
      <c r="B2542" s="27" t="s">
        <v>3006</v>
      </c>
      <c r="C2542" s="27" t="s">
        <v>2359</v>
      </c>
    </row>
    <row r="2543">
      <c r="A2543" s="27" t="s">
        <v>3632</v>
      </c>
      <c r="B2543" s="27" t="s">
        <v>3633</v>
      </c>
      <c r="C2543" s="27" t="s">
        <v>2359</v>
      </c>
    </row>
    <row r="2544">
      <c r="A2544" s="27" t="s">
        <v>3634</v>
      </c>
      <c r="B2544" s="27" t="s">
        <v>3635</v>
      </c>
      <c r="C2544" s="27" t="s">
        <v>2359</v>
      </c>
    </row>
    <row r="2545">
      <c r="A2545" s="27" t="s">
        <v>3636</v>
      </c>
      <c r="B2545" s="27" t="s">
        <v>3637</v>
      </c>
      <c r="C2545" s="27" t="s">
        <v>2359</v>
      </c>
    </row>
    <row r="2546">
      <c r="A2546" s="27" t="s">
        <v>3638</v>
      </c>
      <c r="B2546" s="27" t="s">
        <v>3639</v>
      </c>
      <c r="C2546" s="27" t="s">
        <v>2359</v>
      </c>
    </row>
    <row r="2547">
      <c r="A2547" s="27" t="s">
        <v>3015</v>
      </c>
      <c r="B2547" s="27" t="s">
        <v>3016</v>
      </c>
      <c r="C2547" s="27" t="s">
        <v>2447</v>
      </c>
    </row>
    <row r="2548">
      <c r="A2548" s="27" t="s">
        <v>3640</v>
      </c>
      <c r="B2548" s="27" t="s">
        <v>3641</v>
      </c>
      <c r="C2548" s="27" t="s">
        <v>2441</v>
      </c>
    </row>
    <row r="2549">
      <c r="A2549" s="27" t="s">
        <v>3536</v>
      </c>
      <c r="B2549" s="27" t="s">
        <v>2735</v>
      </c>
      <c r="C2549" s="27" t="s">
        <v>2359</v>
      </c>
    </row>
    <row r="2550">
      <c r="A2550" s="27" t="s">
        <v>3642</v>
      </c>
      <c r="B2550" s="27" t="s">
        <v>2735</v>
      </c>
      <c r="C2550" s="27" t="s">
        <v>2378</v>
      </c>
    </row>
    <row r="2551">
      <c r="A2551" s="27" t="s">
        <v>3643</v>
      </c>
      <c r="B2551" s="27" t="s">
        <v>2735</v>
      </c>
      <c r="C2551" s="27" t="s">
        <v>3644</v>
      </c>
    </row>
    <row r="2552">
      <c r="A2552" s="27" t="s">
        <v>3645</v>
      </c>
      <c r="B2552" s="27">
        <v>1.0000105087E10</v>
      </c>
      <c r="C2552" s="27" t="s">
        <v>2441</v>
      </c>
    </row>
    <row r="2553">
      <c r="A2553" s="27" t="s">
        <v>2358</v>
      </c>
      <c r="B2553" s="27">
        <v>1.000190502E9</v>
      </c>
      <c r="C2553" s="27" t="s">
        <v>2451</v>
      </c>
    </row>
    <row r="2554">
      <c r="A2554" s="27" t="s">
        <v>3646</v>
      </c>
      <c r="B2554" s="27">
        <v>1.000190507E9</v>
      </c>
      <c r="C2554" s="27" t="s">
        <v>2437</v>
      </c>
    </row>
    <row r="2555">
      <c r="A2555" s="27" t="s">
        <v>3647</v>
      </c>
      <c r="B2555" s="27">
        <v>1.000190521E9</v>
      </c>
      <c r="C2555" s="27" t="s">
        <v>2363</v>
      </c>
    </row>
    <row r="2556">
      <c r="A2556" s="27" t="s">
        <v>3648</v>
      </c>
      <c r="B2556" s="27">
        <v>1.000190602E9</v>
      </c>
      <c r="C2556" s="27" t="s">
        <v>2437</v>
      </c>
    </row>
    <row r="2557">
      <c r="A2557" s="27" t="s">
        <v>3649</v>
      </c>
      <c r="B2557" s="27">
        <v>1.000190607E9</v>
      </c>
      <c r="C2557" s="27" t="s">
        <v>2437</v>
      </c>
    </row>
    <row r="2558">
      <c r="A2558" s="27" t="s">
        <v>3650</v>
      </c>
      <c r="B2558" s="27">
        <v>1.000190621E9</v>
      </c>
      <c r="C2558" s="27" t="s">
        <v>2437</v>
      </c>
    </row>
    <row r="2559">
      <c r="A2559" s="27" t="s">
        <v>3651</v>
      </c>
      <c r="B2559" s="27">
        <v>1.000190702E9</v>
      </c>
      <c r="C2559" s="27" t="s">
        <v>2359</v>
      </c>
    </row>
    <row r="2560">
      <c r="A2560" s="27" t="s">
        <v>3652</v>
      </c>
      <c r="B2560" s="27">
        <v>1.000190707E9</v>
      </c>
      <c r="C2560" s="27" t="s">
        <v>2437</v>
      </c>
    </row>
    <row r="2561">
      <c r="A2561" s="27" t="s">
        <v>3653</v>
      </c>
      <c r="B2561" s="27">
        <v>1.000190721E9</v>
      </c>
      <c r="C2561" s="27" t="s">
        <v>2363</v>
      </c>
    </row>
    <row r="2562">
      <c r="A2562" s="27" t="s">
        <v>3654</v>
      </c>
      <c r="B2562" s="27">
        <v>1.000190802E9</v>
      </c>
      <c r="C2562" s="27" t="s">
        <v>2437</v>
      </c>
    </row>
    <row r="2563">
      <c r="A2563" s="27" t="s">
        <v>3655</v>
      </c>
      <c r="B2563" s="27">
        <v>1.000190807E9</v>
      </c>
      <c r="C2563" s="27" t="s">
        <v>2441</v>
      </c>
    </row>
    <row r="2564">
      <c r="A2564" s="27" t="s">
        <v>3656</v>
      </c>
      <c r="B2564" s="27">
        <v>1.000190821E9</v>
      </c>
      <c r="C2564" s="27" t="s">
        <v>2363</v>
      </c>
    </row>
    <row r="2565">
      <c r="A2565" s="27" t="s">
        <v>3657</v>
      </c>
      <c r="B2565" s="27">
        <v>1.00020051E9</v>
      </c>
      <c r="C2565" s="27" t="s">
        <v>2437</v>
      </c>
    </row>
    <row r="2566">
      <c r="A2566" s="27" t="s">
        <v>3658</v>
      </c>
      <c r="B2566" s="27">
        <v>1.000200512E9</v>
      </c>
      <c r="C2566" s="27" t="s">
        <v>2441</v>
      </c>
    </row>
    <row r="2567">
      <c r="A2567" s="27" t="s">
        <v>3659</v>
      </c>
      <c r="B2567" s="27">
        <v>1.000200519E9</v>
      </c>
      <c r="C2567" s="27" t="s">
        <v>2437</v>
      </c>
    </row>
    <row r="2568">
      <c r="A2568" s="27" t="s">
        <v>3660</v>
      </c>
      <c r="B2568" s="27">
        <v>1.00020061E9</v>
      </c>
      <c r="C2568" s="27" t="s">
        <v>2437</v>
      </c>
    </row>
    <row r="2569">
      <c r="A2569" s="27" t="s">
        <v>3661</v>
      </c>
      <c r="B2569" s="27">
        <v>1.000200612E9</v>
      </c>
      <c r="C2569" s="27" t="s">
        <v>2363</v>
      </c>
    </row>
    <row r="2570">
      <c r="A2570" s="27" t="s">
        <v>3662</v>
      </c>
      <c r="B2570" s="27">
        <v>1.000200619E9</v>
      </c>
      <c r="C2570" s="27" t="s">
        <v>2437</v>
      </c>
    </row>
    <row r="2571">
      <c r="A2571" s="27" t="s">
        <v>3663</v>
      </c>
      <c r="B2571" s="27">
        <v>1.00020071E9</v>
      </c>
      <c r="C2571" s="27" t="s">
        <v>2363</v>
      </c>
    </row>
    <row r="2572">
      <c r="A2572" s="27" t="s">
        <v>3664</v>
      </c>
      <c r="B2572" s="27">
        <v>1.000200712E9</v>
      </c>
      <c r="C2572" s="27" t="s">
        <v>2437</v>
      </c>
    </row>
    <row r="2573">
      <c r="A2573" s="27" t="s">
        <v>3665</v>
      </c>
      <c r="B2573" s="27">
        <v>1.000200719E9</v>
      </c>
      <c r="C2573" s="27" t="s">
        <v>2363</v>
      </c>
    </row>
    <row r="2574">
      <c r="A2574" s="27" t="s">
        <v>3666</v>
      </c>
      <c r="B2574" s="27">
        <v>1.00020081E9</v>
      </c>
      <c r="C2574" s="27" t="s">
        <v>2437</v>
      </c>
    </row>
    <row r="2575">
      <c r="A2575" s="27" t="s">
        <v>3667</v>
      </c>
      <c r="B2575" s="27">
        <v>1.000200812E9</v>
      </c>
      <c r="C2575" s="27" t="s">
        <v>2363</v>
      </c>
    </row>
    <row r="2576">
      <c r="A2576" s="27" t="s">
        <v>3668</v>
      </c>
      <c r="B2576" s="27">
        <v>1.000200819E9</v>
      </c>
      <c r="C2576" s="27" t="s">
        <v>2437</v>
      </c>
    </row>
    <row r="2577">
      <c r="A2577" s="27" t="s">
        <v>3669</v>
      </c>
      <c r="B2577" s="27">
        <v>1.000210501E9</v>
      </c>
      <c r="C2577" s="27" t="s">
        <v>2437</v>
      </c>
    </row>
    <row r="2578">
      <c r="A2578" s="27" t="s">
        <v>3670</v>
      </c>
      <c r="B2578" s="27">
        <v>1.000210509E9</v>
      </c>
      <c r="C2578" s="27" t="s">
        <v>2437</v>
      </c>
    </row>
    <row r="2579">
      <c r="A2579" s="27" t="s">
        <v>3671</v>
      </c>
      <c r="B2579" s="27">
        <v>1.00021051E9</v>
      </c>
      <c r="C2579" s="27" t="s">
        <v>2437</v>
      </c>
    </row>
    <row r="2580">
      <c r="A2580" s="27" t="s">
        <v>3672</v>
      </c>
      <c r="B2580" s="27">
        <v>1.000210601E9</v>
      </c>
      <c r="C2580" s="27" t="s">
        <v>2437</v>
      </c>
    </row>
    <row r="2581">
      <c r="A2581" s="27" t="s">
        <v>3673</v>
      </c>
      <c r="B2581" s="27">
        <v>1.000210609E9</v>
      </c>
      <c r="C2581" s="27" t="s">
        <v>2437</v>
      </c>
    </row>
    <row r="2582">
      <c r="A2582" s="27" t="s">
        <v>3674</v>
      </c>
      <c r="B2582" s="27">
        <v>1.00021061E9</v>
      </c>
      <c r="C2582" s="27" t="s">
        <v>2451</v>
      </c>
    </row>
    <row r="2583">
      <c r="A2583" s="27" t="s">
        <v>3675</v>
      </c>
      <c r="B2583" s="27">
        <v>1.000210701E9</v>
      </c>
      <c r="C2583" s="27" t="s">
        <v>2437</v>
      </c>
    </row>
    <row r="2584">
      <c r="A2584" s="27" t="s">
        <v>3676</v>
      </c>
      <c r="B2584" s="27">
        <v>1.000210709E9</v>
      </c>
      <c r="C2584" s="27" t="s">
        <v>2363</v>
      </c>
    </row>
    <row r="2585">
      <c r="A2585" s="27" t="s">
        <v>3677</v>
      </c>
      <c r="B2585" s="27">
        <v>1.00021071E9</v>
      </c>
      <c r="C2585" s="27" t="s">
        <v>2359</v>
      </c>
    </row>
    <row r="2586">
      <c r="A2586" s="27" t="s">
        <v>3678</v>
      </c>
      <c r="B2586" s="27">
        <v>1.000210801E9</v>
      </c>
      <c r="C2586" s="27" t="s">
        <v>2363</v>
      </c>
    </row>
    <row r="2587">
      <c r="A2587" s="27" t="s">
        <v>3679</v>
      </c>
      <c r="B2587" s="27">
        <v>1.000210809E9</v>
      </c>
      <c r="C2587" s="27" t="s">
        <v>2359</v>
      </c>
    </row>
    <row r="2588">
      <c r="A2588" s="27" t="s">
        <v>3680</v>
      </c>
      <c r="B2588" s="27">
        <v>1.00021081E9</v>
      </c>
      <c r="C2588" s="27" t="s">
        <v>2359</v>
      </c>
    </row>
    <row r="2589">
      <c r="A2589" s="27" t="s">
        <v>3681</v>
      </c>
      <c r="B2589" s="27">
        <v>1.000220502E9</v>
      </c>
      <c r="C2589" s="27" t="s">
        <v>2363</v>
      </c>
    </row>
    <row r="2590">
      <c r="A2590" s="27" t="s">
        <v>3682</v>
      </c>
      <c r="B2590" s="27">
        <v>1.000220508E9</v>
      </c>
      <c r="C2590" s="27" t="s">
        <v>2437</v>
      </c>
    </row>
    <row r="2591">
      <c r="A2591" s="27" t="s">
        <v>3683</v>
      </c>
      <c r="B2591" s="27">
        <v>1.000220521E9</v>
      </c>
      <c r="C2591" s="27" t="s">
        <v>2363</v>
      </c>
    </row>
    <row r="2592">
      <c r="A2592" s="27" t="s">
        <v>3684</v>
      </c>
      <c r="B2592" s="27">
        <v>1.000220602E9</v>
      </c>
      <c r="C2592" s="27" t="s">
        <v>2437</v>
      </c>
    </row>
    <row r="2593">
      <c r="A2593" s="27" t="s">
        <v>3685</v>
      </c>
      <c r="B2593" s="27">
        <v>1.000220608E9</v>
      </c>
      <c r="C2593" s="27" t="s">
        <v>2437</v>
      </c>
    </row>
    <row r="2594">
      <c r="A2594" s="27" t="s">
        <v>3686</v>
      </c>
      <c r="B2594" s="27">
        <v>1.000220621E9</v>
      </c>
      <c r="C2594" s="27" t="s">
        <v>2437</v>
      </c>
    </row>
    <row r="2595">
      <c r="A2595" s="27" t="s">
        <v>3687</v>
      </c>
      <c r="B2595" s="27">
        <v>1.000220702E9</v>
      </c>
      <c r="C2595" s="27" t="s">
        <v>2437</v>
      </c>
    </row>
    <row r="2596">
      <c r="A2596" s="27" t="s">
        <v>3688</v>
      </c>
      <c r="B2596" s="27">
        <v>1.000220708E9</v>
      </c>
      <c r="C2596" s="27" t="s">
        <v>2437</v>
      </c>
    </row>
    <row r="2597">
      <c r="A2597" s="27" t="s">
        <v>3689</v>
      </c>
      <c r="B2597" s="27">
        <v>1.000220721E9</v>
      </c>
      <c r="C2597" s="27" t="s">
        <v>2363</v>
      </c>
    </row>
    <row r="2598">
      <c r="A2598" s="27" t="s">
        <v>3690</v>
      </c>
      <c r="B2598" s="27">
        <v>1.000220802E9</v>
      </c>
      <c r="C2598" s="27" t="s">
        <v>2437</v>
      </c>
    </row>
    <row r="2599">
      <c r="A2599" s="27" t="s">
        <v>3691</v>
      </c>
      <c r="B2599" s="27">
        <v>1.000220808E9</v>
      </c>
      <c r="C2599" s="27" t="s">
        <v>2437</v>
      </c>
    </row>
    <row r="2600">
      <c r="A2600" s="27" t="s">
        <v>3692</v>
      </c>
      <c r="B2600" s="27">
        <v>1.000220821E9</v>
      </c>
      <c r="C2600" s="27" t="s">
        <v>2363</v>
      </c>
    </row>
    <row r="2601">
      <c r="A2601" s="27" t="s">
        <v>3693</v>
      </c>
      <c r="B2601" s="27">
        <v>1.0030030110102E13</v>
      </c>
      <c r="C2601" s="27" t="s">
        <v>2409</v>
      </c>
    </row>
    <row r="2602">
      <c r="A2602" s="27" t="s">
        <v>3241</v>
      </c>
      <c r="B2602" s="27">
        <v>1.0030030120102E13</v>
      </c>
      <c r="C2602" s="27" t="s">
        <v>2776</v>
      </c>
    </row>
    <row r="2603">
      <c r="A2603" s="27" t="s">
        <v>3694</v>
      </c>
      <c r="B2603" s="27">
        <v>1.0030050150102E13</v>
      </c>
      <c r="C2603" s="27" t="s">
        <v>2359</v>
      </c>
    </row>
    <row r="2604">
      <c r="A2604" s="27" t="s">
        <v>3695</v>
      </c>
      <c r="B2604" s="27">
        <v>1.0040010400101E13</v>
      </c>
      <c r="C2604" s="27" t="s">
        <v>2359</v>
      </c>
    </row>
    <row r="2605">
      <c r="A2605" s="27" t="s">
        <v>3696</v>
      </c>
      <c r="B2605" s="27">
        <v>1.00500101011E11</v>
      </c>
      <c r="C2605" s="27" t="s">
        <v>2365</v>
      </c>
    </row>
    <row r="2606">
      <c r="A2606" s="27" t="s">
        <v>3697</v>
      </c>
      <c r="B2606" s="27">
        <v>1.00500101012E11</v>
      </c>
      <c r="C2606" s="27" t="s">
        <v>2365</v>
      </c>
    </row>
    <row r="2607">
      <c r="A2607" s="27" t="s">
        <v>3698</v>
      </c>
      <c r="B2607" s="27">
        <v>1.00500201011E11</v>
      </c>
      <c r="C2607" s="27" t="s">
        <v>3699</v>
      </c>
    </row>
    <row r="2608">
      <c r="A2608" s="27" t="s">
        <v>3700</v>
      </c>
      <c r="B2608" s="27">
        <v>1.00500201012E11</v>
      </c>
      <c r="C2608" s="27" t="s">
        <v>3699</v>
      </c>
    </row>
    <row r="2609">
      <c r="A2609" s="27" t="s">
        <v>3701</v>
      </c>
      <c r="B2609" s="27">
        <v>1.00500301011E11</v>
      </c>
      <c r="C2609" s="27" t="s">
        <v>3702</v>
      </c>
    </row>
    <row r="2610">
      <c r="A2610" s="27" t="s">
        <v>3703</v>
      </c>
      <c r="B2610" s="27">
        <v>1.00500401011E11</v>
      </c>
      <c r="C2610" s="27" t="s">
        <v>3699</v>
      </c>
    </row>
    <row r="2611">
      <c r="A2611" s="27" t="s">
        <v>3704</v>
      </c>
      <c r="B2611" s="27">
        <v>1.00500401012E11</v>
      </c>
      <c r="C2611" s="27" t="s">
        <v>3705</v>
      </c>
    </row>
    <row r="2612">
      <c r="A2612" s="27" t="s">
        <v>3706</v>
      </c>
      <c r="B2612" s="27">
        <v>1.00500501011E11</v>
      </c>
      <c r="C2612" s="27" t="s">
        <v>2365</v>
      </c>
    </row>
    <row r="2613">
      <c r="A2613" s="27" t="s">
        <v>3707</v>
      </c>
      <c r="B2613" s="27">
        <v>1.00500501012E11</v>
      </c>
      <c r="C2613" s="27" t="s">
        <v>3699</v>
      </c>
    </row>
    <row r="2614">
      <c r="A2614" s="27" t="s">
        <v>3708</v>
      </c>
      <c r="B2614" s="27">
        <v>1.00500601011E11</v>
      </c>
      <c r="C2614" s="27" t="s">
        <v>3702</v>
      </c>
    </row>
    <row r="2615">
      <c r="A2615" s="27" t="s">
        <v>3709</v>
      </c>
      <c r="B2615" s="27">
        <v>1.00500601012E11</v>
      </c>
      <c r="C2615" s="27" t="s">
        <v>3702</v>
      </c>
    </row>
    <row r="2616">
      <c r="A2616" s="27" t="s">
        <v>3710</v>
      </c>
      <c r="B2616" s="27">
        <v>1.00500601013E11</v>
      </c>
      <c r="C2616" s="27" t="s">
        <v>2365</v>
      </c>
    </row>
    <row r="2617">
      <c r="A2617" s="27" t="s">
        <v>3711</v>
      </c>
      <c r="B2617" s="27">
        <v>1.00500601014E11</v>
      </c>
      <c r="C2617" s="27" t="s">
        <v>3699</v>
      </c>
    </row>
    <row r="2618">
      <c r="A2618" s="27" t="s">
        <v>3712</v>
      </c>
      <c r="B2618" s="27">
        <v>1.00500701011E11</v>
      </c>
      <c r="C2618" s="27" t="s">
        <v>3699</v>
      </c>
    </row>
    <row r="2619">
      <c r="A2619" s="27" t="s">
        <v>3713</v>
      </c>
      <c r="B2619" s="27">
        <v>1.00500701012E11</v>
      </c>
      <c r="C2619" s="27" t="s">
        <v>3437</v>
      </c>
    </row>
    <row r="2620">
      <c r="A2620" s="27" t="s">
        <v>3714</v>
      </c>
      <c r="B2620" s="27">
        <v>1.00500701013E11</v>
      </c>
      <c r="C2620" s="27" t="s">
        <v>2365</v>
      </c>
    </row>
    <row r="2621">
      <c r="A2621" s="27" t="s">
        <v>3715</v>
      </c>
      <c r="B2621" s="27">
        <v>1.00500701014E11</v>
      </c>
      <c r="C2621" s="27" t="s">
        <v>2365</v>
      </c>
    </row>
    <row r="2622">
      <c r="A2622" s="27" t="s">
        <v>3716</v>
      </c>
      <c r="B2622" s="27">
        <v>1.00500801011E11</v>
      </c>
      <c r="C2622" s="27" t="s">
        <v>2365</v>
      </c>
    </row>
    <row r="2623">
      <c r="A2623" s="27" t="s">
        <v>3717</v>
      </c>
      <c r="B2623" s="27">
        <v>1.00500801012E11</v>
      </c>
      <c r="C2623" s="27" t="s">
        <v>2365</v>
      </c>
    </row>
    <row r="2624">
      <c r="A2624" s="27" t="s">
        <v>3718</v>
      </c>
      <c r="B2624" s="27">
        <v>1.00500901011E11</v>
      </c>
      <c r="C2624" s="27" t="s">
        <v>2365</v>
      </c>
    </row>
    <row r="2625">
      <c r="A2625" s="27" t="s">
        <v>3719</v>
      </c>
      <c r="B2625" s="27">
        <v>1.00500901012E11</v>
      </c>
      <c r="C2625" s="27" t="s">
        <v>3437</v>
      </c>
    </row>
    <row r="2626">
      <c r="A2626" s="27" t="s">
        <v>3720</v>
      </c>
      <c r="B2626" s="27">
        <v>1.00500901013E11</v>
      </c>
      <c r="C2626" s="27" t="s">
        <v>3699</v>
      </c>
    </row>
    <row r="2627">
      <c r="A2627" s="27" t="s">
        <v>3721</v>
      </c>
      <c r="B2627" s="27">
        <v>1.0070050170103E13</v>
      </c>
      <c r="C2627" s="27" t="s">
        <v>2359</v>
      </c>
    </row>
    <row r="2628">
      <c r="A2628" s="27" t="s">
        <v>3722</v>
      </c>
      <c r="B2628" s="27">
        <v>100706.0</v>
      </c>
      <c r="C2628" s="27" t="s">
        <v>2404</v>
      </c>
    </row>
    <row r="2629">
      <c r="A2629" s="27" t="s">
        <v>3450</v>
      </c>
      <c r="B2629" s="27">
        <v>1.008002054E13</v>
      </c>
      <c r="C2629" s="27" t="s">
        <v>2361</v>
      </c>
    </row>
    <row r="2630">
      <c r="A2630" s="27" t="s">
        <v>3723</v>
      </c>
      <c r="B2630" s="27">
        <v>1.0080030280002E13</v>
      </c>
      <c r="C2630" s="27" t="s">
        <v>2361</v>
      </c>
    </row>
    <row r="2631">
      <c r="A2631" s="27" t="s">
        <v>3724</v>
      </c>
      <c r="B2631" s="27">
        <v>1.0080030290007E13</v>
      </c>
      <c r="C2631" s="27" t="s">
        <v>2441</v>
      </c>
    </row>
    <row r="2632">
      <c r="A2632" s="27" t="s">
        <v>3725</v>
      </c>
      <c r="B2632" s="27">
        <v>1.0080030300003E13</v>
      </c>
      <c r="C2632" s="27" t="s">
        <v>2409</v>
      </c>
    </row>
    <row r="2633">
      <c r="A2633" s="27" t="s">
        <v>3726</v>
      </c>
      <c r="B2633" s="27">
        <v>1.0080030310007E13</v>
      </c>
      <c r="C2633" s="27" t="s">
        <v>2437</v>
      </c>
    </row>
    <row r="2634">
      <c r="A2634" s="27" t="s">
        <v>3727</v>
      </c>
      <c r="B2634" s="27">
        <v>1.00800501801E13</v>
      </c>
      <c r="C2634" s="27" t="s">
        <v>2797</v>
      </c>
    </row>
    <row r="2635">
      <c r="A2635" s="27" t="s">
        <v>3451</v>
      </c>
      <c r="B2635" s="27">
        <v>1.0080050230002E13</v>
      </c>
      <c r="C2635" s="27" t="s">
        <v>2361</v>
      </c>
    </row>
    <row r="2636">
      <c r="A2636" s="27" t="s">
        <v>3371</v>
      </c>
      <c r="B2636" s="27">
        <v>1.0080050250002E13</v>
      </c>
      <c r="C2636" s="27" t="s">
        <v>2363</v>
      </c>
    </row>
    <row r="2637">
      <c r="A2637" s="27" t="s">
        <v>3728</v>
      </c>
      <c r="B2637" s="27">
        <v>1.0080050260002E13</v>
      </c>
      <c r="C2637" s="27" t="s">
        <v>2441</v>
      </c>
    </row>
    <row r="2638">
      <c r="A2638" s="27" t="s">
        <v>3729</v>
      </c>
      <c r="B2638" s="27">
        <v>1.0080050270007E13</v>
      </c>
      <c r="C2638" s="27" t="s">
        <v>2359</v>
      </c>
    </row>
    <row r="2639">
      <c r="A2639" s="27" t="s">
        <v>3452</v>
      </c>
      <c r="B2639" s="27">
        <v>1.0080050320007E13</v>
      </c>
      <c r="C2639" s="27" t="s">
        <v>2451</v>
      </c>
    </row>
    <row r="2640">
      <c r="A2640" s="27" t="s">
        <v>3730</v>
      </c>
      <c r="B2640" s="27">
        <v>1.0080050330007E13</v>
      </c>
      <c r="C2640" s="27" t="s">
        <v>2451</v>
      </c>
    </row>
    <row r="2641">
      <c r="A2641" s="27" t="s">
        <v>3731</v>
      </c>
      <c r="B2641" s="27">
        <v>1.0080050340007E13</v>
      </c>
      <c r="C2641" s="27" t="s">
        <v>2409</v>
      </c>
    </row>
    <row r="2642">
      <c r="A2642" s="27" t="s">
        <v>3732</v>
      </c>
      <c r="B2642" s="27">
        <v>1.0080050350007E13</v>
      </c>
      <c r="C2642" s="27" t="s">
        <v>2363</v>
      </c>
    </row>
    <row r="2643">
      <c r="A2643" s="27" t="s">
        <v>3453</v>
      </c>
      <c r="B2643" s="27">
        <v>1.0080050430002E13</v>
      </c>
      <c r="C2643" s="27" t="s">
        <v>2386</v>
      </c>
    </row>
    <row r="2644">
      <c r="A2644" s="27" t="s">
        <v>3733</v>
      </c>
      <c r="B2644" s="27">
        <v>1.0080100220103E13</v>
      </c>
      <c r="C2644" s="27" t="s">
        <v>2359</v>
      </c>
    </row>
    <row r="2645">
      <c r="A2645" s="27" t="s">
        <v>3734</v>
      </c>
      <c r="B2645" s="27">
        <v>1.0080100220107E13</v>
      </c>
      <c r="C2645" s="27" t="s">
        <v>2359</v>
      </c>
    </row>
    <row r="2646">
      <c r="A2646" s="27" t="s">
        <v>3735</v>
      </c>
      <c r="B2646" s="27">
        <v>1.0080100230101E13</v>
      </c>
      <c r="C2646" s="27" t="s">
        <v>2359</v>
      </c>
    </row>
    <row r="2647">
      <c r="A2647" s="27" t="s">
        <v>3455</v>
      </c>
      <c r="B2647" s="27">
        <v>1.0080110250103E13</v>
      </c>
      <c r="C2647" s="27" t="s">
        <v>2378</v>
      </c>
    </row>
    <row r="2648">
      <c r="A2648" s="27" t="s">
        <v>3242</v>
      </c>
      <c r="B2648" s="27">
        <v>1.008011025014E13</v>
      </c>
      <c r="C2648" s="27" t="s">
        <v>2372</v>
      </c>
    </row>
    <row r="2649">
      <c r="A2649" s="27" t="s">
        <v>3736</v>
      </c>
      <c r="B2649" s="27">
        <v>1.008012042004E13</v>
      </c>
      <c r="C2649" s="27" t="s">
        <v>2451</v>
      </c>
    </row>
    <row r="2650">
      <c r="A2650" s="27" t="s">
        <v>3456</v>
      </c>
      <c r="B2650" s="27">
        <v>1.008012055E13</v>
      </c>
      <c r="C2650" s="27" t="s">
        <v>2409</v>
      </c>
    </row>
    <row r="2651">
      <c r="A2651" s="27" t="s">
        <v>3457</v>
      </c>
      <c r="B2651" s="27">
        <v>1.0080130220002E13</v>
      </c>
      <c r="C2651" s="27" t="s">
        <v>2462</v>
      </c>
    </row>
    <row r="2652">
      <c r="A2652" s="27" t="s">
        <v>3737</v>
      </c>
      <c r="B2652" s="27">
        <v>1.0080130510002E13</v>
      </c>
      <c r="C2652" s="27" t="s">
        <v>2451</v>
      </c>
    </row>
    <row r="2653">
      <c r="A2653" s="27" t="s">
        <v>3243</v>
      </c>
      <c r="B2653" s="27">
        <v>1.0080140470002E13</v>
      </c>
      <c r="C2653" s="27" t="s">
        <v>2361</v>
      </c>
    </row>
    <row r="2654">
      <c r="A2654" s="27" t="s">
        <v>3458</v>
      </c>
      <c r="B2654" s="27">
        <v>1.0080150490001E13</v>
      </c>
      <c r="C2654" s="27" t="s">
        <v>2451</v>
      </c>
    </row>
    <row r="2655">
      <c r="A2655" s="27" t="s">
        <v>3738</v>
      </c>
      <c r="B2655" s="27">
        <v>1.0080150490002E13</v>
      </c>
      <c r="C2655" s="27" t="s">
        <v>2409</v>
      </c>
    </row>
    <row r="2656">
      <c r="A2656" s="27" t="s">
        <v>3459</v>
      </c>
      <c r="B2656" s="27">
        <v>1.0080151190002E13</v>
      </c>
      <c r="C2656" s="27" t="s">
        <v>2437</v>
      </c>
    </row>
    <row r="2657">
      <c r="A2657" s="27" t="s">
        <v>3739</v>
      </c>
      <c r="B2657" s="27">
        <v>1.0080151300002E13</v>
      </c>
      <c r="C2657" s="27" t="s">
        <v>2451</v>
      </c>
    </row>
    <row r="2658">
      <c r="A2658" s="27" t="s">
        <v>3740</v>
      </c>
      <c r="B2658" s="27">
        <v>1.0080181200002E13</v>
      </c>
      <c r="C2658" s="27" t="s">
        <v>2437</v>
      </c>
    </row>
    <row r="2659">
      <c r="A2659" s="27" t="s">
        <v>3741</v>
      </c>
      <c r="B2659" s="27">
        <v>1.009005045E13</v>
      </c>
      <c r="C2659" s="27" t="s">
        <v>2451</v>
      </c>
    </row>
    <row r="2660">
      <c r="A2660" s="27" t="s">
        <v>3742</v>
      </c>
      <c r="B2660" s="27">
        <v>1.009013046E13</v>
      </c>
      <c r="C2660" s="27" t="s">
        <v>2451</v>
      </c>
    </row>
    <row r="2661">
      <c r="A2661" s="27" t="s">
        <v>3743</v>
      </c>
      <c r="B2661" s="27">
        <v>1010.0</v>
      </c>
      <c r="C2661" s="27" t="s">
        <v>2361</v>
      </c>
    </row>
    <row r="2662">
      <c r="A2662" s="27" t="s">
        <v>3245</v>
      </c>
      <c r="B2662" s="27">
        <v>1.0100150210007E13</v>
      </c>
      <c r="C2662" s="27" t="s">
        <v>2380</v>
      </c>
    </row>
    <row r="2663">
      <c r="A2663" s="27" t="s">
        <v>3744</v>
      </c>
      <c r="B2663" s="27">
        <v>1.011002056E13</v>
      </c>
      <c r="C2663" s="27" t="s">
        <v>2441</v>
      </c>
    </row>
    <row r="2664">
      <c r="A2664" s="27" t="s">
        <v>3745</v>
      </c>
      <c r="B2664" s="27">
        <v>1015.0</v>
      </c>
      <c r="C2664" s="27" t="s">
        <v>2451</v>
      </c>
    </row>
    <row r="2665">
      <c r="A2665" s="27" t="s">
        <v>3746</v>
      </c>
      <c r="B2665" s="27">
        <v>1028.0</v>
      </c>
      <c r="C2665" s="27" t="s">
        <v>2359</v>
      </c>
    </row>
    <row r="2666">
      <c r="A2666" s="27" t="s">
        <v>3747</v>
      </c>
      <c r="B2666" s="27">
        <v>1029.0</v>
      </c>
      <c r="C2666" s="27" t="s">
        <v>2363</v>
      </c>
    </row>
    <row r="2667">
      <c r="A2667" s="27" t="s">
        <v>3748</v>
      </c>
      <c r="B2667" s="27">
        <v>1034.0</v>
      </c>
      <c r="C2667" s="27" t="s">
        <v>2363</v>
      </c>
    </row>
    <row r="2668">
      <c r="A2668" s="27" t="s">
        <v>3749</v>
      </c>
      <c r="B2668" s="27">
        <v>1035.0</v>
      </c>
      <c r="C2668" s="27" t="s">
        <v>2437</v>
      </c>
    </row>
    <row r="2669">
      <c r="A2669" s="27" t="s">
        <v>3750</v>
      </c>
      <c r="B2669" s="27">
        <v>1036.0</v>
      </c>
      <c r="C2669" s="27" t="s">
        <v>2361</v>
      </c>
    </row>
    <row r="2670">
      <c r="A2670" s="27" t="s">
        <v>3751</v>
      </c>
      <c r="B2670" s="27">
        <v>1052.0</v>
      </c>
      <c r="C2670" s="27" t="s">
        <v>2451</v>
      </c>
    </row>
    <row r="2671">
      <c r="A2671" s="27" t="s">
        <v>3752</v>
      </c>
      <c r="B2671" s="27">
        <v>1053.0</v>
      </c>
      <c r="C2671" s="27" t="s">
        <v>2363</v>
      </c>
    </row>
    <row r="2672">
      <c r="A2672" s="27" t="s">
        <v>3753</v>
      </c>
      <c r="B2672" s="27">
        <v>1061.0</v>
      </c>
      <c r="C2672" s="27" t="s">
        <v>2437</v>
      </c>
    </row>
    <row r="2673">
      <c r="A2673" s="27" t="s">
        <v>3754</v>
      </c>
      <c r="B2673" s="27">
        <v>10644.0</v>
      </c>
      <c r="C2673" s="27" t="s">
        <v>2361</v>
      </c>
    </row>
    <row r="2674">
      <c r="A2674" s="27" t="s">
        <v>3755</v>
      </c>
      <c r="B2674" s="27">
        <v>10822.0</v>
      </c>
      <c r="C2674" s="27" t="s">
        <v>2437</v>
      </c>
    </row>
    <row r="2675">
      <c r="A2675" s="27" t="s">
        <v>3756</v>
      </c>
      <c r="B2675" s="27">
        <v>10844.0</v>
      </c>
      <c r="C2675" s="27" t="s">
        <v>2363</v>
      </c>
    </row>
    <row r="2676">
      <c r="A2676" s="27" t="s">
        <v>3757</v>
      </c>
      <c r="B2676" s="27" t="s">
        <v>3758</v>
      </c>
      <c r="C2676" s="27" t="s">
        <v>2359</v>
      </c>
    </row>
    <row r="2677">
      <c r="A2677" s="27" t="s">
        <v>3759</v>
      </c>
      <c r="B2677" s="27" t="s">
        <v>3760</v>
      </c>
      <c r="C2677" s="27" t="s">
        <v>2363</v>
      </c>
    </row>
    <row r="2678">
      <c r="A2678" s="27" t="s">
        <v>3460</v>
      </c>
      <c r="B2678" s="27">
        <v>1.20312743019E11</v>
      </c>
      <c r="C2678" s="27" t="s">
        <v>2363</v>
      </c>
    </row>
    <row r="2679">
      <c r="A2679" s="27" t="s">
        <v>3761</v>
      </c>
      <c r="B2679" s="27">
        <v>1.21312926717E11</v>
      </c>
      <c r="C2679" s="27" t="s">
        <v>2359</v>
      </c>
    </row>
    <row r="2680">
      <c r="A2680" s="27" t="s">
        <v>3762</v>
      </c>
      <c r="B2680" s="27">
        <v>1.21312926721E11</v>
      </c>
      <c r="C2680" s="27" t="s">
        <v>2409</v>
      </c>
    </row>
    <row r="2681">
      <c r="A2681" s="27" t="s">
        <v>3763</v>
      </c>
      <c r="B2681" s="27">
        <v>134515.0</v>
      </c>
      <c r="C2681" s="27" t="s">
        <v>2372</v>
      </c>
    </row>
    <row r="2682">
      <c r="A2682" s="27" t="s">
        <v>3764</v>
      </c>
      <c r="B2682" s="27">
        <v>138868.0</v>
      </c>
      <c r="C2682" s="27" t="s">
        <v>2380</v>
      </c>
    </row>
    <row r="2683">
      <c r="A2683" s="27" t="s">
        <v>3765</v>
      </c>
      <c r="B2683" s="27" t="s">
        <v>3766</v>
      </c>
      <c r="C2683" s="27" t="s">
        <v>2359</v>
      </c>
    </row>
    <row r="2684">
      <c r="A2684" s="27" t="s">
        <v>3019</v>
      </c>
      <c r="B2684" s="27">
        <v>1.479750635184E12</v>
      </c>
      <c r="C2684" s="27" t="s">
        <v>3767</v>
      </c>
    </row>
    <row r="2685">
      <c r="A2685" s="27" t="s">
        <v>3768</v>
      </c>
      <c r="B2685" s="27">
        <v>1.481123752846E12</v>
      </c>
      <c r="C2685" s="27" t="s">
        <v>2752</v>
      </c>
    </row>
    <row r="2686">
      <c r="A2686" s="27" t="s">
        <v>3074</v>
      </c>
      <c r="B2686" s="27">
        <v>1.481123917144E12</v>
      </c>
      <c r="C2686" s="27" t="s">
        <v>2547</v>
      </c>
    </row>
    <row r="2687">
      <c r="A2687" s="27" t="s">
        <v>3769</v>
      </c>
      <c r="B2687" s="27">
        <v>1.481123937937E12</v>
      </c>
      <c r="C2687" s="27" t="s">
        <v>2451</v>
      </c>
    </row>
    <row r="2688">
      <c r="A2688" s="27" t="s">
        <v>3770</v>
      </c>
      <c r="B2688" s="27">
        <v>1.483452520904E12</v>
      </c>
      <c r="C2688" s="27" t="s">
        <v>2380</v>
      </c>
    </row>
    <row r="2689">
      <c r="A2689" s="27" t="s">
        <v>3771</v>
      </c>
      <c r="B2689" s="27">
        <v>150287.0</v>
      </c>
      <c r="C2689" s="27" t="s">
        <v>2361</v>
      </c>
    </row>
    <row r="2690">
      <c r="A2690" s="27" t="s">
        <v>3772</v>
      </c>
      <c r="B2690" s="27">
        <v>1.507904554106E12</v>
      </c>
      <c r="C2690" s="27" t="s">
        <v>2359</v>
      </c>
    </row>
    <row r="2691">
      <c r="A2691" s="27" t="s">
        <v>3465</v>
      </c>
      <c r="B2691" s="27">
        <v>1.513100019184E12</v>
      </c>
      <c r="C2691" s="27" t="s">
        <v>2437</v>
      </c>
    </row>
    <row r="2692">
      <c r="A2692" s="27" t="s">
        <v>2360</v>
      </c>
      <c r="B2692" s="27">
        <v>1.513614057219E12</v>
      </c>
      <c r="C2692" s="27" t="s">
        <v>2603</v>
      </c>
    </row>
    <row r="2693">
      <c r="A2693" s="27" t="s">
        <v>3773</v>
      </c>
      <c r="B2693" s="27">
        <v>1.513615220412E12</v>
      </c>
      <c r="C2693" s="27" t="s">
        <v>3774</v>
      </c>
    </row>
    <row r="2694">
      <c r="A2694" s="27" t="s">
        <v>3775</v>
      </c>
      <c r="B2694" s="27">
        <v>1.514379781861E12</v>
      </c>
      <c r="C2694" s="27" t="s">
        <v>2359</v>
      </c>
    </row>
    <row r="2695">
      <c r="A2695" s="27" t="s">
        <v>2362</v>
      </c>
      <c r="B2695" s="27">
        <v>1.52353664788E12</v>
      </c>
      <c r="C2695" s="27" t="s">
        <v>2407</v>
      </c>
    </row>
    <row r="2696">
      <c r="A2696" s="27" t="s">
        <v>2747</v>
      </c>
      <c r="B2696" s="27">
        <v>1.535543463599E12</v>
      </c>
      <c r="C2696" s="27" t="s">
        <v>2363</v>
      </c>
    </row>
    <row r="2697">
      <c r="A2697" s="27" t="s">
        <v>3021</v>
      </c>
      <c r="B2697" s="27">
        <v>1.53788936885E12</v>
      </c>
      <c r="C2697" s="27" t="s">
        <v>2359</v>
      </c>
    </row>
    <row r="2698">
      <c r="A2698" s="27" t="s">
        <v>2748</v>
      </c>
      <c r="B2698" s="27">
        <v>1.538141129434E12</v>
      </c>
      <c r="C2698" s="27" t="s">
        <v>3776</v>
      </c>
    </row>
    <row r="2699">
      <c r="A2699" s="27" t="s">
        <v>3777</v>
      </c>
      <c r="B2699" s="27">
        <v>1.538141179064E12</v>
      </c>
      <c r="C2699" s="27" t="s">
        <v>2359</v>
      </c>
    </row>
    <row r="2700">
      <c r="A2700" s="27" t="s">
        <v>3778</v>
      </c>
      <c r="B2700" s="27">
        <v>1.538481335277E12</v>
      </c>
      <c r="C2700" s="27" t="s">
        <v>2437</v>
      </c>
    </row>
    <row r="2701">
      <c r="A2701" s="27" t="s">
        <v>3779</v>
      </c>
      <c r="B2701" s="27">
        <v>1.541697243401E12</v>
      </c>
      <c r="C2701" s="27" t="s">
        <v>2447</v>
      </c>
    </row>
    <row r="2702">
      <c r="A2702" s="27" t="s">
        <v>3024</v>
      </c>
      <c r="B2702" s="27">
        <v>1.542051526349E12</v>
      </c>
      <c r="C2702" s="27" t="s">
        <v>3780</v>
      </c>
    </row>
    <row r="2703">
      <c r="A2703" s="27" t="s">
        <v>2749</v>
      </c>
      <c r="B2703" s="27">
        <v>1.543406075297E12</v>
      </c>
      <c r="C2703" s="27" t="s">
        <v>3781</v>
      </c>
    </row>
    <row r="2704">
      <c r="A2704" s="27" t="s">
        <v>3782</v>
      </c>
      <c r="B2704" s="27">
        <v>1.549546168927E12</v>
      </c>
      <c r="C2704" s="27" t="s">
        <v>2547</v>
      </c>
    </row>
    <row r="2705">
      <c r="A2705" s="27" t="s">
        <v>3783</v>
      </c>
      <c r="B2705" s="27">
        <v>1.561394899592E12</v>
      </c>
      <c r="C2705" s="27" t="s">
        <v>2363</v>
      </c>
    </row>
    <row r="2706">
      <c r="A2706" s="27" t="s">
        <v>3784</v>
      </c>
      <c r="B2706" s="27" t="s">
        <v>3785</v>
      </c>
      <c r="C2706" s="27" t="s">
        <v>2361</v>
      </c>
    </row>
    <row r="2707">
      <c r="A2707" s="27" t="s">
        <v>2364</v>
      </c>
      <c r="B2707" s="27">
        <v>1.564150627423E12</v>
      </c>
      <c r="C2707" s="27" t="s">
        <v>3786</v>
      </c>
    </row>
    <row r="2708">
      <c r="A2708" s="27" t="s">
        <v>2366</v>
      </c>
      <c r="B2708" s="27">
        <v>1.564150661249E12</v>
      </c>
      <c r="C2708" s="27" t="s">
        <v>3787</v>
      </c>
    </row>
    <row r="2709">
      <c r="A2709" s="27" t="s">
        <v>3788</v>
      </c>
      <c r="B2709" s="27">
        <v>1.565218463197E12</v>
      </c>
      <c r="C2709" s="27" t="s">
        <v>2363</v>
      </c>
    </row>
    <row r="2710">
      <c r="A2710" s="27" t="s">
        <v>3789</v>
      </c>
      <c r="B2710" s="27">
        <v>1.565277372026E12</v>
      </c>
      <c r="C2710" s="27" t="s">
        <v>3790</v>
      </c>
    </row>
    <row r="2711">
      <c r="A2711" s="27" t="s">
        <v>2367</v>
      </c>
      <c r="B2711" s="27">
        <v>1.566335721736E12</v>
      </c>
      <c r="C2711" s="27" t="s">
        <v>3791</v>
      </c>
    </row>
    <row r="2712">
      <c r="A2712" s="27" t="s">
        <v>2369</v>
      </c>
      <c r="B2712" s="27">
        <v>1.566849947902E12</v>
      </c>
      <c r="C2712" s="27" t="s">
        <v>3792</v>
      </c>
    </row>
    <row r="2713">
      <c r="A2713" s="27" t="s">
        <v>3793</v>
      </c>
      <c r="B2713" s="27">
        <v>157101.0</v>
      </c>
      <c r="C2713" s="27" t="s">
        <v>2361</v>
      </c>
    </row>
    <row r="2714">
      <c r="A2714" s="27" t="s">
        <v>3372</v>
      </c>
      <c r="B2714" s="27">
        <v>1.571055493973E12</v>
      </c>
      <c r="C2714" s="27" t="s">
        <v>3794</v>
      </c>
    </row>
    <row r="2715">
      <c r="A2715" s="27" t="s">
        <v>2371</v>
      </c>
      <c r="B2715" s="27">
        <v>1.571423280815E12</v>
      </c>
      <c r="C2715" s="27" t="s">
        <v>3795</v>
      </c>
    </row>
    <row r="2716">
      <c r="A2716" s="27" t="s">
        <v>3796</v>
      </c>
      <c r="B2716" s="27">
        <v>157209.0</v>
      </c>
      <c r="C2716" s="27" t="s">
        <v>2359</v>
      </c>
    </row>
    <row r="2717">
      <c r="A2717" s="27" t="s">
        <v>3797</v>
      </c>
      <c r="B2717" s="27">
        <v>157266.0</v>
      </c>
      <c r="C2717" s="27" t="s">
        <v>2380</v>
      </c>
    </row>
    <row r="2718">
      <c r="A2718" s="27" t="s">
        <v>3798</v>
      </c>
      <c r="B2718" s="27">
        <v>1.574177821495E12</v>
      </c>
      <c r="C2718" s="27" t="s">
        <v>2359</v>
      </c>
    </row>
    <row r="2719">
      <c r="A2719" s="27" t="s">
        <v>3471</v>
      </c>
      <c r="B2719" s="27">
        <v>1.579117587919E12</v>
      </c>
      <c r="C2719" s="27" t="s">
        <v>2378</v>
      </c>
    </row>
    <row r="2720">
      <c r="A2720" s="27" t="s">
        <v>3472</v>
      </c>
      <c r="B2720" s="27">
        <v>1.579117612971E12</v>
      </c>
      <c r="C2720" s="27" t="s">
        <v>2363</v>
      </c>
    </row>
    <row r="2721">
      <c r="A2721" s="27" t="s">
        <v>3799</v>
      </c>
      <c r="B2721" s="27">
        <v>1.585575578419E12</v>
      </c>
      <c r="C2721" s="27" t="s">
        <v>2439</v>
      </c>
    </row>
    <row r="2722">
      <c r="A2722" s="27" t="s">
        <v>2753</v>
      </c>
      <c r="B2722" s="27">
        <v>1.589209076056E12</v>
      </c>
      <c r="C2722" s="27" t="s">
        <v>3800</v>
      </c>
    </row>
    <row r="2723">
      <c r="A2723" s="27" t="s">
        <v>3801</v>
      </c>
      <c r="B2723" s="27">
        <v>1.591103835523E12</v>
      </c>
      <c r="C2723" s="27" t="s">
        <v>2359</v>
      </c>
    </row>
    <row r="2724">
      <c r="A2724" s="27" t="s">
        <v>2373</v>
      </c>
      <c r="B2724" s="27">
        <v>1.592492799236E12</v>
      </c>
      <c r="C2724" s="27" t="s">
        <v>3802</v>
      </c>
    </row>
    <row r="2725">
      <c r="A2725" s="27" t="s">
        <v>3803</v>
      </c>
      <c r="B2725" s="27">
        <v>1.593115256999E12</v>
      </c>
      <c r="C2725" s="27" t="s">
        <v>3804</v>
      </c>
    </row>
    <row r="2726">
      <c r="A2726" s="27" t="s">
        <v>3473</v>
      </c>
      <c r="B2726" s="27">
        <v>1.594337749167E12</v>
      </c>
      <c r="C2726" s="27" t="s">
        <v>2797</v>
      </c>
    </row>
    <row r="2727">
      <c r="A2727" s="27" t="s">
        <v>3805</v>
      </c>
      <c r="B2727" s="27">
        <v>1.595007277212E12</v>
      </c>
      <c r="C2727" s="27" t="s">
        <v>3806</v>
      </c>
    </row>
    <row r="2728">
      <c r="A2728" s="27" t="s">
        <v>3807</v>
      </c>
      <c r="B2728" s="27">
        <v>1.595007331468E12</v>
      </c>
      <c r="C2728" s="27" t="s">
        <v>2595</v>
      </c>
    </row>
    <row r="2729">
      <c r="A2729" s="27" t="s">
        <v>3808</v>
      </c>
      <c r="B2729" s="27">
        <v>1.596549586882E12</v>
      </c>
      <c r="C2729" s="27" t="s">
        <v>2359</v>
      </c>
    </row>
    <row r="2730">
      <c r="A2730" s="27" t="s">
        <v>2374</v>
      </c>
      <c r="B2730" s="27">
        <v>1.59708649984E12</v>
      </c>
      <c r="C2730" s="27" t="s">
        <v>3809</v>
      </c>
    </row>
    <row r="2731">
      <c r="A2731" s="27" t="s">
        <v>2375</v>
      </c>
      <c r="B2731" s="27">
        <v>1.597098592591E12</v>
      </c>
      <c r="C2731" s="27" t="s">
        <v>3810</v>
      </c>
    </row>
    <row r="2732">
      <c r="A2732" s="27" t="s">
        <v>3811</v>
      </c>
      <c r="B2732" s="27">
        <v>1.598650124917E12</v>
      </c>
      <c r="C2732" s="27" t="s">
        <v>2359</v>
      </c>
    </row>
    <row r="2733">
      <c r="A2733" s="27" t="s">
        <v>3812</v>
      </c>
      <c r="B2733" s="27">
        <v>1.600117183428E12</v>
      </c>
      <c r="C2733" s="27" t="s">
        <v>3813</v>
      </c>
    </row>
    <row r="2734">
      <c r="A2734" s="27" t="s">
        <v>3814</v>
      </c>
      <c r="B2734" s="27">
        <v>1.601323542043E12</v>
      </c>
      <c r="C2734" s="27" t="s">
        <v>2437</v>
      </c>
    </row>
    <row r="2735">
      <c r="A2735" s="27" t="s">
        <v>3815</v>
      </c>
      <c r="B2735" s="27">
        <v>1.602029190396E12</v>
      </c>
      <c r="C2735" s="27" t="s">
        <v>2363</v>
      </c>
    </row>
    <row r="2736">
      <c r="A2736" s="27" t="s">
        <v>3816</v>
      </c>
      <c r="B2736" s="27">
        <v>1.602163055069E12</v>
      </c>
      <c r="C2736" s="27" t="s">
        <v>2363</v>
      </c>
    </row>
    <row r="2737">
      <c r="A2737" s="27" t="s">
        <v>3817</v>
      </c>
      <c r="B2737" s="27">
        <v>160479.0</v>
      </c>
      <c r="C2737" s="27" t="s">
        <v>2359</v>
      </c>
    </row>
    <row r="2738">
      <c r="A2738" s="27" t="s">
        <v>3818</v>
      </c>
      <c r="B2738" s="27">
        <v>1.605622069868E12</v>
      </c>
      <c r="C2738" s="27" t="s">
        <v>2359</v>
      </c>
    </row>
    <row r="2739">
      <c r="A2739" s="27" t="s">
        <v>3819</v>
      </c>
      <c r="B2739" s="27">
        <v>1.605624656414E12</v>
      </c>
      <c r="C2739" s="27" t="s">
        <v>2363</v>
      </c>
    </row>
    <row r="2740">
      <c r="A2740" s="27" t="s">
        <v>3820</v>
      </c>
      <c r="B2740" s="27">
        <v>1.605624727428E12</v>
      </c>
      <c r="C2740" s="27" t="s">
        <v>2363</v>
      </c>
    </row>
    <row r="2741">
      <c r="A2741" s="27" t="s">
        <v>3821</v>
      </c>
      <c r="B2741" s="27">
        <v>1.605708086872E12</v>
      </c>
      <c r="C2741" s="27" t="s">
        <v>2363</v>
      </c>
    </row>
    <row r="2742">
      <c r="A2742" s="27" t="s">
        <v>3822</v>
      </c>
      <c r="B2742" s="27">
        <v>1.605820909877E12</v>
      </c>
      <c r="C2742" s="27" t="s">
        <v>2359</v>
      </c>
    </row>
    <row r="2743">
      <c r="A2743" s="27" t="s">
        <v>3479</v>
      </c>
      <c r="B2743" s="27">
        <v>1.607526253622E12</v>
      </c>
      <c r="C2743" s="27" t="s">
        <v>2359</v>
      </c>
    </row>
    <row r="2744">
      <c r="A2744" s="27" t="s">
        <v>3823</v>
      </c>
      <c r="B2744" s="27">
        <v>160753.0</v>
      </c>
      <c r="C2744" s="27" t="s">
        <v>2451</v>
      </c>
    </row>
    <row r="2745">
      <c r="A2745" s="27" t="s">
        <v>3036</v>
      </c>
      <c r="B2745" s="27">
        <v>1.608208175202E12</v>
      </c>
      <c r="C2745" s="27" t="s">
        <v>2359</v>
      </c>
    </row>
    <row r="2746">
      <c r="A2746" s="27" t="s">
        <v>3824</v>
      </c>
      <c r="B2746" s="27">
        <v>161016.0</v>
      </c>
      <c r="C2746" s="27" t="s">
        <v>2437</v>
      </c>
    </row>
    <row r="2747">
      <c r="A2747" s="27" t="s">
        <v>3825</v>
      </c>
      <c r="B2747" s="27">
        <v>1.61039624675E12</v>
      </c>
      <c r="C2747" s="27" t="s">
        <v>2359</v>
      </c>
    </row>
    <row r="2748">
      <c r="A2748" s="27" t="s">
        <v>3826</v>
      </c>
      <c r="B2748" s="27">
        <v>1.610816087324E12</v>
      </c>
      <c r="C2748" s="27" t="s">
        <v>3827</v>
      </c>
    </row>
    <row r="2749">
      <c r="A2749" s="27" t="s">
        <v>3079</v>
      </c>
      <c r="B2749" s="27">
        <v>1.610816377646E12</v>
      </c>
      <c r="C2749" s="27" t="s">
        <v>3828</v>
      </c>
    </row>
    <row r="2750">
      <c r="A2750" s="27" t="s">
        <v>3829</v>
      </c>
      <c r="B2750" s="27">
        <v>1.612801611908E12</v>
      </c>
      <c r="C2750" s="27" t="s">
        <v>2409</v>
      </c>
    </row>
    <row r="2751">
      <c r="A2751" s="27" t="s">
        <v>2377</v>
      </c>
      <c r="B2751" s="27">
        <v>1.61538336617E12</v>
      </c>
      <c r="C2751" s="27" t="s">
        <v>2439</v>
      </c>
    </row>
    <row r="2752">
      <c r="A2752" s="27" t="s">
        <v>2379</v>
      </c>
      <c r="B2752" s="27">
        <v>1.615383407099E12</v>
      </c>
      <c r="C2752" s="27" t="s">
        <v>3830</v>
      </c>
    </row>
    <row r="2753">
      <c r="A2753" s="27" t="s">
        <v>3831</v>
      </c>
      <c r="B2753" s="27">
        <v>1.616011328526E12</v>
      </c>
      <c r="C2753" s="27" t="s">
        <v>2372</v>
      </c>
    </row>
    <row r="2754">
      <c r="A2754" s="27" t="s">
        <v>3832</v>
      </c>
      <c r="B2754" s="27">
        <v>1.617981582842E12</v>
      </c>
      <c r="C2754" s="27" t="s">
        <v>3833</v>
      </c>
    </row>
    <row r="2755">
      <c r="A2755" s="27" t="s">
        <v>3834</v>
      </c>
      <c r="B2755" s="27">
        <v>1.619101669158E12</v>
      </c>
      <c r="C2755" s="27" t="s">
        <v>2359</v>
      </c>
    </row>
    <row r="2756">
      <c r="A2756" s="27" t="s">
        <v>3835</v>
      </c>
      <c r="B2756" s="27">
        <v>1.619101943225E12</v>
      </c>
      <c r="C2756" s="27" t="s">
        <v>2363</v>
      </c>
    </row>
    <row r="2757">
      <c r="A2757" s="27" t="s">
        <v>3836</v>
      </c>
      <c r="B2757" s="27">
        <v>162085.0</v>
      </c>
      <c r="C2757" s="27" t="s">
        <v>2361</v>
      </c>
    </row>
    <row r="2758">
      <c r="A2758" s="27" t="s">
        <v>3837</v>
      </c>
      <c r="B2758" s="27">
        <v>1.621435991486E12</v>
      </c>
      <c r="C2758" s="27" t="s">
        <v>2359</v>
      </c>
    </row>
    <row r="2759">
      <c r="A2759" s="27" t="s">
        <v>3838</v>
      </c>
      <c r="B2759" s="27">
        <v>1.621436042191E12</v>
      </c>
      <c r="C2759" s="27" t="s">
        <v>2359</v>
      </c>
    </row>
    <row r="2760">
      <c r="A2760" s="27" t="s">
        <v>3839</v>
      </c>
      <c r="B2760" s="27">
        <v>1.621436109437E12</v>
      </c>
      <c r="C2760" s="27" t="s">
        <v>2437</v>
      </c>
    </row>
    <row r="2761">
      <c r="A2761" s="27" t="s">
        <v>3840</v>
      </c>
      <c r="B2761" s="27" t="s">
        <v>3841</v>
      </c>
      <c r="C2761" s="27" t="s">
        <v>2361</v>
      </c>
    </row>
    <row r="2762">
      <c r="A2762" s="27" t="s">
        <v>2381</v>
      </c>
      <c r="B2762" s="27">
        <v>1.623703690011E12</v>
      </c>
      <c r="C2762" s="27" t="s">
        <v>3842</v>
      </c>
    </row>
    <row r="2763">
      <c r="A2763" s="27" t="s">
        <v>2383</v>
      </c>
      <c r="B2763" s="27">
        <v>1.623703728452E12</v>
      </c>
      <c r="C2763" s="27" t="s">
        <v>3843</v>
      </c>
    </row>
    <row r="2764">
      <c r="A2764" s="27" t="s">
        <v>2385</v>
      </c>
      <c r="B2764" s="27">
        <v>1.623703861303E12</v>
      </c>
      <c r="C2764" s="27" t="s">
        <v>3844</v>
      </c>
    </row>
    <row r="2765">
      <c r="A2765" s="27" t="s">
        <v>3845</v>
      </c>
      <c r="B2765" s="27">
        <v>1.627069056921E12</v>
      </c>
      <c r="C2765" s="27" t="s">
        <v>2437</v>
      </c>
    </row>
    <row r="2766">
      <c r="A2766" s="27" t="s">
        <v>2387</v>
      </c>
      <c r="B2766" s="27">
        <v>1.62741684103E12</v>
      </c>
      <c r="C2766" s="27" t="s">
        <v>3846</v>
      </c>
    </row>
    <row r="2767">
      <c r="A2767" s="27" t="s">
        <v>2389</v>
      </c>
      <c r="B2767" s="27">
        <v>1.627418180602E12</v>
      </c>
      <c r="C2767" s="27" t="s">
        <v>3847</v>
      </c>
    </row>
    <row r="2768">
      <c r="A2768" s="27" t="s">
        <v>2391</v>
      </c>
      <c r="B2768" s="27">
        <v>1.627418212924E12</v>
      </c>
      <c r="C2768" s="27" t="s">
        <v>3848</v>
      </c>
    </row>
    <row r="2769">
      <c r="A2769" s="27" t="s">
        <v>2393</v>
      </c>
      <c r="B2769" s="27">
        <v>1.62801820637E12</v>
      </c>
      <c r="C2769" s="27" t="s">
        <v>3849</v>
      </c>
    </row>
    <row r="2770">
      <c r="A2770" s="27" t="s">
        <v>3850</v>
      </c>
      <c r="B2770" s="27">
        <v>1.628778259856E12</v>
      </c>
      <c r="C2770" s="27" t="s">
        <v>2359</v>
      </c>
    </row>
    <row r="2771">
      <c r="A2771" s="27" t="s">
        <v>3851</v>
      </c>
      <c r="B2771" s="27">
        <v>1.628778289266E12</v>
      </c>
      <c r="C2771" s="27" t="s">
        <v>2359</v>
      </c>
    </row>
    <row r="2772">
      <c r="A2772" s="27" t="s">
        <v>3852</v>
      </c>
      <c r="B2772" s="27">
        <v>1.628778300463E12</v>
      </c>
      <c r="C2772" s="27" t="s">
        <v>2359</v>
      </c>
    </row>
    <row r="2773">
      <c r="A2773" s="27" t="s">
        <v>3853</v>
      </c>
      <c r="B2773" s="27">
        <v>1.6287783356E12</v>
      </c>
      <c r="C2773" s="27" t="s">
        <v>2359</v>
      </c>
    </row>
    <row r="2774">
      <c r="A2774" s="27" t="s">
        <v>3854</v>
      </c>
      <c r="B2774" s="27">
        <v>1.628778362232E12</v>
      </c>
      <c r="C2774" s="27" t="s">
        <v>2359</v>
      </c>
    </row>
    <row r="2775">
      <c r="A2775" s="27" t="s">
        <v>3855</v>
      </c>
      <c r="B2775" s="27">
        <v>1.62877837368E12</v>
      </c>
      <c r="C2775" s="27" t="s">
        <v>2359</v>
      </c>
    </row>
    <row r="2776">
      <c r="A2776" s="27" t="s">
        <v>3856</v>
      </c>
      <c r="B2776" s="27">
        <v>1.628801818864E12</v>
      </c>
      <c r="C2776" s="27" t="s">
        <v>2363</v>
      </c>
    </row>
    <row r="2777">
      <c r="A2777" s="27" t="s">
        <v>3857</v>
      </c>
      <c r="B2777" s="27">
        <v>1.629291104067E12</v>
      </c>
      <c r="C2777" s="27" t="s">
        <v>2505</v>
      </c>
    </row>
    <row r="2778">
      <c r="A2778" s="27" t="s">
        <v>2761</v>
      </c>
      <c r="B2778" s="27">
        <v>1.629726091782E12</v>
      </c>
      <c r="C2778" s="27" t="s">
        <v>3858</v>
      </c>
    </row>
    <row r="2779">
      <c r="A2779" s="27" t="s">
        <v>2762</v>
      </c>
      <c r="B2779" s="27">
        <v>1.629726117626E12</v>
      </c>
      <c r="C2779" s="27" t="s">
        <v>3437</v>
      </c>
    </row>
    <row r="2780">
      <c r="A2780" s="27" t="s">
        <v>3080</v>
      </c>
      <c r="B2780" s="27">
        <v>1.629726159155E12</v>
      </c>
      <c r="C2780" s="27" t="s">
        <v>2359</v>
      </c>
    </row>
    <row r="2781">
      <c r="A2781" s="27" t="s">
        <v>3859</v>
      </c>
      <c r="B2781" s="27">
        <v>1.629727814806E12</v>
      </c>
      <c r="C2781" s="27" t="s">
        <v>3860</v>
      </c>
    </row>
    <row r="2782">
      <c r="A2782" s="27" t="s">
        <v>3861</v>
      </c>
      <c r="B2782" s="27">
        <v>1.629727823148E12</v>
      </c>
      <c r="C2782" s="27" t="s">
        <v>3860</v>
      </c>
    </row>
    <row r="2783">
      <c r="A2783" s="27" t="s">
        <v>3081</v>
      </c>
      <c r="B2783" s="27">
        <v>1.630369674271E12</v>
      </c>
      <c r="C2783" s="27" t="s">
        <v>3862</v>
      </c>
    </row>
    <row r="2784">
      <c r="A2784" s="27" t="s">
        <v>3863</v>
      </c>
      <c r="B2784" s="27">
        <v>1.630371162211E12</v>
      </c>
      <c r="C2784" s="27" t="s">
        <v>2359</v>
      </c>
    </row>
    <row r="2785">
      <c r="A2785" s="27" t="s">
        <v>3864</v>
      </c>
      <c r="B2785" s="27">
        <v>1.63037120774E12</v>
      </c>
      <c r="C2785" s="27" t="s">
        <v>2359</v>
      </c>
    </row>
    <row r="2786">
      <c r="A2786" s="27" t="s">
        <v>3865</v>
      </c>
      <c r="B2786" s="27">
        <v>1.632149131003E12</v>
      </c>
      <c r="C2786" s="27" t="s">
        <v>2359</v>
      </c>
    </row>
    <row r="2787">
      <c r="A2787" s="27" t="s">
        <v>3866</v>
      </c>
      <c r="B2787" s="27">
        <v>1.632938525133E12</v>
      </c>
      <c r="C2787" s="27" t="s">
        <v>2359</v>
      </c>
    </row>
    <row r="2788">
      <c r="A2788" s="27" t="s">
        <v>2395</v>
      </c>
      <c r="B2788" s="27">
        <v>1.634845754276E12</v>
      </c>
      <c r="C2788" s="27" t="s">
        <v>3867</v>
      </c>
    </row>
    <row r="2789">
      <c r="A2789" s="27" t="s">
        <v>2397</v>
      </c>
      <c r="B2789" s="27">
        <v>1.635956574926E12</v>
      </c>
      <c r="C2789" s="27" t="s">
        <v>3868</v>
      </c>
    </row>
    <row r="2790">
      <c r="A2790" s="27" t="s">
        <v>3253</v>
      </c>
      <c r="B2790" s="27">
        <v>1.635956592996E12</v>
      </c>
      <c r="C2790" s="27" t="s">
        <v>3869</v>
      </c>
    </row>
    <row r="2791">
      <c r="A2791" s="27" t="s">
        <v>2398</v>
      </c>
      <c r="B2791" s="27">
        <v>1.635956597983E12</v>
      </c>
      <c r="C2791" s="27" t="s">
        <v>3870</v>
      </c>
    </row>
    <row r="2792">
      <c r="A2792" s="27" t="s">
        <v>3871</v>
      </c>
      <c r="B2792" s="27">
        <v>1.636122379069E12</v>
      </c>
      <c r="C2792" s="27" t="s">
        <v>2437</v>
      </c>
    </row>
    <row r="2793">
      <c r="A2793" s="27" t="s">
        <v>3872</v>
      </c>
      <c r="B2793" s="27">
        <v>1.6370904393E12</v>
      </c>
      <c r="C2793" s="27" t="s">
        <v>2363</v>
      </c>
    </row>
    <row r="2794">
      <c r="A2794" s="27" t="s">
        <v>3873</v>
      </c>
      <c r="B2794" s="27">
        <v>1.637090501146E12</v>
      </c>
      <c r="C2794" s="27" t="s">
        <v>2361</v>
      </c>
    </row>
    <row r="2795">
      <c r="A2795" s="27" t="s">
        <v>3874</v>
      </c>
      <c r="B2795" s="27">
        <v>1.637682789024E12</v>
      </c>
      <c r="C2795" s="27" t="s">
        <v>2359</v>
      </c>
    </row>
    <row r="2796">
      <c r="A2796" s="27" t="s">
        <v>3048</v>
      </c>
      <c r="B2796" s="27">
        <v>1.639085736261E12</v>
      </c>
    </row>
    <row r="2797">
      <c r="A2797" s="27" t="s">
        <v>2400</v>
      </c>
      <c r="B2797" s="27">
        <v>1.639085807876E12</v>
      </c>
      <c r="C2797" s="27" t="s">
        <v>2394</v>
      </c>
    </row>
    <row r="2798">
      <c r="A2798" s="27" t="s">
        <v>3875</v>
      </c>
      <c r="B2798" s="27">
        <v>1.639422799417E12</v>
      </c>
      <c r="C2798" s="27" t="s">
        <v>2363</v>
      </c>
    </row>
    <row r="2799">
      <c r="A2799" s="27" t="s">
        <v>3876</v>
      </c>
      <c r="B2799" s="27">
        <v>1.641933886673E12</v>
      </c>
      <c r="C2799" s="27" t="s">
        <v>2359</v>
      </c>
    </row>
    <row r="2800">
      <c r="A2800" s="27" t="s">
        <v>3877</v>
      </c>
      <c r="B2800" s="27">
        <v>1.64425877092E12</v>
      </c>
      <c r="C2800" s="27" t="s">
        <v>2359</v>
      </c>
    </row>
    <row r="2801">
      <c r="A2801" s="27" t="s">
        <v>3878</v>
      </c>
      <c r="B2801" s="27">
        <v>1.644258777141E12</v>
      </c>
      <c r="C2801" s="27" t="s">
        <v>2359</v>
      </c>
    </row>
    <row r="2802">
      <c r="A2802" s="27" t="s">
        <v>3879</v>
      </c>
      <c r="B2802" s="27">
        <v>1.644258822428E12</v>
      </c>
      <c r="C2802" s="27" t="s">
        <v>2359</v>
      </c>
    </row>
    <row r="2803">
      <c r="A2803" s="27" t="s">
        <v>3880</v>
      </c>
      <c r="B2803" s="27">
        <v>1.644258839009E12</v>
      </c>
      <c r="C2803" s="27" t="s">
        <v>2359</v>
      </c>
    </row>
    <row r="2804">
      <c r="A2804" s="27" t="s">
        <v>3881</v>
      </c>
      <c r="B2804" s="27">
        <v>1.644258852971E12</v>
      </c>
      <c r="C2804" s="27" t="s">
        <v>2359</v>
      </c>
    </row>
    <row r="2805">
      <c r="A2805" s="27" t="s">
        <v>3882</v>
      </c>
      <c r="B2805" s="27">
        <v>1.644258868016E12</v>
      </c>
      <c r="C2805" s="27" t="s">
        <v>2359</v>
      </c>
    </row>
    <row r="2806">
      <c r="A2806" s="27" t="s">
        <v>3883</v>
      </c>
      <c r="B2806" s="27">
        <v>1.644258884424E12</v>
      </c>
      <c r="C2806" s="27" t="s">
        <v>2359</v>
      </c>
    </row>
    <row r="2807">
      <c r="A2807" s="27" t="s">
        <v>3884</v>
      </c>
      <c r="B2807" s="27">
        <v>1.644258895286E12</v>
      </c>
      <c r="C2807" s="27" t="s">
        <v>2359</v>
      </c>
    </row>
    <row r="2808">
      <c r="A2808" s="27" t="s">
        <v>3885</v>
      </c>
      <c r="B2808" s="27">
        <v>1.644258923159E12</v>
      </c>
      <c r="C2808" s="27" t="s">
        <v>2359</v>
      </c>
    </row>
    <row r="2809">
      <c r="A2809" s="27" t="s">
        <v>3886</v>
      </c>
      <c r="B2809" s="27">
        <v>1.644258979631E12</v>
      </c>
      <c r="C2809" s="27" t="s">
        <v>2359</v>
      </c>
    </row>
    <row r="2810">
      <c r="A2810" s="27" t="s">
        <v>3887</v>
      </c>
      <c r="B2810" s="27">
        <v>1.644258989378E12</v>
      </c>
      <c r="C2810" s="27" t="s">
        <v>2359</v>
      </c>
    </row>
    <row r="2811">
      <c r="A2811" s="27" t="s">
        <v>3888</v>
      </c>
      <c r="B2811" s="27">
        <v>1.644259023303E12</v>
      </c>
      <c r="C2811" s="27" t="s">
        <v>2359</v>
      </c>
    </row>
    <row r="2812">
      <c r="A2812" s="27" t="s">
        <v>3889</v>
      </c>
      <c r="B2812" s="27">
        <v>1.644259048756E12</v>
      </c>
      <c r="C2812" s="27" t="s">
        <v>2359</v>
      </c>
    </row>
    <row r="2813">
      <c r="A2813" s="27" t="s">
        <v>3890</v>
      </c>
      <c r="B2813" s="27">
        <v>1.644259059993E12</v>
      </c>
      <c r="C2813" s="27" t="s">
        <v>2359</v>
      </c>
    </row>
    <row r="2814">
      <c r="A2814" s="27" t="s">
        <v>3891</v>
      </c>
      <c r="B2814" s="27">
        <v>1.64425907182E12</v>
      </c>
      <c r="C2814" s="27" t="s">
        <v>2359</v>
      </c>
    </row>
    <row r="2815">
      <c r="A2815" s="27" t="s">
        <v>3892</v>
      </c>
      <c r="B2815" s="27">
        <v>1.644259088244E12</v>
      </c>
      <c r="C2815" s="27" t="s">
        <v>2359</v>
      </c>
    </row>
    <row r="2816">
      <c r="A2816" s="27" t="s">
        <v>3893</v>
      </c>
      <c r="B2816" s="27">
        <v>1.644259102328E12</v>
      </c>
      <c r="C2816" s="27" t="s">
        <v>2359</v>
      </c>
    </row>
    <row r="2817">
      <c r="A2817" s="27" t="s">
        <v>3894</v>
      </c>
      <c r="B2817" s="27">
        <v>1.644259122271E12</v>
      </c>
      <c r="C2817" s="27" t="s">
        <v>2359</v>
      </c>
    </row>
    <row r="2818">
      <c r="A2818" s="27" t="s">
        <v>2401</v>
      </c>
      <c r="B2818" s="27">
        <v>1.645629782262E12</v>
      </c>
      <c r="C2818" s="27" t="s">
        <v>3895</v>
      </c>
    </row>
    <row r="2819">
      <c r="A2819" s="27" t="s">
        <v>2403</v>
      </c>
      <c r="B2819" s="27">
        <v>1.650295261109E12</v>
      </c>
      <c r="C2819" s="27" t="s">
        <v>3896</v>
      </c>
    </row>
    <row r="2820">
      <c r="A2820" s="27" t="s">
        <v>2405</v>
      </c>
      <c r="B2820" s="27">
        <v>1.650295282448E12</v>
      </c>
      <c r="C2820" s="27" t="s">
        <v>3897</v>
      </c>
    </row>
    <row r="2821">
      <c r="A2821" s="27" t="s">
        <v>2772</v>
      </c>
      <c r="B2821" s="27">
        <v>1.650298908518E12</v>
      </c>
      <c r="C2821" s="27" t="s">
        <v>3898</v>
      </c>
    </row>
    <row r="2822">
      <c r="A2822" s="27" t="s">
        <v>3145</v>
      </c>
      <c r="B2822" s="27">
        <v>1.650299083874E12</v>
      </c>
      <c r="C2822" s="27" t="s">
        <v>3899</v>
      </c>
    </row>
    <row r="2823">
      <c r="A2823" s="27" t="s">
        <v>2406</v>
      </c>
      <c r="B2823" s="27">
        <v>1.650301031879E12</v>
      </c>
      <c r="C2823" s="27" t="s">
        <v>3900</v>
      </c>
    </row>
    <row r="2824">
      <c r="A2824" s="27" t="s">
        <v>2408</v>
      </c>
      <c r="B2824" s="27">
        <v>1.650302269777E12</v>
      </c>
      <c r="C2824" s="27" t="s">
        <v>3901</v>
      </c>
    </row>
    <row r="2825">
      <c r="A2825" s="27" t="s">
        <v>3373</v>
      </c>
      <c r="B2825" s="27">
        <v>1.650302273911E12</v>
      </c>
      <c r="C2825" s="27" t="s">
        <v>2451</v>
      </c>
    </row>
    <row r="2826">
      <c r="A2826" s="27" t="s">
        <v>3902</v>
      </c>
      <c r="B2826" s="27">
        <v>1.650477967885E12</v>
      </c>
      <c r="C2826" s="27" t="s">
        <v>2359</v>
      </c>
    </row>
    <row r="2827">
      <c r="A2827" s="27" t="s">
        <v>3903</v>
      </c>
      <c r="B2827" s="27">
        <v>1.650478008436E12</v>
      </c>
      <c r="C2827" s="27" t="s">
        <v>2359</v>
      </c>
    </row>
    <row r="2828">
      <c r="A2828" s="27" t="s">
        <v>3904</v>
      </c>
      <c r="B2828" s="27">
        <v>1.650478021227E12</v>
      </c>
      <c r="C2828" s="27" t="s">
        <v>2359</v>
      </c>
    </row>
    <row r="2829">
      <c r="A2829" s="27" t="s">
        <v>3905</v>
      </c>
      <c r="B2829" s="27">
        <v>1.65047803451E12</v>
      </c>
      <c r="C2829" s="27" t="s">
        <v>2359</v>
      </c>
    </row>
    <row r="2830">
      <c r="A2830" s="27" t="s">
        <v>3906</v>
      </c>
      <c r="B2830" s="27">
        <v>1.650478050242E12</v>
      </c>
      <c r="C2830" s="27" t="s">
        <v>2359</v>
      </c>
    </row>
    <row r="2831">
      <c r="A2831" s="27" t="s">
        <v>3907</v>
      </c>
      <c r="B2831" s="27">
        <v>1.650478089929E12</v>
      </c>
      <c r="C2831" s="27" t="s">
        <v>2359</v>
      </c>
    </row>
    <row r="2832">
      <c r="A2832" s="27" t="s">
        <v>3908</v>
      </c>
      <c r="B2832" s="27">
        <v>1.650478100917E12</v>
      </c>
      <c r="C2832" s="27" t="s">
        <v>2359</v>
      </c>
    </row>
    <row r="2833">
      <c r="A2833" s="27" t="s">
        <v>3909</v>
      </c>
      <c r="B2833" s="27">
        <v>1.650478111691E12</v>
      </c>
      <c r="C2833" s="27" t="s">
        <v>2359</v>
      </c>
    </row>
    <row r="2834">
      <c r="A2834" s="27" t="s">
        <v>3910</v>
      </c>
      <c r="B2834" s="27">
        <v>1.650478123588E12</v>
      </c>
      <c r="C2834" s="27" t="s">
        <v>2359</v>
      </c>
    </row>
    <row r="2835">
      <c r="A2835" s="27" t="s">
        <v>3911</v>
      </c>
      <c r="B2835" s="27">
        <v>1.650478146139E12</v>
      </c>
      <c r="C2835" s="27" t="s">
        <v>2359</v>
      </c>
    </row>
    <row r="2836">
      <c r="A2836" s="27" t="s">
        <v>3912</v>
      </c>
      <c r="B2836" s="27">
        <v>1.65047815776E12</v>
      </c>
      <c r="C2836" s="27" t="s">
        <v>2359</v>
      </c>
    </row>
    <row r="2837">
      <c r="A2837" s="27" t="s">
        <v>3913</v>
      </c>
      <c r="B2837" s="27">
        <v>1.650478169323E12</v>
      </c>
      <c r="C2837" s="27" t="s">
        <v>2359</v>
      </c>
    </row>
    <row r="2838">
      <c r="A2838" s="27" t="s">
        <v>3914</v>
      </c>
      <c r="B2838" s="27">
        <v>1.650478206093E12</v>
      </c>
      <c r="C2838" s="27" t="s">
        <v>2359</v>
      </c>
    </row>
    <row r="2839">
      <c r="A2839" s="27" t="s">
        <v>3915</v>
      </c>
      <c r="B2839" s="27">
        <v>1.650478249084E12</v>
      </c>
      <c r="C2839" s="27" t="s">
        <v>2359</v>
      </c>
    </row>
    <row r="2840">
      <c r="A2840" s="27" t="s">
        <v>3916</v>
      </c>
      <c r="B2840" s="27">
        <v>1.650478277346E12</v>
      </c>
      <c r="C2840" s="27" t="s">
        <v>2359</v>
      </c>
    </row>
    <row r="2841">
      <c r="A2841" s="27" t="s">
        <v>3917</v>
      </c>
      <c r="B2841" s="27">
        <v>1.65047829052E12</v>
      </c>
      <c r="C2841" s="27" t="s">
        <v>2359</v>
      </c>
    </row>
    <row r="2842">
      <c r="A2842" s="27" t="s">
        <v>3918</v>
      </c>
      <c r="B2842" s="27">
        <v>1.650478301588E12</v>
      </c>
      <c r="C2842" s="27" t="s">
        <v>2359</v>
      </c>
    </row>
    <row r="2843">
      <c r="A2843" s="27" t="s">
        <v>3919</v>
      </c>
      <c r="B2843" s="27">
        <v>1.650478333611E12</v>
      </c>
      <c r="C2843" s="27" t="s">
        <v>2359</v>
      </c>
    </row>
    <row r="2844">
      <c r="A2844" s="27" t="s">
        <v>3920</v>
      </c>
      <c r="B2844" s="27">
        <v>1.651602983648E12</v>
      </c>
      <c r="C2844" s="27" t="s">
        <v>2776</v>
      </c>
    </row>
    <row r="2845">
      <c r="A2845" s="27" t="s">
        <v>3921</v>
      </c>
      <c r="B2845" s="27">
        <v>1.651603020408E12</v>
      </c>
      <c r="C2845" s="27" t="s">
        <v>2365</v>
      </c>
    </row>
    <row r="2846">
      <c r="A2846" s="27" t="s">
        <v>2410</v>
      </c>
      <c r="B2846" s="27">
        <v>1.652825027456E12</v>
      </c>
      <c r="C2846" s="27" t="s">
        <v>3922</v>
      </c>
    </row>
    <row r="2847">
      <c r="A2847" s="27" t="s">
        <v>3433</v>
      </c>
      <c r="B2847" s="27">
        <v>1.652825203439E12</v>
      </c>
      <c r="C2847" s="27" t="s">
        <v>3923</v>
      </c>
    </row>
    <row r="2848">
      <c r="A2848" s="27" t="s">
        <v>2736</v>
      </c>
      <c r="B2848" s="27">
        <v>1.652825295706E12</v>
      </c>
      <c r="C2848" s="27" t="s">
        <v>3924</v>
      </c>
    </row>
    <row r="2849">
      <c r="A2849" s="27" t="s">
        <v>3925</v>
      </c>
      <c r="B2849" s="27">
        <v>1.653404584202E12</v>
      </c>
      <c r="C2849" s="27" t="s">
        <v>2359</v>
      </c>
    </row>
    <row r="2850">
      <c r="A2850" s="27" t="s">
        <v>3926</v>
      </c>
      <c r="B2850" s="27">
        <v>1.653404596846E12</v>
      </c>
      <c r="C2850" s="27" t="s">
        <v>2359</v>
      </c>
    </row>
    <row r="2851">
      <c r="A2851" s="27" t="s">
        <v>3927</v>
      </c>
      <c r="B2851" s="27">
        <v>1.653404613464E12</v>
      </c>
      <c r="C2851" s="27" t="s">
        <v>2359</v>
      </c>
    </row>
    <row r="2852">
      <c r="A2852" s="27" t="s">
        <v>3928</v>
      </c>
      <c r="B2852" s="27">
        <v>1.653404633176E12</v>
      </c>
      <c r="C2852" s="27" t="s">
        <v>2359</v>
      </c>
    </row>
    <row r="2853">
      <c r="A2853" s="27" t="s">
        <v>3929</v>
      </c>
      <c r="B2853" s="27">
        <v>1.653404646981E12</v>
      </c>
      <c r="C2853" s="27" t="s">
        <v>2359</v>
      </c>
    </row>
    <row r="2854">
      <c r="A2854" s="27" t="s">
        <v>3930</v>
      </c>
      <c r="B2854" s="27">
        <v>1.653404660401E12</v>
      </c>
      <c r="C2854" s="27" t="s">
        <v>2359</v>
      </c>
    </row>
    <row r="2855">
      <c r="A2855" s="27" t="s">
        <v>3931</v>
      </c>
      <c r="B2855" s="27">
        <v>1.653404672596E12</v>
      </c>
      <c r="C2855" s="27" t="s">
        <v>2359</v>
      </c>
    </row>
    <row r="2856">
      <c r="A2856" s="27" t="s">
        <v>3932</v>
      </c>
      <c r="B2856" s="27">
        <v>1.653404687721E12</v>
      </c>
      <c r="C2856" s="27" t="s">
        <v>2359</v>
      </c>
    </row>
    <row r="2857">
      <c r="A2857" s="27" t="s">
        <v>3933</v>
      </c>
      <c r="B2857" s="27">
        <v>1.653404698359E12</v>
      </c>
      <c r="C2857" s="27" t="s">
        <v>2359</v>
      </c>
    </row>
    <row r="2858">
      <c r="A2858" s="27" t="s">
        <v>3934</v>
      </c>
      <c r="B2858" s="27">
        <v>1.653404709747E12</v>
      </c>
      <c r="C2858" s="27" t="s">
        <v>2359</v>
      </c>
    </row>
    <row r="2859">
      <c r="A2859" s="27" t="s">
        <v>3935</v>
      </c>
      <c r="B2859" s="27">
        <v>1.653404720633E12</v>
      </c>
      <c r="C2859" s="27" t="s">
        <v>2359</v>
      </c>
    </row>
    <row r="2860">
      <c r="A2860" s="27" t="s">
        <v>3936</v>
      </c>
      <c r="B2860" s="27">
        <v>1.653404731061E12</v>
      </c>
      <c r="C2860" s="27" t="s">
        <v>2359</v>
      </c>
    </row>
    <row r="2861">
      <c r="A2861" s="27" t="s">
        <v>3937</v>
      </c>
      <c r="B2861" s="27">
        <v>1.653404741817E12</v>
      </c>
      <c r="C2861" s="27" t="s">
        <v>2359</v>
      </c>
    </row>
    <row r="2862">
      <c r="A2862" s="27" t="s">
        <v>2412</v>
      </c>
      <c r="B2862" s="27">
        <v>1.654189048611E12</v>
      </c>
      <c r="C2862" s="27" t="s">
        <v>3938</v>
      </c>
    </row>
    <row r="2863">
      <c r="A2863" s="27" t="s">
        <v>2414</v>
      </c>
      <c r="B2863" s="27">
        <v>1.654189204021E12</v>
      </c>
      <c r="C2863" s="27" t="s">
        <v>3849</v>
      </c>
    </row>
    <row r="2864">
      <c r="A2864" s="27" t="s">
        <v>2415</v>
      </c>
      <c r="B2864" s="27">
        <v>1.654207295633E12</v>
      </c>
      <c r="C2864" s="27" t="s">
        <v>3939</v>
      </c>
    </row>
    <row r="2865">
      <c r="A2865" s="27" t="s">
        <v>2417</v>
      </c>
      <c r="B2865" s="27">
        <v>1.654207307551E12</v>
      </c>
      <c r="C2865" s="27" t="s">
        <v>3827</v>
      </c>
    </row>
    <row r="2866">
      <c r="A2866" s="27" t="s">
        <v>2418</v>
      </c>
      <c r="B2866" s="27">
        <v>1.654207333519E12</v>
      </c>
      <c r="C2866" s="27" t="s">
        <v>3940</v>
      </c>
    </row>
    <row r="2867">
      <c r="A2867" s="27" t="s">
        <v>2777</v>
      </c>
      <c r="B2867" s="27">
        <v>1.654207352499E12</v>
      </c>
      <c r="C2867" s="27" t="s">
        <v>2402</v>
      </c>
    </row>
    <row r="2868">
      <c r="A2868" s="27" t="s">
        <v>2420</v>
      </c>
      <c r="B2868" s="27">
        <v>1.654207372101E12</v>
      </c>
      <c r="C2868" s="27" t="s">
        <v>3806</v>
      </c>
    </row>
    <row r="2869">
      <c r="A2869" s="27" t="s">
        <v>2778</v>
      </c>
      <c r="B2869" s="27">
        <v>1.65420774834E12</v>
      </c>
      <c r="C2869" s="27" t="s">
        <v>3941</v>
      </c>
    </row>
    <row r="2870">
      <c r="A2870" s="27" t="s">
        <v>2422</v>
      </c>
      <c r="B2870" s="27">
        <v>1.656603353038E12</v>
      </c>
      <c r="C2870" s="27" t="s">
        <v>3942</v>
      </c>
    </row>
    <row r="2871">
      <c r="A2871" s="27" t="s">
        <v>3943</v>
      </c>
      <c r="B2871" s="27">
        <v>1.656617537266E12</v>
      </c>
      <c r="C2871" s="27" t="s">
        <v>2359</v>
      </c>
    </row>
    <row r="2872">
      <c r="A2872" s="27" t="s">
        <v>3944</v>
      </c>
      <c r="B2872" s="27">
        <v>1.656617557771E12</v>
      </c>
      <c r="C2872" s="27" t="s">
        <v>2359</v>
      </c>
    </row>
    <row r="2873">
      <c r="A2873" s="27" t="s">
        <v>3945</v>
      </c>
      <c r="B2873" s="27">
        <v>1.656617655162E12</v>
      </c>
      <c r="C2873" s="27" t="s">
        <v>2359</v>
      </c>
    </row>
    <row r="2874">
      <c r="A2874" s="27" t="s">
        <v>3946</v>
      </c>
      <c r="B2874" s="27">
        <v>1.656617666249E12</v>
      </c>
      <c r="C2874" s="27" t="s">
        <v>2359</v>
      </c>
    </row>
    <row r="2875">
      <c r="A2875" s="27" t="s">
        <v>2780</v>
      </c>
      <c r="B2875" s="27">
        <v>1.657222641841E12</v>
      </c>
      <c r="C2875" s="27" t="s">
        <v>3947</v>
      </c>
    </row>
    <row r="2876">
      <c r="A2876" s="27" t="s">
        <v>2781</v>
      </c>
      <c r="B2876" s="27">
        <v>1.658269683485E12</v>
      </c>
      <c r="C2876" s="27" t="s">
        <v>3948</v>
      </c>
    </row>
    <row r="2877">
      <c r="A2877" s="27" t="s">
        <v>3256</v>
      </c>
      <c r="B2877" s="27">
        <v>1.658329968514E12</v>
      </c>
      <c r="C2877" s="27" t="s">
        <v>3949</v>
      </c>
    </row>
    <row r="2878">
      <c r="A2878" s="27" t="s">
        <v>3950</v>
      </c>
      <c r="B2878" s="27">
        <v>1.658434022703E12</v>
      </c>
      <c r="C2878" s="27" t="s">
        <v>2462</v>
      </c>
    </row>
    <row r="2879">
      <c r="A2879" s="27" t="s">
        <v>3951</v>
      </c>
      <c r="B2879" s="27">
        <v>1.658434052995E12</v>
      </c>
      <c r="C2879" s="27" t="s">
        <v>2359</v>
      </c>
    </row>
    <row r="2880">
      <c r="A2880" s="27" t="s">
        <v>3952</v>
      </c>
      <c r="B2880" s="27">
        <v>1.658436173706E12</v>
      </c>
      <c r="C2880" s="27" t="s">
        <v>2359</v>
      </c>
    </row>
    <row r="2881">
      <c r="A2881" s="27" t="s">
        <v>3953</v>
      </c>
      <c r="B2881" s="27">
        <v>1.658436211628E12</v>
      </c>
      <c r="C2881" s="27" t="s">
        <v>2359</v>
      </c>
    </row>
    <row r="2882">
      <c r="A2882" s="27" t="s">
        <v>2783</v>
      </c>
      <c r="B2882" s="27">
        <v>1.658525816907E12</v>
      </c>
      <c r="C2882" s="27" t="s">
        <v>2451</v>
      </c>
    </row>
    <row r="2883">
      <c r="A2883" s="27" t="s">
        <v>3954</v>
      </c>
      <c r="B2883" s="27">
        <v>1.659132834108E12</v>
      </c>
      <c r="C2883" s="27" t="s">
        <v>2380</v>
      </c>
    </row>
    <row r="2884">
      <c r="A2884" s="27" t="s">
        <v>3955</v>
      </c>
      <c r="B2884" s="27">
        <v>1.659987555067E12</v>
      </c>
      <c r="C2884" s="27" t="s">
        <v>2394</v>
      </c>
    </row>
    <row r="2885">
      <c r="A2885" s="27" t="s">
        <v>3956</v>
      </c>
      <c r="B2885" s="27">
        <v>1.659987577541E12</v>
      </c>
      <c r="C2885" s="27" t="s">
        <v>2402</v>
      </c>
    </row>
    <row r="2886">
      <c r="A2886" s="27" t="s">
        <v>2784</v>
      </c>
      <c r="B2886" s="27">
        <v>1.659989549286E12</v>
      </c>
      <c r="C2886" s="27" t="s">
        <v>2432</v>
      </c>
    </row>
    <row r="2887">
      <c r="A2887" s="27" t="s">
        <v>2786</v>
      </c>
      <c r="B2887" s="27">
        <v>1.659990725288E12</v>
      </c>
      <c r="C2887" s="27" t="s">
        <v>2404</v>
      </c>
    </row>
    <row r="2888">
      <c r="A2888" s="27" t="s">
        <v>3084</v>
      </c>
      <c r="B2888" s="27">
        <v>1.659990788079E12</v>
      </c>
      <c r="C2888" s="27" t="s">
        <v>3957</v>
      </c>
    </row>
    <row r="2889">
      <c r="A2889" s="27" t="s">
        <v>3085</v>
      </c>
      <c r="B2889" s="27">
        <v>1.65999080731E12</v>
      </c>
      <c r="C2889" s="27" t="s">
        <v>3858</v>
      </c>
    </row>
    <row r="2890">
      <c r="A2890" s="27" t="s">
        <v>3086</v>
      </c>
      <c r="B2890" s="27">
        <v>1.659990828178E12</v>
      </c>
      <c r="C2890" s="27" t="s">
        <v>3958</v>
      </c>
    </row>
    <row r="2891">
      <c r="A2891" s="27" t="s">
        <v>2787</v>
      </c>
      <c r="B2891" s="27">
        <v>1.659991379695E12</v>
      </c>
      <c r="C2891" s="27" t="s">
        <v>2451</v>
      </c>
    </row>
    <row r="2892">
      <c r="A2892" s="27" t="s">
        <v>2788</v>
      </c>
      <c r="B2892" s="27">
        <v>1.659991481176E12</v>
      </c>
      <c r="C2892" s="27" t="s">
        <v>3959</v>
      </c>
    </row>
    <row r="2893">
      <c r="A2893" s="27" t="s">
        <v>2423</v>
      </c>
      <c r="B2893" s="27">
        <v>1.659991971809E12</v>
      </c>
      <c r="C2893" s="27" t="s">
        <v>2751</v>
      </c>
    </row>
    <row r="2894">
      <c r="A2894" s="27" t="s">
        <v>2424</v>
      </c>
      <c r="B2894" s="27">
        <v>1.659991999728E12</v>
      </c>
      <c r="C2894" s="27" t="s">
        <v>3960</v>
      </c>
    </row>
    <row r="2895">
      <c r="A2895" s="27" t="s">
        <v>2425</v>
      </c>
      <c r="B2895" s="27">
        <v>1.659999392257E12</v>
      </c>
      <c r="C2895" s="27" t="s">
        <v>3961</v>
      </c>
    </row>
    <row r="2896">
      <c r="A2896" s="27" t="s">
        <v>2427</v>
      </c>
      <c r="B2896" s="27">
        <v>1.659999410637E12</v>
      </c>
      <c r="C2896" s="27" t="s">
        <v>2752</v>
      </c>
    </row>
    <row r="2897">
      <c r="A2897" s="27" t="s">
        <v>3962</v>
      </c>
      <c r="B2897" s="27">
        <v>1.660825216719E12</v>
      </c>
      <c r="C2897" s="27" t="s">
        <v>2359</v>
      </c>
    </row>
    <row r="2898">
      <c r="A2898" s="27" t="s">
        <v>3963</v>
      </c>
      <c r="B2898" s="27">
        <v>1.660825229924E12</v>
      </c>
      <c r="C2898" s="27" t="s">
        <v>2359</v>
      </c>
    </row>
    <row r="2899">
      <c r="A2899" s="27" t="s">
        <v>2428</v>
      </c>
      <c r="B2899" s="27">
        <v>1.660857914743E12</v>
      </c>
      <c r="C2899" s="27" t="s">
        <v>2759</v>
      </c>
    </row>
    <row r="2900">
      <c r="A2900" s="27" t="s">
        <v>2429</v>
      </c>
      <c r="B2900" s="27">
        <v>1.66085796352E12</v>
      </c>
      <c r="C2900" s="27" t="s">
        <v>3964</v>
      </c>
    </row>
    <row r="2901">
      <c r="A2901" s="27" t="s">
        <v>3146</v>
      </c>
      <c r="B2901" s="27">
        <v>1.660858025311E12</v>
      </c>
      <c r="C2901" s="27" t="s">
        <v>3965</v>
      </c>
    </row>
    <row r="2902">
      <c r="A2902" s="27" t="s">
        <v>2430</v>
      </c>
      <c r="B2902" s="27">
        <v>1.660858101318E12</v>
      </c>
      <c r="C2902" s="27" t="s">
        <v>3966</v>
      </c>
    </row>
    <row r="2903">
      <c r="A2903" s="27" t="s">
        <v>2431</v>
      </c>
      <c r="B2903" s="27">
        <v>1.660858118518E12</v>
      </c>
      <c r="C2903" s="27" t="s">
        <v>3967</v>
      </c>
    </row>
    <row r="2904">
      <c r="A2904" s="27" t="s">
        <v>3147</v>
      </c>
      <c r="B2904" s="27">
        <v>1.660858118518E12</v>
      </c>
      <c r="C2904" s="27" t="s">
        <v>3968</v>
      </c>
    </row>
    <row r="2905">
      <c r="A2905" s="27" t="s">
        <v>3490</v>
      </c>
      <c r="B2905" s="27">
        <v>1.660858266475E12</v>
      </c>
      <c r="C2905" s="27" t="s">
        <v>2447</v>
      </c>
    </row>
    <row r="2906">
      <c r="A2906" s="27" t="s">
        <v>2433</v>
      </c>
      <c r="B2906" s="27">
        <v>1.660858341796E12</v>
      </c>
      <c r="C2906" s="27" t="s">
        <v>3969</v>
      </c>
    </row>
    <row r="2907">
      <c r="A2907" s="27" t="s">
        <v>2434</v>
      </c>
      <c r="B2907" s="27">
        <v>1.660858356962E12</v>
      </c>
      <c r="C2907" s="27" t="s">
        <v>3970</v>
      </c>
    </row>
    <row r="2908">
      <c r="A2908" s="27" t="s">
        <v>2436</v>
      </c>
      <c r="B2908" s="27">
        <v>1.660858416606E12</v>
      </c>
      <c r="C2908" s="27" t="s">
        <v>2409</v>
      </c>
    </row>
    <row r="2909">
      <c r="A2909" s="27" t="s">
        <v>2438</v>
      </c>
      <c r="B2909" s="27">
        <v>1.6608587024E12</v>
      </c>
      <c r="C2909" s="27" t="s">
        <v>3971</v>
      </c>
    </row>
    <row r="2910">
      <c r="A2910" s="27" t="s">
        <v>2440</v>
      </c>
      <c r="B2910" s="27">
        <v>1.660858756233E12</v>
      </c>
      <c r="C2910" s="27" t="s">
        <v>2579</v>
      </c>
    </row>
    <row r="2911">
      <c r="A2911" s="27" t="s">
        <v>2442</v>
      </c>
      <c r="B2911" s="27">
        <v>1.660858776726E12</v>
      </c>
      <c r="C2911" s="27" t="s">
        <v>3972</v>
      </c>
    </row>
    <row r="2912">
      <c r="A2912" s="27" t="s">
        <v>2443</v>
      </c>
      <c r="B2912" s="27">
        <v>1.660858793429E12</v>
      </c>
      <c r="C2912" s="27" t="s">
        <v>2751</v>
      </c>
    </row>
    <row r="2913">
      <c r="A2913" s="27" t="s">
        <v>2444</v>
      </c>
      <c r="B2913" s="27">
        <v>1.660858812938E12</v>
      </c>
      <c r="C2913" s="27" t="s">
        <v>2441</v>
      </c>
    </row>
    <row r="2914">
      <c r="A2914" s="27" t="s">
        <v>2445</v>
      </c>
      <c r="B2914" s="27">
        <v>1.660858828618E12</v>
      </c>
      <c r="C2914" s="27" t="s">
        <v>3964</v>
      </c>
    </row>
    <row r="2915">
      <c r="A2915" s="27" t="s">
        <v>2446</v>
      </c>
      <c r="B2915" s="27">
        <v>1.660858844449E12</v>
      </c>
      <c r="C2915" s="27" t="s">
        <v>3251</v>
      </c>
    </row>
    <row r="2916">
      <c r="A2916" s="27" t="s">
        <v>3148</v>
      </c>
      <c r="B2916" s="27">
        <v>1.660859102915E12</v>
      </c>
      <c r="C2916" s="27" t="s">
        <v>3973</v>
      </c>
    </row>
    <row r="2917">
      <c r="A2917" s="27" t="s">
        <v>2448</v>
      </c>
      <c r="B2917" s="27">
        <v>1.660859171584E12</v>
      </c>
      <c r="C2917" s="27" t="s">
        <v>3974</v>
      </c>
    </row>
    <row r="2918">
      <c r="A2918" s="27" t="s">
        <v>2794</v>
      </c>
      <c r="B2918" s="27">
        <v>1.660859287583E12</v>
      </c>
      <c r="C2918" s="27" t="s">
        <v>2392</v>
      </c>
    </row>
    <row r="2919">
      <c r="A2919" s="27" t="s">
        <v>3088</v>
      </c>
      <c r="B2919" s="27">
        <v>1.660859424566E12</v>
      </c>
      <c r="C2919" s="27" t="s">
        <v>2394</v>
      </c>
    </row>
    <row r="2920">
      <c r="A2920" s="27" t="s">
        <v>3089</v>
      </c>
      <c r="B2920" s="27">
        <v>1.661872713289E12</v>
      </c>
      <c r="C2920" s="27" t="s">
        <v>2396</v>
      </c>
    </row>
    <row r="2921">
      <c r="A2921" s="27" t="s">
        <v>2449</v>
      </c>
      <c r="B2921" s="27">
        <v>1.661872956577E12</v>
      </c>
      <c r="C2921" s="27" t="s">
        <v>3975</v>
      </c>
    </row>
    <row r="2922">
      <c r="A2922" s="27" t="s">
        <v>2798</v>
      </c>
      <c r="B2922" s="27">
        <v>1.66187377951E12</v>
      </c>
      <c r="C2922" s="27" t="s">
        <v>2359</v>
      </c>
    </row>
    <row r="2923">
      <c r="A2923" s="27" t="s">
        <v>2450</v>
      </c>
      <c r="B2923" s="27">
        <v>1.661873799978E12</v>
      </c>
      <c r="C2923" s="27" t="s">
        <v>3900</v>
      </c>
    </row>
    <row r="2924">
      <c r="A2924" s="27" t="s">
        <v>3235</v>
      </c>
      <c r="B2924" s="27">
        <v>1.661873818029E12</v>
      </c>
      <c r="C2924" s="27" t="s">
        <v>3976</v>
      </c>
    </row>
    <row r="2925">
      <c r="A2925" s="27" t="s">
        <v>3491</v>
      </c>
      <c r="B2925" s="27">
        <v>1.661877043628E12</v>
      </c>
      <c r="C2925" s="27" t="s">
        <v>2451</v>
      </c>
    </row>
    <row r="2926">
      <c r="A2926" s="27" t="s">
        <v>3977</v>
      </c>
      <c r="B2926" s="27">
        <v>1.661877072053E12</v>
      </c>
      <c r="C2926" s="27" t="s">
        <v>2380</v>
      </c>
    </row>
    <row r="2927">
      <c r="A2927" s="27" t="s">
        <v>3090</v>
      </c>
      <c r="B2927" s="27">
        <v>1.661894945281E12</v>
      </c>
      <c r="C2927" s="27" t="s">
        <v>2380</v>
      </c>
    </row>
    <row r="2928">
      <c r="A2928" s="27" t="s">
        <v>3978</v>
      </c>
      <c r="B2928" s="27">
        <v>1.661894977439E12</v>
      </c>
      <c r="C2928" s="27" t="s">
        <v>2441</v>
      </c>
    </row>
    <row r="2929">
      <c r="A2929" s="27" t="s">
        <v>2799</v>
      </c>
      <c r="B2929" s="27">
        <v>1.662389376894E12</v>
      </c>
      <c r="C2929" s="27" t="s">
        <v>3979</v>
      </c>
    </row>
    <row r="2930">
      <c r="A2930" s="27" t="s">
        <v>3980</v>
      </c>
      <c r="B2930" s="27">
        <v>1.662389430959E12</v>
      </c>
      <c r="C2930" s="27" t="s">
        <v>2399</v>
      </c>
    </row>
    <row r="2931">
      <c r="A2931" s="27" t="s">
        <v>3981</v>
      </c>
      <c r="B2931" s="27" t="s">
        <v>3982</v>
      </c>
      <c r="C2931" s="27" t="s">
        <v>2361</v>
      </c>
    </row>
    <row r="2932">
      <c r="A2932" s="27" t="s">
        <v>2800</v>
      </c>
      <c r="B2932" s="27">
        <v>1700887.0</v>
      </c>
      <c r="C2932" s="27" t="s">
        <v>2437</v>
      </c>
    </row>
    <row r="2933">
      <c r="A2933" s="27" t="s">
        <v>2801</v>
      </c>
      <c r="B2933" s="27">
        <v>1709226.0</v>
      </c>
      <c r="C2933" s="27" t="s">
        <v>2359</v>
      </c>
    </row>
    <row r="2934">
      <c r="A2934" s="27" t="s">
        <v>2802</v>
      </c>
      <c r="B2934" s="27">
        <v>1720434.0</v>
      </c>
      <c r="C2934" s="27" t="s">
        <v>2359</v>
      </c>
    </row>
    <row r="2935">
      <c r="A2935" s="27" t="s">
        <v>3983</v>
      </c>
      <c r="B2935" s="27">
        <v>1722782.0</v>
      </c>
      <c r="C2935" s="27" t="s">
        <v>2363</v>
      </c>
    </row>
    <row r="2936">
      <c r="A2936" s="27" t="s">
        <v>3984</v>
      </c>
      <c r="B2936" s="27" t="s">
        <v>3985</v>
      </c>
      <c r="C2936" s="27" t="s">
        <v>2451</v>
      </c>
    </row>
    <row r="2937">
      <c r="A2937" s="27" t="s">
        <v>3986</v>
      </c>
      <c r="B2937" s="27" t="s">
        <v>3987</v>
      </c>
      <c r="C2937" s="27" t="s">
        <v>2361</v>
      </c>
    </row>
    <row r="2938">
      <c r="A2938" s="27" t="s">
        <v>3988</v>
      </c>
      <c r="B2938" s="27">
        <v>172476.0</v>
      </c>
      <c r="C2938" s="27" t="s">
        <v>2451</v>
      </c>
    </row>
    <row r="2939">
      <c r="A2939" s="27" t="s">
        <v>3989</v>
      </c>
      <c r="B2939" s="27">
        <v>172496.0</v>
      </c>
      <c r="C2939" s="27" t="s">
        <v>2441</v>
      </c>
    </row>
    <row r="2940">
      <c r="A2940" s="27" t="s">
        <v>3990</v>
      </c>
      <c r="B2940" s="27">
        <v>176926.0</v>
      </c>
      <c r="C2940" s="27" t="s">
        <v>2451</v>
      </c>
    </row>
    <row r="2941">
      <c r="A2941" s="27" t="s">
        <v>3991</v>
      </c>
      <c r="B2941" s="27">
        <v>178520.0</v>
      </c>
      <c r="C2941" s="27" t="s">
        <v>2462</v>
      </c>
    </row>
    <row r="2942">
      <c r="A2942" s="27" t="s">
        <v>3992</v>
      </c>
      <c r="B2942" s="27">
        <v>178603.0</v>
      </c>
      <c r="C2942" s="27" t="s">
        <v>2361</v>
      </c>
    </row>
    <row r="2943">
      <c r="A2943" s="27" t="s">
        <v>3374</v>
      </c>
      <c r="B2943" s="27">
        <v>179073.0</v>
      </c>
      <c r="C2943" s="27" t="s">
        <v>2441</v>
      </c>
    </row>
    <row r="2944">
      <c r="A2944" s="27" t="s">
        <v>3993</v>
      </c>
      <c r="B2944" s="27">
        <v>179106.0</v>
      </c>
      <c r="C2944" s="27" t="s">
        <v>2363</v>
      </c>
    </row>
    <row r="2945">
      <c r="A2945" s="27" t="s">
        <v>3375</v>
      </c>
      <c r="B2945" s="27" t="s">
        <v>3376</v>
      </c>
      <c r="C2945" s="27" t="s">
        <v>2359</v>
      </c>
    </row>
    <row r="2946">
      <c r="A2946" s="27" t="s">
        <v>3092</v>
      </c>
      <c r="B2946" s="27">
        <v>1796402.0</v>
      </c>
      <c r="C2946" s="27" t="s">
        <v>2359</v>
      </c>
    </row>
    <row r="2947">
      <c r="A2947" s="27" t="s">
        <v>3994</v>
      </c>
      <c r="B2947" s="27">
        <v>1.80000115086E11</v>
      </c>
      <c r="C2947" s="27" t="s">
        <v>2363</v>
      </c>
    </row>
    <row r="2948">
      <c r="A2948" s="27" t="s">
        <v>3995</v>
      </c>
      <c r="B2948" s="27">
        <v>1801080.0</v>
      </c>
      <c r="C2948" s="27" t="s">
        <v>2359</v>
      </c>
    </row>
    <row r="2949">
      <c r="A2949" s="27" t="s">
        <v>3996</v>
      </c>
      <c r="B2949" s="27">
        <v>185017.0</v>
      </c>
      <c r="C2949" s="27" t="s">
        <v>2363</v>
      </c>
    </row>
    <row r="2950">
      <c r="A2950" s="27" t="s">
        <v>2452</v>
      </c>
      <c r="B2950" s="27">
        <v>186296.0</v>
      </c>
      <c r="C2950" s="27" t="s">
        <v>2409</v>
      </c>
    </row>
    <row r="2951">
      <c r="A2951" s="27" t="s">
        <v>3997</v>
      </c>
      <c r="B2951" s="27">
        <v>188455.0</v>
      </c>
      <c r="C2951" s="27" t="s">
        <v>2361</v>
      </c>
    </row>
    <row r="2952">
      <c r="A2952" s="27" t="s">
        <v>3998</v>
      </c>
      <c r="B2952" s="27">
        <v>188914.0</v>
      </c>
      <c r="C2952" s="27" t="s">
        <v>2361</v>
      </c>
    </row>
    <row r="2953">
      <c r="A2953" s="27" t="s">
        <v>3999</v>
      </c>
      <c r="B2953" s="27">
        <v>189717.0</v>
      </c>
      <c r="C2953" s="27" t="s">
        <v>2361</v>
      </c>
    </row>
    <row r="2954">
      <c r="A2954" s="27" t="s">
        <v>4000</v>
      </c>
      <c r="B2954" s="27">
        <v>189720.0</v>
      </c>
      <c r="C2954" s="27" t="s">
        <v>2437</v>
      </c>
    </row>
    <row r="2955">
      <c r="A2955" s="27" t="s">
        <v>2453</v>
      </c>
      <c r="B2955" s="27">
        <v>1.90900006151E12</v>
      </c>
      <c r="C2955" s="27" t="s">
        <v>2441</v>
      </c>
    </row>
    <row r="2956">
      <c r="A2956" s="27" t="s">
        <v>4001</v>
      </c>
      <c r="B2956" s="27">
        <v>194905.0</v>
      </c>
      <c r="C2956" s="27" t="s">
        <v>2363</v>
      </c>
    </row>
    <row r="2957">
      <c r="A2957" s="27" t="s">
        <v>2454</v>
      </c>
      <c r="B2957" s="27" t="s">
        <v>2455</v>
      </c>
      <c r="C2957" s="27" t="s">
        <v>2409</v>
      </c>
    </row>
    <row r="2958">
      <c r="A2958" s="27" t="s">
        <v>2456</v>
      </c>
      <c r="B2958" s="27" t="s">
        <v>2457</v>
      </c>
      <c r="C2958" s="27" t="s">
        <v>2451</v>
      </c>
    </row>
    <row r="2959">
      <c r="A2959" s="27" t="s">
        <v>4002</v>
      </c>
      <c r="B2959" s="27" t="s">
        <v>4003</v>
      </c>
      <c r="C2959" s="27" t="s">
        <v>2359</v>
      </c>
    </row>
    <row r="2960">
      <c r="A2960" s="27" t="s">
        <v>4004</v>
      </c>
      <c r="B2960" s="27" t="s">
        <v>4005</v>
      </c>
      <c r="C2960" s="27" t="s">
        <v>2359</v>
      </c>
    </row>
    <row r="2961">
      <c r="A2961" s="27" t="s">
        <v>4006</v>
      </c>
      <c r="B2961" s="27" t="s">
        <v>4007</v>
      </c>
      <c r="C2961" s="27" t="s">
        <v>2363</v>
      </c>
    </row>
    <row r="2962">
      <c r="A2962" s="27" t="s">
        <v>4008</v>
      </c>
      <c r="B2962" s="27" t="s">
        <v>4009</v>
      </c>
      <c r="C2962" s="27" t="s">
        <v>2437</v>
      </c>
    </row>
    <row r="2963">
      <c r="A2963" s="27" t="s">
        <v>4010</v>
      </c>
      <c r="B2963" s="27" t="s">
        <v>4011</v>
      </c>
      <c r="C2963" s="27" t="s">
        <v>2363</v>
      </c>
    </row>
    <row r="2964">
      <c r="A2964" s="27" t="s">
        <v>3377</v>
      </c>
      <c r="B2964" s="27" t="s">
        <v>3378</v>
      </c>
    </row>
    <row r="2965">
      <c r="A2965" s="27" t="s">
        <v>4012</v>
      </c>
      <c r="B2965" s="27" t="s">
        <v>4013</v>
      </c>
      <c r="C2965" s="27" t="s">
        <v>2359</v>
      </c>
    </row>
    <row r="2966">
      <c r="A2966" s="27" t="s">
        <v>4014</v>
      </c>
      <c r="B2966" s="27" t="s">
        <v>4015</v>
      </c>
      <c r="C2966" s="27" t="s">
        <v>2451</v>
      </c>
    </row>
    <row r="2967">
      <c r="A2967" s="27" t="s">
        <v>4016</v>
      </c>
      <c r="B2967" s="27">
        <v>2.0000207087E10</v>
      </c>
      <c r="C2967" s="27" t="s">
        <v>2363</v>
      </c>
    </row>
    <row r="2968">
      <c r="A2968" s="27" t="s">
        <v>4017</v>
      </c>
      <c r="B2968" s="27">
        <v>2.0000208084E10</v>
      </c>
      <c r="C2968" s="27" t="s">
        <v>2363</v>
      </c>
    </row>
    <row r="2969">
      <c r="A2969" s="27" t="s">
        <v>4018</v>
      </c>
      <c r="B2969" s="27">
        <v>2.0000209081E10</v>
      </c>
      <c r="C2969" s="27" t="s">
        <v>2363</v>
      </c>
    </row>
    <row r="2970">
      <c r="A2970" s="27" t="s">
        <v>4019</v>
      </c>
      <c r="B2970" s="27">
        <v>2.000080502E10</v>
      </c>
      <c r="C2970" s="27" t="s">
        <v>2437</v>
      </c>
    </row>
    <row r="2971">
      <c r="A2971" s="27" t="s">
        <v>4020</v>
      </c>
      <c r="B2971" s="27">
        <v>2.000080509E10</v>
      </c>
      <c r="C2971" s="27" t="s">
        <v>2363</v>
      </c>
    </row>
    <row r="2972">
      <c r="A2972" s="27" t="s">
        <v>4021</v>
      </c>
      <c r="B2972" s="27">
        <v>2.000080521E10</v>
      </c>
      <c r="C2972" s="27" t="s">
        <v>2363</v>
      </c>
    </row>
    <row r="2973">
      <c r="A2973" s="27" t="s">
        <v>4022</v>
      </c>
      <c r="B2973" s="27">
        <v>2.000080602E10</v>
      </c>
      <c r="C2973" s="27" t="s">
        <v>2359</v>
      </c>
    </row>
    <row r="2974">
      <c r="A2974" s="27" t="s">
        <v>4023</v>
      </c>
      <c r="B2974" s="27">
        <v>2.000080609E10</v>
      </c>
      <c r="C2974" s="27" t="s">
        <v>2359</v>
      </c>
    </row>
    <row r="2975">
      <c r="A2975" s="27" t="s">
        <v>4024</v>
      </c>
      <c r="B2975" s="27">
        <v>2.000080621E10</v>
      </c>
      <c r="C2975" s="27" t="s">
        <v>2363</v>
      </c>
    </row>
    <row r="2976">
      <c r="A2976" s="27" t="s">
        <v>3379</v>
      </c>
      <c r="B2976" s="27">
        <v>2.0000807027E10</v>
      </c>
      <c r="C2976" s="27" t="s">
        <v>2359</v>
      </c>
    </row>
    <row r="2977">
      <c r="A2977" s="27" t="s">
        <v>4025</v>
      </c>
      <c r="B2977" s="27">
        <v>2.000080709E10</v>
      </c>
      <c r="C2977" s="27" t="s">
        <v>2363</v>
      </c>
    </row>
    <row r="2978">
      <c r="A2978" s="27" t="s">
        <v>3380</v>
      </c>
      <c r="B2978" s="27">
        <v>2.000080721E10</v>
      </c>
      <c r="C2978" s="27" t="s">
        <v>2363</v>
      </c>
    </row>
    <row r="2979">
      <c r="A2979" s="27" t="s">
        <v>4026</v>
      </c>
      <c r="B2979" s="27">
        <v>2.0000808024E10</v>
      </c>
      <c r="C2979" s="27" t="s">
        <v>2363</v>
      </c>
    </row>
    <row r="2980">
      <c r="A2980" s="27" t="s">
        <v>4027</v>
      </c>
      <c r="B2980" s="27">
        <v>2.000080809E10</v>
      </c>
      <c r="C2980" s="27" t="s">
        <v>2437</v>
      </c>
    </row>
    <row r="2981">
      <c r="A2981" s="27" t="s">
        <v>4028</v>
      </c>
      <c r="B2981" s="27">
        <v>2.000080821E10</v>
      </c>
      <c r="C2981" s="27" t="s">
        <v>2359</v>
      </c>
    </row>
    <row r="2982">
      <c r="A2982" s="27" t="s">
        <v>4029</v>
      </c>
      <c r="B2982" s="27">
        <v>2.0001007081E10</v>
      </c>
      <c r="C2982" s="27" t="s">
        <v>2363</v>
      </c>
    </row>
    <row r="2983">
      <c r="A2983" s="27" t="s">
        <v>4030</v>
      </c>
      <c r="B2983" s="27">
        <v>2.0001008089E10</v>
      </c>
      <c r="C2983" s="27" t="s">
        <v>2363</v>
      </c>
    </row>
    <row r="2984">
      <c r="A2984" s="27" t="s">
        <v>3262</v>
      </c>
      <c r="B2984" s="27">
        <v>2.0001009086E10</v>
      </c>
      <c r="C2984" s="27" t="s">
        <v>2363</v>
      </c>
    </row>
    <row r="2985">
      <c r="A2985" s="27" t="s">
        <v>4031</v>
      </c>
      <c r="B2985" s="27">
        <v>2.0001010082E10</v>
      </c>
      <c r="C2985" s="27" t="s">
        <v>2437</v>
      </c>
    </row>
    <row r="2986">
      <c r="A2986" s="27" t="s">
        <v>4032</v>
      </c>
      <c r="B2986" s="27">
        <v>2.000110607E9</v>
      </c>
      <c r="C2986" s="27" t="s">
        <v>2359</v>
      </c>
    </row>
    <row r="2987">
      <c r="A2987" s="27" t="s">
        <v>4033</v>
      </c>
      <c r="B2987" s="27">
        <v>2.00011061E9</v>
      </c>
      <c r="C2987" s="27" t="s">
        <v>2363</v>
      </c>
    </row>
    <row r="2988">
      <c r="A2988" s="27" t="s">
        <v>4034</v>
      </c>
      <c r="B2988" s="27">
        <v>2.000110621E9</v>
      </c>
      <c r="C2988" s="27" t="s">
        <v>2437</v>
      </c>
    </row>
    <row r="2989">
      <c r="A2989" s="27" t="s">
        <v>4035</v>
      </c>
      <c r="B2989" s="27">
        <v>2.000110707E9</v>
      </c>
      <c r="C2989" s="27" t="s">
        <v>2363</v>
      </c>
    </row>
    <row r="2990">
      <c r="A2990" s="27" t="s">
        <v>4036</v>
      </c>
      <c r="B2990" s="27">
        <v>2.00011071E9</v>
      </c>
      <c r="C2990" s="27" t="s">
        <v>2359</v>
      </c>
    </row>
    <row r="2991">
      <c r="A2991" s="27" t="s">
        <v>4037</v>
      </c>
      <c r="B2991" s="27">
        <v>2.000110721E9</v>
      </c>
      <c r="C2991" s="27" t="s">
        <v>2363</v>
      </c>
    </row>
    <row r="2992">
      <c r="A2992" s="27" t="s">
        <v>4038</v>
      </c>
      <c r="B2992" s="27">
        <v>2.000110807E9</v>
      </c>
      <c r="C2992" s="27" t="s">
        <v>2437</v>
      </c>
    </row>
    <row r="2993">
      <c r="A2993" s="27" t="s">
        <v>4039</v>
      </c>
      <c r="B2993" s="27">
        <v>2.00011081E9</v>
      </c>
      <c r="C2993" s="27" t="s">
        <v>2359</v>
      </c>
    </row>
    <row r="2994">
      <c r="A2994" s="27" t="s">
        <v>4040</v>
      </c>
      <c r="B2994" s="27">
        <v>2.000110907E9</v>
      </c>
      <c r="C2994" s="27" t="s">
        <v>2363</v>
      </c>
    </row>
    <row r="2995">
      <c r="A2995" s="27" t="s">
        <v>4041</v>
      </c>
      <c r="B2995" s="27">
        <v>2.00011091E9</v>
      </c>
      <c r="C2995" s="27" t="s">
        <v>2437</v>
      </c>
    </row>
    <row r="2996">
      <c r="A2996" s="27" t="s">
        <v>4042</v>
      </c>
      <c r="B2996" s="27">
        <v>2.000110921E9</v>
      </c>
      <c r="C2996" s="27" t="s">
        <v>2441</v>
      </c>
    </row>
    <row r="2997">
      <c r="A2997" s="27" t="s">
        <v>4043</v>
      </c>
      <c r="B2997" s="27">
        <v>2.014000011508E12</v>
      </c>
      <c r="C2997" s="27" t="s">
        <v>2441</v>
      </c>
    </row>
    <row r="2998">
      <c r="A2998" s="27" t="s">
        <v>3263</v>
      </c>
      <c r="B2998" s="27">
        <v>2.014000021508E12</v>
      </c>
      <c r="C2998" s="27" t="s">
        <v>2363</v>
      </c>
    </row>
    <row r="2999">
      <c r="A2999" s="27" t="s">
        <v>4044</v>
      </c>
      <c r="B2999" s="27">
        <v>2.110000040802E12</v>
      </c>
      <c r="C2999" s="27" t="s">
        <v>2363</v>
      </c>
    </row>
    <row r="3000">
      <c r="A3000" s="27" t="s">
        <v>4045</v>
      </c>
      <c r="B3000" s="27">
        <v>2.110000040821E12</v>
      </c>
      <c r="C3000" s="27" t="s">
        <v>2363</v>
      </c>
    </row>
    <row r="3001">
      <c r="A3001" s="27" t="s">
        <v>3264</v>
      </c>
      <c r="B3001" s="27">
        <v>2.11312923506E11</v>
      </c>
      <c r="C3001" s="27" t="s">
        <v>2359</v>
      </c>
    </row>
    <row r="3002">
      <c r="A3002" s="27" t="s">
        <v>4046</v>
      </c>
      <c r="B3002" s="27">
        <v>2.2130608802E10</v>
      </c>
      <c r="C3002" s="27" t="s">
        <v>2359</v>
      </c>
    </row>
    <row r="3003">
      <c r="A3003" s="27" t="s">
        <v>3269</v>
      </c>
      <c r="B3003" s="27" t="s">
        <v>3270</v>
      </c>
      <c r="C3003" s="27" t="s">
        <v>2359</v>
      </c>
    </row>
    <row r="3004">
      <c r="A3004" s="27" t="s">
        <v>3501</v>
      </c>
      <c r="B3004" s="27">
        <v>26807.0</v>
      </c>
      <c r="C3004" s="27" t="s">
        <v>2359</v>
      </c>
    </row>
    <row r="3005">
      <c r="A3005" s="27" t="s">
        <v>3276</v>
      </c>
      <c r="B3005" s="27">
        <v>26917.0</v>
      </c>
      <c r="C3005" s="27" t="s">
        <v>2363</v>
      </c>
    </row>
    <row r="3006">
      <c r="A3006" s="27" t="s">
        <v>4047</v>
      </c>
      <c r="B3006" s="27">
        <v>27123.0</v>
      </c>
      <c r="C3006" s="27" t="s">
        <v>2359</v>
      </c>
    </row>
    <row r="3007">
      <c r="A3007" s="27" t="s">
        <v>3507</v>
      </c>
      <c r="B3007" s="27">
        <v>3.000140708E10</v>
      </c>
      <c r="C3007" s="27" t="s">
        <v>2437</v>
      </c>
    </row>
    <row r="3008">
      <c r="A3008" s="27" t="s">
        <v>4048</v>
      </c>
      <c r="B3008" s="27">
        <v>3.0001407091E10</v>
      </c>
      <c r="C3008" s="27" t="s">
        <v>2363</v>
      </c>
    </row>
    <row r="3009">
      <c r="A3009" s="27" t="s">
        <v>4049</v>
      </c>
      <c r="B3009" s="27">
        <v>3.000141508E10</v>
      </c>
      <c r="C3009" s="27" t="s">
        <v>2363</v>
      </c>
    </row>
    <row r="3010">
      <c r="A3010" s="27" t="s">
        <v>4050</v>
      </c>
      <c r="B3010" s="27">
        <v>3.0001415091E10</v>
      </c>
      <c r="C3010" s="27" t="s">
        <v>2359</v>
      </c>
    </row>
    <row r="3011">
      <c r="A3011" s="27" t="s">
        <v>4051</v>
      </c>
      <c r="B3011" s="27">
        <v>3.000171508E9</v>
      </c>
      <c r="C3011" s="27" t="s">
        <v>2363</v>
      </c>
    </row>
    <row r="3012">
      <c r="A3012" s="27" t="s">
        <v>4052</v>
      </c>
      <c r="B3012" s="27">
        <v>3.000181508E9</v>
      </c>
      <c r="C3012" s="27" t="s">
        <v>2363</v>
      </c>
    </row>
    <row r="3013">
      <c r="A3013" s="27" t="s">
        <v>4053</v>
      </c>
      <c r="B3013" s="27">
        <v>3.000200702E9</v>
      </c>
      <c r="C3013" s="27" t="s">
        <v>2363</v>
      </c>
    </row>
    <row r="3014">
      <c r="A3014" s="27" t="s">
        <v>4054</v>
      </c>
      <c r="B3014" s="27">
        <v>3.000200721E9</v>
      </c>
      <c r="C3014" s="27" t="s">
        <v>2363</v>
      </c>
    </row>
    <row r="3015">
      <c r="A3015" s="27" t="s">
        <v>4055</v>
      </c>
      <c r="B3015" s="27">
        <v>3.000200802E9</v>
      </c>
      <c r="C3015" s="27" t="s">
        <v>2441</v>
      </c>
    </row>
    <row r="3016">
      <c r="A3016" s="27" t="s">
        <v>3384</v>
      </c>
      <c r="B3016" s="27">
        <v>3.000200821E9</v>
      </c>
      <c r="C3016" s="27" t="s">
        <v>2363</v>
      </c>
    </row>
    <row r="3017">
      <c r="A3017" s="27" t="s">
        <v>4056</v>
      </c>
      <c r="B3017" s="27" t="s">
        <v>4057</v>
      </c>
      <c r="C3017" s="27" t="s">
        <v>2359</v>
      </c>
    </row>
    <row r="3018">
      <c r="A3018" s="27" t="s">
        <v>4058</v>
      </c>
      <c r="B3018" s="27">
        <v>31129.0</v>
      </c>
      <c r="C3018" s="27" t="s">
        <v>2359</v>
      </c>
    </row>
    <row r="3019">
      <c r="A3019" s="27" t="s">
        <v>4059</v>
      </c>
      <c r="B3019" s="27" t="s">
        <v>4060</v>
      </c>
      <c r="C3019" s="27" t="s">
        <v>2363</v>
      </c>
    </row>
    <row r="3020">
      <c r="A3020" s="27" t="s">
        <v>4061</v>
      </c>
      <c r="B3020" s="27" t="s">
        <v>4062</v>
      </c>
      <c r="C3020" s="27" t="s">
        <v>2363</v>
      </c>
    </row>
    <row r="3021">
      <c r="A3021" s="27" t="s">
        <v>4063</v>
      </c>
      <c r="B3021" s="27">
        <v>3.201069000018E12</v>
      </c>
      <c r="C3021" s="27" t="s">
        <v>2363</v>
      </c>
    </row>
    <row r="3022">
      <c r="A3022" s="27" t="s">
        <v>4064</v>
      </c>
      <c r="B3022" s="27">
        <v>3.21096000001E12</v>
      </c>
      <c r="C3022" s="27" t="s">
        <v>4065</v>
      </c>
    </row>
    <row r="3023">
      <c r="A3023" s="27" t="s">
        <v>4066</v>
      </c>
      <c r="B3023" s="27">
        <v>3.211511000022E12</v>
      </c>
      <c r="C3023" s="27" t="s">
        <v>2359</v>
      </c>
    </row>
    <row r="3024">
      <c r="A3024" s="27" t="s">
        <v>4067</v>
      </c>
      <c r="B3024" s="27" t="s">
        <v>4068</v>
      </c>
      <c r="C3024" s="27" t="s">
        <v>2380</v>
      </c>
    </row>
    <row r="3025">
      <c r="A3025" s="27" t="s">
        <v>4069</v>
      </c>
      <c r="B3025" s="27" t="s">
        <v>4070</v>
      </c>
      <c r="C3025" s="27" t="s">
        <v>2441</v>
      </c>
    </row>
    <row r="3026">
      <c r="A3026" s="27" t="s">
        <v>4071</v>
      </c>
      <c r="B3026" s="27">
        <v>3478.0</v>
      </c>
      <c r="C3026" s="27" t="s">
        <v>2359</v>
      </c>
    </row>
    <row r="3027">
      <c r="A3027" s="27" t="s">
        <v>4072</v>
      </c>
      <c r="B3027" s="27">
        <v>3522.0</v>
      </c>
      <c r="C3027" s="27" t="s">
        <v>2441</v>
      </c>
    </row>
    <row r="3028">
      <c r="A3028" s="27" t="s">
        <v>4073</v>
      </c>
      <c r="B3028" s="27">
        <v>3539.0</v>
      </c>
      <c r="C3028" s="27" t="s">
        <v>2363</v>
      </c>
    </row>
    <row r="3029">
      <c r="A3029" s="27" t="s">
        <v>4074</v>
      </c>
      <c r="B3029" s="27">
        <v>36712.0</v>
      </c>
      <c r="C3029" s="27" t="s">
        <v>2363</v>
      </c>
    </row>
    <row r="3030">
      <c r="A3030" s="27" t="s">
        <v>4075</v>
      </c>
      <c r="B3030" s="27">
        <v>36860.0</v>
      </c>
      <c r="C3030" s="27" t="s">
        <v>2363</v>
      </c>
    </row>
    <row r="3031">
      <c r="A3031" s="27" t="s">
        <v>4076</v>
      </c>
      <c r="B3031" s="27">
        <v>39279.0</v>
      </c>
      <c r="C3031" s="27" t="s">
        <v>2359</v>
      </c>
    </row>
    <row r="3032">
      <c r="A3032" s="27" t="s">
        <v>4077</v>
      </c>
      <c r="B3032" s="27">
        <v>3950032.0</v>
      </c>
      <c r="C3032" s="27" t="s">
        <v>2451</v>
      </c>
    </row>
    <row r="3033">
      <c r="A3033" s="27" t="s">
        <v>4078</v>
      </c>
      <c r="B3033" s="27">
        <v>3950087.0</v>
      </c>
      <c r="C3033" s="27" t="s">
        <v>2361</v>
      </c>
    </row>
    <row r="3034">
      <c r="A3034" s="27" t="s">
        <v>4079</v>
      </c>
      <c r="B3034" s="27">
        <v>45744.0</v>
      </c>
      <c r="C3034" s="27" t="s">
        <v>2359</v>
      </c>
    </row>
    <row r="3035">
      <c r="A3035" s="27" t="s">
        <v>4080</v>
      </c>
      <c r="B3035" s="27">
        <v>45935.0</v>
      </c>
      <c r="C3035" s="27" t="s">
        <v>2359</v>
      </c>
    </row>
    <row r="3036">
      <c r="A3036" s="27" t="s">
        <v>4081</v>
      </c>
      <c r="B3036" s="27">
        <v>47465.0</v>
      </c>
      <c r="C3036" s="27" t="s">
        <v>2363</v>
      </c>
    </row>
    <row r="3037">
      <c r="A3037" s="27" t="s">
        <v>4082</v>
      </c>
      <c r="B3037" s="27">
        <v>49452.0</v>
      </c>
      <c r="C3037" s="27" t="s">
        <v>2441</v>
      </c>
    </row>
    <row r="3038">
      <c r="A3038" s="27" t="s">
        <v>4083</v>
      </c>
      <c r="B3038" s="27">
        <v>52063.0</v>
      </c>
      <c r="C3038" s="27" t="s">
        <v>2363</v>
      </c>
    </row>
    <row r="3039">
      <c r="A3039" s="27" t="s">
        <v>4084</v>
      </c>
      <c r="B3039" s="27">
        <v>53251.0</v>
      </c>
      <c r="C3039" s="27" t="s">
        <v>2359</v>
      </c>
    </row>
    <row r="3040">
      <c r="A3040" s="27" t="s">
        <v>4085</v>
      </c>
      <c r="B3040" s="27">
        <v>53824.0</v>
      </c>
      <c r="C3040" s="27" t="s">
        <v>2441</v>
      </c>
    </row>
    <row r="3041">
      <c r="A3041" s="27" t="s">
        <v>4086</v>
      </c>
      <c r="B3041" s="27">
        <v>53893.0</v>
      </c>
      <c r="C3041" s="27" t="s">
        <v>2363</v>
      </c>
    </row>
    <row r="3042">
      <c r="A3042" s="27" t="s">
        <v>4087</v>
      </c>
      <c r="B3042" s="27">
        <v>56948.0</v>
      </c>
      <c r="C3042" s="27" t="s">
        <v>2359</v>
      </c>
    </row>
    <row r="3043">
      <c r="A3043" s="27" t="s">
        <v>4088</v>
      </c>
      <c r="B3043" s="27">
        <v>57266.0</v>
      </c>
      <c r="C3043" s="27" t="s">
        <v>2437</v>
      </c>
    </row>
    <row r="3044">
      <c r="A3044" s="27" t="s">
        <v>4089</v>
      </c>
      <c r="B3044" s="27">
        <v>57273.0</v>
      </c>
      <c r="C3044" s="27" t="s">
        <v>2363</v>
      </c>
    </row>
    <row r="3045">
      <c r="A3045" s="27" t="s">
        <v>4090</v>
      </c>
      <c r="B3045" s="27">
        <v>57280.0</v>
      </c>
      <c r="C3045" s="27" t="s">
        <v>2359</v>
      </c>
    </row>
    <row r="3046">
      <c r="A3046" s="27" t="s">
        <v>4091</v>
      </c>
      <c r="B3046" s="27">
        <v>57297.0</v>
      </c>
      <c r="C3046" s="27" t="s">
        <v>2363</v>
      </c>
    </row>
    <row r="3047">
      <c r="A3047" s="27" t="s">
        <v>4092</v>
      </c>
      <c r="B3047" s="27">
        <v>57303.0</v>
      </c>
      <c r="C3047" s="27" t="s">
        <v>2359</v>
      </c>
    </row>
    <row r="3048">
      <c r="A3048" s="27" t="s">
        <v>4093</v>
      </c>
      <c r="B3048" s="27">
        <v>57556.0</v>
      </c>
      <c r="C3048" s="27" t="s">
        <v>2359</v>
      </c>
    </row>
    <row r="3049">
      <c r="A3049" s="27" t="s">
        <v>4094</v>
      </c>
      <c r="B3049" s="27">
        <v>57792.0</v>
      </c>
      <c r="C3049" s="27" t="s">
        <v>2363</v>
      </c>
    </row>
    <row r="3050">
      <c r="A3050" s="27" t="s">
        <v>4095</v>
      </c>
      <c r="B3050" s="27">
        <v>57839.0</v>
      </c>
      <c r="C3050" s="27" t="s">
        <v>2359</v>
      </c>
    </row>
    <row r="3051">
      <c r="A3051" s="27" t="s">
        <v>4096</v>
      </c>
      <c r="B3051" s="27">
        <v>57914.0</v>
      </c>
      <c r="C3051" s="27" t="s">
        <v>2363</v>
      </c>
    </row>
    <row r="3052">
      <c r="A3052" s="27" t="s">
        <v>4097</v>
      </c>
      <c r="B3052" s="27">
        <v>60136.0</v>
      </c>
      <c r="C3052" s="27" t="s">
        <v>2363</v>
      </c>
    </row>
    <row r="3053">
      <c r="A3053" s="27" t="s">
        <v>4098</v>
      </c>
      <c r="B3053" s="27">
        <v>60204.0</v>
      </c>
      <c r="C3053" s="27" t="s">
        <v>2363</v>
      </c>
    </row>
    <row r="3054">
      <c r="A3054" s="27" t="s">
        <v>4099</v>
      </c>
      <c r="B3054" s="27">
        <v>60464.0</v>
      </c>
      <c r="C3054" s="27" t="s">
        <v>2359</v>
      </c>
    </row>
    <row r="3055">
      <c r="A3055" s="27" t="s">
        <v>4100</v>
      </c>
      <c r="B3055" s="27">
        <v>60730.0</v>
      </c>
      <c r="C3055" s="27" t="s">
        <v>2359</v>
      </c>
    </row>
    <row r="3056">
      <c r="A3056" s="27" t="s">
        <v>4101</v>
      </c>
      <c r="B3056" s="27">
        <v>6.14143600036E11</v>
      </c>
      <c r="C3056" s="27" t="s">
        <v>2462</v>
      </c>
    </row>
    <row r="3057">
      <c r="A3057" s="27" t="s">
        <v>4102</v>
      </c>
      <c r="B3057" s="27">
        <v>6181075.0</v>
      </c>
      <c r="C3057" s="27" t="s">
        <v>2359</v>
      </c>
    </row>
    <row r="3058">
      <c r="A3058" s="27" t="s">
        <v>4103</v>
      </c>
      <c r="B3058" s="27">
        <v>6181076.0</v>
      </c>
      <c r="C3058" s="27" t="s">
        <v>2437</v>
      </c>
    </row>
    <row r="3059">
      <c r="A3059" s="27" t="s">
        <v>4104</v>
      </c>
      <c r="B3059" s="27">
        <v>6181088.0</v>
      </c>
      <c r="C3059" s="27" t="s">
        <v>2363</v>
      </c>
    </row>
    <row r="3060">
      <c r="A3060" s="27" t="s">
        <v>4105</v>
      </c>
      <c r="B3060" s="27">
        <v>6181090.0</v>
      </c>
      <c r="C3060" s="27" t="s">
        <v>2359</v>
      </c>
    </row>
    <row r="3061">
      <c r="A3061" s="27" t="s">
        <v>4106</v>
      </c>
      <c r="B3061" s="27">
        <v>6181091.0</v>
      </c>
      <c r="C3061" s="27" t="s">
        <v>2437</v>
      </c>
    </row>
    <row r="3062">
      <c r="A3062" s="27" t="s">
        <v>4107</v>
      </c>
      <c r="B3062" s="27">
        <v>6181095.0</v>
      </c>
      <c r="C3062" s="27" t="s">
        <v>2363</v>
      </c>
    </row>
    <row r="3063">
      <c r="A3063" s="27" t="s">
        <v>4108</v>
      </c>
      <c r="B3063" s="27">
        <v>6181103.0</v>
      </c>
      <c r="C3063" s="27" t="s">
        <v>2437</v>
      </c>
    </row>
    <row r="3064">
      <c r="A3064" s="27" t="s">
        <v>4109</v>
      </c>
      <c r="B3064" s="27">
        <v>6181104.0</v>
      </c>
      <c r="C3064" s="27" t="s">
        <v>2437</v>
      </c>
    </row>
    <row r="3065">
      <c r="A3065" s="27" t="s">
        <v>4110</v>
      </c>
      <c r="B3065" s="27">
        <v>6181105.0</v>
      </c>
      <c r="C3065" s="27" t="s">
        <v>2363</v>
      </c>
    </row>
    <row r="3066">
      <c r="A3066" s="27" t="s">
        <v>4111</v>
      </c>
      <c r="B3066" s="27">
        <v>6181110.0</v>
      </c>
      <c r="C3066" s="27" t="s">
        <v>2437</v>
      </c>
    </row>
    <row r="3067">
      <c r="A3067" s="27" t="s">
        <v>3387</v>
      </c>
      <c r="B3067" s="27">
        <v>6181130.0</v>
      </c>
      <c r="C3067" s="27" t="s">
        <v>2359</v>
      </c>
    </row>
    <row r="3068">
      <c r="A3068" s="27" t="s">
        <v>4112</v>
      </c>
      <c r="B3068" s="27">
        <v>6181135.0</v>
      </c>
      <c r="C3068" s="27" t="s">
        <v>2437</v>
      </c>
    </row>
    <row r="3069">
      <c r="A3069" s="27" t="s">
        <v>4113</v>
      </c>
      <c r="B3069" s="27">
        <v>6181136.0</v>
      </c>
      <c r="C3069" s="27" t="s">
        <v>2437</v>
      </c>
    </row>
    <row r="3070">
      <c r="A3070" s="27" t="s">
        <v>4114</v>
      </c>
      <c r="B3070" s="27">
        <v>6181140.0</v>
      </c>
      <c r="C3070" s="27" t="s">
        <v>2437</v>
      </c>
    </row>
    <row r="3071">
      <c r="A3071" s="27" t="s">
        <v>4115</v>
      </c>
      <c r="B3071" s="27">
        <v>6181195.0</v>
      </c>
      <c r="C3071" s="27" t="s">
        <v>2363</v>
      </c>
    </row>
    <row r="3072">
      <c r="A3072" s="27" t="s">
        <v>4116</v>
      </c>
      <c r="B3072" s="27">
        <v>6181220.0</v>
      </c>
      <c r="C3072" s="27" t="s">
        <v>2359</v>
      </c>
    </row>
    <row r="3073">
      <c r="A3073" s="27" t="s">
        <v>4117</v>
      </c>
      <c r="B3073" s="27">
        <v>6181222.0</v>
      </c>
      <c r="C3073" s="27" t="s">
        <v>2441</v>
      </c>
    </row>
    <row r="3074">
      <c r="A3074" s="27" t="s">
        <v>4118</v>
      </c>
      <c r="B3074" s="27">
        <v>6182204.0</v>
      </c>
      <c r="C3074" s="27" t="s">
        <v>2437</v>
      </c>
    </row>
    <row r="3075">
      <c r="A3075" s="27" t="s">
        <v>4119</v>
      </c>
      <c r="B3075" s="27">
        <v>6182205.0</v>
      </c>
      <c r="C3075" s="27" t="s">
        <v>2441</v>
      </c>
    </row>
    <row r="3076">
      <c r="A3076" s="27" t="s">
        <v>4120</v>
      </c>
      <c r="B3076" s="27">
        <v>6182251.0</v>
      </c>
      <c r="C3076" s="27" t="s">
        <v>2437</v>
      </c>
    </row>
    <row r="3077">
      <c r="A3077" s="27" t="s">
        <v>2458</v>
      </c>
      <c r="B3077" s="27">
        <v>6182252.0</v>
      </c>
      <c r="C3077" s="27" t="s">
        <v>2361</v>
      </c>
    </row>
    <row r="3078">
      <c r="A3078" s="27" t="s">
        <v>4121</v>
      </c>
      <c r="B3078" s="27">
        <v>6182254.0</v>
      </c>
      <c r="C3078" s="27" t="s">
        <v>2441</v>
      </c>
    </row>
    <row r="3079">
      <c r="A3079" s="27" t="s">
        <v>4122</v>
      </c>
      <c r="B3079" s="27">
        <v>62345.0</v>
      </c>
      <c r="C3079" s="27" t="s">
        <v>2363</v>
      </c>
    </row>
    <row r="3080">
      <c r="A3080" s="27" t="s">
        <v>4123</v>
      </c>
      <c r="B3080" s="27">
        <v>62598.0</v>
      </c>
      <c r="C3080" s="27" t="s">
        <v>2359</v>
      </c>
    </row>
    <row r="3081">
      <c r="A3081" s="27" t="s">
        <v>4124</v>
      </c>
      <c r="B3081" s="27">
        <v>63724.0</v>
      </c>
      <c r="C3081" s="27" t="s">
        <v>2363</v>
      </c>
    </row>
    <row r="3082">
      <c r="A3082" s="27" t="s">
        <v>4125</v>
      </c>
      <c r="B3082" s="27">
        <v>64080.0</v>
      </c>
      <c r="C3082" s="27" t="s">
        <v>2363</v>
      </c>
    </row>
    <row r="3083">
      <c r="A3083" s="27" t="s">
        <v>4126</v>
      </c>
      <c r="B3083" s="27">
        <v>6.500071503E9</v>
      </c>
      <c r="C3083" s="27" t="s">
        <v>2363</v>
      </c>
    </row>
    <row r="3084">
      <c r="A3084" s="27" t="s">
        <v>4127</v>
      </c>
      <c r="B3084" s="27">
        <v>6.59525598679E11</v>
      </c>
      <c r="C3084" s="27" t="s">
        <v>2380</v>
      </c>
    </row>
    <row r="3085">
      <c r="A3085" s="27" t="s">
        <v>4128</v>
      </c>
      <c r="B3085" s="27">
        <v>6.59525598693E11</v>
      </c>
      <c r="C3085" s="27" t="s">
        <v>2447</v>
      </c>
    </row>
    <row r="3086">
      <c r="A3086" s="27" t="s">
        <v>4129</v>
      </c>
      <c r="B3086" s="27">
        <v>6.59525598716E11</v>
      </c>
      <c r="C3086" s="27" t="s">
        <v>2407</v>
      </c>
    </row>
    <row r="3087">
      <c r="A3087" s="27" t="s">
        <v>4130</v>
      </c>
      <c r="B3087" s="27">
        <v>6.5952559899E11</v>
      </c>
      <c r="C3087" s="27" t="s">
        <v>2378</v>
      </c>
    </row>
    <row r="3088">
      <c r="A3088" s="27" t="s">
        <v>4131</v>
      </c>
      <c r="B3088" s="27">
        <v>6.59525599003E11</v>
      </c>
      <c r="C3088" s="27" t="s">
        <v>2407</v>
      </c>
    </row>
    <row r="3089">
      <c r="A3089" s="27" t="s">
        <v>4132</v>
      </c>
      <c r="B3089" s="27">
        <v>6.59525599027E11</v>
      </c>
      <c r="C3089" s="27" t="s">
        <v>2407</v>
      </c>
    </row>
    <row r="3090">
      <c r="A3090" s="27" t="s">
        <v>3095</v>
      </c>
      <c r="B3090" s="27">
        <v>6.6436804863605E13</v>
      </c>
      <c r="C3090" s="27" t="s">
        <v>3806</v>
      </c>
    </row>
    <row r="3091">
      <c r="A3091" s="27" t="s">
        <v>4133</v>
      </c>
      <c r="B3091" s="27">
        <v>6.6559856061451E13</v>
      </c>
      <c r="C3091" s="27" t="s">
        <v>2359</v>
      </c>
    </row>
    <row r="3092">
      <c r="A3092" s="27" t="s">
        <v>4134</v>
      </c>
      <c r="B3092" s="27">
        <v>6.6559859669124E13</v>
      </c>
      <c r="C3092" s="27" t="s">
        <v>2359</v>
      </c>
    </row>
    <row r="3093">
      <c r="A3093" s="27" t="s">
        <v>4135</v>
      </c>
      <c r="B3093" s="27">
        <v>66633.0</v>
      </c>
      <c r="C3093" s="27" t="s">
        <v>2363</v>
      </c>
    </row>
    <row r="3094">
      <c r="A3094" s="27" t="s">
        <v>4136</v>
      </c>
      <c r="B3094" s="27">
        <v>66671.0</v>
      </c>
      <c r="C3094" s="27" t="s">
        <v>2437</v>
      </c>
    </row>
    <row r="3095">
      <c r="A3095" s="27" t="s">
        <v>4137</v>
      </c>
      <c r="B3095" s="27">
        <v>6.6782882621304E13</v>
      </c>
      <c r="C3095" s="27" t="s">
        <v>2451</v>
      </c>
    </row>
    <row r="3096">
      <c r="A3096" s="27" t="s">
        <v>4138</v>
      </c>
      <c r="B3096" s="27">
        <v>6.6782906770403E13</v>
      </c>
      <c r="C3096" s="27" t="s">
        <v>2359</v>
      </c>
    </row>
    <row r="3097">
      <c r="A3097" s="27" t="s">
        <v>4139</v>
      </c>
      <c r="B3097" s="27">
        <v>6.6782909003418E13</v>
      </c>
      <c r="C3097" s="27" t="s">
        <v>2359</v>
      </c>
    </row>
    <row r="3098">
      <c r="A3098" s="27" t="s">
        <v>2459</v>
      </c>
      <c r="B3098" s="27">
        <v>6.6800469437952E13</v>
      </c>
      <c r="C3098" s="27" t="s">
        <v>4140</v>
      </c>
    </row>
    <row r="3099">
      <c r="A3099" s="27" t="s">
        <v>2817</v>
      </c>
      <c r="B3099" s="27">
        <v>6.6800471275549E13</v>
      </c>
      <c r="C3099" s="27" t="s">
        <v>4141</v>
      </c>
    </row>
    <row r="3100">
      <c r="A3100" s="27" t="s">
        <v>2460</v>
      </c>
      <c r="B3100" s="27">
        <v>6.6800472805184E13</v>
      </c>
      <c r="C3100" s="27" t="s">
        <v>4142</v>
      </c>
    </row>
    <row r="3101">
      <c r="A3101" s="27" t="s">
        <v>2461</v>
      </c>
      <c r="B3101" s="27">
        <v>6.6800506435054E13</v>
      </c>
      <c r="C3101" s="27" t="s">
        <v>2388</v>
      </c>
    </row>
    <row r="3102">
      <c r="A3102" s="27" t="s">
        <v>2818</v>
      </c>
      <c r="B3102" s="27">
        <v>6.680050766593E13</v>
      </c>
      <c r="C3102" s="27" t="s">
        <v>2441</v>
      </c>
    </row>
    <row r="3103">
      <c r="A3103" s="27" t="s">
        <v>2463</v>
      </c>
      <c r="B3103" s="27">
        <v>6.6800509015029E13</v>
      </c>
      <c r="C3103" s="27" t="s">
        <v>4065</v>
      </c>
    </row>
    <row r="3104">
      <c r="A3104" s="27" t="s">
        <v>2820</v>
      </c>
      <c r="B3104" s="27">
        <v>6.7114505814137E13</v>
      </c>
      <c r="C3104" s="27" t="s">
        <v>2363</v>
      </c>
    </row>
    <row r="3105">
      <c r="A3105" s="27" t="s">
        <v>3283</v>
      </c>
      <c r="B3105" s="27">
        <v>6.7114508251225E13</v>
      </c>
      <c r="C3105" s="27" t="s">
        <v>2359</v>
      </c>
    </row>
    <row r="3106">
      <c r="A3106" s="27" t="s">
        <v>4143</v>
      </c>
      <c r="B3106" s="27">
        <v>67135.0</v>
      </c>
      <c r="C3106" s="27" t="s">
        <v>2437</v>
      </c>
    </row>
    <row r="3107">
      <c r="A3107" s="27" t="s">
        <v>4144</v>
      </c>
      <c r="B3107" s="27">
        <v>67142.0</v>
      </c>
      <c r="C3107" s="27" t="s">
        <v>2363</v>
      </c>
    </row>
    <row r="3108">
      <c r="A3108" s="27" t="s">
        <v>2821</v>
      </c>
      <c r="B3108" s="27">
        <v>6.7327559384453E13</v>
      </c>
      <c r="C3108" s="27" t="s">
        <v>4145</v>
      </c>
    </row>
    <row r="3109">
      <c r="A3109" s="27" t="s">
        <v>2464</v>
      </c>
      <c r="B3109" s="27">
        <v>6.7327712330533E13</v>
      </c>
      <c r="C3109" s="27" t="s">
        <v>4146</v>
      </c>
    </row>
    <row r="3110">
      <c r="A3110" s="27" t="s">
        <v>4147</v>
      </c>
      <c r="B3110" s="27">
        <v>6.7337648026851E13</v>
      </c>
      <c r="C3110" s="27" t="s">
        <v>4148</v>
      </c>
    </row>
    <row r="3111">
      <c r="A3111" s="27" t="s">
        <v>4149</v>
      </c>
      <c r="B3111" s="27">
        <v>6.7414791217036E13</v>
      </c>
      <c r="C3111" s="27" t="s">
        <v>2359</v>
      </c>
    </row>
    <row r="3112">
      <c r="A3112" s="27" t="s">
        <v>4150</v>
      </c>
      <c r="B3112" s="27">
        <v>6.7414791952688E13</v>
      </c>
      <c r="C3112" s="27" t="s">
        <v>2359</v>
      </c>
    </row>
    <row r="3113">
      <c r="A3113" s="27" t="s">
        <v>4151</v>
      </c>
      <c r="B3113" s="27">
        <v>6.7414792729571E13</v>
      </c>
      <c r="C3113" s="27" t="s">
        <v>2359</v>
      </c>
    </row>
    <row r="3114">
      <c r="A3114" s="27" t="s">
        <v>4152</v>
      </c>
      <c r="B3114" s="27">
        <v>6.741479351764E13</v>
      </c>
      <c r="C3114" s="27" t="s">
        <v>2359</v>
      </c>
    </row>
    <row r="3115">
      <c r="A3115" s="27" t="s">
        <v>4153</v>
      </c>
      <c r="B3115" s="27">
        <v>6.7414809824183E13</v>
      </c>
      <c r="C3115" s="27" t="s">
        <v>2359</v>
      </c>
    </row>
    <row r="3116">
      <c r="A3116" s="27" t="s">
        <v>4154</v>
      </c>
      <c r="B3116" s="27">
        <v>6.7414812797526E13</v>
      </c>
      <c r="C3116" s="27" t="s">
        <v>2437</v>
      </c>
    </row>
    <row r="3117">
      <c r="A3117" s="27" t="s">
        <v>4155</v>
      </c>
      <c r="B3117" s="27">
        <v>6.7414820120443E13</v>
      </c>
      <c r="C3117" s="27" t="s">
        <v>2359</v>
      </c>
    </row>
    <row r="3118">
      <c r="A3118" s="27" t="s">
        <v>4156</v>
      </c>
      <c r="B3118" s="27">
        <v>6.7545214667077E13</v>
      </c>
      <c r="C3118" s="27" t="s">
        <v>2359</v>
      </c>
    </row>
    <row r="3119">
      <c r="A3119" s="27" t="s">
        <v>4157</v>
      </c>
      <c r="B3119" s="27">
        <v>67739.0</v>
      </c>
      <c r="C3119" s="27" t="s">
        <v>2363</v>
      </c>
    </row>
    <row r="3120">
      <c r="A3120" s="27" t="s">
        <v>4158</v>
      </c>
      <c r="B3120" s="27">
        <v>67784.0</v>
      </c>
      <c r="C3120" s="27" t="s">
        <v>2363</v>
      </c>
    </row>
    <row r="3121">
      <c r="A3121" s="27" t="s">
        <v>2823</v>
      </c>
      <c r="B3121" s="27">
        <v>6.7898087132855E13</v>
      </c>
      <c r="C3121" s="27" t="s">
        <v>4159</v>
      </c>
    </row>
    <row r="3122">
      <c r="A3122" s="27" t="s">
        <v>2466</v>
      </c>
      <c r="B3122" s="27">
        <v>6.793383184397E13</v>
      </c>
      <c r="C3122" s="27" t="s">
        <v>4160</v>
      </c>
    </row>
    <row r="3123">
      <c r="A3123" s="27" t="s">
        <v>2467</v>
      </c>
      <c r="B3123" s="27">
        <v>6.7933833934278E13</v>
      </c>
      <c r="C3123" s="27" t="s">
        <v>4161</v>
      </c>
    </row>
    <row r="3124">
      <c r="A3124" s="27" t="s">
        <v>2468</v>
      </c>
      <c r="B3124" s="27">
        <v>6.7933835121467E13</v>
      </c>
      <c r="C3124" s="27" t="s">
        <v>4162</v>
      </c>
    </row>
    <row r="3125">
      <c r="A3125" s="27" t="s">
        <v>2828</v>
      </c>
      <c r="B3125" s="27">
        <v>6.7933835988925E13</v>
      </c>
      <c r="C3125" s="27" t="s">
        <v>4163</v>
      </c>
    </row>
    <row r="3126">
      <c r="A3126" s="27" t="s">
        <v>2469</v>
      </c>
      <c r="B3126" s="27">
        <v>6.7933854599885E13</v>
      </c>
      <c r="C3126" s="27" t="s">
        <v>3867</v>
      </c>
    </row>
    <row r="3127">
      <c r="A3127" s="27" t="s">
        <v>3097</v>
      </c>
      <c r="B3127" s="27">
        <v>6.7933856404072E13</v>
      </c>
      <c r="C3127" s="27" t="s">
        <v>4164</v>
      </c>
    </row>
    <row r="3128">
      <c r="A3128" s="27" t="s">
        <v>2470</v>
      </c>
      <c r="B3128" s="27">
        <v>6.7933857637909E13</v>
      </c>
      <c r="C3128" s="27" t="s">
        <v>4165</v>
      </c>
    </row>
    <row r="3129">
      <c r="A3129" s="27" t="s">
        <v>2471</v>
      </c>
      <c r="B3129" s="27">
        <v>6.7933859111971E13</v>
      </c>
      <c r="C3129" s="27" t="s">
        <v>4166</v>
      </c>
    </row>
    <row r="3130">
      <c r="A3130" s="27" t="s">
        <v>2472</v>
      </c>
      <c r="B3130" s="27">
        <v>6.7933860407346E13</v>
      </c>
      <c r="C3130" s="27" t="s">
        <v>3130</v>
      </c>
    </row>
    <row r="3131">
      <c r="A3131" s="27" t="s">
        <v>3098</v>
      </c>
      <c r="B3131" s="27">
        <v>6.7933861722733E13</v>
      </c>
      <c r="C3131" s="27" t="s">
        <v>4167</v>
      </c>
    </row>
    <row r="3132">
      <c r="A3132" s="27" t="s">
        <v>2473</v>
      </c>
      <c r="B3132" s="27">
        <v>6.7933863068841E13</v>
      </c>
      <c r="C3132" s="27" t="s">
        <v>4168</v>
      </c>
    </row>
    <row r="3133">
      <c r="A3133" s="27" t="s">
        <v>2474</v>
      </c>
      <c r="B3133" s="27">
        <v>6.7951421434761E13</v>
      </c>
      <c r="C3133" s="27" t="s">
        <v>4169</v>
      </c>
    </row>
    <row r="3134">
      <c r="A3134" s="27" t="s">
        <v>3099</v>
      </c>
      <c r="B3134" s="27">
        <v>6.7951423489593E13</v>
      </c>
      <c r="C3134" s="27" t="s">
        <v>3971</v>
      </c>
    </row>
    <row r="3135">
      <c r="A3135" s="27" t="s">
        <v>2829</v>
      </c>
      <c r="B3135" s="27">
        <v>6.7951425161311E13</v>
      </c>
      <c r="C3135" s="27" t="s">
        <v>4170</v>
      </c>
    </row>
    <row r="3136">
      <c r="A3136" s="27" t="s">
        <v>2830</v>
      </c>
      <c r="B3136" s="27">
        <v>6.8142278578308E13</v>
      </c>
      <c r="C3136" s="27" t="s">
        <v>2437</v>
      </c>
    </row>
    <row r="3137">
      <c r="A3137" s="27" t="s">
        <v>2831</v>
      </c>
      <c r="B3137" s="27">
        <v>6.814228073269E13</v>
      </c>
      <c r="C3137" s="27" t="s">
        <v>4171</v>
      </c>
    </row>
    <row r="3138">
      <c r="A3138" s="27" t="s">
        <v>4172</v>
      </c>
      <c r="B3138" s="27">
        <v>6.832138549862E13</v>
      </c>
    </row>
    <row r="3139">
      <c r="A3139" s="27" t="s">
        <v>4173</v>
      </c>
      <c r="B3139" s="27" t="s">
        <v>4174</v>
      </c>
      <c r="C3139" s="27" t="s">
        <v>2359</v>
      </c>
    </row>
    <row r="3140">
      <c r="A3140" s="27" t="s">
        <v>3438</v>
      </c>
      <c r="B3140" s="27">
        <v>6.8432930518995E13</v>
      </c>
      <c r="C3140" s="27" t="s">
        <v>2437</v>
      </c>
    </row>
    <row r="3141">
      <c r="A3141" s="27" t="s">
        <v>4175</v>
      </c>
      <c r="B3141" s="27">
        <v>6.8433275901113E13</v>
      </c>
      <c r="C3141" s="27" t="s">
        <v>4176</v>
      </c>
    </row>
    <row r="3142">
      <c r="A3142" s="27" t="s">
        <v>4177</v>
      </c>
      <c r="B3142" s="27">
        <v>6.8433276883711E13</v>
      </c>
      <c r="C3142" s="27" t="s">
        <v>4176</v>
      </c>
    </row>
    <row r="3143">
      <c r="A3143" s="27" t="s">
        <v>4178</v>
      </c>
      <c r="B3143" s="27">
        <v>6.8433278516107E13</v>
      </c>
      <c r="C3143" s="27" t="s">
        <v>4176</v>
      </c>
    </row>
    <row r="3144">
      <c r="A3144" s="27" t="s">
        <v>4179</v>
      </c>
      <c r="B3144" s="27">
        <v>6.843328016172E13</v>
      </c>
      <c r="C3144" s="27" t="s">
        <v>4176</v>
      </c>
    </row>
    <row r="3145">
      <c r="A3145" s="27" t="s">
        <v>4180</v>
      </c>
      <c r="B3145" s="27">
        <v>6.8433281942863E13</v>
      </c>
      <c r="C3145" s="27" t="s">
        <v>2439</v>
      </c>
    </row>
    <row r="3146">
      <c r="A3146" s="27" t="s">
        <v>4181</v>
      </c>
      <c r="B3146" s="27">
        <v>6.8433283717553E13</v>
      </c>
      <c r="C3146" s="27" t="s">
        <v>2439</v>
      </c>
    </row>
    <row r="3147">
      <c r="A3147" s="27" t="s">
        <v>4182</v>
      </c>
      <c r="B3147" s="27">
        <v>6.8433285199445E13</v>
      </c>
      <c r="C3147" s="27" t="s">
        <v>2402</v>
      </c>
    </row>
    <row r="3148">
      <c r="A3148" s="27" t="s">
        <v>4183</v>
      </c>
      <c r="B3148" s="27">
        <v>6.8433336255939E13</v>
      </c>
      <c r="C3148" s="27" t="s">
        <v>2359</v>
      </c>
    </row>
    <row r="3149">
      <c r="A3149" s="27" t="s">
        <v>4184</v>
      </c>
      <c r="B3149" s="27">
        <v>6.8433337529096E13</v>
      </c>
      <c r="C3149" s="27" t="s">
        <v>2359</v>
      </c>
    </row>
    <row r="3150">
      <c r="A3150" s="27" t="s">
        <v>4185</v>
      </c>
      <c r="B3150" s="27">
        <v>6.8433340544078E13</v>
      </c>
      <c r="C3150" s="27" t="s">
        <v>2359</v>
      </c>
    </row>
    <row r="3151">
      <c r="A3151" s="27" t="s">
        <v>4186</v>
      </c>
      <c r="B3151" s="27">
        <v>6.8433354409679E13</v>
      </c>
      <c r="C3151" s="27" t="s">
        <v>2359</v>
      </c>
    </row>
    <row r="3152">
      <c r="A3152" s="27" t="s">
        <v>4187</v>
      </c>
      <c r="B3152" s="27">
        <v>6.8433359013019E13</v>
      </c>
      <c r="C3152" s="27" t="s">
        <v>2359</v>
      </c>
    </row>
    <row r="3153">
      <c r="A3153" s="27" t="s">
        <v>4188</v>
      </c>
      <c r="B3153" s="27">
        <v>6.8433360148837E13</v>
      </c>
      <c r="C3153" s="27" t="s">
        <v>2359</v>
      </c>
    </row>
    <row r="3154">
      <c r="A3154" s="27" t="s">
        <v>2475</v>
      </c>
      <c r="B3154" s="27">
        <v>6.8540051413139E13</v>
      </c>
      <c r="C3154" s="27" t="s">
        <v>3781</v>
      </c>
    </row>
    <row r="3155">
      <c r="A3155" s="27" t="s">
        <v>4189</v>
      </c>
      <c r="B3155" s="27">
        <v>6.8617959527128E13</v>
      </c>
      <c r="C3155" s="27" t="s">
        <v>2382</v>
      </c>
    </row>
    <row r="3156">
      <c r="A3156" s="27" t="s">
        <v>4190</v>
      </c>
      <c r="B3156" s="27">
        <v>6.861798004916E13</v>
      </c>
      <c r="C3156" s="27" t="s">
        <v>2359</v>
      </c>
    </row>
    <row r="3157">
      <c r="A3157" s="27" t="s">
        <v>4191</v>
      </c>
      <c r="B3157" s="27">
        <v>6.8617981173073E13</v>
      </c>
      <c r="C3157" s="27" t="s">
        <v>2359</v>
      </c>
    </row>
    <row r="3158">
      <c r="A3158" s="27" t="s">
        <v>4192</v>
      </c>
      <c r="B3158" s="27">
        <v>6.8617982138107E13</v>
      </c>
      <c r="C3158" s="27" t="s">
        <v>2359</v>
      </c>
    </row>
    <row r="3159">
      <c r="A3159" s="27" t="s">
        <v>4193</v>
      </c>
      <c r="B3159" s="27">
        <v>6.8617983132574E13</v>
      </c>
      <c r="C3159" s="27" t="s">
        <v>2359</v>
      </c>
    </row>
    <row r="3160">
      <c r="A3160" s="27" t="s">
        <v>4194</v>
      </c>
      <c r="B3160" s="27">
        <v>6.8617984529773E13</v>
      </c>
      <c r="C3160" s="27" t="s">
        <v>2441</v>
      </c>
    </row>
    <row r="3161">
      <c r="A3161" s="27" t="s">
        <v>4195</v>
      </c>
      <c r="B3161" s="27">
        <v>6.8617985384626E13</v>
      </c>
      <c r="C3161" s="27" t="s">
        <v>2359</v>
      </c>
    </row>
    <row r="3162">
      <c r="A3162" s="27" t="s">
        <v>4196</v>
      </c>
      <c r="B3162" s="27">
        <v>6.861798625071E13</v>
      </c>
      <c r="C3162" s="27" t="s">
        <v>2359</v>
      </c>
    </row>
    <row r="3163">
      <c r="A3163" s="27" t="s">
        <v>2476</v>
      </c>
      <c r="B3163" s="27">
        <v>6.8658866289861E13</v>
      </c>
      <c r="C3163" s="27" t="s">
        <v>4197</v>
      </c>
    </row>
    <row r="3164">
      <c r="A3164" s="27" t="s">
        <v>2477</v>
      </c>
      <c r="B3164" s="27">
        <v>6.8658868763602E13</v>
      </c>
      <c r="C3164" s="27" t="s">
        <v>4198</v>
      </c>
    </row>
    <row r="3165">
      <c r="A3165" s="27" t="s">
        <v>4199</v>
      </c>
      <c r="B3165" s="27">
        <v>6.8911622143156E13</v>
      </c>
      <c r="C3165" s="27" t="s">
        <v>2359</v>
      </c>
    </row>
    <row r="3166">
      <c r="A3166" s="27" t="s">
        <v>4200</v>
      </c>
      <c r="B3166" s="27">
        <v>6.8911624368184E13</v>
      </c>
      <c r="C3166" s="27" t="s">
        <v>2359</v>
      </c>
    </row>
    <row r="3167">
      <c r="A3167" s="27" t="s">
        <v>4201</v>
      </c>
      <c r="B3167" s="27">
        <v>6.8911626126569E13</v>
      </c>
      <c r="C3167" s="27" t="s">
        <v>2363</v>
      </c>
    </row>
    <row r="3168">
      <c r="A3168" s="27" t="s">
        <v>4202</v>
      </c>
      <c r="B3168" s="27">
        <v>6.902221296276E12</v>
      </c>
      <c r="C3168" s="27" t="s">
        <v>2359</v>
      </c>
    </row>
    <row r="3169">
      <c r="A3169" s="27" t="s">
        <v>4203</v>
      </c>
      <c r="B3169" s="27">
        <v>6.902221296382E12</v>
      </c>
      <c r="C3169" s="27" t="s">
        <v>2363</v>
      </c>
    </row>
    <row r="3170">
      <c r="A3170" s="27" t="s">
        <v>4204</v>
      </c>
      <c r="B3170" s="27">
        <v>6.902221297877E12</v>
      </c>
      <c r="C3170" s="27" t="s">
        <v>2552</v>
      </c>
    </row>
    <row r="3171">
      <c r="A3171" s="27" t="s">
        <v>3102</v>
      </c>
      <c r="B3171" s="27">
        <v>6.902221297884E12</v>
      </c>
      <c r="C3171" s="27" t="s">
        <v>2361</v>
      </c>
    </row>
    <row r="3172">
      <c r="A3172" s="27" t="s">
        <v>4205</v>
      </c>
      <c r="B3172" s="27">
        <v>6.902221314598E12</v>
      </c>
      <c r="C3172" s="27" t="s">
        <v>2437</v>
      </c>
    </row>
    <row r="3173">
      <c r="A3173" s="27" t="s">
        <v>3104</v>
      </c>
      <c r="B3173" s="27">
        <v>6.902221315144E12</v>
      </c>
    </row>
    <row r="3174">
      <c r="A3174" s="27" t="s">
        <v>2834</v>
      </c>
      <c r="B3174" s="27">
        <v>6.902221315267E12</v>
      </c>
      <c r="C3174" s="27" t="s">
        <v>2437</v>
      </c>
    </row>
    <row r="3175">
      <c r="A3175" s="27" t="s">
        <v>4206</v>
      </c>
      <c r="B3175" s="27">
        <v>6.902221316967E12</v>
      </c>
      <c r="C3175" s="27" t="s">
        <v>2547</v>
      </c>
    </row>
    <row r="3176">
      <c r="A3176" s="27" t="s">
        <v>4207</v>
      </c>
      <c r="B3176" s="27">
        <v>6.902221317032E12</v>
      </c>
      <c r="C3176" s="27" t="s">
        <v>2361</v>
      </c>
    </row>
    <row r="3177">
      <c r="A3177" s="27" t="s">
        <v>4208</v>
      </c>
      <c r="B3177" s="27">
        <v>6.902221317094E12</v>
      </c>
      <c r="C3177" s="27" t="s">
        <v>2441</v>
      </c>
    </row>
    <row r="3178">
      <c r="A3178" s="27" t="s">
        <v>3388</v>
      </c>
      <c r="B3178" s="27">
        <v>6.902221318633E12</v>
      </c>
      <c r="C3178" s="27" t="s">
        <v>3795</v>
      </c>
    </row>
    <row r="3179">
      <c r="A3179" s="27" t="s">
        <v>2478</v>
      </c>
      <c r="B3179" s="27">
        <v>6.902221318688E12</v>
      </c>
      <c r="C3179" s="27" t="s">
        <v>2413</v>
      </c>
    </row>
    <row r="3180">
      <c r="A3180" s="27" t="s">
        <v>4209</v>
      </c>
      <c r="B3180" s="27">
        <v>6.902221318817E12</v>
      </c>
      <c r="C3180" s="27" t="s">
        <v>2441</v>
      </c>
    </row>
    <row r="3181">
      <c r="A3181" s="27" t="s">
        <v>4210</v>
      </c>
      <c r="B3181" s="27">
        <v>6.902221319104E12</v>
      </c>
      <c r="C3181" s="27" t="s">
        <v>2451</v>
      </c>
    </row>
    <row r="3182">
      <c r="A3182" s="27" t="s">
        <v>4211</v>
      </c>
      <c r="B3182" s="27">
        <v>6.902221319111E12</v>
      </c>
      <c r="C3182" s="27" t="s">
        <v>2451</v>
      </c>
    </row>
    <row r="3183">
      <c r="A3183" s="27" t="s">
        <v>4212</v>
      </c>
      <c r="B3183" s="27">
        <v>6.902221322814E12</v>
      </c>
      <c r="C3183" s="27" t="s">
        <v>2462</v>
      </c>
    </row>
    <row r="3184">
      <c r="A3184" s="27" t="s">
        <v>4213</v>
      </c>
      <c r="B3184" s="27">
        <v>6.902221322838E12</v>
      </c>
      <c r="C3184" s="27" t="s">
        <v>2421</v>
      </c>
    </row>
    <row r="3185">
      <c r="A3185" s="27" t="s">
        <v>4214</v>
      </c>
      <c r="B3185" s="27">
        <v>6.902221322845E12</v>
      </c>
      <c r="C3185" s="27" t="s">
        <v>2437</v>
      </c>
    </row>
    <row r="3186">
      <c r="A3186" s="27" t="s">
        <v>4215</v>
      </c>
      <c r="B3186" s="27">
        <v>6.902221322852E12</v>
      </c>
      <c r="C3186" s="27" t="s">
        <v>2372</v>
      </c>
    </row>
    <row r="3187">
      <c r="A3187" s="27" t="s">
        <v>4216</v>
      </c>
      <c r="B3187" s="27">
        <v>6.902221322883E12</v>
      </c>
      <c r="C3187" s="27" t="s">
        <v>2382</v>
      </c>
    </row>
    <row r="3188">
      <c r="A3188" s="27" t="s">
        <v>4217</v>
      </c>
      <c r="B3188" s="27">
        <v>6.902221322937E12</v>
      </c>
      <c r="C3188" s="27" t="s">
        <v>2579</v>
      </c>
    </row>
    <row r="3189">
      <c r="A3189" s="27" t="s">
        <v>4218</v>
      </c>
      <c r="B3189" s="27">
        <v>6.902221322944E12</v>
      </c>
      <c r="C3189" s="27" t="s">
        <v>2386</v>
      </c>
    </row>
    <row r="3190">
      <c r="A3190" s="27" t="s">
        <v>4219</v>
      </c>
      <c r="B3190" s="27">
        <v>6.902221323545E12</v>
      </c>
      <c r="C3190" s="27" t="s">
        <v>2359</v>
      </c>
    </row>
    <row r="3191">
      <c r="A3191" s="27" t="s">
        <v>4220</v>
      </c>
      <c r="B3191" s="27">
        <v>6.902221324078E12</v>
      </c>
      <c r="C3191" s="27" t="s">
        <v>2394</v>
      </c>
    </row>
    <row r="3192">
      <c r="A3192" s="27" t="s">
        <v>4221</v>
      </c>
      <c r="B3192" s="27">
        <v>6.902221324641E12</v>
      </c>
      <c r="C3192" s="27" t="s">
        <v>2363</v>
      </c>
    </row>
    <row r="3193">
      <c r="A3193" s="27" t="s">
        <v>4222</v>
      </c>
      <c r="B3193" s="27">
        <v>6.902221325891E12</v>
      </c>
    </row>
    <row r="3194">
      <c r="A3194" s="27" t="s">
        <v>4223</v>
      </c>
      <c r="B3194" s="27">
        <v>6.902221326225E12</v>
      </c>
      <c r="C3194" s="27" t="s">
        <v>2363</v>
      </c>
    </row>
    <row r="3195">
      <c r="A3195" s="27" t="s">
        <v>4224</v>
      </c>
      <c r="B3195" s="27">
        <v>6.902221326232E12</v>
      </c>
      <c r="C3195" s="27" t="s">
        <v>2441</v>
      </c>
    </row>
    <row r="3196">
      <c r="A3196" s="27" t="s">
        <v>3516</v>
      </c>
      <c r="B3196" s="27">
        <v>6.902221332998E12</v>
      </c>
      <c r="C3196" s="27" t="s">
        <v>2359</v>
      </c>
    </row>
    <row r="3197">
      <c r="A3197" s="27" t="s">
        <v>4225</v>
      </c>
      <c r="B3197" s="27">
        <v>6.902221335241E12</v>
      </c>
      <c r="C3197" s="27" t="s">
        <v>2437</v>
      </c>
    </row>
    <row r="3198">
      <c r="A3198" s="27" t="s">
        <v>4226</v>
      </c>
      <c r="B3198" s="27">
        <v>6.902221335258E12</v>
      </c>
      <c r="C3198" s="27" t="s">
        <v>2437</v>
      </c>
    </row>
    <row r="3199">
      <c r="A3199" s="27" t="s">
        <v>4227</v>
      </c>
      <c r="B3199" s="27">
        <v>6.902221341105E12</v>
      </c>
      <c r="C3199" s="27" t="s">
        <v>2441</v>
      </c>
    </row>
    <row r="3200">
      <c r="A3200" s="27" t="s">
        <v>4228</v>
      </c>
      <c r="B3200" s="27">
        <v>6.902221341129E12</v>
      </c>
      <c r="C3200" s="27" t="s">
        <v>2447</v>
      </c>
    </row>
    <row r="3201">
      <c r="A3201" s="27" t="s">
        <v>4229</v>
      </c>
      <c r="B3201" s="27">
        <v>6.902221341167E12</v>
      </c>
      <c r="C3201" s="27" t="s">
        <v>2441</v>
      </c>
    </row>
    <row r="3202">
      <c r="A3202" s="27" t="s">
        <v>4230</v>
      </c>
      <c r="B3202" s="27">
        <v>6.902221341181E12</v>
      </c>
      <c r="C3202" s="27" t="s">
        <v>2601</v>
      </c>
    </row>
    <row r="3203">
      <c r="A3203" s="27" t="s">
        <v>4231</v>
      </c>
      <c r="B3203" s="27">
        <v>6.902221341198E12</v>
      </c>
      <c r="C3203" s="27" t="s">
        <v>2380</v>
      </c>
    </row>
    <row r="3204">
      <c r="A3204" s="27" t="s">
        <v>4232</v>
      </c>
      <c r="B3204" s="27">
        <v>6.902221341204E12</v>
      </c>
      <c r="C3204" s="27" t="s">
        <v>2447</v>
      </c>
    </row>
    <row r="3205">
      <c r="A3205" s="27" t="s">
        <v>4233</v>
      </c>
      <c r="B3205" s="27">
        <v>6.902221341228E12</v>
      </c>
      <c r="C3205" s="27" t="s">
        <v>2363</v>
      </c>
    </row>
    <row r="3206">
      <c r="A3206" s="27" t="s">
        <v>4234</v>
      </c>
      <c r="B3206" s="27">
        <v>6.902221341235E12</v>
      </c>
      <c r="C3206" s="27" t="s">
        <v>2451</v>
      </c>
    </row>
    <row r="3207">
      <c r="A3207" s="27" t="s">
        <v>4235</v>
      </c>
      <c r="B3207" s="27">
        <v>6.902221341983E12</v>
      </c>
      <c r="C3207" s="27" t="s">
        <v>2394</v>
      </c>
    </row>
    <row r="3208">
      <c r="A3208" s="27" t="s">
        <v>4236</v>
      </c>
      <c r="B3208" s="27">
        <v>6.902221342003E12</v>
      </c>
      <c r="C3208" s="27" t="s">
        <v>2363</v>
      </c>
    </row>
    <row r="3209">
      <c r="A3209" s="27" t="s">
        <v>4237</v>
      </c>
      <c r="B3209" s="27">
        <v>6.902221342027E12</v>
      </c>
      <c r="C3209" s="27" t="s">
        <v>2437</v>
      </c>
    </row>
    <row r="3210">
      <c r="A3210" s="27" t="s">
        <v>4238</v>
      </c>
      <c r="B3210" s="27">
        <v>6.902221342034E12</v>
      </c>
      <c r="C3210" s="27" t="s">
        <v>2359</v>
      </c>
    </row>
    <row r="3211">
      <c r="A3211" s="27" t="s">
        <v>4239</v>
      </c>
      <c r="B3211" s="27">
        <v>6.902221342058E12</v>
      </c>
      <c r="C3211" s="27" t="s">
        <v>2380</v>
      </c>
    </row>
    <row r="3212">
      <c r="A3212" s="27" t="s">
        <v>4240</v>
      </c>
      <c r="B3212" s="27">
        <v>6.902221342089E12</v>
      </c>
      <c r="C3212" s="27" t="s">
        <v>2402</v>
      </c>
    </row>
    <row r="3213">
      <c r="A3213" s="27" t="s">
        <v>4241</v>
      </c>
      <c r="B3213" s="27">
        <v>6.902221342553E12</v>
      </c>
      <c r="C3213" s="27" t="s">
        <v>2363</v>
      </c>
    </row>
    <row r="3214">
      <c r="A3214" s="27" t="s">
        <v>4242</v>
      </c>
      <c r="B3214" s="27">
        <v>6.902221342591E12</v>
      </c>
      <c r="C3214" s="27" t="s">
        <v>2370</v>
      </c>
    </row>
    <row r="3215">
      <c r="A3215" s="27" t="s">
        <v>3389</v>
      </c>
      <c r="B3215" s="27">
        <v>6.902221342614E12</v>
      </c>
      <c r="C3215" s="27" t="s">
        <v>2361</v>
      </c>
    </row>
    <row r="3216">
      <c r="A3216" s="27" t="s">
        <v>4243</v>
      </c>
      <c r="B3216" s="27">
        <v>6.902221342621E12</v>
      </c>
      <c r="C3216" s="27" t="s">
        <v>2394</v>
      </c>
    </row>
    <row r="3217">
      <c r="A3217" s="27" t="s">
        <v>4244</v>
      </c>
      <c r="B3217" s="27">
        <v>6.902221342645E12</v>
      </c>
      <c r="C3217" s="27" t="s">
        <v>2378</v>
      </c>
    </row>
    <row r="3218">
      <c r="A3218" s="27" t="s">
        <v>4245</v>
      </c>
      <c r="B3218" s="27">
        <v>6.902221342652E12</v>
      </c>
      <c r="C3218" s="27" t="s">
        <v>2361</v>
      </c>
    </row>
    <row r="3219">
      <c r="A3219" s="27" t="s">
        <v>4246</v>
      </c>
      <c r="B3219" s="27">
        <v>6.902221342683E12</v>
      </c>
      <c r="C3219" s="27" t="s">
        <v>2380</v>
      </c>
    </row>
    <row r="3220">
      <c r="A3220" s="27" t="s">
        <v>4247</v>
      </c>
      <c r="B3220" s="27">
        <v>6.902221414823E12</v>
      </c>
      <c r="C3220" s="27" t="s">
        <v>2363</v>
      </c>
    </row>
    <row r="3221">
      <c r="A3221" s="27" t="s">
        <v>4248</v>
      </c>
      <c r="B3221" s="27">
        <v>6.902221441201E12</v>
      </c>
      <c r="C3221" s="27" t="s">
        <v>2363</v>
      </c>
    </row>
    <row r="3222">
      <c r="A3222" s="27" t="s">
        <v>4249</v>
      </c>
      <c r="B3222" s="27">
        <v>6.902221442192E12</v>
      </c>
      <c r="C3222" s="27" t="s">
        <v>2441</v>
      </c>
    </row>
    <row r="3223">
      <c r="A3223" s="27" t="s">
        <v>4250</v>
      </c>
      <c r="B3223" s="27">
        <v>6.903421324912E12</v>
      </c>
      <c r="C3223" s="27" t="s">
        <v>2372</v>
      </c>
    </row>
    <row r="3224">
      <c r="A3224" s="27" t="s">
        <v>4251</v>
      </c>
      <c r="B3224" s="27">
        <v>6.909721325543E12</v>
      </c>
      <c r="C3224" s="27" t="s">
        <v>2363</v>
      </c>
    </row>
    <row r="3225">
      <c r="A3225" s="27" t="s">
        <v>4252</v>
      </c>
      <c r="B3225" s="27">
        <v>6.934033796201E13</v>
      </c>
      <c r="C3225" s="27" t="s">
        <v>3489</v>
      </c>
    </row>
    <row r="3226">
      <c r="A3226" s="27" t="s">
        <v>4253</v>
      </c>
      <c r="B3226" s="27">
        <v>6.9348994953762E13</v>
      </c>
    </row>
    <row r="3227">
      <c r="A3227" s="27" t="s">
        <v>4254</v>
      </c>
      <c r="B3227" s="27">
        <v>6.9653484984761E13</v>
      </c>
      <c r="C3227" s="27" t="s">
        <v>3858</v>
      </c>
    </row>
    <row r="3228">
      <c r="A3228" s="27" t="s">
        <v>4255</v>
      </c>
      <c r="B3228" s="27">
        <v>6.9653486293127E13</v>
      </c>
      <c r="C3228" s="27" t="s">
        <v>3849</v>
      </c>
    </row>
    <row r="3229">
      <c r="A3229" s="27" t="s">
        <v>4256</v>
      </c>
      <c r="B3229" s="27">
        <v>6.9653487487038E13</v>
      </c>
      <c r="C3229" s="27" t="s">
        <v>4257</v>
      </c>
    </row>
    <row r="3230">
      <c r="A3230" s="27" t="s">
        <v>4258</v>
      </c>
      <c r="B3230" s="27">
        <v>6.9653491094344E13</v>
      </c>
      <c r="C3230" s="27" t="s">
        <v>3973</v>
      </c>
    </row>
    <row r="3231">
      <c r="A3231" s="27" t="s">
        <v>4259</v>
      </c>
      <c r="B3231" s="27">
        <v>6.9653492427642E13</v>
      </c>
      <c r="C3231" s="27" t="s">
        <v>3973</v>
      </c>
    </row>
    <row r="3232">
      <c r="A3232" s="27" t="s">
        <v>4260</v>
      </c>
      <c r="B3232" s="27">
        <v>6.965349388611E13</v>
      </c>
      <c r="C3232" s="27" t="s">
        <v>3849</v>
      </c>
    </row>
    <row r="3233">
      <c r="A3233" s="27" t="s">
        <v>4261</v>
      </c>
      <c r="B3233" s="27">
        <v>6.9653495999708E13</v>
      </c>
      <c r="C3233" s="27" t="s">
        <v>4169</v>
      </c>
    </row>
    <row r="3234">
      <c r="A3234" s="27" t="s">
        <v>4262</v>
      </c>
      <c r="B3234" s="27">
        <v>6.9653497087357E13</v>
      </c>
      <c r="C3234" s="27" t="s">
        <v>3973</v>
      </c>
    </row>
    <row r="3235">
      <c r="A3235" s="27" t="s">
        <v>4263</v>
      </c>
      <c r="B3235" s="27">
        <v>6.9653596768424E13</v>
      </c>
      <c r="C3235" s="27" t="s">
        <v>4264</v>
      </c>
    </row>
    <row r="3236">
      <c r="A3236" s="27" t="s">
        <v>4265</v>
      </c>
      <c r="B3236" s="27">
        <v>6.9653598176576E13</v>
      </c>
      <c r="C3236" s="27" t="s">
        <v>4266</v>
      </c>
    </row>
    <row r="3237">
      <c r="A3237" s="27" t="s">
        <v>4267</v>
      </c>
      <c r="B3237" s="27">
        <v>6.9653599249811E13</v>
      </c>
      <c r="C3237" s="27" t="s">
        <v>4268</v>
      </c>
    </row>
    <row r="3238">
      <c r="A3238" s="27" t="s">
        <v>4269</v>
      </c>
      <c r="B3238" s="27">
        <v>6.965360018038E13</v>
      </c>
      <c r="C3238" s="27" t="s">
        <v>4270</v>
      </c>
    </row>
    <row r="3239">
      <c r="A3239" s="27" t="s">
        <v>4271</v>
      </c>
      <c r="B3239" s="27">
        <v>6.9653601317354E13</v>
      </c>
      <c r="C3239" s="27" t="s">
        <v>4272</v>
      </c>
    </row>
    <row r="3240">
      <c r="A3240" s="27" t="s">
        <v>4273</v>
      </c>
      <c r="B3240" s="27">
        <v>6.9653602134992E13</v>
      </c>
      <c r="C3240" s="27" t="s">
        <v>4274</v>
      </c>
    </row>
    <row r="3241">
      <c r="A3241" s="27" t="s">
        <v>3149</v>
      </c>
      <c r="B3241" s="27">
        <v>6.9746014453052E13</v>
      </c>
      <c r="C3241" s="27" t="s">
        <v>4275</v>
      </c>
    </row>
    <row r="3242">
      <c r="A3242" s="27" t="s">
        <v>4276</v>
      </c>
      <c r="B3242" s="27">
        <v>6.9875994809889E13</v>
      </c>
      <c r="C3242" s="27" t="s">
        <v>2359</v>
      </c>
    </row>
    <row r="3243">
      <c r="A3243" s="27" t="s">
        <v>4277</v>
      </c>
      <c r="B3243" s="27">
        <v>6.9875997006865E13</v>
      </c>
      <c r="C3243" s="27" t="s">
        <v>2359</v>
      </c>
    </row>
    <row r="3244">
      <c r="A3244" s="27" t="s">
        <v>4278</v>
      </c>
      <c r="B3244" s="27">
        <v>7.0068917703813E13</v>
      </c>
      <c r="C3244" s="27" t="s">
        <v>2447</v>
      </c>
    </row>
    <row r="3245">
      <c r="A3245" s="27" t="s">
        <v>4279</v>
      </c>
      <c r="B3245" s="27">
        <v>70135.0</v>
      </c>
      <c r="C3245" s="27" t="s">
        <v>2359</v>
      </c>
    </row>
    <row r="3246">
      <c r="A3246" s="27" t="s">
        <v>4280</v>
      </c>
      <c r="B3246" s="27">
        <v>7.0195453061666E13</v>
      </c>
      <c r="C3246" s="27" t="s">
        <v>2359</v>
      </c>
    </row>
    <row r="3247">
      <c r="A3247" s="27" t="s">
        <v>4281</v>
      </c>
      <c r="B3247" s="27">
        <v>7.0195453981273E13</v>
      </c>
      <c r="C3247" s="27" t="s">
        <v>2359</v>
      </c>
    </row>
    <row r="3248">
      <c r="A3248" s="27" t="s">
        <v>4282</v>
      </c>
      <c r="B3248" s="27">
        <v>7.01954546173E13</v>
      </c>
      <c r="C3248" s="27" t="s">
        <v>2359</v>
      </c>
    </row>
    <row r="3249">
      <c r="A3249" s="27" t="s">
        <v>4283</v>
      </c>
      <c r="B3249" s="27">
        <v>7.0195455304569E13</v>
      </c>
      <c r="C3249" s="27" t="s">
        <v>2359</v>
      </c>
    </row>
    <row r="3250">
      <c r="A3250" s="27" t="s">
        <v>4284</v>
      </c>
      <c r="B3250" s="27">
        <v>7.0197502690522E13</v>
      </c>
    </row>
    <row r="3251">
      <c r="A3251" s="27" t="s">
        <v>4285</v>
      </c>
      <c r="B3251" s="27">
        <v>7.0197505407304E13</v>
      </c>
    </row>
    <row r="3252">
      <c r="A3252" s="27" t="s">
        <v>4286</v>
      </c>
      <c r="B3252" s="27">
        <v>7.0197510577926E13</v>
      </c>
      <c r="C3252" s="27" t="s">
        <v>2359</v>
      </c>
    </row>
    <row r="3253">
      <c r="A3253" s="27" t="s">
        <v>4287</v>
      </c>
      <c r="B3253" s="27">
        <v>70296.0</v>
      </c>
      <c r="C3253" s="27" t="s">
        <v>2363</v>
      </c>
    </row>
    <row r="3254">
      <c r="A3254" s="27" t="s">
        <v>4288</v>
      </c>
      <c r="B3254" s="27">
        <v>70302.0</v>
      </c>
      <c r="C3254" s="27" t="s">
        <v>2363</v>
      </c>
    </row>
    <row r="3255">
      <c r="A3255" s="27" t="s">
        <v>4289</v>
      </c>
      <c r="B3255" s="27">
        <v>70326.0</v>
      </c>
      <c r="C3255" s="27" t="s">
        <v>2437</v>
      </c>
    </row>
    <row r="3256">
      <c r="A3256" s="27" t="s">
        <v>4290</v>
      </c>
      <c r="B3256" s="27">
        <v>7.0447869307288E13</v>
      </c>
      <c r="C3256" s="27" t="s">
        <v>2359</v>
      </c>
    </row>
    <row r="3257">
      <c r="A3257" s="27" t="s">
        <v>4291</v>
      </c>
      <c r="B3257" s="27">
        <v>7.0782661369782E13</v>
      </c>
      <c r="C3257" s="27" t="s">
        <v>2359</v>
      </c>
    </row>
    <row r="3258">
      <c r="A3258" s="27" t="s">
        <v>4292</v>
      </c>
      <c r="B3258" s="27">
        <v>7.0907190854055E13</v>
      </c>
    </row>
    <row r="3259">
      <c r="A3259" s="27" t="s">
        <v>4293</v>
      </c>
      <c r="B3259" s="27">
        <v>7.0907192757761E13</v>
      </c>
    </row>
    <row r="3260">
      <c r="A3260" s="27" t="s">
        <v>4294</v>
      </c>
      <c r="B3260" s="27">
        <v>7.0907194567594E13</v>
      </c>
    </row>
    <row r="3261">
      <c r="A3261" s="27" t="s">
        <v>4295</v>
      </c>
      <c r="B3261" s="27">
        <v>7.0907196536306E13</v>
      </c>
    </row>
    <row r="3262">
      <c r="A3262" s="27" t="s">
        <v>4296</v>
      </c>
      <c r="B3262" s="27">
        <v>7.0907198089005E13</v>
      </c>
    </row>
    <row r="3263">
      <c r="A3263" s="27" t="s">
        <v>4297</v>
      </c>
      <c r="B3263" s="27">
        <v>7.0907200116752E13</v>
      </c>
    </row>
    <row r="3264">
      <c r="A3264" s="27" t="s">
        <v>4298</v>
      </c>
      <c r="B3264" s="27">
        <v>7.0907201771012E13</v>
      </c>
    </row>
    <row r="3265">
      <c r="A3265" s="27" t="s">
        <v>4299</v>
      </c>
      <c r="B3265" s="27">
        <v>7.0907203461725E13</v>
      </c>
    </row>
    <row r="3266">
      <c r="A3266" s="27" t="s">
        <v>4300</v>
      </c>
      <c r="B3266" s="27">
        <v>7.0907205129301E13</v>
      </c>
    </row>
    <row r="3267">
      <c r="A3267" s="27" t="s">
        <v>4301</v>
      </c>
      <c r="B3267" s="27">
        <v>7.0907207087415E13</v>
      </c>
    </row>
    <row r="3268">
      <c r="A3268" s="27" t="s">
        <v>4302</v>
      </c>
      <c r="B3268" s="27">
        <v>7.0907209276689E13</v>
      </c>
    </row>
    <row r="3269">
      <c r="A3269" s="27" t="s">
        <v>4303</v>
      </c>
      <c r="B3269" s="27">
        <v>7.0907211091358E13</v>
      </c>
    </row>
    <row r="3270">
      <c r="A3270" s="27" t="s">
        <v>4304</v>
      </c>
      <c r="B3270" s="27">
        <v>7.0907212944338E13</v>
      </c>
    </row>
    <row r="3271">
      <c r="A3271" s="27" t="s">
        <v>4305</v>
      </c>
      <c r="B3271" s="27">
        <v>7.0921709583422E13</v>
      </c>
    </row>
    <row r="3272">
      <c r="A3272" s="27" t="s">
        <v>4306</v>
      </c>
      <c r="B3272" s="27">
        <v>71244.0</v>
      </c>
      <c r="C3272" s="27" t="s">
        <v>2421</v>
      </c>
    </row>
    <row r="3273">
      <c r="A3273" s="27" t="s">
        <v>4307</v>
      </c>
      <c r="B3273" s="27">
        <v>72178.0</v>
      </c>
      <c r="C3273" s="27" t="s">
        <v>2382</v>
      </c>
    </row>
    <row r="3274">
      <c r="A3274" s="27" t="s">
        <v>4308</v>
      </c>
      <c r="B3274" s="27">
        <v>72191.0</v>
      </c>
      <c r="C3274" s="27" t="s">
        <v>2363</v>
      </c>
    </row>
    <row r="3275">
      <c r="A3275" s="27" t="s">
        <v>4309</v>
      </c>
      <c r="B3275" s="27">
        <v>72383.0</v>
      </c>
      <c r="C3275" s="27" t="s">
        <v>2363</v>
      </c>
    </row>
    <row r="3276">
      <c r="A3276" s="27" t="s">
        <v>4310</v>
      </c>
      <c r="B3276" s="27">
        <v>72389.0</v>
      </c>
      <c r="C3276" s="27" t="s">
        <v>2363</v>
      </c>
    </row>
    <row r="3277">
      <c r="A3277" s="27" t="s">
        <v>4311</v>
      </c>
      <c r="B3277" s="27">
        <v>72491.0</v>
      </c>
      <c r="C3277" s="27" t="s">
        <v>2441</v>
      </c>
    </row>
    <row r="3278">
      <c r="A3278" s="27" t="s">
        <v>4312</v>
      </c>
      <c r="B3278" s="27">
        <v>72633.0</v>
      </c>
      <c r="C3278" s="27" t="s">
        <v>2437</v>
      </c>
    </row>
    <row r="3279">
      <c r="A3279" s="27" t="s">
        <v>4313</v>
      </c>
      <c r="B3279" s="27">
        <v>72657.0</v>
      </c>
      <c r="C3279" s="27" t="s">
        <v>2363</v>
      </c>
    </row>
    <row r="3280">
      <c r="A3280" s="27" t="s">
        <v>4314</v>
      </c>
      <c r="B3280" s="27">
        <v>72746.0</v>
      </c>
      <c r="C3280" s="27" t="s">
        <v>2441</v>
      </c>
    </row>
    <row r="3281">
      <c r="A3281" s="27" t="s">
        <v>4315</v>
      </c>
      <c r="B3281" s="27">
        <v>731144.0</v>
      </c>
      <c r="C3281" s="27" t="s">
        <v>2437</v>
      </c>
    </row>
    <row r="3282">
      <c r="A3282" s="27" t="s">
        <v>4316</v>
      </c>
      <c r="B3282" s="27">
        <v>731145.0</v>
      </c>
      <c r="C3282" s="27" t="s">
        <v>2437</v>
      </c>
    </row>
    <row r="3283">
      <c r="A3283" s="27" t="s">
        <v>4317</v>
      </c>
      <c r="B3283" s="27">
        <v>731154.0</v>
      </c>
      <c r="C3283" s="27" t="s">
        <v>2441</v>
      </c>
    </row>
    <row r="3284">
      <c r="A3284" s="27" t="s">
        <v>4318</v>
      </c>
      <c r="B3284" s="27">
        <v>731176.0</v>
      </c>
      <c r="C3284" s="27" t="s">
        <v>2363</v>
      </c>
    </row>
    <row r="3285">
      <c r="A3285" s="27" t="s">
        <v>4319</v>
      </c>
      <c r="B3285" s="27">
        <v>731177.0</v>
      </c>
      <c r="C3285" s="27" t="s">
        <v>2359</v>
      </c>
    </row>
    <row r="3286">
      <c r="A3286" s="27" t="s">
        <v>4320</v>
      </c>
      <c r="B3286" s="27">
        <v>731192.0</v>
      </c>
      <c r="C3286" s="27" t="s">
        <v>2359</v>
      </c>
    </row>
    <row r="3287">
      <c r="A3287" s="27" t="s">
        <v>4321</v>
      </c>
      <c r="B3287" s="27">
        <v>73132.0</v>
      </c>
      <c r="C3287" s="27" t="s">
        <v>2359</v>
      </c>
    </row>
    <row r="3288">
      <c r="A3288" s="27" t="s">
        <v>4322</v>
      </c>
      <c r="B3288" s="27">
        <v>73730.0</v>
      </c>
      <c r="C3288" s="27" t="s">
        <v>2437</v>
      </c>
    </row>
    <row r="3289">
      <c r="A3289" s="27" t="s">
        <v>4323</v>
      </c>
      <c r="B3289" s="27">
        <v>73849.0</v>
      </c>
      <c r="C3289" s="27" t="s">
        <v>2363</v>
      </c>
    </row>
    <row r="3290">
      <c r="A3290" s="27" t="s">
        <v>4324</v>
      </c>
      <c r="B3290" s="27">
        <v>74048.0</v>
      </c>
      <c r="C3290" s="27" t="s">
        <v>2363</v>
      </c>
    </row>
    <row r="3291">
      <c r="A3291" s="27" t="s">
        <v>4325</v>
      </c>
      <c r="B3291" s="27">
        <v>74049.0</v>
      </c>
      <c r="C3291" s="27" t="s">
        <v>2361</v>
      </c>
    </row>
    <row r="3292">
      <c r="A3292" s="27" t="s">
        <v>4326</v>
      </c>
      <c r="B3292" s="27">
        <v>74173.0</v>
      </c>
      <c r="C3292" s="27" t="s">
        <v>2441</v>
      </c>
    </row>
    <row r="3293">
      <c r="A3293" s="27" t="s">
        <v>4327</v>
      </c>
      <c r="B3293" s="27">
        <v>7.45853438517E11</v>
      </c>
      <c r="C3293" s="27" t="s">
        <v>2407</v>
      </c>
    </row>
    <row r="3294">
      <c r="A3294" s="27" t="s">
        <v>4328</v>
      </c>
      <c r="B3294" s="27">
        <v>7.45853438524E11</v>
      </c>
      <c r="C3294" s="27" t="s">
        <v>2361</v>
      </c>
    </row>
    <row r="3295">
      <c r="A3295" s="27" t="s">
        <v>4329</v>
      </c>
      <c r="B3295" s="27">
        <v>7.45853438661E11</v>
      </c>
      <c r="C3295" s="27" t="s">
        <v>2378</v>
      </c>
    </row>
    <row r="3296">
      <c r="A3296" s="27" t="s">
        <v>4330</v>
      </c>
      <c r="B3296" s="27">
        <v>7.45853438685E11</v>
      </c>
      <c r="C3296" s="27" t="s">
        <v>2409</v>
      </c>
    </row>
    <row r="3297">
      <c r="A3297" s="27" t="s">
        <v>4331</v>
      </c>
      <c r="B3297" s="27">
        <v>7.45853438722E11</v>
      </c>
      <c r="C3297" s="27" t="s">
        <v>2462</v>
      </c>
    </row>
    <row r="3298">
      <c r="A3298" s="27" t="s">
        <v>4332</v>
      </c>
      <c r="B3298" s="27">
        <v>7.45853438753E11</v>
      </c>
      <c r="C3298" s="27" t="s">
        <v>2361</v>
      </c>
    </row>
    <row r="3299">
      <c r="A3299" s="27" t="s">
        <v>4333</v>
      </c>
      <c r="B3299" s="27">
        <v>7.4585343876E11</v>
      </c>
      <c r="C3299" s="27" t="s">
        <v>2407</v>
      </c>
    </row>
    <row r="3300">
      <c r="A3300" s="27" t="s">
        <v>4334</v>
      </c>
      <c r="B3300" s="27">
        <v>7.45853438784E11</v>
      </c>
      <c r="C3300" s="27" t="s">
        <v>2407</v>
      </c>
    </row>
    <row r="3301">
      <c r="A3301" s="27" t="s">
        <v>4335</v>
      </c>
      <c r="B3301" s="27">
        <v>7.45853438791E11</v>
      </c>
      <c r="C3301" s="27" t="s">
        <v>2407</v>
      </c>
    </row>
    <row r="3302">
      <c r="A3302" s="27" t="s">
        <v>4336</v>
      </c>
      <c r="B3302" s="27">
        <v>7.45853438944E11</v>
      </c>
      <c r="C3302" s="27" t="s">
        <v>2595</v>
      </c>
    </row>
    <row r="3303">
      <c r="A3303" s="27" t="s">
        <v>4337</v>
      </c>
      <c r="B3303" s="27">
        <v>7.45853438975E11</v>
      </c>
      <c r="C3303" s="27" t="s">
        <v>2380</v>
      </c>
    </row>
    <row r="3304">
      <c r="A3304" s="27" t="s">
        <v>4338</v>
      </c>
      <c r="B3304" s="27">
        <v>7.500021502E9</v>
      </c>
      <c r="C3304" s="27" t="s">
        <v>2363</v>
      </c>
    </row>
    <row r="3305">
      <c r="A3305" s="27" t="s">
        <v>4339</v>
      </c>
      <c r="B3305" s="27">
        <v>7.500021521E9</v>
      </c>
      <c r="C3305" s="27" t="s">
        <v>2363</v>
      </c>
    </row>
    <row r="3306">
      <c r="A3306" s="27" t="s">
        <v>4340</v>
      </c>
      <c r="B3306" s="27">
        <v>7.500030702E9</v>
      </c>
      <c r="C3306" s="27" t="s">
        <v>2441</v>
      </c>
    </row>
    <row r="3307">
      <c r="A3307" s="27" t="s">
        <v>4341</v>
      </c>
      <c r="B3307" s="27">
        <v>7.500030721E9</v>
      </c>
      <c r="C3307" s="27" t="s">
        <v>2363</v>
      </c>
    </row>
    <row r="3308">
      <c r="A3308" s="27" t="s">
        <v>4342</v>
      </c>
      <c r="B3308" s="27">
        <v>7.500030802E9</v>
      </c>
      <c r="C3308" s="27" t="s">
        <v>2437</v>
      </c>
    </row>
    <row r="3309">
      <c r="A3309" s="27" t="s">
        <v>4343</v>
      </c>
      <c r="B3309" s="27">
        <v>7.500030821E9</v>
      </c>
      <c r="C3309" s="27" t="s">
        <v>2437</v>
      </c>
    </row>
    <row r="3310">
      <c r="A3310" s="27" t="s">
        <v>4344</v>
      </c>
      <c r="B3310" s="27">
        <v>75095.0</v>
      </c>
      <c r="C3310" s="27" t="s">
        <v>2441</v>
      </c>
    </row>
    <row r="3311">
      <c r="A3311" s="27" t="s">
        <v>4345</v>
      </c>
      <c r="B3311" s="27">
        <v>751178.0</v>
      </c>
      <c r="C3311" s="27" t="s">
        <v>2359</v>
      </c>
    </row>
    <row r="3312">
      <c r="A3312" s="27" t="s">
        <v>2479</v>
      </c>
      <c r="B3312" s="27">
        <v>7.57450527587E11</v>
      </c>
      <c r="C3312" s="27" t="s">
        <v>2378</v>
      </c>
    </row>
    <row r="3313">
      <c r="A3313" s="27" t="s">
        <v>3303</v>
      </c>
      <c r="B3313" s="27">
        <v>7.57450527594E11</v>
      </c>
      <c r="C3313" s="27" t="s">
        <v>2451</v>
      </c>
    </row>
    <row r="3314">
      <c r="A3314" s="27" t="s">
        <v>2839</v>
      </c>
      <c r="B3314" s="27">
        <v>7.574505276E11</v>
      </c>
      <c r="C3314" s="27" t="s">
        <v>2363</v>
      </c>
    </row>
    <row r="3315">
      <c r="A3315" s="27" t="s">
        <v>4346</v>
      </c>
      <c r="B3315" s="27">
        <v>7.57450527655E11</v>
      </c>
      <c r="C3315" s="27" t="s">
        <v>2441</v>
      </c>
    </row>
    <row r="3316">
      <c r="A3316" s="27" t="s">
        <v>2840</v>
      </c>
      <c r="B3316" s="27">
        <v>7.57450527785E11</v>
      </c>
      <c r="C3316" s="27" t="s">
        <v>2402</v>
      </c>
    </row>
    <row r="3317">
      <c r="A3317" s="27" t="s">
        <v>3107</v>
      </c>
      <c r="B3317" s="27">
        <v>7.57450527792E11</v>
      </c>
      <c r="C3317" s="27" t="s">
        <v>2421</v>
      </c>
    </row>
    <row r="3318">
      <c r="A3318" s="27" t="s">
        <v>2480</v>
      </c>
      <c r="B3318" s="27">
        <v>7.57450527808E11</v>
      </c>
      <c r="C3318" s="27" t="s">
        <v>2451</v>
      </c>
    </row>
    <row r="3319">
      <c r="A3319" s="27" t="s">
        <v>4347</v>
      </c>
      <c r="B3319" s="27">
        <v>7.57450527815E11</v>
      </c>
      <c r="C3319" s="27" t="s">
        <v>2437</v>
      </c>
    </row>
    <row r="3320">
      <c r="A3320" s="27" t="s">
        <v>4348</v>
      </c>
      <c r="B3320" s="27">
        <v>7.57450527839E11</v>
      </c>
      <c r="C3320" s="27" t="s">
        <v>2359</v>
      </c>
    </row>
    <row r="3321">
      <c r="A3321" s="27" t="s">
        <v>2841</v>
      </c>
      <c r="B3321" s="27">
        <v>7.57450527846E11</v>
      </c>
      <c r="C3321" s="27" t="s">
        <v>2409</v>
      </c>
    </row>
    <row r="3322">
      <c r="A3322" s="27" t="s">
        <v>2481</v>
      </c>
      <c r="B3322" s="27">
        <v>7.57450527853E11</v>
      </c>
      <c r="C3322" s="27" t="s">
        <v>2441</v>
      </c>
    </row>
    <row r="3323">
      <c r="A3323" s="27" t="s">
        <v>2842</v>
      </c>
      <c r="B3323" s="27">
        <v>7.57450527884E11</v>
      </c>
      <c r="C3323" s="27" t="s">
        <v>2451</v>
      </c>
    </row>
    <row r="3324">
      <c r="A3324" s="27" t="s">
        <v>4349</v>
      </c>
      <c r="B3324" s="27">
        <v>7.57450527891E11</v>
      </c>
      <c r="C3324" s="27" t="s">
        <v>2361</v>
      </c>
    </row>
    <row r="3325">
      <c r="A3325" s="27" t="s">
        <v>2843</v>
      </c>
      <c r="B3325" s="27">
        <v>7.57450527921E11</v>
      </c>
      <c r="C3325" s="27" t="s">
        <v>2451</v>
      </c>
    </row>
    <row r="3326">
      <c r="A3326" s="27" t="s">
        <v>4350</v>
      </c>
      <c r="B3326" s="27">
        <v>7.57450527945E11</v>
      </c>
      <c r="C3326" s="27" t="s">
        <v>2441</v>
      </c>
    </row>
    <row r="3327">
      <c r="A3327" s="27" t="s">
        <v>2482</v>
      </c>
      <c r="B3327" s="27">
        <v>7.57450528058E11</v>
      </c>
      <c r="C3327" s="27" t="s">
        <v>2447</v>
      </c>
    </row>
    <row r="3328">
      <c r="A3328" s="27" t="s">
        <v>4351</v>
      </c>
      <c r="B3328" s="27">
        <v>7.64451134775E11</v>
      </c>
      <c r="C3328" s="27" t="s">
        <v>2437</v>
      </c>
    </row>
    <row r="3329">
      <c r="A3329" s="27" t="s">
        <v>4352</v>
      </c>
      <c r="B3329" s="27">
        <v>7.64451134782E11</v>
      </c>
      <c r="C3329" s="27" t="s">
        <v>2451</v>
      </c>
    </row>
    <row r="3330">
      <c r="A3330" s="27" t="s">
        <v>4353</v>
      </c>
      <c r="B3330" s="27">
        <v>77915.0</v>
      </c>
      <c r="C3330" s="27" t="s">
        <v>2359</v>
      </c>
    </row>
    <row r="3331">
      <c r="A3331" s="27" t="s">
        <v>4354</v>
      </c>
      <c r="B3331" s="27">
        <v>7.804683440015E12</v>
      </c>
      <c r="C3331" s="27" t="s">
        <v>2437</v>
      </c>
    </row>
    <row r="3332">
      <c r="A3332" s="27" t="s">
        <v>4355</v>
      </c>
      <c r="B3332" s="27">
        <v>7.804683440022E12</v>
      </c>
      <c r="C3332" s="27" t="s">
        <v>2439</v>
      </c>
    </row>
    <row r="3333">
      <c r="A3333" s="27" t="s">
        <v>4356</v>
      </c>
      <c r="B3333" s="27">
        <v>7.804683440039E12</v>
      </c>
      <c r="C3333" s="27" t="s">
        <v>2439</v>
      </c>
    </row>
    <row r="3334">
      <c r="A3334" s="27" t="s">
        <v>4357</v>
      </c>
      <c r="B3334" s="27">
        <v>7.804683440046E12</v>
      </c>
      <c r="C3334" s="27" t="s">
        <v>2394</v>
      </c>
    </row>
    <row r="3335">
      <c r="A3335" s="27" t="s">
        <v>4358</v>
      </c>
      <c r="B3335" s="27">
        <v>7.81159758591E11</v>
      </c>
      <c r="C3335" s="27" t="s">
        <v>2378</v>
      </c>
    </row>
    <row r="3336">
      <c r="A3336" s="27" t="s">
        <v>4359</v>
      </c>
      <c r="B3336" s="27">
        <v>7.88115359151E11</v>
      </c>
      <c r="C3336" s="27" t="s">
        <v>2447</v>
      </c>
    </row>
    <row r="3337">
      <c r="A3337" s="27" t="s">
        <v>4360</v>
      </c>
      <c r="B3337" s="27">
        <v>7.99192097485E11</v>
      </c>
      <c r="C3337" s="27" t="s">
        <v>2407</v>
      </c>
    </row>
    <row r="3338">
      <c r="A3338" s="27" t="s">
        <v>4361</v>
      </c>
      <c r="B3338" s="27">
        <v>7.99192097492E11</v>
      </c>
      <c r="C3338" s="27" t="s">
        <v>2407</v>
      </c>
    </row>
    <row r="3339">
      <c r="A3339" s="27" t="s">
        <v>4362</v>
      </c>
      <c r="B3339" s="27">
        <v>7.99192097751E11</v>
      </c>
      <c r="C3339" s="27" t="s">
        <v>2407</v>
      </c>
    </row>
    <row r="3340">
      <c r="A3340" s="27" t="s">
        <v>4363</v>
      </c>
      <c r="B3340" s="27">
        <v>7.99192097775E11</v>
      </c>
      <c r="C3340" s="27" t="s">
        <v>2407</v>
      </c>
    </row>
    <row r="3341">
      <c r="A3341" s="27" t="s">
        <v>4364</v>
      </c>
      <c r="B3341" s="27">
        <v>7.99192097812E11</v>
      </c>
      <c r="C3341" s="27" t="s">
        <v>2407</v>
      </c>
    </row>
    <row r="3342">
      <c r="A3342" s="27" t="s">
        <v>4365</v>
      </c>
      <c r="B3342" s="27">
        <v>7.99192098178E11</v>
      </c>
      <c r="C3342" s="27" t="s">
        <v>2407</v>
      </c>
    </row>
    <row r="3343">
      <c r="A3343" s="27" t="s">
        <v>3308</v>
      </c>
      <c r="B3343" s="27" t="s">
        <v>3309</v>
      </c>
    </row>
    <row r="3344">
      <c r="A3344" s="27" t="s">
        <v>4366</v>
      </c>
      <c r="B3344" s="27" t="s">
        <v>4367</v>
      </c>
    </row>
    <row r="3345">
      <c r="A3345" s="27" t="s">
        <v>3390</v>
      </c>
      <c r="B3345" s="27" t="s">
        <v>3391</v>
      </c>
      <c r="C3345" s="27" t="s">
        <v>2447</v>
      </c>
    </row>
    <row r="3346">
      <c r="A3346" s="27" t="s">
        <v>2847</v>
      </c>
      <c r="B3346" s="27">
        <v>89388.0</v>
      </c>
      <c r="C3346" s="27" t="s">
        <v>2359</v>
      </c>
    </row>
    <row r="3347">
      <c r="A3347" s="27" t="s">
        <v>4368</v>
      </c>
      <c r="B3347" s="27">
        <v>9.500021503E9</v>
      </c>
      <c r="C3347" s="27" t="s">
        <v>2363</v>
      </c>
    </row>
    <row r="3348">
      <c r="A3348" s="27" t="s">
        <v>4369</v>
      </c>
      <c r="B3348" s="27" t="s">
        <v>4370</v>
      </c>
      <c r="C3348" s="27" t="s">
        <v>2359</v>
      </c>
    </row>
    <row r="3349">
      <c r="A3349" s="27" t="s">
        <v>4371</v>
      </c>
      <c r="B3349" s="27" t="s">
        <v>4372</v>
      </c>
      <c r="C3349" s="27" t="s">
        <v>2361</v>
      </c>
    </row>
    <row r="3350">
      <c r="A3350" s="27" t="s">
        <v>4373</v>
      </c>
      <c r="B3350" s="27" t="s">
        <v>4374</v>
      </c>
      <c r="C3350" s="27" t="s">
        <v>2447</v>
      </c>
    </row>
    <row r="3351">
      <c r="A3351" s="27" t="s">
        <v>4375</v>
      </c>
      <c r="B3351" s="27" t="s">
        <v>4376</v>
      </c>
      <c r="C3351" s="27" t="s">
        <v>4377</v>
      </c>
    </row>
    <row r="3352">
      <c r="A3352" s="27" t="s">
        <v>4378</v>
      </c>
      <c r="B3352" s="27" t="s">
        <v>4379</v>
      </c>
      <c r="C3352" s="27" t="s">
        <v>2359</v>
      </c>
    </row>
    <row r="3353">
      <c r="A3353" s="27" t="s">
        <v>4380</v>
      </c>
      <c r="B3353" s="27" t="s">
        <v>4381</v>
      </c>
      <c r="C3353" s="27" t="s">
        <v>2384</v>
      </c>
    </row>
    <row r="3354">
      <c r="A3354" s="27" t="s">
        <v>4382</v>
      </c>
      <c r="B3354" s="27" t="s">
        <v>4383</v>
      </c>
      <c r="C3354" s="27" t="s">
        <v>2359</v>
      </c>
    </row>
    <row r="3355">
      <c r="A3355" s="27" t="s">
        <v>2483</v>
      </c>
      <c r="B3355" s="27" t="s">
        <v>2484</v>
      </c>
      <c r="C3355" s="27" t="s">
        <v>2432</v>
      </c>
    </row>
    <row r="3356">
      <c r="A3356" s="27" t="s">
        <v>2485</v>
      </c>
      <c r="B3356" s="27" t="s">
        <v>2486</v>
      </c>
      <c r="C3356" s="27" t="s">
        <v>2409</v>
      </c>
    </row>
    <row r="3357">
      <c r="A3357" s="27" t="s">
        <v>4384</v>
      </c>
      <c r="B3357" s="27" t="s">
        <v>4385</v>
      </c>
      <c r="C3357" s="27" t="s">
        <v>2359</v>
      </c>
    </row>
    <row r="3358">
      <c r="A3358" s="27" t="s">
        <v>4386</v>
      </c>
      <c r="B3358" s="27" t="s">
        <v>4387</v>
      </c>
      <c r="C3358" s="27" t="s">
        <v>2359</v>
      </c>
    </row>
    <row r="3359">
      <c r="A3359" s="27" t="s">
        <v>2860</v>
      </c>
      <c r="B3359" s="27" t="s">
        <v>2861</v>
      </c>
      <c r="C3359" s="27" t="s">
        <v>2359</v>
      </c>
    </row>
    <row r="3360">
      <c r="A3360" s="27" t="s">
        <v>4388</v>
      </c>
      <c r="B3360" s="27" t="s">
        <v>4389</v>
      </c>
    </row>
    <row r="3361">
      <c r="A3361" s="27" t="s">
        <v>4390</v>
      </c>
      <c r="B3361" s="27" t="s">
        <v>4391</v>
      </c>
      <c r="C3361" s="27" t="s">
        <v>2359</v>
      </c>
    </row>
    <row r="3362">
      <c r="A3362" s="27" t="s">
        <v>4392</v>
      </c>
      <c r="B3362" s="27" t="s">
        <v>4393</v>
      </c>
      <c r="C3362" s="27" t="s">
        <v>2359</v>
      </c>
    </row>
    <row r="3363">
      <c r="A3363" s="27" t="s">
        <v>4394</v>
      </c>
      <c r="B3363" s="27" t="s">
        <v>4395</v>
      </c>
      <c r="C3363" s="27" t="s">
        <v>2359</v>
      </c>
    </row>
    <row r="3364">
      <c r="A3364" s="27" t="s">
        <v>4396</v>
      </c>
      <c r="B3364" s="27" t="s">
        <v>4397</v>
      </c>
      <c r="C3364" s="27" t="s">
        <v>2363</v>
      </c>
    </row>
    <row r="3365">
      <c r="A3365" s="27" t="s">
        <v>4398</v>
      </c>
      <c r="B3365" s="27" t="s">
        <v>4399</v>
      </c>
      <c r="C3365" s="27" t="s">
        <v>2363</v>
      </c>
    </row>
    <row r="3366">
      <c r="A3366" s="27" t="s">
        <v>4400</v>
      </c>
      <c r="B3366" s="27" t="s">
        <v>4401</v>
      </c>
      <c r="C3366" s="27" t="s">
        <v>2363</v>
      </c>
    </row>
    <row r="3367">
      <c r="A3367" s="27" t="s">
        <v>4402</v>
      </c>
      <c r="B3367" s="27" t="s">
        <v>4403</v>
      </c>
      <c r="C3367" s="27" t="s">
        <v>2363</v>
      </c>
    </row>
    <row r="3368">
      <c r="A3368" s="27" t="s">
        <v>4404</v>
      </c>
      <c r="B3368" s="27" t="s">
        <v>4405</v>
      </c>
      <c r="C3368" s="27" t="s">
        <v>2359</v>
      </c>
    </row>
    <row r="3369">
      <c r="A3369" s="27" t="s">
        <v>4406</v>
      </c>
      <c r="B3369" s="27" t="s">
        <v>4407</v>
      </c>
      <c r="C3369" s="27" t="s">
        <v>2437</v>
      </c>
    </row>
    <row r="3370">
      <c r="A3370" s="27" t="s">
        <v>3553</v>
      </c>
      <c r="B3370" s="27" t="s">
        <v>3554</v>
      </c>
      <c r="C3370" s="27" t="s">
        <v>2361</v>
      </c>
    </row>
    <row r="3371">
      <c r="A3371" s="27" t="s">
        <v>4408</v>
      </c>
      <c r="B3371" s="27" t="s">
        <v>4409</v>
      </c>
      <c r="C3371" s="27" t="s">
        <v>2441</v>
      </c>
    </row>
    <row r="3372">
      <c r="A3372" s="27" t="s">
        <v>4410</v>
      </c>
      <c r="B3372" s="27" t="s">
        <v>4411</v>
      </c>
      <c r="C3372" s="27" t="s">
        <v>2363</v>
      </c>
    </row>
    <row r="3373">
      <c r="A3373" s="27" t="s">
        <v>2487</v>
      </c>
      <c r="B3373" s="27" t="s">
        <v>2488</v>
      </c>
      <c r="C3373" s="27" t="s">
        <v>2384</v>
      </c>
    </row>
    <row r="3374">
      <c r="A3374" s="27" t="s">
        <v>4412</v>
      </c>
      <c r="B3374" s="27" t="s">
        <v>4413</v>
      </c>
      <c r="C3374" s="27" t="s">
        <v>2361</v>
      </c>
    </row>
    <row r="3375">
      <c r="A3375" s="27" t="s">
        <v>3112</v>
      </c>
      <c r="B3375" s="27" t="s">
        <v>3113</v>
      </c>
      <c r="C3375" s="27" t="s">
        <v>2359</v>
      </c>
    </row>
    <row r="3376">
      <c r="A3376" s="27" t="s">
        <v>4414</v>
      </c>
      <c r="B3376" s="27" t="s">
        <v>4415</v>
      </c>
      <c r="C3376" s="27" t="s">
        <v>2361</v>
      </c>
    </row>
    <row r="3377">
      <c r="A3377" s="27" t="s">
        <v>4416</v>
      </c>
      <c r="B3377" s="27" t="s">
        <v>4417</v>
      </c>
      <c r="C3377" s="27" t="s">
        <v>2359</v>
      </c>
    </row>
    <row r="3378">
      <c r="A3378" s="27" t="s">
        <v>2489</v>
      </c>
      <c r="B3378" s="27" t="s">
        <v>2490</v>
      </c>
      <c r="C3378" s="27" t="s">
        <v>2451</v>
      </c>
    </row>
    <row r="3379">
      <c r="A3379" s="27" t="s">
        <v>2491</v>
      </c>
      <c r="B3379" s="27" t="s">
        <v>2492</v>
      </c>
      <c r="C3379" s="27" t="s">
        <v>2462</v>
      </c>
    </row>
    <row r="3380">
      <c r="A3380" s="27" t="s">
        <v>2493</v>
      </c>
      <c r="B3380" s="27" t="s">
        <v>2494</v>
      </c>
      <c r="C3380" s="27" t="s">
        <v>2396</v>
      </c>
    </row>
    <row r="3381">
      <c r="A3381" s="27" t="s">
        <v>2495</v>
      </c>
      <c r="B3381" s="27" t="s">
        <v>2496</v>
      </c>
      <c r="C3381" s="27" t="s">
        <v>2363</v>
      </c>
    </row>
    <row r="3382">
      <c r="A3382" s="27" t="s">
        <v>2497</v>
      </c>
      <c r="B3382" s="27" t="s">
        <v>2498</v>
      </c>
      <c r="C3382" s="27" t="s">
        <v>2441</v>
      </c>
    </row>
    <row r="3383">
      <c r="A3383" s="27" t="s">
        <v>4418</v>
      </c>
      <c r="B3383" s="27" t="s">
        <v>4419</v>
      </c>
      <c r="C3383" s="27" t="s">
        <v>2451</v>
      </c>
    </row>
    <row r="3384">
      <c r="A3384" s="27" t="s">
        <v>4420</v>
      </c>
      <c r="B3384" s="27" t="s">
        <v>4421</v>
      </c>
      <c r="C3384" s="27" t="s">
        <v>2437</v>
      </c>
    </row>
    <row r="3385">
      <c r="A3385" s="27" t="s">
        <v>4422</v>
      </c>
      <c r="B3385" s="27" t="s">
        <v>4423</v>
      </c>
      <c r="C3385" s="27" t="s">
        <v>2437</v>
      </c>
    </row>
    <row r="3386">
      <c r="A3386" s="27" t="s">
        <v>4424</v>
      </c>
      <c r="B3386" s="27" t="s">
        <v>4425</v>
      </c>
      <c r="C3386" s="27" t="s">
        <v>2361</v>
      </c>
    </row>
    <row r="3387">
      <c r="A3387" s="27" t="s">
        <v>4426</v>
      </c>
      <c r="B3387" s="27" t="s">
        <v>4427</v>
      </c>
      <c r="C3387" s="27" t="s">
        <v>2359</v>
      </c>
    </row>
    <row r="3388">
      <c r="A3388" s="27" t="s">
        <v>2882</v>
      </c>
      <c r="B3388" s="27" t="s">
        <v>2883</v>
      </c>
      <c r="C3388" s="27" t="s">
        <v>2437</v>
      </c>
    </row>
    <row r="3389">
      <c r="A3389" s="27" t="s">
        <v>3116</v>
      </c>
      <c r="B3389" s="27" t="s">
        <v>3117</v>
      </c>
      <c r="C3389" s="27" t="s">
        <v>2361</v>
      </c>
    </row>
    <row r="3390">
      <c r="A3390" s="27" t="s">
        <v>4428</v>
      </c>
      <c r="B3390" s="27" t="s">
        <v>4429</v>
      </c>
      <c r="C3390" s="27" t="s">
        <v>2382</v>
      </c>
    </row>
    <row r="3391">
      <c r="A3391" s="27" t="s">
        <v>4430</v>
      </c>
      <c r="B3391" s="27" t="s">
        <v>4431</v>
      </c>
      <c r="C3391" s="27" t="s">
        <v>2382</v>
      </c>
    </row>
    <row r="3392">
      <c r="A3392" s="27" t="s">
        <v>4432</v>
      </c>
      <c r="B3392" s="27" t="s">
        <v>4433</v>
      </c>
      <c r="C3392" s="27" t="s">
        <v>2382</v>
      </c>
    </row>
    <row r="3393">
      <c r="A3393" s="27" t="s">
        <v>4434</v>
      </c>
      <c r="B3393" s="27" t="s">
        <v>4435</v>
      </c>
      <c r="C3393" s="27" t="s">
        <v>2382</v>
      </c>
    </row>
    <row r="3394">
      <c r="A3394" s="27" t="s">
        <v>4436</v>
      </c>
      <c r="B3394" s="27" t="s">
        <v>4437</v>
      </c>
      <c r="C3394" s="27" t="s">
        <v>3437</v>
      </c>
    </row>
    <row r="3395">
      <c r="A3395" s="27" t="s">
        <v>4438</v>
      </c>
      <c r="B3395" s="27" t="s">
        <v>4439</v>
      </c>
      <c r="C3395" s="27" t="s">
        <v>2359</v>
      </c>
    </row>
    <row r="3396">
      <c r="A3396" s="27" t="s">
        <v>4440</v>
      </c>
      <c r="B3396" s="27" t="s">
        <v>4441</v>
      </c>
      <c r="C3396" s="27" t="s">
        <v>2359</v>
      </c>
    </row>
    <row r="3397">
      <c r="A3397" s="27" t="s">
        <v>4442</v>
      </c>
      <c r="B3397" s="27" t="s">
        <v>4443</v>
      </c>
      <c r="C3397" s="27" t="s">
        <v>2359</v>
      </c>
    </row>
    <row r="3398">
      <c r="A3398" s="27" t="s">
        <v>4444</v>
      </c>
      <c r="B3398" s="27" t="s">
        <v>4445</v>
      </c>
      <c r="C3398" s="27" t="s">
        <v>2359</v>
      </c>
    </row>
    <row r="3399">
      <c r="A3399" s="27" t="s">
        <v>4446</v>
      </c>
      <c r="B3399" s="27" t="s">
        <v>4447</v>
      </c>
      <c r="C3399" s="27" t="s">
        <v>2359</v>
      </c>
    </row>
    <row r="3400">
      <c r="A3400" s="27" t="s">
        <v>4448</v>
      </c>
      <c r="B3400" s="27" t="s">
        <v>4449</v>
      </c>
      <c r="C3400" s="27" t="s">
        <v>2359</v>
      </c>
    </row>
    <row r="3401">
      <c r="A3401" s="27" t="s">
        <v>4450</v>
      </c>
      <c r="B3401" s="27" t="s">
        <v>4451</v>
      </c>
      <c r="C3401" s="27" t="s">
        <v>2359</v>
      </c>
    </row>
    <row r="3402">
      <c r="A3402" s="27" t="s">
        <v>4452</v>
      </c>
      <c r="B3402" s="27" t="s">
        <v>4453</v>
      </c>
      <c r="C3402" s="27" t="s">
        <v>2359</v>
      </c>
    </row>
    <row r="3403">
      <c r="A3403" s="27" t="s">
        <v>4454</v>
      </c>
      <c r="B3403" s="27" t="s">
        <v>4455</v>
      </c>
      <c r="C3403" s="27" t="s">
        <v>2359</v>
      </c>
    </row>
    <row r="3404">
      <c r="A3404" s="27" t="s">
        <v>4456</v>
      </c>
      <c r="B3404" s="27" t="s">
        <v>4457</v>
      </c>
      <c r="C3404" s="27" t="s">
        <v>2359</v>
      </c>
    </row>
    <row r="3405">
      <c r="A3405" s="27" t="s">
        <v>2499</v>
      </c>
      <c r="B3405" s="27" t="s">
        <v>2500</v>
      </c>
      <c r="C3405" s="27" t="s">
        <v>2409</v>
      </c>
    </row>
    <row r="3406">
      <c r="A3406" s="27" t="s">
        <v>2501</v>
      </c>
      <c r="B3406" s="27" t="s">
        <v>2502</v>
      </c>
      <c r="C3406" s="27" t="s">
        <v>2363</v>
      </c>
    </row>
    <row r="3407">
      <c r="A3407" s="27" t="s">
        <v>4458</v>
      </c>
      <c r="B3407" s="27" t="s">
        <v>4459</v>
      </c>
      <c r="C3407" s="27" t="s">
        <v>2441</v>
      </c>
    </row>
    <row r="3408">
      <c r="A3408" s="27" t="s">
        <v>4460</v>
      </c>
      <c r="B3408" s="27" t="s">
        <v>4461</v>
      </c>
      <c r="C3408" s="27" t="s">
        <v>2380</v>
      </c>
    </row>
    <row r="3409">
      <c r="A3409" s="27" t="s">
        <v>2503</v>
      </c>
      <c r="B3409" s="27" t="s">
        <v>90</v>
      </c>
      <c r="C3409" s="27" t="s">
        <v>2552</v>
      </c>
    </row>
    <row r="3410">
      <c r="A3410" s="27" t="s">
        <v>2504</v>
      </c>
      <c r="B3410" s="27" t="s">
        <v>95</v>
      </c>
      <c r="C3410" s="27" t="s">
        <v>3895</v>
      </c>
    </row>
    <row r="3411">
      <c r="A3411" s="27" t="s">
        <v>2506</v>
      </c>
      <c r="B3411" s="27" t="s">
        <v>103</v>
      </c>
      <c r="C3411" s="27" t="s">
        <v>2370</v>
      </c>
    </row>
    <row r="3412">
      <c r="A3412" s="27" t="s">
        <v>2507</v>
      </c>
      <c r="B3412" s="27" t="s">
        <v>97</v>
      </c>
      <c r="C3412" s="27" t="s">
        <v>2557</v>
      </c>
    </row>
    <row r="3413">
      <c r="A3413" s="27" t="s">
        <v>4462</v>
      </c>
      <c r="B3413" s="27" t="s">
        <v>101</v>
      </c>
      <c r="C3413" s="27" t="s">
        <v>2402</v>
      </c>
    </row>
    <row r="3414">
      <c r="A3414" s="27" t="s">
        <v>2508</v>
      </c>
      <c r="B3414" s="27" t="s">
        <v>99</v>
      </c>
      <c r="C3414" s="27" t="s">
        <v>2566</v>
      </c>
    </row>
    <row r="3415">
      <c r="A3415" s="27" t="s">
        <v>2509</v>
      </c>
      <c r="B3415" s="27" t="s">
        <v>93</v>
      </c>
      <c r="C3415" s="27" t="s">
        <v>3441</v>
      </c>
    </row>
    <row r="3416">
      <c r="A3416" s="27" t="s">
        <v>4463</v>
      </c>
      <c r="B3416" s="27" t="s">
        <v>4464</v>
      </c>
      <c r="C3416" s="27" t="s">
        <v>2363</v>
      </c>
    </row>
    <row r="3417">
      <c r="A3417" s="27" t="s">
        <v>2510</v>
      </c>
      <c r="B3417" s="27" t="s">
        <v>2511</v>
      </c>
      <c r="C3417" s="27" t="s">
        <v>2447</v>
      </c>
    </row>
    <row r="3418">
      <c r="A3418" s="27" t="s">
        <v>4465</v>
      </c>
      <c r="B3418" s="27" t="s">
        <v>4466</v>
      </c>
      <c r="C3418" s="27" t="s">
        <v>2359</v>
      </c>
    </row>
    <row r="3419">
      <c r="A3419" s="27" t="s">
        <v>4467</v>
      </c>
      <c r="B3419" s="27" t="s">
        <v>4468</v>
      </c>
      <c r="C3419" s="27" t="s">
        <v>2363</v>
      </c>
    </row>
    <row r="3420">
      <c r="A3420" s="27" t="s">
        <v>4469</v>
      </c>
      <c r="B3420" s="27" t="s">
        <v>4470</v>
      </c>
      <c r="C3420" s="27" t="s">
        <v>2359</v>
      </c>
    </row>
    <row r="3421">
      <c r="A3421" s="27" t="s">
        <v>4471</v>
      </c>
      <c r="B3421" s="27" t="s">
        <v>4472</v>
      </c>
      <c r="C3421" s="27" t="s">
        <v>2363</v>
      </c>
    </row>
    <row r="3422">
      <c r="A3422" s="27" t="s">
        <v>4473</v>
      </c>
      <c r="B3422" s="27" t="s">
        <v>4474</v>
      </c>
      <c r="C3422" s="27" t="s">
        <v>2451</v>
      </c>
    </row>
    <row r="3423">
      <c r="A3423" s="27" t="s">
        <v>4475</v>
      </c>
      <c r="B3423" s="27" t="s">
        <v>4476</v>
      </c>
      <c r="C3423" s="27" t="s">
        <v>2363</v>
      </c>
    </row>
    <row r="3424">
      <c r="A3424" s="27" t="s">
        <v>4477</v>
      </c>
      <c r="B3424" s="27" t="s">
        <v>4478</v>
      </c>
      <c r="C3424" s="27" t="s">
        <v>2359</v>
      </c>
    </row>
    <row r="3425">
      <c r="A3425" s="27" t="s">
        <v>4479</v>
      </c>
      <c r="B3425" s="27" t="s">
        <v>4480</v>
      </c>
      <c r="C3425" s="27" t="s">
        <v>2359</v>
      </c>
    </row>
    <row r="3426">
      <c r="A3426" s="27" t="s">
        <v>4481</v>
      </c>
      <c r="B3426" s="27" t="s">
        <v>4482</v>
      </c>
      <c r="C3426" s="27" t="s">
        <v>2359</v>
      </c>
    </row>
    <row r="3427">
      <c r="A3427" s="27" t="s">
        <v>4483</v>
      </c>
      <c r="B3427" s="27" t="s">
        <v>4484</v>
      </c>
      <c r="C3427" s="27" t="s">
        <v>2437</v>
      </c>
    </row>
    <row r="3428">
      <c r="A3428" s="27" t="s">
        <v>4485</v>
      </c>
      <c r="B3428" s="27" t="s">
        <v>4486</v>
      </c>
      <c r="C3428" s="27" t="s">
        <v>2359</v>
      </c>
    </row>
    <row r="3429">
      <c r="A3429" s="27" t="s">
        <v>4487</v>
      </c>
      <c r="B3429" s="27" t="s">
        <v>4488</v>
      </c>
      <c r="C3429" s="27" t="s">
        <v>2359</v>
      </c>
    </row>
    <row r="3430">
      <c r="A3430" s="27" t="s">
        <v>4489</v>
      </c>
      <c r="B3430" s="27" t="s">
        <v>4490</v>
      </c>
      <c r="C3430" s="27" t="s">
        <v>2441</v>
      </c>
    </row>
    <row r="3431">
      <c r="A3431" s="27" t="s">
        <v>4491</v>
      </c>
      <c r="B3431" s="27" t="s">
        <v>4492</v>
      </c>
      <c r="C3431" s="27" t="s">
        <v>2437</v>
      </c>
    </row>
    <row r="3432">
      <c r="A3432" s="27" t="s">
        <v>4493</v>
      </c>
      <c r="B3432" s="27" t="s">
        <v>4494</v>
      </c>
      <c r="C3432" s="27" t="s">
        <v>2359</v>
      </c>
    </row>
    <row r="3433">
      <c r="A3433" s="27" t="s">
        <v>4495</v>
      </c>
      <c r="B3433" s="27" t="s">
        <v>4496</v>
      </c>
      <c r="C3433" s="27" t="s">
        <v>2451</v>
      </c>
    </row>
    <row r="3434">
      <c r="A3434" s="27" t="s">
        <v>4497</v>
      </c>
      <c r="B3434" s="27" t="s">
        <v>4498</v>
      </c>
      <c r="C3434" s="27" t="s">
        <v>2441</v>
      </c>
    </row>
    <row r="3435">
      <c r="A3435" s="27" t="s">
        <v>4499</v>
      </c>
      <c r="B3435" s="27" t="s">
        <v>4500</v>
      </c>
      <c r="C3435" s="27" t="s">
        <v>2363</v>
      </c>
    </row>
    <row r="3436">
      <c r="A3436" s="27" t="s">
        <v>4501</v>
      </c>
      <c r="B3436" s="27" t="s">
        <v>4502</v>
      </c>
      <c r="C3436" s="27" t="s">
        <v>2437</v>
      </c>
    </row>
    <row r="3437">
      <c r="A3437" s="27" t="s">
        <v>4503</v>
      </c>
      <c r="B3437" s="27" t="s">
        <v>4504</v>
      </c>
      <c r="C3437" s="27" t="s">
        <v>2363</v>
      </c>
    </row>
    <row r="3438">
      <c r="A3438" s="27" t="s">
        <v>4505</v>
      </c>
      <c r="B3438" s="27" t="s">
        <v>4506</v>
      </c>
      <c r="C3438" s="27" t="s">
        <v>2359</v>
      </c>
    </row>
    <row r="3439">
      <c r="A3439" s="27" t="s">
        <v>2512</v>
      </c>
      <c r="B3439" s="27" t="s">
        <v>2513</v>
      </c>
      <c r="C3439" s="27" t="s">
        <v>2451</v>
      </c>
    </row>
    <row r="3440">
      <c r="A3440" s="27" t="s">
        <v>4507</v>
      </c>
      <c r="B3440" s="27" t="s">
        <v>4508</v>
      </c>
      <c r="C3440" s="27" t="s">
        <v>2359</v>
      </c>
    </row>
    <row r="3441">
      <c r="A3441" s="27" t="s">
        <v>4509</v>
      </c>
      <c r="B3441" s="27" t="s">
        <v>4510</v>
      </c>
      <c r="C3441" s="27" t="s">
        <v>2437</v>
      </c>
    </row>
    <row r="3442">
      <c r="A3442" s="27" t="s">
        <v>4511</v>
      </c>
      <c r="B3442" s="27" t="s">
        <v>4512</v>
      </c>
      <c r="C3442" s="27" t="s">
        <v>2441</v>
      </c>
    </row>
    <row r="3443">
      <c r="A3443" s="27" t="s">
        <v>4513</v>
      </c>
      <c r="B3443" s="27" t="s">
        <v>4514</v>
      </c>
      <c r="C3443" s="27" t="s">
        <v>2361</v>
      </c>
    </row>
    <row r="3444">
      <c r="A3444" s="27" t="s">
        <v>4515</v>
      </c>
      <c r="B3444" s="27" t="s">
        <v>4516</v>
      </c>
      <c r="C3444" s="27" t="s">
        <v>2437</v>
      </c>
    </row>
    <row r="3445">
      <c r="A3445" s="27" t="s">
        <v>2514</v>
      </c>
      <c r="B3445" s="27" t="s">
        <v>2515</v>
      </c>
      <c r="C3445" s="27" t="s">
        <v>2451</v>
      </c>
    </row>
    <row r="3446">
      <c r="A3446" s="27" t="s">
        <v>3557</v>
      </c>
      <c r="B3446" s="27" t="s">
        <v>3558</v>
      </c>
      <c r="C3446" s="27" t="s">
        <v>2372</v>
      </c>
    </row>
    <row r="3447">
      <c r="A3447" s="27" t="s">
        <v>4517</v>
      </c>
      <c r="B3447" s="27" t="s">
        <v>4518</v>
      </c>
      <c r="C3447" s="27" t="s">
        <v>2451</v>
      </c>
    </row>
    <row r="3448">
      <c r="A3448" s="27" t="s">
        <v>4519</v>
      </c>
      <c r="B3448" s="27" t="s">
        <v>4520</v>
      </c>
      <c r="C3448" s="27" t="s">
        <v>2380</v>
      </c>
    </row>
    <row r="3449">
      <c r="A3449" s="27" t="s">
        <v>3396</v>
      </c>
      <c r="B3449" s="27" t="s">
        <v>3397</v>
      </c>
      <c r="C3449" s="27" t="s">
        <v>2359</v>
      </c>
    </row>
    <row r="3450">
      <c r="A3450" s="27" t="s">
        <v>4521</v>
      </c>
      <c r="B3450" s="27" t="s">
        <v>4522</v>
      </c>
      <c r="C3450" s="27" t="s">
        <v>2380</v>
      </c>
    </row>
    <row r="3451">
      <c r="A3451" s="27" t="s">
        <v>4523</v>
      </c>
      <c r="B3451" s="27" t="s">
        <v>4524</v>
      </c>
      <c r="C3451" s="27" t="s">
        <v>2359</v>
      </c>
    </row>
    <row r="3452">
      <c r="A3452" s="27" t="s">
        <v>4525</v>
      </c>
      <c r="B3452" s="27" t="s">
        <v>4526</v>
      </c>
      <c r="C3452" s="27" t="s">
        <v>2402</v>
      </c>
    </row>
    <row r="3453">
      <c r="A3453" s="27" t="s">
        <v>4527</v>
      </c>
      <c r="B3453" s="27" t="s">
        <v>4528</v>
      </c>
      <c r="C3453" s="27" t="s">
        <v>2359</v>
      </c>
    </row>
    <row r="3454">
      <c r="A3454" s="27" t="s">
        <v>4529</v>
      </c>
      <c r="B3454" s="27" t="s">
        <v>4530</v>
      </c>
      <c r="C3454" s="27" t="s">
        <v>2437</v>
      </c>
    </row>
    <row r="3455">
      <c r="A3455" s="27" t="s">
        <v>2516</v>
      </c>
      <c r="B3455" s="27" t="s">
        <v>2517</v>
      </c>
      <c r="C3455" s="27" t="s">
        <v>2361</v>
      </c>
    </row>
    <row r="3456">
      <c r="A3456" s="27" t="s">
        <v>4531</v>
      </c>
      <c r="B3456" s="27" t="s">
        <v>4532</v>
      </c>
      <c r="C3456" s="27" t="s">
        <v>2359</v>
      </c>
    </row>
    <row r="3457">
      <c r="A3457" s="27" t="s">
        <v>4533</v>
      </c>
      <c r="B3457" s="27" t="s">
        <v>4534</v>
      </c>
      <c r="C3457" s="27" t="s">
        <v>2437</v>
      </c>
    </row>
    <row r="3458">
      <c r="A3458" s="27" t="s">
        <v>4535</v>
      </c>
      <c r="B3458" s="27" t="s">
        <v>4536</v>
      </c>
      <c r="C3458" s="27" t="s">
        <v>2359</v>
      </c>
    </row>
    <row r="3459">
      <c r="A3459" s="27" t="s">
        <v>4537</v>
      </c>
      <c r="B3459" s="27" t="s">
        <v>4538</v>
      </c>
      <c r="C3459" s="27" t="s">
        <v>2451</v>
      </c>
    </row>
    <row r="3460">
      <c r="A3460" s="27" t="s">
        <v>4539</v>
      </c>
      <c r="B3460" s="27" t="s">
        <v>4540</v>
      </c>
      <c r="C3460" s="27" t="s">
        <v>2451</v>
      </c>
    </row>
    <row r="3461">
      <c r="A3461" s="27" t="s">
        <v>4541</v>
      </c>
      <c r="B3461" s="27" t="s">
        <v>4542</v>
      </c>
      <c r="C3461" s="27" t="s">
        <v>2441</v>
      </c>
    </row>
    <row r="3462">
      <c r="A3462" s="27" t="s">
        <v>4543</v>
      </c>
      <c r="B3462" s="27" t="s">
        <v>4544</v>
      </c>
      <c r="C3462" s="27" t="s">
        <v>2441</v>
      </c>
    </row>
    <row r="3463">
      <c r="A3463" s="27" t="s">
        <v>4545</v>
      </c>
      <c r="B3463" s="27" t="s">
        <v>4546</v>
      </c>
      <c r="C3463" s="27" t="s">
        <v>2361</v>
      </c>
    </row>
    <row r="3464">
      <c r="A3464" s="27" t="s">
        <v>4547</v>
      </c>
      <c r="B3464" s="27" t="s">
        <v>4548</v>
      </c>
      <c r="C3464" s="27" t="s">
        <v>2451</v>
      </c>
    </row>
    <row r="3465">
      <c r="A3465" s="27" t="s">
        <v>4549</v>
      </c>
      <c r="B3465" s="27" t="s">
        <v>4550</v>
      </c>
      <c r="C3465" s="27" t="s">
        <v>2363</v>
      </c>
    </row>
    <row r="3466">
      <c r="A3466" s="27" t="s">
        <v>4551</v>
      </c>
      <c r="B3466" s="27" t="s">
        <v>4552</v>
      </c>
      <c r="C3466" s="27" t="s">
        <v>2409</v>
      </c>
    </row>
    <row r="3467">
      <c r="A3467" s="27" t="s">
        <v>4553</v>
      </c>
      <c r="B3467" s="27" t="s">
        <v>4554</v>
      </c>
      <c r="C3467" s="27" t="s">
        <v>2363</v>
      </c>
    </row>
    <row r="3468">
      <c r="A3468" s="27" t="s">
        <v>4555</v>
      </c>
      <c r="B3468" s="27" t="s">
        <v>4556</v>
      </c>
      <c r="C3468" s="27" t="s">
        <v>2361</v>
      </c>
    </row>
    <row r="3469">
      <c r="A3469" s="27" t="s">
        <v>4557</v>
      </c>
      <c r="B3469" s="27" t="s">
        <v>4558</v>
      </c>
      <c r="C3469" s="27" t="s">
        <v>2441</v>
      </c>
    </row>
    <row r="3470">
      <c r="A3470" s="27" t="s">
        <v>4559</v>
      </c>
      <c r="B3470" s="27" t="s">
        <v>4560</v>
      </c>
      <c r="C3470" s="27" t="s">
        <v>2363</v>
      </c>
    </row>
    <row r="3471">
      <c r="A3471" s="27" t="s">
        <v>4561</v>
      </c>
      <c r="B3471" s="27" t="s">
        <v>4562</v>
      </c>
      <c r="C3471" s="27" t="s">
        <v>2363</v>
      </c>
    </row>
    <row r="3472">
      <c r="A3472" s="27" t="s">
        <v>4563</v>
      </c>
      <c r="B3472" s="27" t="s">
        <v>4564</v>
      </c>
      <c r="C3472" s="27" t="s">
        <v>2451</v>
      </c>
    </row>
    <row r="3473">
      <c r="A3473" s="27" t="s">
        <v>4565</v>
      </c>
      <c r="B3473" s="27" t="s">
        <v>4566</v>
      </c>
      <c r="C3473" s="27" t="s">
        <v>2363</v>
      </c>
    </row>
    <row r="3474">
      <c r="A3474" s="27" t="s">
        <v>4567</v>
      </c>
      <c r="B3474" s="27" t="s">
        <v>4568</v>
      </c>
      <c r="C3474" s="27" t="s">
        <v>2437</v>
      </c>
    </row>
    <row r="3475">
      <c r="A3475" s="27" t="s">
        <v>4569</v>
      </c>
      <c r="B3475" s="27" t="s">
        <v>4570</v>
      </c>
      <c r="C3475" s="27" t="s">
        <v>2363</v>
      </c>
    </row>
    <row r="3476">
      <c r="A3476" s="27" t="s">
        <v>4571</v>
      </c>
      <c r="B3476" s="27" t="s">
        <v>4572</v>
      </c>
      <c r="C3476" s="27" t="s">
        <v>2451</v>
      </c>
    </row>
    <row r="3477">
      <c r="A3477" s="27" t="s">
        <v>4573</v>
      </c>
      <c r="B3477" s="27" t="s">
        <v>4574</v>
      </c>
      <c r="C3477" s="27" t="s">
        <v>2441</v>
      </c>
    </row>
    <row r="3478">
      <c r="A3478" s="27" t="s">
        <v>4575</v>
      </c>
      <c r="B3478" s="27" t="s">
        <v>4576</v>
      </c>
      <c r="C3478" s="27" t="s">
        <v>2437</v>
      </c>
    </row>
    <row r="3479">
      <c r="A3479" s="27" t="s">
        <v>4577</v>
      </c>
      <c r="B3479" s="27" t="s">
        <v>4578</v>
      </c>
      <c r="C3479" s="27" t="s">
        <v>2451</v>
      </c>
    </row>
    <row r="3480">
      <c r="A3480" s="27" t="s">
        <v>4579</v>
      </c>
      <c r="B3480" s="27" t="s">
        <v>4580</v>
      </c>
      <c r="C3480" s="27" t="s">
        <v>2359</v>
      </c>
    </row>
    <row r="3481">
      <c r="A3481" s="27" t="s">
        <v>4581</v>
      </c>
      <c r="B3481" s="27" t="s">
        <v>4582</v>
      </c>
      <c r="C3481" s="27" t="s">
        <v>2462</v>
      </c>
    </row>
    <row r="3482">
      <c r="A3482" s="27" t="s">
        <v>4583</v>
      </c>
      <c r="B3482" s="27" t="s">
        <v>4584</v>
      </c>
      <c r="C3482" s="27" t="s">
        <v>2363</v>
      </c>
    </row>
    <row r="3483">
      <c r="A3483" s="27" t="s">
        <v>4585</v>
      </c>
      <c r="B3483" s="27" t="s">
        <v>4586</v>
      </c>
      <c r="C3483" s="27" t="s">
        <v>2441</v>
      </c>
    </row>
    <row r="3484">
      <c r="A3484" s="27" t="s">
        <v>4587</v>
      </c>
      <c r="B3484" s="27" t="s">
        <v>4588</v>
      </c>
      <c r="C3484" s="27" t="s">
        <v>2359</v>
      </c>
    </row>
    <row r="3485">
      <c r="A3485" s="27" t="s">
        <v>4589</v>
      </c>
      <c r="B3485" s="27" t="s">
        <v>4590</v>
      </c>
      <c r="C3485" s="27" t="s">
        <v>2441</v>
      </c>
    </row>
    <row r="3486">
      <c r="A3486" s="27" t="s">
        <v>4591</v>
      </c>
      <c r="B3486" s="27" t="s">
        <v>4592</v>
      </c>
      <c r="C3486" s="27" t="s">
        <v>2441</v>
      </c>
    </row>
    <row r="3487">
      <c r="A3487" s="27" t="s">
        <v>4593</v>
      </c>
      <c r="B3487" s="27" t="s">
        <v>4594</v>
      </c>
      <c r="C3487" s="27" t="s">
        <v>4595</v>
      </c>
    </row>
    <row r="3488">
      <c r="A3488" s="27" t="s">
        <v>3398</v>
      </c>
      <c r="B3488" s="27" t="s">
        <v>3399</v>
      </c>
      <c r="C3488" s="27" t="s">
        <v>2451</v>
      </c>
    </row>
    <row r="3489">
      <c r="A3489" s="27" t="s">
        <v>4596</v>
      </c>
      <c r="B3489" s="27" t="s">
        <v>4597</v>
      </c>
      <c r="C3489" s="27" t="s">
        <v>2462</v>
      </c>
    </row>
    <row r="3490">
      <c r="A3490" s="27" t="s">
        <v>4598</v>
      </c>
      <c r="B3490" s="27" t="s">
        <v>4599</v>
      </c>
      <c r="C3490" s="27" t="s">
        <v>2451</v>
      </c>
    </row>
    <row r="3491">
      <c r="A3491" s="27" t="s">
        <v>3563</v>
      </c>
      <c r="B3491" s="27" t="s">
        <v>3564</v>
      </c>
      <c r="C3491" s="27" t="s">
        <v>2363</v>
      </c>
    </row>
    <row r="3492">
      <c r="A3492" s="27" t="s">
        <v>4600</v>
      </c>
      <c r="B3492" s="27" t="s">
        <v>4601</v>
      </c>
      <c r="C3492" s="27" t="s">
        <v>2359</v>
      </c>
    </row>
    <row r="3493">
      <c r="A3493" s="27" t="s">
        <v>4602</v>
      </c>
      <c r="B3493" s="27" t="s">
        <v>4603</v>
      </c>
      <c r="C3493" s="27" t="s">
        <v>2359</v>
      </c>
    </row>
    <row r="3494">
      <c r="A3494" s="27" t="s">
        <v>4604</v>
      </c>
      <c r="B3494" s="27" t="s">
        <v>4605</v>
      </c>
      <c r="C3494" s="27" t="s">
        <v>2361</v>
      </c>
    </row>
    <row r="3495">
      <c r="A3495" s="27" t="s">
        <v>4606</v>
      </c>
      <c r="B3495" s="27" t="s">
        <v>4607</v>
      </c>
      <c r="C3495" s="27" t="s">
        <v>2361</v>
      </c>
    </row>
    <row r="3496">
      <c r="A3496" s="27" t="s">
        <v>2518</v>
      </c>
      <c r="B3496" s="27" t="s">
        <v>2519</v>
      </c>
      <c r="C3496" s="27" t="s">
        <v>2386</v>
      </c>
    </row>
    <row r="3497">
      <c r="A3497" s="27" t="s">
        <v>2520</v>
      </c>
      <c r="B3497" s="27" t="s">
        <v>2521</v>
      </c>
      <c r="C3497" s="27" t="s">
        <v>2672</v>
      </c>
    </row>
    <row r="3498">
      <c r="A3498" s="27" t="s">
        <v>2900</v>
      </c>
      <c r="B3498" s="27" t="s">
        <v>2901</v>
      </c>
      <c r="C3498" s="27" t="s">
        <v>2359</v>
      </c>
    </row>
    <row r="3499">
      <c r="A3499" s="27" t="s">
        <v>4608</v>
      </c>
      <c r="B3499" s="27" t="s">
        <v>4609</v>
      </c>
      <c r="C3499" s="27" t="s">
        <v>2359</v>
      </c>
    </row>
    <row r="3500">
      <c r="A3500" s="27" t="s">
        <v>2524</v>
      </c>
      <c r="B3500" s="27" t="s">
        <v>2525</v>
      </c>
      <c r="C3500" s="27" t="s">
        <v>2462</v>
      </c>
    </row>
    <row r="3501">
      <c r="A3501" s="27" t="s">
        <v>4610</v>
      </c>
      <c r="B3501" s="27" t="s">
        <v>4611</v>
      </c>
      <c r="C3501" s="27" t="s">
        <v>2363</v>
      </c>
    </row>
    <row r="3502">
      <c r="A3502" s="27" t="s">
        <v>4612</v>
      </c>
      <c r="B3502" s="27" t="s">
        <v>4613</v>
      </c>
    </row>
    <row r="3503">
      <c r="A3503" s="27" t="s">
        <v>4614</v>
      </c>
      <c r="B3503" s="27" t="s">
        <v>4615</v>
      </c>
      <c r="C3503" s="27" t="s">
        <v>2451</v>
      </c>
    </row>
    <row r="3504">
      <c r="A3504" s="27" t="s">
        <v>4616</v>
      </c>
      <c r="B3504" s="27" t="s">
        <v>4617</v>
      </c>
      <c r="C3504" s="27" t="s">
        <v>2396</v>
      </c>
    </row>
    <row r="3505">
      <c r="A3505" s="27" t="s">
        <v>2526</v>
      </c>
      <c r="B3505" s="27" t="s">
        <v>2527</v>
      </c>
      <c r="C3505" s="27" t="s">
        <v>2359</v>
      </c>
    </row>
    <row r="3506">
      <c r="A3506" s="27" t="s">
        <v>4618</v>
      </c>
      <c r="B3506" s="27" t="s">
        <v>4619</v>
      </c>
      <c r="C3506" s="27" t="s">
        <v>2682</v>
      </c>
    </row>
    <row r="3507">
      <c r="A3507" s="27" t="s">
        <v>4620</v>
      </c>
      <c r="B3507" s="27" t="s">
        <v>4621</v>
      </c>
      <c r="C3507" s="27" t="s">
        <v>2437</v>
      </c>
    </row>
    <row r="3508">
      <c r="A3508" s="27" t="s">
        <v>4622</v>
      </c>
      <c r="B3508" s="27" t="s">
        <v>4623</v>
      </c>
    </row>
    <row r="3509">
      <c r="A3509" s="27" t="s">
        <v>4624</v>
      </c>
      <c r="B3509" s="27" t="s">
        <v>4625</v>
      </c>
      <c r="C3509" s="27" t="s">
        <v>2451</v>
      </c>
    </row>
    <row r="3510">
      <c r="A3510" s="27" t="s">
        <v>4626</v>
      </c>
      <c r="B3510" s="27" t="s">
        <v>4627</v>
      </c>
      <c r="C3510" s="27" t="s">
        <v>2462</v>
      </c>
    </row>
    <row r="3511">
      <c r="A3511" s="27" t="s">
        <v>2528</v>
      </c>
      <c r="B3511" s="27" t="s">
        <v>2529</v>
      </c>
      <c r="C3511" s="27" t="s">
        <v>2361</v>
      </c>
    </row>
    <row r="3512">
      <c r="A3512" s="27" t="s">
        <v>3120</v>
      </c>
      <c r="B3512" s="27" t="s">
        <v>3121</v>
      </c>
      <c r="C3512" s="27" t="s">
        <v>2363</v>
      </c>
    </row>
    <row r="3513">
      <c r="A3513" s="27" t="s">
        <v>4628</v>
      </c>
      <c r="B3513" s="27" t="s">
        <v>4629</v>
      </c>
      <c r="C3513" s="27" t="s">
        <v>2361</v>
      </c>
    </row>
    <row r="3514">
      <c r="A3514" s="27" t="s">
        <v>4630</v>
      </c>
      <c r="B3514" s="27" t="s">
        <v>4631</v>
      </c>
      <c r="C3514" s="27" t="s">
        <v>2441</v>
      </c>
    </row>
    <row r="3515">
      <c r="A3515" s="27" t="s">
        <v>2530</v>
      </c>
      <c r="B3515" s="27" t="s">
        <v>2531</v>
      </c>
      <c r="C3515" s="27" t="s">
        <v>2380</v>
      </c>
    </row>
    <row r="3516">
      <c r="A3516" s="27" t="s">
        <v>4632</v>
      </c>
      <c r="B3516" s="27" t="s">
        <v>120</v>
      </c>
      <c r="C3516" s="27" t="s">
        <v>2363</v>
      </c>
    </row>
    <row r="3517">
      <c r="A3517" s="27" t="s">
        <v>4633</v>
      </c>
      <c r="B3517" s="27" t="s">
        <v>118</v>
      </c>
      <c r="C3517" s="27" t="s">
        <v>2359</v>
      </c>
    </row>
    <row r="3518">
      <c r="A3518" s="27" t="s">
        <v>4634</v>
      </c>
      <c r="B3518" s="27" t="s">
        <v>112</v>
      </c>
      <c r="C3518" s="27" t="s">
        <v>2359</v>
      </c>
    </row>
    <row r="3519">
      <c r="A3519" s="27" t="s">
        <v>4635</v>
      </c>
      <c r="B3519" s="27" t="s">
        <v>110</v>
      </c>
      <c r="C3519" s="27" t="s">
        <v>2359</v>
      </c>
    </row>
    <row r="3520">
      <c r="A3520" s="27" t="s">
        <v>4636</v>
      </c>
      <c r="B3520" s="27" t="s">
        <v>114</v>
      </c>
      <c r="C3520" s="27" t="s">
        <v>2441</v>
      </c>
    </row>
    <row r="3521">
      <c r="A3521" s="27" t="s">
        <v>4637</v>
      </c>
      <c r="B3521" s="27" t="s">
        <v>4638</v>
      </c>
      <c r="C3521" s="27" t="s">
        <v>2359</v>
      </c>
    </row>
    <row r="3522">
      <c r="A3522" s="27" t="s">
        <v>4639</v>
      </c>
      <c r="B3522" s="27" t="s">
        <v>4640</v>
      </c>
      <c r="C3522" s="27" t="s">
        <v>2359</v>
      </c>
    </row>
    <row r="3523">
      <c r="A3523" s="27" t="s">
        <v>4641</v>
      </c>
      <c r="B3523" s="27" t="s">
        <v>4642</v>
      </c>
      <c r="C3523" s="27" t="s">
        <v>2437</v>
      </c>
    </row>
    <row r="3524">
      <c r="A3524" s="27" t="s">
        <v>4643</v>
      </c>
      <c r="B3524" s="27" t="s">
        <v>4644</v>
      </c>
      <c r="C3524" s="27" t="s">
        <v>2380</v>
      </c>
    </row>
    <row r="3525">
      <c r="A3525" s="27" t="s">
        <v>4645</v>
      </c>
      <c r="B3525" s="27" t="s">
        <v>4646</v>
      </c>
      <c r="C3525" s="27" t="s">
        <v>2407</v>
      </c>
    </row>
    <row r="3526">
      <c r="A3526" s="27" t="s">
        <v>2532</v>
      </c>
      <c r="B3526" s="27" t="s">
        <v>466</v>
      </c>
      <c r="C3526" s="27" t="s">
        <v>3250</v>
      </c>
    </row>
    <row r="3527">
      <c r="A3527" s="27" t="s">
        <v>2533</v>
      </c>
      <c r="B3527" s="27" t="s">
        <v>529</v>
      </c>
      <c r="C3527" s="27" t="s">
        <v>4647</v>
      </c>
    </row>
    <row r="3528">
      <c r="A3528" s="27" t="s">
        <v>2534</v>
      </c>
      <c r="B3528" s="27" t="s">
        <v>531</v>
      </c>
      <c r="C3528" s="27" t="s">
        <v>4648</v>
      </c>
    </row>
    <row r="3529">
      <c r="A3529" s="27" t="s">
        <v>2535</v>
      </c>
      <c r="B3529" s="27" t="s">
        <v>533</v>
      </c>
      <c r="C3529" s="27" t="s">
        <v>4649</v>
      </c>
    </row>
    <row r="3530">
      <c r="A3530" s="27" t="s">
        <v>3150</v>
      </c>
      <c r="B3530" s="27" t="s">
        <v>611</v>
      </c>
      <c r="C3530" s="27" t="s">
        <v>2363</v>
      </c>
    </row>
    <row r="3531">
      <c r="A3531" s="27" t="s">
        <v>2536</v>
      </c>
      <c r="B3531" s="27" t="s">
        <v>603</v>
      </c>
      <c r="C3531" s="27" t="s">
        <v>4650</v>
      </c>
    </row>
    <row r="3532">
      <c r="A3532" s="27" t="s">
        <v>2537</v>
      </c>
      <c r="B3532" s="27" t="s">
        <v>601</v>
      </c>
      <c r="C3532" s="27" t="s">
        <v>2679</v>
      </c>
    </row>
    <row r="3533">
      <c r="A3533" s="27" t="s">
        <v>2538</v>
      </c>
      <c r="B3533" s="27" t="s">
        <v>605</v>
      </c>
      <c r="C3533" s="27" t="s">
        <v>3774</v>
      </c>
    </row>
    <row r="3534">
      <c r="A3534" s="27" t="s">
        <v>2539</v>
      </c>
      <c r="B3534" s="27" t="s">
        <v>607</v>
      </c>
      <c r="C3534" s="27" t="s">
        <v>2583</v>
      </c>
    </row>
    <row r="3535">
      <c r="A3535" s="27" t="s">
        <v>2912</v>
      </c>
      <c r="B3535" s="27" t="s">
        <v>657</v>
      </c>
      <c r="C3535" s="27" t="s">
        <v>2752</v>
      </c>
    </row>
    <row r="3536">
      <c r="A3536" s="27" t="s">
        <v>2913</v>
      </c>
      <c r="B3536" s="27" t="s">
        <v>653</v>
      </c>
      <c r="C3536" s="27" t="s">
        <v>2585</v>
      </c>
    </row>
    <row r="3537">
      <c r="A3537" s="27" t="s">
        <v>2914</v>
      </c>
      <c r="B3537" s="27" t="s">
        <v>659</v>
      </c>
      <c r="C3537" s="27" t="s">
        <v>4651</v>
      </c>
    </row>
    <row r="3538">
      <c r="A3538" s="27" t="s">
        <v>2915</v>
      </c>
      <c r="B3538" s="27" t="s">
        <v>655</v>
      </c>
      <c r="C3538" s="27" t="s">
        <v>4652</v>
      </c>
    </row>
    <row r="3539">
      <c r="A3539" s="27" t="s">
        <v>2540</v>
      </c>
      <c r="B3539" s="27" t="s">
        <v>631</v>
      </c>
      <c r="C3539" s="27" t="s">
        <v>4653</v>
      </c>
    </row>
    <row r="3540">
      <c r="A3540" s="27" t="s">
        <v>2541</v>
      </c>
      <c r="B3540" s="27" t="s">
        <v>635</v>
      </c>
      <c r="C3540" s="27" t="s">
        <v>4165</v>
      </c>
    </row>
    <row r="3541">
      <c r="A3541" s="27" t="s">
        <v>2542</v>
      </c>
      <c r="B3541" s="27" t="s">
        <v>629</v>
      </c>
      <c r="C3541" s="27" t="s">
        <v>4654</v>
      </c>
    </row>
    <row r="3542">
      <c r="A3542" s="27" t="s">
        <v>2543</v>
      </c>
      <c r="B3542" s="27" t="s">
        <v>633</v>
      </c>
      <c r="C3542" s="27" t="s">
        <v>2368</v>
      </c>
    </row>
    <row r="3543">
      <c r="A3543" s="27" t="s">
        <v>3167</v>
      </c>
      <c r="B3543" s="27" t="s">
        <v>637</v>
      </c>
      <c r="C3543" s="27" t="s">
        <v>4655</v>
      </c>
    </row>
    <row r="3544">
      <c r="A3544" s="27" t="s">
        <v>3168</v>
      </c>
      <c r="B3544" s="27" t="s">
        <v>639</v>
      </c>
      <c r="C3544" s="27" t="s">
        <v>2441</v>
      </c>
    </row>
    <row r="3545">
      <c r="A3545" s="27" t="s">
        <v>3169</v>
      </c>
      <c r="B3545" s="27" t="s">
        <v>641</v>
      </c>
      <c r="C3545" s="27" t="s">
        <v>2432</v>
      </c>
    </row>
    <row r="3546">
      <c r="A3546" s="27" t="s">
        <v>3170</v>
      </c>
      <c r="B3546" s="27" t="s">
        <v>643</v>
      </c>
      <c r="C3546" s="27" t="s">
        <v>2390</v>
      </c>
    </row>
    <row r="3547">
      <c r="A3547" s="27" t="s">
        <v>3171</v>
      </c>
      <c r="B3547" s="27" t="s">
        <v>645</v>
      </c>
      <c r="C3547" s="27" t="s">
        <v>4656</v>
      </c>
    </row>
    <row r="3548">
      <c r="A3548" s="27" t="s">
        <v>3172</v>
      </c>
      <c r="B3548" s="27" t="s">
        <v>647</v>
      </c>
      <c r="C3548" s="27" t="s">
        <v>3830</v>
      </c>
    </row>
    <row r="3549">
      <c r="A3549" s="27" t="s">
        <v>3173</v>
      </c>
      <c r="B3549" s="27" t="s">
        <v>649</v>
      </c>
      <c r="C3549" s="27" t="s">
        <v>4657</v>
      </c>
    </row>
    <row r="3550">
      <c r="A3550" s="27" t="s">
        <v>3174</v>
      </c>
      <c r="B3550" s="27" t="s">
        <v>651</v>
      </c>
      <c r="C3550" s="27" t="s">
        <v>2394</v>
      </c>
    </row>
    <row r="3551">
      <c r="A3551" s="27" t="s">
        <v>2544</v>
      </c>
      <c r="B3551" s="27" t="s">
        <v>542</v>
      </c>
      <c r="C3551" s="27" t="s">
        <v>2566</v>
      </c>
    </row>
    <row r="3552">
      <c r="A3552" s="27" t="s">
        <v>2545</v>
      </c>
      <c r="B3552" s="27" t="s">
        <v>544</v>
      </c>
      <c r="C3552" s="27" t="s">
        <v>3858</v>
      </c>
    </row>
    <row r="3553">
      <c r="A3553" s="27" t="s">
        <v>2546</v>
      </c>
      <c r="B3553" s="27" t="s">
        <v>548</v>
      </c>
      <c r="C3553" s="27" t="s">
        <v>4658</v>
      </c>
    </row>
    <row r="3554">
      <c r="A3554" s="27" t="s">
        <v>2548</v>
      </c>
      <c r="B3554" s="27" t="s">
        <v>540</v>
      </c>
      <c r="C3554" s="27" t="s">
        <v>4659</v>
      </c>
    </row>
    <row r="3555">
      <c r="A3555" s="27" t="s">
        <v>2549</v>
      </c>
      <c r="B3555" s="27" t="s">
        <v>550</v>
      </c>
      <c r="C3555" s="27" t="s">
        <v>2396</v>
      </c>
    </row>
    <row r="3556">
      <c r="A3556" s="27" t="s">
        <v>3176</v>
      </c>
      <c r="B3556" s="27" t="s">
        <v>1173</v>
      </c>
      <c r="C3556" s="27" t="s">
        <v>4164</v>
      </c>
    </row>
    <row r="3557">
      <c r="A3557" s="27" t="s">
        <v>3177</v>
      </c>
      <c r="B3557" s="27" t="s">
        <v>1175</v>
      </c>
      <c r="C3557" s="27" t="s">
        <v>4660</v>
      </c>
    </row>
    <row r="3558">
      <c r="A3558" s="27" t="s">
        <v>2550</v>
      </c>
      <c r="B3558" s="27" t="s">
        <v>722</v>
      </c>
      <c r="C3558" s="27" t="s">
        <v>4164</v>
      </c>
    </row>
    <row r="3559">
      <c r="A3559" s="27" t="s">
        <v>4661</v>
      </c>
      <c r="B3559" s="27" t="s">
        <v>4662</v>
      </c>
      <c r="C3559" s="27" t="s">
        <v>3705</v>
      </c>
    </row>
    <row r="3560">
      <c r="A3560" s="27" t="s">
        <v>4663</v>
      </c>
      <c r="B3560" s="27" t="s">
        <v>4664</v>
      </c>
      <c r="C3560" s="27" t="s">
        <v>3705</v>
      </c>
    </row>
    <row r="3561">
      <c r="A3561" s="27" t="s">
        <v>4665</v>
      </c>
      <c r="B3561" s="27" t="s">
        <v>4666</v>
      </c>
      <c r="C3561" s="27" t="s">
        <v>3705</v>
      </c>
    </row>
    <row r="3562">
      <c r="A3562" s="27" t="s">
        <v>4667</v>
      </c>
      <c r="B3562" s="27" t="s">
        <v>4668</v>
      </c>
      <c r="C3562" s="27" t="s">
        <v>3705</v>
      </c>
    </row>
    <row r="3563">
      <c r="A3563" s="27" t="s">
        <v>4669</v>
      </c>
      <c r="B3563" s="27" t="s">
        <v>4670</v>
      </c>
      <c r="C3563" s="27" t="s">
        <v>4671</v>
      </c>
    </row>
    <row r="3564">
      <c r="A3564" s="27" t="s">
        <v>4672</v>
      </c>
      <c r="B3564" s="27" t="s">
        <v>4673</v>
      </c>
      <c r="C3564" s="27" t="s">
        <v>3965</v>
      </c>
    </row>
    <row r="3565">
      <c r="A3565" s="27" t="s">
        <v>4674</v>
      </c>
      <c r="B3565" s="27" t="s">
        <v>4675</v>
      </c>
      <c r="C3565" s="27" t="s">
        <v>4671</v>
      </c>
    </row>
    <row r="3566">
      <c r="A3566" s="27" t="s">
        <v>4676</v>
      </c>
      <c r="B3566" s="27" t="s">
        <v>4677</v>
      </c>
      <c r="C3566" s="27" t="s">
        <v>4671</v>
      </c>
    </row>
    <row r="3567">
      <c r="A3567" s="27" t="s">
        <v>4678</v>
      </c>
      <c r="B3567" s="27" t="s">
        <v>4679</v>
      </c>
      <c r="C3567" s="27" t="s">
        <v>4680</v>
      </c>
    </row>
    <row r="3568">
      <c r="A3568" s="27" t="s">
        <v>4681</v>
      </c>
      <c r="B3568" s="27" t="s">
        <v>4682</v>
      </c>
      <c r="C3568" s="27" t="s">
        <v>4683</v>
      </c>
    </row>
    <row r="3569">
      <c r="A3569" s="27" t="s">
        <v>4684</v>
      </c>
      <c r="B3569" s="27" t="s">
        <v>4685</v>
      </c>
      <c r="C3569" s="27" t="s">
        <v>4680</v>
      </c>
    </row>
    <row r="3570">
      <c r="A3570" s="27" t="s">
        <v>4686</v>
      </c>
      <c r="B3570" s="27" t="s">
        <v>4687</v>
      </c>
      <c r="C3570" s="27" t="s">
        <v>4680</v>
      </c>
    </row>
    <row r="3571">
      <c r="A3571" s="27" t="s">
        <v>3178</v>
      </c>
      <c r="B3571" s="27" t="s">
        <v>470</v>
      </c>
      <c r="C3571" s="27" t="s">
        <v>4688</v>
      </c>
    </row>
    <row r="3572">
      <c r="A3572" s="27" t="s">
        <v>2551</v>
      </c>
      <c r="B3572" s="27" t="s">
        <v>472</v>
      </c>
      <c r="C3572" s="27" t="s">
        <v>4689</v>
      </c>
    </row>
    <row r="3573">
      <c r="A3573" s="27" t="s">
        <v>3179</v>
      </c>
      <c r="B3573" s="27" t="s">
        <v>476</v>
      </c>
      <c r="C3573" s="27" t="s">
        <v>4690</v>
      </c>
    </row>
    <row r="3574">
      <c r="A3574" s="27" t="s">
        <v>3180</v>
      </c>
      <c r="B3574" s="27" t="s">
        <v>478</v>
      </c>
      <c r="C3574" s="27" t="s">
        <v>4691</v>
      </c>
    </row>
    <row r="3575">
      <c r="A3575" s="27" t="s">
        <v>2553</v>
      </c>
      <c r="B3575" s="27" t="s">
        <v>357</v>
      </c>
      <c r="C3575" s="27" t="s">
        <v>4692</v>
      </c>
    </row>
    <row r="3576">
      <c r="A3576" s="27" t="s">
        <v>2554</v>
      </c>
      <c r="B3576" s="27" t="s">
        <v>357</v>
      </c>
      <c r="C3576" s="27" t="s">
        <v>4693</v>
      </c>
    </row>
    <row r="3577">
      <c r="A3577" s="27" t="s">
        <v>2555</v>
      </c>
      <c r="B3577" s="27" t="s">
        <v>359</v>
      </c>
      <c r="C3577" s="27" t="s">
        <v>4171</v>
      </c>
    </row>
    <row r="3578">
      <c r="A3578" s="27" t="s">
        <v>2556</v>
      </c>
      <c r="B3578" s="27" t="s">
        <v>359</v>
      </c>
      <c r="C3578" s="27" t="s">
        <v>4694</v>
      </c>
    </row>
    <row r="3579">
      <c r="A3579" s="27" t="s">
        <v>2558</v>
      </c>
      <c r="B3579" s="27" t="s">
        <v>361</v>
      </c>
      <c r="C3579" s="27" t="s">
        <v>3975</v>
      </c>
    </row>
    <row r="3580">
      <c r="A3580" s="27" t="s">
        <v>2559</v>
      </c>
      <c r="B3580" s="27" t="s">
        <v>361</v>
      </c>
      <c r="C3580" s="27" t="s">
        <v>4140</v>
      </c>
    </row>
    <row r="3581">
      <c r="A3581" s="27" t="s">
        <v>3181</v>
      </c>
      <c r="B3581" s="27" t="s">
        <v>363</v>
      </c>
      <c r="C3581" s="27" t="s">
        <v>4695</v>
      </c>
    </row>
    <row r="3582">
      <c r="A3582" s="27" t="s">
        <v>3182</v>
      </c>
      <c r="B3582" s="27" t="s">
        <v>367</v>
      </c>
      <c r="C3582" s="27" t="s">
        <v>4176</v>
      </c>
    </row>
    <row r="3583">
      <c r="A3583" s="27" t="s">
        <v>3183</v>
      </c>
      <c r="B3583" s="27" t="s">
        <v>365</v>
      </c>
      <c r="C3583" s="27" t="s">
        <v>4656</v>
      </c>
    </row>
    <row r="3584">
      <c r="A3584" s="27" t="s">
        <v>3184</v>
      </c>
      <c r="B3584" s="27" t="s">
        <v>347</v>
      </c>
      <c r="C3584" s="27" t="s">
        <v>4696</v>
      </c>
    </row>
    <row r="3585">
      <c r="A3585" s="27" t="s">
        <v>3185</v>
      </c>
      <c r="B3585" s="27" t="s">
        <v>351</v>
      </c>
      <c r="C3585" s="27" t="s">
        <v>3795</v>
      </c>
    </row>
    <row r="3586">
      <c r="A3586" s="27" t="s">
        <v>3186</v>
      </c>
      <c r="B3586" s="27" t="s">
        <v>349</v>
      </c>
      <c r="C3586" s="27" t="s">
        <v>4656</v>
      </c>
    </row>
    <row r="3587">
      <c r="A3587" s="27" t="s">
        <v>2560</v>
      </c>
      <c r="B3587" s="27" t="s">
        <v>369</v>
      </c>
      <c r="C3587" s="27" t="s">
        <v>4697</v>
      </c>
    </row>
    <row r="3588">
      <c r="A3588" s="27" t="s">
        <v>2561</v>
      </c>
      <c r="B3588" s="27" t="s">
        <v>371</v>
      </c>
      <c r="C3588" s="27" t="s">
        <v>2426</v>
      </c>
    </row>
    <row r="3589">
      <c r="A3589" s="27" t="s">
        <v>2562</v>
      </c>
      <c r="B3589" s="27" t="s">
        <v>373</v>
      </c>
      <c r="C3589" s="27" t="s">
        <v>3901</v>
      </c>
    </row>
    <row r="3590">
      <c r="A3590" s="27" t="s">
        <v>2563</v>
      </c>
      <c r="B3590" s="27" t="s">
        <v>353</v>
      </c>
      <c r="C3590" s="27" t="s">
        <v>4698</v>
      </c>
    </row>
    <row r="3591">
      <c r="A3591" s="27" t="s">
        <v>2564</v>
      </c>
      <c r="B3591" s="27" t="s">
        <v>355</v>
      </c>
      <c r="C3591" s="27" t="s">
        <v>2365</v>
      </c>
    </row>
    <row r="3592">
      <c r="A3592" s="27" t="s">
        <v>2565</v>
      </c>
      <c r="B3592" s="27" t="s">
        <v>557</v>
      </c>
      <c r="C3592" s="27" t="s">
        <v>4699</v>
      </c>
    </row>
    <row r="3593">
      <c r="A3593" s="27" t="s">
        <v>2567</v>
      </c>
      <c r="B3593" s="27" t="s">
        <v>559</v>
      </c>
      <c r="C3593" s="27" t="s">
        <v>4700</v>
      </c>
    </row>
    <row r="3594">
      <c r="A3594" s="27" t="s">
        <v>2568</v>
      </c>
      <c r="B3594" s="27" t="s">
        <v>561</v>
      </c>
      <c r="C3594" s="27" t="s">
        <v>3282</v>
      </c>
    </row>
    <row r="3595">
      <c r="A3595" s="27" t="s">
        <v>2569</v>
      </c>
      <c r="B3595" s="27" t="s">
        <v>716</v>
      </c>
      <c r="C3595" s="27" t="s">
        <v>2451</v>
      </c>
    </row>
    <row r="3596">
      <c r="A3596" s="27" t="s">
        <v>2570</v>
      </c>
      <c r="B3596" s="27" t="s">
        <v>714</v>
      </c>
      <c r="C3596" s="27" t="s">
        <v>4701</v>
      </c>
    </row>
    <row r="3597">
      <c r="A3597" s="27" t="s">
        <v>3126</v>
      </c>
      <c r="B3597" s="27" t="s">
        <v>712</v>
      </c>
      <c r="C3597" s="27" t="s">
        <v>2359</v>
      </c>
    </row>
    <row r="3598">
      <c r="A3598" s="27" t="s">
        <v>2571</v>
      </c>
      <c r="B3598" s="27" t="s">
        <v>710</v>
      </c>
      <c r="C3598" s="27" t="s">
        <v>2751</v>
      </c>
    </row>
    <row r="3599">
      <c r="A3599" s="27" t="s">
        <v>2572</v>
      </c>
      <c r="B3599" s="27" t="s">
        <v>706</v>
      </c>
      <c r="C3599" s="27" t="s">
        <v>2413</v>
      </c>
    </row>
    <row r="3600">
      <c r="A3600" s="27" t="s">
        <v>2573</v>
      </c>
      <c r="B3600" s="27" t="s">
        <v>572</v>
      </c>
      <c r="C3600" s="27" t="s">
        <v>4693</v>
      </c>
    </row>
    <row r="3601">
      <c r="A3601" s="27" t="s">
        <v>2574</v>
      </c>
      <c r="B3601" s="27" t="s">
        <v>568</v>
      </c>
      <c r="C3601" s="27" t="s">
        <v>2547</v>
      </c>
    </row>
    <row r="3602">
      <c r="A3602" s="27" t="s">
        <v>2575</v>
      </c>
      <c r="B3602" s="27" t="s">
        <v>570</v>
      </c>
      <c r="C3602" s="27" t="s">
        <v>2388</v>
      </c>
    </row>
    <row r="3603">
      <c r="A3603" s="27" t="s">
        <v>2576</v>
      </c>
      <c r="B3603" s="27" t="s">
        <v>588</v>
      </c>
      <c r="C3603" s="27" t="s">
        <v>4702</v>
      </c>
    </row>
    <row r="3604">
      <c r="A3604" s="27" t="s">
        <v>4703</v>
      </c>
      <c r="B3604" s="27" t="s">
        <v>4704</v>
      </c>
      <c r="C3604" s="27" t="s">
        <v>4165</v>
      </c>
    </row>
    <row r="3605">
      <c r="A3605" s="27" t="s">
        <v>2577</v>
      </c>
      <c r="B3605" s="27" t="s">
        <v>595</v>
      </c>
      <c r="C3605" s="27" t="s">
        <v>4705</v>
      </c>
    </row>
    <row r="3606">
      <c r="A3606" s="27" t="s">
        <v>2578</v>
      </c>
      <c r="B3606" s="27" t="s">
        <v>597</v>
      </c>
      <c r="C3606" s="27" t="s">
        <v>4706</v>
      </c>
    </row>
    <row r="3607">
      <c r="A3607" s="27" t="s">
        <v>3187</v>
      </c>
      <c r="B3607" s="27" t="s">
        <v>386</v>
      </c>
      <c r="C3607" s="27" t="s">
        <v>2411</v>
      </c>
    </row>
    <row r="3608">
      <c r="A3608" s="27" t="s">
        <v>3188</v>
      </c>
      <c r="B3608" s="27" t="s">
        <v>388</v>
      </c>
      <c r="C3608" s="27" t="s">
        <v>3804</v>
      </c>
    </row>
    <row r="3609">
      <c r="A3609" s="27" t="s">
        <v>3189</v>
      </c>
      <c r="B3609" s="27" t="s">
        <v>390</v>
      </c>
      <c r="C3609" s="27" t="s">
        <v>4692</v>
      </c>
    </row>
    <row r="3610">
      <c r="A3610" s="27" t="s">
        <v>3190</v>
      </c>
      <c r="B3610" s="27" t="s">
        <v>392</v>
      </c>
      <c r="C3610" s="27" t="s">
        <v>4707</v>
      </c>
    </row>
    <row r="3611">
      <c r="A3611" s="27" t="s">
        <v>3191</v>
      </c>
      <c r="B3611" s="27" t="s">
        <v>394</v>
      </c>
      <c r="C3611" s="27" t="s">
        <v>2441</v>
      </c>
    </row>
    <row r="3612">
      <c r="A3612" s="27" t="s">
        <v>3192</v>
      </c>
      <c r="B3612" s="27" t="s">
        <v>376</v>
      </c>
      <c r="C3612" s="27" t="s">
        <v>4652</v>
      </c>
    </row>
    <row r="3613">
      <c r="A3613" s="27" t="s">
        <v>3193</v>
      </c>
      <c r="B3613" s="27" t="s">
        <v>378</v>
      </c>
      <c r="C3613" s="27" t="s">
        <v>3830</v>
      </c>
    </row>
    <row r="3614">
      <c r="A3614" s="27" t="s">
        <v>3194</v>
      </c>
      <c r="B3614" s="27" t="s">
        <v>380</v>
      </c>
      <c r="C3614" s="27" t="s">
        <v>4708</v>
      </c>
    </row>
    <row r="3615">
      <c r="A3615" s="27" t="s">
        <v>3195</v>
      </c>
      <c r="B3615" s="27" t="s">
        <v>382</v>
      </c>
      <c r="C3615" s="27" t="s">
        <v>2368</v>
      </c>
    </row>
    <row r="3616">
      <c r="A3616" s="27" t="s">
        <v>3196</v>
      </c>
      <c r="B3616" s="27" t="s">
        <v>384</v>
      </c>
      <c r="C3616" s="27" t="s">
        <v>2394</v>
      </c>
    </row>
    <row r="3617">
      <c r="A3617" s="27" t="s">
        <v>3197</v>
      </c>
      <c r="B3617" s="27" t="s">
        <v>396</v>
      </c>
      <c r="C3617" s="27" t="s">
        <v>4709</v>
      </c>
    </row>
    <row r="3618">
      <c r="A3618" s="27" t="s">
        <v>3198</v>
      </c>
      <c r="B3618" s="27" t="s">
        <v>398</v>
      </c>
      <c r="C3618" s="27" t="s">
        <v>2583</v>
      </c>
    </row>
    <row r="3619">
      <c r="A3619" s="27" t="s">
        <v>3199</v>
      </c>
      <c r="B3619" s="27" t="s">
        <v>400</v>
      </c>
      <c r="C3619" s="27" t="s">
        <v>4705</v>
      </c>
    </row>
    <row r="3620">
      <c r="A3620" s="27" t="s">
        <v>3200</v>
      </c>
      <c r="B3620" s="27" t="s">
        <v>402</v>
      </c>
      <c r="C3620" s="27" t="s">
        <v>4710</v>
      </c>
    </row>
    <row r="3621">
      <c r="A3621" s="27" t="s">
        <v>3201</v>
      </c>
      <c r="B3621" s="27" t="s">
        <v>404</v>
      </c>
      <c r="C3621" s="27" t="s">
        <v>2394</v>
      </c>
    </row>
    <row r="3622">
      <c r="A3622" s="27" t="s">
        <v>2580</v>
      </c>
      <c r="B3622" s="27" t="s">
        <v>490</v>
      </c>
      <c r="C3622" s="27" t="s">
        <v>2797</v>
      </c>
    </row>
    <row r="3623">
      <c r="A3623" s="27" t="s">
        <v>3202</v>
      </c>
      <c r="B3623" s="27" t="s">
        <v>492</v>
      </c>
      <c r="C3623" s="27" t="s">
        <v>2451</v>
      </c>
    </row>
    <row r="3624">
      <c r="A3624" s="27" t="s">
        <v>3203</v>
      </c>
      <c r="B3624" s="27" t="s">
        <v>494</v>
      </c>
      <c r="C3624" s="27" t="s">
        <v>4711</v>
      </c>
    </row>
    <row r="3625">
      <c r="A3625" s="27" t="s">
        <v>3204</v>
      </c>
      <c r="B3625" s="27" t="s">
        <v>496</v>
      </c>
      <c r="C3625" s="27" t="s">
        <v>4712</v>
      </c>
    </row>
    <row r="3626">
      <c r="A3626" s="27" t="s">
        <v>3205</v>
      </c>
      <c r="B3626" s="27" t="s">
        <v>498</v>
      </c>
      <c r="C3626" s="27" t="s">
        <v>3867</v>
      </c>
    </row>
    <row r="3627">
      <c r="A3627" s="27" t="s">
        <v>3206</v>
      </c>
      <c r="B3627" s="27" t="s">
        <v>500</v>
      </c>
      <c r="C3627" s="27" t="s">
        <v>4713</v>
      </c>
    </row>
    <row r="3628">
      <c r="A3628" s="27" t="s">
        <v>2581</v>
      </c>
      <c r="B3628" s="27" t="s">
        <v>502</v>
      </c>
      <c r="C3628" s="27" t="s">
        <v>4714</v>
      </c>
    </row>
    <row r="3629">
      <c r="A3629" s="27" t="s">
        <v>2582</v>
      </c>
      <c r="B3629" s="27" t="s">
        <v>504</v>
      </c>
      <c r="C3629" s="27" t="s">
        <v>4715</v>
      </c>
    </row>
    <row r="3630">
      <c r="A3630" s="27" t="s">
        <v>2584</v>
      </c>
      <c r="B3630" s="27" t="s">
        <v>506</v>
      </c>
      <c r="C3630" s="27" t="s">
        <v>4716</v>
      </c>
    </row>
    <row r="3631">
      <c r="A3631" s="27" t="s">
        <v>2586</v>
      </c>
      <c r="B3631" s="27" t="s">
        <v>508</v>
      </c>
      <c r="C3631" s="27" t="s">
        <v>4717</v>
      </c>
    </row>
    <row r="3632">
      <c r="A3632" s="27" t="s">
        <v>4718</v>
      </c>
      <c r="B3632" s="27" t="s">
        <v>4719</v>
      </c>
      <c r="C3632" s="27" t="s">
        <v>4720</v>
      </c>
    </row>
    <row r="3633">
      <c r="A3633" s="27" t="s">
        <v>3154</v>
      </c>
      <c r="B3633" s="27" t="s">
        <v>751</v>
      </c>
      <c r="C3633" s="27" t="s">
        <v>3923</v>
      </c>
    </row>
    <row r="3634">
      <c r="A3634" s="27" t="s">
        <v>3207</v>
      </c>
      <c r="B3634" s="27" t="s">
        <v>755</v>
      </c>
      <c r="C3634" s="27" t="s">
        <v>4696</v>
      </c>
    </row>
    <row r="3635">
      <c r="A3635" s="27" t="s">
        <v>3156</v>
      </c>
      <c r="B3635" s="27" t="s">
        <v>773</v>
      </c>
      <c r="C3635" s="27" t="s">
        <v>2751</v>
      </c>
    </row>
    <row r="3636">
      <c r="A3636" s="27" t="s">
        <v>3157</v>
      </c>
      <c r="B3636" s="27" t="s">
        <v>775</v>
      </c>
      <c r="C3636" s="27" t="s">
        <v>3899</v>
      </c>
    </row>
    <row r="3637">
      <c r="A3637" s="27" t="s">
        <v>3208</v>
      </c>
      <c r="B3637" s="27" t="s">
        <v>784</v>
      </c>
      <c r="C3637" s="27" t="s">
        <v>2365</v>
      </c>
    </row>
    <row r="3638">
      <c r="A3638" s="27" t="s">
        <v>3209</v>
      </c>
      <c r="B3638" s="27" t="s">
        <v>788</v>
      </c>
      <c r="C3638" s="27" t="s">
        <v>2368</v>
      </c>
    </row>
    <row r="3639">
      <c r="A3639" s="27" t="s">
        <v>3210</v>
      </c>
      <c r="B3639" s="27" t="s">
        <v>793</v>
      </c>
      <c r="C3639" s="27" t="s">
        <v>3702</v>
      </c>
    </row>
    <row r="3640">
      <c r="A3640" s="27" t="s">
        <v>3211</v>
      </c>
      <c r="B3640" s="27" t="s">
        <v>795</v>
      </c>
      <c r="C3640" s="27" t="s">
        <v>4710</v>
      </c>
    </row>
    <row r="3641">
      <c r="A3641" s="27" t="s">
        <v>2925</v>
      </c>
      <c r="B3641" s="27" t="s">
        <v>739</v>
      </c>
      <c r="C3641" s="27" t="s">
        <v>4653</v>
      </c>
    </row>
    <row r="3642">
      <c r="A3642" s="27" t="s">
        <v>2926</v>
      </c>
      <c r="B3642" s="27" t="s">
        <v>743</v>
      </c>
      <c r="C3642" s="27" t="s">
        <v>2413</v>
      </c>
    </row>
    <row r="3643">
      <c r="A3643" s="27" t="s">
        <v>2927</v>
      </c>
      <c r="B3643" s="27" t="s">
        <v>741</v>
      </c>
      <c r="C3643" s="27" t="s">
        <v>4721</v>
      </c>
    </row>
    <row r="3644">
      <c r="A3644" s="27" t="s">
        <v>2928</v>
      </c>
      <c r="B3644" s="27" t="s">
        <v>737</v>
      </c>
      <c r="C3644" s="27" t="s">
        <v>4377</v>
      </c>
    </row>
    <row r="3645">
      <c r="A3645" s="27" t="s">
        <v>2588</v>
      </c>
      <c r="B3645" s="27" t="s">
        <v>453</v>
      </c>
      <c r="C3645" s="27" t="s">
        <v>2376</v>
      </c>
    </row>
    <row r="3646">
      <c r="A3646" s="27" t="s">
        <v>2589</v>
      </c>
      <c r="B3646" s="27" t="s">
        <v>455</v>
      </c>
      <c r="C3646" s="27" t="s">
        <v>4722</v>
      </c>
    </row>
    <row r="3647">
      <c r="A3647" s="27" t="s">
        <v>3212</v>
      </c>
      <c r="B3647" s="27" t="s">
        <v>671</v>
      </c>
      <c r="C3647" s="27" t="s">
        <v>4712</v>
      </c>
    </row>
    <row r="3648">
      <c r="A3648" s="27" t="s">
        <v>3213</v>
      </c>
      <c r="B3648" s="27" t="s">
        <v>673</v>
      </c>
      <c r="C3648" s="27" t="s">
        <v>3827</v>
      </c>
    </row>
    <row r="3649">
      <c r="A3649" s="27" t="s">
        <v>2929</v>
      </c>
      <c r="B3649" s="27" t="s">
        <v>665</v>
      </c>
      <c r="C3649" s="27" t="s">
        <v>2359</v>
      </c>
    </row>
    <row r="3650">
      <c r="A3650" s="27" t="s">
        <v>2590</v>
      </c>
      <c r="B3650" s="27" t="s">
        <v>669</v>
      </c>
      <c r="C3650" s="27" t="s">
        <v>2451</v>
      </c>
    </row>
    <row r="3651">
      <c r="A3651" s="27" t="s">
        <v>2591</v>
      </c>
      <c r="B3651" s="27" t="s">
        <v>667</v>
      </c>
      <c r="C3651" s="27" t="s">
        <v>2451</v>
      </c>
    </row>
    <row r="3652">
      <c r="A3652" s="27" t="s">
        <v>2592</v>
      </c>
      <c r="B3652" s="27" t="s">
        <v>661</v>
      </c>
      <c r="C3652" s="27" t="s">
        <v>2382</v>
      </c>
    </row>
    <row r="3653">
      <c r="A3653" s="27" t="s">
        <v>2593</v>
      </c>
      <c r="B3653" s="27" t="s">
        <v>728</v>
      </c>
      <c r="C3653" s="27" t="s">
        <v>3973</v>
      </c>
    </row>
    <row r="3654">
      <c r="A3654" s="27" t="s">
        <v>2594</v>
      </c>
      <c r="B3654" s="27" t="s">
        <v>732</v>
      </c>
      <c r="C3654" s="27" t="s">
        <v>4257</v>
      </c>
    </row>
    <row r="3655">
      <c r="A3655" s="27" t="s">
        <v>2596</v>
      </c>
      <c r="B3655" s="27" t="s">
        <v>730</v>
      </c>
      <c r="C3655" s="27" t="s">
        <v>4723</v>
      </c>
    </row>
    <row r="3656">
      <c r="A3656" s="27" t="s">
        <v>2597</v>
      </c>
      <c r="B3656" s="27" t="s">
        <v>734</v>
      </c>
      <c r="C3656" s="27" t="s">
        <v>2365</v>
      </c>
    </row>
    <row r="3657">
      <c r="A3657" s="27" t="s">
        <v>2598</v>
      </c>
      <c r="B3657" s="27" t="s">
        <v>726</v>
      </c>
      <c r="C3657" s="27" t="s">
        <v>4647</v>
      </c>
    </row>
    <row r="3658">
      <c r="A3658" s="27" t="s">
        <v>4724</v>
      </c>
      <c r="B3658" s="27" t="s">
        <v>4725</v>
      </c>
    </row>
    <row r="3659">
      <c r="A3659" s="27" t="s">
        <v>2599</v>
      </c>
      <c r="B3659" s="27" t="s">
        <v>1093</v>
      </c>
      <c r="C3659" s="27" t="s">
        <v>4726</v>
      </c>
    </row>
    <row r="3660">
      <c r="A3660" s="27" t="s">
        <v>2600</v>
      </c>
      <c r="B3660" s="27" t="s">
        <v>1095</v>
      </c>
      <c r="C3660" s="27" t="s">
        <v>4727</v>
      </c>
    </row>
    <row r="3661">
      <c r="A3661" s="27" t="s">
        <v>2602</v>
      </c>
      <c r="B3661" s="27" t="s">
        <v>1097</v>
      </c>
      <c r="C3661" s="27" t="s">
        <v>4728</v>
      </c>
    </row>
    <row r="3662">
      <c r="A3662" s="27" t="s">
        <v>2604</v>
      </c>
      <c r="B3662" s="27" t="s">
        <v>1099</v>
      </c>
      <c r="C3662" s="27" t="s">
        <v>3959</v>
      </c>
    </row>
    <row r="3663">
      <c r="A3663" s="27" t="s">
        <v>2605</v>
      </c>
      <c r="B3663" s="27" t="s">
        <v>988</v>
      </c>
      <c r="C3663" s="27" t="s">
        <v>2411</v>
      </c>
    </row>
    <row r="3664">
      <c r="A3664" s="27" t="s">
        <v>2606</v>
      </c>
      <c r="B3664" s="27" t="s">
        <v>996</v>
      </c>
      <c r="C3664" s="27" t="s">
        <v>2413</v>
      </c>
    </row>
    <row r="3665">
      <c r="A3665" s="27" t="s">
        <v>2607</v>
      </c>
      <c r="B3665" s="27" t="s">
        <v>990</v>
      </c>
      <c r="C3665" s="27" t="s">
        <v>2396</v>
      </c>
    </row>
    <row r="3666">
      <c r="A3666" s="27" t="s">
        <v>2608</v>
      </c>
      <c r="B3666" s="27" t="s">
        <v>998</v>
      </c>
      <c r="C3666" s="27" t="s">
        <v>2386</v>
      </c>
    </row>
    <row r="3667">
      <c r="A3667" s="27" t="s">
        <v>2609</v>
      </c>
      <c r="B3667" s="27" t="s">
        <v>992</v>
      </c>
      <c r="C3667" s="27" t="s">
        <v>2407</v>
      </c>
    </row>
    <row r="3668">
      <c r="A3668" s="27" t="s">
        <v>2610</v>
      </c>
      <c r="B3668" s="27" t="s">
        <v>1000</v>
      </c>
      <c r="C3668" s="27" t="s">
        <v>2378</v>
      </c>
    </row>
    <row r="3669">
      <c r="A3669" s="27" t="s">
        <v>2611</v>
      </c>
      <c r="B3669" s="27" t="s">
        <v>994</v>
      </c>
      <c r="C3669" s="27" t="s">
        <v>2361</v>
      </c>
    </row>
    <row r="3670">
      <c r="A3670" s="27" t="s">
        <v>2612</v>
      </c>
      <c r="B3670" s="27" t="s">
        <v>1002</v>
      </c>
      <c r="C3670" s="27" t="s">
        <v>2378</v>
      </c>
    </row>
    <row r="3671">
      <c r="A3671" s="27" t="s">
        <v>2613</v>
      </c>
      <c r="B3671" s="27" t="s">
        <v>972</v>
      </c>
      <c r="C3671" s="27" t="s">
        <v>4176</v>
      </c>
    </row>
    <row r="3672">
      <c r="A3672" s="27" t="s">
        <v>2614</v>
      </c>
      <c r="B3672" s="27" t="s">
        <v>980</v>
      </c>
      <c r="C3672" s="27" t="s">
        <v>4698</v>
      </c>
    </row>
    <row r="3673">
      <c r="A3673" s="27" t="s">
        <v>2615</v>
      </c>
      <c r="B3673" s="27" t="s">
        <v>974</v>
      </c>
      <c r="C3673" s="27" t="s">
        <v>2552</v>
      </c>
    </row>
    <row r="3674">
      <c r="A3674" s="27" t="s">
        <v>2616</v>
      </c>
      <c r="B3674" s="27" t="s">
        <v>982</v>
      </c>
      <c r="C3674" s="27" t="s">
        <v>2552</v>
      </c>
    </row>
    <row r="3675">
      <c r="A3675" s="27" t="s">
        <v>2617</v>
      </c>
      <c r="B3675" s="27" t="s">
        <v>976</v>
      </c>
      <c r="C3675" s="27" t="s">
        <v>2396</v>
      </c>
    </row>
    <row r="3676">
      <c r="A3676" s="27" t="s">
        <v>2618</v>
      </c>
      <c r="B3676" s="27" t="s">
        <v>984</v>
      </c>
      <c r="C3676" s="27" t="s">
        <v>2547</v>
      </c>
    </row>
    <row r="3677">
      <c r="A3677" s="27" t="s">
        <v>2619</v>
      </c>
      <c r="B3677" s="27" t="s">
        <v>978</v>
      </c>
      <c r="C3677" s="27" t="s">
        <v>2382</v>
      </c>
    </row>
    <row r="3678">
      <c r="A3678" s="27" t="s">
        <v>2620</v>
      </c>
      <c r="B3678" s="27" t="s">
        <v>986</v>
      </c>
      <c r="C3678" s="27" t="s">
        <v>2547</v>
      </c>
    </row>
    <row r="3679">
      <c r="A3679" s="27" t="s">
        <v>2621</v>
      </c>
      <c r="B3679" s="27" t="s">
        <v>956</v>
      </c>
      <c r="C3679" s="27" t="s">
        <v>2566</v>
      </c>
    </row>
    <row r="3680">
      <c r="A3680" s="27" t="s">
        <v>2622</v>
      </c>
      <c r="B3680" s="27" t="s">
        <v>964</v>
      </c>
      <c r="C3680" s="27" t="s">
        <v>4700</v>
      </c>
    </row>
    <row r="3681">
      <c r="A3681" s="27" t="s">
        <v>2623</v>
      </c>
      <c r="B3681" s="27" t="s">
        <v>958</v>
      </c>
      <c r="C3681" s="27" t="s">
        <v>2384</v>
      </c>
    </row>
    <row r="3682">
      <c r="A3682" s="27" t="s">
        <v>2624</v>
      </c>
      <c r="B3682" s="27" t="s">
        <v>966</v>
      </c>
      <c r="C3682" s="27" t="s">
        <v>2411</v>
      </c>
    </row>
    <row r="3683">
      <c r="A3683" s="27" t="s">
        <v>2625</v>
      </c>
      <c r="B3683" s="27" t="s">
        <v>960</v>
      </c>
      <c r="C3683" s="27" t="s">
        <v>2382</v>
      </c>
    </row>
    <row r="3684">
      <c r="A3684" s="27" t="s">
        <v>2626</v>
      </c>
      <c r="B3684" s="27" t="s">
        <v>968</v>
      </c>
      <c r="C3684" s="27" t="s">
        <v>2421</v>
      </c>
    </row>
    <row r="3685">
      <c r="A3685" s="27" t="s">
        <v>2627</v>
      </c>
      <c r="B3685" s="27" t="s">
        <v>962</v>
      </c>
      <c r="C3685" s="27" t="s">
        <v>2595</v>
      </c>
    </row>
    <row r="3686">
      <c r="A3686" s="27" t="s">
        <v>2628</v>
      </c>
      <c r="B3686" s="27" t="s">
        <v>970</v>
      </c>
      <c r="C3686" s="27" t="s">
        <v>2396</v>
      </c>
    </row>
    <row r="3687">
      <c r="A3687" s="27" t="s">
        <v>2629</v>
      </c>
      <c r="B3687" s="27" t="s">
        <v>1020</v>
      </c>
      <c r="C3687" s="27" t="s">
        <v>4729</v>
      </c>
    </row>
    <row r="3688">
      <c r="A3688" s="27" t="s">
        <v>4730</v>
      </c>
      <c r="B3688" s="27" t="s">
        <v>1028</v>
      </c>
      <c r="C3688" s="27" t="s">
        <v>3437</v>
      </c>
    </row>
    <row r="3689">
      <c r="A3689" s="27" t="s">
        <v>2630</v>
      </c>
      <c r="B3689" s="27" t="s">
        <v>1028</v>
      </c>
      <c r="C3689" s="27" t="s">
        <v>2388</v>
      </c>
    </row>
    <row r="3690">
      <c r="A3690" s="27" t="s">
        <v>2631</v>
      </c>
      <c r="B3690" s="27" t="s">
        <v>1022</v>
      </c>
      <c r="C3690" s="27" t="s">
        <v>2566</v>
      </c>
    </row>
    <row r="3691">
      <c r="A3691" s="27" t="s">
        <v>4731</v>
      </c>
      <c r="B3691" s="27" t="s">
        <v>1030</v>
      </c>
      <c r="C3691" s="27" t="s">
        <v>3437</v>
      </c>
    </row>
    <row r="3692">
      <c r="A3692" s="27" t="s">
        <v>2632</v>
      </c>
      <c r="B3692" s="27" t="s">
        <v>1030</v>
      </c>
      <c r="C3692" s="27" t="s">
        <v>2384</v>
      </c>
    </row>
    <row r="3693">
      <c r="A3693" s="27" t="s">
        <v>2633</v>
      </c>
      <c r="B3693" s="27" t="s">
        <v>1024</v>
      </c>
      <c r="C3693" s="27" t="s">
        <v>2797</v>
      </c>
    </row>
    <row r="3694">
      <c r="A3694" s="27" t="s">
        <v>4732</v>
      </c>
      <c r="B3694" s="27" t="s">
        <v>1032</v>
      </c>
      <c r="C3694" s="27" t="s">
        <v>2399</v>
      </c>
    </row>
    <row r="3695">
      <c r="A3695" s="27" t="s">
        <v>2634</v>
      </c>
      <c r="B3695" s="27" t="s">
        <v>1032</v>
      </c>
      <c r="C3695" s="27" t="s">
        <v>2382</v>
      </c>
    </row>
    <row r="3696">
      <c r="A3696" s="27" t="s">
        <v>2635</v>
      </c>
      <c r="B3696" s="27" t="s">
        <v>1026</v>
      </c>
      <c r="C3696" s="27" t="s">
        <v>2402</v>
      </c>
    </row>
    <row r="3697">
      <c r="A3697" s="27" t="s">
        <v>4733</v>
      </c>
      <c r="B3697" s="27" t="s">
        <v>1034</v>
      </c>
      <c r="C3697" s="27" t="s">
        <v>2399</v>
      </c>
    </row>
    <row r="3698">
      <c r="A3698" s="27" t="s">
        <v>2636</v>
      </c>
      <c r="B3698" s="27" t="s">
        <v>1034</v>
      </c>
      <c r="C3698" s="27" t="s">
        <v>2399</v>
      </c>
    </row>
    <row r="3699">
      <c r="A3699" s="27" t="s">
        <v>2637</v>
      </c>
      <c r="B3699" s="27" t="s">
        <v>913</v>
      </c>
      <c r="C3699" s="27" t="s">
        <v>4734</v>
      </c>
    </row>
    <row r="3700">
      <c r="A3700" s="27" t="s">
        <v>4735</v>
      </c>
      <c r="B3700" s="27" t="s">
        <v>921</v>
      </c>
      <c r="C3700" s="27" t="s">
        <v>3437</v>
      </c>
    </row>
    <row r="3701">
      <c r="A3701" s="27" t="s">
        <v>2639</v>
      </c>
      <c r="B3701" s="27" t="s">
        <v>915</v>
      </c>
      <c r="C3701" s="27" t="s">
        <v>3489</v>
      </c>
    </row>
    <row r="3702">
      <c r="A3702" s="27" t="s">
        <v>4736</v>
      </c>
      <c r="B3702" s="27" t="s">
        <v>923</v>
      </c>
      <c r="C3702" s="27" t="s">
        <v>3437</v>
      </c>
    </row>
    <row r="3703">
      <c r="A3703" s="27" t="s">
        <v>2640</v>
      </c>
      <c r="B3703" s="27" t="s">
        <v>923</v>
      </c>
      <c r="C3703" s="27" t="s">
        <v>2505</v>
      </c>
    </row>
    <row r="3704">
      <c r="A3704" s="27" t="s">
        <v>2641</v>
      </c>
      <c r="B3704" s="27" t="s">
        <v>917</v>
      </c>
      <c r="C3704" s="27" t="s">
        <v>2595</v>
      </c>
    </row>
    <row r="3705">
      <c r="A3705" s="27" t="s">
        <v>4737</v>
      </c>
      <c r="B3705" s="27" t="s">
        <v>925</v>
      </c>
      <c r="C3705" s="27" t="s">
        <v>2399</v>
      </c>
    </row>
    <row r="3706">
      <c r="A3706" s="27" t="s">
        <v>2643</v>
      </c>
      <c r="B3706" s="27" t="s">
        <v>919</v>
      </c>
      <c r="C3706" s="27" t="s">
        <v>2409</v>
      </c>
    </row>
    <row r="3707">
      <c r="A3707" s="27" t="s">
        <v>4738</v>
      </c>
      <c r="B3707" s="27" t="s">
        <v>927</v>
      </c>
      <c r="C3707" s="27" t="s">
        <v>2372</v>
      </c>
    </row>
    <row r="3708">
      <c r="A3708" s="27" t="s">
        <v>2644</v>
      </c>
      <c r="B3708" s="27" t="s">
        <v>927</v>
      </c>
      <c r="C3708" s="27" t="s">
        <v>2396</v>
      </c>
    </row>
    <row r="3709">
      <c r="A3709" s="27" t="s">
        <v>2645</v>
      </c>
      <c r="B3709" s="27" t="s">
        <v>905</v>
      </c>
      <c r="C3709" s="27" t="s">
        <v>2752</v>
      </c>
    </row>
    <row r="3710">
      <c r="A3710" s="27" t="s">
        <v>2646</v>
      </c>
      <c r="B3710" s="27" t="s">
        <v>897</v>
      </c>
      <c r="C3710" s="27" t="s">
        <v>4700</v>
      </c>
    </row>
    <row r="3711">
      <c r="A3711" s="27" t="s">
        <v>2647</v>
      </c>
      <c r="B3711" s="27" t="s">
        <v>907</v>
      </c>
      <c r="C3711" s="27" t="s">
        <v>4164</v>
      </c>
    </row>
    <row r="3712">
      <c r="A3712" s="27" t="s">
        <v>3214</v>
      </c>
      <c r="B3712" s="27" t="s">
        <v>899</v>
      </c>
      <c r="C3712" s="27" t="s">
        <v>2359</v>
      </c>
    </row>
    <row r="3713">
      <c r="A3713" s="27" t="s">
        <v>2648</v>
      </c>
      <c r="B3713" s="27" t="s">
        <v>909</v>
      </c>
      <c r="C3713" s="27" t="s">
        <v>2462</v>
      </c>
    </row>
    <row r="3714">
      <c r="A3714" s="27" t="s">
        <v>2649</v>
      </c>
      <c r="B3714" s="27" t="s">
        <v>901</v>
      </c>
      <c r="C3714" s="27" t="s">
        <v>2378</v>
      </c>
    </row>
    <row r="3715">
      <c r="A3715" s="27" t="s">
        <v>2650</v>
      </c>
      <c r="B3715" s="27" t="s">
        <v>911</v>
      </c>
      <c r="C3715" s="27" t="s">
        <v>2409</v>
      </c>
    </row>
    <row r="3716">
      <c r="A3716" s="27" t="s">
        <v>2651</v>
      </c>
      <c r="B3716" s="27" t="s">
        <v>903</v>
      </c>
      <c r="C3716" s="27" t="s">
        <v>2407</v>
      </c>
    </row>
    <row r="3717">
      <c r="A3717" s="27" t="s">
        <v>2652</v>
      </c>
      <c r="B3717" s="27" t="s">
        <v>929</v>
      </c>
      <c r="C3717" s="27" t="s">
        <v>2566</v>
      </c>
    </row>
    <row r="3718">
      <c r="A3718" s="27" t="s">
        <v>2653</v>
      </c>
      <c r="B3718" s="27" t="s">
        <v>931</v>
      </c>
      <c r="C3718" s="27" t="s">
        <v>3250</v>
      </c>
    </row>
    <row r="3719">
      <c r="A3719" s="27" t="s">
        <v>2654</v>
      </c>
      <c r="B3719" s="27" t="s">
        <v>933</v>
      </c>
      <c r="C3719" s="27" t="s">
        <v>2372</v>
      </c>
    </row>
    <row r="3720">
      <c r="A3720" s="27" t="s">
        <v>2655</v>
      </c>
      <c r="B3720" s="27" t="s">
        <v>935</v>
      </c>
      <c r="C3720" s="27" t="s">
        <v>2595</v>
      </c>
    </row>
    <row r="3721">
      <c r="A3721" s="27" t="s">
        <v>3215</v>
      </c>
      <c r="B3721" s="27" t="s">
        <v>844</v>
      </c>
      <c r="C3721" s="27" t="s">
        <v>2437</v>
      </c>
    </row>
    <row r="3722">
      <c r="A3722" s="27" t="s">
        <v>2656</v>
      </c>
      <c r="B3722" s="27" t="s">
        <v>842</v>
      </c>
      <c r="C3722" s="27" t="s">
        <v>2409</v>
      </c>
    </row>
    <row r="3723">
      <c r="A3723" s="27" t="s">
        <v>2657</v>
      </c>
      <c r="B3723" s="27" t="s">
        <v>840</v>
      </c>
      <c r="C3723" s="27" t="s">
        <v>2404</v>
      </c>
    </row>
    <row r="3724">
      <c r="A3724" s="27" t="s">
        <v>3219</v>
      </c>
      <c r="B3724" s="27" t="s">
        <v>846</v>
      </c>
      <c r="C3724" s="27" t="s">
        <v>2437</v>
      </c>
    </row>
    <row r="3725">
      <c r="A3725" s="27" t="s">
        <v>2658</v>
      </c>
      <c r="B3725" s="27" t="s">
        <v>1012</v>
      </c>
      <c r="C3725" s="27" t="s">
        <v>4165</v>
      </c>
    </row>
    <row r="3726">
      <c r="A3726" s="27" t="s">
        <v>2659</v>
      </c>
      <c r="B3726" s="27" t="s">
        <v>1004</v>
      </c>
      <c r="C3726" s="27" t="s">
        <v>4651</v>
      </c>
    </row>
    <row r="3727">
      <c r="A3727" s="27" t="s">
        <v>2660</v>
      </c>
      <c r="B3727" s="27" t="s">
        <v>1014</v>
      </c>
      <c r="C3727" s="27" t="s">
        <v>3973</v>
      </c>
    </row>
    <row r="3728">
      <c r="A3728" s="27" t="s">
        <v>2661</v>
      </c>
      <c r="B3728" s="27" t="s">
        <v>1006</v>
      </c>
      <c r="C3728" s="27" t="s">
        <v>2603</v>
      </c>
    </row>
    <row r="3729">
      <c r="A3729" s="27" t="s">
        <v>2662</v>
      </c>
      <c r="B3729" s="27" t="s">
        <v>1016</v>
      </c>
      <c r="C3729" s="27" t="s">
        <v>2505</v>
      </c>
    </row>
    <row r="3730">
      <c r="A3730" s="27" t="s">
        <v>2663</v>
      </c>
      <c r="B3730" s="27" t="s">
        <v>1008</v>
      </c>
      <c r="C3730" s="27" t="s">
        <v>2682</v>
      </c>
    </row>
    <row r="3731">
      <c r="A3731" s="27" t="s">
        <v>2664</v>
      </c>
      <c r="B3731" s="27" t="s">
        <v>1018</v>
      </c>
      <c r="C3731" s="27" t="s">
        <v>2382</v>
      </c>
    </row>
    <row r="3732">
      <c r="A3732" s="27" t="s">
        <v>2665</v>
      </c>
      <c r="B3732" s="27" t="s">
        <v>1010</v>
      </c>
      <c r="C3732" s="27" t="s">
        <v>2682</v>
      </c>
    </row>
    <row r="3733">
      <c r="A3733" s="27" t="s">
        <v>2666</v>
      </c>
      <c r="B3733" s="27" t="s">
        <v>1069</v>
      </c>
      <c r="C3733" s="27" t="s">
        <v>2407</v>
      </c>
    </row>
    <row r="3734">
      <c r="A3734" s="27" t="s">
        <v>2667</v>
      </c>
      <c r="B3734" s="27" t="s">
        <v>1073</v>
      </c>
      <c r="C3734" s="27" t="s">
        <v>2378</v>
      </c>
    </row>
    <row r="3735">
      <c r="A3735" s="27" t="s">
        <v>2668</v>
      </c>
      <c r="B3735" s="27" t="s">
        <v>1071</v>
      </c>
      <c r="C3735" s="27" t="s">
        <v>2407</v>
      </c>
    </row>
    <row r="3736">
      <c r="A3736" s="27" t="s">
        <v>2669</v>
      </c>
      <c r="B3736" s="27" t="s">
        <v>1075</v>
      </c>
      <c r="C3736" s="27" t="s">
        <v>2382</v>
      </c>
    </row>
    <row r="3737">
      <c r="A3737" s="27" t="s">
        <v>2670</v>
      </c>
      <c r="B3737" s="27" t="s">
        <v>1079</v>
      </c>
      <c r="C3737" s="27" t="s">
        <v>2382</v>
      </c>
    </row>
    <row r="3738">
      <c r="A3738" s="27" t="s">
        <v>3221</v>
      </c>
      <c r="B3738" s="27" t="s">
        <v>1077</v>
      </c>
      <c r="C3738" s="27" t="s">
        <v>2437</v>
      </c>
    </row>
    <row r="3739">
      <c r="A3739" s="27" t="s">
        <v>3222</v>
      </c>
      <c r="B3739" s="27" t="s">
        <v>1081</v>
      </c>
      <c r="C3739" s="27" t="s">
        <v>2363</v>
      </c>
    </row>
    <row r="3740">
      <c r="A3740" s="27" t="s">
        <v>3223</v>
      </c>
      <c r="B3740" s="27" t="s">
        <v>1085</v>
      </c>
      <c r="C3740" s="27" t="s">
        <v>2359</v>
      </c>
    </row>
    <row r="3741">
      <c r="A3741" s="27" t="s">
        <v>3224</v>
      </c>
      <c r="B3741" s="27" t="s">
        <v>1083</v>
      </c>
      <c r="C3741" s="27" t="s">
        <v>2363</v>
      </c>
    </row>
    <row r="3742">
      <c r="A3742" s="27" t="s">
        <v>3225</v>
      </c>
      <c r="B3742" s="27" t="s">
        <v>1087</v>
      </c>
      <c r="C3742" s="27" t="s">
        <v>2359</v>
      </c>
    </row>
    <row r="3743">
      <c r="A3743" s="27" t="s">
        <v>4739</v>
      </c>
      <c r="B3743" s="27" t="s">
        <v>203</v>
      </c>
      <c r="C3743" s="27" t="s">
        <v>4740</v>
      </c>
    </row>
    <row r="3744">
      <c r="A3744" s="27" t="s">
        <v>4741</v>
      </c>
      <c r="B3744" s="27" t="s">
        <v>251</v>
      </c>
      <c r="C3744" s="27" t="s">
        <v>2407</v>
      </c>
    </row>
    <row r="3745">
      <c r="A3745" s="27" t="s">
        <v>4742</v>
      </c>
      <c r="B3745" s="27" t="s">
        <v>253</v>
      </c>
      <c r="C3745" s="27" t="s">
        <v>2411</v>
      </c>
    </row>
    <row r="3746">
      <c r="A3746" s="27" t="s">
        <v>2671</v>
      </c>
      <c r="B3746" s="27" t="s">
        <v>172</v>
      </c>
      <c r="C3746" s="27" t="s">
        <v>3870</v>
      </c>
    </row>
    <row r="3747">
      <c r="A3747" s="27" t="s">
        <v>2673</v>
      </c>
      <c r="B3747" s="27" t="s">
        <v>174</v>
      </c>
      <c r="C3747" s="27" t="s">
        <v>4743</v>
      </c>
    </row>
    <row r="3748">
      <c r="A3748" s="27" t="s">
        <v>2674</v>
      </c>
      <c r="B3748" s="27" t="s">
        <v>170</v>
      </c>
      <c r="C3748" s="27" t="s">
        <v>4693</v>
      </c>
    </row>
    <row r="3749">
      <c r="A3749" s="27" t="s">
        <v>4744</v>
      </c>
      <c r="B3749" s="27" t="s">
        <v>235</v>
      </c>
      <c r="C3749" s="27" t="s">
        <v>4722</v>
      </c>
    </row>
    <row r="3750">
      <c r="A3750" s="27" t="s">
        <v>2675</v>
      </c>
      <c r="B3750" s="27" t="s">
        <v>184</v>
      </c>
      <c r="C3750" s="27" t="s">
        <v>2672</v>
      </c>
    </row>
    <row r="3751">
      <c r="A3751" s="27" t="s">
        <v>2676</v>
      </c>
      <c r="B3751" s="27" t="s">
        <v>182</v>
      </c>
      <c r="C3751" s="27" t="s">
        <v>4745</v>
      </c>
    </row>
    <row r="3752">
      <c r="A3752" s="27" t="s">
        <v>2677</v>
      </c>
      <c r="B3752" s="27" t="s">
        <v>186</v>
      </c>
      <c r="C3752" s="27" t="s">
        <v>3781</v>
      </c>
    </row>
    <row r="3753">
      <c r="A3753" s="27" t="s">
        <v>4746</v>
      </c>
      <c r="B3753" s="27" t="s">
        <v>206</v>
      </c>
      <c r="C3753" s="27" t="s">
        <v>4747</v>
      </c>
    </row>
    <row r="3754">
      <c r="A3754" s="27" t="s">
        <v>2678</v>
      </c>
      <c r="B3754" s="27" t="s">
        <v>271</v>
      </c>
      <c r="C3754" s="27" t="s">
        <v>4748</v>
      </c>
    </row>
    <row r="3755">
      <c r="A3755" s="27" t="s">
        <v>2680</v>
      </c>
      <c r="B3755" s="27" t="s">
        <v>276</v>
      </c>
      <c r="C3755" s="27" t="s">
        <v>4671</v>
      </c>
    </row>
    <row r="3756">
      <c r="A3756" s="27" t="s">
        <v>2681</v>
      </c>
      <c r="B3756" s="27" t="s">
        <v>274</v>
      </c>
      <c r="C3756" s="27" t="s">
        <v>3897</v>
      </c>
    </row>
    <row r="3757">
      <c r="A3757" s="27" t="s">
        <v>2683</v>
      </c>
      <c r="B3757" s="27" t="s">
        <v>228</v>
      </c>
      <c r="C3757" s="27" t="s">
        <v>2579</v>
      </c>
    </row>
    <row r="3758">
      <c r="A3758" s="27" t="s">
        <v>4749</v>
      </c>
      <c r="B3758" s="27" t="s">
        <v>260</v>
      </c>
      <c r="C3758" s="27" t="s">
        <v>4750</v>
      </c>
    </row>
    <row r="3759">
      <c r="A3759" s="27" t="s">
        <v>4751</v>
      </c>
      <c r="B3759" s="27" t="s">
        <v>208</v>
      </c>
      <c r="C3759" s="27" t="s">
        <v>4752</v>
      </c>
    </row>
    <row r="3760">
      <c r="A3760" s="27" t="s">
        <v>4753</v>
      </c>
      <c r="B3760" s="27" t="s">
        <v>231</v>
      </c>
      <c r="C3760" s="27" t="s">
        <v>4754</v>
      </c>
    </row>
    <row r="3761">
      <c r="A3761" s="27" t="s">
        <v>2684</v>
      </c>
      <c r="B3761" s="27" t="s">
        <v>292</v>
      </c>
      <c r="C3761" s="27" t="s">
        <v>4652</v>
      </c>
    </row>
    <row r="3762">
      <c r="A3762" s="27" t="s">
        <v>3402</v>
      </c>
      <c r="B3762" s="27" t="s">
        <v>284</v>
      </c>
      <c r="C3762" s="27" t="s">
        <v>2363</v>
      </c>
    </row>
    <row r="3763">
      <c r="A3763" s="27" t="s">
        <v>3430</v>
      </c>
      <c r="B3763" s="27" t="s">
        <v>287</v>
      </c>
      <c r="C3763" s="27" t="s">
        <v>4755</v>
      </c>
    </row>
    <row r="3764">
      <c r="A3764" s="27" t="s">
        <v>3431</v>
      </c>
      <c r="B3764" s="27" t="s">
        <v>290</v>
      </c>
      <c r="C3764" s="27" t="s">
        <v>4756</v>
      </c>
    </row>
    <row r="3765">
      <c r="A3765" s="27" t="s">
        <v>4757</v>
      </c>
      <c r="B3765" s="27" t="s">
        <v>4758</v>
      </c>
      <c r="C3765" s="27" t="s">
        <v>2441</v>
      </c>
    </row>
    <row r="3766">
      <c r="A3766" s="27" t="s">
        <v>4759</v>
      </c>
      <c r="B3766" s="27" t="s">
        <v>4760</v>
      </c>
      <c r="C3766" s="27" t="s">
        <v>2451</v>
      </c>
    </row>
    <row r="3767">
      <c r="A3767" s="27" t="s">
        <v>4761</v>
      </c>
      <c r="B3767" s="27" t="s">
        <v>4762</v>
      </c>
      <c r="C3767" s="27" t="s">
        <v>2451</v>
      </c>
    </row>
    <row r="3768">
      <c r="A3768" s="27" t="s">
        <v>4763</v>
      </c>
      <c r="B3768" s="27" t="s">
        <v>4764</v>
      </c>
      <c r="C3768" s="27" t="s">
        <v>2451</v>
      </c>
    </row>
    <row r="3769">
      <c r="A3769" s="27" t="s">
        <v>4765</v>
      </c>
      <c r="B3769" s="27" t="s">
        <v>4766</v>
      </c>
      <c r="C3769" s="27" t="s">
        <v>2451</v>
      </c>
    </row>
    <row r="3770">
      <c r="A3770" s="27" t="s">
        <v>4767</v>
      </c>
      <c r="B3770" s="27" t="s">
        <v>4768</v>
      </c>
      <c r="C3770" s="27" t="s">
        <v>2451</v>
      </c>
    </row>
    <row r="3771">
      <c r="A3771" s="27" t="s">
        <v>4769</v>
      </c>
      <c r="B3771" s="27" t="s">
        <v>4770</v>
      </c>
      <c r="C3771" s="27" t="s">
        <v>2451</v>
      </c>
    </row>
    <row r="3772">
      <c r="A3772" s="27" t="s">
        <v>4771</v>
      </c>
      <c r="B3772" s="27" t="s">
        <v>4772</v>
      </c>
      <c r="C3772" s="27" t="s">
        <v>2363</v>
      </c>
    </row>
    <row r="3773">
      <c r="A3773" s="27" t="s">
        <v>4773</v>
      </c>
      <c r="B3773" s="27" t="s">
        <v>4774</v>
      </c>
      <c r="C3773" s="27" t="s">
        <v>2441</v>
      </c>
    </row>
    <row r="3774">
      <c r="A3774" s="27" t="s">
        <v>4775</v>
      </c>
      <c r="B3774" s="27" t="s">
        <v>4776</v>
      </c>
      <c r="C3774" s="27" t="s">
        <v>2363</v>
      </c>
    </row>
    <row r="3775">
      <c r="A3775" s="27" t="s">
        <v>4777</v>
      </c>
      <c r="B3775" s="27" t="s">
        <v>4778</v>
      </c>
      <c r="C3775" s="27" t="s">
        <v>2451</v>
      </c>
    </row>
    <row r="3776">
      <c r="A3776" s="27" t="s">
        <v>4779</v>
      </c>
      <c r="B3776" s="27" t="s">
        <v>4780</v>
      </c>
      <c r="C3776" s="27" t="s">
        <v>2437</v>
      </c>
    </row>
    <row r="3777">
      <c r="A3777" s="27" t="s">
        <v>4781</v>
      </c>
      <c r="B3777" s="27" t="s">
        <v>4782</v>
      </c>
      <c r="C3777" s="27" t="s">
        <v>2359</v>
      </c>
    </row>
    <row r="3778">
      <c r="A3778" s="27" t="s">
        <v>4783</v>
      </c>
      <c r="B3778" s="27" t="s">
        <v>4784</v>
      </c>
      <c r="C3778" s="27" t="s">
        <v>2451</v>
      </c>
    </row>
    <row r="3779">
      <c r="A3779" s="27" t="s">
        <v>4785</v>
      </c>
      <c r="B3779" s="27" t="s">
        <v>4786</v>
      </c>
      <c r="C3779" s="27" t="s">
        <v>2441</v>
      </c>
    </row>
    <row r="3780">
      <c r="A3780" s="27" t="s">
        <v>4787</v>
      </c>
      <c r="B3780" s="27" t="s">
        <v>4788</v>
      </c>
      <c r="C3780" s="27" t="s">
        <v>2451</v>
      </c>
    </row>
    <row r="3781">
      <c r="A3781" s="27" t="s">
        <v>4789</v>
      </c>
      <c r="B3781" s="27" t="s">
        <v>4790</v>
      </c>
      <c r="C3781" s="27" t="s">
        <v>2451</v>
      </c>
    </row>
    <row r="3782">
      <c r="A3782" s="27" t="s">
        <v>4791</v>
      </c>
      <c r="B3782" s="27" t="s">
        <v>4792</v>
      </c>
      <c r="C3782" s="27" t="s">
        <v>2451</v>
      </c>
    </row>
    <row r="3783">
      <c r="A3783" s="27" t="s">
        <v>4793</v>
      </c>
      <c r="B3783" s="27" t="s">
        <v>4794</v>
      </c>
      <c r="C3783" s="27" t="s">
        <v>2380</v>
      </c>
    </row>
    <row r="3784">
      <c r="A3784" s="27" t="s">
        <v>4795</v>
      </c>
      <c r="B3784" s="27" t="s">
        <v>4796</v>
      </c>
      <c r="C3784" s="27" t="s">
        <v>2441</v>
      </c>
    </row>
    <row r="3785">
      <c r="A3785" s="27" t="s">
        <v>4797</v>
      </c>
      <c r="B3785" s="27" t="s">
        <v>4798</v>
      </c>
      <c r="C3785" s="27" t="s">
        <v>2451</v>
      </c>
    </row>
    <row r="3786">
      <c r="A3786" s="27" t="s">
        <v>4799</v>
      </c>
      <c r="B3786" s="27" t="s">
        <v>4800</v>
      </c>
      <c r="C3786" s="27" t="s">
        <v>2380</v>
      </c>
    </row>
    <row r="3787">
      <c r="A3787" s="27" t="s">
        <v>4801</v>
      </c>
      <c r="B3787" s="27" t="s">
        <v>4802</v>
      </c>
      <c r="C3787" s="27" t="s">
        <v>2451</v>
      </c>
    </row>
    <row r="3788">
      <c r="A3788" s="27" t="s">
        <v>4803</v>
      </c>
      <c r="B3788" s="27" t="s">
        <v>4804</v>
      </c>
      <c r="C3788" s="27" t="s">
        <v>2451</v>
      </c>
    </row>
    <row r="3789">
      <c r="A3789" s="27" t="s">
        <v>4805</v>
      </c>
      <c r="B3789" s="27" t="s">
        <v>4806</v>
      </c>
      <c r="C3789" s="27" t="s">
        <v>2380</v>
      </c>
    </row>
    <row r="3790">
      <c r="A3790" s="27" t="s">
        <v>4807</v>
      </c>
      <c r="B3790" s="27" t="s">
        <v>4808</v>
      </c>
      <c r="C3790" s="27" t="s">
        <v>2409</v>
      </c>
    </row>
    <row r="3791">
      <c r="A3791" s="27" t="s">
        <v>4809</v>
      </c>
      <c r="B3791" s="27" t="s">
        <v>4810</v>
      </c>
      <c r="C3791" s="27" t="s">
        <v>2441</v>
      </c>
    </row>
    <row r="3792">
      <c r="A3792" s="27" t="s">
        <v>4811</v>
      </c>
      <c r="B3792" s="27" t="s">
        <v>4812</v>
      </c>
      <c r="C3792" s="27" t="s">
        <v>2451</v>
      </c>
    </row>
    <row r="3793">
      <c r="A3793" s="27" t="s">
        <v>4813</v>
      </c>
      <c r="B3793" s="27" t="s">
        <v>4814</v>
      </c>
      <c r="C3793" s="27" t="s">
        <v>2363</v>
      </c>
    </row>
    <row r="3794">
      <c r="A3794" s="27" t="s">
        <v>2685</v>
      </c>
      <c r="B3794" s="27" t="s">
        <v>2686</v>
      </c>
      <c r="C3794" s="27" t="s">
        <v>2411</v>
      </c>
    </row>
    <row r="3795">
      <c r="A3795" s="27" t="s">
        <v>4815</v>
      </c>
      <c r="B3795" s="27" t="s">
        <v>4816</v>
      </c>
      <c r="C3795" s="27" t="s">
        <v>2359</v>
      </c>
    </row>
    <row r="3796">
      <c r="A3796" s="27" t="s">
        <v>4817</v>
      </c>
      <c r="B3796" s="27" t="s">
        <v>4818</v>
      </c>
      <c r="C3796" s="27" t="s">
        <v>2363</v>
      </c>
    </row>
    <row r="3797">
      <c r="A3797" s="27" t="s">
        <v>4819</v>
      </c>
      <c r="B3797" s="27" t="s">
        <v>4820</v>
      </c>
      <c r="C3797" s="27" t="s">
        <v>2363</v>
      </c>
    </row>
    <row r="3798">
      <c r="A3798" s="27" t="s">
        <v>4821</v>
      </c>
      <c r="B3798" s="27" t="s">
        <v>4822</v>
      </c>
      <c r="C3798" s="27" t="s">
        <v>2437</v>
      </c>
    </row>
    <row r="3799">
      <c r="A3799" s="27" t="s">
        <v>4823</v>
      </c>
      <c r="B3799" s="27" t="s">
        <v>4824</v>
      </c>
      <c r="C3799" s="27" t="s">
        <v>2363</v>
      </c>
    </row>
    <row r="3800">
      <c r="A3800" s="27" t="s">
        <v>4825</v>
      </c>
      <c r="B3800" s="27" t="s">
        <v>4826</v>
      </c>
      <c r="C3800" s="27" t="s">
        <v>2363</v>
      </c>
    </row>
    <row r="3801">
      <c r="A3801" s="27" t="s">
        <v>4827</v>
      </c>
      <c r="B3801" s="27" t="s">
        <v>4828</v>
      </c>
      <c r="C3801" s="27" t="s">
        <v>2359</v>
      </c>
    </row>
    <row r="3802">
      <c r="A3802" s="27" t="s">
        <v>4829</v>
      </c>
      <c r="B3802" s="27" t="s">
        <v>4830</v>
      </c>
      <c r="C3802" s="27" t="s">
        <v>2359</v>
      </c>
    </row>
    <row r="3803">
      <c r="A3803" s="27" t="s">
        <v>4831</v>
      </c>
      <c r="B3803" s="27" t="s">
        <v>4832</v>
      </c>
      <c r="C3803" s="27" t="s">
        <v>2359</v>
      </c>
    </row>
    <row r="3804">
      <c r="A3804" s="27" t="s">
        <v>4833</v>
      </c>
      <c r="B3804" s="27" t="s">
        <v>4834</v>
      </c>
      <c r="C3804" s="27" t="s">
        <v>2359</v>
      </c>
    </row>
    <row r="3805">
      <c r="A3805" s="27" t="s">
        <v>2687</v>
      </c>
      <c r="B3805" s="27" t="s">
        <v>2688</v>
      </c>
      <c r="C3805" s="27" t="s">
        <v>2378</v>
      </c>
    </row>
    <row r="3806">
      <c r="A3806" s="27" t="s">
        <v>4835</v>
      </c>
      <c r="B3806" s="27" t="s">
        <v>4836</v>
      </c>
      <c r="C3806" s="27" t="s">
        <v>2451</v>
      </c>
    </row>
    <row r="3807">
      <c r="A3807" s="27" t="s">
        <v>4837</v>
      </c>
      <c r="B3807" s="27" t="s">
        <v>4838</v>
      </c>
      <c r="C3807" s="27" t="s">
        <v>2359</v>
      </c>
    </row>
    <row r="3808">
      <c r="A3808" s="27" t="s">
        <v>4839</v>
      </c>
      <c r="B3808" s="27" t="s">
        <v>4840</v>
      </c>
      <c r="C3808" s="27" t="s">
        <v>2437</v>
      </c>
    </row>
    <row r="3809">
      <c r="A3809" s="27" t="s">
        <v>4841</v>
      </c>
      <c r="B3809" s="27" t="s">
        <v>4842</v>
      </c>
      <c r="C3809" s="27" t="s">
        <v>2363</v>
      </c>
    </row>
    <row r="3810">
      <c r="A3810" s="27" t="s">
        <v>4843</v>
      </c>
      <c r="B3810" s="27" t="s">
        <v>4844</v>
      </c>
      <c r="C3810" s="27" t="s">
        <v>2437</v>
      </c>
    </row>
    <row r="3811">
      <c r="A3811" s="27" t="s">
        <v>4845</v>
      </c>
      <c r="B3811" s="27" t="s">
        <v>4846</v>
      </c>
      <c r="C3811" s="27" t="s">
        <v>2451</v>
      </c>
    </row>
    <row r="3812">
      <c r="A3812" s="27" t="s">
        <v>4847</v>
      </c>
      <c r="B3812" s="27" t="s">
        <v>4848</v>
      </c>
      <c r="C3812" s="27" t="s">
        <v>2363</v>
      </c>
    </row>
    <row r="3813">
      <c r="A3813" s="27" t="s">
        <v>4849</v>
      </c>
      <c r="B3813" s="27" t="s">
        <v>4850</v>
      </c>
      <c r="C3813" s="27" t="s">
        <v>2359</v>
      </c>
    </row>
    <row r="3814">
      <c r="A3814" s="27" t="s">
        <v>4851</v>
      </c>
      <c r="B3814" s="27" t="s">
        <v>4852</v>
      </c>
      <c r="C3814" s="27" t="s">
        <v>2359</v>
      </c>
    </row>
    <row r="3815">
      <c r="A3815" s="27" t="s">
        <v>4853</v>
      </c>
      <c r="B3815" s="27" t="s">
        <v>4854</v>
      </c>
      <c r="C3815" s="27" t="s">
        <v>2363</v>
      </c>
    </row>
    <row r="3816">
      <c r="A3816" s="27" t="s">
        <v>4855</v>
      </c>
      <c r="B3816" s="27" t="s">
        <v>4856</v>
      </c>
      <c r="C3816" s="27" t="s">
        <v>2437</v>
      </c>
    </row>
    <row r="3817">
      <c r="A3817" s="27" t="s">
        <v>4857</v>
      </c>
      <c r="B3817" s="27" t="s">
        <v>4858</v>
      </c>
      <c r="C3817" s="27" t="s">
        <v>2359</v>
      </c>
    </row>
    <row r="3818">
      <c r="A3818" s="27" t="s">
        <v>4859</v>
      </c>
      <c r="B3818" s="27" t="s">
        <v>4860</v>
      </c>
      <c r="C3818" s="27" t="s">
        <v>2359</v>
      </c>
    </row>
    <row r="3819">
      <c r="A3819" s="27" t="s">
        <v>4861</v>
      </c>
      <c r="B3819" s="27" t="s">
        <v>4862</v>
      </c>
      <c r="C3819" s="27" t="s">
        <v>2359</v>
      </c>
    </row>
    <row r="3820">
      <c r="A3820" s="27" t="s">
        <v>4863</v>
      </c>
      <c r="B3820" s="27" t="s">
        <v>4864</v>
      </c>
      <c r="C3820" s="27" t="s">
        <v>2363</v>
      </c>
    </row>
    <row r="3821">
      <c r="A3821" s="27" t="s">
        <v>4865</v>
      </c>
      <c r="B3821" s="27" t="s">
        <v>4866</v>
      </c>
      <c r="C3821" s="27" t="s">
        <v>2359</v>
      </c>
    </row>
    <row r="3822">
      <c r="A3822" s="27" t="s">
        <v>4867</v>
      </c>
      <c r="B3822" s="27" t="s">
        <v>4868</v>
      </c>
      <c r="C3822" s="27" t="s">
        <v>2359</v>
      </c>
    </row>
    <row r="3823">
      <c r="A3823" s="27" t="s">
        <v>4869</v>
      </c>
      <c r="B3823" s="27" t="s">
        <v>4870</v>
      </c>
      <c r="C3823" s="27" t="s">
        <v>2359</v>
      </c>
    </row>
    <row r="3824">
      <c r="A3824" s="27" t="s">
        <v>4871</v>
      </c>
      <c r="B3824" s="27" t="s">
        <v>4872</v>
      </c>
      <c r="C3824" s="27" t="s">
        <v>2359</v>
      </c>
    </row>
    <row r="3825">
      <c r="A3825" s="27" t="s">
        <v>4873</v>
      </c>
      <c r="B3825" s="27" t="s">
        <v>4874</v>
      </c>
      <c r="C3825" s="27" t="s">
        <v>2363</v>
      </c>
    </row>
    <row r="3826">
      <c r="A3826" s="27" t="s">
        <v>4875</v>
      </c>
      <c r="B3826" s="27" t="s">
        <v>4876</v>
      </c>
      <c r="C3826" s="27" t="s">
        <v>2359</v>
      </c>
    </row>
    <row r="3827">
      <c r="A3827" s="27" t="s">
        <v>4877</v>
      </c>
      <c r="B3827" s="27" t="s">
        <v>4878</v>
      </c>
      <c r="C3827" s="27" t="s">
        <v>2363</v>
      </c>
    </row>
    <row r="3828">
      <c r="A3828" s="27" t="s">
        <v>4879</v>
      </c>
      <c r="B3828" s="27" t="s">
        <v>4880</v>
      </c>
      <c r="C3828" s="27" t="s">
        <v>2363</v>
      </c>
    </row>
    <row r="3829">
      <c r="A3829" s="27" t="s">
        <v>4881</v>
      </c>
      <c r="B3829" s="27" t="s">
        <v>4882</v>
      </c>
      <c r="C3829" s="27" t="s">
        <v>2451</v>
      </c>
    </row>
    <row r="3830">
      <c r="A3830" s="27" t="s">
        <v>4883</v>
      </c>
      <c r="B3830" s="27" t="s">
        <v>4884</v>
      </c>
      <c r="C3830" s="27" t="s">
        <v>2437</v>
      </c>
    </row>
    <row r="3831">
      <c r="A3831" s="27" t="s">
        <v>4885</v>
      </c>
      <c r="B3831" s="27" t="s">
        <v>4886</v>
      </c>
      <c r="C3831" s="27" t="s">
        <v>2441</v>
      </c>
    </row>
    <row r="3832">
      <c r="A3832" s="27" t="s">
        <v>2689</v>
      </c>
      <c r="B3832" s="27" t="s">
        <v>2690</v>
      </c>
      <c r="C3832" s="27" t="s">
        <v>2451</v>
      </c>
    </row>
    <row r="3833">
      <c r="A3833" s="27" t="s">
        <v>4887</v>
      </c>
      <c r="B3833" s="27" t="s">
        <v>4888</v>
      </c>
      <c r="C3833" s="27" t="s">
        <v>2359</v>
      </c>
    </row>
    <row r="3834">
      <c r="A3834" s="27" t="s">
        <v>4889</v>
      </c>
      <c r="B3834" s="27" t="s">
        <v>4890</v>
      </c>
      <c r="C3834" s="27" t="s">
        <v>2363</v>
      </c>
    </row>
    <row r="3835">
      <c r="A3835" s="27" t="s">
        <v>4891</v>
      </c>
      <c r="B3835" s="27" t="s">
        <v>4892</v>
      </c>
      <c r="C3835" s="27" t="s">
        <v>2441</v>
      </c>
    </row>
    <row r="3836">
      <c r="A3836" s="27" t="s">
        <v>4893</v>
      </c>
      <c r="B3836" s="27" t="s">
        <v>4894</v>
      </c>
      <c r="C3836" s="27" t="s">
        <v>2359</v>
      </c>
    </row>
    <row r="3837">
      <c r="A3837" s="27" t="s">
        <v>4895</v>
      </c>
      <c r="B3837" s="27" t="s">
        <v>4896</v>
      </c>
      <c r="C3837" s="27" t="s">
        <v>2441</v>
      </c>
    </row>
    <row r="3838">
      <c r="A3838" s="27" t="s">
        <v>4897</v>
      </c>
      <c r="B3838" s="27" t="s">
        <v>4898</v>
      </c>
      <c r="C3838" s="27" t="s">
        <v>2359</v>
      </c>
    </row>
    <row r="3839">
      <c r="A3839" s="27" t="s">
        <v>4899</v>
      </c>
      <c r="B3839" s="27" t="s">
        <v>4900</v>
      </c>
      <c r="C3839" s="27" t="s">
        <v>2363</v>
      </c>
    </row>
    <row r="3840">
      <c r="A3840" s="27" t="s">
        <v>4901</v>
      </c>
      <c r="B3840" s="27" t="s">
        <v>4902</v>
      </c>
      <c r="C3840" s="27" t="s">
        <v>2363</v>
      </c>
    </row>
    <row r="3841">
      <c r="A3841" s="27" t="s">
        <v>4903</v>
      </c>
      <c r="B3841" s="27" t="s">
        <v>4904</v>
      </c>
      <c r="C3841" s="27" t="s">
        <v>2359</v>
      </c>
    </row>
    <row r="3842">
      <c r="A3842" s="27" t="s">
        <v>3357</v>
      </c>
      <c r="B3842" s="27" t="s">
        <v>3358</v>
      </c>
      <c r="C3842" s="27" t="s">
        <v>2441</v>
      </c>
    </row>
    <row r="3843">
      <c r="A3843" s="27" t="s">
        <v>4905</v>
      </c>
      <c r="B3843" s="27" t="s">
        <v>4906</v>
      </c>
      <c r="C3843" s="27" t="s">
        <v>2359</v>
      </c>
    </row>
    <row r="3844">
      <c r="A3844" s="27" t="s">
        <v>4907</v>
      </c>
      <c r="B3844" s="27" t="s">
        <v>4908</v>
      </c>
      <c r="C3844" s="27" t="s">
        <v>2363</v>
      </c>
    </row>
    <row r="3845">
      <c r="A3845" s="27" t="s">
        <v>4909</v>
      </c>
      <c r="B3845" s="27" t="s">
        <v>4910</v>
      </c>
      <c r="C3845" s="27" t="s">
        <v>2441</v>
      </c>
    </row>
    <row r="3846">
      <c r="A3846" s="27" t="s">
        <v>4911</v>
      </c>
      <c r="B3846" s="27" t="s">
        <v>4912</v>
      </c>
      <c r="C3846" s="27" t="s">
        <v>2441</v>
      </c>
    </row>
    <row r="3847">
      <c r="A3847" s="27" t="s">
        <v>4913</v>
      </c>
      <c r="B3847" s="27" t="s">
        <v>4914</v>
      </c>
      <c r="C3847" s="27" t="s">
        <v>2437</v>
      </c>
    </row>
    <row r="3848">
      <c r="A3848" s="27" t="s">
        <v>4915</v>
      </c>
      <c r="B3848" s="27" t="s">
        <v>4916</v>
      </c>
      <c r="C3848" s="27" t="s">
        <v>2359</v>
      </c>
    </row>
    <row r="3849">
      <c r="A3849" s="27" t="s">
        <v>4917</v>
      </c>
      <c r="B3849" s="27" t="s">
        <v>4918</v>
      </c>
      <c r="C3849" s="27" t="s">
        <v>2359</v>
      </c>
    </row>
    <row r="3850">
      <c r="A3850" s="27" t="s">
        <v>4919</v>
      </c>
      <c r="B3850" s="27" t="s">
        <v>4920</v>
      </c>
      <c r="C3850" s="27" t="s">
        <v>2359</v>
      </c>
    </row>
    <row r="3851">
      <c r="A3851" s="27" t="s">
        <v>4921</v>
      </c>
      <c r="B3851" s="27" t="s">
        <v>4922</v>
      </c>
      <c r="C3851" s="27" t="s">
        <v>2359</v>
      </c>
    </row>
    <row r="3852">
      <c r="A3852" s="27" t="s">
        <v>4923</v>
      </c>
      <c r="B3852" s="27" t="s">
        <v>4924</v>
      </c>
      <c r="C3852" s="27" t="s">
        <v>2359</v>
      </c>
    </row>
    <row r="3853">
      <c r="A3853" s="27" t="s">
        <v>4925</v>
      </c>
      <c r="B3853" s="27" t="s">
        <v>4926</v>
      </c>
      <c r="C3853" s="27" t="s">
        <v>2437</v>
      </c>
    </row>
    <row r="3854">
      <c r="A3854" s="27" t="s">
        <v>4927</v>
      </c>
      <c r="B3854" s="27" t="s">
        <v>4928</v>
      </c>
      <c r="C3854" s="27" t="s">
        <v>2359</v>
      </c>
    </row>
    <row r="3855">
      <c r="A3855" s="27" t="s">
        <v>4929</v>
      </c>
      <c r="B3855" s="27" t="s">
        <v>4930</v>
      </c>
      <c r="C3855" s="27" t="s">
        <v>2359</v>
      </c>
    </row>
    <row r="3856">
      <c r="A3856" s="27" t="s">
        <v>4931</v>
      </c>
      <c r="B3856" s="27" t="s">
        <v>4932</v>
      </c>
      <c r="C3856" s="27" t="s">
        <v>2359</v>
      </c>
    </row>
    <row r="3857">
      <c r="A3857" s="27" t="s">
        <v>4933</v>
      </c>
      <c r="B3857" s="27" t="s">
        <v>4934</v>
      </c>
      <c r="C3857" s="27" t="s">
        <v>2359</v>
      </c>
    </row>
    <row r="3858">
      <c r="A3858" s="27" t="s">
        <v>4935</v>
      </c>
      <c r="B3858" s="27" t="s">
        <v>4936</v>
      </c>
      <c r="C3858" s="27" t="s">
        <v>2359</v>
      </c>
    </row>
    <row r="3859">
      <c r="A3859" s="27" t="s">
        <v>4937</v>
      </c>
      <c r="B3859" s="27" t="s">
        <v>4938</v>
      </c>
      <c r="C3859" s="27" t="s">
        <v>2359</v>
      </c>
    </row>
    <row r="3860">
      <c r="A3860" s="27" t="s">
        <v>4939</v>
      </c>
      <c r="B3860" s="27" t="s">
        <v>4940</v>
      </c>
      <c r="C3860" s="27" t="s">
        <v>2359</v>
      </c>
    </row>
    <row r="3861">
      <c r="A3861" s="27" t="s">
        <v>4941</v>
      </c>
      <c r="B3861" s="27" t="s">
        <v>4942</v>
      </c>
      <c r="C3861" s="27" t="s">
        <v>2359</v>
      </c>
    </row>
    <row r="3862">
      <c r="A3862" s="27" t="s">
        <v>4943</v>
      </c>
      <c r="B3862" s="27" t="s">
        <v>4944</v>
      </c>
      <c r="C3862" s="27" t="s">
        <v>2359</v>
      </c>
    </row>
    <row r="3863">
      <c r="A3863" s="27" t="s">
        <v>4945</v>
      </c>
      <c r="B3863" s="27" t="s">
        <v>4946</v>
      </c>
      <c r="C3863" s="27" t="s">
        <v>2363</v>
      </c>
    </row>
    <row r="3864">
      <c r="A3864" s="27" t="s">
        <v>4947</v>
      </c>
      <c r="B3864" s="27" t="s">
        <v>4948</v>
      </c>
    </row>
    <row r="3865">
      <c r="A3865" s="27" t="s">
        <v>4949</v>
      </c>
      <c r="B3865" s="27" t="s">
        <v>4950</v>
      </c>
      <c r="C3865" s="27" t="s">
        <v>2359</v>
      </c>
    </row>
    <row r="3866">
      <c r="A3866" s="27" t="s">
        <v>4951</v>
      </c>
      <c r="B3866" s="27" t="s">
        <v>4952</v>
      </c>
      <c r="C3866" s="27" t="s">
        <v>2359</v>
      </c>
    </row>
    <row r="3867">
      <c r="A3867" s="27" t="s">
        <v>4953</v>
      </c>
      <c r="B3867" s="27" t="s">
        <v>4954</v>
      </c>
      <c r="C3867" s="27" t="s">
        <v>2359</v>
      </c>
    </row>
    <row r="3868">
      <c r="A3868" s="27" t="s">
        <v>4955</v>
      </c>
      <c r="B3868" s="27" t="s">
        <v>4956</v>
      </c>
      <c r="C3868" s="27" t="s">
        <v>2437</v>
      </c>
    </row>
    <row r="3869">
      <c r="A3869" s="27" t="s">
        <v>4957</v>
      </c>
      <c r="B3869" s="27" t="s">
        <v>4958</v>
      </c>
      <c r="C3869" s="27" t="s">
        <v>2451</v>
      </c>
    </row>
    <row r="3870">
      <c r="A3870" s="27" t="s">
        <v>4959</v>
      </c>
      <c r="B3870" s="27" t="s">
        <v>4960</v>
      </c>
      <c r="C3870" s="27" t="s">
        <v>2361</v>
      </c>
    </row>
    <row r="3871">
      <c r="A3871" s="27" t="s">
        <v>4961</v>
      </c>
      <c r="B3871" s="27" t="s">
        <v>4962</v>
      </c>
      <c r="C3871" s="27" t="s">
        <v>2441</v>
      </c>
    </row>
    <row r="3872">
      <c r="A3872" s="27" t="s">
        <v>4963</v>
      </c>
      <c r="B3872" s="27" t="s">
        <v>4964</v>
      </c>
      <c r="C3872" s="27" t="s">
        <v>2359</v>
      </c>
    </row>
    <row r="3873">
      <c r="A3873" s="27" t="s">
        <v>4965</v>
      </c>
      <c r="B3873" s="27" t="s">
        <v>4966</v>
      </c>
      <c r="C3873" s="27" t="s">
        <v>2359</v>
      </c>
    </row>
    <row r="3874">
      <c r="A3874" s="27" t="s">
        <v>4967</v>
      </c>
      <c r="B3874" s="27" t="s">
        <v>4968</v>
      </c>
      <c r="C3874" s="27" t="s">
        <v>2359</v>
      </c>
    </row>
    <row r="3875">
      <c r="A3875" s="27" t="s">
        <v>4969</v>
      </c>
      <c r="B3875" s="27" t="s">
        <v>4970</v>
      </c>
      <c r="C3875" s="27" t="s">
        <v>2359</v>
      </c>
    </row>
    <row r="3876">
      <c r="A3876" s="27" t="s">
        <v>4971</v>
      </c>
      <c r="B3876" s="27" t="s">
        <v>4972</v>
      </c>
      <c r="C3876" s="27" t="s">
        <v>2359</v>
      </c>
    </row>
    <row r="3877">
      <c r="A3877" s="27" t="s">
        <v>4973</v>
      </c>
      <c r="B3877" s="27" t="s">
        <v>4974</v>
      </c>
      <c r="C3877" s="27" t="s">
        <v>2359</v>
      </c>
    </row>
    <row r="3878">
      <c r="A3878" s="27" t="s">
        <v>4975</v>
      </c>
      <c r="B3878" s="27" t="s">
        <v>4976</v>
      </c>
      <c r="C3878" s="27" t="s">
        <v>2359</v>
      </c>
    </row>
    <row r="3879">
      <c r="A3879" s="27" t="s">
        <v>4977</v>
      </c>
      <c r="B3879" s="27" t="s">
        <v>4978</v>
      </c>
      <c r="C3879" s="27" t="s">
        <v>2359</v>
      </c>
    </row>
    <row r="3880">
      <c r="A3880" s="27" t="s">
        <v>4979</v>
      </c>
      <c r="B3880" s="27" t="s">
        <v>4980</v>
      </c>
      <c r="C3880" s="27" t="s">
        <v>2595</v>
      </c>
    </row>
    <row r="3881">
      <c r="A3881" s="27" t="s">
        <v>4981</v>
      </c>
      <c r="B3881" s="27" t="s">
        <v>4982</v>
      </c>
      <c r="C3881" s="27" t="s">
        <v>2359</v>
      </c>
    </row>
    <row r="3882">
      <c r="A3882" s="27" t="s">
        <v>4983</v>
      </c>
      <c r="B3882" s="27" t="s">
        <v>4984</v>
      </c>
      <c r="C3882" s="27" t="s">
        <v>2359</v>
      </c>
    </row>
    <row r="3883">
      <c r="A3883" s="27" t="s">
        <v>4985</v>
      </c>
      <c r="B3883" s="27" t="s">
        <v>4986</v>
      </c>
      <c r="C3883" s="27" t="s">
        <v>2359</v>
      </c>
    </row>
    <row r="3884">
      <c r="A3884" s="27" t="s">
        <v>4987</v>
      </c>
      <c r="B3884" s="27" t="s">
        <v>4988</v>
      </c>
      <c r="C3884" s="27" t="s">
        <v>2441</v>
      </c>
    </row>
    <row r="3885">
      <c r="A3885" s="27" t="s">
        <v>4989</v>
      </c>
      <c r="B3885" s="27" t="s">
        <v>4990</v>
      </c>
      <c r="C3885" s="27" t="s">
        <v>2359</v>
      </c>
    </row>
    <row r="3886">
      <c r="A3886" s="27" t="s">
        <v>4991</v>
      </c>
      <c r="B3886" s="27" t="s">
        <v>4992</v>
      </c>
      <c r="C3886" s="27" t="s">
        <v>2359</v>
      </c>
    </row>
    <row r="3887">
      <c r="A3887" s="27" t="s">
        <v>4993</v>
      </c>
      <c r="B3887" s="27" t="s">
        <v>4994</v>
      </c>
      <c r="C3887" s="27" t="s">
        <v>2359</v>
      </c>
    </row>
    <row r="3888">
      <c r="A3888" s="27" t="s">
        <v>4995</v>
      </c>
      <c r="B3888" s="27" t="s">
        <v>4996</v>
      </c>
      <c r="C3888" s="27" t="s">
        <v>2359</v>
      </c>
    </row>
    <row r="3889">
      <c r="A3889" s="27" t="s">
        <v>4997</v>
      </c>
      <c r="B3889" s="27" t="s">
        <v>4998</v>
      </c>
      <c r="C3889" s="27" t="s">
        <v>2359</v>
      </c>
    </row>
    <row r="3890">
      <c r="A3890" s="27" t="s">
        <v>4999</v>
      </c>
      <c r="B3890" s="27" t="s">
        <v>5000</v>
      </c>
      <c r="C3890" s="27" t="s">
        <v>2359</v>
      </c>
    </row>
    <row r="3891">
      <c r="A3891" s="27" t="s">
        <v>5001</v>
      </c>
      <c r="B3891" s="27" t="s">
        <v>5002</v>
      </c>
      <c r="C3891" s="27" t="s">
        <v>2363</v>
      </c>
    </row>
    <row r="3892">
      <c r="A3892" s="27" t="s">
        <v>5003</v>
      </c>
      <c r="B3892" s="27" t="s">
        <v>5004</v>
      </c>
      <c r="C3892" s="27" t="s">
        <v>2359</v>
      </c>
    </row>
    <row r="3893">
      <c r="A3893" s="27" t="s">
        <v>5005</v>
      </c>
      <c r="B3893" s="27" t="s">
        <v>5006</v>
      </c>
      <c r="C3893" s="27" t="s">
        <v>2359</v>
      </c>
    </row>
    <row r="3894">
      <c r="A3894" s="27" t="s">
        <v>5007</v>
      </c>
      <c r="B3894" s="27" t="s">
        <v>5008</v>
      </c>
      <c r="C3894" s="27" t="s">
        <v>2359</v>
      </c>
    </row>
    <row r="3895">
      <c r="A3895" s="27" t="s">
        <v>5009</v>
      </c>
      <c r="B3895" s="27" t="s">
        <v>5010</v>
      </c>
      <c r="C3895" s="27" t="s">
        <v>2359</v>
      </c>
    </row>
    <row r="3896">
      <c r="A3896" s="27" t="s">
        <v>5011</v>
      </c>
      <c r="B3896" s="27" t="s">
        <v>5012</v>
      </c>
      <c r="C3896" s="27" t="s">
        <v>2363</v>
      </c>
    </row>
    <row r="3897">
      <c r="A3897" s="27" t="s">
        <v>5013</v>
      </c>
      <c r="B3897" s="27" t="s">
        <v>5014</v>
      </c>
      <c r="C3897" s="27" t="s">
        <v>2359</v>
      </c>
    </row>
    <row r="3898">
      <c r="A3898" s="27" t="s">
        <v>5015</v>
      </c>
      <c r="B3898" s="27" t="s">
        <v>5016</v>
      </c>
      <c r="C3898" s="27" t="s">
        <v>2359</v>
      </c>
    </row>
    <row r="3899">
      <c r="A3899" s="27" t="s">
        <v>5017</v>
      </c>
      <c r="B3899" s="27" t="s">
        <v>5018</v>
      </c>
      <c r="C3899" s="27" t="s">
        <v>2359</v>
      </c>
    </row>
    <row r="3900">
      <c r="A3900" s="27" t="s">
        <v>5019</v>
      </c>
      <c r="B3900" s="27" t="s">
        <v>5020</v>
      </c>
      <c r="C3900" s="27" t="s">
        <v>2359</v>
      </c>
    </row>
    <row r="3901">
      <c r="A3901" s="27" t="s">
        <v>5021</v>
      </c>
      <c r="B3901" s="27" t="s">
        <v>5022</v>
      </c>
      <c r="C3901" s="27" t="s">
        <v>2359</v>
      </c>
    </row>
    <row r="3902">
      <c r="A3902" s="27" t="s">
        <v>5023</v>
      </c>
      <c r="B3902" s="27" t="s">
        <v>5024</v>
      </c>
      <c r="C3902" s="27" t="s">
        <v>2359</v>
      </c>
    </row>
    <row r="3903">
      <c r="A3903" s="27" t="s">
        <v>5025</v>
      </c>
      <c r="B3903" s="27" t="s">
        <v>5026</v>
      </c>
      <c r="C3903" s="27" t="s">
        <v>2437</v>
      </c>
    </row>
    <row r="3904">
      <c r="A3904" s="27" t="s">
        <v>5027</v>
      </c>
      <c r="B3904" s="27" t="s">
        <v>5028</v>
      </c>
      <c r="C3904" s="27" t="s">
        <v>2359</v>
      </c>
    </row>
    <row r="3905">
      <c r="A3905" s="27" t="s">
        <v>5029</v>
      </c>
      <c r="B3905" s="27" t="s">
        <v>5030</v>
      </c>
      <c r="C3905" s="27" t="s">
        <v>5031</v>
      </c>
    </row>
    <row r="3906">
      <c r="A3906" s="27" t="s">
        <v>5032</v>
      </c>
      <c r="B3906" s="27" t="s">
        <v>5033</v>
      </c>
      <c r="C3906" s="27" t="s">
        <v>2363</v>
      </c>
    </row>
    <row r="3907">
      <c r="A3907" s="27" t="s">
        <v>5034</v>
      </c>
      <c r="B3907" s="27" t="s">
        <v>5035</v>
      </c>
      <c r="C3907" s="27" t="s">
        <v>2359</v>
      </c>
    </row>
    <row r="3908">
      <c r="A3908" s="27" t="s">
        <v>5036</v>
      </c>
      <c r="B3908" s="27" t="s">
        <v>5037</v>
      </c>
      <c r="C3908" s="27" t="s">
        <v>2396</v>
      </c>
    </row>
    <row r="3909">
      <c r="A3909" s="27" t="s">
        <v>5038</v>
      </c>
      <c r="B3909" s="27" t="s">
        <v>5039</v>
      </c>
      <c r="C3909" s="27" t="s">
        <v>2359</v>
      </c>
    </row>
    <row r="3910">
      <c r="A3910" s="27" t="s">
        <v>5040</v>
      </c>
      <c r="B3910" s="27" t="s">
        <v>5041</v>
      </c>
      <c r="C3910" s="27" t="s">
        <v>2359</v>
      </c>
    </row>
    <row r="3911">
      <c r="A3911" s="27" t="s">
        <v>5042</v>
      </c>
      <c r="B3911" s="27" t="s">
        <v>5043</v>
      </c>
      <c r="C3911" s="27" t="s">
        <v>2363</v>
      </c>
    </row>
    <row r="3912">
      <c r="A3912" s="27" t="s">
        <v>5044</v>
      </c>
      <c r="B3912" s="27" t="s">
        <v>5045</v>
      </c>
      <c r="C3912" s="27" t="s">
        <v>2359</v>
      </c>
    </row>
    <row r="3913">
      <c r="A3913" s="27" t="s">
        <v>5046</v>
      </c>
      <c r="B3913" s="27" t="s">
        <v>5047</v>
      </c>
      <c r="C3913" s="27" t="s">
        <v>2359</v>
      </c>
    </row>
    <row r="3914">
      <c r="A3914" s="27" t="s">
        <v>5048</v>
      </c>
      <c r="B3914" s="27" t="s">
        <v>5049</v>
      </c>
      <c r="C3914" s="27" t="s">
        <v>5050</v>
      </c>
    </row>
    <row r="3915">
      <c r="A3915" s="27" t="s">
        <v>5051</v>
      </c>
      <c r="B3915" s="27" t="s">
        <v>5052</v>
      </c>
      <c r="C3915" s="27" t="s">
        <v>2363</v>
      </c>
    </row>
    <row r="3916">
      <c r="A3916" s="27" t="s">
        <v>5053</v>
      </c>
      <c r="B3916" s="27" t="s">
        <v>5054</v>
      </c>
      <c r="C3916" s="27" t="s">
        <v>2359</v>
      </c>
    </row>
    <row r="3917">
      <c r="A3917" s="27" t="s">
        <v>5055</v>
      </c>
      <c r="B3917" s="27" t="s">
        <v>5056</v>
      </c>
      <c r="C3917" s="27" t="s">
        <v>2363</v>
      </c>
    </row>
    <row r="3918">
      <c r="A3918" s="27" t="s">
        <v>5057</v>
      </c>
      <c r="B3918" s="27" t="s">
        <v>5058</v>
      </c>
      <c r="C3918" s="27" t="s">
        <v>2363</v>
      </c>
    </row>
    <row r="3919">
      <c r="A3919" s="27" t="s">
        <v>5059</v>
      </c>
      <c r="B3919" s="27" t="s">
        <v>5060</v>
      </c>
      <c r="C3919" s="27" t="s">
        <v>2363</v>
      </c>
    </row>
    <row r="3920">
      <c r="A3920" s="27" t="s">
        <v>5061</v>
      </c>
      <c r="B3920" s="27" t="s">
        <v>5062</v>
      </c>
      <c r="C3920" s="27" t="s">
        <v>2363</v>
      </c>
    </row>
    <row r="3921">
      <c r="A3921" s="27" t="s">
        <v>5063</v>
      </c>
      <c r="B3921" s="27" t="s">
        <v>5064</v>
      </c>
      <c r="C3921" s="27" t="s">
        <v>2363</v>
      </c>
    </row>
    <row r="3922">
      <c r="A3922" s="27" t="s">
        <v>5065</v>
      </c>
      <c r="B3922" s="27" t="s">
        <v>5066</v>
      </c>
      <c r="C3922" s="27" t="s">
        <v>2462</v>
      </c>
    </row>
    <row r="3923">
      <c r="A3923" s="27" t="s">
        <v>5067</v>
      </c>
      <c r="B3923" s="27" t="s">
        <v>5068</v>
      </c>
      <c r="C3923" s="27" t="s">
        <v>2359</v>
      </c>
    </row>
    <row r="3924">
      <c r="A3924" s="27" t="s">
        <v>5069</v>
      </c>
      <c r="B3924" s="27" t="s">
        <v>5070</v>
      </c>
      <c r="C3924" s="27" t="s">
        <v>2359</v>
      </c>
    </row>
    <row r="3925">
      <c r="A3925" s="27" t="s">
        <v>5071</v>
      </c>
      <c r="B3925" s="27" t="s">
        <v>5072</v>
      </c>
      <c r="C3925" s="27" t="s">
        <v>2359</v>
      </c>
    </row>
    <row r="3926">
      <c r="A3926" s="27" t="s">
        <v>5073</v>
      </c>
      <c r="B3926" s="27" t="s">
        <v>5074</v>
      </c>
      <c r="C3926" s="27" t="s">
        <v>2359</v>
      </c>
    </row>
    <row r="3927">
      <c r="A3927" s="27" t="s">
        <v>5075</v>
      </c>
      <c r="B3927" s="27" t="s">
        <v>5076</v>
      </c>
      <c r="C3927" s="27" t="s">
        <v>2359</v>
      </c>
    </row>
    <row r="3928">
      <c r="A3928" s="27" t="s">
        <v>5077</v>
      </c>
      <c r="B3928" s="27" t="s">
        <v>5078</v>
      </c>
      <c r="C3928" s="27" t="s">
        <v>2363</v>
      </c>
    </row>
    <row r="3929">
      <c r="A3929" s="27" t="s">
        <v>5079</v>
      </c>
      <c r="B3929" s="27" t="s">
        <v>5080</v>
      </c>
      <c r="C3929" s="27" t="s">
        <v>2359</v>
      </c>
    </row>
    <row r="3930">
      <c r="A3930" s="27" t="s">
        <v>5081</v>
      </c>
      <c r="B3930" s="27" t="s">
        <v>5082</v>
      </c>
      <c r="C3930" s="27" t="s">
        <v>2359</v>
      </c>
    </row>
    <row r="3931">
      <c r="A3931" s="27" t="s">
        <v>5083</v>
      </c>
      <c r="B3931" s="27" t="s">
        <v>5084</v>
      </c>
      <c r="C3931" s="27" t="s">
        <v>2441</v>
      </c>
    </row>
    <row r="3932">
      <c r="A3932" s="27" t="s">
        <v>5085</v>
      </c>
      <c r="B3932" s="27" t="s">
        <v>5086</v>
      </c>
      <c r="C3932" s="27" t="s">
        <v>2359</v>
      </c>
    </row>
    <row r="3933">
      <c r="A3933" s="27" t="s">
        <v>5087</v>
      </c>
      <c r="B3933" s="27" t="s">
        <v>5088</v>
      </c>
      <c r="C3933" s="27" t="s">
        <v>2359</v>
      </c>
    </row>
    <row r="3934">
      <c r="A3934" s="27" t="s">
        <v>5089</v>
      </c>
      <c r="B3934" s="27" t="s">
        <v>5090</v>
      </c>
      <c r="C3934" s="27" t="s">
        <v>2359</v>
      </c>
    </row>
    <row r="3935">
      <c r="A3935" s="27" t="s">
        <v>5091</v>
      </c>
      <c r="B3935" s="27" t="s">
        <v>5092</v>
      </c>
      <c r="C3935" s="27" t="s">
        <v>2359</v>
      </c>
    </row>
    <row r="3936">
      <c r="A3936" s="27" t="s">
        <v>5093</v>
      </c>
      <c r="B3936" s="27" t="s">
        <v>5094</v>
      </c>
      <c r="C3936" s="27" t="s">
        <v>2359</v>
      </c>
    </row>
    <row r="3937">
      <c r="A3937" s="27" t="s">
        <v>5095</v>
      </c>
      <c r="B3937" s="27" t="s">
        <v>5096</v>
      </c>
      <c r="C3937" s="27" t="s">
        <v>2359</v>
      </c>
    </row>
    <row r="3938">
      <c r="A3938" s="27" t="s">
        <v>5097</v>
      </c>
      <c r="B3938" s="27" t="s">
        <v>5098</v>
      </c>
      <c r="C3938" s="27" t="s">
        <v>2359</v>
      </c>
    </row>
    <row r="3939">
      <c r="A3939" s="27" t="s">
        <v>5099</v>
      </c>
      <c r="B3939" s="27" t="s">
        <v>5100</v>
      </c>
      <c r="C3939" s="27" t="s">
        <v>2359</v>
      </c>
    </row>
    <row r="3940">
      <c r="A3940" s="27" t="s">
        <v>5101</v>
      </c>
      <c r="B3940" s="27" t="s">
        <v>5102</v>
      </c>
      <c r="C3940" s="27" t="s">
        <v>2359</v>
      </c>
    </row>
    <row r="3941">
      <c r="A3941" s="27" t="s">
        <v>5103</v>
      </c>
      <c r="B3941" s="27" t="s">
        <v>5104</v>
      </c>
      <c r="C3941" s="27" t="s">
        <v>2359</v>
      </c>
    </row>
    <row r="3942">
      <c r="A3942" s="27" t="s">
        <v>5105</v>
      </c>
      <c r="B3942" s="27" t="s">
        <v>5106</v>
      </c>
      <c r="C3942" s="27" t="s">
        <v>2359</v>
      </c>
    </row>
    <row r="3943">
      <c r="A3943" s="27" t="s">
        <v>5107</v>
      </c>
      <c r="B3943" s="27" t="s">
        <v>5108</v>
      </c>
      <c r="C3943" s="27" t="s">
        <v>2359</v>
      </c>
    </row>
    <row r="3944">
      <c r="A3944" s="27" t="s">
        <v>5109</v>
      </c>
      <c r="B3944" s="27" t="s">
        <v>5110</v>
      </c>
      <c r="C3944" s="27" t="s">
        <v>2359</v>
      </c>
    </row>
    <row r="3945">
      <c r="A3945" s="27" t="s">
        <v>5111</v>
      </c>
      <c r="B3945" s="27" t="s">
        <v>5112</v>
      </c>
      <c r="C3945" s="27" t="s">
        <v>2359</v>
      </c>
    </row>
    <row r="3946">
      <c r="A3946" s="27" t="s">
        <v>5113</v>
      </c>
      <c r="B3946" s="27" t="s">
        <v>5114</v>
      </c>
      <c r="C3946" s="27" t="s">
        <v>2359</v>
      </c>
    </row>
    <row r="3947">
      <c r="A3947" s="27" t="s">
        <v>5115</v>
      </c>
      <c r="B3947" s="27" t="s">
        <v>5116</v>
      </c>
      <c r="C3947" s="27" t="s">
        <v>2359</v>
      </c>
    </row>
    <row r="3948">
      <c r="A3948" s="27" t="s">
        <v>5117</v>
      </c>
      <c r="B3948" s="27" t="s">
        <v>5118</v>
      </c>
      <c r="C3948" s="27" t="s">
        <v>2359</v>
      </c>
    </row>
    <row r="3949">
      <c r="A3949" s="27" t="s">
        <v>5119</v>
      </c>
      <c r="B3949" s="27" t="s">
        <v>5120</v>
      </c>
      <c r="C3949" s="27" t="s">
        <v>2363</v>
      </c>
    </row>
    <row r="3950">
      <c r="A3950" s="27" t="s">
        <v>5121</v>
      </c>
      <c r="B3950" s="27" t="s">
        <v>5122</v>
      </c>
      <c r="C3950" s="27" t="s">
        <v>2363</v>
      </c>
    </row>
    <row r="3951">
      <c r="A3951" s="27" t="s">
        <v>5123</v>
      </c>
      <c r="B3951" s="27" t="s">
        <v>5124</v>
      </c>
      <c r="C3951" s="27" t="s">
        <v>2363</v>
      </c>
    </row>
    <row r="3952">
      <c r="A3952" s="27" t="s">
        <v>5125</v>
      </c>
      <c r="B3952" s="27" t="s">
        <v>5126</v>
      </c>
      <c r="C3952" s="27" t="s">
        <v>2437</v>
      </c>
    </row>
    <row r="3953">
      <c r="A3953" s="27" t="s">
        <v>5127</v>
      </c>
      <c r="B3953" s="27" t="s">
        <v>5128</v>
      </c>
      <c r="C3953" s="27" t="s">
        <v>2363</v>
      </c>
    </row>
    <row r="3954">
      <c r="A3954" s="27" t="s">
        <v>5129</v>
      </c>
      <c r="B3954" s="27" t="s">
        <v>5130</v>
      </c>
      <c r="C3954" s="27" t="s">
        <v>2363</v>
      </c>
    </row>
    <row r="3955">
      <c r="A3955" s="27" t="s">
        <v>5131</v>
      </c>
      <c r="B3955" s="27" t="s">
        <v>5132</v>
      </c>
      <c r="C3955" s="27" t="s">
        <v>2359</v>
      </c>
    </row>
    <row r="3956">
      <c r="A3956" s="27" t="s">
        <v>5133</v>
      </c>
      <c r="B3956" s="27" t="s">
        <v>5134</v>
      </c>
      <c r="C3956" s="27" t="s">
        <v>2437</v>
      </c>
    </row>
    <row r="3957">
      <c r="A3957" s="27" t="s">
        <v>5135</v>
      </c>
      <c r="B3957" s="27" t="s">
        <v>5136</v>
      </c>
      <c r="C3957" s="27" t="s">
        <v>2363</v>
      </c>
    </row>
    <row r="3958">
      <c r="A3958" s="27" t="s">
        <v>5137</v>
      </c>
      <c r="B3958" s="27" t="s">
        <v>5138</v>
      </c>
      <c r="C3958" s="27" t="s">
        <v>2437</v>
      </c>
    </row>
    <row r="3959">
      <c r="A3959" s="27" t="s">
        <v>5139</v>
      </c>
      <c r="B3959" s="27" t="s">
        <v>5140</v>
      </c>
      <c r="C3959" s="27" t="s">
        <v>2363</v>
      </c>
    </row>
    <row r="3960">
      <c r="A3960" s="27" t="s">
        <v>5141</v>
      </c>
      <c r="B3960" s="27" t="s">
        <v>5142</v>
      </c>
      <c r="C3960" s="27" t="s">
        <v>2451</v>
      </c>
    </row>
    <row r="3961">
      <c r="A3961" s="27" t="s">
        <v>5143</v>
      </c>
      <c r="B3961" s="27" t="s">
        <v>5144</v>
      </c>
      <c r="C3961" s="27" t="s">
        <v>2451</v>
      </c>
    </row>
    <row r="3962">
      <c r="A3962" s="27" t="s">
        <v>5145</v>
      </c>
      <c r="B3962" s="27" t="s">
        <v>5146</v>
      </c>
      <c r="C3962" s="27" t="s">
        <v>2451</v>
      </c>
    </row>
    <row r="3963">
      <c r="A3963" s="27" t="s">
        <v>5147</v>
      </c>
      <c r="B3963" s="27" t="s">
        <v>5148</v>
      </c>
      <c r="C3963" s="27" t="s">
        <v>2363</v>
      </c>
    </row>
    <row r="3964">
      <c r="A3964" s="27" t="s">
        <v>5149</v>
      </c>
      <c r="B3964" s="27" t="s">
        <v>5150</v>
      </c>
      <c r="C3964" s="27" t="s">
        <v>2363</v>
      </c>
    </row>
    <row r="3965">
      <c r="A3965" s="27" t="s">
        <v>5151</v>
      </c>
      <c r="B3965" s="27" t="s">
        <v>5152</v>
      </c>
      <c r="C3965" s="27" t="s">
        <v>2363</v>
      </c>
    </row>
    <row r="3966">
      <c r="A3966" s="27" t="s">
        <v>5153</v>
      </c>
      <c r="B3966" s="27" t="s">
        <v>5154</v>
      </c>
      <c r="C3966" s="27" t="s">
        <v>2437</v>
      </c>
    </row>
    <row r="3967">
      <c r="A3967" s="27" t="s">
        <v>5155</v>
      </c>
      <c r="B3967" s="27" t="s">
        <v>5156</v>
      </c>
      <c r="C3967" s="27" t="s">
        <v>2359</v>
      </c>
    </row>
    <row r="3968">
      <c r="A3968" s="27" t="s">
        <v>5157</v>
      </c>
      <c r="B3968" s="27" t="s">
        <v>5158</v>
      </c>
      <c r="C3968" s="27" t="s">
        <v>2363</v>
      </c>
    </row>
    <row r="3969">
      <c r="A3969" s="27" t="s">
        <v>5159</v>
      </c>
      <c r="B3969" s="27" t="s">
        <v>5160</v>
      </c>
      <c r="C3969" s="27" t="s">
        <v>2363</v>
      </c>
    </row>
    <row r="3970">
      <c r="A3970" s="27" t="s">
        <v>5161</v>
      </c>
      <c r="B3970" s="27" t="s">
        <v>5162</v>
      </c>
      <c r="C3970" s="27" t="s">
        <v>2363</v>
      </c>
    </row>
    <row r="3971">
      <c r="A3971" s="27" t="s">
        <v>5163</v>
      </c>
      <c r="B3971" s="27" t="s">
        <v>5164</v>
      </c>
      <c r="C3971" s="27" t="s">
        <v>2359</v>
      </c>
    </row>
    <row r="3972">
      <c r="A3972" s="27" t="s">
        <v>5165</v>
      </c>
      <c r="B3972" s="27" t="s">
        <v>5166</v>
      </c>
      <c r="C3972" s="27" t="s">
        <v>2363</v>
      </c>
    </row>
    <row r="3973">
      <c r="A3973" s="27" t="s">
        <v>5167</v>
      </c>
      <c r="B3973" s="27" t="s">
        <v>5168</v>
      </c>
      <c r="C3973" s="27" t="s">
        <v>2359</v>
      </c>
    </row>
    <row r="3974">
      <c r="A3974" s="27" t="s">
        <v>5169</v>
      </c>
      <c r="B3974" s="27" t="s">
        <v>5170</v>
      </c>
      <c r="C3974" s="27" t="s">
        <v>2359</v>
      </c>
    </row>
    <row r="3975">
      <c r="A3975" s="27" t="s">
        <v>2691</v>
      </c>
      <c r="B3975" s="27" t="s">
        <v>2692</v>
      </c>
      <c r="C3975" s="27" t="s">
        <v>2451</v>
      </c>
    </row>
    <row r="3976">
      <c r="A3976" s="27" t="s">
        <v>2693</v>
      </c>
      <c r="B3976" s="27" t="s">
        <v>2694</v>
      </c>
      <c r="C3976" s="27" t="s">
        <v>2595</v>
      </c>
    </row>
    <row r="3977">
      <c r="A3977" s="27" t="s">
        <v>5171</v>
      </c>
      <c r="B3977" s="27" t="s">
        <v>5172</v>
      </c>
      <c r="C3977" s="27" t="s">
        <v>2363</v>
      </c>
    </row>
    <row r="3978">
      <c r="A3978" s="27" t="s">
        <v>3612</v>
      </c>
      <c r="B3978" s="27" t="s">
        <v>3613</v>
      </c>
      <c r="C3978" s="27" t="s">
        <v>2437</v>
      </c>
    </row>
    <row r="3979">
      <c r="A3979" s="27" t="s">
        <v>5173</v>
      </c>
      <c r="B3979" s="27" t="s">
        <v>5174</v>
      </c>
      <c r="C3979" s="27" t="s">
        <v>2359</v>
      </c>
    </row>
    <row r="3980">
      <c r="A3980" s="27" t="s">
        <v>5175</v>
      </c>
      <c r="B3980" s="27" t="s">
        <v>5176</v>
      </c>
      <c r="C3980" s="27" t="s">
        <v>2441</v>
      </c>
    </row>
    <row r="3981">
      <c r="A3981" s="27" t="s">
        <v>2974</v>
      </c>
      <c r="B3981" s="27" t="s">
        <v>2975</v>
      </c>
      <c r="C3981" s="27" t="s">
        <v>2451</v>
      </c>
    </row>
    <row r="3982">
      <c r="A3982" s="27" t="s">
        <v>2695</v>
      </c>
      <c r="B3982" s="27" t="s">
        <v>2696</v>
      </c>
      <c r="C3982" s="27" t="s">
        <v>2363</v>
      </c>
    </row>
    <row r="3983">
      <c r="A3983" s="27" t="s">
        <v>2697</v>
      </c>
      <c r="B3983" s="27" t="s">
        <v>2698</v>
      </c>
      <c r="C3983" s="27" t="s">
        <v>2378</v>
      </c>
    </row>
    <row r="3984">
      <c r="A3984" s="27" t="s">
        <v>2699</v>
      </c>
      <c r="B3984" s="27" t="s">
        <v>2700</v>
      </c>
      <c r="C3984" s="27" t="s">
        <v>2361</v>
      </c>
    </row>
    <row r="3985">
      <c r="A3985" s="27" t="s">
        <v>5177</v>
      </c>
      <c r="B3985" s="27" t="s">
        <v>5178</v>
      </c>
      <c r="C3985" s="27" t="s">
        <v>2359</v>
      </c>
    </row>
    <row r="3986">
      <c r="A3986" s="27" t="s">
        <v>5179</v>
      </c>
      <c r="B3986" s="27" t="s">
        <v>5180</v>
      </c>
      <c r="C3986" s="27" t="s">
        <v>2363</v>
      </c>
    </row>
    <row r="3987">
      <c r="A3987" s="27" t="s">
        <v>5181</v>
      </c>
      <c r="B3987" s="27" t="s">
        <v>5182</v>
      </c>
      <c r="C3987" s="27" t="s">
        <v>2359</v>
      </c>
    </row>
    <row r="3988">
      <c r="A3988" s="27" t="s">
        <v>3405</v>
      </c>
      <c r="B3988" s="27" t="s">
        <v>3406</v>
      </c>
      <c r="C3988" s="27" t="s">
        <v>2361</v>
      </c>
    </row>
    <row r="3989">
      <c r="A3989" s="27" t="s">
        <v>5183</v>
      </c>
      <c r="B3989" s="27" t="s">
        <v>5184</v>
      </c>
      <c r="C3989" s="27" t="s">
        <v>2359</v>
      </c>
    </row>
    <row r="3990">
      <c r="A3990" s="27" t="s">
        <v>5185</v>
      </c>
      <c r="B3990" s="27" t="s">
        <v>5186</v>
      </c>
      <c r="C3990" s="27" t="s">
        <v>2359</v>
      </c>
    </row>
    <row r="3991">
      <c r="A3991" s="27" t="s">
        <v>5187</v>
      </c>
      <c r="B3991" s="27" t="s">
        <v>5188</v>
      </c>
      <c r="C3991" s="27" t="s">
        <v>2363</v>
      </c>
    </row>
    <row r="3992">
      <c r="A3992" s="27" t="s">
        <v>3616</v>
      </c>
      <c r="B3992" s="27" t="s">
        <v>3617</v>
      </c>
      <c r="C3992" s="27" t="s">
        <v>2359</v>
      </c>
    </row>
    <row r="3993">
      <c r="A3993" s="27" t="s">
        <v>3359</v>
      </c>
      <c r="B3993" s="27" t="s">
        <v>3360</v>
      </c>
      <c r="C3993" s="27" t="s">
        <v>2363</v>
      </c>
    </row>
    <row r="3994">
      <c r="A3994" s="27" t="s">
        <v>5189</v>
      </c>
      <c r="B3994" s="27" t="s">
        <v>5190</v>
      </c>
      <c r="C3994" s="27" t="s">
        <v>2361</v>
      </c>
    </row>
    <row r="3995">
      <c r="A3995" s="27" t="s">
        <v>2990</v>
      </c>
      <c r="B3995" s="27" t="s">
        <v>2991</v>
      </c>
      <c r="C3995" s="27" t="s">
        <v>2437</v>
      </c>
    </row>
    <row r="3996">
      <c r="A3996" s="27" t="s">
        <v>5191</v>
      </c>
      <c r="B3996" s="27" t="s">
        <v>5192</v>
      </c>
      <c r="C3996" s="27" t="s">
        <v>2437</v>
      </c>
    </row>
    <row r="3997">
      <c r="A3997" s="27" t="s">
        <v>3361</v>
      </c>
      <c r="B3997" s="27" t="s">
        <v>3362</v>
      </c>
      <c r="C3997" s="27" t="s">
        <v>2361</v>
      </c>
    </row>
    <row r="3998">
      <c r="A3998" s="27" t="s">
        <v>5193</v>
      </c>
      <c r="B3998" s="27" t="s">
        <v>5194</v>
      </c>
      <c r="C3998" s="27" t="s">
        <v>2361</v>
      </c>
    </row>
    <row r="3999">
      <c r="A3999" s="27" t="s">
        <v>5195</v>
      </c>
      <c r="B3999" s="27" t="s">
        <v>5196</v>
      </c>
      <c r="C3999" s="27" t="s">
        <v>2441</v>
      </c>
    </row>
    <row r="4000">
      <c r="A4000" s="27" t="s">
        <v>3618</v>
      </c>
      <c r="B4000" s="27" t="s">
        <v>3619</v>
      </c>
      <c r="C4000" s="27" t="s">
        <v>2441</v>
      </c>
    </row>
    <row r="4001">
      <c r="A4001" s="27" t="s">
        <v>5197</v>
      </c>
      <c r="B4001" s="27" t="s">
        <v>5198</v>
      </c>
      <c r="C4001" s="27" t="s">
        <v>2441</v>
      </c>
    </row>
    <row r="4002">
      <c r="A4002" s="27" t="s">
        <v>5199</v>
      </c>
      <c r="B4002" s="27" t="s">
        <v>5200</v>
      </c>
      <c r="C4002" s="27" t="s">
        <v>2437</v>
      </c>
    </row>
    <row r="4003">
      <c r="A4003" s="27" t="s">
        <v>5201</v>
      </c>
      <c r="B4003" s="27" t="s">
        <v>5202</v>
      </c>
      <c r="C4003" s="27" t="s">
        <v>2363</v>
      </c>
    </row>
    <row r="4004">
      <c r="A4004" s="27" t="s">
        <v>5203</v>
      </c>
      <c r="B4004" s="27" t="s">
        <v>5204</v>
      </c>
      <c r="C4004" s="27" t="s">
        <v>2361</v>
      </c>
    </row>
    <row r="4005">
      <c r="A4005" s="27" t="s">
        <v>5205</v>
      </c>
      <c r="B4005" s="27" t="s">
        <v>5206</v>
      </c>
      <c r="C4005" s="27" t="s">
        <v>2359</v>
      </c>
    </row>
    <row r="4006">
      <c r="A4006" s="27" t="s">
        <v>5207</v>
      </c>
      <c r="B4006" s="27" t="s">
        <v>5208</v>
      </c>
      <c r="C4006" s="27" t="s">
        <v>2451</v>
      </c>
    </row>
    <row r="4007">
      <c r="A4007" s="27" t="s">
        <v>5209</v>
      </c>
      <c r="B4007" s="27" t="s">
        <v>5210</v>
      </c>
      <c r="C4007" s="27" t="s">
        <v>2441</v>
      </c>
    </row>
    <row r="4008">
      <c r="A4008" s="27" t="s">
        <v>5211</v>
      </c>
      <c r="B4008" s="27" t="s">
        <v>5212</v>
      </c>
      <c r="C4008" s="27" t="s">
        <v>2451</v>
      </c>
    </row>
    <row r="4009">
      <c r="A4009" s="27" t="s">
        <v>3620</v>
      </c>
      <c r="B4009" s="27" t="s">
        <v>3621</v>
      </c>
      <c r="C4009" s="27" t="s">
        <v>2441</v>
      </c>
    </row>
    <row r="4010">
      <c r="A4010" s="27" t="s">
        <v>5213</v>
      </c>
      <c r="B4010" s="27" t="s">
        <v>5214</v>
      </c>
      <c r="C4010" s="27" t="s">
        <v>2441</v>
      </c>
    </row>
    <row r="4011">
      <c r="A4011" s="27" t="s">
        <v>3622</v>
      </c>
      <c r="B4011" s="27" t="s">
        <v>3623</v>
      </c>
      <c r="C4011" s="27" t="s">
        <v>2437</v>
      </c>
    </row>
    <row r="4012">
      <c r="A4012" s="27" t="s">
        <v>5215</v>
      </c>
      <c r="B4012" s="27" t="s">
        <v>3623</v>
      </c>
      <c r="C4012" s="27" t="s">
        <v>2363</v>
      </c>
    </row>
    <row r="4013">
      <c r="A4013" s="27" t="s">
        <v>5216</v>
      </c>
      <c r="B4013" s="27" t="s">
        <v>5217</v>
      </c>
      <c r="C4013" s="27" t="s">
        <v>2359</v>
      </c>
    </row>
    <row r="4014">
      <c r="A4014" s="27" t="s">
        <v>5218</v>
      </c>
      <c r="B4014" s="27" t="s">
        <v>5219</v>
      </c>
      <c r="C4014" s="27" t="s">
        <v>2359</v>
      </c>
    </row>
    <row r="4015">
      <c r="A4015" s="27" t="s">
        <v>3624</v>
      </c>
      <c r="B4015" s="27" t="s">
        <v>3625</v>
      </c>
      <c r="C4015" s="27" t="s">
        <v>2409</v>
      </c>
    </row>
    <row r="4016">
      <c r="A4016" s="27" t="s">
        <v>5220</v>
      </c>
      <c r="B4016" s="27" t="s">
        <v>5221</v>
      </c>
      <c r="C4016" s="27" t="s">
        <v>2359</v>
      </c>
    </row>
    <row r="4017">
      <c r="A4017" s="27" t="s">
        <v>3363</v>
      </c>
      <c r="B4017" s="27" t="s">
        <v>3364</v>
      </c>
      <c r="C4017" s="27" t="s">
        <v>2363</v>
      </c>
    </row>
    <row r="4018">
      <c r="A4018" s="27" t="s">
        <v>5222</v>
      </c>
      <c r="B4018" s="27" t="s">
        <v>5223</v>
      </c>
      <c r="C4018" s="27" t="s">
        <v>2437</v>
      </c>
    </row>
    <row r="4019">
      <c r="A4019" s="27" t="s">
        <v>5224</v>
      </c>
      <c r="B4019" s="27" t="s">
        <v>5225</v>
      </c>
      <c r="C4019" s="27" t="s">
        <v>2437</v>
      </c>
    </row>
    <row r="4020">
      <c r="A4020" s="27" t="s">
        <v>3626</v>
      </c>
      <c r="B4020" s="27" t="s">
        <v>3627</v>
      </c>
      <c r="C4020" s="27" t="s">
        <v>2361</v>
      </c>
    </row>
    <row r="4021">
      <c r="A4021" s="27" t="s">
        <v>5226</v>
      </c>
      <c r="B4021" s="27" t="s">
        <v>5227</v>
      </c>
      <c r="C4021" s="27" t="s">
        <v>2441</v>
      </c>
    </row>
    <row r="4022">
      <c r="A4022" s="27" t="s">
        <v>5228</v>
      </c>
      <c r="B4022" s="27" t="s">
        <v>5229</v>
      </c>
      <c r="C4022" s="27" t="s">
        <v>2437</v>
      </c>
    </row>
    <row r="4023">
      <c r="A4023" s="27" t="s">
        <v>2703</v>
      </c>
      <c r="B4023" s="27" t="s">
        <v>2704</v>
      </c>
      <c r="C4023" s="27" t="s">
        <v>2409</v>
      </c>
    </row>
    <row r="4024">
      <c r="A4024" s="27" t="s">
        <v>2705</v>
      </c>
      <c r="B4024" s="27" t="s">
        <v>2706</v>
      </c>
      <c r="C4024" s="27" t="s">
        <v>2409</v>
      </c>
    </row>
    <row r="4025">
      <c r="A4025" s="27" t="s">
        <v>5230</v>
      </c>
      <c r="B4025" s="27" t="s">
        <v>5231</v>
      </c>
      <c r="C4025" s="27" t="s">
        <v>2441</v>
      </c>
    </row>
    <row r="4026">
      <c r="A4026" s="27" t="s">
        <v>5232</v>
      </c>
      <c r="B4026" s="27" t="s">
        <v>5233</v>
      </c>
      <c r="C4026" s="27" t="s">
        <v>2361</v>
      </c>
    </row>
    <row r="4027">
      <c r="A4027" s="27" t="s">
        <v>5234</v>
      </c>
      <c r="B4027" s="27" t="s">
        <v>5235</v>
      </c>
      <c r="C4027" s="27" t="s">
        <v>2441</v>
      </c>
    </row>
    <row r="4028">
      <c r="A4028" s="27" t="s">
        <v>5236</v>
      </c>
      <c r="B4028" s="27" t="s">
        <v>5237</v>
      </c>
      <c r="C4028" s="27" t="s">
        <v>2359</v>
      </c>
    </row>
    <row r="4029">
      <c r="A4029" s="27" t="s">
        <v>5238</v>
      </c>
      <c r="B4029" s="27" t="s">
        <v>5239</v>
      </c>
      <c r="C4029" s="27" t="s">
        <v>2437</v>
      </c>
    </row>
    <row r="4030">
      <c r="A4030" s="27" t="s">
        <v>5240</v>
      </c>
      <c r="B4030" s="27" t="s">
        <v>5241</v>
      </c>
      <c r="C4030" s="27" t="s">
        <v>2363</v>
      </c>
    </row>
    <row r="4031">
      <c r="A4031" s="27" t="s">
        <v>5242</v>
      </c>
      <c r="B4031" s="27" t="s">
        <v>5243</v>
      </c>
      <c r="C4031" s="27" t="s">
        <v>2437</v>
      </c>
    </row>
    <row r="4032">
      <c r="A4032" s="27" t="s">
        <v>5244</v>
      </c>
      <c r="B4032" s="27" t="s">
        <v>5245</v>
      </c>
      <c r="C4032" s="27" t="s">
        <v>2441</v>
      </c>
    </row>
    <row r="4033">
      <c r="A4033" s="27" t="s">
        <v>5246</v>
      </c>
      <c r="B4033" s="27" t="s">
        <v>5247</v>
      </c>
      <c r="C4033" s="27" t="s">
        <v>2437</v>
      </c>
    </row>
    <row r="4034">
      <c r="A4034" s="27" t="s">
        <v>5248</v>
      </c>
      <c r="B4034" s="27" t="s">
        <v>5249</v>
      </c>
      <c r="C4034" s="27" t="s">
        <v>2462</v>
      </c>
    </row>
    <row r="4035">
      <c r="A4035" s="27" t="s">
        <v>5250</v>
      </c>
      <c r="B4035" s="27" t="s">
        <v>5251</v>
      </c>
      <c r="C4035" s="27" t="s">
        <v>2441</v>
      </c>
    </row>
    <row r="4036">
      <c r="A4036" s="27" t="s">
        <v>2992</v>
      </c>
      <c r="B4036" s="27" t="s">
        <v>2993</v>
      </c>
      <c r="C4036" s="27" t="s">
        <v>2361</v>
      </c>
    </row>
    <row r="4037">
      <c r="A4037" s="27" t="s">
        <v>5252</v>
      </c>
      <c r="B4037" s="27" t="s">
        <v>5253</v>
      </c>
      <c r="C4037" s="27" t="s">
        <v>2359</v>
      </c>
    </row>
    <row r="4038">
      <c r="A4038" s="27" t="s">
        <v>5254</v>
      </c>
      <c r="B4038" s="27" t="s">
        <v>5255</v>
      </c>
      <c r="C4038" s="27" t="s">
        <v>2437</v>
      </c>
    </row>
    <row r="4039">
      <c r="A4039" s="27" t="s">
        <v>5256</v>
      </c>
      <c r="B4039" s="27" t="s">
        <v>5257</v>
      </c>
      <c r="C4039" s="27" t="s">
        <v>2437</v>
      </c>
    </row>
    <row r="4040">
      <c r="A4040" s="27" t="s">
        <v>5258</v>
      </c>
      <c r="B4040" s="27" t="s">
        <v>5259</v>
      </c>
      <c r="C4040" s="27" t="s">
        <v>2363</v>
      </c>
    </row>
    <row r="4041">
      <c r="A4041" s="27" t="s">
        <v>5260</v>
      </c>
      <c r="B4041" s="27" t="s">
        <v>5261</v>
      </c>
      <c r="C4041" s="27" t="s">
        <v>2437</v>
      </c>
    </row>
    <row r="4042">
      <c r="A4042" s="27" t="s">
        <v>5262</v>
      </c>
      <c r="B4042" s="27" t="s">
        <v>5263</v>
      </c>
      <c r="C4042" s="27" t="s">
        <v>2363</v>
      </c>
    </row>
    <row r="4043">
      <c r="A4043" s="27" t="s">
        <v>5264</v>
      </c>
      <c r="B4043" s="27" t="s">
        <v>5265</v>
      </c>
      <c r="C4043" s="27" t="s">
        <v>2363</v>
      </c>
    </row>
    <row r="4044">
      <c r="A4044" s="27" t="s">
        <v>5266</v>
      </c>
      <c r="B4044" s="27" t="s">
        <v>5267</v>
      </c>
      <c r="C4044" s="27" t="s">
        <v>2363</v>
      </c>
    </row>
    <row r="4045">
      <c r="A4045" s="27" t="s">
        <v>5268</v>
      </c>
      <c r="B4045" s="27" t="s">
        <v>5269</v>
      </c>
      <c r="C4045" s="27" t="s">
        <v>2363</v>
      </c>
    </row>
    <row r="4046">
      <c r="A4046" s="27" t="s">
        <v>5270</v>
      </c>
      <c r="B4046" s="27" t="s">
        <v>5271</v>
      </c>
      <c r="C4046" s="27" t="s">
        <v>2441</v>
      </c>
    </row>
    <row r="4047">
      <c r="A4047" s="27" t="s">
        <v>5272</v>
      </c>
      <c r="B4047" s="27" t="s">
        <v>5273</v>
      </c>
      <c r="C4047" s="27" t="s">
        <v>2359</v>
      </c>
    </row>
    <row r="4048">
      <c r="A4048" s="27" t="s">
        <v>5274</v>
      </c>
      <c r="B4048" s="27" t="s">
        <v>5275</v>
      </c>
      <c r="C4048" s="27" t="s">
        <v>2359</v>
      </c>
    </row>
    <row r="4049">
      <c r="A4049" s="27" t="s">
        <v>5276</v>
      </c>
      <c r="B4049" s="27" t="s">
        <v>5277</v>
      </c>
      <c r="C4049" s="27" t="s">
        <v>2359</v>
      </c>
    </row>
    <row r="4050">
      <c r="A4050" s="27" t="s">
        <v>5278</v>
      </c>
      <c r="B4050" s="27" t="s">
        <v>5279</v>
      </c>
      <c r="C4050" s="27" t="s">
        <v>2363</v>
      </c>
    </row>
    <row r="4051">
      <c r="A4051" s="27" t="s">
        <v>5280</v>
      </c>
      <c r="B4051" s="27" t="s">
        <v>5281</v>
      </c>
      <c r="C4051" s="27" t="s">
        <v>2359</v>
      </c>
    </row>
    <row r="4052">
      <c r="A4052" s="27" t="s">
        <v>5282</v>
      </c>
      <c r="B4052" s="27" t="s">
        <v>5283</v>
      </c>
      <c r="C4052" s="27" t="s">
        <v>2437</v>
      </c>
    </row>
    <row r="4053">
      <c r="A4053" s="27" t="s">
        <v>5284</v>
      </c>
      <c r="B4053" s="27" t="s">
        <v>5285</v>
      </c>
      <c r="C4053" s="27" t="s">
        <v>2437</v>
      </c>
    </row>
    <row r="4054">
      <c r="A4054" s="27" t="s">
        <v>5286</v>
      </c>
      <c r="B4054" s="27" t="s">
        <v>5287</v>
      </c>
      <c r="C4054" s="27" t="s">
        <v>2359</v>
      </c>
    </row>
    <row r="4055">
      <c r="A4055" s="27" t="s">
        <v>5288</v>
      </c>
      <c r="B4055" s="27" t="s">
        <v>5289</v>
      </c>
      <c r="C4055" s="27" t="s">
        <v>2363</v>
      </c>
    </row>
    <row r="4056">
      <c r="A4056" s="27" t="s">
        <v>5290</v>
      </c>
      <c r="B4056" s="27" t="s">
        <v>5291</v>
      </c>
      <c r="C4056" s="27" t="s">
        <v>2359</v>
      </c>
    </row>
    <row r="4057">
      <c r="A4057" s="27" t="s">
        <v>5292</v>
      </c>
      <c r="B4057" s="27" t="s">
        <v>5293</v>
      </c>
      <c r="C4057" s="27" t="s">
        <v>2363</v>
      </c>
    </row>
    <row r="4058">
      <c r="A4058" s="27" t="s">
        <v>5294</v>
      </c>
      <c r="B4058" s="27" t="s">
        <v>5295</v>
      </c>
      <c r="C4058" s="27" t="s">
        <v>2363</v>
      </c>
    </row>
    <row r="4059">
      <c r="A4059" s="27" t="s">
        <v>5296</v>
      </c>
      <c r="B4059" s="27" t="s">
        <v>5297</v>
      </c>
      <c r="C4059" s="27" t="s">
        <v>2359</v>
      </c>
    </row>
    <row r="4060">
      <c r="A4060" s="27" t="s">
        <v>5298</v>
      </c>
      <c r="B4060" s="27" t="s">
        <v>5299</v>
      </c>
      <c r="C4060" s="27" t="s">
        <v>2363</v>
      </c>
    </row>
    <row r="4061">
      <c r="A4061" s="27" t="s">
        <v>5300</v>
      </c>
      <c r="B4061" s="27" t="s">
        <v>5301</v>
      </c>
      <c r="C4061" s="27" t="s">
        <v>2359</v>
      </c>
    </row>
    <row r="4062">
      <c r="A4062" s="27" t="s">
        <v>5302</v>
      </c>
      <c r="B4062" s="27" t="s">
        <v>5303</v>
      </c>
      <c r="C4062" s="27" t="s">
        <v>2363</v>
      </c>
    </row>
    <row r="4063">
      <c r="A4063" s="27" t="s">
        <v>5304</v>
      </c>
      <c r="B4063" s="27" t="s">
        <v>5305</v>
      </c>
      <c r="C4063" s="27" t="s">
        <v>2441</v>
      </c>
    </row>
    <row r="4064">
      <c r="A4064" s="27" t="s">
        <v>2707</v>
      </c>
      <c r="B4064" s="27" t="s">
        <v>2708</v>
      </c>
      <c r="C4064" s="27" t="s">
        <v>2409</v>
      </c>
    </row>
    <row r="4065">
      <c r="A4065" s="27" t="s">
        <v>3411</v>
      </c>
      <c r="B4065" s="27" t="s">
        <v>3412</v>
      </c>
      <c r="C4065" s="27" t="s">
        <v>2363</v>
      </c>
    </row>
    <row r="4066">
      <c r="A4066" s="27" t="s">
        <v>5306</v>
      </c>
      <c r="B4066" s="27" t="s">
        <v>5307</v>
      </c>
      <c r="C4066" s="27" t="s">
        <v>2437</v>
      </c>
    </row>
    <row r="4067">
      <c r="A4067" s="27" t="s">
        <v>5308</v>
      </c>
      <c r="B4067" s="27" t="s">
        <v>5309</v>
      </c>
      <c r="C4067" s="27" t="s">
        <v>2437</v>
      </c>
    </row>
    <row r="4068">
      <c r="A4068" s="27" t="s">
        <v>5310</v>
      </c>
      <c r="B4068" s="27" t="s">
        <v>5311</v>
      </c>
      <c r="C4068" s="27" t="s">
        <v>2363</v>
      </c>
    </row>
    <row r="4069">
      <c r="A4069" s="27" t="s">
        <v>5312</v>
      </c>
      <c r="B4069" s="27" t="s">
        <v>5313</v>
      </c>
      <c r="C4069" s="27" t="s">
        <v>2359</v>
      </c>
    </row>
    <row r="4070">
      <c r="A4070" s="27" t="s">
        <v>3630</v>
      </c>
      <c r="B4070" s="27" t="s">
        <v>3631</v>
      </c>
      <c r="C4070" s="27" t="s">
        <v>2363</v>
      </c>
    </row>
    <row r="4071">
      <c r="A4071" s="27" t="s">
        <v>3413</v>
      </c>
      <c r="B4071" s="27" t="s">
        <v>3414</v>
      </c>
      <c r="C4071" s="27" t="s">
        <v>2451</v>
      </c>
    </row>
    <row r="4072">
      <c r="A4072" s="27" t="s">
        <v>5314</v>
      </c>
      <c r="B4072" s="27" t="s">
        <v>5315</v>
      </c>
      <c r="C4072" s="27" t="s">
        <v>2359</v>
      </c>
    </row>
    <row r="4073">
      <c r="A4073" s="27" t="s">
        <v>5316</v>
      </c>
      <c r="B4073" s="27" t="s">
        <v>5317</v>
      </c>
      <c r="C4073" s="27" t="s">
        <v>2451</v>
      </c>
    </row>
    <row r="4074">
      <c r="A4074" s="27" t="s">
        <v>5318</v>
      </c>
      <c r="B4074" s="27" t="s">
        <v>5319</v>
      </c>
      <c r="C4074" s="27" t="s">
        <v>2363</v>
      </c>
    </row>
    <row r="4075">
      <c r="A4075" s="27" t="s">
        <v>5320</v>
      </c>
      <c r="B4075" s="27" t="s">
        <v>5321</v>
      </c>
      <c r="C4075" s="27" t="s">
        <v>2363</v>
      </c>
    </row>
    <row r="4076">
      <c r="A4076" s="27" t="s">
        <v>5322</v>
      </c>
      <c r="B4076" s="27" t="s">
        <v>5323</v>
      </c>
      <c r="C4076" s="27" t="s">
        <v>2437</v>
      </c>
    </row>
    <row r="4077">
      <c r="A4077" s="27" t="s">
        <v>5324</v>
      </c>
      <c r="B4077" s="27" t="s">
        <v>5325</v>
      </c>
      <c r="C4077" s="27" t="s">
        <v>2363</v>
      </c>
    </row>
    <row r="4078">
      <c r="A4078" s="27" t="s">
        <v>5326</v>
      </c>
      <c r="B4078" s="27" t="s">
        <v>5327</v>
      </c>
      <c r="C4078" s="27" t="s">
        <v>2441</v>
      </c>
    </row>
    <row r="4079">
      <c r="A4079" s="27" t="s">
        <v>5328</v>
      </c>
      <c r="B4079" s="27" t="s">
        <v>5329</v>
      </c>
      <c r="C4079" s="27" t="s">
        <v>2363</v>
      </c>
    </row>
    <row r="4080">
      <c r="A4080" s="27" t="s">
        <v>5330</v>
      </c>
      <c r="B4080" s="27" t="s">
        <v>5331</v>
      </c>
      <c r="C4080" s="27" t="s">
        <v>2441</v>
      </c>
    </row>
    <row r="4081">
      <c r="A4081" s="27" t="s">
        <v>5332</v>
      </c>
      <c r="B4081" s="27" t="s">
        <v>5333</v>
      </c>
      <c r="C4081" s="27" t="s">
        <v>2437</v>
      </c>
    </row>
    <row r="4082">
      <c r="A4082" s="27" t="s">
        <v>3415</v>
      </c>
      <c r="B4082" s="27" t="s">
        <v>3416</v>
      </c>
      <c r="C4082" s="27" t="s">
        <v>2363</v>
      </c>
    </row>
    <row r="4083">
      <c r="A4083" s="27" t="s">
        <v>5334</v>
      </c>
      <c r="B4083" s="27" t="s">
        <v>5335</v>
      </c>
      <c r="C4083" s="27" t="s">
        <v>2363</v>
      </c>
    </row>
    <row r="4084">
      <c r="A4084" s="27" t="s">
        <v>5336</v>
      </c>
      <c r="B4084" s="27" t="s">
        <v>5337</v>
      </c>
      <c r="C4084" s="27" t="s">
        <v>2363</v>
      </c>
    </row>
    <row r="4085">
      <c r="A4085" s="27" t="s">
        <v>5338</v>
      </c>
      <c r="B4085" s="27" t="s">
        <v>5339</v>
      </c>
      <c r="C4085" s="27" t="s">
        <v>2451</v>
      </c>
    </row>
    <row r="4086">
      <c r="A4086" s="27" t="s">
        <v>3417</v>
      </c>
      <c r="B4086" s="27" t="s">
        <v>3418</v>
      </c>
      <c r="C4086" s="27" t="s">
        <v>2363</v>
      </c>
    </row>
    <row r="4087">
      <c r="A4087" s="27" t="s">
        <v>3419</v>
      </c>
      <c r="B4087" s="27" t="s">
        <v>3420</v>
      </c>
      <c r="C4087" s="27" t="s">
        <v>2363</v>
      </c>
    </row>
    <row r="4088">
      <c r="A4088" s="27" t="s">
        <v>5340</v>
      </c>
      <c r="B4088" s="27" t="s">
        <v>5341</v>
      </c>
      <c r="C4088" s="27" t="s">
        <v>2359</v>
      </c>
    </row>
    <row r="4089">
      <c r="A4089" s="27" t="s">
        <v>3421</v>
      </c>
      <c r="B4089" s="27" t="s">
        <v>3422</v>
      </c>
      <c r="C4089" s="27" t="s">
        <v>2363</v>
      </c>
    </row>
    <row r="4090">
      <c r="A4090" s="27" t="s">
        <v>5342</v>
      </c>
      <c r="B4090" s="27" t="s">
        <v>5343</v>
      </c>
      <c r="C4090" s="27" t="s">
        <v>2363</v>
      </c>
    </row>
    <row r="4091">
      <c r="A4091" s="27" t="s">
        <v>5344</v>
      </c>
      <c r="B4091" s="27" t="s">
        <v>5345</v>
      </c>
      <c r="C4091" s="27" t="s">
        <v>2437</v>
      </c>
    </row>
    <row r="4092">
      <c r="A4092" s="27" t="s">
        <v>5346</v>
      </c>
      <c r="B4092" s="27" t="s">
        <v>5347</v>
      </c>
      <c r="C4092" s="27" t="s">
        <v>2363</v>
      </c>
    </row>
    <row r="4093">
      <c r="A4093" s="27" t="s">
        <v>5348</v>
      </c>
      <c r="B4093" s="27" t="s">
        <v>5349</v>
      </c>
      <c r="C4093" s="27" t="s">
        <v>2363</v>
      </c>
    </row>
    <row r="4094">
      <c r="A4094" s="27" t="s">
        <v>5350</v>
      </c>
      <c r="B4094" s="27" t="s">
        <v>5351</v>
      </c>
      <c r="C4094" s="27" t="s">
        <v>2363</v>
      </c>
    </row>
    <row r="4095">
      <c r="A4095" s="27" t="s">
        <v>5352</v>
      </c>
      <c r="B4095" s="27" t="s">
        <v>5353</v>
      </c>
      <c r="C4095" s="27" t="s">
        <v>2363</v>
      </c>
    </row>
    <row r="4096">
      <c r="A4096" s="27" t="s">
        <v>5354</v>
      </c>
      <c r="B4096" s="27" t="s">
        <v>5355</v>
      </c>
      <c r="C4096" s="27" t="s">
        <v>2437</v>
      </c>
    </row>
    <row r="4097">
      <c r="A4097" s="27" t="s">
        <v>5356</v>
      </c>
      <c r="B4097" s="27" t="s">
        <v>5357</v>
      </c>
      <c r="C4097" s="27" t="s">
        <v>2363</v>
      </c>
    </row>
    <row r="4098">
      <c r="A4098" s="27" t="s">
        <v>5358</v>
      </c>
      <c r="B4098" s="27" t="s">
        <v>5359</v>
      </c>
      <c r="C4098" s="27" t="s">
        <v>2363</v>
      </c>
    </row>
    <row r="4099">
      <c r="A4099" s="27" t="s">
        <v>5360</v>
      </c>
      <c r="B4099" s="27" t="s">
        <v>5361</v>
      </c>
      <c r="C4099" s="27" t="s">
        <v>2363</v>
      </c>
    </row>
    <row r="4100">
      <c r="A4100" s="27" t="s">
        <v>5362</v>
      </c>
      <c r="B4100" s="27" t="s">
        <v>5363</v>
      </c>
      <c r="C4100" s="27" t="s">
        <v>2437</v>
      </c>
    </row>
    <row r="4101">
      <c r="A4101" s="27" t="s">
        <v>5364</v>
      </c>
      <c r="B4101" s="27" t="s">
        <v>5365</v>
      </c>
      <c r="C4101" s="27" t="s">
        <v>2359</v>
      </c>
    </row>
    <row r="4102">
      <c r="A4102" s="27" t="s">
        <v>5366</v>
      </c>
      <c r="B4102" s="27" t="s">
        <v>5367</v>
      </c>
      <c r="C4102" s="27" t="s">
        <v>2441</v>
      </c>
    </row>
    <row r="4103">
      <c r="A4103" s="27" t="s">
        <v>5368</v>
      </c>
      <c r="B4103" s="27" t="s">
        <v>5369</v>
      </c>
      <c r="C4103" s="27" t="s">
        <v>2363</v>
      </c>
    </row>
    <row r="4104">
      <c r="A4104" s="27" t="s">
        <v>5370</v>
      </c>
      <c r="B4104" s="27" t="s">
        <v>5371</v>
      </c>
      <c r="C4104" s="27" t="s">
        <v>2437</v>
      </c>
    </row>
    <row r="4105">
      <c r="A4105" s="27" t="s">
        <v>5372</v>
      </c>
      <c r="B4105" s="27" t="s">
        <v>5373</v>
      </c>
      <c r="C4105" s="27" t="s">
        <v>2441</v>
      </c>
    </row>
    <row r="4106">
      <c r="A4106" s="27" t="s">
        <v>5374</v>
      </c>
      <c r="B4106" s="27" t="s">
        <v>5375</v>
      </c>
      <c r="C4106" s="27" t="s">
        <v>2363</v>
      </c>
    </row>
    <row r="4107">
      <c r="A4107" s="27" t="s">
        <v>5376</v>
      </c>
      <c r="B4107" s="27" t="s">
        <v>5377</v>
      </c>
      <c r="C4107" s="27" t="s">
        <v>2363</v>
      </c>
    </row>
    <row r="4108">
      <c r="A4108" s="27" t="s">
        <v>5378</v>
      </c>
      <c r="B4108" s="27" t="s">
        <v>5379</v>
      </c>
      <c r="C4108" s="27" t="s">
        <v>2441</v>
      </c>
    </row>
    <row r="4109">
      <c r="A4109" s="27" t="s">
        <v>5380</v>
      </c>
      <c r="B4109" s="27" t="s">
        <v>5381</v>
      </c>
      <c r="C4109" s="27" t="s">
        <v>2363</v>
      </c>
    </row>
    <row r="4110">
      <c r="A4110" s="27" t="s">
        <v>5382</v>
      </c>
      <c r="B4110" s="27" t="s">
        <v>5383</v>
      </c>
      <c r="C4110" s="27" t="s">
        <v>2437</v>
      </c>
    </row>
    <row r="4111">
      <c r="A4111" s="27" t="s">
        <v>5384</v>
      </c>
      <c r="B4111" s="27" t="s">
        <v>5385</v>
      </c>
      <c r="C4111" s="27" t="s">
        <v>2441</v>
      </c>
    </row>
    <row r="4112">
      <c r="A4112" s="27" t="s">
        <v>5386</v>
      </c>
      <c r="B4112" s="27" t="s">
        <v>5387</v>
      </c>
      <c r="C4112" s="27" t="s">
        <v>2437</v>
      </c>
    </row>
    <row r="4113">
      <c r="A4113" s="27" t="s">
        <v>5388</v>
      </c>
      <c r="B4113" s="27" t="s">
        <v>5389</v>
      </c>
      <c r="C4113" s="27" t="s">
        <v>2363</v>
      </c>
    </row>
    <row r="4114">
      <c r="A4114" s="27" t="s">
        <v>2994</v>
      </c>
      <c r="B4114" s="27" t="s">
        <v>2995</v>
      </c>
      <c r="C4114" s="27" t="s">
        <v>2363</v>
      </c>
    </row>
    <row r="4115">
      <c r="A4115" s="27" t="s">
        <v>5390</v>
      </c>
      <c r="B4115" s="27" t="s">
        <v>5391</v>
      </c>
      <c r="C4115" s="27" t="s">
        <v>2359</v>
      </c>
    </row>
    <row r="4116">
      <c r="A4116" s="27" t="s">
        <v>5392</v>
      </c>
      <c r="B4116" s="27" t="s">
        <v>5393</v>
      </c>
      <c r="C4116" s="27" t="s">
        <v>2359</v>
      </c>
    </row>
    <row r="4117">
      <c r="A4117" s="27" t="s">
        <v>5394</v>
      </c>
      <c r="B4117" s="27" t="s">
        <v>5395</v>
      </c>
      <c r="C4117" s="27" t="s">
        <v>2441</v>
      </c>
    </row>
    <row r="4118">
      <c r="A4118" s="27" t="s">
        <v>5396</v>
      </c>
      <c r="B4118" s="27" t="s">
        <v>5397</v>
      </c>
      <c r="C4118" s="27" t="s">
        <v>2363</v>
      </c>
    </row>
    <row r="4119">
      <c r="A4119" s="27" t="s">
        <v>5398</v>
      </c>
      <c r="B4119" s="27" t="s">
        <v>5399</v>
      </c>
      <c r="C4119" s="27" t="s">
        <v>2363</v>
      </c>
    </row>
    <row r="4120">
      <c r="A4120" s="27" t="s">
        <v>5400</v>
      </c>
      <c r="B4120" s="27" t="s">
        <v>5401</v>
      </c>
      <c r="C4120" s="27" t="s">
        <v>2441</v>
      </c>
    </row>
    <row r="4121">
      <c r="A4121" s="27" t="s">
        <v>5402</v>
      </c>
      <c r="B4121" s="27" t="s">
        <v>5403</v>
      </c>
      <c r="C4121" s="27" t="s">
        <v>2437</v>
      </c>
    </row>
    <row r="4122">
      <c r="A4122" s="27" t="s">
        <v>5404</v>
      </c>
      <c r="B4122" s="27" t="s">
        <v>5405</v>
      </c>
      <c r="C4122" s="27" t="s">
        <v>2359</v>
      </c>
    </row>
    <row r="4123">
      <c r="A4123" s="27" t="s">
        <v>5406</v>
      </c>
      <c r="B4123" s="27" t="s">
        <v>5407</v>
      </c>
      <c r="C4123" s="27" t="s">
        <v>2363</v>
      </c>
    </row>
    <row r="4124">
      <c r="A4124" s="27" t="s">
        <v>5408</v>
      </c>
      <c r="B4124" s="27" t="s">
        <v>5409</v>
      </c>
      <c r="C4124" s="27" t="s">
        <v>2363</v>
      </c>
    </row>
    <row r="4125">
      <c r="A4125" s="27" t="s">
        <v>5410</v>
      </c>
      <c r="B4125" s="27" t="s">
        <v>5411</v>
      </c>
      <c r="C4125" s="27" t="s">
        <v>2363</v>
      </c>
    </row>
    <row r="4126">
      <c r="A4126" s="27" t="s">
        <v>5412</v>
      </c>
      <c r="B4126" s="27" t="s">
        <v>5413</v>
      </c>
      <c r="C4126" s="27" t="s">
        <v>2363</v>
      </c>
    </row>
    <row r="4127">
      <c r="A4127" s="27" t="s">
        <v>5414</v>
      </c>
      <c r="B4127" s="27" t="s">
        <v>5415</v>
      </c>
      <c r="C4127" s="27" t="s">
        <v>2359</v>
      </c>
    </row>
    <row r="4128">
      <c r="A4128" s="27" t="s">
        <v>5416</v>
      </c>
      <c r="B4128" s="27" t="s">
        <v>5417</v>
      </c>
      <c r="C4128" s="27" t="s">
        <v>2363</v>
      </c>
    </row>
    <row r="4129">
      <c r="A4129" s="27" t="s">
        <v>5418</v>
      </c>
      <c r="B4129" s="27" t="s">
        <v>5419</v>
      </c>
      <c r="C4129" s="27" t="s">
        <v>2441</v>
      </c>
    </row>
    <row r="4130">
      <c r="A4130" s="27" t="s">
        <v>5420</v>
      </c>
      <c r="B4130" s="27" t="s">
        <v>5421</v>
      </c>
      <c r="C4130" s="27" t="s">
        <v>2437</v>
      </c>
    </row>
    <row r="4131">
      <c r="A4131" s="27" t="s">
        <v>5422</v>
      </c>
      <c r="B4131" s="27" t="s">
        <v>5423</v>
      </c>
      <c r="C4131" s="27" t="s">
        <v>2359</v>
      </c>
    </row>
    <row r="4132">
      <c r="A4132" s="27" t="s">
        <v>5424</v>
      </c>
      <c r="B4132" s="27" t="s">
        <v>5425</v>
      </c>
      <c r="C4132" s="27" t="s">
        <v>2363</v>
      </c>
    </row>
    <row r="4133">
      <c r="A4133" s="27" t="s">
        <v>5426</v>
      </c>
      <c r="B4133" s="27" t="s">
        <v>5427</v>
      </c>
      <c r="C4133" s="27" t="s">
        <v>2359</v>
      </c>
    </row>
    <row r="4134">
      <c r="A4134" s="27" t="s">
        <v>5428</v>
      </c>
      <c r="B4134" s="27" t="s">
        <v>1335</v>
      </c>
      <c r="C4134" s="27" t="s">
        <v>4694</v>
      </c>
    </row>
    <row r="4135">
      <c r="A4135" s="27" t="s">
        <v>5429</v>
      </c>
      <c r="B4135" s="27" t="s">
        <v>1337</v>
      </c>
      <c r="C4135" s="27" t="s">
        <v>4745</v>
      </c>
    </row>
    <row r="4136">
      <c r="A4136" s="27" t="s">
        <v>3423</v>
      </c>
      <c r="B4136" s="27" t="s">
        <v>1339</v>
      </c>
      <c r="C4136" s="27" t="s">
        <v>5430</v>
      </c>
    </row>
    <row r="4137">
      <c r="A4137" s="27" t="s">
        <v>2998</v>
      </c>
      <c r="B4137" s="27" t="s">
        <v>1228</v>
      </c>
      <c r="C4137" s="27" t="s">
        <v>5431</v>
      </c>
    </row>
    <row r="4138">
      <c r="A4138" s="27" t="s">
        <v>2737</v>
      </c>
      <c r="B4138" s="27" t="s">
        <v>1236</v>
      </c>
      <c r="C4138" s="27" t="s">
        <v>5432</v>
      </c>
    </row>
    <row r="4139">
      <c r="A4139" s="27" t="s">
        <v>2709</v>
      </c>
      <c r="B4139" s="27" t="s">
        <v>1425</v>
      </c>
      <c r="C4139" s="27" t="s">
        <v>4141</v>
      </c>
    </row>
    <row r="4140">
      <c r="A4140" s="27" t="s">
        <v>2710</v>
      </c>
      <c r="B4140" s="27" t="s">
        <v>1427</v>
      </c>
      <c r="C4140" s="27" t="s">
        <v>4700</v>
      </c>
    </row>
    <row r="4141">
      <c r="A4141" s="27" t="s">
        <v>2711</v>
      </c>
      <c r="B4141" s="27" t="s">
        <v>1433</v>
      </c>
      <c r="C4141" s="27" t="s">
        <v>5433</v>
      </c>
    </row>
    <row r="4142">
      <c r="A4142" s="27" t="s">
        <v>5434</v>
      </c>
      <c r="B4142" s="27" t="s">
        <v>1307</v>
      </c>
      <c r="C4142" s="27" t="s">
        <v>2361</v>
      </c>
    </row>
    <row r="4143">
      <c r="A4143" s="27" t="s">
        <v>2712</v>
      </c>
      <c r="B4143" s="27" t="s">
        <v>1261</v>
      </c>
      <c r="C4143" s="27" t="s">
        <v>4699</v>
      </c>
    </row>
    <row r="4144">
      <c r="A4144" s="27" t="s">
        <v>3439</v>
      </c>
      <c r="B4144" s="27" t="s">
        <v>1263</v>
      </c>
      <c r="C4144" s="27" t="s">
        <v>3870</v>
      </c>
    </row>
    <row r="4145">
      <c r="A4145" s="27" t="s">
        <v>5435</v>
      </c>
      <c r="B4145" s="27" t="s">
        <v>1249</v>
      </c>
      <c r="C4145" s="27" t="s">
        <v>3897</v>
      </c>
    </row>
    <row r="4146">
      <c r="A4146" s="27" t="s">
        <v>2713</v>
      </c>
      <c r="B4146" s="27" t="s">
        <v>1247</v>
      </c>
      <c r="C4146" s="27" t="s">
        <v>3862</v>
      </c>
    </row>
    <row r="4147">
      <c r="A4147" s="27" t="s">
        <v>2738</v>
      </c>
      <c r="B4147" s="27" t="s">
        <v>1245</v>
      </c>
      <c r="C4147" s="27" t="s">
        <v>2359</v>
      </c>
    </row>
    <row r="4148">
      <c r="A4148" s="27" t="s">
        <v>2739</v>
      </c>
      <c r="B4148" s="27" t="s">
        <v>1251</v>
      </c>
      <c r="C4148" s="27" t="s">
        <v>5436</v>
      </c>
    </row>
    <row r="4149">
      <c r="A4149" s="27" t="s">
        <v>2740</v>
      </c>
      <c r="B4149" s="27" t="s">
        <v>1265</v>
      </c>
      <c r="C4149" s="27" t="s">
        <v>5437</v>
      </c>
    </row>
    <row r="4150">
      <c r="A4150" s="27" t="s">
        <v>2741</v>
      </c>
      <c r="B4150" s="27" t="s">
        <v>1255</v>
      </c>
      <c r="C4150" s="27" t="s">
        <v>2378</v>
      </c>
    </row>
    <row r="4151">
      <c r="A4151" s="27" t="s">
        <v>2714</v>
      </c>
      <c r="B4151" s="27" t="s">
        <v>1253</v>
      </c>
      <c r="C4151" s="27" t="s">
        <v>5438</v>
      </c>
    </row>
    <row r="4152">
      <c r="A4152" s="27" t="s">
        <v>5439</v>
      </c>
      <c r="B4152" s="27" t="s">
        <v>1183</v>
      </c>
      <c r="C4152" s="27" t="s">
        <v>2465</v>
      </c>
    </row>
    <row r="4153">
      <c r="A4153" s="27" t="s">
        <v>2715</v>
      </c>
      <c r="B4153" s="27" t="s">
        <v>1185</v>
      </c>
      <c r="C4153" s="27" t="s">
        <v>2363</v>
      </c>
    </row>
    <row r="4154">
      <c r="A4154" s="27" t="s">
        <v>5440</v>
      </c>
      <c r="B4154" s="27" t="s">
        <v>1187</v>
      </c>
      <c r="C4154" s="27" t="s">
        <v>4657</v>
      </c>
    </row>
    <row r="4155">
      <c r="A4155" s="27" t="s">
        <v>5441</v>
      </c>
      <c r="B4155" s="27" t="s">
        <v>1401</v>
      </c>
      <c r="C4155" s="27" t="s">
        <v>2447</v>
      </c>
    </row>
    <row r="4156">
      <c r="A4156" s="27" t="s">
        <v>2742</v>
      </c>
      <c r="B4156" s="27" t="s">
        <v>1403</v>
      </c>
      <c r="C4156" s="27" t="s">
        <v>4695</v>
      </c>
    </row>
    <row r="4157">
      <c r="A4157" s="27" t="s">
        <v>2716</v>
      </c>
      <c r="B4157" s="27" t="s">
        <v>1405</v>
      </c>
      <c r="C4157" s="27" t="s">
        <v>4169</v>
      </c>
    </row>
    <row r="4158">
      <c r="A4158" s="27" t="s">
        <v>2717</v>
      </c>
      <c r="B4158" s="27" t="s">
        <v>1189</v>
      </c>
      <c r="C4158" s="27" t="s">
        <v>5442</v>
      </c>
    </row>
    <row r="4159">
      <c r="A4159" s="27" t="s">
        <v>5443</v>
      </c>
      <c r="B4159" s="27" t="s">
        <v>1320</v>
      </c>
      <c r="C4159" s="27" t="s">
        <v>2365</v>
      </c>
    </row>
    <row r="4160">
      <c r="A4160" s="27" t="s">
        <v>5444</v>
      </c>
      <c r="B4160" s="27" t="s">
        <v>1322</v>
      </c>
      <c r="C4160" s="27" t="s">
        <v>5445</v>
      </c>
    </row>
    <row r="4161">
      <c r="A4161" s="27" t="s">
        <v>5446</v>
      </c>
      <c r="B4161" s="27" t="s">
        <v>1318</v>
      </c>
      <c r="C4161" s="27" t="s">
        <v>5447</v>
      </c>
    </row>
    <row r="4162">
      <c r="A4162" s="27" t="s">
        <v>2743</v>
      </c>
      <c r="B4162" s="27" t="s">
        <v>1412</v>
      </c>
      <c r="C4162" s="27" t="s">
        <v>5448</v>
      </c>
    </row>
    <row r="4163">
      <c r="A4163" s="27" t="s">
        <v>2744</v>
      </c>
      <c r="B4163" s="27" t="s">
        <v>1414</v>
      </c>
      <c r="C4163" s="27" t="s">
        <v>2384</v>
      </c>
    </row>
    <row r="4164">
      <c r="A4164" s="27" t="s">
        <v>2719</v>
      </c>
      <c r="B4164" s="27" t="s">
        <v>1410</v>
      </c>
      <c r="C4164" s="27" t="s">
        <v>2451</v>
      </c>
    </row>
    <row r="4165">
      <c r="A4165" s="27" t="s">
        <v>5449</v>
      </c>
      <c r="B4165" s="27" t="s">
        <v>1274</v>
      </c>
      <c r="C4165" s="27" t="s">
        <v>5450</v>
      </c>
    </row>
    <row r="4166">
      <c r="A4166" s="27" t="s">
        <v>5451</v>
      </c>
      <c r="B4166" s="27" t="s">
        <v>1274</v>
      </c>
      <c r="C4166" s="27" t="s">
        <v>5452</v>
      </c>
    </row>
    <row r="4167">
      <c r="A4167" s="27" t="s">
        <v>5453</v>
      </c>
      <c r="B4167" s="27" t="s">
        <v>1279</v>
      </c>
      <c r="C4167" s="27" t="s">
        <v>5454</v>
      </c>
    </row>
    <row r="4168">
      <c r="A4168" s="27" t="s">
        <v>5455</v>
      </c>
      <c r="B4168" s="27" t="s">
        <v>1281</v>
      </c>
      <c r="C4168" s="27" t="s">
        <v>5456</v>
      </c>
    </row>
    <row r="4169">
      <c r="A4169" s="27" t="s">
        <v>3424</v>
      </c>
      <c r="B4169" s="27" t="s">
        <v>1277</v>
      </c>
      <c r="C4169" s="27" t="s">
        <v>5457</v>
      </c>
    </row>
    <row r="4170">
      <c r="A4170" s="27" t="s">
        <v>2720</v>
      </c>
      <c r="B4170" s="27" t="s">
        <v>1429</v>
      </c>
      <c r="C4170" s="27" t="s">
        <v>4660</v>
      </c>
    </row>
    <row r="4171">
      <c r="A4171" s="27" t="s">
        <v>2721</v>
      </c>
      <c r="B4171" s="27" t="s">
        <v>1431</v>
      </c>
      <c r="C4171" s="27" t="s">
        <v>5458</v>
      </c>
    </row>
    <row r="4172">
      <c r="A4172" s="27" t="s">
        <v>2722</v>
      </c>
      <c r="B4172" s="27" t="s">
        <v>1285</v>
      </c>
      <c r="C4172" s="27" t="s">
        <v>5459</v>
      </c>
    </row>
    <row r="4173">
      <c r="A4173" s="27" t="s">
        <v>2723</v>
      </c>
      <c r="B4173" s="27" t="s">
        <v>1423</v>
      </c>
      <c r="C4173" s="27" t="s">
        <v>4727</v>
      </c>
    </row>
    <row r="4174">
      <c r="A4174" s="27" t="s">
        <v>2724</v>
      </c>
      <c r="B4174" s="27" t="s">
        <v>1361</v>
      </c>
      <c r="C4174" s="27" t="s">
        <v>5460</v>
      </c>
    </row>
    <row r="4175">
      <c r="A4175" s="27" t="s">
        <v>2725</v>
      </c>
      <c r="B4175" s="27" t="s">
        <v>1363</v>
      </c>
      <c r="C4175" s="27" t="s">
        <v>4654</v>
      </c>
    </row>
    <row r="4176">
      <c r="A4176" s="27" t="s">
        <v>2726</v>
      </c>
      <c r="B4176" s="27" t="s">
        <v>1365</v>
      </c>
      <c r="C4176" s="27" t="s">
        <v>2547</v>
      </c>
    </row>
    <row r="4177">
      <c r="A4177" s="27" t="s">
        <v>3160</v>
      </c>
      <c r="B4177" s="27" t="s">
        <v>1367</v>
      </c>
      <c r="C4177" s="27" t="s">
        <v>2372</v>
      </c>
    </row>
    <row r="4178">
      <c r="A4178" s="27" t="s">
        <v>2727</v>
      </c>
      <c r="B4178" s="27" t="s">
        <v>2728</v>
      </c>
      <c r="C4178" s="27" t="s">
        <v>2451</v>
      </c>
    </row>
    <row r="4179">
      <c r="A4179" s="27" t="s">
        <v>3009</v>
      </c>
      <c r="B4179" s="27" t="s">
        <v>3010</v>
      </c>
      <c r="C4179" s="27" t="s">
        <v>2776</v>
      </c>
    </row>
    <row r="4180">
      <c r="A4180" s="27" t="s">
        <v>2729</v>
      </c>
      <c r="B4180" s="27" t="s">
        <v>1234</v>
      </c>
      <c r="C4180" s="27" t="s">
        <v>2462</v>
      </c>
    </row>
    <row r="4181">
      <c r="A4181" s="27" t="s">
        <v>3434</v>
      </c>
      <c r="B4181" s="27" t="s">
        <v>1238</v>
      </c>
      <c r="C4181" s="27" t="s">
        <v>5461</v>
      </c>
    </row>
    <row r="4182">
      <c r="A4182" s="27" t="s">
        <v>5462</v>
      </c>
      <c r="B4182" s="27" t="s">
        <v>5463</v>
      </c>
      <c r="C4182" s="27" t="s">
        <v>2359</v>
      </c>
    </row>
    <row r="4183">
      <c r="A4183" s="27" t="s">
        <v>5464</v>
      </c>
      <c r="B4183" s="27" t="s">
        <v>5465</v>
      </c>
      <c r="C4183" s="27" t="s">
        <v>2363</v>
      </c>
    </row>
    <row r="4184">
      <c r="A4184" s="27" t="s">
        <v>5466</v>
      </c>
      <c r="B4184" s="27" t="s">
        <v>5467</v>
      </c>
      <c r="C4184" s="27" t="s">
        <v>2363</v>
      </c>
    </row>
    <row r="4185">
      <c r="A4185" s="27" t="s">
        <v>5468</v>
      </c>
      <c r="B4185" s="27" t="s">
        <v>5469</v>
      </c>
      <c r="C4185" s="27" t="s">
        <v>2407</v>
      </c>
    </row>
    <row r="4186">
      <c r="A4186" s="27" t="s">
        <v>5470</v>
      </c>
      <c r="B4186" s="27" t="s">
        <v>5471</v>
      </c>
      <c r="C4186" s="27" t="s">
        <v>2359</v>
      </c>
    </row>
    <row r="4187">
      <c r="A4187" s="27" t="s">
        <v>5472</v>
      </c>
      <c r="B4187" s="27" t="s">
        <v>5473</v>
      </c>
      <c r="C4187" s="27" t="s">
        <v>2437</v>
      </c>
    </row>
    <row r="4188">
      <c r="A4188" s="27" t="s">
        <v>2730</v>
      </c>
      <c r="B4188" s="27" t="s">
        <v>2731</v>
      </c>
      <c r="C4188" s="27" t="s">
        <v>2409</v>
      </c>
    </row>
    <row r="4189">
      <c r="A4189" s="27" t="s">
        <v>5474</v>
      </c>
      <c r="B4189" s="27" t="s">
        <v>5475</v>
      </c>
      <c r="C4189" s="27" t="s">
        <v>2441</v>
      </c>
    </row>
    <row r="4190">
      <c r="A4190" s="27" t="s">
        <v>3636</v>
      </c>
      <c r="B4190" s="27" t="s">
        <v>3637</v>
      </c>
      <c r="C4190" s="27" t="s">
        <v>2363</v>
      </c>
    </row>
    <row r="4191">
      <c r="A4191" s="27" t="s">
        <v>5476</v>
      </c>
      <c r="B4191" s="27" t="s">
        <v>5477</v>
      </c>
      <c r="C4191" s="27" t="s">
        <v>2359</v>
      </c>
    </row>
    <row r="4192">
      <c r="A4192" s="27" t="s">
        <v>5478</v>
      </c>
      <c r="B4192" s="27" t="s">
        <v>5479</v>
      </c>
      <c r="C4192" s="27" t="s">
        <v>2437</v>
      </c>
    </row>
    <row r="4193">
      <c r="A4193" s="27" t="s">
        <v>5480</v>
      </c>
      <c r="B4193" s="27" t="s">
        <v>5481</v>
      </c>
      <c r="C4193" s="27" t="s">
        <v>2363</v>
      </c>
    </row>
    <row r="4194">
      <c r="A4194" s="27" t="s">
        <v>5482</v>
      </c>
      <c r="B4194" s="27" t="s">
        <v>5483</v>
      </c>
      <c r="C4194" s="27" t="s">
        <v>2363</v>
      </c>
    </row>
    <row r="4195">
      <c r="A4195" s="27" t="s">
        <v>5484</v>
      </c>
      <c r="B4195" s="27" t="s">
        <v>5485</v>
      </c>
      <c r="C4195" s="27" t="s">
        <v>2363</v>
      </c>
    </row>
    <row r="4196">
      <c r="A4196" s="27" t="s">
        <v>5486</v>
      </c>
      <c r="B4196" s="27" t="s">
        <v>5487</v>
      </c>
      <c r="C4196" s="27" t="s">
        <v>2363</v>
      </c>
    </row>
    <row r="4197">
      <c r="A4197" s="27" t="s">
        <v>5488</v>
      </c>
      <c r="B4197" s="27" t="s">
        <v>5489</v>
      </c>
      <c r="C4197" s="27" t="s">
        <v>2437</v>
      </c>
    </row>
    <row r="4198">
      <c r="A4198" s="27" t="s">
        <v>5490</v>
      </c>
      <c r="B4198" s="27" t="s">
        <v>5491</v>
      </c>
      <c r="C4198" s="27" t="s">
        <v>2363</v>
      </c>
    </row>
    <row r="4199">
      <c r="A4199" s="27" t="s">
        <v>5492</v>
      </c>
      <c r="B4199" s="27" t="s">
        <v>5493</v>
      </c>
      <c r="C4199" s="27" t="s">
        <v>2437</v>
      </c>
    </row>
    <row r="4200">
      <c r="A4200" s="27" t="s">
        <v>5494</v>
      </c>
      <c r="B4200" s="27" t="s">
        <v>5495</v>
      </c>
      <c r="C4200" s="27" t="s">
        <v>2363</v>
      </c>
    </row>
    <row r="4201">
      <c r="A4201" s="27" t="s">
        <v>5496</v>
      </c>
      <c r="B4201" s="27" t="s">
        <v>5497</v>
      </c>
      <c r="C4201" s="27" t="s">
        <v>2359</v>
      </c>
    </row>
    <row r="4202">
      <c r="A4202" s="27" t="s">
        <v>5498</v>
      </c>
      <c r="B4202" s="27" t="s">
        <v>5499</v>
      </c>
      <c r="C4202" s="27" t="s">
        <v>2441</v>
      </c>
    </row>
    <row r="4203">
      <c r="A4203" s="27" t="s">
        <v>5500</v>
      </c>
      <c r="B4203" s="27" t="s">
        <v>5501</v>
      </c>
      <c r="C4203" s="27" t="s">
        <v>2363</v>
      </c>
    </row>
    <row r="4204">
      <c r="A4204" s="27" t="s">
        <v>5502</v>
      </c>
      <c r="B4204" s="27" t="s">
        <v>5503</v>
      </c>
      <c r="C4204" s="27" t="s">
        <v>2359</v>
      </c>
    </row>
    <row r="4205">
      <c r="A4205" s="27" t="s">
        <v>5504</v>
      </c>
      <c r="B4205" s="27" t="s">
        <v>5505</v>
      </c>
      <c r="C4205" s="27" t="s">
        <v>2363</v>
      </c>
    </row>
    <row r="4206">
      <c r="A4206" s="27" t="s">
        <v>5506</v>
      </c>
      <c r="B4206" s="27" t="s">
        <v>5507</v>
      </c>
      <c r="C4206" s="27" t="s">
        <v>2451</v>
      </c>
    </row>
    <row r="4207">
      <c r="A4207" s="27" t="s">
        <v>5508</v>
      </c>
      <c r="B4207" s="27" t="s">
        <v>5509</v>
      </c>
      <c r="C4207" s="27" t="s">
        <v>2363</v>
      </c>
    </row>
    <row r="4208">
      <c r="A4208" s="27" t="s">
        <v>3427</v>
      </c>
      <c r="B4208" s="27" t="s">
        <v>3428</v>
      </c>
      <c r="C4208" s="27" t="s">
        <v>2437</v>
      </c>
    </row>
    <row r="4209">
      <c r="A4209" s="27" t="s">
        <v>5510</v>
      </c>
      <c r="B4209" s="27" t="s">
        <v>5511</v>
      </c>
      <c r="C4209" s="27" t="s">
        <v>2363</v>
      </c>
    </row>
    <row r="4210">
      <c r="A4210" s="27" t="s">
        <v>2732</v>
      </c>
      <c r="B4210" s="27" t="s">
        <v>2733</v>
      </c>
      <c r="C4210" s="27" t="s">
        <v>2361</v>
      </c>
    </row>
    <row r="4211">
      <c r="A4211" s="27" t="s">
        <v>5512</v>
      </c>
      <c r="B4211" s="27" t="s">
        <v>5513</v>
      </c>
      <c r="C4211" s="27" t="s">
        <v>2359</v>
      </c>
    </row>
    <row r="4212">
      <c r="A4212" s="27" t="s">
        <v>5514</v>
      </c>
      <c r="B4212" s="27" t="s">
        <v>5515</v>
      </c>
      <c r="C4212" s="27" t="s">
        <v>5516</v>
      </c>
    </row>
    <row r="4213">
      <c r="A4213" s="27" t="s">
        <v>5517</v>
      </c>
      <c r="B4213" s="27" t="s">
        <v>5518</v>
      </c>
      <c r="C4213" s="27" t="s">
        <v>2437</v>
      </c>
    </row>
    <row r="4214">
      <c r="A4214" s="27" t="s">
        <v>5519</v>
      </c>
      <c r="B4214" s="27" t="s">
        <v>5520</v>
      </c>
      <c r="C4214" s="27" t="s">
        <v>2394</v>
      </c>
    </row>
    <row r="4215">
      <c r="A4215" s="27" t="s">
        <v>5521</v>
      </c>
      <c r="B4215" s="27" t="s">
        <v>5522</v>
      </c>
      <c r="C4215" s="27" t="s">
        <v>2363</v>
      </c>
    </row>
    <row r="4216">
      <c r="A4216" s="27" t="s">
        <v>5523</v>
      </c>
      <c r="B4216" s="27" t="s">
        <v>5524</v>
      </c>
      <c r="C4216" s="27" t="s">
        <v>2363</v>
      </c>
    </row>
    <row r="4217">
      <c r="A4217" s="27" t="s">
        <v>5525</v>
      </c>
      <c r="B4217" s="27" t="s">
        <v>5526</v>
      </c>
      <c r="C4217" s="27" t="s">
        <v>2437</v>
      </c>
    </row>
    <row r="4218">
      <c r="A4218" s="27" t="s">
        <v>5527</v>
      </c>
      <c r="B4218" s="27" t="s">
        <v>5528</v>
      </c>
      <c r="C4218" s="27" t="s">
        <v>2451</v>
      </c>
    </row>
    <row r="4219">
      <c r="A4219" s="27" t="s">
        <v>5529</v>
      </c>
      <c r="B4219" s="27" t="s">
        <v>5530</v>
      </c>
      <c r="C4219" s="27" t="s">
        <v>2437</v>
      </c>
    </row>
    <row r="4220">
      <c r="A4220" s="27" t="s">
        <v>5531</v>
      </c>
      <c r="B4220" s="27" t="s">
        <v>5532</v>
      </c>
      <c r="C4220" s="27" t="s">
        <v>2363</v>
      </c>
    </row>
    <row r="4221">
      <c r="A4221" s="27" t="s">
        <v>5533</v>
      </c>
      <c r="B4221" s="27" t="s">
        <v>5534</v>
      </c>
      <c r="C4221" s="27" t="s">
        <v>2363</v>
      </c>
    </row>
    <row r="4222">
      <c r="A4222" s="27" t="s">
        <v>5535</v>
      </c>
      <c r="B4222" s="27" t="s">
        <v>1473</v>
      </c>
      <c r="C4222" s="27" t="s">
        <v>2557</v>
      </c>
    </row>
    <row r="4223">
      <c r="A4223" s="27" t="s">
        <v>5536</v>
      </c>
      <c r="B4223" s="27" t="s">
        <v>1444</v>
      </c>
      <c r="C4223" s="27" t="s">
        <v>3964</v>
      </c>
    </row>
    <row r="4224">
      <c r="A4224" s="27" t="s">
        <v>5537</v>
      </c>
      <c r="B4224" s="27" t="s">
        <v>5538</v>
      </c>
      <c r="C4224" s="27" t="s">
        <v>2359</v>
      </c>
    </row>
    <row r="4225">
      <c r="A4225" s="27" t="s">
        <v>5539</v>
      </c>
      <c r="B4225" s="27" t="s">
        <v>5540</v>
      </c>
      <c r="C4225" s="27" t="s">
        <v>2451</v>
      </c>
    </row>
    <row r="4226">
      <c r="A4226" s="27" t="s">
        <v>5541</v>
      </c>
      <c r="B4226" s="27" t="s">
        <v>5542</v>
      </c>
      <c r="C4226" s="27" t="s">
        <v>2363</v>
      </c>
    </row>
    <row r="4227">
      <c r="A4227" s="27" t="s">
        <v>5543</v>
      </c>
      <c r="B4227" s="27" t="s">
        <v>5544</v>
      </c>
      <c r="C4227" s="27" t="s">
        <v>2363</v>
      </c>
    </row>
    <row r="4228">
      <c r="A4228" s="27" t="s">
        <v>5545</v>
      </c>
      <c r="B4228" s="27" t="s">
        <v>5546</v>
      </c>
      <c r="C4228" s="27" t="s">
        <v>2363</v>
      </c>
    </row>
    <row r="4229">
      <c r="A4229" s="27" t="s">
        <v>5547</v>
      </c>
      <c r="B4229" s="27" t="s">
        <v>5548</v>
      </c>
      <c r="C4229" s="27" t="s">
        <v>2451</v>
      </c>
    </row>
    <row r="4230">
      <c r="A4230" s="27" t="s">
        <v>5549</v>
      </c>
      <c r="B4230" s="27" t="s">
        <v>5550</v>
      </c>
      <c r="C4230" s="27" t="s">
        <v>2363</v>
      </c>
    </row>
    <row r="4231">
      <c r="A4231" s="27" t="s">
        <v>5551</v>
      </c>
      <c r="B4231" s="27" t="s">
        <v>5552</v>
      </c>
      <c r="C4231" s="27" t="s">
        <v>2359</v>
      </c>
    </row>
    <row r="4232">
      <c r="A4232" s="27" t="s">
        <v>5553</v>
      </c>
      <c r="B4232" s="27" t="s">
        <v>5554</v>
      </c>
      <c r="C4232" s="27" t="s">
        <v>2363</v>
      </c>
    </row>
    <row r="4233">
      <c r="A4233" s="27" t="s">
        <v>5555</v>
      </c>
      <c r="B4233" s="27" t="s">
        <v>5556</v>
      </c>
      <c r="C4233" s="27" t="s">
        <v>2437</v>
      </c>
    </row>
    <row r="4234">
      <c r="A4234" s="27" t="s">
        <v>5557</v>
      </c>
      <c r="B4234" s="27" t="s">
        <v>5558</v>
      </c>
      <c r="C4234" s="27" t="s">
        <v>2361</v>
      </c>
    </row>
    <row r="4235">
      <c r="A4235" s="27" t="s">
        <v>5559</v>
      </c>
      <c r="B4235" s="27" t="s">
        <v>5560</v>
      </c>
      <c r="C4235" s="27" t="s">
        <v>2437</v>
      </c>
    </row>
    <row r="4236">
      <c r="A4236" s="27" t="s">
        <v>5561</v>
      </c>
      <c r="B4236" s="27" t="s">
        <v>5562</v>
      </c>
      <c r="C4236" s="27" t="s">
        <v>2437</v>
      </c>
    </row>
    <row r="4237">
      <c r="A4237" s="27" t="s">
        <v>5563</v>
      </c>
      <c r="B4237" s="27" t="s">
        <v>2735</v>
      </c>
      <c r="C4237" s="27" t="s">
        <v>2363</v>
      </c>
    </row>
    <row r="4238">
      <c r="A4238" s="27" t="s">
        <v>5564</v>
      </c>
      <c r="B4238" s="27" t="s">
        <v>2735</v>
      </c>
      <c r="C4238" s="27" t="s">
        <v>2359</v>
      </c>
    </row>
    <row r="4239">
      <c r="A4239" s="27" t="s">
        <v>5565</v>
      </c>
      <c r="B4239" s="27" t="s">
        <v>2735</v>
      </c>
      <c r="C4239" s="27" t="s">
        <v>2751</v>
      </c>
    </row>
    <row r="4240">
      <c r="A4240" s="27" t="s">
        <v>3249</v>
      </c>
      <c r="B4240" s="27">
        <v>1.542823095263E12</v>
      </c>
      <c r="C4240" s="27" t="s">
        <v>2359</v>
      </c>
    </row>
    <row r="4241">
      <c r="A4241" s="27" t="s">
        <v>2366</v>
      </c>
      <c r="B4241" s="27">
        <v>1.564150661249E12</v>
      </c>
      <c r="C4241" s="27" t="s">
        <v>2359</v>
      </c>
    </row>
    <row r="4242">
      <c r="A4242" s="27" t="s">
        <v>2369</v>
      </c>
      <c r="B4242" s="27">
        <v>1.566849947902E12</v>
      </c>
      <c r="C4242" s="27" t="s">
        <v>2359</v>
      </c>
    </row>
    <row r="4243">
      <c r="A4243" s="27" t="s">
        <v>2374</v>
      </c>
      <c r="B4243" s="27">
        <v>1.59708649984E12</v>
      </c>
      <c r="C4243" s="27" t="s">
        <v>2359</v>
      </c>
    </row>
    <row r="4244">
      <c r="A4244" s="27" t="s">
        <v>2375</v>
      </c>
      <c r="B4244" s="27">
        <v>1.597098592591E12</v>
      </c>
      <c r="C4244" s="27" t="s">
        <v>2359</v>
      </c>
    </row>
    <row r="4245">
      <c r="A4245" s="27" t="s">
        <v>2381</v>
      </c>
      <c r="B4245" s="27">
        <v>1.623703690011E12</v>
      </c>
      <c r="C4245" s="27" t="s">
        <v>2363</v>
      </c>
    </row>
    <row r="4246">
      <c r="A4246" s="27" t="s">
        <v>2383</v>
      </c>
      <c r="B4246" s="27">
        <v>1.623703728452E12</v>
      </c>
      <c r="C4246" s="27" t="s">
        <v>2359</v>
      </c>
    </row>
    <row r="4247">
      <c r="A4247" s="27" t="s">
        <v>2385</v>
      </c>
      <c r="B4247" s="27">
        <v>1.623703861303E12</v>
      </c>
      <c r="C4247" s="27" t="s">
        <v>2359</v>
      </c>
    </row>
    <row r="4248">
      <c r="A4248" s="27" t="s">
        <v>2757</v>
      </c>
      <c r="B4248" s="27">
        <v>1.623703942966E12</v>
      </c>
      <c r="C4248" s="27" t="s">
        <v>2363</v>
      </c>
    </row>
    <row r="4249">
      <c r="A4249" s="27" t="s">
        <v>2389</v>
      </c>
      <c r="B4249" s="27">
        <v>1.627418180602E12</v>
      </c>
      <c r="C4249" s="27" t="s">
        <v>2359</v>
      </c>
    </row>
    <row r="4250">
      <c r="A4250" s="27" t="s">
        <v>3047</v>
      </c>
      <c r="B4250" s="27">
        <v>1.627424867043E12</v>
      </c>
      <c r="C4250" s="27" t="s">
        <v>2359</v>
      </c>
    </row>
    <row r="4251">
      <c r="A4251" s="27" t="s">
        <v>2761</v>
      </c>
      <c r="B4251" s="27">
        <v>1.629726091782E12</v>
      </c>
      <c r="C4251" s="27" t="s">
        <v>2359</v>
      </c>
    </row>
    <row r="4252">
      <c r="A4252" s="27" t="s">
        <v>2767</v>
      </c>
      <c r="B4252" s="27">
        <v>1.639085706913E12</v>
      </c>
      <c r="C4252" s="27" t="s">
        <v>2359</v>
      </c>
    </row>
    <row r="4253">
      <c r="A4253" s="27" t="s">
        <v>3254</v>
      </c>
      <c r="B4253" s="27">
        <v>1.639085727598E12</v>
      </c>
      <c r="C4253" s="27" t="s">
        <v>2359</v>
      </c>
    </row>
    <row r="4254">
      <c r="A4254" s="27" t="s">
        <v>2769</v>
      </c>
      <c r="B4254" s="27">
        <v>1.639085755244E12</v>
      </c>
      <c r="C4254" s="27" t="s">
        <v>2359</v>
      </c>
    </row>
    <row r="4255">
      <c r="A4255" s="27" t="s">
        <v>3082</v>
      </c>
      <c r="B4255" s="27">
        <v>1.63908577239E12</v>
      </c>
      <c r="C4255" s="27" t="s">
        <v>2359</v>
      </c>
    </row>
    <row r="4256">
      <c r="A4256" s="27" t="s">
        <v>3050</v>
      </c>
      <c r="B4256" s="27">
        <v>1.639085780345E12</v>
      </c>
      <c r="C4256" s="27" t="s">
        <v>2359</v>
      </c>
    </row>
    <row r="4257">
      <c r="A4257" s="27" t="s">
        <v>3051</v>
      </c>
      <c r="B4257" s="27">
        <v>1.639085790351E12</v>
      </c>
      <c r="C4257" s="27" t="s">
        <v>2363</v>
      </c>
    </row>
    <row r="4258">
      <c r="A4258" s="27" t="s">
        <v>3052</v>
      </c>
      <c r="B4258" s="27">
        <v>1.639085799549E12</v>
      </c>
      <c r="C4258" s="27" t="s">
        <v>2359</v>
      </c>
    </row>
    <row r="4259">
      <c r="A4259" s="27" t="s">
        <v>2400</v>
      </c>
      <c r="B4259" s="27">
        <v>1.639085807876E12</v>
      </c>
      <c r="C4259" s="27" t="s">
        <v>2363</v>
      </c>
    </row>
    <row r="4260">
      <c r="A4260" s="27" t="s">
        <v>2770</v>
      </c>
      <c r="B4260" s="27">
        <v>1.640091153797E12</v>
      </c>
      <c r="C4260" s="27" t="s">
        <v>2359</v>
      </c>
    </row>
    <row r="4261">
      <c r="A4261" s="27" t="s">
        <v>3055</v>
      </c>
      <c r="B4261" s="27">
        <v>1.652824769553E12</v>
      </c>
      <c r="C4261" s="27" t="s">
        <v>2359</v>
      </c>
    </row>
    <row r="4262">
      <c r="A4262" s="27" t="s">
        <v>3255</v>
      </c>
      <c r="B4262" s="27">
        <v>1.652824782363E12</v>
      </c>
      <c r="C4262" s="27" t="s">
        <v>2359</v>
      </c>
    </row>
    <row r="4263">
      <c r="A4263" s="27" t="s">
        <v>2773</v>
      </c>
      <c r="B4263" s="27">
        <v>1.652824796337E12</v>
      </c>
      <c r="C4263" s="27" t="s">
        <v>2359</v>
      </c>
    </row>
    <row r="4264">
      <c r="A4264" s="27" t="s">
        <v>3056</v>
      </c>
      <c r="B4264" s="27">
        <v>1.652824902758E12</v>
      </c>
      <c r="C4264" s="27" t="s">
        <v>2359</v>
      </c>
    </row>
    <row r="4265">
      <c r="A4265" s="27" t="s">
        <v>3057</v>
      </c>
      <c r="B4265" s="27">
        <v>1.652824924113E12</v>
      </c>
      <c r="C4265" s="27" t="s">
        <v>2363</v>
      </c>
    </row>
    <row r="4266">
      <c r="A4266" s="27" t="s">
        <v>2775</v>
      </c>
      <c r="B4266" s="27">
        <v>1.652824957424E12</v>
      </c>
      <c r="C4266" s="27" t="s">
        <v>2359</v>
      </c>
    </row>
    <row r="4267">
      <c r="A4267" s="27" t="s">
        <v>2736</v>
      </c>
      <c r="B4267" s="27">
        <v>1.652825295706E12</v>
      </c>
      <c r="C4267" s="27" t="s">
        <v>2359</v>
      </c>
    </row>
    <row r="4268">
      <c r="A4268" s="27" t="s">
        <v>2415</v>
      </c>
      <c r="B4268" s="27">
        <v>1.654207295633E12</v>
      </c>
      <c r="C4268" s="27" t="s">
        <v>2359</v>
      </c>
    </row>
    <row r="4269">
      <c r="A4269" s="27" t="s">
        <v>2778</v>
      </c>
      <c r="B4269" s="27">
        <v>1.65420774834E12</v>
      </c>
      <c r="C4269" s="27" t="s">
        <v>2359</v>
      </c>
    </row>
    <row r="4270">
      <c r="A4270" s="27" t="s">
        <v>2779</v>
      </c>
      <c r="B4270" s="27">
        <v>1.656603804695E12</v>
      </c>
      <c r="C4270" s="27" t="s">
        <v>2359</v>
      </c>
    </row>
    <row r="4271">
      <c r="A4271" s="27" t="s">
        <v>3058</v>
      </c>
      <c r="B4271" s="27">
        <v>1.656603823688E12</v>
      </c>
      <c r="C4271" s="27" t="s">
        <v>2359</v>
      </c>
    </row>
    <row r="4272">
      <c r="A4272" s="27" t="s">
        <v>2788</v>
      </c>
      <c r="B4272" s="27">
        <v>1.659991481176E12</v>
      </c>
      <c r="C4272" s="27" t="s">
        <v>2359</v>
      </c>
    </row>
    <row r="4273">
      <c r="A4273" s="27" t="s">
        <v>2789</v>
      </c>
      <c r="B4273" s="27">
        <v>1.659992478281E12</v>
      </c>
      <c r="C4273" s="27" t="s">
        <v>2359</v>
      </c>
    </row>
    <row r="4274">
      <c r="A4274" s="27" t="s">
        <v>3059</v>
      </c>
      <c r="B4274" s="27">
        <v>1.659992503614E12</v>
      </c>
      <c r="C4274" s="27" t="s">
        <v>2359</v>
      </c>
    </row>
    <row r="4275">
      <c r="A4275" s="27" t="s">
        <v>2429</v>
      </c>
      <c r="B4275" s="27">
        <v>1.66085796352E12</v>
      </c>
      <c r="C4275" s="27" t="s">
        <v>2359</v>
      </c>
    </row>
    <row r="4276">
      <c r="A4276" s="27" t="s">
        <v>2793</v>
      </c>
      <c r="B4276" s="27">
        <v>1.660858235219E12</v>
      </c>
      <c r="C4276" s="27" t="s">
        <v>2359</v>
      </c>
    </row>
    <row r="4277">
      <c r="A4277" s="27" t="s">
        <v>2438</v>
      </c>
      <c r="B4277" s="27">
        <v>1.6608587024E12</v>
      </c>
      <c r="C4277" s="27" t="s">
        <v>2359</v>
      </c>
    </row>
    <row r="4278">
      <c r="A4278" s="27" t="s">
        <v>3148</v>
      </c>
      <c r="B4278" s="27">
        <v>1.660859102915E12</v>
      </c>
      <c r="C4278" s="27" t="s">
        <v>2441</v>
      </c>
    </row>
    <row r="4279">
      <c r="A4279" s="27" t="s">
        <v>2449</v>
      </c>
      <c r="B4279" s="27">
        <v>1.661872956577E12</v>
      </c>
      <c r="C4279" s="27" t="s">
        <v>2359</v>
      </c>
    </row>
    <row r="4280">
      <c r="A4280" s="27" t="s">
        <v>3060</v>
      </c>
      <c r="B4280" s="27">
        <v>1.661873760641E12</v>
      </c>
      <c r="C4280" s="27" t="s">
        <v>2359</v>
      </c>
    </row>
    <row r="4281">
      <c r="A4281" s="27" t="s">
        <v>2798</v>
      </c>
      <c r="B4281" s="27">
        <v>1.66187377951E12</v>
      </c>
      <c r="C4281" s="27" t="s">
        <v>2359</v>
      </c>
    </row>
    <row r="4282">
      <c r="A4282" s="27" t="s">
        <v>2450</v>
      </c>
      <c r="B4282" s="27">
        <v>1.661873799978E12</v>
      </c>
      <c r="C4282" s="27" t="s">
        <v>2359</v>
      </c>
    </row>
    <row r="4283">
      <c r="A4283" s="27" t="s">
        <v>3235</v>
      </c>
      <c r="B4283" s="27">
        <v>1.661873818029E12</v>
      </c>
      <c r="C4283" s="27" t="s">
        <v>2359</v>
      </c>
    </row>
    <row r="4284">
      <c r="A4284" s="27" t="s">
        <v>3096</v>
      </c>
      <c r="B4284" s="27">
        <v>6.6436950085067E13</v>
      </c>
      <c r="C4284" s="27" t="s">
        <v>2359</v>
      </c>
    </row>
    <row r="4285">
      <c r="A4285" s="27" t="s">
        <v>3062</v>
      </c>
      <c r="B4285" s="27">
        <v>6.6436955223732E13</v>
      </c>
      <c r="C4285" s="27" t="s">
        <v>2363</v>
      </c>
    </row>
    <row r="4286">
      <c r="A4286" s="27" t="s">
        <v>2459</v>
      </c>
      <c r="B4286" s="27">
        <v>6.6800469437952E13</v>
      </c>
      <c r="C4286" s="27" t="s">
        <v>2363</v>
      </c>
    </row>
    <row r="4287">
      <c r="A4287" s="27" t="s">
        <v>2817</v>
      </c>
      <c r="B4287" s="27">
        <v>6.6800471275549E13</v>
      </c>
      <c r="C4287" s="27" t="s">
        <v>2363</v>
      </c>
    </row>
    <row r="4288">
      <c r="A4288" s="27" t="s">
        <v>2460</v>
      </c>
      <c r="B4288" s="27">
        <v>6.6800472805184E13</v>
      </c>
      <c r="C4288" s="27" t="s">
        <v>2363</v>
      </c>
    </row>
    <row r="4289">
      <c r="A4289" s="27" t="s">
        <v>2461</v>
      </c>
      <c r="B4289" s="27">
        <v>6.6800506435054E13</v>
      </c>
      <c r="C4289" s="27" t="s">
        <v>2359</v>
      </c>
    </row>
    <row r="4290">
      <c r="A4290" s="27" t="s">
        <v>2818</v>
      </c>
      <c r="B4290" s="27">
        <v>6.680050766593E13</v>
      </c>
      <c r="C4290" s="27" t="s">
        <v>2359</v>
      </c>
    </row>
    <row r="4291">
      <c r="A4291" s="27" t="s">
        <v>2463</v>
      </c>
      <c r="B4291" s="27">
        <v>6.6800509015029E13</v>
      </c>
      <c r="C4291" s="27" t="s">
        <v>2359</v>
      </c>
    </row>
    <row r="4292">
      <c r="A4292" s="27" t="s">
        <v>2819</v>
      </c>
      <c r="B4292" s="27">
        <v>6.6800510263382E13</v>
      </c>
      <c r="C4292" s="27" t="s">
        <v>2359</v>
      </c>
    </row>
    <row r="4293">
      <c r="A4293" s="27" t="s">
        <v>2820</v>
      </c>
      <c r="B4293" s="27">
        <v>6.7114505814137E13</v>
      </c>
      <c r="C4293" s="27" t="s">
        <v>2363</v>
      </c>
    </row>
    <row r="4294">
      <c r="A4294" s="27" t="s">
        <v>5566</v>
      </c>
      <c r="B4294" s="27">
        <v>6.7114507143511E13</v>
      </c>
      <c r="C4294" s="27" t="s">
        <v>2363</v>
      </c>
    </row>
    <row r="4295">
      <c r="A4295" s="27" t="s">
        <v>3283</v>
      </c>
      <c r="B4295" s="27">
        <v>6.7114508251225E13</v>
      </c>
      <c r="C4295" s="27" t="s">
        <v>2363</v>
      </c>
    </row>
    <row r="4296">
      <c r="A4296" s="27" t="s">
        <v>3284</v>
      </c>
      <c r="B4296" s="27">
        <v>6.7114509855998E13</v>
      </c>
      <c r="C4296" s="27" t="s">
        <v>2363</v>
      </c>
    </row>
    <row r="4297">
      <c r="A4297" s="27" t="s">
        <v>3063</v>
      </c>
      <c r="B4297" s="27">
        <v>6.7898303200803E13</v>
      </c>
      <c r="C4297" s="27" t="s">
        <v>2363</v>
      </c>
    </row>
    <row r="4298">
      <c r="A4298" s="27" t="s">
        <v>3064</v>
      </c>
      <c r="B4298" s="27">
        <v>6.7898307709665E13</v>
      </c>
      <c r="C4298" s="27" t="s">
        <v>2363</v>
      </c>
    </row>
    <row r="4299">
      <c r="A4299" s="27" t="s">
        <v>3065</v>
      </c>
      <c r="B4299" s="27">
        <v>6.7898461965813E13</v>
      </c>
      <c r="C4299" s="27" t="s">
        <v>2359</v>
      </c>
    </row>
    <row r="4300">
      <c r="A4300" s="27" t="s">
        <v>2825</v>
      </c>
      <c r="B4300" s="27">
        <v>6.7898465380537E13</v>
      </c>
      <c r="C4300" s="27" t="s">
        <v>2359</v>
      </c>
    </row>
    <row r="4301">
      <c r="A4301" s="27" t="s">
        <v>3067</v>
      </c>
      <c r="B4301" s="27">
        <v>6.7898466886403E13</v>
      </c>
      <c r="C4301" s="27" t="s">
        <v>2359</v>
      </c>
    </row>
    <row r="4302">
      <c r="A4302" s="27" t="s">
        <v>2827</v>
      </c>
      <c r="B4302" s="27">
        <v>6.7898499812968E13</v>
      </c>
      <c r="C4302" s="27" t="s">
        <v>2437</v>
      </c>
    </row>
    <row r="4303">
      <c r="A4303" s="27" t="s">
        <v>2466</v>
      </c>
      <c r="B4303" s="27">
        <v>6.793383184397E13</v>
      </c>
      <c r="C4303" s="27" t="s">
        <v>2359</v>
      </c>
    </row>
    <row r="4304">
      <c r="A4304" s="27" t="s">
        <v>2467</v>
      </c>
      <c r="B4304" s="27">
        <v>6.7933833934278E13</v>
      </c>
      <c r="C4304" s="27" t="s">
        <v>2359</v>
      </c>
    </row>
    <row r="4305">
      <c r="A4305" s="27" t="s">
        <v>2468</v>
      </c>
      <c r="B4305" s="27">
        <v>6.7933835121467E13</v>
      </c>
      <c r="C4305" s="27" t="s">
        <v>2359</v>
      </c>
    </row>
    <row r="4306">
      <c r="A4306" s="27" t="s">
        <v>2828</v>
      </c>
      <c r="B4306" s="27">
        <v>6.7933835988925E13</v>
      </c>
      <c r="C4306" s="27" t="s">
        <v>2359</v>
      </c>
    </row>
    <row r="4307">
      <c r="A4307" s="27" t="s">
        <v>2470</v>
      </c>
      <c r="B4307" s="27">
        <v>6.7933857637909E13</v>
      </c>
      <c r="C4307" s="27" t="s">
        <v>2359</v>
      </c>
    </row>
    <row r="4308">
      <c r="A4308" s="27" t="s">
        <v>3098</v>
      </c>
      <c r="B4308" s="27">
        <v>6.7933861722733E13</v>
      </c>
      <c r="C4308" s="27" t="s">
        <v>2359</v>
      </c>
    </row>
    <row r="4309">
      <c r="A4309" s="27" t="s">
        <v>2473</v>
      </c>
      <c r="B4309" s="27">
        <v>6.7933863068841E13</v>
      </c>
      <c r="C4309" s="27" t="s">
        <v>2359</v>
      </c>
    </row>
    <row r="4310">
      <c r="A4310" s="27" t="s">
        <v>3099</v>
      </c>
      <c r="B4310" s="27">
        <v>6.7951423489593E13</v>
      </c>
      <c r="C4310" s="27" t="s">
        <v>2359</v>
      </c>
    </row>
    <row r="4311">
      <c r="A4311" s="27" t="s">
        <v>2829</v>
      </c>
      <c r="B4311" s="27">
        <v>6.7951425161311E13</v>
      </c>
      <c r="C4311" s="27" t="s">
        <v>2359</v>
      </c>
    </row>
    <row r="4312">
      <c r="A4312" s="27" t="s">
        <v>5567</v>
      </c>
      <c r="B4312" s="27">
        <v>6.8113450489367E13</v>
      </c>
      <c r="C4312" s="27" t="s">
        <v>2363</v>
      </c>
    </row>
    <row r="4313">
      <c r="A4313" s="27" t="s">
        <v>3285</v>
      </c>
      <c r="B4313" s="27">
        <v>6.8142275737629E13</v>
      </c>
      <c r="C4313" s="27" t="s">
        <v>2359</v>
      </c>
    </row>
    <row r="4314">
      <c r="A4314" s="27" t="s">
        <v>2832</v>
      </c>
      <c r="B4314" s="27">
        <v>6.8313284342161E13</v>
      </c>
      <c r="C4314" s="27" t="s">
        <v>2359</v>
      </c>
    </row>
    <row r="4315">
      <c r="A4315" s="27" t="s">
        <v>4172</v>
      </c>
      <c r="B4315" s="27">
        <v>6.832138549862E13</v>
      </c>
      <c r="C4315" s="27" t="s">
        <v>2359</v>
      </c>
    </row>
    <row r="4316">
      <c r="A4316" s="27" t="s">
        <v>3438</v>
      </c>
      <c r="B4316" s="27">
        <v>6.8432930518995E13</v>
      </c>
      <c r="C4316" s="27" t="s">
        <v>2359</v>
      </c>
    </row>
    <row r="4317">
      <c r="A4317" s="27" t="s">
        <v>2475</v>
      </c>
      <c r="B4317" s="27">
        <v>6.8540051413139E13</v>
      </c>
      <c r="C4317" s="27" t="s">
        <v>2359</v>
      </c>
    </row>
    <row r="4318">
      <c r="A4318" s="27" t="s">
        <v>2476</v>
      </c>
      <c r="B4318" s="27">
        <v>6.8658866289861E13</v>
      </c>
      <c r="C4318" s="27" t="s">
        <v>2359</v>
      </c>
    </row>
    <row r="4319">
      <c r="A4319" s="27" t="s">
        <v>5568</v>
      </c>
      <c r="B4319" s="27">
        <v>6.902221386182E12</v>
      </c>
      <c r="C4319" s="27" t="s">
        <v>2359</v>
      </c>
    </row>
    <row r="4320">
      <c r="A4320" s="27" t="s">
        <v>5569</v>
      </c>
      <c r="B4320" s="27">
        <v>6.902221386359E12</v>
      </c>
      <c r="C4320" s="27" t="s">
        <v>2359</v>
      </c>
    </row>
    <row r="4321">
      <c r="A4321" s="27" t="s">
        <v>5570</v>
      </c>
      <c r="B4321" s="27">
        <v>6.902221386397E12</v>
      </c>
      <c r="C4321" s="27" t="s">
        <v>2359</v>
      </c>
    </row>
    <row r="4322">
      <c r="A4322" s="27" t="s">
        <v>2922</v>
      </c>
      <c r="B4322" s="27" t="s">
        <v>767</v>
      </c>
      <c r="C4322" s="27" t="s">
        <v>2359</v>
      </c>
    </row>
    <row r="4323">
      <c r="A4323" s="27" t="s">
        <v>2923</v>
      </c>
      <c r="B4323" s="27" t="s">
        <v>769</v>
      </c>
      <c r="C4323" s="27" t="s">
        <v>2359</v>
      </c>
    </row>
    <row r="4324">
      <c r="A4324" s="27" t="s">
        <v>2924</v>
      </c>
      <c r="B4324" s="27" t="s">
        <v>771</v>
      </c>
      <c r="C4324" s="27" t="s">
        <v>2359</v>
      </c>
    </row>
    <row r="4325">
      <c r="A4325" s="27" t="s">
        <v>2553</v>
      </c>
      <c r="B4325" s="27" t="s">
        <v>357</v>
      </c>
      <c r="C4325" s="27" t="s">
        <v>2359</v>
      </c>
    </row>
    <row r="4326">
      <c r="A4326" s="27" t="s">
        <v>2555</v>
      </c>
      <c r="B4326" s="27" t="s">
        <v>359</v>
      </c>
      <c r="C4326" s="27" t="s">
        <v>2359</v>
      </c>
    </row>
    <row r="4327">
      <c r="A4327" s="27" t="s">
        <v>2558</v>
      </c>
      <c r="B4327" s="27" t="s">
        <v>361</v>
      </c>
      <c r="C4327" s="27" t="s">
        <v>2359</v>
      </c>
    </row>
    <row r="4328">
      <c r="A4328" s="27" t="s">
        <v>2573</v>
      </c>
      <c r="B4328" s="27" t="s">
        <v>572</v>
      </c>
      <c r="C4328" s="27" t="s">
        <v>2359</v>
      </c>
    </row>
    <row r="4329">
      <c r="A4329" s="27" t="s">
        <v>2574</v>
      </c>
      <c r="B4329" s="27" t="s">
        <v>568</v>
      </c>
      <c r="C4329" s="27" t="s">
        <v>2359</v>
      </c>
    </row>
    <row r="4330">
      <c r="A4330" s="27" t="s">
        <v>2575</v>
      </c>
      <c r="B4330" s="27" t="s">
        <v>570</v>
      </c>
      <c r="C4330" s="27" t="s">
        <v>2359</v>
      </c>
    </row>
    <row r="4331">
      <c r="A4331" s="27" t="s">
        <v>2580</v>
      </c>
      <c r="B4331" s="27" t="s">
        <v>490</v>
      </c>
      <c r="C4331" s="27" t="s">
        <v>2359</v>
      </c>
    </row>
    <row r="4332">
      <c r="A4332" s="27" t="s">
        <v>3206</v>
      </c>
      <c r="B4332" s="27" t="s">
        <v>500</v>
      </c>
      <c r="C4332" s="27" t="s">
        <v>2359</v>
      </c>
    </row>
    <row r="4333">
      <c r="A4333" s="27" t="s">
        <v>2582</v>
      </c>
      <c r="B4333" s="27" t="s">
        <v>504</v>
      </c>
      <c r="C4333" s="27" t="s">
        <v>2359</v>
      </c>
    </row>
    <row r="4334">
      <c r="A4334" s="27" t="s">
        <v>5571</v>
      </c>
      <c r="B4334" s="27" t="s">
        <v>196</v>
      </c>
      <c r="C4334" s="27" t="s">
        <v>2359</v>
      </c>
    </row>
    <row r="4335">
      <c r="A4335" s="27" t="s">
        <v>5572</v>
      </c>
      <c r="B4335" s="27" t="s">
        <v>5573</v>
      </c>
      <c r="C4335" s="27" t="s">
        <v>2437</v>
      </c>
    </row>
    <row r="4336">
      <c r="A4336" s="27" t="s">
        <v>5574</v>
      </c>
      <c r="B4336" s="27" t="s">
        <v>5575</v>
      </c>
      <c r="C4336" s="27" t="s">
        <v>2359</v>
      </c>
    </row>
    <row r="4337">
      <c r="A4337" s="27" t="s">
        <v>5576</v>
      </c>
      <c r="B4337" s="27" t="s">
        <v>5577</v>
      </c>
      <c r="C4337" s="27" t="s">
        <v>2359</v>
      </c>
    </row>
    <row r="4338">
      <c r="A4338" s="27" t="s">
        <v>5578</v>
      </c>
      <c r="B4338" s="27" t="s">
        <v>5579</v>
      </c>
      <c r="C4338" s="27" t="s">
        <v>2441</v>
      </c>
    </row>
    <row r="4339">
      <c r="A4339" s="27" t="s">
        <v>5580</v>
      </c>
      <c r="B4339" s="27" t="s">
        <v>5581</v>
      </c>
      <c r="C4339" s="27" t="s">
        <v>2359</v>
      </c>
    </row>
    <row r="4340">
      <c r="A4340" s="27" t="s">
        <v>5582</v>
      </c>
      <c r="B4340" s="27" t="s">
        <v>5583</v>
      </c>
      <c r="C4340" s="27" t="s">
        <v>2359</v>
      </c>
    </row>
    <row r="4341">
      <c r="A4341" s="27" t="s">
        <v>5584</v>
      </c>
      <c r="B4341" s="27" t="s">
        <v>5585</v>
      </c>
      <c r="C4341" s="27" t="s">
        <v>2359</v>
      </c>
    </row>
    <row r="4342">
      <c r="A4342" s="27" t="s">
        <v>5434</v>
      </c>
      <c r="B4342" s="27" t="s">
        <v>1307</v>
      </c>
      <c r="C4342" s="27" t="s">
        <v>2359</v>
      </c>
    </row>
    <row r="4343">
      <c r="A4343" s="27" t="s">
        <v>5586</v>
      </c>
      <c r="B4343" s="27" t="s">
        <v>2735</v>
      </c>
      <c r="C4343" s="27" t="s">
        <v>5587</v>
      </c>
    </row>
    <row r="4344">
      <c r="A4344" s="27" t="s">
        <v>5588</v>
      </c>
      <c r="B4344" s="27" t="s">
        <v>5589</v>
      </c>
      <c r="C4344" s="27" t="s">
        <v>2359</v>
      </c>
    </row>
    <row r="4345">
      <c r="A4345" s="27" t="s">
        <v>3645</v>
      </c>
      <c r="B4345" s="27">
        <v>1.0000105087E10</v>
      </c>
      <c r="C4345" s="27" t="s">
        <v>2363</v>
      </c>
    </row>
    <row r="4346">
      <c r="A4346" s="27" t="s">
        <v>2358</v>
      </c>
      <c r="B4346" s="27">
        <v>1.000190502E9</v>
      </c>
      <c r="C4346" s="27" t="s">
        <v>2363</v>
      </c>
    </row>
    <row r="4347">
      <c r="A4347" s="27" t="s">
        <v>5590</v>
      </c>
      <c r="B4347" s="27">
        <v>1.0020020080107E13</v>
      </c>
      <c r="C4347" s="27" t="s">
        <v>2359</v>
      </c>
    </row>
    <row r="4348">
      <c r="A4348" s="27" t="s">
        <v>3693</v>
      </c>
      <c r="B4348" s="27">
        <v>1.0030030110102E13</v>
      </c>
      <c r="C4348" s="27" t="s">
        <v>2363</v>
      </c>
    </row>
    <row r="4349">
      <c r="A4349" s="27" t="s">
        <v>3241</v>
      </c>
      <c r="B4349" s="27">
        <v>1.0030030120102E13</v>
      </c>
      <c r="C4349" s="27" t="s">
        <v>2363</v>
      </c>
    </row>
    <row r="4350">
      <c r="A4350" s="27" t="s">
        <v>3694</v>
      </c>
      <c r="B4350" s="27">
        <v>1.0030050150102E13</v>
      </c>
      <c r="C4350" s="27" t="s">
        <v>2363</v>
      </c>
    </row>
    <row r="4351">
      <c r="A4351" s="27" t="s">
        <v>3695</v>
      </c>
      <c r="B4351" s="27">
        <v>1.0040010400101E13</v>
      </c>
      <c r="C4351" s="27" t="s">
        <v>2363</v>
      </c>
    </row>
    <row r="4352">
      <c r="A4352" s="27" t="s">
        <v>3451</v>
      </c>
      <c r="B4352" s="27">
        <v>1.0080050230002E13</v>
      </c>
      <c r="C4352" s="27" t="s">
        <v>2359</v>
      </c>
    </row>
    <row r="4353">
      <c r="A4353" s="27" t="s">
        <v>3729</v>
      </c>
      <c r="B4353" s="27">
        <v>1.0080050270007E13</v>
      </c>
      <c r="C4353" s="27" t="s">
        <v>2437</v>
      </c>
    </row>
    <row r="4354">
      <c r="A4354" s="27" t="s">
        <v>3733</v>
      </c>
      <c r="B4354" s="27">
        <v>1.0080100220103E13</v>
      </c>
      <c r="C4354" s="27" t="s">
        <v>2363</v>
      </c>
    </row>
    <row r="4355">
      <c r="A4355" s="27" t="s">
        <v>5591</v>
      </c>
      <c r="B4355" s="27">
        <v>1.0080100240107E13</v>
      </c>
      <c r="C4355" s="27" t="s">
        <v>2359</v>
      </c>
    </row>
    <row r="4356">
      <c r="A4356" s="27" t="s">
        <v>3243</v>
      </c>
      <c r="B4356" s="27">
        <v>1.0080140470002E13</v>
      </c>
      <c r="C4356" s="27" t="s">
        <v>2363</v>
      </c>
    </row>
    <row r="4357">
      <c r="A4357" s="27" t="s">
        <v>3739</v>
      </c>
      <c r="B4357" s="27">
        <v>1.0080151300002E13</v>
      </c>
      <c r="C4357" s="27" t="s">
        <v>2359</v>
      </c>
    </row>
    <row r="4358">
      <c r="A4358" s="27" t="s">
        <v>5592</v>
      </c>
      <c r="B4358" s="27">
        <v>1123001.0</v>
      </c>
      <c r="C4358" s="27" t="s">
        <v>2359</v>
      </c>
    </row>
    <row r="4359">
      <c r="A4359" s="27" t="s">
        <v>3019</v>
      </c>
      <c r="B4359" s="27">
        <v>1.479750635184E12</v>
      </c>
      <c r="C4359" s="27" t="s">
        <v>2359</v>
      </c>
    </row>
    <row r="4360">
      <c r="A4360" s="27" t="s">
        <v>3020</v>
      </c>
      <c r="B4360" s="27">
        <v>1.496183099853E12</v>
      </c>
      <c r="C4360" s="27" t="s">
        <v>2437</v>
      </c>
    </row>
    <row r="4361">
      <c r="A4361" s="27" t="s">
        <v>2362</v>
      </c>
      <c r="B4361" s="27">
        <v>1.52353664788E12</v>
      </c>
      <c r="C4361" s="27" t="s">
        <v>2359</v>
      </c>
    </row>
    <row r="4362">
      <c r="A4362" s="27" t="s">
        <v>3021</v>
      </c>
      <c r="B4362" s="27">
        <v>1.53788936885E12</v>
      </c>
      <c r="C4362" s="27" t="s">
        <v>2359</v>
      </c>
    </row>
    <row r="4363">
      <c r="A4363" s="27" t="s">
        <v>2748</v>
      </c>
      <c r="B4363" s="27">
        <v>1.538141129434E12</v>
      </c>
      <c r="C4363" s="27" t="s">
        <v>2437</v>
      </c>
    </row>
    <row r="4364">
      <c r="A4364" s="27" t="s">
        <v>3467</v>
      </c>
      <c r="B4364" s="27">
        <v>1.539703106378E12</v>
      </c>
      <c r="C4364" s="27" t="s">
        <v>2359</v>
      </c>
    </row>
    <row r="4365">
      <c r="A4365" s="27" t="s">
        <v>3249</v>
      </c>
      <c r="B4365" s="27">
        <v>1.542823095263E12</v>
      </c>
      <c r="C4365" s="27" t="s">
        <v>2359</v>
      </c>
    </row>
    <row r="4366">
      <c r="A4366" s="27" t="s">
        <v>2364</v>
      </c>
      <c r="B4366" s="27">
        <v>1.564150627423E12</v>
      </c>
      <c r="C4366" s="27" t="s">
        <v>2380</v>
      </c>
    </row>
    <row r="4367">
      <c r="A4367" s="27" t="s">
        <v>2366</v>
      </c>
      <c r="B4367" s="27">
        <v>1.564150661249E12</v>
      </c>
      <c r="C4367" s="27" t="s">
        <v>2595</v>
      </c>
    </row>
    <row r="4368">
      <c r="A4368" s="27" t="s">
        <v>2367</v>
      </c>
      <c r="B4368" s="27">
        <v>1.566335721736E12</v>
      </c>
      <c r="C4368" s="27" t="s">
        <v>2359</v>
      </c>
    </row>
    <row r="4369">
      <c r="A4369" s="27" t="s">
        <v>2369</v>
      </c>
      <c r="B4369" s="27">
        <v>1.566849947902E12</v>
      </c>
      <c r="C4369" s="27" t="s">
        <v>2359</v>
      </c>
    </row>
    <row r="4370">
      <c r="A4370" s="27" t="s">
        <v>3372</v>
      </c>
      <c r="B4370" s="27">
        <v>1.571055493973E12</v>
      </c>
      <c r="C4370" s="27" t="s">
        <v>2359</v>
      </c>
    </row>
    <row r="4371">
      <c r="A4371" s="27" t="s">
        <v>2371</v>
      </c>
      <c r="B4371" s="27">
        <v>1.571423280815E12</v>
      </c>
      <c r="C4371" s="27" t="s">
        <v>2451</v>
      </c>
    </row>
    <row r="4372">
      <c r="A4372" s="27" t="s">
        <v>3028</v>
      </c>
      <c r="B4372" s="27">
        <v>1.579014517754E12</v>
      </c>
      <c r="C4372" s="27" t="s">
        <v>2363</v>
      </c>
    </row>
    <row r="4373">
      <c r="A4373" s="27" t="s">
        <v>2373</v>
      </c>
      <c r="B4373" s="27">
        <v>1.592492799236E12</v>
      </c>
      <c r="C4373" s="27" t="s">
        <v>2409</v>
      </c>
    </row>
    <row r="4374">
      <c r="A4374" s="27" t="s">
        <v>2374</v>
      </c>
      <c r="B4374" s="27">
        <v>1.59708649984E12</v>
      </c>
      <c r="C4374" s="27" t="s">
        <v>2361</v>
      </c>
    </row>
    <row r="4375">
      <c r="A4375" s="27" t="s">
        <v>2375</v>
      </c>
      <c r="B4375" s="27">
        <v>1.597098592591E12</v>
      </c>
      <c r="C4375" s="27" t="s">
        <v>2409</v>
      </c>
    </row>
    <row r="4376">
      <c r="A4376" s="27" t="s">
        <v>2755</v>
      </c>
      <c r="B4376" s="27">
        <v>1.616009024556E12</v>
      </c>
      <c r="C4376" s="27" t="s">
        <v>2437</v>
      </c>
    </row>
    <row r="4377">
      <c r="A4377" s="27" t="s">
        <v>5593</v>
      </c>
      <c r="B4377" s="27">
        <v>16206.0</v>
      </c>
      <c r="C4377" s="27" t="s">
        <v>2359</v>
      </c>
    </row>
    <row r="4378">
      <c r="A4378" s="27" t="s">
        <v>2381</v>
      </c>
      <c r="B4378" s="27">
        <v>1.623703690011E12</v>
      </c>
      <c r="C4378" s="27" t="s">
        <v>2451</v>
      </c>
    </row>
    <row r="4379">
      <c r="A4379" s="27" t="s">
        <v>2383</v>
      </c>
      <c r="B4379" s="27">
        <v>1.623703728452E12</v>
      </c>
      <c r="C4379" s="27" t="s">
        <v>2363</v>
      </c>
    </row>
    <row r="4380">
      <c r="A4380" s="27" t="s">
        <v>2385</v>
      </c>
      <c r="B4380" s="27">
        <v>1.623703861303E12</v>
      </c>
      <c r="C4380" s="27" t="s">
        <v>2386</v>
      </c>
    </row>
    <row r="4381">
      <c r="A4381" s="27" t="s">
        <v>2387</v>
      </c>
      <c r="B4381" s="27">
        <v>1.62741684103E12</v>
      </c>
      <c r="C4381" s="27" t="s">
        <v>2451</v>
      </c>
    </row>
    <row r="4382">
      <c r="A4382" s="27" t="s">
        <v>2389</v>
      </c>
      <c r="B4382" s="27">
        <v>1.627418180602E12</v>
      </c>
      <c r="C4382" s="27" t="s">
        <v>2437</v>
      </c>
    </row>
    <row r="4383">
      <c r="A4383" s="27" t="s">
        <v>2391</v>
      </c>
      <c r="B4383" s="27">
        <v>1.627418212924E12</v>
      </c>
      <c r="C4383" s="27" t="s">
        <v>2437</v>
      </c>
    </row>
    <row r="4384">
      <c r="A4384" s="27" t="s">
        <v>3044</v>
      </c>
      <c r="B4384" s="27">
        <v>1.627418225537E12</v>
      </c>
      <c r="C4384" s="27" t="s">
        <v>2363</v>
      </c>
    </row>
    <row r="4385">
      <c r="A4385" s="27" t="s">
        <v>3046</v>
      </c>
      <c r="B4385" s="27">
        <v>1.627418329116E12</v>
      </c>
      <c r="C4385" s="27" t="s">
        <v>2437</v>
      </c>
    </row>
    <row r="4386">
      <c r="A4386" s="27" t="s">
        <v>3047</v>
      </c>
      <c r="B4386" s="27">
        <v>1.627424867043E12</v>
      </c>
      <c r="C4386" s="27" t="s">
        <v>2359</v>
      </c>
    </row>
    <row r="4387">
      <c r="A4387" s="27" t="s">
        <v>2393</v>
      </c>
      <c r="B4387" s="27">
        <v>1.62801820637E12</v>
      </c>
      <c r="C4387" s="27" t="s">
        <v>2437</v>
      </c>
    </row>
    <row r="4388">
      <c r="A4388" s="27" t="s">
        <v>2761</v>
      </c>
      <c r="B4388" s="27">
        <v>1.629726091782E12</v>
      </c>
      <c r="C4388" s="27" t="s">
        <v>2380</v>
      </c>
    </row>
    <row r="4389">
      <c r="A4389" s="27" t="s">
        <v>2762</v>
      </c>
      <c r="B4389" s="27">
        <v>1.629726117626E12</v>
      </c>
      <c r="C4389" s="27" t="s">
        <v>2451</v>
      </c>
    </row>
    <row r="4390">
      <c r="A4390" s="27" t="s">
        <v>3252</v>
      </c>
      <c r="B4390" s="27">
        <v>1.630369235283E12</v>
      </c>
      <c r="C4390" s="27" t="s">
        <v>2441</v>
      </c>
    </row>
    <row r="4391">
      <c r="A4391" s="27" t="s">
        <v>3081</v>
      </c>
      <c r="B4391" s="27">
        <v>1.630369674271E12</v>
      </c>
      <c r="C4391" s="27" t="s">
        <v>2451</v>
      </c>
    </row>
    <row r="4392">
      <c r="A4392" s="27" t="s">
        <v>2764</v>
      </c>
      <c r="B4392" s="27">
        <v>1.630370852776E12</v>
      </c>
      <c r="C4392" s="27" t="s">
        <v>2363</v>
      </c>
    </row>
    <row r="4393">
      <c r="A4393" s="27" t="s">
        <v>2765</v>
      </c>
      <c r="B4393" s="27">
        <v>1.63456703401E12</v>
      </c>
      <c r="C4393" s="27" t="s">
        <v>2441</v>
      </c>
    </row>
    <row r="4394">
      <c r="A4394" s="27" t="s">
        <v>2395</v>
      </c>
      <c r="B4394" s="27">
        <v>1.634845754276E12</v>
      </c>
      <c r="C4394" s="27" t="s">
        <v>3489</v>
      </c>
    </row>
    <row r="4395">
      <c r="A4395" s="27" t="s">
        <v>2397</v>
      </c>
      <c r="B4395" s="27">
        <v>1.635956574926E12</v>
      </c>
      <c r="C4395" s="27" t="s">
        <v>2451</v>
      </c>
    </row>
    <row r="4396">
      <c r="A4396" s="27" t="s">
        <v>3253</v>
      </c>
      <c r="B4396" s="27">
        <v>1.635956592996E12</v>
      </c>
      <c r="C4396" s="27" t="s">
        <v>2437</v>
      </c>
    </row>
    <row r="4397">
      <c r="A4397" s="27" t="s">
        <v>2398</v>
      </c>
      <c r="B4397" s="27">
        <v>1.635956597983E12</v>
      </c>
      <c r="C4397" s="27" t="s">
        <v>2441</v>
      </c>
    </row>
    <row r="4398">
      <c r="A4398" s="27" t="s">
        <v>2767</v>
      </c>
      <c r="B4398" s="27">
        <v>1.639085706913E12</v>
      </c>
      <c r="C4398" s="27" t="s">
        <v>2359</v>
      </c>
    </row>
    <row r="4399">
      <c r="A4399" s="27" t="s">
        <v>3254</v>
      </c>
      <c r="B4399" s="27">
        <v>1.639085727598E12</v>
      </c>
      <c r="C4399" s="27" t="s">
        <v>2363</v>
      </c>
    </row>
    <row r="4400">
      <c r="A4400" s="27" t="s">
        <v>3048</v>
      </c>
      <c r="B4400" s="27">
        <v>1.639085736261E12</v>
      </c>
      <c r="C4400" s="27" t="s">
        <v>2437</v>
      </c>
    </row>
    <row r="4401">
      <c r="A4401" s="27" t="s">
        <v>3049</v>
      </c>
      <c r="B4401" s="27">
        <v>1.639085763857E12</v>
      </c>
      <c r="C4401" s="27" t="s">
        <v>2437</v>
      </c>
    </row>
    <row r="4402">
      <c r="A4402" s="27" t="s">
        <v>3082</v>
      </c>
      <c r="B4402" s="27">
        <v>1.63908577239E12</v>
      </c>
      <c r="C4402" s="27" t="s">
        <v>2363</v>
      </c>
    </row>
    <row r="4403">
      <c r="A4403" s="27" t="s">
        <v>3144</v>
      </c>
      <c r="B4403" s="27">
        <v>1.639488921197E12</v>
      </c>
      <c r="C4403" s="27" t="s">
        <v>2359</v>
      </c>
    </row>
    <row r="4404">
      <c r="A4404" s="27" t="s">
        <v>2770</v>
      </c>
      <c r="B4404" s="27">
        <v>1.640091153797E12</v>
      </c>
      <c r="C4404" s="27" t="s">
        <v>2441</v>
      </c>
    </row>
    <row r="4405">
      <c r="A4405" s="27" t="s">
        <v>2401</v>
      </c>
      <c r="B4405" s="27">
        <v>1.645629782262E12</v>
      </c>
      <c r="C4405" s="27" t="s">
        <v>2363</v>
      </c>
    </row>
    <row r="4406">
      <c r="A4406" s="27" t="s">
        <v>2403</v>
      </c>
      <c r="B4406" s="27">
        <v>1.650295261109E12</v>
      </c>
      <c r="C4406" s="27" t="s">
        <v>2447</v>
      </c>
    </row>
    <row r="4407">
      <c r="A4407" s="27" t="s">
        <v>2772</v>
      </c>
      <c r="B4407" s="27">
        <v>1.650298908518E12</v>
      </c>
      <c r="C4407" s="27" t="s">
        <v>2437</v>
      </c>
    </row>
    <row r="4408">
      <c r="A4408" s="27" t="s">
        <v>3145</v>
      </c>
      <c r="B4408" s="27">
        <v>1.650299083874E12</v>
      </c>
      <c r="C4408" s="27" t="s">
        <v>2359</v>
      </c>
    </row>
    <row r="4409">
      <c r="A4409" s="27" t="s">
        <v>2406</v>
      </c>
      <c r="B4409" s="27">
        <v>1.650301031879E12</v>
      </c>
      <c r="C4409" s="27" t="s">
        <v>2359</v>
      </c>
    </row>
    <row r="4410">
      <c r="A4410" s="27" t="s">
        <v>2408</v>
      </c>
      <c r="B4410" s="27">
        <v>1.650302269777E12</v>
      </c>
      <c r="C4410" s="27" t="s">
        <v>2359</v>
      </c>
    </row>
    <row r="4411">
      <c r="A4411" s="27" t="s">
        <v>3373</v>
      </c>
      <c r="B4411" s="27">
        <v>1.650302273911E12</v>
      </c>
      <c r="C4411" s="27" t="s">
        <v>2363</v>
      </c>
    </row>
    <row r="4412">
      <c r="A4412" s="27" t="s">
        <v>5594</v>
      </c>
      <c r="B4412" s="27">
        <v>1.650302277807E12</v>
      </c>
      <c r="C4412" s="27" t="s">
        <v>2409</v>
      </c>
    </row>
    <row r="4413">
      <c r="A4413" s="27" t="s">
        <v>3255</v>
      </c>
      <c r="B4413" s="27">
        <v>1.652824782363E12</v>
      </c>
      <c r="C4413" s="27" t="s">
        <v>2437</v>
      </c>
    </row>
    <row r="4414">
      <c r="A4414" s="27" t="s">
        <v>2773</v>
      </c>
      <c r="B4414" s="27">
        <v>1.652824796337E12</v>
      </c>
      <c r="C4414" s="27" t="s">
        <v>2359</v>
      </c>
    </row>
    <row r="4415">
      <c r="A4415" s="27" t="s">
        <v>3056</v>
      </c>
      <c r="B4415" s="27">
        <v>1.652824902758E12</v>
      </c>
      <c r="C4415" s="27" t="s">
        <v>2437</v>
      </c>
    </row>
    <row r="4416">
      <c r="A4416" s="27" t="s">
        <v>3057</v>
      </c>
      <c r="B4416" s="27">
        <v>1.652824924113E12</v>
      </c>
      <c r="C4416" s="27" t="s">
        <v>2451</v>
      </c>
    </row>
    <row r="4417">
      <c r="A4417" s="27" t="s">
        <v>2774</v>
      </c>
      <c r="B4417" s="27">
        <v>1.652824942453E12</v>
      </c>
      <c r="C4417" s="27" t="s">
        <v>2441</v>
      </c>
    </row>
    <row r="4418">
      <c r="A4418" s="27" t="s">
        <v>2775</v>
      </c>
      <c r="B4418" s="27">
        <v>1.652824957424E12</v>
      </c>
      <c r="C4418" s="27" t="s">
        <v>2361</v>
      </c>
    </row>
    <row r="4419">
      <c r="A4419" s="27" t="s">
        <v>2410</v>
      </c>
      <c r="B4419" s="27">
        <v>1.652825027456E12</v>
      </c>
      <c r="C4419" s="27" t="s">
        <v>2441</v>
      </c>
    </row>
    <row r="4420">
      <c r="A4420" s="27" t="s">
        <v>3433</v>
      </c>
      <c r="B4420" s="27">
        <v>1.652825203439E12</v>
      </c>
      <c r="C4420" s="27" t="s">
        <v>2363</v>
      </c>
    </row>
    <row r="4421">
      <c r="A4421" s="27" t="s">
        <v>2736</v>
      </c>
      <c r="B4421" s="27">
        <v>1.652825295706E12</v>
      </c>
      <c r="C4421" s="27" t="s">
        <v>2441</v>
      </c>
    </row>
    <row r="4422">
      <c r="A4422" s="27" t="s">
        <v>2412</v>
      </c>
      <c r="B4422" s="27">
        <v>1.654189048611E12</v>
      </c>
      <c r="C4422" s="27" t="s">
        <v>2441</v>
      </c>
    </row>
    <row r="4423">
      <c r="A4423" s="27" t="s">
        <v>2414</v>
      </c>
      <c r="B4423" s="27">
        <v>1.654189204021E12</v>
      </c>
      <c r="C4423" s="27" t="s">
        <v>2451</v>
      </c>
    </row>
    <row r="4424">
      <c r="A4424" s="27" t="s">
        <v>2415</v>
      </c>
      <c r="B4424" s="27">
        <v>1.654207295633E12</v>
      </c>
      <c r="C4424" s="27" t="s">
        <v>2557</v>
      </c>
    </row>
    <row r="4425">
      <c r="A4425" s="27" t="s">
        <v>2417</v>
      </c>
      <c r="B4425" s="27">
        <v>1.654207307551E12</v>
      </c>
      <c r="C4425" s="27" t="s">
        <v>2359</v>
      </c>
    </row>
    <row r="4426">
      <c r="A4426" s="27" t="s">
        <v>2418</v>
      </c>
      <c r="B4426" s="27">
        <v>1.654207333519E12</v>
      </c>
      <c r="C4426" s="27" t="s">
        <v>2451</v>
      </c>
    </row>
    <row r="4427">
      <c r="A4427" s="27" t="s">
        <v>2777</v>
      </c>
      <c r="B4427" s="27">
        <v>1.654207352499E12</v>
      </c>
      <c r="C4427" s="27" t="s">
        <v>2409</v>
      </c>
    </row>
    <row r="4428">
      <c r="A4428" s="27" t="s">
        <v>2778</v>
      </c>
      <c r="B4428" s="27">
        <v>1.65420774834E12</v>
      </c>
      <c r="C4428" s="27" t="s">
        <v>2363</v>
      </c>
    </row>
    <row r="4429">
      <c r="A4429" s="27" t="s">
        <v>2422</v>
      </c>
      <c r="B4429" s="27">
        <v>1.656603353038E12</v>
      </c>
      <c r="C4429" s="27" t="s">
        <v>2437</v>
      </c>
    </row>
    <row r="4430">
      <c r="A4430" s="27" t="s">
        <v>2779</v>
      </c>
      <c r="B4430" s="27">
        <v>1.656603804695E12</v>
      </c>
      <c r="C4430" s="27" t="s">
        <v>2359</v>
      </c>
    </row>
    <row r="4431">
      <c r="A4431" s="27" t="s">
        <v>3256</v>
      </c>
      <c r="B4431" s="27">
        <v>1.658329968514E12</v>
      </c>
      <c r="C4431" s="27" t="s">
        <v>2380</v>
      </c>
    </row>
    <row r="4432">
      <c r="A4432" s="27" t="s">
        <v>3131</v>
      </c>
      <c r="B4432" s="27">
        <v>1.658330471799E12</v>
      </c>
      <c r="C4432" s="27" t="s">
        <v>2447</v>
      </c>
    </row>
    <row r="4433">
      <c r="A4433" s="27" t="s">
        <v>3083</v>
      </c>
      <c r="B4433" s="27">
        <v>1.659971347046E12</v>
      </c>
      <c r="C4433" s="27" t="s">
        <v>2359</v>
      </c>
    </row>
    <row r="4434">
      <c r="A4434" s="27" t="s">
        <v>2784</v>
      </c>
      <c r="B4434" s="27">
        <v>1.659989549286E12</v>
      </c>
      <c r="C4434" s="27" t="s">
        <v>2363</v>
      </c>
    </row>
    <row r="4435">
      <c r="A4435" s="27" t="s">
        <v>2785</v>
      </c>
      <c r="B4435" s="27">
        <v>1.659989621591E12</v>
      </c>
      <c r="C4435" s="27" t="s">
        <v>2441</v>
      </c>
    </row>
    <row r="4436">
      <c r="A4436" s="27" t="s">
        <v>2786</v>
      </c>
      <c r="B4436" s="27">
        <v>1.659990725288E12</v>
      </c>
      <c r="C4436" s="27" t="s">
        <v>2394</v>
      </c>
    </row>
    <row r="4437">
      <c r="A4437" s="27" t="s">
        <v>3084</v>
      </c>
      <c r="B4437" s="27">
        <v>1.659990788079E12</v>
      </c>
      <c r="C4437" s="27" t="s">
        <v>2437</v>
      </c>
    </row>
    <row r="4438">
      <c r="A4438" s="27" t="s">
        <v>3085</v>
      </c>
      <c r="B4438" s="27">
        <v>1.65999080731E12</v>
      </c>
      <c r="C4438" s="27" t="s">
        <v>2447</v>
      </c>
    </row>
    <row r="4439">
      <c r="A4439" s="27" t="s">
        <v>3086</v>
      </c>
      <c r="B4439" s="27">
        <v>1.659990828178E12</v>
      </c>
      <c r="C4439" s="27" t="s">
        <v>2437</v>
      </c>
    </row>
    <row r="4440">
      <c r="A4440" s="27" t="s">
        <v>2788</v>
      </c>
      <c r="B4440" s="27">
        <v>1.659991481176E12</v>
      </c>
      <c r="C4440" s="27" t="s">
        <v>2359</v>
      </c>
    </row>
    <row r="4441">
      <c r="A4441" s="27" t="s">
        <v>2423</v>
      </c>
      <c r="B4441" s="27">
        <v>1.659991971809E12</v>
      </c>
      <c r="C4441" s="27" t="s">
        <v>2359</v>
      </c>
    </row>
    <row r="4442">
      <c r="A4442" s="27" t="s">
        <v>2424</v>
      </c>
      <c r="B4442" s="27">
        <v>1.659991999728E12</v>
      </c>
      <c r="C4442" s="27" t="s">
        <v>2363</v>
      </c>
    </row>
    <row r="4443">
      <c r="A4443" s="27" t="s">
        <v>3059</v>
      </c>
      <c r="B4443" s="27">
        <v>1.659992503614E12</v>
      </c>
      <c r="C4443" s="27" t="s">
        <v>2359</v>
      </c>
    </row>
    <row r="4444">
      <c r="A4444" s="27" t="s">
        <v>2427</v>
      </c>
      <c r="B4444" s="27">
        <v>1.659999410637E12</v>
      </c>
      <c r="C4444" s="27" t="s">
        <v>2451</v>
      </c>
    </row>
    <row r="4445">
      <c r="A4445" s="27" t="s">
        <v>2792</v>
      </c>
      <c r="B4445" s="27">
        <v>1.660857800718E12</v>
      </c>
      <c r="C4445" s="27" t="s">
        <v>2363</v>
      </c>
    </row>
    <row r="4446">
      <c r="A4446" s="27" t="s">
        <v>2428</v>
      </c>
      <c r="B4446" s="27">
        <v>1.660857914743E12</v>
      </c>
      <c r="C4446" s="27" t="s">
        <v>2363</v>
      </c>
    </row>
    <row r="4447">
      <c r="A4447" s="27" t="s">
        <v>2429</v>
      </c>
      <c r="B4447" s="27">
        <v>1.66085796352E12</v>
      </c>
      <c r="C4447" s="27" t="s">
        <v>2359</v>
      </c>
    </row>
    <row r="4448">
      <c r="A4448" s="27" t="s">
        <v>3146</v>
      </c>
      <c r="B4448" s="27">
        <v>1.660858025311E12</v>
      </c>
      <c r="C4448" s="27" t="s">
        <v>2363</v>
      </c>
    </row>
    <row r="4449">
      <c r="A4449" s="27" t="s">
        <v>2430</v>
      </c>
      <c r="B4449" s="27">
        <v>1.660858101318E12</v>
      </c>
      <c r="C4449" s="27" t="s">
        <v>2359</v>
      </c>
    </row>
    <row r="4450">
      <c r="A4450" s="27" t="s">
        <v>2431</v>
      </c>
      <c r="B4450" s="27">
        <v>1.660858118518E12</v>
      </c>
      <c r="C4450" s="27" t="s">
        <v>2451</v>
      </c>
    </row>
    <row r="4451">
      <c r="A4451" s="27" t="s">
        <v>5595</v>
      </c>
      <c r="B4451" s="27" t="s">
        <v>5596</v>
      </c>
      <c r="C4451" s="27" t="s">
        <v>2363</v>
      </c>
    </row>
    <row r="4452">
      <c r="A4452" s="27" t="s">
        <v>2793</v>
      </c>
      <c r="B4452" s="27">
        <v>1.660858235219E12</v>
      </c>
      <c r="C4452" s="27" t="s">
        <v>2462</v>
      </c>
    </row>
    <row r="4453">
      <c r="A4453" s="27" t="s">
        <v>2433</v>
      </c>
      <c r="B4453" s="27">
        <v>1.660858341796E12</v>
      </c>
      <c r="C4453" s="27" t="s">
        <v>2437</v>
      </c>
    </row>
    <row r="4454">
      <c r="A4454" s="27" t="s">
        <v>2434</v>
      </c>
      <c r="B4454" s="27">
        <v>1.660858356962E12</v>
      </c>
      <c r="C4454" s="27" t="s">
        <v>2361</v>
      </c>
    </row>
    <row r="4455">
      <c r="A4455" s="27" t="s">
        <v>2436</v>
      </c>
      <c r="B4455" s="27">
        <v>1.660858416606E12</v>
      </c>
      <c r="C4455" s="27" t="s">
        <v>2441</v>
      </c>
    </row>
    <row r="4456">
      <c r="A4456" s="27" t="s">
        <v>2440</v>
      </c>
      <c r="B4456" s="27">
        <v>1.660858756233E12</v>
      </c>
      <c r="C4456" s="27" t="s">
        <v>2437</v>
      </c>
    </row>
    <row r="4457">
      <c r="A4457" s="27" t="s">
        <v>2442</v>
      </c>
      <c r="B4457" s="27">
        <v>1.660858776726E12</v>
      </c>
      <c r="C4457" s="27" t="s">
        <v>2363</v>
      </c>
    </row>
    <row r="4458">
      <c r="A4458" s="27" t="s">
        <v>2443</v>
      </c>
      <c r="B4458" s="27">
        <v>1.660858793429E12</v>
      </c>
      <c r="C4458" s="27" t="s">
        <v>2361</v>
      </c>
    </row>
    <row r="4459">
      <c r="A4459" s="27" t="s">
        <v>2444</v>
      </c>
      <c r="B4459" s="27">
        <v>1.660858812938E12</v>
      </c>
      <c r="C4459" s="27" t="s">
        <v>2359</v>
      </c>
    </row>
    <row r="4460">
      <c r="A4460" s="27" t="s">
        <v>2445</v>
      </c>
      <c r="B4460" s="27">
        <v>1.660858828618E12</v>
      </c>
      <c r="C4460" s="27" t="s">
        <v>2359</v>
      </c>
    </row>
    <row r="4461">
      <c r="A4461" s="27" t="s">
        <v>2446</v>
      </c>
      <c r="B4461" s="27">
        <v>1.660858844449E12</v>
      </c>
      <c r="C4461" s="27" t="s">
        <v>2437</v>
      </c>
    </row>
    <row r="4462">
      <c r="A4462" s="27" t="s">
        <v>3148</v>
      </c>
      <c r="B4462" s="27">
        <v>1.660859102915E12</v>
      </c>
      <c r="C4462" s="27" t="s">
        <v>2437</v>
      </c>
    </row>
    <row r="4463">
      <c r="A4463" s="27" t="s">
        <v>3088</v>
      </c>
      <c r="B4463" s="27">
        <v>1.660859424566E12</v>
      </c>
      <c r="C4463" s="27" t="s">
        <v>2363</v>
      </c>
    </row>
    <row r="4464">
      <c r="A4464" s="27" t="s">
        <v>3089</v>
      </c>
      <c r="B4464" s="27">
        <v>1.661872713289E12</v>
      </c>
      <c r="C4464" s="27" t="s">
        <v>2359</v>
      </c>
    </row>
    <row r="4465">
      <c r="A4465" s="27" t="s">
        <v>2449</v>
      </c>
      <c r="B4465" s="27">
        <v>1.661872956577E12</v>
      </c>
      <c r="C4465" s="27" t="s">
        <v>2363</v>
      </c>
    </row>
    <row r="4466">
      <c r="A4466" s="27" t="s">
        <v>2450</v>
      </c>
      <c r="B4466" s="27">
        <v>1.661873799978E12</v>
      </c>
      <c r="C4466" s="27" t="s">
        <v>2378</v>
      </c>
    </row>
    <row r="4467">
      <c r="A4467" s="27" t="s">
        <v>3061</v>
      </c>
      <c r="B4467" s="27">
        <v>1.748316345017E12</v>
      </c>
      <c r="C4467" s="27" t="s">
        <v>2409</v>
      </c>
    </row>
    <row r="4468">
      <c r="A4468" s="27" t="s">
        <v>2452</v>
      </c>
      <c r="B4468" s="27">
        <v>186296.0</v>
      </c>
      <c r="C4468" s="27" t="s">
        <v>2359</v>
      </c>
    </row>
    <row r="4469">
      <c r="A4469" s="27" t="s">
        <v>2454</v>
      </c>
      <c r="B4469" s="27" t="s">
        <v>2455</v>
      </c>
      <c r="C4469" s="27" t="s">
        <v>2359</v>
      </c>
    </row>
    <row r="4470">
      <c r="A4470" s="27" t="s">
        <v>2456</v>
      </c>
      <c r="B4470" s="27" t="s">
        <v>2457</v>
      </c>
      <c r="C4470" s="27" t="s">
        <v>2451</v>
      </c>
    </row>
    <row r="4471">
      <c r="A4471" s="27" t="s">
        <v>4008</v>
      </c>
      <c r="B4471" s="27" t="s">
        <v>4009</v>
      </c>
      <c r="C4471" s="27" t="s">
        <v>2437</v>
      </c>
    </row>
    <row r="4472">
      <c r="A4472" s="27" t="s">
        <v>4010</v>
      </c>
      <c r="B4472" s="27" t="s">
        <v>4011</v>
      </c>
      <c r="C4472" s="27" t="s">
        <v>2359</v>
      </c>
    </row>
    <row r="4473">
      <c r="A4473" s="27" t="s">
        <v>2805</v>
      </c>
      <c r="B4473" s="27" t="s">
        <v>2806</v>
      </c>
      <c r="C4473" s="27" t="s">
        <v>2363</v>
      </c>
    </row>
    <row r="4474">
      <c r="A4474" s="27" t="s">
        <v>3379</v>
      </c>
      <c r="B4474" s="27">
        <v>2.0000807027E10</v>
      </c>
      <c r="C4474" s="27" t="s">
        <v>2359</v>
      </c>
    </row>
    <row r="4475">
      <c r="A4475" s="27" t="s">
        <v>4026</v>
      </c>
      <c r="B4475" s="27">
        <v>2.0000808024E10</v>
      </c>
      <c r="C4475" s="27" t="s">
        <v>2359</v>
      </c>
    </row>
    <row r="4476">
      <c r="A4476" s="27" t="s">
        <v>4027</v>
      </c>
      <c r="B4476" s="27">
        <v>2.000080809E10</v>
      </c>
      <c r="C4476" s="27" t="s">
        <v>2437</v>
      </c>
    </row>
    <row r="4477">
      <c r="A4477" s="27" t="s">
        <v>4037</v>
      </c>
      <c r="B4477" s="27">
        <v>2.000110721E9</v>
      </c>
      <c r="C4477" s="27" t="s">
        <v>2359</v>
      </c>
    </row>
    <row r="4478">
      <c r="A4478" s="27" t="s">
        <v>5597</v>
      </c>
      <c r="B4478" s="27">
        <v>21408.0</v>
      </c>
      <c r="C4478" s="27" t="s">
        <v>2363</v>
      </c>
    </row>
    <row r="4479">
      <c r="A4479" s="27" t="s">
        <v>5598</v>
      </c>
      <c r="B4479" s="27">
        <v>2.2130608872E10</v>
      </c>
      <c r="C4479" s="27" t="s">
        <v>2363</v>
      </c>
    </row>
    <row r="4480">
      <c r="A4480" s="27" t="s">
        <v>3269</v>
      </c>
      <c r="B4480" s="27" t="s">
        <v>3270</v>
      </c>
      <c r="C4480" s="27" t="s">
        <v>2359</v>
      </c>
    </row>
    <row r="4481">
      <c r="A4481" s="27" t="s">
        <v>3271</v>
      </c>
      <c r="B4481" s="27" t="s">
        <v>3272</v>
      </c>
      <c r="C4481" s="27" t="s">
        <v>2359</v>
      </c>
    </row>
    <row r="4482">
      <c r="A4482" s="27" t="s">
        <v>5599</v>
      </c>
      <c r="B4482" s="27">
        <v>25803.0</v>
      </c>
      <c r="C4482" s="27" t="s">
        <v>2359</v>
      </c>
    </row>
    <row r="4483">
      <c r="A4483" s="27" t="s">
        <v>3273</v>
      </c>
      <c r="B4483" s="27">
        <v>25835.0</v>
      </c>
      <c r="C4483" s="27" t="s">
        <v>2437</v>
      </c>
    </row>
    <row r="4484">
      <c r="A4484" s="27" t="s">
        <v>5600</v>
      </c>
      <c r="B4484" s="27">
        <v>26055.0</v>
      </c>
      <c r="C4484" s="27" t="s">
        <v>2363</v>
      </c>
    </row>
    <row r="4485">
      <c r="A4485" s="27" t="s">
        <v>5601</v>
      </c>
      <c r="B4485" s="27">
        <v>26136.0</v>
      </c>
      <c r="C4485" s="27" t="s">
        <v>2359</v>
      </c>
    </row>
    <row r="4486">
      <c r="A4486" s="27" t="s">
        <v>5602</v>
      </c>
      <c r="B4486" s="27">
        <v>261740.0</v>
      </c>
      <c r="C4486" s="27" t="s">
        <v>2359</v>
      </c>
    </row>
    <row r="4487">
      <c r="A4487" s="27" t="s">
        <v>3501</v>
      </c>
      <c r="B4487" s="27">
        <v>26807.0</v>
      </c>
      <c r="C4487" s="27" t="s">
        <v>2363</v>
      </c>
    </row>
    <row r="4488">
      <c r="A4488" s="27" t="s">
        <v>5603</v>
      </c>
      <c r="B4488" s="27">
        <v>26808.0</v>
      </c>
      <c r="C4488" s="27" t="s">
        <v>2363</v>
      </c>
    </row>
    <row r="4489">
      <c r="A4489" s="27" t="s">
        <v>3276</v>
      </c>
      <c r="B4489" s="27">
        <v>26917.0</v>
      </c>
      <c r="C4489" s="27" t="s">
        <v>2359</v>
      </c>
    </row>
    <row r="4490">
      <c r="A4490" s="27" t="s">
        <v>5604</v>
      </c>
      <c r="B4490" s="27">
        <v>269670.0</v>
      </c>
      <c r="C4490" s="27" t="s">
        <v>2359</v>
      </c>
    </row>
    <row r="4491">
      <c r="A4491" s="27" t="s">
        <v>5605</v>
      </c>
      <c r="B4491" s="27">
        <v>27027.0</v>
      </c>
      <c r="C4491" s="27" t="s">
        <v>2437</v>
      </c>
    </row>
    <row r="4492">
      <c r="A4492" s="27" t="s">
        <v>4047</v>
      </c>
      <c r="B4492" s="27">
        <v>27123.0</v>
      </c>
      <c r="C4492" s="27" t="s">
        <v>2359</v>
      </c>
    </row>
    <row r="4493">
      <c r="A4493" s="27" t="s">
        <v>3504</v>
      </c>
      <c r="B4493" s="27">
        <v>27418.0</v>
      </c>
      <c r="C4493" s="27" t="s">
        <v>2363</v>
      </c>
    </row>
    <row r="4494">
      <c r="A4494" s="27" t="s">
        <v>5606</v>
      </c>
      <c r="B4494" s="27">
        <v>27722.0</v>
      </c>
      <c r="C4494" s="27" t="s">
        <v>2437</v>
      </c>
    </row>
    <row r="4495">
      <c r="A4495" s="27" t="s">
        <v>3278</v>
      </c>
      <c r="B4495" s="27" t="s">
        <v>3279</v>
      </c>
      <c r="C4495" s="27" t="s">
        <v>2359</v>
      </c>
    </row>
    <row r="4496">
      <c r="A4496" s="27" t="s">
        <v>5607</v>
      </c>
      <c r="B4496" s="27" t="s">
        <v>5608</v>
      </c>
      <c r="C4496" s="27" t="s">
        <v>2363</v>
      </c>
    </row>
    <row r="4497">
      <c r="A4497" s="27" t="s">
        <v>5609</v>
      </c>
      <c r="B4497" s="27">
        <v>33743.0</v>
      </c>
      <c r="C4497" s="27" t="s">
        <v>2363</v>
      </c>
    </row>
    <row r="4498">
      <c r="A4498" s="27" t="s">
        <v>4069</v>
      </c>
      <c r="B4498" s="27" t="s">
        <v>4070</v>
      </c>
      <c r="C4498" s="27" t="s">
        <v>2437</v>
      </c>
    </row>
    <row r="4499">
      <c r="A4499" s="27" t="s">
        <v>4113</v>
      </c>
      <c r="B4499" s="27">
        <v>6181136.0</v>
      </c>
      <c r="C4499" s="27" t="s">
        <v>2359</v>
      </c>
    </row>
    <row r="4500">
      <c r="A4500" s="27" t="s">
        <v>5610</v>
      </c>
      <c r="B4500" s="27">
        <v>6.3262781409E11</v>
      </c>
      <c r="C4500" s="27" t="s">
        <v>2359</v>
      </c>
    </row>
    <row r="4501">
      <c r="A4501" s="27" t="s">
        <v>5611</v>
      </c>
      <c r="B4501" s="27">
        <v>6.32627814373E11</v>
      </c>
      <c r="C4501" s="27" t="s">
        <v>2359</v>
      </c>
    </row>
    <row r="4502">
      <c r="A4502" s="27" t="s">
        <v>4127</v>
      </c>
      <c r="B4502" s="27">
        <v>6.59525598679E11</v>
      </c>
      <c r="C4502" s="27" t="s">
        <v>2359</v>
      </c>
    </row>
    <row r="4503">
      <c r="A4503" s="27" t="s">
        <v>2459</v>
      </c>
      <c r="B4503" s="27">
        <v>6.6800469437952E13</v>
      </c>
      <c r="C4503" s="27" t="s">
        <v>2363</v>
      </c>
    </row>
    <row r="4504">
      <c r="A4504" s="27" t="s">
        <v>2817</v>
      </c>
      <c r="B4504" s="27">
        <v>6.6800471275549E13</v>
      </c>
      <c r="C4504" s="27" t="s">
        <v>2363</v>
      </c>
    </row>
    <row r="4505">
      <c r="A4505" s="27" t="s">
        <v>2460</v>
      </c>
      <c r="B4505" s="27">
        <v>6.6800472805184E13</v>
      </c>
      <c r="C4505" s="27" t="s">
        <v>2437</v>
      </c>
    </row>
    <row r="4506">
      <c r="A4506" s="27" t="s">
        <v>2461</v>
      </c>
      <c r="B4506" s="27">
        <v>6.6800506435054E13</v>
      </c>
      <c r="C4506" s="27" t="s">
        <v>2437</v>
      </c>
    </row>
    <row r="4507">
      <c r="A4507" s="27" t="s">
        <v>2818</v>
      </c>
      <c r="B4507" s="27">
        <v>6.680050766593E13</v>
      </c>
      <c r="C4507" s="27" t="s">
        <v>2363</v>
      </c>
    </row>
    <row r="4508">
      <c r="A4508" s="27" t="s">
        <v>2463</v>
      </c>
      <c r="B4508" s="27">
        <v>6.6800509015029E13</v>
      </c>
      <c r="C4508" s="27" t="s">
        <v>2441</v>
      </c>
    </row>
    <row r="4509">
      <c r="A4509" s="27" t="s">
        <v>2819</v>
      </c>
      <c r="B4509" s="27">
        <v>6.6800510263382E13</v>
      </c>
      <c r="C4509" s="27" t="s">
        <v>2437</v>
      </c>
    </row>
    <row r="4510">
      <c r="A4510" s="27" t="s">
        <v>2820</v>
      </c>
      <c r="B4510" s="27">
        <v>6.7114505814137E13</v>
      </c>
      <c r="C4510" s="27" t="s">
        <v>2359</v>
      </c>
    </row>
    <row r="4511">
      <c r="A4511" s="27" t="s">
        <v>2821</v>
      </c>
      <c r="B4511" s="27">
        <v>6.7327559384453E13</v>
      </c>
      <c r="C4511" s="27" t="s">
        <v>2363</v>
      </c>
    </row>
    <row r="4512">
      <c r="A4512" s="27" t="s">
        <v>2464</v>
      </c>
      <c r="B4512" s="27">
        <v>6.7327712330533E13</v>
      </c>
      <c r="C4512" s="27" t="s">
        <v>2505</v>
      </c>
    </row>
    <row r="4513">
      <c r="A4513" s="27" t="s">
        <v>2823</v>
      </c>
      <c r="B4513" s="27">
        <v>6.7898087132855E13</v>
      </c>
      <c r="C4513" s="27" t="s">
        <v>2359</v>
      </c>
    </row>
    <row r="4514">
      <c r="A4514" s="27" t="s">
        <v>2824</v>
      </c>
      <c r="B4514" s="27">
        <v>6.7898258445967E13</v>
      </c>
      <c r="C4514" s="27" t="s">
        <v>2363</v>
      </c>
    </row>
    <row r="4515">
      <c r="A4515" s="27" t="s">
        <v>5612</v>
      </c>
      <c r="B4515" s="27">
        <v>6.7898303200803E13</v>
      </c>
      <c r="C4515" s="27" t="s">
        <v>2359</v>
      </c>
    </row>
    <row r="4516">
      <c r="A4516" s="27" t="s">
        <v>3065</v>
      </c>
      <c r="B4516" s="27">
        <v>6.7898461965813E13</v>
      </c>
      <c r="C4516" s="27" t="s">
        <v>2359</v>
      </c>
    </row>
    <row r="4517">
      <c r="A4517" s="27" t="s">
        <v>2825</v>
      </c>
      <c r="B4517" s="27">
        <v>6.7898465380537E13</v>
      </c>
      <c r="C4517" s="27" t="s">
        <v>2359</v>
      </c>
    </row>
    <row r="4518">
      <c r="A4518" s="27" t="s">
        <v>2828</v>
      </c>
      <c r="B4518" s="27">
        <v>6.7933835988925E13</v>
      </c>
      <c r="C4518" s="27" t="s">
        <v>2359</v>
      </c>
    </row>
    <row r="4519">
      <c r="A4519" s="27" t="s">
        <v>2471</v>
      </c>
      <c r="B4519" s="27">
        <v>6.7933859111971E13</v>
      </c>
      <c r="C4519" s="27" t="s">
        <v>2363</v>
      </c>
    </row>
    <row r="4520">
      <c r="A4520" s="27" t="s">
        <v>2472</v>
      </c>
      <c r="B4520" s="27">
        <v>6.7933860407346E13</v>
      </c>
      <c r="C4520" s="27" t="s">
        <v>2363</v>
      </c>
    </row>
    <row r="4521">
      <c r="A4521" s="27" t="s">
        <v>3098</v>
      </c>
      <c r="B4521" s="27">
        <v>6.7933861722733E13</v>
      </c>
      <c r="C4521" s="27" t="s">
        <v>2359</v>
      </c>
    </row>
    <row r="4522">
      <c r="A4522" s="27" t="s">
        <v>2473</v>
      </c>
      <c r="B4522" s="27">
        <v>6.7933863068841E13</v>
      </c>
      <c r="C4522" s="27" t="s">
        <v>2682</v>
      </c>
    </row>
    <row r="4523">
      <c r="A4523" s="27" t="s">
        <v>2474</v>
      </c>
      <c r="B4523" s="27">
        <v>6.7951421434761E13</v>
      </c>
      <c r="C4523" s="27" t="s">
        <v>2363</v>
      </c>
    </row>
    <row r="4524">
      <c r="A4524" s="27" t="s">
        <v>3099</v>
      </c>
      <c r="B4524" s="27">
        <v>6.7951423489593E13</v>
      </c>
      <c r="C4524" s="27" t="s">
        <v>2359</v>
      </c>
    </row>
    <row r="4525">
      <c r="A4525" s="27" t="s">
        <v>2829</v>
      </c>
      <c r="B4525" s="27">
        <v>6.7951425161311E13</v>
      </c>
      <c r="C4525" s="27" t="s">
        <v>2359</v>
      </c>
    </row>
    <row r="4526">
      <c r="A4526" s="27" t="s">
        <v>3285</v>
      </c>
      <c r="B4526" s="27">
        <v>6.8142275737629E13</v>
      </c>
      <c r="C4526" s="27" t="s">
        <v>2363</v>
      </c>
    </row>
    <row r="4527">
      <c r="A4527" s="27" t="s">
        <v>2830</v>
      </c>
      <c r="B4527" s="27">
        <v>6.8142278578308E13</v>
      </c>
      <c r="C4527" s="27" t="s">
        <v>2437</v>
      </c>
    </row>
    <row r="4528">
      <c r="A4528" s="27" t="s">
        <v>2831</v>
      </c>
      <c r="B4528" s="27">
        <v>6.814228073269E13</v>
      </c>
      <c r="C4528" s="27" t="s">
        <v>2441</v>
      </c>
    </row>
    <row r="4529">
      <c r="A4529" s="27" t="s">
        <v>4173</v>
      </c>
      <c r="B4529" s="27" t="s">
        <v>4174</v>
      </c>
      <c r="C4529" s="27" t="s">
        <v>2359</v>
      </c>
    </row>
    <row r="4530">
      <c r="A4530" s="27" t="s">
        <v>2833</v>
      </c>
      <c r="B4530" s="27">
        <v>6.8540048936286E13</v>
      </c>
      <c r="C4530" s="27" t="s">
        <v>2451</v>
      </c>
    </row>
    <row r="4531">
      <c r="A4531" s="27" t="s">
        <v>2475</v>
      </c>
      <c r="B4531" s="27">
        <v>6.8540051413139E13</v>
      </c>
      <c r="C4531" s="27" t="s">
        <v>2402</v>
      </c>
    </row>
    <row r="4532">
      <c r="A4532" s="27" t="s">
        <v>2476</v>
      </c>
      <c r="B4532" s="27">
        <v>6.8658866289861E13</v>
      </c>
      <c r="C4532" s="27" t="s">
        <v>2359</v>
      </c>
    </row>
    <row r="4533">
      <c r="A4533" s="27" t="s">
        <v>3286</v>
      </c>
      <c r="B4533" s="27">
        <v>6.902221290595E12</v>
      </c>
      <c r="C4533" s="27" t="s">
        <v>2359</v>
      </c>
    </row>
    <row r="4534">
      <c r="A4534" s="27" t="s">
        <v>5613</v>
      </c>
      <c r="B4534" s="27">
        <v>6.902221385888E12</v>
      </c>
      <c r="C4534" s="27" t="s">
        <v>2359</v>
      </c>
    </row>
    <row r="4535">
      <c r="A4535" s="27" t="s">
        <v>5614</v>
      </c>
      <c r="B4535" s="27">
        <v>6.902221386205E12</v>
      </c>
      <c r="C4535" s="27" t="s">
        <v>2363</v>
      </c>
    </row>
    <row r="4536">
      <c r="A4536" s="27" t="s">
        <v>3297</v>
      </c>
      <c r="B4536" s="27">
        <v>6.902221386557E12</v>
      </c>
      <c r="C4536" s="27" t="s">
        <v>2359</v>
      </c>
    </row>
    <row r="4537">
      <c r="A4537" s="27" t="s">
        <v>3299</v>
      </c>
      <c r="B4537" s="27">
        <v>6.902221386595E12</v>
      </c>
      <c r="C4537" s="27" t="s">
        <v>2359</v>
      </c>
    </row>
    <row r="4538">
      <c r="A4538" s="27" t="s">
        <v>5615</v>
      </c>
      <c r="B4538" s="27">
        <v>6.902221386687E12</v>
      </c>
      <c r="C4538" s="27" t="s">
        <v>2363</v>
      </c>
    </row>
    <row r="4539">
      <c r="A4539" s="27" t="s">
        <v>5616</v>
      </c>
      <c r="B4539" s="27">
        <v>6.902221396655E12</v>
      </c>
      <c r="C4539" s="27" t="s">
        <v>2363</v>
      </c>
    </row>
    <row r="4540">
      <c r="A4540" s="27" t="s">
        <v>5617</v>
      </c>
      <c r="B4540" s="27">
        <v>6.902221405371E12</v>
      </c>
      <c r="C4540" s="27" t="s">
        <v>2359</v>
      </c>
    </row>
    <row r="4541">
      <c r="A4541" s="27" t="s">
        <v>5618</v>
      </c>
      <c r="B4541" s="27">
        <v>6.902221415752E12</v>
      </c>
      <c r="C4541" s="27" t="s">
        <v>2363</v>
      </c>
    </row>
    <row r="4542">
      <c r="A4542" s="27" t="s">
        <v>5619</v>
      </c>
      <c r="B4542" s="27">
        <v>6.902221415769E12</v>
      </c>
      <c r="C4542" s="27" t="s">
        <v>2363</v>
      </c>
    </row>
    <row r="4543">
      <c r="A4543" s="27" t="s">
        <v>5620</v>
      </c>
      <c r="B4543" s="27">
        <v>6.902221419217E12</v>
      </c>
      <c r="C4543" s="27" t="s">
        <v>2363</v>
      </c>
    </row>
    <row r="4544">
      <c r="A4544" s="27" t="s">
        <v>5621</v>
      </c>
      <c r="B4544" s="27">
        <v>6.902221441188E12</v>
      </c>
      <c r="C4544" s="27" t="s">
        <v>2363</v>
      </c>
    </row>
    <row r="4545">
      <c r="A4545" s="27" t="s">
        <v>5622</v>
      </c>
      <c r="B4545" s="27">
        <v>6.902221441287E12</v>
      </c>
      <c r="C4545" s="27" t="s">
        <v>2363</v>
      </c>
    </row>
    <row r="4546">
      <c r="A4546" s="27" t="s">
        <v>5623</v>
      </c>
      <c r="B4546" s="27">
        <v>6.902221441461E12</v>
      </c>
      <c r="C4546" s="27" t="s">
        <v>2363</v>
      </c>
    </row>
    <row r="4547">
      <c r="A4547" s="27" t="s">
        <v>4333</v>
      </c>
      <c r="B4547" s="27">
        <v>7.4585343876E11</v>
      </c>
      <c r="C4547" s="27" t="s">
        <v>2359</v>
      </c>
    </row>
    <row r="4548">
      <c r="A4548" s="27" t="s">
        <v>4336</v>
      </c>
      <c r="B4548" s="27">
        <v>7.45853438944E11</v>
      </c>
      <c r="C4548" s="27" t="s">
        <v>2359</v>
      </c>
    </row>
    <row r="4549">
      <c r="A4549" s="27" t="s">
        <v>2479</v>
      </c>
      <c r="B4549" s="27">
        <v>7.57450527587E11</v>
      </c>
      <c r="C4549" s="27" t="s">
        <v>2462</v>
      </c>
    </row>
    <row r="4550">
      <c r="A4550" s="27" t="s">
        <v>3107</v>
      </c>
      <c r="B4550" s="27">
        <v>7.57450527792E11</v>
      </c>
      <c r="C4550" s="27" t="s">
        <v>2437</v>
      </c>
    </row>
    <row r="4551">
      <c r="A4551" s="27" t="s">
        <v>2480</v>
      </c>
      <c r="B4551" s="27">
        <v>7.57450527808E11</v>
      </c>
      <c r="C4551" s="27" t="s">
        <v>2359</v>
      </c>
    </row>
    <row r="4552">
      <c r="A4552" s="27" t="s">
        <v>2842</v>
      </c>
      <c r="B4552" s="27">
        <v>7.57450527884E11</v>
      </c>
      <c r="C4552" s="27" t="s">
        <v>2363</v>
      </c>
    </row>
    <row r="4553">
      <c r="A4553" s="27" t="s">
        <v>4349</v>
      </c>
      <c r="B4553" s="27">
        <v>7.57450527891E11</v>
      </c>
      <c r="C4553" s="27" t="s">
        <v>2359</v>
      </c>
    </row>
    <row r="4554">
      <c r="A4554" s="27" t="s">
        <v>4350</v>
      </c>
      <c r="B4554" s="27">
        <v>7.57450527945E11</v>
      </c>
      <c r="C4554" s="27" t="s">
        <v>2451</v>
      </c>
    </row>
    <row r="4555">
      <c r="A4555" s="27" t="s">
        <v>3304</v>
      </c>
      <c r="B4555" s="27" t="s">
        <v>3305</v>
      </c>
      <c r="C4555" s="27" t="s">
        <v>2363</v>
      </c>
    </row>
    <row r="4556">
      <c r="A4556" s="27" t="s">
        <v>5624</v>
      </c>
      <c r="B4556" s="27" t="s">
        <v>5625</v>
      </c>
      <c r="C4556" s="27" t="s">
        <v>2441</v>
      </c>
    </row>
    <row r="4557">
      <c r="A4557" s="27" t="s">
        <v>5626</v>
      </c>
      <c r="B4557" s="27" t="s">
        <v>5627</v>
      </c>
      <c r="C4557" s="27" t="s">
        <v>2359</v>
      </c>
    </row>
    <row r="4558">
      <c r="A4558" s="27" t="s">
        <v>5628</v>
      </c>
      <c r="B4558" s="27" t="s">
        <v>5629</v>
      </c>
      <c r="C4558" s="27" t="s">
        <v>2437</v>
      </c>
    </row>
    <row r="4559">
      <c r="A4559" s="27" t="s">
        <v>5630</v>
      </c>
      <c r="B4559" s="27" t="s">
        <v>5631</v>
      </c>
      <c r="C4559" s="27" t="s">
        <v>2441</v>
      </c>
    </row>
    <row r="4560">
      <c r="A4560" s="27" t="s">
        <v>3390</v>
      </c>
      <c r="B4560" s="27" t="s">
        <v>3391</v>
      </c>
      <c r="C4560" s="27" t="s">
        <v>2363</v>
      </c>
    </row>
    <row r="4561">
      <c r="A4561" s="27" t="s">
        <v>3524</v>
      </c>
      <c r="B4561" s="27">
        <v>89554.0</v>
      </c>
      <c r="C4561" s="27" t="s">
        <v>2437</v>
      </c>
    </row>
    <row r="4562">
      <c r="A4562" s="27" t="s">
        <v>2849</v>
      </c>
      <c r="B4562" s="27">
        <v>9550134.0</v>
      </c>
      <c r="C4562" s="27" t="s">
        <v>2437</v>
      </c>
    </row>
    <row r="4563">
      <c r="A4563" s="27" t="s">
        <v>2850</v>
      </c>
      <c r="B4563" s="27" t="s">
        <v>2851</v>
      </c>
      <c r="C4563" s="27" t="s">
        <v>2441</v>
      </c>
    </row>
    <row r="4564">
      <c r="A4564" s="27" t="s">
        <v>4382</v>
      </c>
      <c r="B4564" s="27" t="s">
        <v>4383</v>
      </c>
      <c r="C4564" s="27" t="s">
        <v>2359</v>
      </c>
    </row>
    <row r="4565">
      <c r="A4565" s="27" t="s">
        <v>3539</v>
      </c>
      <c r="B4565" s="27" t="s">
        <v>3540</v>
      </c>
      <c r="C4565" s="27" t="s">
        <v>2359</v>
      </c>
    </row>
    <row r="4566">
      <c r="A4566" s="27" t="s">
        <v>2876</v>
      </c>
      <c r="B4566" s="27" t="s">
        <v>2877</v>
      </c>
      <c r="C4566" s="27" t="s">
        <v>2359</v>
      </c>
    </row>
    <row r="4567">
      <c r="A4567" s="27" t="s">
        <v>2878</v>
      </c>
      <c r="B4567" s="27" t="s">
        <v>2879</v>
      </c>
      <c r="C4567" s="27" t="s">
        <v>2363</v>
      </c>
    </row>
    <row r="4568">
      <c r="A4568" s="27" t="s">
        <v>2880</v>
      </c>
      <c r="B4568" s="27" t="s">
        <v>2881</v>
      </c>
      <c r="C4568" s="27" t="s">
        <v>2409</v>
      </c>
    </row>
    <row r="4569">
      <c r="A4569" s="27" t="s">
        <v>2491</v>
      </c>
      <c r="B4569" s="27" t="s">
        <v>2492</v>
      </c>
      <c r="C4569" s="27" t="s">
        <v>2380</v>
      </c>
    </row>
    <row r="4570">
      <c r="A4570" s="27" t="s">
        <v>2882</v>
      </c>
      <c r="B4570" s="27" t="s">
        <v>2883</v>
      </c>
      <c r="C4570" s="27" t="s">
        <v>2363</v>
      </c>
    </row>
    <row r="4571">
      <c r="A4571" s="27" t="s">
        <v>3116</v>
      </c>
      <c r="B4571" s="27" t="s">
        <v>3117</v>
      </c>
      <c r="C4571" s="27" t="s">
        <v>2359</v>
      </c>
    </row>
    <row r="4572">
      <c r="A4572" s="27" t="s">
        <v>5632</v>
      </c>
      <c r="B4572" s="27" t="s">
        <v>5633</v>
      </c>
      <c r="C4572" s="27" t="s">
        <v>2359</v>
      </c>
    </row>
    <row r="4573">
      <c r="A4573" s="27" t="s">
        <v>2506</v>
      </c>
      <c r="B4573" s="27" t="s">
        <v>103</v>
      </c>
      <c r="C4573" s="27" t="s">
        <v>2441</v>
      </c>
    </row>
    <row r="4574">
      <c r="A4574" s="27" t="s">
        <v>4462</v>
      </c>
      <c r="B4574" s="27" t="s">
        <v>101</v>
      </c>
      <c r="C4574" s="27" t="s">
        <v>2363</v>
      </c>
    </row>
    <row r="4575">
      <c r="A4575" s="27" t="s">
        <v>2890</v>
      </c>
      <c r="B4575" s="27" t="s">
        <v>2891</v>
      </c>
      <c r="C4575" s="27" t="s">
        <v>2437</v>
      </c>
    </row>
    <row r="4576">
      <c r="A4576" s="27" t="s">
        <v>4479</v>
      </c>
      <c r="B4576" s="27" t="s">
        <v>4480</v>
      </c>
      <c r="C4576" s="27" t="s">
        <v>2359</v>
      </c>
    </row>
    <row r="4577">
      <c r="A4577" s="27" t="s">
        <v>5634</v>
      </c>
      <c r="B4577" s="27" t="s">
        <v>5635</v>
      </c>
      <c r="C4577" s="27" t="s">
        <v>2359</v>
      </c>
    </row>
    <row r="4578">
      <c r="A4578" s="27" t="s">
        <v>4517</v>
      </c>
      <c r="B4578" s="27" t="s">
        <v>4518</v>
      </c>
      <c r="C4578" s="27" t="s">
        <v>2437</v>
      </c>
    </row>
    <row r="4579">
      <c r="A4579" s="27" t="s">
        <v>4521</v>
      </c>
      <c r="B4579" s="27" t="s">
        <v>4522</v>
      </c>
      <c r="C4579" s="27" t="s">
        <v>2441</v>
      </c>
    </row>
    <row r="4580">
      <c r="A4580" s="27" t="s">
        <v>4525</v>
      </c>
      <c r="B4580" s="27" t="s">
        <v>4526</v>
      </c>
      <c r="C4580" s="27" t="s">
        <v>2359</v>
      </c>
    </row>
    <row r="4581">
      <c r="A4581" s="27" t="s">
        <v>5636</v>
      </c>
      <c r="B4581" s="27" t="s">
        <v>5637</v>
      </c>
      <c r="C4581" s="27" t="s">
        <v>2359</v>
      </c>
    </row>
    <row r="4582">
      <c r="A4582" s="27" t="s">
        <v>4557</v>
      </c>
      <c r="B4582" s="27" t="s">
        <v>4558</v>
      </c>
      <c r="C4582" s="27" t="s">
        <v>2363</v>
      </c>
    </row>
    <row r="4583">
      <c r="A4583" s="27" t="s">
        <v>3398</v>
      </c>
      <c r="B4583" s="27" t="s">
        <v>3399</v>
      </c>
      <c r="C4583" s="27" t="s">
        <v>2441</v>
      </c>
    </row>
    <row r="4584">
      <c r="A4584" s="27" t="s">
        <v>3563</v>
      </c>
      <c r="B4584" s="27" t="s">
        <v>3564</v>
      </c>
      <c r="C4584" s="27" t="s">
        <v>2359</v>
      </c>
    </row>
    <row r="4585">
      <c r="A4585" s="27" t="s">
        <v>4606</v>
      </c>
      <c r="B4585" s="27" t="s">
        <v>4607</v>
      </c>
      <c r="C4585" s="27" t="s">
        <v>2363</v>
      </c>
    </row>
    <row r="4586">
      <c r="A4586" s="27" t="s">
        <v>5638</v>
      </c>
      <c r="B4586" s="27" t="s">
        <v>5639</v>
      </c>
      <c r="C4586" s="27" t="s">
        <v>2359</v>
      </c>
    </row>
    <row r="4587">
      <c r="A4587" s="27" t="s">
        <v>3136</v>
      </c>
      <c r="B4587" s="27" t="s">
        <v>3137</v>
      </c>
      <c r="C4587" s="27" t="s">
        <v>2359</v>
      </c>
    </row>
    <row r="4588">
      <c r="A4588" s="27" t="s">
        <v>3118</v>
      </c>
      <c r="B4588" s="27" t="s">
        <v>3119</v>
      </c>
      <c r="C4588" s="27" t="s">
        <v>2359</v>
      </c>
    </row>
    <row r="4589">
      <c r="A4589" s="27" t="s">
        <v>3575</v>
      </c>
      <c r="B4589" s="27" t="s">
        <v>3576</v>
      </c>
      <c r="C4589" s="27" t="s">
        <v>2595</v>
      </c>
    </row>
    <row r="4590">
      <c r="A4590" s="27" t="s">
        <v>3335</v>
      </c>
      <c r="B4590" s="27" t="s">
        <v>3336</v>
      </c>
      <c r="C4590" s="27" t="s">
        <v>2359</v>
      </c>
    </row>
    <row r="4591">
      <c r="A4591" s="27" t="s">
        <v>3120</v>
      </c>
      <c r="B4591" s="27" t="s">
        <v>3121</v>
      </c>
      <c r="C4591" s="27" t="s">
        <v>2447</v>
      </c>
    </row>
    <row r="4592">
      <c r="A4592" s="27" t="s">
        <v>4628</v>
      </c>
      <c r="B4592" s="27" t="s">
        <v>4629</v>
      </c>
      <c r="C4592" s="27" t="s">
        <v>2437</v>
      </c>
    </row>
    <row r="4593">
      <c r="A4593" s="27" t="s">
        <v>2532</v>
      </c>
      <c r="B4593" s="27" t="s">
        <v>466</v>
      </c>
      <c r="C4593" s="27" t="s">
        <v>2363</v>
      </c>
    </row>
    <row r="4594">
      <c r="A4594" s="27" t="s">
        <v>2533</v>
      </c>
      <c r="B4594" s="27" t="s">
        <v>529</v>
      </c>
      <c r="C4594" s="27" t="s">
        <v>2363</v>
      </c>
    </row>
    <row r="4595">
      <c r="A4595" s="27" t="s">
        <v>2912</v>
      </c>
      <c r="B4595" s="27" t="s">
        <v>657</v>
      </c>
      <c r="C4595" s="27" t="s">
        <v>2437</v>
      </c>
    </row>
    <row r="4596">
      <c r="A4596" s="27" t="s">
        <v>2914</v>
      </c>
      <c r="B4596" s="27" t="s">
        <v>659</v>
      </c>
      <c r="C4596" s="27" t="s">
        <v>2359</v>
      </c>
    </row>
    <row r="4597">
      <c r="A4597" s="27" t="s">
        <v>2915</v>
      </c>
      <c r="B4597" s="27" t="s">
        <v>655</v>
      </c>
      <c r="C4597" s="27" t="s">
        <v>2437</v>
      </c>
    </row>
    <row r="4598">
      <c r="A4598" s="27" t="s">
        <v>2916</v>
      </c>
      <c r="B4598" s="27" t="s">
        <v>623</v>
      </c>
      <c r="C4598" s="27" t="s">
        <v>2359</v>
      </c>
    </row>
    <row r="4599">
      <c r="A4599" s="27" t="s">
        <v>2917</v>
      </c>
      <c r="B4599" s="27" t="s">
        <v>617</v>
      </c>
      <c r="C4599" s="27" t="s">
        <v>2363</v>
      </c>
    </row>
    <row r="4600">
      <c r="A4600" s="27" t="s">
        <v>2920</v>
      </c>
      <c r="B4600" s="27" t="s">
        <v>625</v>
      </c>
      <c r="C4600" s="27" t="s">
        <v>2359</v>
      </c>
    </row>
    <row r="4601">
      <c r="A4601" s="27" t="s">
        <v>2540</v>
      </c>
      <c r="B4601" s="27" t="s">
        <v>631</v>
      </c>
      <c r="C4601" s="27" t="s">
        <v>2361</v>
      </c>
    </row>
    <row r="4602">
      <c r="A4602" s="27" t="s">
        <v>2541</v>
      </c>
      <c r="B4602" s="27" t="s">
        <v>635</v>
      </c>
      <c r="C4602" s="27" t="s">
        <v>2359</v>
      </c>
    </row>
    <row r="4603">
      <c r="A4603" s="27" t="s">
        <v>2542</v>
      </c>
      <c r="B4603" s="27" t="s">
        <v>629</v>
      </c>
      <c r="C4603" s="27" t="s">
        <v>2359</v>
      </c>
    </row>
    <row r="4604">
      <c r="A4604" s="27" t="s">
        <v>2543</v>
      </c>
      <c r="B4604" s="27" t="s">
        <v>633</v>
      </c>
      <c r="C4604" s="27" t="s">
        <v>2359</v>
      </c>
    </row>
    <row r="4605">
      <c r="A4605" s="27" t="s">
        <v>3167</v>
      </c>
      <c r="B4605" s="27" t="s">
        <v>637</v>
      </c>
      <c r="C4605" s="27" t="s">
        <v>2363</v>
      </c>
    </row>
    <row r="4606">
      <c r="A4606" s="27" t="s">
        <v>3171</v>
      </c>
      <c r="B4606" s="27" t="s">
        <v>645</v>
      </c>
      <c r="C4606" s="27" t="s">
        <v>2437</v>
      </c>
    </row>
    <row r="4607">
      <c r="A4607" s="27" t="s">
        <v>3172</v>
      </c>
      <c r="B4607" s="27" t="s">
        <v>647</v>
      </c>
      <c r="C4607" s="27" t="s">
        <v>2363</v>
      </c>
    </row>
    <row r="4608">
      <c r="A4608" s="27" t="s">
        <v>3174</v>
      </c>
      <c r="B4608" s="27" t="s">
        <v>651</v>
      </c>
      <c r="C4608" s="27" t="s">
        <v>2437</v>
      </c>
    </row>
    <row r="4609">
      <c r="A4609" s="27" t="s">
        <v>2544</v>
      </c>
      <c r="B4609" s="27" t="s">
        <v>542</v>
      </c>
      <c r="C4609" s="27" t="s">
        <v>2462</v>
      </c>
    </row>
    <row r="4610">
      <c r="A4610" s="27" t="s">
        <v>3175</v>
      </c>
      <c r="B4610" s="27" t="s">
        <v>546</v>
      </c>
      <c r="C4610" s="27" t="s">
        <v>2441</v>
      </c>
    </row>
    <row r="4611">
      <c r="A4611" s="27" t="s">
        <v>2545</v>
      </c>
      <c r="B4611" s="27" t="s">
        <v>544</v>
      </c>
      <c r="C4611" s="27" t="s">
        <v>2359</v>
      </c>
    </row>
    <row r="4612">
      <c r="A4612" s="27" t="s">
        <v>2546</v>
      </c>
      <c r="B4612" s="27" t="s">
        <v>548</v>
      </c>
      <c r="C4612" s="27" t="s">
        <v>2437</v>
      </c>
    </row>
    <row r="4613">
      <c r="A4613" s="27" t="s">
        <v>2548</v>
      </c>
      <c r="B4613" s="27" t="s">
        <v>540</v>
      </c>
      <c r="C4613" s="27" t="s">
        <v>2363</v>
      </c>
    </row>
    <row r="4614">
      <c r="A4614" s="27" t="s">
        <v>2550</v>
      </c>
      <c r="B4614" s="27" t="s">
        <v>722</v>
      </c>
      <c r="C4614" s="27" t="s">
        <v>2595</v>
      </c>
    </row>
    <row r="4615">
      <c r="A4615" s="27" t="s">
        <v>3124</v>
      </c>
      <c r="B4615" s="27" t="s">
        <v>718</v>
      </c>
      <c r="C4615" s="27" t="s">
        <v>2363</v>
      </c>
    </row>
    <row r="4616">
      <c r="A4616" s="27" t="s">
        <v>2922</v>
      </c>
      <c r="B4616" s="27" t="s">
        <v>767</v>
      </c>
      <c r="C4616" s="27" t="s">
        <v>2363</v>
      </c>
    </row>
    <row r="4617">
      <c r="A4617" s="27" t="s">
        <v>2924</v>
      </c>
      <c r="B4617" s="27" t="s">
        <v>771</v>
      </c>
      <c r="C4617" s="27" t="s">
        <v>2363</v>
      </c>
    </row>
    <row r="4618">
      <c r="A4618" s="27" t="s">
        <v>3179</v>
      </c>
      <c r="B4618" s="27" t="s">
        <v>476</v>
      </c>
      <c r="C4618" s="27" t="s">
        <v>2441</v>
      </c>
    </row>
    <row r="4619">
      <c r="A4619" s="27" t="s">
        <v>2565</v>
      </c>
      <c r="B4619" s="27" t="s">
        <v>557</v>
      </c>
      <c r="C4619" s="27" t="s">
        <v>2363</v>
      </c>
    </row>
    <row r="4620">
      <c r="A4620" s="27" t="s">
        <v>2567</v>
      </c>
      <c r="B4620" s="27" t="s">
        <v>559</v>
      </c>
      <c r="C4620" s="27" t="s">
        <v>2359</v>
      </c>
    </row>
    <row r="4621">
      <c r="A4621" s="27" t="s">
        <v>2568</v>
      </c>
      <c r="B4621" s="27" t="s">
        <v>561</v>
      </c>
      <c r="C4621" s="27" t="s">
        <v>2363</v>
      </c>
    </row>
    <row r="4622">
      <c r="A4622" s="27" t="s">
        <v>3151</v>
      </c>
      <c r="B4622" s="27" t="s">
        <v>555</v>
      </c>
      <c r="C4622" s="27" t="s">
        <v>2363</v>
      </c>
    </row>
    <row r="4623">
      <c r="A4623" s="27" t="s">
        <v>3125</v>
      </c>
      <c r="B4623" s="27" t="s">
        <v>708</v>
      </c>
      <c r="C4623" s="27" t="s">
        <v>2359</v>
      </c>
    </row>
    <row r="4624">
      <c r="A4624" s="27" t="s">
        <v>2570</v>
      </c>
      <c r="B4624" s="27" t="s">
        <v>714</v>
      </c>
      <c r="C4624" s="27" t="s">
        <v>2363</v>
      </c>
    </row>
    <row r="4625">
      <c r="A4625" s="27" t="s">
        <v>3126</v>
      </c>
      <c r="B4625" s="27" t="s">
        <v>712</v>
      </c>
      <c r="C4625" s="27" t="s">
        <v>2437</v>
      </c>
    </row>
    <row r="4626">
      <c r="A4626" s="27" t="s">
        <v>2571</v>
      </c>
      <c r="B4626" s="27" t="s">
        <v>710</v>
      </c>
      <c r="C4626" s="27" t="s">
        <v>2359</v>
      </c>
    </row>
    <row r="4627">
      <c r="A4627" s="27" t="s">
        <v>2572</v>
      </c>
      <c r="B4627" s="27" t="s">
        <v>706</v>
      </c>
      <c r="C4627" s="27" t="s">
        <v>2359</v>
      </c>
    </row>
    <row r="4628">
      <c r="A4628" s="27" t="s">
        <v>2573</v>
      </c>
      <c r="B4628" s="27" t="s">
        <v>572</v>
      </c>
      <c r="C4628" s="27" t="s">
        <v>2359</v>
      </c>
    </row>
    <row r="4629">
      <c r="A4629" s="27" t="s">
        <v>2574</v>
      </c>
      <c r="B4629" s="27" t="s">
        <v>568</v>
      </c>
      <c r="C4629" s="27" t="s">
        <v>2359</v>
      </c>
    </row>
    <row r="4630">
      <c r="A4630" s="27" t="s">
        <v>2575</v>
      </c>
      <c r="B4630" s="27" t="s">
        <v>570</v>
      </c>
      <c r="C4630" s="27" t="s">
        <v>2363</v>
      </c>
    </row>
    <row r="4631">
      <c r="A4631" s="27" t="s">
        <v>2576</v>
      </c>
      <c r="B4631" s="27" t="s">
        <v>588</v>
      </c>
      <c r="C4631" s="27" t="s">
        <v>2359</v>
      </c>
    </row>
    <row r="4632">
      <c r="A4632" s="27" t="s">
        <v>3152</v>
      </c>
      <c r="B4632" s="27" t="s">
        <v>574</v>
      </c>
      <c r="C4632" s="27" t="s">
        <v>2363</v>
      </c>
    </row>
    <row r="4633">
      <c r="A4633" s="27" t="s">
        <v>3153</v>
      </c>
      <c r="B4633" s="27" t="s">
        <v>576</v>
      </c>
      <c r="C4633" s="27" t="s">
        <v>2462</v>
      </c>
    </row>
    <row r="4634">
      <c r="A4634" s="27" t="s">
        <v>3210</v>
      </c>
      <c r="B4634" s="27" t="s">
        <v>793</v>
      </c>
      <c r="C4634" s="27" t="s">
        <v>2462</v>
      </c>
    </row>
    <row r="4635">
      <c r="A4635" s="27" t="s">
        <v>2926</v>
      </c>
      <c r="B4635" s="27" t="s">
        <v>743</v>
      </c>
      <c r="C4635" s="27" t="s">
        <v>2437</v>
      </c>
    </row>
    <row r="4636">
      <c r="A4636" s="27" t="s">
        <v>3400</v>
      </c>
      <c r="B4636" s="27" t="s">
        <v>745</v>
      </c>
      <c r="C4636" s="27" t="s">
        <v>2437</v>
      </c>
    </row>
    <row r="4637">
      <c r="A4637" s="27" t="s">
        <v>2927</v>
      </c>
      <c r="B4637" s="27" t="s">
        <v>741</v>
      </c>
      <c r="C4637" s="27" t="s">
        <v>2363</v>
      </c>
    </row>
    <row r="4638">
      <c r="A4638" s="27" t="s">
        <v>3213</v>
      </c>
      <c r="B4638" s="27" t="s">
        <v>673</v>
      </c>
      <c r="C4638" s="27" t="s">
        <v>2359</v>
      </c>
    </row>
    <row r="4639">
      <c r="A4639" s="27" t="s">
        <v>2929</v>
      </c>
      <c r="B4639" s="27" t="s">
        <v>665</v>
      </c>
      <c r="C4639" s="27" t="s">
        <v>2359</v>
      </c>
    </row>
    <row r="4640">
      <c r="A4640" s="27" t="s">
        <v>2590</v>
      </c>
      <c r="B4640" s="27" t="s">
        <v>669</v>
      </c>
      <c r="C4640" s="27" t="s">
        <v>2359</v>
      </c>
    </row>
    <row r="4641">
      <c r="A4641" s="27" t="s">
        <v>2593</v>
      </c>
      <c r="B4641" s="27" t="s">
        <v>728</v>
      </c>
      <c r="C4641" s="27" t="s">
        <v>2462</v>
      </c>
    </row>
    <row r="4642">
      <c r="A4642" s="27" t="s">
        <v>2594</v>
      </c>
      <c r="B4642" s="27" t="s">
        <v>732</v>
      </c>
      <c r="C4642" s="27" t="s">
        <v>2359</v>
      </c>
    </row>
    <row r="4643">
      <c r="A4643" s="27" t="s">
        <v>2597</v>
      </c>
      <c r="B4643" s="27" t="s">
        <v>734</v>
      </c>
      <c r="C4643" s="27" t="s">
        <v>2441</v>
      </c>
    </row>
    <row r="4644">
      <c r="A4644" s="27" t="s">
        <v>2598</v>
      </c>
      <c r="B4644" s="27" t="s">
        <v>726</v>
      </c>
      <c r="C4644" s="27" t="s">
        <v>2441</v>
      </c>
    </row>
    <row r="4645">
      <c r="A4645" s="27" t="s">
        <v>4742</v>
      </c>
      <c r="B4645" s="27" t="s">
        <v>253</v>
      </c>
      <c r="C4645" s="27" t="s">
        <v>2363</v>
      </c>
    </row>
    <row r="4646">
      <c r="A4646" s="27" t="s">
        <v>2671</v>
      </c>
      <c r="B4646" s="27" t="s">
        <v>172</v>
      </c>
      <c r="C4646" s="27" t="s">
        <v>2451</v>
      </c>
    </row>
    <row r="4647">
      <c r="A4647" s="27" t="s">
        <v>2673</v>
      </c>
      <c r="B4647" s="27" t="s">
        <v>174</v>
      </c>
      <c r="C4647" s="27" t="s">
        <v>2441</v>
      </c>
    </row>
    <row r="4648">
      <c r="A4648" s="27" t="s">
        <v>2674</v>
      </c>
      <c r="B4648" s="27" t="s">
        <v>170</v>
      </c>
      <c r="C4648" s="27" t="s">
        <v>2437</v>
      </c>
    </row>
    <row r="4649">
      <c r="A4649" s="27" t="s">
        <v>2675</v>
      </c>
      <c r="B4649" s="27" t="s">
        <v>184</v>
      </c>
      <c r="C4649" s="27" t="s">
        <v>2359</v>
      </c>
    </row>
    <row r="4650">
      <c r="A4650" s="27" t="s">
        <v>3158</v>
      </c>
      <c r="B4650" s="27" t="s">
        <v>190</v>
      </c>
      <c r="C4650" s="27" t="s">
        <v>2363</v>
      </c>
    </row>
    <row r="4651">
      <c r="A4651" s="27" t="s">
        <v>2678</v>
      </c>
      <c r="B4651" s="27" t="s">
        <v>271</v>
      </c>
      <c r="C4651" s="27" t="s">
        <v>2441</v>
      </c>
    </row>
    <row r="4652">
      <c r="A4652" s="27" t="s">
        <v>2680</v>
      </c>
      <c r="B4652" s="27" t="s">
        <v>276</v>
      </c>
      <c r="C4652" s="27" t="s">
        <v>2359</v>
      </c>
    </row>
    <row r="4653">
      <c r="A4653" s="27" t="s">
        <v>3401</v>
      </c>
      <c r="B4653" s="27" t="s">
        <v>278</v>
      </c>
      <c r="C4653" s="27" t="s">
        <v>2363</v>
      </c>
    </row>
    <row r="4654">
      <c r="A4654" s="27" t="s">
        <v>2681</v>
      </c>
      <c r="B4654" s="27" t="s">
        <v>274</v>
      </c>
      <c r="C4654" s="27" t="s">
        <v>2437</v>
      </c>
    </row>
    <row r="4655">
      <c r="A4655" s="27" t="s">
        <v>4751</v>
      </c>
      <c r="B4655" s="27" t="s">
        <v>208</v>
      </c>
      <c r="C4655" s="27" t="s">
        <v>2441</v>
      </c>
    </row>
    <row r="4656">
      <c r="A4656" s="27" t="s">
        <v>2684</v>
      </c>
      <c r="B4656" s="27" t="s">
        <v>292</v>
      </c>
      <c r="C4656" s="27" t="s">
        <v>2462</v>
      </c>
    </row>
    <row r="4657">
      <c r="A4657" s="27" t="s">
        <v>3402</v>
      </c>
      <c r="B4657" s="27" t="s">
        <v>284</v>
      </c>
      <c r="C4657" s="27" t="s">
        <v>2363</v>
      </c>
    </row>
    <row r="4658">
      <c r="A4658" s="27" t="s">
        <v>3431</v>
      </c>
      <c r="B4658" s="27" t="s">
        <v>290</v>
      </c>
      <c r="C4658" s="27" t="s">
        <v>2437</v>
      </c>
    </row>
    <row r="4659">
      <c r="A4659" s="27" t="s">
        <v>5640</v>
      </c>
      <c r="B4659" s="27" t="s">
        <v>5641</v>
      </c>
      <c r="C4659" s="27" t="s">
        <v>2363</v>
      </c>
    </row>
    <row r="4660">
      <c r="A4660" s="27" t="s">
        <v>5642</v>
      </c>
      <c r="B4660" s="27" t="s">
        <v>5643</v>
      </c>
      <c r="C4660" s="27" t="s">
        <v>2359</v>
      </c>
    </row>
    <row r="4661">
      <c r="A4661" s="27" t="s">
        <v>5644</v>
      </c>
      <c r="B4661" s="27" t="s">
        <v>5645</v>
      </c>
      <c r="C4661" s="27" t="s">
        <v>2359</v>
      </c>
    </row>
    <row r="4662">
      <c r="A4662" s="27" t="s">
        <v>3337</v>
      </c>
      <c r="B4662" s="27" t="s">
        <v>3338</v>
      </c>
      <c r="C4662" s="27" t="s">
        <v>2363</v>
      </c>
    </row>
    <row r="4663">
      <c r="A4663" s="27" t="s">
        <v>5646</v>
      </c>
      <c r="B4663" s="27" t="s">
        <v>5647</v>
      </c>
      <c r="C4663" s="27" t="s">
        <v>2359</v>
      </c>
    </row>
    <row r="4664">
      <c r="A4664" s="27" t="s">
        <v>5648</v>
      </c>
      <c r="B4664" s="27" t="s">
        <v>5649</v>
      </c>
      <c r="C4664" s="27" t="s">
        <v>2363</v>
      </c>
    </row>
    <row r="4665">
      <c r="A4665" s="27" t="s">
        <v>5650</v>
      </c>
      <c r="B4665" s="27" t="s">
        <v>5651</v>
      </c>
      <c r="C4665" s="27" t="s">
        <v>2409</v>
      </c>
    </row>
    <row r="4666">
      <c r="A4666" s="27" t="s">
        <v>5652</v>
      </c>
      <c r="B4666" s="27" t="s">
        <v>5653</v>
      </c>
      <c r="C4666" s="27" t="s">
        <v>2363</v>
      </c>
    </row>
    <row r="4667">
      <c r="A4667" s="27" t="s">
        <v>5654</v>
      </c>
      <c r="B4667" s="27" t="s">
        <v>5655</v>
      </c>
      <c r="C4667" s="27" t="s">
        <v>2363</v>
      </c>
    </row>
    <row r="4668">
      <c r="A4668" s="27" t="s">
        <v>3339</v>
      </c>
      <c r="B4668" s="27" t="s">
        <v>3340</v>
      </c>
      <c r="C4668" s="27" t="s">
        <v>2359</v>
      </c>
    </row>
    <row r="4669">
      <c r="A4669" s="27" t="s">
        <v>3592</v>
      </c>
      <c r="B4669" s="27" t="s">
        <v>3593</v>
      </c>
      <c r="C4669" s="27" t="s">
        <v>2359</v>
      </c>
    </row>
    <row r="4670">
      <c r="A4670" s="27" t="s">
        <v>3594</v>
      </c>
      <c r="B4670" s="27" t="s">
        <v>3595</v>
      </c>
      <c r="C4670" s="27" t="s">
        <v>2359</v>
      </c>
    </row>
    <row r="4671">
      <c r="A4671" s="27" t="s">
        <v>5656</v>
      </c>
      <c r="B4671" s="27" t="s">
        <v>5657</v>
      </c>
      <c r="C4671" s="27" t="s">
        <v>2363</v>
      </c>
    </row>
    <row r="4672">
      <c r="A4672" s="27" t="s">
        <v>2938</v>
      </c>
      <c r="B4672" s="27" t="s">
        <v>2939</v>
      </c>
      <c r="C4672" s="27" t="s">
        <v>2437</v>
      </c>
    </row>
    <row r="4673">
      <c r="A4673" s="27" t="s">
        <v>3343</v>
      </c>
      <c r="B4673" s="27" t="s">
        <v>3344</v>
      </c>
      <c r="C4673" s="27" t="s">
        <v>2363</v>
      </c>
    </row>
    <row r="4674">
      <c r="A4674" s="27" t="s">
        <v>3347</v>
      </c>
      <c r="B4674" s="27" t="s">
        <v>3348</v>
      </c>
      <c r="C4674" s="27" t="s">
        <v>2363</v>
      </c>
    </row>
    <row r="4675">
      <c r="A4675" s="27" t="s">
        <v>5658</v>
      </c>
      <c r="B4675" s="27" t="s">
        <v>5659</v>
      </c>
      <c r="C4675" s="27" t="s">
        <v>2451</v>
      </c>
    </row>
    <row r="4676">
      <c r="A4676" s="27" t="s">
        <v>3349</v>
      </c>
      <c r="B4676" s="27" t="s">
        <v>3350</v>
      </c>
      <c r="C4676" s="27" t="s">
        <v>2359</v>
      </c>
    </row>
    <row r="4677">
      <c r="A4677" s="27" t="s">
        <v>5660</v>
      </c>
      <c r="B4677" s="27" t="s">
        <v>5661</v>
      </c>
      <c r="C4677" s="27" t="s">
        <v>2363</v>
      </c>
    </row>
    <row r="4678">
      <c r="A4678" s="27" t="s">
        <v>2946</v>
      </c>
      <c r="B4678" s="27" t="s">
        <v>2947</v>
      </c>
      <c r="C4678" s="27" t="s">
        <v>2359</v>
      </c>
    </row>
    <row r="4679">
      <c r="A4679" s="27" t="s">
        <v>2950</v>
      </c>
      <c r="B4679" s="27" t="s">
        <v>2951</v>
      </c>
      <c r="C4679" s="27" t="s">
        <v>2359</v>
      </c>
    </row>
    <row r="4680">
      <c r="A4680" s="27" t="s">
        <v>5662</v>
      </c>
      <c r="B4680" s="27" t="s">
        <v>5663</v>
      </c>
      <c r="C4680" s="27" t="s">
        <v>2363</v>
      </c>
    </row>
    <row r="4681">
      <c r="A4681" s="27" t="s">
        <v>5664</v>
      </c>
      <c r="B4681" s="27" t="s">
        <v>5665</v>
      </c>
      <c r="C4681" s="27" t="s">
        <v>2363</v>
      </c>
    </row>
    <row r="4682">
      <c r="A4682" s="27" t="s">
        <v>5666</v>
      </c>
      <c r="B4682" s="27" t="s">
        <v>5667</v>
      </c>
      <c r="C4682" s="27" t="s">
        <v>2437</v>
      </c>
    </row>
    <row r="4683">
      <c r="A4683" s="27" t="s">
        <v>5668</v>
      </c>
      <c r="B4683" s="27" t="s">
        <v>5669</v>
      </c>
      <c r="C4683" s="27" t="s">
        <v>2359</v>
      </c>
    </row>
    <row r="4684">
      <c r="A4684" s="27" t="s">
        <v>2954</v>
      </c>
      <c r="B4684" s="27" t="s">
        <v>2955</v>
      </c>
      <c r="C4684" s="27" t="s">
        <v>2359</v>
      </c>
    </row>
    <row r="4685">
      <c r="A4685" s="27" t="s">
        <v>5670</v>
      </c>
      <c r="B4685" s="27" t="s">
        <v>5671</v>
      </c>
      <c r="C4685" s="27" t="s">
        <v>2363</v>
      </c>
    </row>
    <row r="4686">
      <c r="A4686" s="27" t="s">
        <v>5672</v>
      </c>
      <c r="B4686" s="27" t="s">
        <v>5673</v>
      </c>
      <c r="C4686" s="27" t="s">
        <v>2359</v>
      </c>
    </row>
    <row r="4687">
      <c r="A4687" s="27" t="s">
        <v>4827</v>
      </c>
      <c r="B4687" s="27" t="s">
        <v>4828</v>
      </c>
      <c r="C4687" s="27" t="s">
        <v>2359</v>
      </c>
    </row>
    <row r="4688">
      <c r="A4688" s="27" t="s">
        <v>2687</v>
      </c>
      <c r="B4688" s="27" t="s">
        <v>2688</v>
      </c>
      <c r="C4688" s="27" t="s">
        <v>2359</v>
      </c>
    </row>
    <row r="4689">
      <c r="A4689" s="27" t="s">
        <v>4835</v>
      </c>
      <c r="B4689" s="27" t="s">
        <v>4836</v>
      </c>
      <c r="C4689" s="27" t="s">
        <v>2359</v>
      </c>
    </row>
    <row r="4690">
      <c r="A4690" s="27" t="s">
        <v>5674</v>
      </c>
      <c r="B4690" s="27" t="s">
        <v>5675</v>
      </c>
      <c r="C4690" s="27" t="s">
        <v>2359</v>
      </c>
    </row>
    <row r="4691">
      <c r="A4691" s="27" t="s">
        <v>5676</v>
      </c>
      <c r="B4691" s="27" t="s">
        <v>5677</v>
      </c>
      <c r="C4691" s="27" t="s">
        <v>2359</v>
      </c>
    </row>
    <row r="4692">
      <c r="A4692" s="27" t="s">
        <v>5678</v>
      </c>
      <c r="B4692" s="27" t="s">
        <v>5679</v>
      </c>
      <c r="C4692" s="27" t="s">
        <v>2359</v>
      </c>
    </row>
    <row r="4693">
      <c r="A4693" s="27" t="s">
        <v>4913</v>
      </c>
      <c r="B4693" s="27" t="s">
        <v>4914</v>
      </c>
      <c r="C4693" s="27" t="s">
        <v>2359</v>
      </c>
    </row>
    <row r="4694">
      <c r="A4694" s="27" t="s">
        <v>5680</v>
      </c>
      <c r="B4694" s="27" t="s">
        <v>5681</v>
      </c>
      <c r="C4694" s="27" t="s">
        <v>2363</v>
      </c>
    </row>
    <row r="4695">
      <c r="A4695" s="27" t="s">
        <v>5145</v>
      </c>
      <c r="B4695" s="27" t="s">
        <v>5146</v>
      </c>
      <c r="C4695" s="27" t="s">
        <v>2363</v>
      </c>
    </row>
    <row r="4696">
      <c r="A4696" s="27" t="s">
        <v>3606</v>
      </c>
      <c r="B4696" s="27" t="s">
        <v>3607</v>
      </c>
      <c r="C4696" s="27" t="s">
        <v>2437</v>
      </c>
    </row>
    <row r="4697">
      <c r="A4697" s="27" t="s">
        <v>5682</v>
      </c>
      <c r="B4697" s="27" t="s">
        <v>5683</v>
      </c>
      <c r="C4697" s="27" t="s">
        <v>2359</v>
      </c>
    </row>
    <row r="4698">
      <c r="A4698" s="27" t="s">
        <v>3405</v>
      </c>
      <c r="B4698" s="27" t="s">
        <v>3406</v>
      </c>
      <c r="C4698" s="27" t="s">
        <v>2437</v>
      </c>
    </row>
    <row r="4699">
      <c r="A4699" s="27" t="s">
        <v>5183</v>
      </c>
      <c r="B4699" s="27" t="s">
        <v>5184</v>
      </c>
      <c r="C4699" s="27" t="s">
        <v>2359</v>
      </c>
    </row>
    <row r="4700">
      <c r="A4700" s="27" t="s">
        <v>3361</v>
      </c>
      <c r="B4700" s="27" t="s">
        <v>3362</v>
      </c>
      <c r="C4700" s="27" t="s">
        <v>2363</v>
      </c>
    </row>
    <row r="4701">
      <c r="A4701" s="27" t="s">
        <v>3618</v>
      </c>
      <c r="B4701" s="27" t="s">
        <v>3619</v>
      </c>
      <c r="C4701" s="27" t="s">
        <v>2359</v>
      </c>
    </row>
    <row r="4702">
      <c r="A4702" s="27" t="s">
        <v>5197</v>
      </c>
      <c r="B4702" s="27" t="s">
        <v>5198</v>
      </c>
      <c r="C4702" s="27" t="s">
        <v>2359</v>
      </c>
    </row>
    <row r="4703">
      <c r="A4703" s="27" t="s">
        <v>5207</v>
      </c>
      <c r="B4703" s="27" t="s">
        <v>5208</v>
      </c>
      <c r="C4703" s="27" t="s">
        <v>2437</v>
      </c>
    </row>
    <row r="4704">
      <c r="A4704" s="27" t="s">
        <v>5211</v>
      </c>
      <c r="B4704" s="27" t="s">
        <v>5212</v>
      </c>
      <c r="C4704" s="27" t="s">
        <v>2363</v>
      </c>
    </row>
    <row r="4705">
      <c r="A4705" s="27" t="s">
        <v>3626</v>
      </c>
      <c r="B4705" s="27" t="s">
        <v>3627</v>
      </c>
      <c r="C4705" s="27" t="s">
        <v>2359</v>
      </c>
    </row>
    <row r="4706">
      <c r="A4706" s="27" t="s">
        <v>5226</v>
      </c>
      <c r="B4706" s="27" t="s">
        <v>5227</v>
      </c>
      <c r="C4706" s="27" t="s">
        <v>2359</v>
      </c>
    </row>
    <row r="4707">
      <c r="A4707" s="27" t="s">
        <v>5232</v>
      </c>
      <c r="B4707" s="27" t="s">
        <v>5233</v>
      </c>
      <c r="C4707" s="27" t="s">
        <v>2359</v>
      </c>
    </row>
    <row r="4708">
      <c r="A4708" s="27" t="s">
        <v>5684</v>
      </c>
      <c r="B4708" s="27" t="s">
        <v>5685</v>
      </c>
      <c r="C4708" s="27" t="s">
        <v>2359</v>
      </c>
    </row>
    <row r="4709">
      <c r="A4709" s="27" t="s">
        <v>5686</v>
      </c>
      <c r="B4709" s="27" t="s">
        <v>5687</v>
      </c>
      <c r="C4709" s="27" t="s">
        <v>2363</v>
      </c>
    </row>
    <row r="4710">
      <c r="A4710" s="27" t="s">
        <v>5274</v>
      </c>
      <c r="B4710" s="27" t="s">
        <v>5275</v>
      </c>
      <c r="C4710" s="27" t="s">
        <v>2363</v>
      </c>
    </row>
    <row r="4711">
      <c r="A4711" s="27" t="s">
        <v>5392</v>
      </c>
      <c r="B4711" s="27" t="s">
        <v>5393</v>
      </c>
      <c r="C4711" s="27" t="s">
        <v>2359</v>
      </c>
    </row>
    <row r="4712">
      <c r="A4712" s="27" t="s">
        <v>5416</v>
      </c>
      <c r="B4712" s="27" t="s">
        <v>5417</v>
      </c>
      <c r="C4712" s="27" t="s">
        <v>2363</v>
      </c>
    </row>
    <row r="4713">
      <c r="A4713" s="27" t="s">
        <v>5688</v>
      </c>
      <c r="B4713" s="27" t="s">
        <v>5689</v>
      </c>
      <c r="C4713" s="27" t="s">
        <v>2437</v>
      </c>
    </row>
    <row r="4714">
      <c r="A4714" s="27" t="s">
        <v>5690</v>
      </c>
      <c r="B4714" s="27" t="s">
        <v>1330</v>
      </c>
      <c r="C4714" s="27" t="s">
        <v>2359</v>
      </c>
    </row>
    <row r="4715">
      <c r="A4715" s="27" t="s">
        <v>5428</v>
      </c>
      <c r="B4715" s="27" t="s">
        <v>1335</v>
      </c>
      <c r="C4715" s="27" t="s">
        <v>2363</v>
      </c>
    </row>
    <row r="4716">
      <c r="A4716" s="27" t="s">
        <v>3423</v>
      </c>
      <c r="B4716" s="27" t="s">
        <v>1339</v>
      </c>
      <c r="C4716" s="27" t="s">
        <v>2363</v>
      </c>
    </row>
    <row r="4717">
      <c r="A4717" s="27" t="s">
        <v>2737</v>
      </c>
      <c r="B4717" s="27" t="s">
        <v>1236</v>
      </c>
      <c r="C4717" s="27" t="s">
        <v>2437</v>
      </c>
    </row>
    <row r="4718">
      <c r="A4718" s="27" t="s">
        <v>2709</v>
      </c>
      <c r="B4718" s="27" t="s">
        <v>1425</v>
      </c>
      <c r="C4718" s="27" t="s">
        <v>2437</v>
      </c>
    </row>
    <row r="4719">
      <c r="A4719" s="27" t="s">
        <v>2710</v>
      </c>
      <c r="B4719" s="27" t="s">
        <v>1427</v>
      </c>
      <c r="C4719" s="27" t="s">
        <v>2437</v>
      </c>
    </row>
    <row r="4720">
      <c r="A4720" s="27" t="s">
        <v>2711</v>
      </c>
      <c r="B4720" s="27" t="s">
        <v>1433</v>
      </c>
      <c r="C4720" s="27" t="s">
        <v>2363</v>
      </c>
    </row>
    <row r="4721">
      <c r="A4721" s="27" t="s">
        <v>5434</v>
      </c>
      <c r="B4721" s="27" t="s">
        <v>1307</v>
      </c>
      <c r="C4721" s="27" t="s">
        <v>2359</v>
      </c>
    </row>
    <row r="4722">
      <c r="A4722" s="27" t="s">
        <v>3159</v>
      </c>
      <c r="B4722" s="27" t="s">
        <v>1355</v>
      </c>
      <c r="C4722" s="27" t="s">
        <v>2363</v>
      </c>
    </row>
    <row r="4723">
      <c r="A4723" s="27" t="s">
        <v>3439</v>
      </c>
      <c r="B4723" s="27" t="s">
        <v>1263</v>
      </c>
      <c r="C4723" s="27" t="s">
        <v>2359</v>
      </c>
    </row>
    <row r="4724">
      <c r="A4724" s="27" t="s">
        <v>2740</v>
      </c>
      <c r="B4724" s="27" t="s">
        <v>1265</v>
      </c>
      <c r="C4724" s="27" t="s">
        <v>2363</v>
      </c>
    </row>
    <row r="4725">
      <c r="A4725" s="27" t="s">
        <v>2714</v>
      </c>
      <c r="B4725" s="27" t="s">
        <v>1253</v>
      </c>
      <c r="C4725" s="27" t="s">
        <v>2359</v>
      </c>
    </row>
    <row r="4726">
      <c r="A4726" s="27" t="s">
        <v>5441</v>
      </c>
      <c r="B4726" s="27" t="s">
        <v>1401</v>
      </c>
      <c r="C4726" s="27" t="s">
        <v>2359</v>
      </c>
    </row>
    <row r="4727">
      <c r="A4727" s="27" t="s">
        <v>2717</v>
      </c>
      <c r="B4727" s="27" t="s">
        <v>1189</v>
      </c>
      <c r="C4727" s="27" t="s">
        <v>2363</v>
      </c>
    </row>
    <row r="4728">
      <c r="A4728" s="27" t="s">
        <v>2743</v>
      </c>
      <c r="B4728" s="27" t="s">
        <v>1412</v>
      </c>
      <c r="C4728" s="27" t="s">
        <v>2363</v>
      </c>
    </row>
    <row r="4729">
      <c r="A4729" s="27" t="s">
        <v>2719</v>
      </c>
      <c r="B4729" s="27" t="s">
        <v>1410</v>
      </c>
      <c r="C4729" s="27" t="s">
        <v>2447</v>
      </c>
    </row>
    <row r="4730">
      <c r="A4730" s="27" t="s">
        <v>2721</v>
      </c>
      <c r="B4730" s="27" t="s">
        <v>1431</v>
      </c>
      <c r="C4730" s="27" t="s">
        <v>2437</v>
      </c>
    </row>
    <row r="4731">
      <c r="A4731" s="27" t="s">
        <v>2723</v>
      </c>
      <c r="B4731" s="27" t="s">
        <v>1423</v>
      </c>
      <c r="C4731" s="27" t="s">
        <v>2437</v>
      </c>
    </row>
    <row r="4732">
      <c r="A4732" s="27" t="s">
        <v>5691</v>
      </c>
      <c r="B4732" s="27" t="s">
        <v>1435</v>
      </c>
      <c r="C4732" s="27" t="s">
        <v>2361</v>
      </c>
    </row>
    <row r="4733">
      <c r="A4733" s="27" t="s">
        <v>2724</v>
      </c>
      <c r="B4733" s="27" t="s">
        <v>1361</v>
      </c>
      <c r="C4733" s="27" t="s">
        <v>2437</v>
      </c>
    </row>
    <row r="4734">
      <c r="A4734" s="27" t="s">
        <v>3160</v>
      </c>
      <c r="B4734" s="27" t="s">
        <v>1367</v>
      </c>
      <c r="C4734" s="27" t="s">
        <v>2363</v>
      </c>
    </row>
    <row r="4735">
      <c r="A4735" s="27" t="s">
        <v>3001</v>
      </c>
      <c r="B4735" s="27" t="s">
        <v>3002</v>
      </c>
      <c r="C4735" s="27" t="s">
        <v>2359</v>
      </c>
    </row>
    <row r="4736">
      <c r="A4736" s="27" t="s">
        <v>3003</v>
      </c>
      <c r="B4736" s="27" t="s">
        <v>3004</v>
      </c>
      <c r="C4736" s="27" t="s">
        <v>2437</v>
      </c>
    </row>
    <row r="4737">
      <c r="A4737" s="27" t="s">
        <v>2727</v>
      </c>
      <c r="B4737" s="27" t="s">
        <v>2728</v>
      </c>
      <c r="C4737" s="27" t="s">
        <v>2359</v>
      </c>
    </row>
    <row r="4738">
      <c r="A4738" s="27" t="s">
        <v>3009</v>
      </c>
      <c r="B4738" s="27" t="s">
        <v>3010</v>
      </c>
      <c r="C4738" s="27" t="s">
        <v>2378</v>
      </c>
    </row>
    <row r="4739">
      <c r="A4739" s="27" t="s">
        <v>3434</v>
      </c>
      <c r="B4739" s="27" t="s">
        <v>1238</v>
      </c>
      <c r="C4739" s="27" t="s">
        <v>2363</v>
      </c>
    </row>
    <row r="4740">
      <c r="A4740" s="27" t="s">
        <v>5472</v>
      </c>
      <c r="B4740" s="27" t="s">
        <v>5473</v>
      </c>
      <c r="C4740" s="27" t="s">
        <v>2359</v>
      </c>
    </row>
    <row r="4741">
      <c r="A4741" s="27" t="s">
        <v>5692</v>
      </c>
      <c r="B4741" s="27" t="s">
        <v>5693</v>
      </c>
      <c r="C4741" s="27" t="s">
        <v>2359</v>
      </c>
    </row>
    <row r="4742">
      <c r="A4742" s="27" t="s">
        <v>3013</v>
      </c>
      <c r="B4742" s="27" t="s">
        <v>3014</v>
      </c>
      <c r="C4742" s="27" t="s">
        <v>2359</v>
      </c>
    </row>
    <row r="4743">
      <c r="A4743" s="27" t="s">
        <v>5694</v>
      </c>
      <c r="B4743" s="27">
        <v>6.7933856404072E13</v>
      </c>
      <c r="C4743" s="27" t="s">
        <v>2380</v>
      </c>
    </row>
    <row r="4744">
      <c r="A4744" s="27" t="s">
        <v>5695</v>
      </c>
      <c r="B4744" s="27" t="s">
        <v>631</v>
      </c>
      <c r="C4744" s="27" t="s">
        <v>2359</v>
      </c>
    </row>
    <row r="4745">
      <c r="A4745" s="27" t="s">
        <v>5696</v>
      </c>
      <c r="B4745" s="27" t="s">
        <v>2735</v>
      </c>
      <c r="C4745" s="27" t="s">
        <v>5697</v>
      </c>
    </row>
  </sheetData>
  <autoFilter ref="$A$1:$Z$474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E4F5"/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8.5"/>
    <col customWidth="1" min="3" max="3" width="36.88"/>
    <col customWidth="1" min="4" max="4" width="35.88"/>
    <col customWidth="1" min="5" max="5" width="15.13"/>
    <col customWidth="1" min="6" max="6" width="9.75"/>
    <col customWidth="1" min="7" max="7" width="9.13"/>
    <col customWidth="1" min="8" max="8" width="11.63"/>
    <col customWidth="1" min="9" max="9" width="9.63"/>
    <col customWidth="1" min="10" max="10" width="3.38"/>
    <col customWidth="1" min="11" max="13" width="9.75"/>
    <col customWidth="1" min="14" max="14" width="3.38"/>
    <col customWidth="1" min="15" max="26" width="10.63"/>
  </cols>
  <sheetData>
    <row r="1" ht="14.25" customHeight="1">
      <c r="K1" s="117"/>
      <c r="L1" s="117"/>
      <c r="M1" s="117"/>
      <c r="O1" s="117"/>
      <c r="P1" s="117"/>
      <c r="Q1" s="117"/>
    </row>
    <row r="2" ht="24.0" customHeight="1">
      <c r="K2" s="3">
        <v>100.0</v>
      </c>
      <c r="L2" s="3">
        <v>50.0</v>
      </c>
      <c r="M2" s="3">
        <v>10.0</v>
      </c>
    </row>
    <row r="3" ht="14.25" customHeight="1">
      <c r="B3" s="3" t="s">
        <v>1570</v>
      </c>
      <c r="C3" s="3"/>
      <c r="D3" s="3"/>
      <c r="E3" s="2"/>
      <c r="F3" s="118" t="s">
        <v>5698</v>
      </c>
      <c r="G3" s="3" t="s">
        <v>5699</v>
      </c>
      <c r="H3" s="3" t="s">
        <v>5700</v>
      </c>
      <c r="I3" s="3" t="s">
        <v>5701</v>
      </c>
      <c r="K3" s="119" t="s">
        <v>2</v>
      </c>
      <c r="L3" s="120"/>
      <c r="M3" s="121"/>
      <c r="O3" s="119" t="s">
        <v>3</v>
      </c>
      <c r="P3" s="120"/>
      <c r="Q3" s="121"/>
    </row>
    <row r="4" ht="14.25" customHeight="1">
      <c r="B4" s="118"/>
      <c r="C4" s="118"/>
      <c r="D4" s="118"/>
      <c r="E4" s="122"/>
      <c r="F4" s="3">
        <v>0.0</v>
      </c>
      <c r="G4" s="3">
        <v>0.0</v>
      </c>
      <c r="H4" s="3">
        <v>0.0</v>
      </c>
      <c r="I4" s="3">
        <v>0.0</v>
      </c>
      <c r="K4" s="123">
        <v>0.0</v>
      </c>
      <c r="L4" s="123">
        <v>0.071425</v>
      </c>
      <c r="M4" s="123">
        <v>0.14286</v>
      </c>
      <c r="O4" s="123" t="s">
        <v>5702</v>
      </c>
      <c r="P4" s="123" t="s">
        <v>5703</v>
      </c>
      <c r="Q4" s="123" t="s">
        <v>5704</v>
      </c>
    </row>
    <row r="5" ht="14.25" customHeight="1">
      <c r="B5" s="3" t="s">
        <v>5705</v>
      </c>
      <c r="C5" s="3"/>
      <c r="D5" s="3"/>
      <c r="E5" s="3"/>
      <c r="F5" s="124">
        <v>0.0</v>
      </c>
      <c r="G5" s="124">
        <v>0.0</v>
      </c>
      <c r="H5" s="124">
        <v>0.0</v>
      </c>
      <c r="I5" s="124">
        <v>0.0</v>
      </c>
      <c r="K5" s="115">
        <f t="shared" ref="K5:M5" si="1">$H5*(1+K$4)</f>
        <v>0</v>
      </c>
      <c r="L5" s="115">
        <f t="shared" si="1"/>
        <v>0</v>
      </c>
      <c r="M5" s="115">
        <f t="shared" si="1"/>
        <v>0</v>
      </c>
      <c r="O5" s="117" t="str">
        <f t="shared" ref="O5:O275" si="3">1-K5/(G5/1.19)</f>
        <v>#DIV/0!</v>
      </c>
      <c r="P5" s="117" t="str">
        <f t="shared" ref="P5:P275" si="4">1-L5/(G5/1.19)</f>
        <v>#DIV/0!</v>
      </c>
      <c r="Q5" s="117" t="str">
        <f t="shared" ref="Q5:Q275" si="5">1-M5/(G5/1.19)</f>
        <v>#DIV/0!</v>
      </c>
    </row>
    <row r="6" ht="14.25" customHeight="1">
      <c r="B6" s="3" t="s">
        <v>16</v>
      </c>
      <c r="C6" s="3" t="s">
        <v>17</v>
      </c>
      <c r="D6" s="3" t="s">
        <v>17</v>
      </c>
      <c r="E6" s="2" t="s">
        <v>19</v>
      </c>
      <c r="F6" s="124">
        <v>0.41</v>
      </c>
      <c r="G6" s="124">
        <v>14572.0</v>
      </c>
      <c r="H6" s="124">
        <v>0.0</v>
      </c>
      <c r="I6" s="124">
        <v>0.0</v>
      </c>
      <c r="K6" s="115">
        <f t="shared" ref="K6:M6" si="2">$H6*(1+K$4)</f>
        <v>0</v>
      </c>
      <c r="L6" s="115">
        <f t="shared" si="2"/>
        <v>0</v>
      </c>
      <c r="M6" s="115">
        <f t="shared" si="2"/>
        <v>0</v>
      </c>
      <c r="O6" s="117">
        <f t="shared" si="3"/>
        <v>1</v>
      </c>
      <c r="P6" s="117">
        <f t="shared" si="4"/>
        <v>1</v>
      </c>
      <c r="Q6" s="117">
        <f t="shared" si="5"/>
        <v>1</v>
      </c>
    </row>
    <row r="7" ht="14.25" customHeight="1">
      <c r="B7" s="3"/>
      <c r="C7" s="3" t="s">
        <v>21</v>
      </c>
      <c r="D7" s="3" t="s">
        <v>22</v>
      </c>
      <c r="E7" s="2" t="s">
        <v>24</v>
      </c>
      <c r="F7" s="124">
        <v>0.33</v>
      </c>
      <c r="G7" s="124">
        <v>11696.0</v>
      </c>
      <c r="H7" s="124">
        <v>0.0</v>
      </c>
      <c r="I7" s="124">
        <v>0.0</v>
      </c>
      <c r="K7" s="115">
        <f t="shared" ref="K7:M7" si="6">$H7*(1+K$4)</f>
        <v>0</v>
      </c>
      <c r="L7" s="115">
        <f t="shared" si="6"/>
        <v>0</v>
      </c>
      <c r="M7" s="115">
        <f t="shared" si="6"/>
        <v>0</v>
      </c>
      <c r="O7" s="117">
        <f t="shared" si="3"/>
        <v>1</v>
      </c>
      <c r="P7" s="117">
        <f t="shared" si="4"/>
        <v>1</v>
      </c>
      <c r="Q7" s="117">
        <f t="shared" si="5"/>
        <v>1</v>
      </c>
    </row>
    <row r="8" ht="14.25" customHeight="1">
      <c r="B8" s="3"/>
      <c r="C8" s="3"/>
      <c r="D8" s="3"/>
      <c r="E8" s="2" t="s">
        <v>28</v>
      </c>
      <c r="F8" s="124">
        <v>0.55</v>
      </c>
      <c r="G8" s="124">
        <v>38687.0</v>
      </c>
      <c r="H8" s="124">
        <v>0.0</v>
      </c>
      <c r="I8" s="124">
        <v>0.0</v>
      </c>
      <c r="K8" s="115">
        <f t="shared" ref="K8:M8" si="7">$H8*(1+K$4)</f>
        <v>0</v>
      </c>
      <c r="L8" s="115">
        <f t="shared" si="7"/>
        <v>0</v>
      </c>
      <c r="M8" s="115">
        <f t="shared" si="7"/>
        <v>0</v>
      </c>
      <c r="O8" s="117">
        <f t="shared" si="3"/>
        <v>1</v>
      </c>
      <c r="P8" s="117">
        <f t="shared" si="4"/>
        <v>1</v>
      </c>
      <c r="Q8" s="117">
        <f t="shared" si="5"/>
        <v>1</v>
      </c>
    </row>
    <row r="9" ht="14.25" customHeight="1">
      <c r="B9" s="3"/>
      <c r="C9" s="3"/>
      <c r="D9" s="3"/>
      <c r="E9" s="2" t="s">
        <v>26</v>
      </c>
      <c r="F9" s="124">
        <v>0.52</v>
      </c>
      <c r="G9" s="124">
        <v>30424.0</v>
      </c>
      <c r="H9" s="124">
        <v>0.0</v>
      </c>
      <c r="I9" s="124">
        <v>0.0</v>
      </c>
      <c r="K9" s="115">
        <f t="shared" ref="K9:M9" si="8">$H9*(1+K$4)</f>
        <v>0</v>
      </c>
      <c r="L9" s="115">
        <f t="shared" si="8"/>
        <v>0</v>
      </c>
      <c r="M9" s="115">
        <f t="shared" si="8"/>
        <v>0</v>
      </c>
      <c r="O9" s="117">
        <f t="shared" si="3"/>
        <v>1</v>
      </c>
      <c r="P9" s="117">
        <f t="shared" si="4"/>
        <v>1</v>
      </c>
      <c r="Q9" s="117">
        <f t="shared" si="5"/>
        <v>1</v>
      </c>
    </row>
    <row r="10" ht="14.25" customHeight="1">
      <c r="B10" s="3"/>
      <c r="C10" s="3"/>
      <c r="D10" s="3"/>
      <c r="E10" s="2" t="s">
        <v>34</v>
      </c>
      <c r="F10" s="124">
        <v>0.33</v>
      </c>
      <c r="G10" s="124">
        <v>3853.0</v>
      </c>
      <c r="H10" s="124">
        <v>0.0</v>
      </c>
      <c r="I10" s="124">
        <v>0.0</v>
      </c>
      <c r="K10" s="115">
        <f t="shared" ref="K10:M10" si="9">$H10*(1+K$4)</f>
        <v>0</v>
      </c>
      <c r="L10" s="115">
        <f t="shared" si="9"/>
        <v>0</v>
      </c>
      <c r="M10" s="115">
        <f t="shared" si="9"/>
        <v>0</v>
      </c>
      <c r="O10" s="117">
        <f t="shared" si="3"/>
        <v>1</v>
      </c>
      <c r="P10" s="117">
        <f t="shared" si="4"/>
        <v>1</v>
      </c>
      <c r="Q10" s="117">
        <f t="shared" si="5"/>
        <v>1</v>
      </c>
    </row>
    <row r="11" ht="14.25" customHeight="1">
      <c r="B11" s="3"/>
      <c r="C11" s="3"/>
      <c r="D11" s="3"/>
      <c r="E11" s="2" t="s">
        <v>30</v>
      </c>
      <c r="F11" s="124">
        <v>0.36</v>
      </c>
      <c r="G11" s="124">
        <v>14822.0</v>
      </c>
      <c r="H11" s="124">
        <v>0.0</v>
      </c>
      <c r="I11" s="124">
        <v>0.0</v>
      </c>
      <c r="K11" s="115">
        <f t="shared" ref="K11:M11" si="10">$H11*(1+K$4)</f>
        <v>0</v>
      </c>
      <c r="L11" s="115">
        <f t="shared" si="10"/>
        <v>0</v>
      </c>
      <c r="M11" s="115">
        <f t="shared" si="10"/>
        <v>0</v>
      </c>
      <c r="O11" s="117">
        <f t="shared" si="3"/>
        <v>1</v>
      </c>
      <c r="P11" s="117">
        <f t="shared" si="4"/>
        <v>1</v>
      </c>
      <c r="Q11" s="117">
        <f t="shared" si="5"/>
        <v>1</v>
      </c>
    </row>
    <row r="12" ht="14.25" customHeight="1">
      <c r="B12" s="3"/>
      <c r="C12" s="3"/>
      <c r="D12" s="3"/>
      <c r="E12" s="2" t="s">
        <v>32</v>
      </c>
      <c r="F12" s="124">
        <v>0.42</v>
      </c>
      <c r="G12" s="124">
        <v>4171.0</v>
      </c>
      <c r="H12" s="124">
        <v>0.0</v>
      </c>
      <c r="I12" s="124">
        <v>0.0</v>
      </c>
      <c r="K12" s="115">
        <f t="shared" ref="K12:M12" si="11">$H12*(1+K$4)</f>
        <v>0</v>
      </c>
      <c r="L12" s="115">
        <f t="shared" si="11"/>
        <v>0</v>
      </c>
      <c r="M12" s="115">
        <f t="shared" si="11"/>
        <v>0</v>
      </c>
      <c r="O12" s="117">
        <f t="shared" si="3"/>
        <v>1</v>
      </c>
      <c r="P12" s="117">
        <f t="shared" si="4"/>
        <v>1</v>
      </c>
      <c r="Q12" s="117">
        <f t="shared" si="5"/>
        <v>1</v>
      </c>
    </row>
    <row r="13" ht="14.25" customHeight="1">
      <c r="B13" s="3"/>
      <c r="C13" s="3"/>
      <c r="D13" s="3"/>
      <c r="E13" s="2" t="s">
        <v>38</v>
      </c>
      <c r="F13" s="124">
        <v>0.41</v>
      </c>
      <c r="G13" s="124">
        <v>4829.0</v>
      </c>
      <c r="H13" s="124">
        <v>0.0</v>
      </c>
      <c r="I13" s="124">
        <v>0.0</v>
      </c>
      <c r="K13" s="115">
        <f t="shared" ref="K13:M13" si="12">$H13*(1+K$4)</f>
        <v>0</v>
      </c>
      <c r="L13" s="115">
        <f t="shared" si="12"/>
        <v>0</v>
      </c>
      <c r="M13" s="115">
        <f t="shared" si="12"/>
        <v>0</v>
      </c>
      <c r="O13" s="117">
        <f t="shared" si="3"/>
        <v>1</v>
      </c>
      <c r="P13" s="117">
        <f t="shared" si="4"/>
        <v>1</v>
      </c>
      <c r="Q13" s="117">
        <f t="shared" si="5"/>
        <v>1</v>
      </c>
    </row>
    <row r="14" ht="14.25" customHeight="1">
      <c r="B14" s="3"/>
      <c r="C14" s="3"/>
      <c r="D14" s="3"/>
      <c r="E14" s="2" t="s">
        <v>36</v>
      </c>
      <c r="F14" s="124">
        <v>0.31</v>
      </c>
      <c r="G14" s="124">
        <v>3105.0</v>
      </c>
      <c r="H14" s="124">
        <v>0.0</v>
      </c>
      <c r="I14" s="124">
        <v>0.0</v>
      </c>
      <c r="K14" s="115">
        <f t="shared" ref="K14:M14" si="13">$H14*(1+K$4)</f>
        <v>0</v>
      </c>
      <c r="L14" s="115">
        <f t="shared" si="13"/>
        <v>0</v>
      </c>
      <c r="M14" s="115">
        <f t="shared" si="13"/>
        <v>0</v>
      </c>
      <c r="O14" s="117">
        <f t="shared" si="3"/>
        <v>1</v>
      </c>
      <c r="P14" s="117">
        <f t="shared" si="4"/>
        <v>1</v>
      </c>
      <c r="Q14" s="117">
        <f t="shared" si="5"/>
        <v>1</v>
      </c>
    </row>
    <row r="15" ht="14.25" customHeight="1">
      <c r="B15" s="3"/>
      <c r="C15" s="3"/>
      <c r="D15" s="3" t="s">
        <v>39</v>
      </c>
      <c r="E15" s="2" t="s">
        <v>41</v>
      </c>
      <c r="F15" s="124">
        <v>0.46</v>
      </c>
      <c r="G15" s="124">
        <v>4048.0</v>
      </c>
      <c r="H15" s="124">
        <v>0.0</v>
      </c>
      <c r="I15" s="124">
        <v>0.0</v>
      </c>
      <c r="K15" s="115">
        <f t="shared" ref="K15:M15" si="14">$H15*(1+K$4)</f>
        <v>0</v>
      </c>
      <c r="L15" s="115">
        <f t="shared" si="14"/>
        <v>0</v>
      </c>
      <c r="M15" s="115">
        <f t="shared" si="14"/>
        <v>0</v>
      </c>
      <c r="O15" s="117">
        <f t="shared" si="3"/>
        <v>1</v>
      </c>
      <c r="P15" s="117">
        <f t="shared" si="4"/>
        <v>1</v>
      </c>
      <c r="Q15" s="117">
        <f t="shared" si="5"/>
        <v>1</v>
      </c>
    </row>
    <row r="16" ht="14.25" customHeight="1">
      <c r="B16" s="3"/>
      <c r="C16" s="3"/>
      <c r="D16" s="3" t="s">
        <v>42</v>
      </c>
      <c r="E16" s="2" t="s">
        <v>44</v>
      </c>
      <c r="F16" s="124">
        <v>0.59</v>
      </c>
      <c r="G16" s="124">
        <v>6989.0</v>
      </c>
      <c r="H16" s="124">
        <v>0.0</v>
      </c>
      <c r="I16" s="124">
        <v>0.0</v>
      </c>
      <c r="K16" s="115">
        <f t="shared" ref="K16:M16" si="15">$H16*(1+K$4)</f>
        <v>0</v>
      </c>
      <c r="L16" s="115">
        <f t="shared" si="15"/>
        <v>0</v>
      </c>
      <c r="M16" s="115">
        <f t="shared" si="15"/>
        <v>0</v>
      </c>
      <c r="O16" s="117">
        <f t="shared" si="3"/>
        <v>1</v>
      </c>
      <c r="P16" s="117">
        <f t="shared" si="4"/>
        <v>1</v>
      </c>
      <c r="Q16" s="117">
        <f t="shared" si="5"/>
        <v>1</v>
      </c>
    </row>
    <row r="17" ht="14.25" customHeight="1">
      <c r="B17" s="3"/>
      <c r="C17" s="3"/>
      <c r="D17" s="3"/>
      <c r="E17" s="2" t="s">
        <v>46</v>
      </c>
      <c r="F17" s="124">
        <v>0.43</v>
      </c>
      <c r="G17" s="124">
        <v>25417.0</v>
      </c>
      <c r="H17" s="124">
        <v>0.0</v>
      </c>
      <c r="I17" s="124">
        <v>0.0</v>
      </c>
      <c r="K17" s="115">
        <f t="shared" ref="K17:M17" si="16">$H17*(1+K$4)</f>
        <v>0</v>
      </c>
      <c r="L17" s="115">
        <f t="shared" si="16"/>
        <v>0</v>
      </c>
      <c r="M17" s="115">
        <f t="shared" si="16"/>
        <v>0</v>
      </c>
      <c r="O17" s="117">
        <f t="shared" si="3"/>
        <v>1</v>
      </c>
      <c r="P17" s="117">
        <f t="shared" si="4"/>
        <v>1</v>
      </c>
      <c r="Q17" s="117">
        <f t="shared" si="5"/>
        <v>1</v>
      </c>
    </row>
    <row r="18" ht="14.25" customHeight="1">
      <c r="B18" s="3"/>
      <c r="C18" s="3" t="s">
        <v>47</v>
      </c>
      <c r="D18" s="3" t="s">
        <v>48</v>
      </c>
      <c r="E18" s="2" t="s">
        <v>82</v>
      </c>
      <c r="F18" s="124">
        <v>0.38</v>
      </c>
      <c r="G18" s="124">
        <v>8898.0</v>
      </c>
      <c r="H18" s="124">
        <v>0.0</v>
      </c>
      <c r="I18" s="124">
        <v>0.0</v>
      </c>
      <c r="K18" s="115">
        <f t="shared" ref="K18:M18" si="17">$H18*(1+K$4)</f>
        <v>0</v>
      </c>
      <c r="L18" s="115">
        <f t="shared" si="17"/>
        <v>0</v>
      </c>
      <c r="M18" s="115">
        <f t="shared" si="17"/>
        <v>0</v>
      </c>
      <c r="O18" s="117">
        <f t="shared" si="3"/>
        <v>1</v>
      </c>
      <c r="P18" s="117">
        <f t="shared" si="4"/>
        <v>1</v>
      </c>
      <c r="Q18" s="117">
        <f t="shared" si="5"/>
        <v>1</v>
      </c>
    </row>
    <row r="19" ht="14.25" customHeight="1">
      <c r="B19" s="3"/>
      <c r="C19" s="3"/>
      <c r="D19" s="3"/>
      <c r="E19" s="2" t="s">
        <v>52</v>
      </c>
      <c r="F19" s="124">
        <v>0.44</v>
      </c>
      <c r="G19" s="124">
        <v>5118.0</v>
      </c>
      <c r="H19" s="124">
        <v>0.0</v>
      </c>
      <c r="I19" s="124">
        <v>0.0</v>
      </c>
      <c r="K19" s="115">
        <f t="shared" ref="K19:M19" si="18">$H19*(1+K$4)</f>
        <v>0</v>
      </c>
      <c r="L19" s="115">
        <f t="shared" si="18"/>
        <v>0</v>
      </c>
      <c r="M19" s="115">
        <f t="shared" si="18"/>
        <v>0</v>
      </c>
      <c r="O19" s="117">
        <f t="shared" si="3"/>
        <v>1</v>
      </c>
      <c r="P19" s="117">
        <f t="shared" si="4"/>
        <v>1</v>
      </c>
      <c r="Q19" s="117">
        <f t="shared" si="5"/>
        <v>1</v>
      </c>
    </row>
    <row r="20" ht="14.25" customHeight="1">
      <c r="B20" s="3"/>
      <c r="C20" s="3"/>
      <c r="D20" s="3"/>
      <c r="E20" s="2" t="s">
        <v>50</v>
      </c>
      <c r="F20" s="124">
        <v>0.44</v>
      </c>
      <c r="G20" s="124">
        <v>12986.0</v>
      </c>
      <c r="H20" s="124">
        <v>0.0</v>
      </c>
      <c r="I20" s="124">
        <v>0.0</v>
      </c>
      <c r="K20" s="115">
        <f t="shared" ref="K20:M20" si="19">$H20*(1+K$4)</f>
        <v>0</v>
      </c>
      <c r="L20" s="115">
        <f t="shared" si="19"/>
        <v>0</v>
      </c>
      <c r="M20" s="115">
        <f t="shared" si="19"/>
        <v>0</v>
      </c>
      <c r="O20" s="117">
        <f t="shared" si="3"/>
        <v>1</v>
      </c>
      <c r="P20" s="117">
        <f t="shared" si="4"/>
        <v>1</v>
      </c>
      <c r="Q20" s="117">
        <f t="shared" si="5"/>
        <v>1</v>
      </c>
    </row>
    <row r="21" ht="14.25" customHeight="1">
      <c r="B21" s="3"/>
      <c r="C21" s="3"/>
      <c r="D21" s="3" t="s">
        <v>53</v>
      </c>
      <c r="E21" s="2" t="s">
        <v>55</v>
      </c>
      <c r="F21" s="124">
        <v>0.31</v>
      </c>
      <c r="G21" s="124">
        <v>9074.0</v>
      </c>
      <c r="H21" s="124">
        <v>0.0</v>
      </c>
      <c r="I21" s="124">
        <v>0.0</v>
      </c>
      <c r="K21" s="115">
        <f t="shared" ref="K21:M21" si="20">$H21*(1+K$4)</f>
        <v>0</v>
      </c>
      <c r="L21" s="115">
        <f t="shared" si="20"/>
        <v>0</v>
      </c>
      <c r="M21" s="115">
        <f t="shared" si="20"/>
        <v>0</v>
      </c>
      <c r="O21" s="117">
        <f t="shared" si="3"/>
        <v>1</v>
      </c>
      <c r="P21" s="117">
        <f t="shared" si="4"/>
        <v>1</v>
      </c>
      <c r="Q21" s="117">
        <f t="shared" si="5"/>
        <v>1</v>
      </c>
    </row>
    <row r="22" ht="14.25" customHeight="1">
      <c r="B22" s="3"/>
      <c r="C22" s="3" t="s">
        <v>56</v>
      </c>
      <c r="D22" s="3" t="s">
        <v>57</v>
      </c>
      <c r="E22" s="2" t="s">
        <v>61</v>
      </c>
      <c r="F22" s="124">
        <v>0.52</v>
      </c>
      <c r="G22" s="124">
        <v>15192.0</v>
      </c>
      <c r="H22" s="124">
        <v>0.0</v>
      </c>
      <c r="I22" s="124">
        <v>0.0</v>
      </c>
      <c r="K22" s="115">
        <f t="shared" ref="K22:M22" si="21">$H22*(1+K$4)</f>
        <v>0</v>
      </c>
      <c r="L22" s="115">
        <f t="shared" si="21"/>
        <v>0</v>
      </c>
      <c r="M22" s="115">
        <f t="shared" si="21"/>
        <v>0</v>
      </c>
      <c r="O22" s="117">
        <f t="shared" si="3"/>
        <v>1</v>
      </c>
      <c r="P22" s="117">
        <f t="shared" si="4"/>
        <v>1</v>
      </c>
      <c r="Q22" s="117">
        <f t="shared" si="5"/>
        <v>1</v>
      </c>
    </row>
    <row r="23" ht="14.25" customHeight="1">
      <c r="B23" s="3"/>
      <c r="C23" s="3"/>
      <c r="D23" s="3"/>
      <c r="E23" s="2" t="s">
        <v>59</v>
      </c>
      <c r="F23" s="124">
        <v>0.5</v>
      </c>
      <c r="G23" s="124">
        <v>14751.0</v>
      </c>
      <c r="H23" s="124">
        <v>0.0</v>
      </c>
      <c r="I23" s="124">
        <v>0.0</v>
      </c>
      <c r="K23" s="115">
        <f t="shared" ref="K23:M23" si="22">$H23*(1+K$4)</f>
        <v>0</v>
      </c>
      <c r="L23" s="115">
        <f t="shared" si="22"/>
        <v>0</v>
      </c>
      <c r="M23" s="115">
        <f t="shared" si="22"/>
        <v>0</v>
      </c>
      <c r="O23" s="117">
        <f t="shared" si="3"/>
        <v>1</v>
      </c>
      <c r="P23" s="117">
        <f t="shared" si="4"/>
        <v>1</v>
      </c>
      <c r="Q23" s="117">
        <f t="shared" si="5"/>
        <v>1</v>
      </c>
    </row>
    <row r="24" ht="14.25" customHeight="1">
      <c r="B24" s="3"/>
      <c r="C24" s="3"/>
      <c r="D24" s="3"/>
      <c r="E24" s="2" t="s">
        <v>63</v>
      </c>
      <c r="F24" s="124">
        <v>0.43</v>
      </c>
      <c r="G24" s="124">
        <v>12706.0</v>
      </c>
      <c r="H24" s="124">
        <v>0.0</v>
      </c>
      <c r="I24" s="124">
        <v>0.0</v>
      </c>
      <c r="K24" s="115">
        <f t="shared" ref="K24:M24" si="23">$H24*(1+K$4)</f>
        <v>0</v>
      </c>
      <c r="L24" s="115">
        <f t="shared" si="23"/>
        <v>0</v>
      </c>
      <c r="M24" s="115">
        <f t="shared" si="23"/>
        <v>0</v>
      </c>
      <c r="O24" s="117">
        <f t="shared" si="3"/>
        <v>1</v>
      </c>
      <c r="P24" s="117">
        <f t="shared" si="4"/>
        <v>1</v>
      </c>
      <c r="Q24" s="117">
        <f t="shared" si="5"/>
        <v>1</v>
      </c>
    </row>
    <row r="25" ht="14.25" customHeight="1">
      <c r="B25" s="3"/>
      <c r="C25" s="3"/>
      <c r="D25" s="3" t="s">
        <v>64</v>
      </c>
      <c r="E25" s="2" t="s">
        <v>68</v>
      </c>
      <c r="F25" s="124">
        <v>0.18</v>
      </c>
      <c r="G25" s="124">
        <v>2453.0</v>
      </c>
      <c r="H25" s="124">
        <v>0.0</v>
      </c>
      <c r="I25" s="124">
        <v>0.0</v>
      </c>
      <c r="K25" s="115">
        <f t="shared" ref="K25:M25" si="24">$H25*(1+K$4)</f>
        <v>0</v>
      </c>
      <c r="L25" s="115">
        <f t="shared" si="24"/>
        <v>0</v>
      </c>
      <c r="M25" s="115">
        <f t="shared" si="24"/>
        <v>0</v>
      </c>
      <c r="O25" s="117">
        <f t="shared" si="3"/>
        <v>1</v>
      </c>
      <c r="P25" s="117">
        <f t="shared" si="4"/>
        <v>1</v>
      </c>
      <c r="Q25" s="117">
        <f t="shared" si="5"/>
        <v>1</v>
      </c>
    </row>
    <row r="26" ht="14.25" customHeight="1">
      <c r="B26" s="3"/>
      <c r="C26" s="3"/>
      <c r="D26" s="3"/>
      <c r="E26" s="2" t="s">
        <v>74</v>
      </c>
      <c r="F26" s="124">
        <v>0.23</v>
      </c>
      <c r="G26" s="124">
        <v>1338.0</v>
      </c>
      <c r="H26" s="124">
        <v>0.0</v>
      </c>
      <c r="I26" s="124">
        <v>0.0</v>
      </c>
      <c r="K26" s="115">
        <f t="shared" ref="K26:M26" si="25">$H26*(1+K$4)</f>
        <v>0</v>
      </c>
      <c r="L26" s="115">
        <f t="shared" si="25"/>
        <v>0</v>
      </c>
      <c r="M26" s="115">
        <f t="shared" si="25"/>
        <v>0</v>
      </c>
      <c r="O26" s="117">
        <f t="shared" si="3"/>
        <v>1</v>
      </c>
      <c r="P26" s="117">
        <f t="shared" si="4"/>
        <v>1</v>
      </c>
      <c r="Q26" s="117">
        <f t="shared" si="5"/>
        <v>1</v>
      </c>
    </row>
    <row r="27" ht="14.25" customHeight="1">
      <c r="B27" s="3"/>
      <c r="C27" s="3"/>
      <c r="D27" s="3"/>
      <c r="E27" s="2" t="s">
        <v>76</v>
      </c>
      <c r="F27" s="124">
        <v>0.2</v>
      </c>
      <c r="G27" s="124">
        <v>2247.0</v>
      </c>
      <c r="H27" s="124">
        <v>0.0</v>
      </c>
      <c r="I27" s="124">
        <v>0.0</v>
      </c>
      <c r="K27" s="115">
        <f t="shared" ref="K27:M27" si="26">$H27*(1+K$4)</f>
        <v>0</v>
      </c>
      <c r="L27" s="115">
        <f t="shared" si="26"/>
        <v>0</v>
      </c>
      <c r="M27" s="115">
        <f t="shared" si="26"/>
        <v>0</v>
      </c>
      <c r="O27" s="117">
        <f t="shared" si="3"/>
        <v>1</v>
      </c>
      <c r="P27" s="117">
        <f t="shared" si="4"/>
        <v>1</v>
      </c>
      <c r="Q27" s="117">
        <f t="shared" si="5"/>
        <v>1</v>
      </c>
    </row>
    <row r="28" ht="14.25" customHeight="1">
      <c r="B28" s="3"/>
      <c r="C28" s="3"/>
      <c r="D28" s="3"/>
      <c r="E28" s="2" t="s">
        <v>70</v>
      </c>
      <c r="F28" s="124">
        <v>0.27</v>
      </c>
      <c r="G28" s="124">
        <v>2343.0</v>
      </c>
      <c r="H28" s="124">
        <v>0.0</v>
      </c>
      <c r="I28" s="124">
        <v>0.0</v>
      </c>
      <c r="K28" s="115">
        <f t="shared" ref="K28:M28" si="27">$H28*(1+K$4)</f>
        <v>0</v>
      </c>
      <c r="L28" s="115">
        <f t="shared" si="27"/>
        <v>0</v>
      </c>
      <c r="M28" s="115">
        <f t="shared" si="27"/>
        <v>0</v>
      </c>
      <c r="O28" s="117">
        <f t="shared" si="3"/>
        <v>1</v>
      </c>
      <c r="P28" s="117">
        <f t="shared" si="4"/>
        <v>1</v>
      </c>
      <c r="Q28" s="117">
        <f t="shared" si="5"/>
        <v>1</v>
      </c>
    </row>
    <row r="29" ht="14.25" customHeight="1">
      <c r="B29" s="3"/>
      <c r="C29" s="3"/>
      <c r="D29" s="3"/>
      <c r="E29" s="2" t="s">
        <v>72</v>
      </c>
      <c r="F29" s="124">
        <v>0.17</v>
      </c>
      <c r="G29" s="124">
        <v>2541.0</v>
      </c>
      <c r="H29" s="124">
        <v>0.0</v>
      </c>
      <c r="I29" s="124">
        <v>0.0</v>
      </c>
      <c r="K29" s="115">
        <f t="shared" ref="K29:M29" si="28">$H29*(1+K$4)</f>
        <v>0</v>
      </c>
      <c r="L29" s="115">
        <f t="shared" si="28"/>
        <v>0</v>
      </c>
      <c r="M29" s="115">
        <f t="shared" si="28"/>
        <v>0</v>
      </c>
      <c r="O29" s="117">
        <f t="shared" si="3"/>
        <v>1</v>
      </c>
      <c r="P29" s="117">
        <f t="shared" si="4"/>
        <v>1</v>
      </c>
      <c r="Q29" s="117">
        <f t="shared" si="5"/>
        <v>1</v>
      </c>
    </row>
    <row r="30" ht="14.25" customHeight="1">
      <c r="B30" s="3"/>
      <c r="C30" s="3"/>
      <c r="D30" s="3"/>
      <c r="E30" s="2" t="s">
        <v>66</v>
      </c>
      <c r="F30" s="124">
        <v>0.48</v>
      </c>
      <c r="G30" s="124">
        <v>14110.0</v>
      </c>
      <c r="H30" s="124">
        <v>0.0</v>
      </c>
      <c r="I30" s="124">
        <v>0.0</v>
      </c>
      <c r="K30" s="115">
        <f t="shared" ref="K30:M30" si="29">$H30*(1+K$4)</f>
        <v>0</v>
      </c>
      <c r="L30" s="115">
        <f t="shared" si="29"/>
        <v>0</v>
      </c>
      <c r="M30" s="115">
        <f t="shared" si="29"/>
        <v>0</v>
      </c>
      <c r="O30" s="117">
        <f t="shared" si="3"/>
        <v>1</v>
      </c>
      <c r="P30" s="117">
        <f t="shared" si="4"/>
        <v>1</v>
      </c>
      <c r="Q30" s="117">
        <f t="shared" si="5"/>
        <v>1</v>
      </c>
    </row>
    <row r="31" ht="14.25" customHeight="1">
      <c r="B31" s="3"/>
      <c r="C31" s="3"/>
      <c r="D31" s="3" t="s">
        <v>77</v>
      </c>
      <c r="E31" s="2" t="s">
        <v>84</v>
      </c>
      <c r="F31" s="124">
        <v>0.51</v>
      </c>
      <c r="G31" s="124">
        <v>86833.0</v>
      </c>
      <c r="H31" s="124">
        <v>0.0</v>
      </c>
      <c r="I31" s="124">
        <v>0.0</v>
      </c>
      <c r="K31" s="115">
        <f t="shared" ref="K31:M31" si="30">$H31*(1+K$4)</f>
        <v>0</v>
      </c>
      <c r="L31" s="115">
        <f t="shared" si="30"/>
        <v>0</v>
      </c>
      <c r="M31" s="115">
        <f t="shared" si="30"/>
        <v>0</v>
      </c>
      <c r="O31" s="117">
        <f t="shared" si="3"/>
        <v>1</v>
      </c>
      <c r="P31" s="117">
        <f t="shared" si="4"/>
        <v>1</v>
      </c>
      <c r="Q31" s="117">
        <f t="shared" si="5"/>
        <v>1</v>
      </c>
    </row>
    <row r="32" ht="14.25" customHeight="1">
      <c r="B32" s="3"/>
      <c r="C32" s="3"/>
      <c r="D32" s="3"/>
      <c r="E32" s="2" t="s">
        <v>79</v>
      </c>
      <c r="F32" s="124">
        <v>0.49</v>
      </c>
      <c r="G32" s="124">
        <v>37573.0</v>
      </c>
      <c r="H32" s="124">
        <v>0.0</v>
      </c>
      <c r="I32" s="124">
        <v>0.0</v>
      </c>
      <c r="K32" s="115">
        <f t="shared" ref="K32:M32" si="31">$H32*(1+K$4)</f>
        <v>0</v>
      </c>
      <c r="L32" s="115">
        <f t="shared" si="31"/>
        <v>0</v>
      </c>
      <c r="M32" s="115">
        <f t="shared" si="31"/>
        <v>0</v>
      </c>
      <c r="O32" s="117">
        <f t="shared" si="3"/>
        <v>1</v>
      </c>
      <c r="P32" s="117">
        <f t="shared" si="4"/>
        <v>1</v>
      </c>
      <c r="Q32" s="117">
        <f t="shared" si="5"/>
        <v>1</v>
      </c>
    </row>
    <row r="33" ht="14.25" customHeight="1">
      <c r="B33" s="3" t="s">
        <v>85</v>
      </c>
      <c r="C33" s="3"/>
      <c r="D33" s="3"/>
      <c r="E33" s="3"/>
      <c r="F33" s="124">
        <v>10.67</v>
      </c>
      <c r="G33" s="124">
        <v>390776.0</v>
      </c>
      <c r="H33" s="124">
        <v>0.0</v>
      </c>
      <c r="I33" s="124">
        <v>0.0</v>
      </c>
      <c r="K33" s="115">
        <f t="shared" ref="K33:M33" si="32">$H33*(1+K$4)</f>
        <v>0</v>
      </c>
      <c r="L33" s="115">
        <f t="shared" si="32"/>
        <v>0</v>
      </c>
      <c r="M33" s="115">
        <f t="shared" si="32"/>
        <v>0</v>
      </c>
      <c r="O33" s="117">
        <f t="shared" si="3"/>
        <v>1</v>
      </c>
      <c r="P33" s="117">
        <f t="shared" si="4"/>
        <v>1</v>
      </c>
      <c r="Q33" s="117">
        <f t="shared" si="5"/>
        <v>1</v>
      </c>
    </row>
    <row r="34" ht="14.25" customHeight="1">
      <c r="B34" s="3" t="s">
        <v>86</v>
      </c>
      <c r="C34" s="3" t="s">
        <v>87</v>
      </c>
      <c r="D34" s="3" t="s">
        <v>88</v>
      </c>
      <c r="E34" s="2" t="s">
        <v>90</v>
      </c>
      <c r="F34" s="124">
        <v>0.21</v>
      </c>
      <c r="G34" s="124">
        <v>8616.0</v>
      </c>
      <c r="H34" s="124">
        <v>0.0</v>
      </c>
      <c r="I34" s="124">
        <v>0.0</v>
      </c>
      <c r="K34" s="115">
        <f t="shared" ref="K34:M34" si="33">$H34*(1+K$4)</f>
        <v>0</v>
      </c>
      <c r="L34" s="115">
        <f t="shared" si="33"/>
        <v>0</v>
      </c>
      <c r="M34" s="115">
        <f t="shared" si="33"/>
        <v>0</v>
      </c>
      <c r="O34" s="117">
        <f t="shared" si="3"/>
        <v>1</v>
      </c>
      <c r="P34" s="117">
        <f t="shared" si="4"/>
        <v>1</v>
      </c>
      <c r="Q34" s="117">
        <f t="shared" si="5"/>
        <v>1</v>
      </c>
    </row>
    <row r="35" ht="14.25" customHeight="1">
      <c r="B35" s="3"/>
      <c r="C35" s="3"/>
      <c r="D35" s="3" t="s">
        <v>91</v>
      </c>
      <c r="E35" s="2" t="s">
        <v>95</v>
      </c>
      <c r="F35" s="124">
        <v>0.27</v>
      </c>
      <c r="G35" s="124">
        <v>9381.0</v>
      </c>
      <c r="H35" s="124">
        <v>0.0</v>
      </c>
      <c r="I35" s="124">
        <v>0.0</v>
      </c>
      <c r="K35" s="115">
        <f t="shared" ref="K35:M35" si="34">$H35*(1+K$4)</f>
        <v>0</v>
      </c>
      <c r="L35" s="115">
        <f t="shared" si="34"/>
        <v>0</v>
      </c>
      <c r="M35" s="115">
        <f t="shared" si="34"/>
        <v>0</v>
      </c>
      <c r="O35" s="117">
        <f t="shared" si="3"/>
        <v>1</v>
      </c>
      <c r="P35" s="117">
        <f t="shared" si="4"/>
        <v>1</v>
      </c>
      <c r="Q35" s="117">
        <f t="shared" si="5"/>
        <v>1</v>
      </c>
    </row>
    <row r="36" ht="14.25" customHeight="1">
      <c r="B36" s="3"/>
      <c r="C36" s="3"/>
      <c r="D36" s="3"/>
      <c r="E36" s="2" t="s">
        <v>103</v>
      </c>
      <c r="F36" s="124">
        <v>0.42</v>
      </c>
      <c r="G36" s="124">
        <v>7323.0</v>
      </c>
      <c r="H36" s="124">
        <v>0.0</v>
      </c>
      <c r="I36" s="124">
        <v>0.0</v>
      </c>
      <c r="K36" s="115">
        <f t="shared" ref="K36:M36" si="35">$H36*(1+K$4)</f>
        <v>0</v>
      </c>
      <c r="L36" s="115">
        <f t="shared" si="35"/>
        <v>0</v>
      </c>
      <c r="M36" s="115">
        <f t="shared" si="35"/>
        <v>0</v>
      </c>
      <c r="O36" s="117">
        <f t="shared" si="3"/>
        <v>1</v>
      </c>
      <c r="P36" s="117">
        <f t="shared" si="4"/>
        <v>1</v>
      </c>
      <c r="Q36" s="117">
        <f t="shared" si="5"/>
        <v>1</v>
      </c>
    </row>
    <row r="37" ht="14.25" customHeight="1">
      <c r="B37" s="3"/>
      <c r="C37" s="3"/>
      <c r="D37" s="3"/>
      <c r="E37" s="2" t="s">
        <v>97</v>
      </c>
      <c r="F37" s="124">
        <v>0.37</v>
      </c>
      <c r="G37" s="124">
        <v>19336.0</v>
      </c>
      <c r="H37" s="124">
        <v>0.0</v>
      </c>
      <c r="I37" s="124">
        <v>0.0</v>
      </c>
      <c r="K37" s="115">
        <f t="shared" ref="K37:M37" si="36">$H37*(1+K$4)</f>
        <v>0</v>
      </c>
      <c r="L37" s="115">
        <f t="shared" si="36"/>
        <v>0</v>
      </c>
      <c r="M37" s="115">
        <f t="shared" si="36"/>
        <v>0</v>
      </c>
      <c r="O37" s="117">
        <f t="shared" si="3"/>
        <v>1</v>
      </c>
      <c r="P37" s="117">
        <f t="shared" si="4"/>
        <v>1</v>
      </c>
      <c r="Q37" s="117">
        <f t="shared" si="5"/>
        <v>1</v>
      </c>
    </row>
    <row r="38" ht="14.25" customHeight="1">
      <c r="B38" s="3"/>
      <c r="C38" s="3"/>
      <c r="D38" s="3"/>
      <c r="E38" s="2" t="s">
        <v>101</v>
      </c>
      <c r="F38" s="124">
        <v>0.29</v>
      </c>
      <c r="G38" s="124">
        <v>10209.0</v>
      </c>
      <c r="H38" s="124">
        <v>0.0</v>
      </c>
      <c r="I38" s="124">
        <v>0.0</v>
      </c>
      <c r="K38" s="115">
        <f t="shared" ref="K38:M38" si="37">$H38*(1+K$4)</f>
        <v>0</v>
      </c>
      <c r="L38" s="115">
        <f t="shared" si="37"/>
        <v>0</v>
      </c>
      <c r="M38" s="115">
        <f t="shared" si="37"/>
        <v>0</v>
      </c>
      <c r="O38" s="117">
        <f t="shared" si="3"/>
        <v>1</v>
      </c>
      <c r="P38" s="117">
        <f t="shared" si="4"/>
        <v>1</v>
      </c>
      <c r="Q38" s="117">
        <f t="shared" si="5"/>
        <v>1</v>
      </c>
    </row>
    <row r="39" ht="14.25" customHeight="1">
      <c r="B39" s="3"/>
      <c r="C39" s="3"/>
      <c r="D39" s="3"/>
      <c r="E39" s="2" t="s">
        <v>99</v>
      </c>
      <c r="F39" s="124">
        <v>0.27</v>
      </c>
      <c r="G39" s="124">
        <v>3129.0</v>
      </c>
      <c r="H39" s="124">
        <v>0.0</v>
      </c>
      <c r="I39" s="124">
        <v>0.0</v>
      </c>
      <c r="K39" s="115">
        <f t="shared" ref="K39:M39" si="38">$H39*(1+K$4)</f>
        <v>0</v>
      </c>
      <c r="L39" s="115">
        <f t="shared" si="38"/>
        <v>0</v>
      </c>
      <c r="M39" s="115">
        <f t="shared" si="38"/>
        <v>0</v>
      </c>
      <c r="O39" s="117">
        <f t="shared" si="3"/>
        <v>1</v>
      </c>
      <c r="P39" s="117">
        <f t="shared" si="4"/>
        <v>1</v>
      </c>
      <c r="Q39" s="117">
        <f t="shared" si="5"/>
        <v>1</v>
      </c>
    </row>
    <row r="40" ht="14.25" customHeight="1">
      <c r="B40" s="3"/>
      <c r="C40" s="3"/>
      <c r="D40" s="3"/>
      <c r="E40" s="2" t="s">
        <v>93</v>
      </c>
      <c r="F40" s="124">
        <v>0.44</v>
      </c>
      <c r="G40" s="124">
        <v>7766.0</v>
      </c>
      <c r="H40" s="124">
        <v>0.0</v>
      </c>
      <c r="I40" s="124">
        <v>0.0</v>
      </c>
      <c r="K40" s="115">
        <f t="shared" ref="K40:M40" si="39">$H40*(1+K$4)</f>
        <v>0</v>
      </c>
      <c r="L40" s="115">
        <f t="shared" si="39"/>
        <v>0</v>
      </c>
      <c r="M40" s="115">
        <f t="shared" si="39"/>
        <v>0</v>
      </c>
      <c r="O40" s="117">
        <f t="shared" si="3"/>
        <v>1</v>
      </c>
      <c r="P40" s="117">
        <f t="shared" si="4"/>
        <v>1</v>
      </c>
      <c r="Q40" s="117">
        <f t="shared" si="5"/>
        <v>1</v>
      </c>
    </row>
    <row r="41" ht="14.25" customHeight="1">
      <c r="B41" s="3" t="s">
        <v>104</v>
      </c>
      <c r="C41" s="3"/>
      <c r="D41" s="3"/>
      <c r="E41" s="3"/>
      <c r="F41" s="124">
        <v>2.27</v>
      </c>
      <c r="G41" s="124">
        <v>65760.0</v>
      </c>
      <c r="H41" s="124">
        <v>0.0</v>
      </c>
      <c r="I41" s="124">
        <v>0.0</v>
      </c>
      <c r="K41" s="115">
        <f t="shared" ref="K41:M41" si="40">$H41*(1+K$4)</f>
        <v>0</v>
      </c>
      <c r="L41" s="115">
        <f t="shared" si="40"/>
        <v>0</v>
      </c>
      <c r="M41" s="115">
        <f t="shared" si="40"/>
        <v>0</v>
      </c>
      <c r="O41" s="117">
        <f t="shared" si="3"/>
        <v>1</v>
      </c>
      <c r="P41" s="117">
        <f t="shared" si="4"/>
        <v>1</v>
      </c>
      <c r="Q41" s="117">
        <f t="shared" si="5"/>
        <v>1</v>
      </c>
    </row>
    <row r="42" ht="14.25" customHeight="1">
      <c r="B42" s="3" t="s">
        <v>1484</v>
      </c>
      <c r="C42" s="3" t="s">
        <v>1631</v>
      </c>
      <c r="D42" s="3" t="s">
        <v>1632</v>
      </c>
      <c r="E42" s="2" t="s">
        <v>1630</v>
      </c>
      <c r="F42" s="124">
        <v>0.33</v>
      </c>
      <c r="G42" s="124">
        <v>3671.0</v>
      </c>
      <c r="H42" s="124">
        <v>0.0</v>
      </c>
      <c r="I42" s="124">
        <v>0.0</v>
      </c>
      <c r="K42" s="115">
        <f t="shared" ref="K42:M42" si="41">$H42*(1+K$4)</f>
        <v>0</v>
      </c>
      <c r="L42" s="115">
        <f t="shared" si="41"/>
        <v>0</v>
      </c>
      <c r="M42" s="115">
        <f t="shared" si="41"/>
        <v>0</v>
      </c>
      <c r="O42" s="117">
        <f t="shared" si="3"/>
        <v>1</v>
      </c>
      <c r="P42" s="117">
        <f t="shared" si="4"/>
        <v>1</v>
      </c>
      <c r="Q42" s="117">
        <f t="shared" si="5"/>
        <v>1</v>
      </c>
    </row>
    <row r="43" ht="14.25" customHeight="1">
      <c r="B43" s="3"/>
      <c r="C43" s="3"/>
      <c r="D43" s="3"/>
      <c r="E43" s="2" t="s">
        <v>1633</v>
      </c>
      <c r="F43" s="124">
        <v>0.33</v>
      </c>
      <c r="G43" s="124">
        <v>3671.0</v>
      </c>
      <c r="H43" s="124">
        <v>0.0</v>
      </c>
      <c r="I43" s="124">
        <v>0.0</v>
      </c>
      <c r="K43" s="115">
        <f t="shared" ref="K43:M43" si="42">$H43*(1+K$4)</f>
        <v>0</v>
      </c>
      <c r="L43" s="115">
        <f t="shared" si="42"/>
        <v>0</v>
      </c>
      <c r="M43" s="115">
        <f t="shared" si="42"/>
        <v>0</v>
      </c>
      <c r="O43" s="117">
        <f t="shared" si="3"/>
        <v>1</v>
      </c>
      <c r="P43" s="117">
        <f t="shared" si="4"/>
        <v>1</v>
      </c>
      <c r="Q43" s="117">
        <f t="shared" si="5"/>
        <v>1</v>
      </c>
    </row>
    <row r="44" ht="14.25" customHeight="1">
      <c r="B44" s="3"/>
      <c r="C44" s="3"/>
      <c r="D44" s="3"/>
      <c r="E44" s="2" t="s">
        <v>1501</v>
      </c>
      <c r="F44" s="124">
        <v>0.33</v>
      </c>
      <c r="G44" s="124">
        <v>3671.0</v>
      </c>
      <c r="H44" s="124">
        <v>0.0</v>
      </c>
      <c r="I44" s="124">
        <v>0.0</v>
      </c>
      <c r="K44" s="115">
        <f t="shared" ref="K44:M44" si="43">$H44*(1+K$4)</f>
        <v>0</v>
      </c>
      <c r="L44" s="115">
        <f t="shared" si="43"/>
        <v>0</v>
      </c>
      <c r="M44" s="115">
        <f t="shared" si="43"/>
        <v>0</v>
      </c>
      <c r="O44" s="117">
        <f t="shared" si="3"/>
        <v>1</v>
      </c>
      <c r="P44" s="117">
        <f t="shared" si="4"/>
        <v>1</v>
      </c>
      <c r="Q44" s="117">
        <f t="shared" si="5"/>
        <v>1</v>
      </c>
    </row>
    <row r="45" ht="14.25" customHeight="1">
      <c r="B45" s="3"/>
      <c r="C45" s="3"/>
      <c r="D45" s="3"/>
      <c r="E45" s="2" t="s">
        <v>1499</v>
      </c>
      <c r="F45" s="124">
        <v>0.33</v>
      </c>
      <c r="G45" s="124">
        <v>3671.0</v>
      </c>
      <c r="H45" s="124">
        <v>0.0</v>
      </c>
      <c r="I45" s="124">
        <v>0.0</v>
      </c>
      <c r="K45" s="115">
        <f t="shared" ref="K45:M45" si="44">$H45*(1+K$4)</f>
        <v>0</v>
      </c>
      <c r="L45" s="115">
        <f t="shared" si="44"/>
        <v>0</v>
      </c>
      <c r="M45" s="115">
        <f t="shared" si="44"/>
        <v>0</v>
      </c>
      <c r="O45" s="117">
        <f t="shared" si="3"/>
        <v>1</v>
      </c>
      <c r="P45" s="117">
        <f t="shared" si="4"/>
        <v>1</v>
      </c>
      <c r="Q45" s="117">
        <f t="shared" si="5"/>
        <v>1</v>
      </c>
    </row>
    <row r="46" ht="14.25" customHeight="1">
      <c r="B46" s="3"/>
      <c r="C46" s="3"/>
      <c r="D46" s="3" t="s">
        <v>1635</v>
      </c>
      <c r="E46" s="2" t="s">
        <v>1639</v>
      </c>
      <c r="F46" s="124">
        <v>0.25</v>
      </c>
      <c r="G46" s="124">
        <v>2494.0</v>
      </c>
      <c r="H46" s="124">
        <v>0.0</v>
      </c>
      <c r="I46" s="124">
        <v>0.0</v>
      </c>
      <c r="K46" s="115">
        <f t="shared" ref="K46:M46" si="45">$H46*(1+K$4)</f>
        <v>0</v>
      </c>
      <c r="L46" s="115">
        <f t="shared" si="45"/>
        <v>0</v>
      </c>
      <c r="M46" s="115">
        <f t="shared" si="45"/>
        <v>0</v>
      </c>
      <c r="O46" s="117">
        <f t="shared" si="3"/>
        <v>1</v>
      </c>
      <c r="P46" s="117">
        <f t="shared" si="4"/>
        <v>1</v>
      </c>
      <c r="Q46" s="117">
        <f t="shared" si="5"/>
        <v>1</v>
      </c>
    </row>
    <row r="47" ht="14.25" customHeight="1">
      <c r="B47" s="3"/>
      <c r="C47" s="3"/>
      <c r="D47" s="3"/>
      <c r="E47" s="2" t="s">
        <v>1634</v>
      </c>
      <c r="F47" s="124">
        <v>0.25</v>
      </c>
      <c r="G47" s="124">
        <v>2494.0</v>
      </c>
      <c r="H47" s="124">
        <v>0.0</v>
      </c>
      <c r="I47" s="124">
        <v>0.0</v>
      </c>
      <c r="K47" s="115">
        <f t="shared" ref="K47:M47" si="46">$H47*(1+K$4)</f>
        <v>0</v>
      </c>
      <c r="L47" s="115">
        <f t="shared" si="46"/>
        <v>0</v>
      </c>
      <c r="M47" s="115">
        <f t="shared" si="46"/>
        <v>0</v>
      </c>
      <c r="O47" s="117">
        <f t="shared" si="3"/>
        <v>1</v>
      </c>
      <c r="P47" s="117">
        <f t="shared" si="4"/>
        <v>1</v>
      </c>
      <c r="Q47" s="117">
        <f t="shared" si="5"/>
        <v>1</v>
      </c>
    </row>
    <row r="48" ht="14.25" customHeight="1">
      <c r="B48" s="3"/>
      <c r="C48" s="3"/>
      <c r="D48" s="3"/>
      <c r="E48" s="2" t="s">
        <v>1637</v>
      </c>
      <c r="F48" s="124">
        <v>0.25</v>
      </c>
      <c r="G48" s="124">
        <v>2494.0</v>
      </c>
      <c r="H48" s="124">
        <v>0.0</v>
      </c>
      <c r="I48" s="124">
        <v>0.0</v>
      </c>
      <c r="K48" s="115">
        <f t="shared" ref="K48:M48" si="47">$H48*(1+K$4)</f>
        <v>0</v>
      </c>
      <c r="L48" s="115">
        <f t="shared" si="47"/>
        <v>0</v>
      </c>
      <c r="M48" s="115">
        <f t="shared" si="47"/>
        <v>0</v>
      </c>
      <c r="O48" s="117">
        <f t="shared" si="3"/>
        <v>1</v>
      </c>
      <c r="P48" s="117">
        <f t="shared" si="4"/>
        <v>1</v>
      </c>
      <c r="Q48" s="117">
        <f t="shared" si="5"/>
        <v>1</v>
      </c>
    </row>
    <row r="49" ht="14.25" customHeight="1">
      <c r="B49" s="3"/>
      <c r="C49" s="3"/>
      <c r="D49" s="3"/>
      <c r="E49" s="2" t="s">
        <v>1638</v>
      </c>
      <c r="F49" s="124">
        <v>0.25</v>
      </c>
      <c r="G49" s="124">
        <v>2494.0</v>
      </c>
      <c r="H49" s="124">
        <v>0.0</v>
      </c>
      <c r="I49" s="124">
        <v>0.0</v>
      </c>
      <c r="K49" s="115">
        <f t="shared" ref="K49:M49" si="48">$H49*(1+K$4)</f>
        <v>0</v>
      </c>
      <c r="L49" s="115">
        <f t="shared" si="48"/>
        <v>0</v>
      </c>
      <c r="M49" s="115">
        <f t="shared" si="48"/>
        <v>0</v>
      </c>
      <c r="O49" s="117">
        <f t="shared" si="3"/>
        <v>1</v>
      </c>
      <c r="P49" s="117">
        <f t="shared" si="4"/>
        <v>1</v>
      </c>
      <c r="Q49" s="117">
        <f t="shared" si="5"/>
        <v>1</v>
      </c>
    </row>
    <row r="50" ht="14.25" customHeight="1">
      <c r="B50" s="3" t="s">
        <v>1502</v>
      </c>
      <c r="C50" s="3"/>
      <c r="D50" s="3"/>
      <c r="E50" s="3"/>
      <c r="F50" s="124">
        <v>2.3200000000000003</v>
      </c>
      <c r="G50" s="124">
        <v>24660.0</v>
      </c>
      <c r="H50" s="124">
        <v>0.0</v>
      </c>
      <c r="I50" s="124">
        <v>0.0</v>
      </c>
      <c r="K50" s="115">
        <f t="shared" ref="K50:M50" si="49">$H50*(1+K$4)</f>
        <v>0</v>
      </c>
      <c r="L50" s="115">
        <f t="shared" si="49"/>
        <v>0</v>
      </c>
      <c r="M50" s="115">
        <f t="shared" si="49"/>
        <v>0</v>
      </c>
      <c r="O50" s="117">
        <f t="shared" si="3"/>
        <v>1</v>
      </c>
      <c r="P50" s="117">
        <f t="shared" si="4"/>
        <v>1</v>
      </c>
      <c r="Q50" s="117">
        <f t="shared" si="5"/>
        <v>1</v>
      </c>
    </row>
    <row r="51" ht="14.25" customHeight="1">
      <c r="B51" s="3" t="s">
        <v>105</v>
      </c>
      <c r="C51" s="3" t="s">
        <v>106</v>
      </c>
      <c r="D51" s="3" t="s">
        <v>107</v>
      </c>
      <c r="E51" s="2">
        <v>1.661877043628E12</v>
      </c>
      <c r="F51" s="124">
        <v>0.27</v>
      </c>
      <c r="G51" s="124">
        <v>86268.0</v>
      </c>
      <c r="H51" s="124">
        <v>0.0</v>
      </c>
      <c r="I51" s="124">
        <v>0.0</v>
      </c>
      <c r="K51" s="115">
        <f t="shared" ref="K51:M51" si="50">$H51*(1+K$4)</f>
        <v>0</v>
      </c>
      <c r="L51" s="115">
        <f t="shared" si="50"/>
        <v>0</v>
      </c>
      <c r="M51" s="115">
        <f t="shared" si="50"/>
        <v>0</v>
      </c>
      <c r="O51" s="117">
        <f t="shared" si="3"/>
        <v>1</v>
      </c>
      <c r="P51" s="117">
        <f t="shared" si="4"/>
        <v>1</v>
      </c>
      <c r="Q51" s="117">
        <f t="shared" si="5"/>
        <v>1</v>
      </c>
    </row>
    <row r="52" ht="14.25" customHeight="1">
      <c r="B52" s="3"/>
      <c r="C52" s="3"/>
      <c r="D52" s="3"/>
      <c r="E52" s="2">
        <v>1.661877072053E12</v>
      </c>
      <c r="F52" s="124">
        <v>0.28</v>
      </c>
      <c r="G52" s="124">
        <v>107303.0</v>
      </c>
      <c r="H52" s="124">
        <v>0.0</v>
      </c>
      <c r="I52" s="124">
        <v>0.0</v>
      </c>
      <c r="K52" s="115">
        <f t="shared" ref="K52:M52" si="51">$H52*(1+K$4)</f>
        <v>0</v>
      </c>
      <c r="L52" s="115">
        <f t="shared" si="51"/>
        <v>0</v>
      </c>
      <c r="M52" s="115">
        <f t="shared" si="51"/>
        <v>0</v>
      </c>
      <c r="O52" s="117">
        <f t="shared" si="3"/>
        <v>1</v>
      </c>
      <c r="P52" s="117">
        <f t="shared" si="4"/>
        <v>1</v>
      </c>
      <c r="Q52" s="117">
        <f t="shared" si="5"/>
        <v>1</v>
      </c>
    </row>
    <row r="53" ht="14.25" customHeight="1">
      <c r="B53" s="3"/>
      <c r="C53" s="3"/>
      <c r="D53" s="3"/>
      <c r="E53" s="2" t="s">
        <v>116</v>
      </c>
      <c r="F53" s="124">
        <v>0.76</v>
      </c>
      <c r="G53" s="124">
        <v>353800.0</v>
      </c>
      <c r="H53" s="124">
        <v>0.0</v>
      </c>
      <c r="I53" s="124">
        <v>0.0</v>
      </c>
      <c r="K53" s="115">
        <f t="shared" ref="K53:M53" si="52">$H53*(1+K$4)</f>
        <v>0</v>
      </c>
      <c r="L53" s="115">
        <f t="shared" si="52"/>
        <v>0</v>
      </c>
      <c r="M53" s="115">
        <f t="shared" si="52"/>
        <v>0</v>
      </c>
      <c r="O53" s="117">
        <f t="shared" si="3"/>
        <v>1</v>
      </c>
      <c r="P53" s="117">
        <f t="shared" si="4"/>
        <v>1</v>
      </c>
      <c r="Q53" s="117">
        <f t="shared" si="5"/>
        <v>1</v>
      </c>
    </row>
    <row r="54" ht="14.25" customHeight="1">
      <c r="B54" s="3"/>
      <c r="C54" s="3"/>
      <c r="D54" s="3"/>
      <c r="E54" s="2" t="s">
        <v>120</v>
      </c>
      <c r="F54" s="124">
        <v>0.41</v>
      </c>
      <c r="G54" s="124">
        <v>387734.0</v>
      </c>
      <c r="H54" s="124">
        <v>0.0</v>
      </c>
      <c r="I54" s="124">
        <v>0.0</v>
      </c>
      <c r="K54" s="115">
        <f t="shared" ref="K54:M54" si="53">$H54*(1+K$4)</f>
        <v>0</v>
      </c>
      <c r="L54" s="115">
        <f t="shared" si="53"/>
        <v>0</v>
      </c>
      <c r="M54" s="115">
        <f t="shared" si="53"/>
        <v>0</v>
      </c>
      <c r="O54" s="117">
        <f t="shared" si="3"/>
        <v>1</v>
      </c>
      <c r="P54" s="117">
        <f t="shared" si="4"/>
        <v>1</v>
      </c>
      <c r="Q54" s="117">
        <f t="shared" si="5"/>
        <v>1</v>
      </c>
    </row>
    <row r="55" ht="14.25" customHeight="1">
      <c r="B55" s="3"/>
      <c r="C55" s="3"/>
      <c r="D55" s="3"/>
      <c r="E55" s="2" t="s">
        <v>118</v>
      </c>
      <c r="F55" s="124">
        <v>0.44</v>
      </c>
      <c r="G55" s="124">
        <v>332669.0</v>
      </c>
      <c r="H55" s="124">
        <v>0.0</v>
      </c>
      <c r="I55" s="124">
        <v>0.0</v>
      </c>
      <c r="K55" s="115">
        <f t="shared" ref="K55:M55" si="54">$H55*(1+K$4)</f>
        <v>0</v>
      </c>
      <c r="L55" s="115">
        <f t="shared" si="54"/>
        <v>0</v>
      </c>
      <c r="M55" s="115">
        <f t="shared" si="54"/>
        <v>0</v>
      </c>
      <c r="O55" s="117">
        <f t="shared" si="3"/>
        <v>1</v>
      </c>
      <c r="P55" s="117">
        <f t="shared" si="4"/>
        <v>1</v>
      </c>
      <c r="Q55" s="117">
        <f t="shared" si="5"/>
        <v>1</v>
      </c>
    </row>
    <row r="56" ht="14.25" customHeight="1">
      <c r="B56" s="3"/>
      <c r="C56" s="3"/>
      <c r="D56" s="3"/>
      <c r="E56" s="2" t="s">
        <v>122</v>
      </c>
      <c r="F56" s="124">
        <v>0.43</v>
      </c>
      <c r="G56" s="124">
        <v>38080.0</v>
      </c>
      <c r="H56" s="124">
        <v>0.0</v>
      </c>
      <c r="I56" s="124">
        <v>0.0</v>
      </c>
      <c r="K56" s="115">
        <f t="shared" ref="K56:M56" si="55">$H56*(1+K$4)</f>
        <v>0</v>
      </c>
      <c r="L56" s="115">
        <f t="shared" si="55"/>
        <v>0</v>
      </c>
      <c r="M56" s="115">
        <f t="shared" si="55"/>
        <v>0</v>
      </c>
      <c r="O56" s="117">
        <f t="shared" si="3"/>
        <v>1</v>
      </c>
      <c r="P56" s="117">
        <f t="shared" si="4"/>
        <v>1</v>
      </c>
      <c r="Q56" s="117">
        <f t="shared" si="5"/>
        <v>1</v>
      </c>
    </row>
    <row r="57" ht="14.25" customHeight="1">
      <c r="B57" s="3"/>
      <c r="C57" s="3"/>
      <c r="D57" s="3"/>
      <c r="E57" s="2" t="s">
        <v>124</v>
      </c>
      <c r="F57" s="124">
        <v>0.47</v>
      </c>
      <c r="G57" s="124">
        <v>1661794.0</v>
      </c>
      <c r="H57" s="124">
        <v>0.0</v>
      </c>
      <c r="I57" s="124">
        <v>0.0</v>
      </c>
      <c r="K57" s="115">
        <f t="shared" ref="K57:M57" si="56">$H57*(1+K$4)</f>
        <v>0</v>
      </c>
      <c r="L57" s="115">
        <f t="shared" si="56"/>
        <v>0</v>
      </c>
      <c r="M57" s="115">
        <f t="shared" si="56"/>
        <v>0</v>
      </c>
      <c r="O57" s="117">
        <f t="shared" si="3"/>
        <v>1</v>
      </c>
      <c r="P57" s="117">
        <f t="shared" si="4"/>
        <v>1</v>
      </c>
      <c r="Q57" s="117">
        <f t="shared" si="5"/>
        <v>1</v>
      </c>
    </row>
    <row r="58" ht="14.25" customHeight="1">
      <c r="B58" s="3"/>
      <c r="C58" s="3"/>
      <c r="D58" s="3"/>
      <c r="E58" s="2" t="s">
        <v>112</v>
      </c>
      <c r="F58" s="124">
        <v>0.49</v>
      </c>
      <c r="G58" s="124">
        <v>276152.0</v>
      </c>
      <c r="H58" s="124">
        <v>0.0</v>
      </c>
      <c r="I58" s="124">
        <v>0.0</v>
      </c>
      <c r="K58" s="115">
        <f t="shared" ref="K58:M58" si="57">$H58*(1+K$4)</f>
        <v>0</v>
      </c>
      <c r="L58" s="115">
        <f t="shared" si="57"/>
        <v>0</v>
      </c>
      <c r="M58" s="115">
        <f t="shared" si="57"/>
        <v>0</v>
      </c>
      <c r="O58" s="117">
        <f t="shared" si="3"/>
        <v>1</v>
      </c>
      <c r="P58" s="117">
        <f t="shared" si="4"/>
        <v>1</v>
      </c>
      <c r="Q58" s="117">
        <f t="shared" si="5"/>
        <v>1</v>
      </c>
    </row>
    <row r="59" ht="14.25" customHeight="1">
      <c r="B59" s="3"/>
      <c r="C59" s="3"/>
      <c r="D59" s="3"/>
      <c r="E59" s="2" t="s">
        <v>110</v>
      </c>
      <c r="F59" s="124">
        <v>0.49</v>
      </c>
      <c r="G59" s="124">
        <v>399526.0</v>
      </c>
      <c r="H59" s="124">
        <v>0.0</v>
      </c>
      <c r="I59" s="124">
        <v>0.0</v>
      </c>
      <c r="K59" s="115">
        <f t="shared" ref="K59:M59" si="58">$H59*(1+K$4)</f>
        <v>0</v>
      </c>
      <c r="L59" s="115">
        <f t="shared" si="58"/>
        <v>0</v>
      </c>
      <c r="M59" s="115">
        <f t="shared" si="58"/>
        <v>0</v>
      </c>
      <c r="O59" s="117">
        <f t="shared" si="3"/>
        <v>1</v>
      </c>
      <c r="P59" s="117">
        <f t="shared" si="4"/>
        <v>1</v>
      </c>
      <c r="Q59" s="117">
        <f t="shared" si="5"/>
        <v>1</v>
      </c>
    </row>
    <row r="60" ht="14.25" customHeight="1">
      <c r="B60" s="3"/>
      <c r="C60" s="3"/>
      <c r="D60" s="3"/>
      <c r="E60" s="2" t="s">
        <v>114</v>
      </c>
      <c r="F60" s="124">
        <v>0.49</v>
      </c>
      <c r="G60" s="124">
        <v>285373.0</v>
      </c>
      <c r="H60" s="124">
        <v>0.0</v>
      </c>
      <c r="I60" s="124">
        <v>0.0</v>
      </c>
      <c r="K60" s="115">
        <f t="shared" ref="K60:M60" si="59">$H60*(1+K$4)</f>
        <v>0</v>
      </c>
      <c r="L60" s="115">
        <f t="shared" si="59"/>
        <v>0</v>
      </c>
      <c r="M60" s="115">
        <f t="shared" si="59"/>
        <v>0</v>
      </c>
      <c r="O60" s="117">
        <f t="shared" si="3"/>
        <v>1</v>
      </c>
      <c r="P60" s="117">
        <f t="shared" si="4"/>
        <v>1</v>
      </c>
      <c r="Q60" s="117">
        <f t="shared" si="5"/>
        <v>1</v>
      </c>
    </row>
    <row r="61" ht="14.25" customHeight="1">
      <c r="B61" s="3"/>
      <c r="C61" s="3" t="s">
        <v>126</v>
      </c>
      <c r="D61" s="3" t="s">
        <v>127</v>
      </c>
      <c r="E61" s="2">
        <v>1.571055493973E12</v>
      </c>
      <c r="F61" s="124">
        <v>0.33</v>
      </c>
      <c r="G61" s="124">
        <v>9715.0</v>
      </c>
      <c r="H61" s="124">
        <v>0.0</v>
      </c>
      <c r="I61" s="124">
        <v>0.0</v>
      </c>
      <c r="K61" s="115">
        <f t="shared" ref="K61:M61" si="60">$H61*(1+K$4)</f>
        <v>0</v>
      </c>
      <c r="L61" s="115">
        <f t="shared" si="60"/>
        <v>0</v>
      </c>
      <c r="M61" s="115">
        <f t="shared" si="60"/>
        <v>0</v>
      </c>
      <c r="O61" s="117">
        <f t="shared" si="3"/>
        <v>1</v>
      </c>
      <c r="P61" s="117">
        <f t="shared" si="4"/>
        <v>1</v>
      </c>
      <c r="Q61" s="117">
        <f t="shared" si="5"/>
        <v>1</v>
      </c>
    </row>
    <row r="62" ht="14.25" customHeight="1">
      <c r="B62" s="3" t="s">
        <v>129</v>
      </c>
      <c r="C62" s="3"/>
      <c r="D62" s="3"/>
      <c r="E62" s="3"/>
      <c r="F62" s="124">
        <v>4.859999999999999</v>
      </c>
      <c r="G62" s="124">
        <v>3938414.0</v>
      </c>
      <c r="H62" s="124">
        <v>0.0</v>
      </c>
      <c r="I62" s="124">
        <v>0.0</v>
      </c>
      <c r="K62" s="115">
        <f t="shared" ref="K62:M62" si="61">$H62*(1+K$4)</f>
        <v>0</v>
      </c>
      <c r="L62" s="115">
        <f t="shared" si="61"/>
        <v>0</v>
      </c>
      <c r="M62" s="115">
        <f t="shared" si="61"/>
        <v>0</v>
      </c>
      <c r="O62" s="117">
        <f t="shared" si="3"/>
        <v>1</v>
      </c>
      <c r="P62" s="117">
        <f t="shared" si="4"/>
        <v>1</v>
      </c>
      <c r="Q62" s="117">
        <f t="shared" si="5"/>
        <v>1</v>
      </c>
    </row>
    <row r="63" ht="14.25" customHeight="1">
      <c r="B63" s="3" t="s">
        <v>130</v>
      </c>
      <c r="C63" s="3" t="s">
        <v>131</v>
      </c>
      <c r="D63" s="3" t="s">
        <v>132</v>
      </c>
      <c r="E63" s="2">
        <v>6.7114505814137E13</v>
      </c>
      <c r="F63" s="124">
        <v>0.49</v>
      </c>
      <c r="G63" s="124">
        <v>8806.0</v>
      </c>
      <c r="H63" s="124">
        <v>0.0</v>
      </c>
      <c r="I63" s="124">
        <v>0.0</v>
      </c>
      <c r="K63" s="115">
        <f t="shared" ref="K63:M63" si="62">$H63*(1+K$4)</f>
        <v>0</v>
      </c>
      <c r="L63" s="115">
        <f t="shared" si="62"/>
        <v>0</v>
      </c>
      <c r="M63" s="115">
        <f t="shared" si="62"/>
        <v>0</v>
      </c>
      <c r="O63" s="117">
        <f t="shared" si="3"/>
        <v>1</v>
      </c>
      <c r="P63" s="117">
        <f t="shared" si="4"/>
        <v>1</v>
      </c>
      <c r="Q63" s="117">
        <f t="shared" si="5"/>
        <v>1</v>
      </c>
    </row>
    <row r="64" ht="14.25" customHeight="1">
      <c r="B64" s="3"/>
      <c r="C64" s="3"/>
      <c r="D64" s="3"/>
      <c r="E64" s="2">
        <v>6.7114508251225E13</v>
      </c>
      <c r="F64" s="124">
        <v>0.42</v>
      </c>
      <c r="G64" s="124">
        <v>8619.0</v>
      </c>
      <c r="H64" s="124">
        <v>0.0</v>
      </c>
      <c r="I64" s="124">
        <v>0.0</v>
      </c>
      <c r="K64" s="115">
        <f t="shared" ref="K64:M64" si="63">$H64*(1+K$4)</f>
        <v>0</v>
      </c>
      <c r="L64" s="115">
        <f t="shared" si="63"/>
        <v>0</v>
      </c>
      <c r="M64" s="115">
        <f t="shared" si="63"/>
        <v>0</v>
      </c>
      <c r="O64" s="117">
        <f t="shared" si="3"/>
        <v>1</v>
      </c>
      <c r="P64" s="117">
        <f t="shared" si="4"/>
        <v>1</v>
      </c>
      <c r="Q64" s="117">
        <f t="shared" si="5"/>
        <v>1</v>
      </c>
    </row>
    <row r="65" ht="14.25" customHeight="1">
      <c r="B65" s="3" t="s">
        <v>138</v>
      </c>
      <c r="C65" s="3"/>
      <c r="D65" s="3"/>
      <c r="E65" s="3"/>
      <c r="F65" s="124">
        <v>0.9099999999999999</v>
      </c>
      <c r="G65" s="124">
        <v>17425.0</v>
      </c>
      <c r="H65" s="124">
        <v>0.0</v>
      </c>
      <c r="I65" s="124">
        <v>0.0</v>
      </c>
      <c r="K65" s="115">
        <f t="shared" ref="K65:M65" si="64">$H65*(1+K$4)</f>
        <v>0</v>
      </c>
      <c r="L65" s="115">
        <f t="shared" si="64"/>
        <v>0</v>
      </c>
      <c r="M65" s="115">
        <f t="shared" si="64"/>
        <v>0</v>
      </c>
      <c r="O65" s="117">
        <f t="shared" si="3"/>
        <v>1</v>
      </c>
      <c r="P65" s="117">
        <f t="shared" si="4"/>
        <v>1</v>
      </c>
      <c r="Q65" s="117">
        <f t="shared" si="5"/>
        <v>1</v>
      </c>
    </row>
    <row r="66" ht="14.25" customHeight="1">
      <c r="B66" s="3" t="s">
        <v>1666</v>
      </c>
      <c r="C66" s="3" t="s">
        <v>140</v>
      </c>
      <c r="D66" s="3" t="s">
        <v>141</v>
      </c>
      <c r="E66" s="2" t="s">
        <v>147</v>
      </c>
      <c r="F66" s="124">
        <v>0.56</v>
      </c>
      <c r="G66" s="124">
        <v>2297.0</v>
      </c>
      <c r="H66" s="124">
        <v>0.0</v>
      </c>
      <c r="I66" s="124">
        <v>0.0</v>
      </c>
      <c r="K66" s="115">
        <f t="shared" ref="K66:M66" si="65">$H66*(1+K$4)</f>
        <v>0</v>
      </c>
      <c r="L66" s="115">
        <f t="shared" si="65"/>
        <v>0</v>
      </c>
      <c r="M66" s="115">
        <f t="shared" si="65"/>
        <v>0</v>
      </c>
      <c r="O66" s="117">
        <f t="shared" si="3"/>
        <v>1</v>
      </c>
      <c r="P66" s="117">
        <f t="shared" si="4"/>
        <v>1</v>
      </c>
      <c r="Q66" s="117">
        <f t="shared" si="5"/>
        <v>1</v>
      </c>
    </row>
    <row r="67" ht="14.25" customHeight="1">
      <c r="B67" s="3"/>
      <c r="C67" s="3"/>
      <c r="D67" s="3"/>
      <c r="E67" s="2" t="s">
        <v>145</v>
      </c>
      <c r="F67" s="124">
        <v>0.56</v>
      </c>
      <c r="G67" s="124">
        <v>2297.0</v>
      </c>
      <c r="H67" s="124">
        <v>0.0</v>
      </c>
      <c r="I67" s="124">
        <v>0.0</v>
      </c>
      <c r="K67" s="115">
        <f t="shared" ref="K67:M67" si="66">$H67*(1+K$4)</f>
        <v>0</v>
      </c>
      <c r="L67" s="115">
        <f t="shared" si="66"/>
        <v>0</v>
      </c>
      <c r="M67" s="115">
        <f t="shared" si="66"/>
        <v>0</v>
      </c>
      <c r="O67" s="117">
        <f t="shared" si="3"/>
        <v>1</v>
      </c>
      <c r="P67" s="117">
        <f t="shared" si="4"/>
        <v>1</v>
      </c>
      <c r="Q67" s="117">
        <f t="shared" si="5"/>
        <v>1</v>
      </c>
    </row>
    <row r="68" ht="14.25" customHeight="1">
      <c r="B68" s="3"/>
      <c r="C68" s="3"/>
      <c r="D68" s="3"/>
      <c r="E68" s="2" t="s">
        <v>143</v>
      </c>
      <c r="F68" s="124">
        <v>0.76</v>
      </c>
      <c r="G68" s="124">
        <v>2684.0</v>
      </c>
      <c r="H68" s="124">
        <v>0.0</v>
      </c>
      <c r="I68" s="124">
        <v>0.0</v>
      </c>
      <c r="K68" s="115">
        <f t="shared" ref="K68:M68" si="67">$H68*(1+K$4)</f>
        <v>0</v>
      </c>
      <c r="L68" s="115">
        <f t="shared" si="67"/>
        <v>0</v>
      </c>
      <c r="M68" s="115">
        <f t="shared" si="67"/>
        <v>0</v>
      </c>
      <c r="O68" s="117">
        <f t="shared" si="3"/>
        <v>1</v>
      </c>
      <c r="P68" s="117">
        <f t="shared" si="4"/>
        <v>1</v>
      </c>
      <c r="Q68" s="117">
        <f t="shared" si="5"/>
        <v>1</v>
      </c>
    </row>
    <row r="69" ht="14.25" customHeight="1">
      <c r="B69" s="3"/>
      <c r="C69" s="3"/>
      <c r="D69" s="3" t="s">
        <v>148</v>
      </c>
      <c r="E69" s="2">
        <v>1.650299083874E12</v>
      </c>
      <c r="F69" s="124">
        <v>0.33</v>
      </c>
      <c r="G69" s="124">
        <v>2937.0</v>
      </c>
      <c r="H69" s="124">
        <v>0.0</v>
      </c>
      <c r="I69" s="124">
        <v>0.0</v>
      </c>
      <c r="K69" s="115">
        <f t="shared" ref="K69:M69" si="68">$H69*(1+K$4)</f>
        <v>0</v>
      </c>
      <c r="L69" s="115">
        <f t="shared" si="68"/>
        <v>0</v>
      </c>
      <c r="M69" s="115">
        <f t="shared" si="68"/>
        <v>0</v>
      </c>
      <c r="O69" s="117">
        <f t="shared" si="3"/>
        <v>1</v>
      </c>
      <c r="P69" s="117">
        <f t="shared" si="4"/>
        <v>1</v>
      </c>
      <c r="Q69" s="117">
        <f t="shared" si="5"/>
        <v>1</v>
      </c>
    </row>
    <row r="70" ht="14.25" customHeight="1">
      <c r="B70" s="3"/>
      <c r="C70" s="3"/>
      <c r="D70" s="3"/>
      <c r="E70" s="2">
        <v>1.652825203439E12</v>
      </c>
      <c r="F70" s="124">
        <v>0.27</v>
      </c>
      <c r="G70" s="124">
        <v>2420.0</v>
      </c>
      <c r="H70" s="124">
        <v>0.0</v>
      </c>
      <c r="I70" s="124">
        <v>0.0</v>
      </c>
      <c r="K70" s="115">
        <f t="shared" ref="K70:M70" si="69">$H70*(1+K$4)</f>
        <v>0</v>
      </c>
      <c r="L70" s="115">
        <f t="shared" si="69"/>
        <v>0</v>
      </c>
      <c r="M70" s="115">
        <f t="shared" si="69"/>
        <v>0</v>
      </c>
      <c r="O70" s="117">
        <f t="shared" si="3"/>
        <v>1</v>
      </c>
      <c r="P70" s="117">
        <f t="shared" si="4"/>
        <v>1</v>
      </c>
      <c r="Q70" s="117">
        <f t="shared" si="5"/>
        <v>1</v>
      </c>
    </row>
    <row r="71" ht="14.25" customHeight="1">
      <c r="B71" s="3"/>
      <c r="C71" s="3"/>
      <c r="D71" s="3" t="s">
        <v>151</v>
      </c>
      <c r="E71" s="2" t="s">
        <v>155</v>
      </c>
      <c r="F71" s="124">
        <v>0.48</v>
      </c>
      <c r="G71" s="124">
        <v>1986.0</v>
      </c>
      <c r="H71" s="124">
        <v>0.0</v>
      </c>
      <c r="I71" s="124">
        <v>0.0</v>
      </c>
      <c r="K71" s="115">
        <f t="shared" ref="K71:M71" si="70">$H71*(1+K$4)</f>
        <v>0</v>
      </c>
      <c r="L71" s="115">
        <f t="shared" si="70"/>
        <v>0</v>
      </c>
      <c r="M71" s="115">
        <f t="shared" si="70"/>
        <v>0</v>
      </c>
      <c r="O71" s="117">
        <f t="shared" si="3"/>
        <v>1</v>
      </c>
      <c r="P71" s="117">
        <f t="shared" si="4"/>
        <v>1</v>
      </c>
      <c r="Q71" s="117">
        <f t="shared" si="5"/>
        <v>1</v>
      </c>
    </row>
    <row r="72" ht="14.25" customHeight="1">
      <c r="B72" s="3"/>
      <c r="C72" s="3"/>
      <c r="D72" s="3"/>
      <c r="E72" s="2" t="s">
        <v>153</v>
      </c>
      <c r="F72" s="124">
        <v>0.48</v>
      </c>
      <c r="G72" s="124">
        <v>1986.0</v>
      </c>
      <c r="H72" s="124">
        <v>0.0</v>
      </c>
      <c r="I72" s="124">
        <v>0.0</v>
      </c>
      <c r="K72" s="115">
        <f t="shared" ref="K72:M72" si="71">$H72*(1+K$4)</f>
        <v>0</v>
      </c>
      <c r="L72" s="115">
        <f t="shared" si="71"/>
        <v>0</v>
      </c>
      <c r="M72" s="115">
        <f t="shared" si="71"/>
        <v>0</v>
      </c>
      <c r="O72" s="117">
        <f t="shared" si="3"/>
        <v>1</v>
      </c>
      <c r="P72" s="117">
        <f t="shared" si="4"/>
        <v>1</v>
      </c>
      <c r="Q72" s="117">
        <f t="shared" si="5"/>
        <v>1</v>
      </c>
    </row>
    <row r="73" ht="14.25" customHeight="1">
      <c r="B73" s="3"/>
      <c r="C73" s="3"/>
      <c r="D73" s="3"/>
      <c r="E73" s="2" t="s">
        <v>159</v>
      </c>
      <c r="F73" s="124">
        <v>0.41</v>
      </c>
      <c r="G73" s="124">
        <v>2176.0</v>
      </c>
      <c r="H73" s="124">
        <v>0.0</v>
      </c>
      <c r="I73" s="124">
        <v>0.0</v>
      </c>
      <c r="K73" s="115">
        <f t="shared" ref="K73:M73" si="72">$H73*(1+K$4)</f>
        <v>0</v>
      </c>
      <c r="L73" s="115">
        <f t="shared" si="72"/>
        <v>0</v>
      </c>
      <c r="M73" s="115">
        <f t="shared" si="72"/>
        <v>0</v>
      </c>
      <c r="O73" s="117">
        <f t="shared" si="3"/>
        <v>1</v>
      </c>
      <c r="P73" s="117">
        <f t="shared" si="4"/>
        <v>1</v>
      </c>
      <c r="Q73" s="117">
        <f t="shared" si="5"/>
        <v>1</v>
      </c>
    </row>
    <row r="74" ht="14.25" customHeight="1">
      <c r="B74" s="3"/>
      <c r="C74" s="3"/>
      <c r="D74" s="3"/>
      <c r="E74" s="2" t="s">
        <v>157</v>
      </c>
      <c r="F74" s="124">
        <v>0.41</v>
      </c>
      <c r="G74" s="124">
        <v>2176.0</v>
      </c>
      <c r="H74" s="124">
        <v>0.0</v>
      </c>
      <c r="I74" s="124">
        <v>0.0</v>
      </c>
      <c r="K74" s="115">
        <f t="shared" ref="K74:M74" si="73">$H74*(1+K$4)</f>
        <v>0</v>
      </c>
      <c r="L74" s="115">
        <f t="shared" si="73"/>
        <v>0</v>
      </c>
      <c r="M74" s="115">
        <f t="shared" si="73"/>
        <v>0</v>
      </c>
      <c r="O74" s="117">
        <f t="shared" si="3"/>
        <v>1</v>
      </c>
      <c r="P74" s="117">
        <f t="shared" si="4"/>
        <v>1</v>
      </c>
      <c r="Q74" s="117">
        <f t="shared" si="5"/>
        <v>1</v>
      </c>
    </row>
    <row r="75" ht="14.25" customHeight="1">
      <c r="B75" s="3"/>
      <c r="C75" s="3"/>
      <c r="D75" s="3" t="s">
        <v>160</v>
      </c>
      <c r="E75" s="2" t="s">
        <v>162</v>
      </c>
      <c r="F75" s="124">
        <v>0.5</v>
      </c>
      <c r="G75" s="124">
        <v>3855.0</v>
      </c>
      <c r="H75" s="124">
        <v>0.0</v>
      </c>
      <c r="I75" s="124">
        <v>0.0</v>
      </c>
      <c r="K75" s="115">
        <f t="shared" ref="K75:M75" si="74">$H75*(1+K$4)</f>
        <v>0</v>
      </c>
      <c r="L75" s="115">
        <f t="shared" si="74"/>
        <v>0</v>
      </c>
      <c r="M75" s="115">
        <f t="shared" si="74"/>
        <v>0</v>
      </c>
      <c r="O75" s="117">
        <f t="shared" si="3"/>
        <v>1</v>
      </c>
      <c r="P75" s="117">
        <f t="shared" si="4"/>
        <v>1</v>
      </c>
      <c r="Q75" s="117">
        <f t="shared" si="5"/>
        <v>1</v>
      </c>
    </row>
    <row r="76" ht="14.25" customHeight="1">
      <c r="B76" s="3"/>
      <c r="C76" s="3"/>
      <c r="D76" s="3"/>
      <c r="E76" s="2" t="s">
        <v>164</v>
      </c>
      <c r="F76" s="124">
        <v>0.51</v>
      </c>
      <c r="G76" s="124">
        <v>3583.0</v>
      </c>
      <c r="H76" s="124">
        <v>0.0</v>
      </c>
      <c r="I76" s="124">
        <v>0.0</v>
      </c>
      <c r="K76" s="115">
        <f t="shared" ref="K76:M76" si="75">$H76*(1+K$4)</f>
        <v>0</v>
      </c>
      <c r="L76" s="115">
        <f t="shared" si="75"/>
        <v>0</v>
      </c>
      <c r="M76" s="115">
        <f t="shared" si="75"/>
        <v>0</v>
      </c>
      <c r="O76" s="117">
        <f t="shared" si="3"/>
        <v>1</v>
      </c>
      <c r="P76" s="117">
        <f t="shared" si="4"/>
        <v>1</v>
      </c>
      <c r="Q76" s="117">
        <f t="shared" si="5"/>
        <v>1</v>
      </c>
    </row>
    <row r="77" ht="14.25" customHeight="1">
      <c r="B77" s="3"/>
      <c r="C77" s="3" t="s">
        <v>165</v>
      </c>
      <c r="D77" s="3" t="s">
        <v>166</v>
      </c>
      <c r="E77" s="2" t="s">
        <v>172</v>
      </c>
      <c r="F77" s="124">
        <v>0.41</v>
      </c>
      <c r="G77" s="124">
        <v>5520.0</v>
      </c>
      <c r="H77" s="124">
        <v>0.0</v>
      </c>
      <c r="I77" s="124">
        <v>0.0</v>
      </c>
      <c r="K77" s="115">
        <f t="shared" ref="K77:M77" si="76">$H77*(1+K$4)</f>
        <v>0</v>
      </c>
      <c r="L77" s="115">
        <f t="shared" si="76"/>
        <v>0</v>
      </c>
      <c r="M77" s="115">
        <f t="shared" si="76"/>
        <v>0</v>
      </c>
      <c r="O77" s="117">
        <f t="shared" si="3"/>
        <v>1</v>
      </c>
      <c r="P77" s="117">
        <f t="shared" si="4"/>
        <v>1</v>
      </c>
      <c r="Q77" s="117">
        <f t="shared" si="5"/>
        <v>1</v>
      </c>
    </row>
    <row r="78" ht="14.25" customHeight="1">
      <c r="B78" s="3"/>
      <c r="C78" s="3"/>
      <c r="D78" s="3"/>
      <c r="E78" s="2" t="s">
        <v>174</v>
      </c>
      <c r="F78" s="124">
        <v>0.35</v>
      </c>
      <c r="G78" s="124">
        <v>5139.0</v>
      </c>
      <c r="H78" s="124">
        <v>0.0</v>
      </c>
      <c r="I78" s="124">
        <v>0.0</v>
      </c>
      <c r="K78" s="115">
        <f t="shared" ref="K78:M78" si="77">$H78*(1+K$4)</f>
        <v>0</v>
      </c>
      <c r="L78" s="115">
        <f t="shared" si="77"/>
        <v>0</v>
      </c>
      <c r="M78" s="115">
        <f t="shared" si="77"/>
        <v>0</v>
      </c>
      <c r="O78" s="117">
        <f t="shared" si="3"/>
        <v>1</v>
      </c>
      <c r="P78" s="117">
        <f t="shared" si="4"/>
        <v>1</v>
      </c>
      <c r="Q78" s="117">
        <f t="shared" si="5"/>
        <v>1</v>
      </c>
    </row>
    <row r="79" ht="14.25" customHeight="1">
      <c r="B79" s="3"/>
      <c r="C79" s="3"/>
      <c r="D79" s="3"/>
      <c r="E79" s="2" t="s">
        <v>170</v>
      </c>
      <c r="F79" s="124">
        <v>-0.3</v>
      </c>
      <c r="G79" s="124">
        <v>-2623.0</v>
      </c>
      <c r="H79" s="124">
        <v>0.0</v>
      </c>
      <c r="I79" s="124">
        <v>0.0</v>
      </c>
      <c r="K79" s="115">
        <f t="shared" ref="K79:M79" si="78">$H79*(1+K$4)</f>
        <v>0</v>
      </c>
      <c r="L79" s="115">
        <f t="shared" si="78"/>
        <v>0</v>
      </c>
      <c r="M79" s="115">
        <f t="shared" si="78"/>
        <v>0</v>
      </c>
      <c r="O79" s="117">
        <f t="shared" si="3"/>
        <v>1</v>
      </c>
      <c r="P79" s="117">
        <f t="shared" si="4"/>
        <v>1</v>
      </c>
      <c r="Q79" s="117">
        <f t="shared" si="5"/>
        <v>1</v>
      </c>
    </row>
    <row r="80" ht="14.25" customHeight="1">
      <c r="B80" s="3"/>
      <c r="C80" s="3"/>
      <c r="D80" s="3"/>
      <c r="E80" s="2" t="s">
        <v>168</v>
      </c>
      <c r="F80" s="124">
        <v>0.1</v>
      </c>
      <c r="G80" s="124">
        <v>857.0</v>
      </c>
      <c r="H80" s="124">
        <v>0.0</v>
      </c>
      <c r="I80" s="124">
        <v>0.0</v>
      </c>
      <c r="K80" s="115">
        <f t="shared" ref="K80:M80" si="79">$H80*(1+K$4)</f>
        <v>0</v>
      </c>
      <c r="L80" s="115">
        <f t="shared" si="79"/>
        <v>0</v>
      </c>
      <c r="M80" s="115">
        <f t="shared" si="79"/>
        <v>0</v>
      </c>
      <c r="O80" s="117">
        <f t="shared" si="3"/>
        <v>1</v>
      </c>
      <c r="P80" s="117">
        <f t="shared" si="4"/>
        <v>1</v>
      </c>
      <c r="Q80" s="117">
        <f t="shared" si="5"/>
        <v>1</v>
      </c>
    </row>
    <row r="81" ht="14.25" customHeight="1">
      <c r="B81" s="3"/>
      <c r="C81" s="3"/>
      <c r="D81" s="3" t="s">
        <v>175</v>
      </c>
      <c r="E81" s="2">
        <v>1.659999392257E12</v>
      </c>
      <c r="F81" s="124">
        <v>0.52</v>
      </c>
      <c r="G81" s="124">
        <v>4004.0</v>
      </c>
      <c r="H81" s="124">
        <v>0.0</v>
      </c>
      <c r="I81" s="124">
        <v>0.0</v>
      </c>
      <c r="K81" s="115">
        <f t="shared" ref="K81:M81" si="80">$H81*(1+K$4)</f>
        <v>0</v>
      </c>
      <c r="L81" s="115">
        <f t="shared" si="80"/>
        <v>0</v>
      </c>
      <c r="M81" s="115">
        <f t="shared" si="80"/>
        <v>0</v>
      </c>
      <c r="O81" s="117">
        <f t="shared" si="3"/>
        <v>1</v>
      </c>
      <c r="P81" s="117">
        <f t="shared" si="4"/>
        <v>1</v>
      </c>
      <c r="Q81" s="117">
        <f t="shared" si="5"/>
        <v>1</v>
      </c>
    </row>
    <row r="82" ht="14.25" customHeight="1">
      <c r="B82" s="3"/>
      <c r="C82" s="3"/>
      <c r="D82" s="3"/>
      <c r="E82" s="2">
        <v>1.659999410637E12</v>
      </c>
      <c r="F82" s="124">
        <v>0.54</v>
      </c>
      <c r="G82" s="124">
        <v>4115.0</v>
      </c>
      <c r="H82" s="124">
        <v>0.0</v>
      </c>
      <c r="I82" s="124">
        <v>0.0</v>
      </c>
      <c r="K82" s="115">
        <f t="shared" ref="K82:M82" si="81">$H82*(1+K$4)</f>
        <v>0</v>
      </c>
      <c r="L82" s="115">
        <f t="shared" si="81"/>
        <v>0</v>
      </c>
      <c r="M82" s="115">
        <f t="shared" si="81"/>
        <v>0</v>
      </c>
      <c r="O82" s="117">
        <f t="shared" si="3"/>
        <v>1</v>
      </c>
      <c r="P82" s="117">
        <f t="shared" si="4"/>
        <v>1</v>
      </c>
      <c r="Q82" s="117">
        <f t="shared" si="5"/>
        <v>1</v>
      </c>
    </row>
    <row r="83" ht="14.25" customHeight="1">
      <c r="B83" s="3"/>
      <c r="C83" s="3"/>
      <c r="D83" s="3"/>
      <c r="E83" s="2" t="s">
        <v>184</v>
      </c>
      <c r="F83" s="124">
        <v>0.41</v>
      </c>
      <c r="G83" s="124">
        <v>6034.0</v>
      </c>
      <c r="H83" s="124">
        <v>0.0</v>
      </c>
      <c r="I83" s="124">
        <v>0.0</v>
      </c>
      <c r="K83" s="115">
        <f t="shared" ref="K83:M83" si="82">$H83*(1+K$4)</f>
        <v>0</v>
      </c>
      <c r="L83" s="115">
        <f t="shared" si="82"/>
        <v>0</v>
      </c>
      <c r="M83" s="115">
        <f t="shared" si="82"/>
        <v>0</v>
      </c>
      <c r="O83" s="117">
        <f t="shared" si="3"/>
        <v>1</v>
      </c>
      <c r="P83" s="117">
        <f t="shared" si="4"/>
        <v>1</v>
      </c>
      <c r="Q83" s="117">
        <f t="shared" si="5"/>
        <v>1</v>
      </c>
    </row>
    <row r="84" ht="14.25" customHeight="1">
      <c r="B84" s="3"/>
      <c r="C84" s="3"/>
      <c r="D84" s="3"/>
      <c r="E84" s="2" t="s">
        <v>182</v>
      </c>
      <c r="F84" s="124">
        <v>0.41</v>
      </c>
      <c r="G84" s="124">
        <v>6091.0</v>
      </c>
      <c r="H84" s="124">
        <v>0.0</v>
      </c>
      <c r="I84" s="124">
        <v>0.0</v>
      </c>
      <c r="K84" s="115">
        <f t="shared" ref="K84:M84" si="83">$H84*(1+K$4)</f>
        <v>0</v>
      </c>
      <c r="L84" s="115">
        <f t="shared" si="83"/>
        <v>0</v>
      </c>
      <c r="M84" s="115">
        <f t="shared" si="83"/>
        <v>0</v>
      </c>
      <c r="O84" s="117">
        <f t="shared" si="3"/>
        <v>1</v>
      </c>
      <c r="P84" s="117">
        <f t="shared" si="4"/>
        <v>1</v>
      </c>
      <c r="Q84" s="117">
        <f t="shared" si="5"/>
        <v>1</v>
      </c>
    </row>
    <row r="85" ht="14.25" customHeight="1">
      <c r="B85" s="3"/>
      <c r="C85" s="3"/>
      <c r="D85" s="3"/>
      <c r="E85" s="2" t="s">
        <v>177</v>
      </c>
      <c r="F85" s="124">
        <v>0.39</v>
      </c>
      <c r="G85" s="124">
        <v>11349.0</v>
      </c>
      <c r="H85" s="124">
        <v>0.0</v>
      </c>
      <c r="I85" s="124">
        <v>0.0</v>
      </c>
      <c r="K85" s="115">
        <f t="shared" ref="K85:M85" si="84">$H85*(1+K$4)</f>
        <v>0</v>
      </c>
      <c r="L85" s="115">
        <f t="shared" si="84"/>
        <v>0</v>
      </c>
      <c r="M85" s="115">
        <f t="shared" si="84"/>
        <v>0</v>
      </c>
      <c r="O85" s="117">
        <f t="shared" si="3"/>
        <v>1</v>
      </c>
      <c r="P85" s="117">
        <f t="shared" si="4"/>
        <v>1</v>
      </c>
      <c r="Q85" s="117">
        <f t="shared" si="5"/>
        <v>1</v>
      </c>
    </row>
    <row r="86" ht="14.25" customHeight="1">
      <c r="B86" s="3"/>
      <c r="C86" s="3"/>
      <c r="D86" s="3"/>
      <c r="E86" s="2" t="s">
        <v>186</v>
      </c>
      <c r="F86" s="124">
        <v>0.4</v>
      </c>
      <c r="G86" s="124">
        <v>5925.0</v>
      </c>
      <c r="H86" s="124">
        <v>0.0</v>
      </c>
      <c r="I86" s="124">
        <v>0.0</v>
      </c>
      <c r="K86" s="115">
        <f t="shared" ref="K86:M86" si="85">$H86*(1+K$4)</f>
        <v>0</v>
      </c>
      <c r="L86" s="115">
        <f t="shared" si="85"/>
        <v>0</v>
      </c>
      <c r="M86" s="115">
        <f t="shared" si="85"/>
        <v>0</v>
      </c>
      <c r="O86" s="117">
        <f t="shared" si="3"/>
        <v>1</v>
      </c>
      <c r="P86" s="117">
        <f t="shared" si="4"/>
        <v>1</v>
      </c>
      <c r="Q86" s="117">
        <f t="shared" si="5"/>
        <v>1</v>
      </c>
    </row>
    <row r="87" ht="14.25" customHeight="1">
      <c r="B87" s="3"/>
      <c r="C87" s="3" t="s">
        <v>187</v>
      </c>
      <c r="D87" s="3" t="s">
        <v>188</v>
      </c>
      <c r="E87" s="2" t="s">
        <v>192</v>
      </c>
      <c r="F87" s="124">
        <v>0.37</v>
      </c>
      <c r="G87" s="124">
        <v>21702.0</v>
      </c>
      <c r="H87" s="124">
        <v>0.0</v>
      </c>
      <c r="I87" s="124">
        <v>0.0</v>
      </c>
      <c r="K87" s="115">
        <f t="shared" ref="K87:M87" si="86">$H87*(1+K$4)</f>
        <v>0</v>
      </c>
      <c r="L87" s="115">
        <f t="shared" si="86"/>
        <v>0</v>
      </c>
      <c r="M87" s="115">
        <f t="shared" si="86"/>
        <v>0</v>
      </c>
      <c r="O87" s="117">
        <f t="shared" si="3"/>
        <v>1</v>
      </c>
      <c r="P87" s="117">
        <f t="shared" si="4"/>
        <v>1</v>
      </c>
      <c r="Q87" s="117">
        <f t="shared" si="5"/>
        <v>1</v>
      </c>
    </row>
    <row r="88" ht="14.25" customHeight="1">
      <c r="B88" s="3"/>
      <c r="C88" s="3"/>
      <c r="D88" s="3"/>
      <c r="E88" s="2" t="s">
        <v>190</v>
      </c>
      <c r="F88" s="124">
        <v>0.28</v>
      </c>
      <c r="G88" s="124">
        <v>18933.0</v>
      </c>
      <c r="H88" s="124">
        <v>0.0</v>
      </c>
      <c r="I88" s="124">
        <v>0.0</v>
      </c>
      <c r="K88" s="115">
        <f t="shared" ref="K88:M88" si="87">$H88*(1+K$4)</f>
        <v>0</v>
      </c>
      <c r="L88" s="115">
        <f t="shared" si="87"/>
        <v>0</v>
      </c>
      <c r="M88" s="115">
        <f t="shared" si="87"/>
        <v>0</v>
      </c>
      <c r="O88" s="117">
        <f t="shared" si="3"/>
        <v>1</v>
      </c>
      <c r="P88" s="117">
        <f t="shared" si="4"/>
        <v>1</v>
      </c>
      <c r="Q88" s="117">
        <f t="shared" si="5"/>
        <v>1</v>
      </c>
    </row>
    <row r="89" ht="14.25" customHeight="1">
      <c r="B89" s="3"/>
      <c r="C89" s="3"/>
      <c r="D89" s="3" t="s">
        <v>194</v>
      </c>
      <c r="E89" s="2" t="s">
        <v>196</v>
      </c>
      <c r="F89" s="124">
        <v>0.45</v>
      </c>
      <c r="G89" s="124">
        <v>239696.0</v>
      </c>
      <c r="H89" s="124">
        <v>0.0</v>
      </c>
      <c r="I89" s="124">
        <v>0.0</v>
      </c>
      <c r="K89" s="115">
        <f t="shared" ref="K89:M89" si="88">$H89*(1+K$4)</f>
        <v>0</v>
      </c>
      <c r="L89" s="115">
        <f t="shared" si="88"/>
        <v>0</v>
      </c>
      <c r="M89" s="115">
        <f t="shared" si="88"/>
        <v>0</v>
      </c>
      <c r="O89" s="117">
        <f t="shared" si="3"/>
        <v>1</v>
      </c>
      <c r="P89" s="117">
        <f t="shared" si="4"/>
        <v>1</v>
      </c>
      <c r="Q89" s="117">
        <f t="shared" si="5"/>
        <v>1</v>
      </c>
    </row>
    <row r="90" ht="14.25" customHeight="1">
      <c r="B90" s="3"/>
      <c r="C90" s="3"/>
      <c r="D90" s="3"/>
      <c r="E90" s="2" t="s">
        <v>198</v>
      </c>
      <c r="F90" s="124">
        <v>0.42</v>
      </c>
      <c r="G90" s="124">
        <v>247318.0</v>
      </c>
      <c r="H90" s="124">
        <v>0.0</v>
      </c>
      <c r="I90" s="124">
        <v>0.0</v>
      </c>
      <c r="K90" s="115">
        <f t="shared" ref="K90:M90" si="89">$H90*(1+K$4)</f>
        <v>0</v>
      </c>
      <c r="L90" s="115">
        <f t="shared" si="89"/>
        <v>0</v>
      </c>
      <c r="M90" s="115">
        <f t="shared" si="89"/>
        <v>0</v>
      </c>
      <c r="O90" s="117">
        <f t="shared" si="3"/>
        <v>1</v>
      </c>
      <c r="P90" s="117">
        <f t="shared" si="4"/>
        <v>1</v>
      </c>
      <c r="Q90" s="117">
        <f t="shared" si="5"/>
        <v>1</v>
      </c>
    </row>
    <row r="91" ht="14.25" customHeight="1">
      <c r="B91" s="3"/>
      <c r="C91" s="3" t="s">
        <v>199</v>
      </c>
      <c r="D91" s="3" t="s">
        <v>200</v>
      </c>
      <c r="E91" s="2">
        <v>1.479750635184E12</v>
      </c>
      <c r="F91" s="124">
        <v>0.5</v>
      </c>
      <c r="G91" s="124">
        <v>2637.0</v>
      </c>
      <c r="H91" s="124">
        <v>0.0</v>
      </c>
      <c r="I91" s="124">
        <v>0.0</v>
      </c>
      <c r="K91" s="115">
        <f t="shared" ref="K91:M91" si="90">$H91*(1+K$4)</f>
        <v>0</v>
      </c>
      <c r="L91" s="115">
        <f t="shared" si="90"/>
        <v>0</v>
      </c>
      <c r="M91" s="115">
        <f t="shared" si="90"/>
        <v>0</v>
      </c>
      <c r="O91" s="117">
        <f t="shared" si="3"/>
        <v>1</v>
      </c>
      <c r="P91" s="117">
        <f t="shared" si="4"/>
        <v>1</v>
      </c>
      <c r="Q91" s="117">
        <f t="shared" si="5"/>
        <v>1</v>
      </c>
    </row>
    <row r="92" ht="14.25" customHeight="1">
      <c r="B92" s="3"/>
      <c r="C92" s="3"/>
      <c r="D92" s="3"/>
      <c r="E92" s="2">
        <v>1.658329968514E12</v>
      </c>
      <c r="F92" s="124">
        <v>0.46</v>
      </c>
      <c r="G92" s="124">
        <v>5435.0</v>
      </c>
      <c r="H92" s="124">
        <v>0.0</v>
      </c>
      <c r="I92" s="124">
        <v>0.0</v>
      </c>
      <c r="K92" s="115">
        <f t="shared" ref="K92:M92" si="91">$H92*(1+K$4)</f>
        <v>0</v>
      </c>
      <c r="L92" s="115">
        <f t="shared" si="91"/>
        <v>0</v>
      </c>
      <c r="M92" s="115">
        <f t="shared" si="91"/>
        <v>0</v>
      </c>
      <c r="O92" s="117">
        <f t="shared" si="3"/>
        <v>1</v>
      </c>
      <c r="P92" s="117">
        <f t="shared" si="4"/>
        <v>1</v>
      </c>
      <c r="Q92" s="117">
        <f t="shared" si="5"/>
        <v>1</v>
      </c>
    </row>
    <row r="93" ht="14.25" customHeight="1">
      <c r="B93" s="3"/>
      <c r="C93" s="3"/>
      <c r="D93" s="3"/>
      <c r="E93" s="2">
        <v>1.659989621591E12</v>
      </c>
      <c r="F93" s="124">
        <v>0.19</v>
      </c>
      <c r="G93" s="124">
        <v>3957.0</v>
      </c>
      <c r="H93" s="124">
        <v>0.0</v>
      </c>
      <c r="I93" s="124">
        <v>0.0</v>
      </c>
      <c r="K93" s="115">
        <f t="shared" ref="K93:M93" si="92">$H93*(1+K$4)</f>
        <v>0</v>
      </c>
      <c r="L93" s="115">
        <f t="shared" si="92"/>
        <v>0</v>
      </c>
      <c r="M93" s="115">
        <f t="shared" si="92"/>
        <v>0</v>
      </c>
      <c r="O93" s="117">
        <f t="shared" si="3"/>
        <v>1</v>
      </c>
      <c r="P93" s="117">
        <f t="shared" si="4"/>
        <v>1</v>
      </c>
      <c r="Q93" s="117">
        <f t="shared" si="5"/>
        <v>1</v>
      </c>
    </row>
    <row r="94" ht="14.25" customHeight="1">
      <c r="B94" s="3"/>
      <c r="C94" s="3"/>
      <c r="D94" s="3"/>
      <c r="E94" s="2">
        <v>1.659990788079E12</v>
      </c>
      <c r="F94" s="124">
        <v>0.49</v>
      </c>
      <c r="G94" s="124">
        <v>5770.0</v>
      </c>
      <c r="H94" s="124">
        <v>0.0</v>
      </c>
      <c r="I94" s="124">
        <v>0.0</v>
      </c>
      <c r="K94" s="115">
        <f t="shared" ref="K94:M94" si="93">$H94*(1+K$4)</f>
        <v>0</v>
      </c>
      <c r="L94" s="115">
        <f t="shared" si="93"/>
        <v>0</v>
      </c>
      <c r="M94" s="115">
        <f t="shared" si="93"/>
        <v>0</v>
      </c>
      <c r="O94" s="117">
        <f t="shared" si="3"/>
        <v>1</v>
      </c>
      <c r="P94" s="117">
        <f t="shared" si="4"/>
        <v>1</v>
      </c>
      <c r="Q94" s="117">
        <f t="shared" si="5"/>
        <v>1</v>
      </c>
    </row>
    <row r="95" ht="14.25" customHeight="1">
      <c r="B95" s="3"/>
      <c r="C95" s="3"/>
      <c r="D95" s="3"/>
      <c r="E95" s="2">
        <v>1.659990828178E12</v>
      </c>
      <c r="F95" s="124">
        <v>0.38</v>
      </c>
      <c r="G95" s="124">
        <v>4484.0</v>
      </c>
      <c r="H95" s="124">
        <v>0.0</v>
      </c>
      <c r="I95" s="124">
        <v>0.0</v>
      </c>
      <c r="K95" s="115">
        <f t="shared" ref="K95:M95" si="94">$H95*(1+K$4)</f>
        <v>0</v>
      </c>
      <c r="L95" s="115">
        <f t="shared" si="94"/>
        <v>0</v>
      </c>
      <c r="M95" s="115">
        <f t="shared" si="94"/>
        <v>0</v>
      </c>
      <c r="O95" s="117">
        <f t="shared" si="3"/>
        <v>1</v>
      </c>
      <c r="P95" s="117">
        <f t="shared" si="4"/>
        <v>1</v>
      </c>
      <c r="Q95" s="117">
        <f t="shared" si="5"/>
        <v>1</v>
      </c>
    </row>
    <row r="96" ht="14.25" customHeight="1">
      <c r="B96" s="3"/>
      <c r="C96" s="3"/>
      <c r="D96" s="3"/>
      <c r="E96" s="2">
        <v>6.6436804863605E13</v>
      </c>
      <c r="F96" s="124">
        <v>0.38</v>
      </c>
      <c r="G96" s="124">
        <v>4461.0</v>
      </c>
      <c r="H96" s="124">
        <v>0.0</v>
      </c>
      <c r="I96" s="124">
        <v>0.0</v>
      </c>
      <c r="K96" s="115">
        <f t="shared" ref="K96:M96" si="95">$H96*(1+K$4)</f>
        <v>0</v>
      </c>
      <c r="L96" s="115">
        <f t="shared" si="95"/>
        <v>0</v>
      </c>
      <c r="M96" s="115">
        <f t="shared" si="95"/>
        <v>0</v>
      </c>
      <c r="O96" s="117">
        <f t="shared" si="3"/>
        <v>1</v>
      </c>
      <c r="P96" s="117">
        <f t="shared" si="4"/>
        <v>1</v>
      </c>
      <c r="Q96" s="117">
        <f t="shared" si="5"/>
        <v>1</v>
      </c>
    </row>
    <row r="97" ht="14.25" customHeight="1">
      <c r="B97" s="3"/>
      <c r="C97" s="3"/>
      <c r="D97" s="3"/>
      <c r="E97" s="2" t="s">
        <v>203</v>
      </c>
      <c r="F97" s="124">
        <v>0.35</v>
      </c>
      <c r="G97" s="124">
        <v>9305.0</v>
      </c>
      <c r="H97" s="124">
        <v>0.0</v>
      </c>
      <c r="I97" s="124">
        <v>0.0</v>
      </c>
      <c r="K97" s="115">
        <f t="shared" ref="K97:M97" si="96">$H97*(1+K$4)</f>
        <v>0</v>
      </c>
      <c r="L97" s="115">
        <f t="shared" si="96"/>
        <v>0</v>
      </c>
      <c r="M97" s="115">
        <f t="shared" si="96"/>
        <v>0</v>
      </c>
      <c r="O97" s="117">
        <f t="shared" si="3"/>
        <v>1</v>
      </c>
      <c r="P97" s="117">
        <f t="shared" si="4"/>
        <v>1</v>
      </c>
      <c r="Q97" s="117">
        <f t="shared" si="5"/>
        <v>1</v>
      </c>
    </row>
    <row r="98" ht="14.25" customHeight="1">
      <c r="B98" s="3"/>
      <c r="C98" s="3"/>
      <c r="D98" s="3"/>
      <c r="E98" s="2" t="s">
        <v>221</v>
      </c>
      <c r="F98" s="124">
        <v>0.42</v>
      </c>
      <c r="G98" s="124">
        <v>12221.0</v>
      </c>
      <c r="H98" s="124">
        <v>0.0</v>
      </c>
      <c r="I98" s="124">
        <v>0.0</v>
      </c>
      <c r="K98" s="115">
        <f t="shared" ref="K98:M98" si="97">$H98*(1+K$4)</f>
        <v>0</v>
      </c>
      <c r="L98" s="115">
        <f t="shared" si="97"/>
        <v>0</v>
      </c>
      <c r="M98" s="115">
        <f t="shared" si="97"/>
        <v>0</v>
      </c>
      <c r="O98" s="117">
        <f t="shared" si="3"/>
        <v>1</v>
      </c>
      <c r="P98" s="117">
        <f t="shared" si="4"/>
        <v>1</v>
      </c>
      <c r="Q98" s="117">
        <f t="shared" si="5"/>
        <v>1</v>
      </c>
    </row>
    <row r="99" ht="14.25" customHeight="1">
      <c r="B99" s="3"/>
      <c r="C99" s="3"/>
      <c r="D99" s="3"/>
      <c r="E99" s="2" t="s">
        <v>223</v>
      </c>
      <c r="F99" s="124">
        <v>0.63</v>
      </c>
      <c r="G99" s="124">
        <v>3675.0</v>
      </c>
      <c r="H99" s="124">
        <v>0.0</v>
      </c>
      <c r="I99" s="124">
        <v>0.0</v>
      </c>
      <c r="K99" s="115">
        <f t="shared" ref="K99:M99" si="98">$H99*(1+K$4)</f>
        <v>0</v>
      </c>
      <c r="L99" s="115">
        <f t="shared" si="98"/>
        <v>0</v>
      </c>
      <c r="M99" s="115">
        <f t="shared" si="98"/>
        <v>0</v>
      </c>
      <c r="O99" s="117">
        <f t="shared" si="3"/>
        <v>1</v>
      </c>
      <c r="P99" s="117">
        <f t="shared" si="4"/>
        <v>1</v>
      </c>
      <c r="Q99" s="117">
        <f t="shared" si="5"/>
        <v>1</v>
      </c>
    </row>
    <row r="100" ht="14.25" customHeight="1">
      <c r="B100" s="3"/>
      <c r="C100" s="3"/>
      <c r="D100" s="3"/>
      <c r="E100" s="2" t="s">
        <v>237</v>
      </c>
      <c r="F100" s="124">
        <v>0.74</v>
      </c>
      <c r="G100" s="124">
        <v>3499.0</v>
      </c>
      <c r="H100" s="124">
        <v>0.0</v>
      </c>
      <c r="I100" s="124">
        <v>0.0</v>
      </c>
      <c r="K100" s="115">
        <f t="shared" ref="K100:M100" si="99">$H100*(1+K$4)</f>
        <v>0</v>
      </c>
      <c r="L100" s="115">
        <f t="shared" si="99"/>
        <v>0</v>
      </c>
      <c r="M100" s="115">
        <f t="shared" si="99"/>
        <v>0</v>
      </c>
      <c r="O100" s="117">
        <f t="shared" si="3"/>
        <v>1</v>
      </c>
      <c r="P100" s="117">
        <f t="shared" si="4"/>
        <v>1</v>
      </c>
      <c r="Q100" s="117">
        <f t="shared" si="5"/>
        <v>1</v>
      </c>
    </row>
    <row r="101" ht="14.25" customHeight="1">
      <c r="B101" s="3"/>
      <c r="C101" s="3"/>
      <c r="D101" s="3"/>
      <c r="E101" s="2" t="s">
        <v>206</v>
      </c>
      <c r="F101" s="124">
        <v>0.58</v>
      </c>
      <c r="G101" s="124">
        <v>4403.0</v>
      </c>
      <c r="H101" s="124">
        <v>0.0</v>
      </c>
      <c r="I101" s="124">
        <v>0.0</v>
      </c>
      <c r="K101" s="115">
        <f t="shared" ref="K101:M101" si="100">$H101*(1+K$4)</f>
        <v>0</v>
      </c>
      <c r="L101" s="115">
        <f t="shared" si="100"/>
        <v>0</v>
      </c>
      <c r="M101" s="115">
        <f t="shared" si="100"/>
        <v>0</v>
      </c>
      <c r="O101" s="117">
        <f t="shared" si="3"/>
        <v>1</v>
      </c>
      <c r="P101" s="117">
        <f t="shared" si="4"/>
        <v>1</v>
      </c>
      <c r="Q101" s="117">
        <f t="shared" si="5"/>
        <v>1</v>
      </c>
    </row>
    <row r="102" ht="14.25" customHeight="1">
      <c r="B102" s="3"/>
      <c r="C102" s="3"/>
      <c r="D102" s="3"/>
      <c r="E102" s="2" t="s">
        <v>233</v>
      </c>
      <c r="F102" s="124">
        <v>0.47</v>
      </c>
      <c r="G102" s="124">
        <v>2740.0</v>
      </c>
      <c r="H102" s="124">
        <v>0.0</v>
      </c>
      <c r="I102" s="124">
        <v>0.0</v>
      </c>
      <c r="K102" s="115">
        <f t="shared" ref="K102:M102" si="101">$H102*(1+K$4)</f>
        <v>0</v>
      </c>
      <c r="L102" s="115">
        <f t="shared" si="101"/>
        <v>0</v>
      </c>
      <c r="M102" s="115">
        <f t="shared" si="101"/>
        <v>0</v>
      </c>
      <c r="O102" s="117">
        <f t="shared" si="3"/>
        <v>1</v>
      </c>
      <c r="P102" s="117">
        <f t="shared" si="4"/>
        <v>1</v>
      </c>
      <c r="Q102" s="117">
        <f t="shared" si="5"/>
        <v>1</v>
      </c>
    </row>
    <row r="103" ht="14.25" customHeight="1">
      <c r="B103" s="3"/>
      <c r="C103" s="3"/>
      <c r="D103" s="3"/>
      <c r="E103" s="2" t="s">
        <v>208</v>
      </c>
      <c r="F103" s="124">
        <v>0.41</v>
      </c>
      <c r="G103" s="124">
        <v>6452.0</v>
      </c>
      <c r="H103" s="124">
        <v>0.0</v>
      </c>
      <c r="I103" s="124">
        <v>0.0</v>
      </c>
      <c r="K103" s="115">
        <f t="shared" ref="K103:M103" si="102">$H103*(1+K$4)</f>
        <v>0</v>
      </c>
      <c r="L103" s="115">
        <f t="shared" si="102"/>
        <v>0</v>
      </c>
      <c r="M103" s="115">
        <f t="shared" si="102"/>
        <v>0</v>
      </c>
      <c r="O103" s="117">
        <f t="shared" si="3"/>
        <v>1</v>
      </c>
      <c r="P103" s="117">
        <f t="shared" si="4"/>
        <v>1</v>
      </c>
      <c r="Q103" s="117">
        <f t="shared" si="5"/>
        <v>1</v>
      </c>
    </row>
    <row r="104" ht="14.25" customHeight="1">
      <c r="B104" s="3"/>
      <c r="C104" s="3"/>
      <c r="D104" s="3" t="s">
        <v>224</v>
      </c>
      <c r="E104" s="2">
        <v>6.7898087132855E13</v>
      </c>
      <c r="F104" s="124">
        <v>0.3</v>
      </c>
      <c r="G104" s="124">
        <v>17932.0</v>
      </c>
      <c r="H104" s="124">
        <v>0.0</v>
      </c>
      <c r="I104" s="124">
        <v>0.0</v>
      </c>
      <c r="K104" s="115">
        <f t="shared" ref="K104:M104" si="103">$H104*(1+K$4)</f>
        <v>0</v>
      </c>
      <c r="L104" s="115">
        <f t="shared" si="103"/>
        <v>0</v>
      </c>
      <c r="M104" s="115">
        <f t="shared" si="103"/>
        <v>0</v>
      </c>
      <c r="O104" s="117">
        <f t="shared" si="3"/>
        <v>1</v>
      </c>
      <c r="P104" s="117">
        <f t="shared" si="4"/>
        <v>1</v>
      </c>
      <c r="Q104" s="117">
        <f t="shared" si="5"/>
        <v>1</v>
      </c>
    </row>
    <row r="105" ht="14.25" customHeight="1">
      <c r="B105" s="3"/>
      <c r="C105" s="3"/>
      <c r="D105" s="3"/>
      <c r="E105" s="2" t="s">
        <v>235</v>
      </c>
      <c r="F105" s="124">
        <v>0.23</v>
      </c>
      <c r="G105" s="124">
        <v>4142.0</v>
      </c>
      <c r="H105" s="124">
        <v>0.0</v>
      </c>
      <c r="I105" s="124">
        <v>0.0</v>
      </c>
      <c r="K105" s="115">
        <f t="shared" ref="K105:M105" si="104">$H105*(1+K$4)</f>
        <v>0</v>
      </c>
      <c r="L105" s="115">
        <f t="shared" si="104"/>
        <v>0</v>
      </c>
      <c r="M105" s="115">
        <f t="shared" si="104"/>
        <v>0</v>
      </c>
      <c r="O105" s="117">
        <f t="shared" si="3"/>
        <v>1</v>
      </c>
      <c r="P105" s="117">
        <f t="shared" si="4"/>
        <v>1</v>
      </c>
      <c r="Q105" s="117">
        <f t="shared" si="5"/>
        <v>1</v>
      </c>
    </row>
    <row r="106" ht="14.25" customHeight="1">
      <c r="B106" s="3"/>
      <c r="C106" s="3"/>
      <c r="D106" s="3"/>
      <c r="E106" s="2" t="s">
        <v>219</v>
      </c>
      <c r="F106" s="124">
        <v>0.19</v>
      </c>
      <c r="G106" s="124">
        <v>3376.0</v>
      </c>
      <c r="H106" s="124">
        <v>0.0</v>
      </c>
      <c r="I106" s="124">
        <v>0.0</v>
      </c>
      <c r="K106" s="115">
        <f t="shared" ref="K106:M106" si="105">$H106*(1+K$4)</f>
        <v>0</v>
      </c>
      <c r="L106" s="115">
        <f t="shared" si="105"/>
        <v>0</v>
      </c>
      <c r="M106" s="115">
        <f t="shared" si="105"/>
        <v>0</v>
      </c>
      <c r="O106" s="117">
        <f t="shared" si="3"/>
        <v>1</v>
      </c>
      <c r="P106" s="117">
        <f t="shared" si="4"/>
        <v>1</v>
      </c>
      <c r="Q106" s="117">
        <f t="shared" si="5"/>
        <v>1</v>
      </c>
    </row>
    <row r="107" ht="14.25" customHeight="1">
      <c r="B107" s="3"/>
      <c r="C107" s="3"/>
      <c r="D107" s="3"/>
      <c r="E107" s="2" t="s">
        <v>228</v>
      </c>
      <c r="F107" s="124">
        <v>0.31</v>
      </c>
      <c r="G107" s="124">
        <v>16304.0</v>
      </c>
      <c r="H107" s="124">
        <v>0.0</v>
      </c>
      <c r="I107" s="124">
        <v>0.0</v>
      </c>
      <c r="K107" s="115">
        <f t="shared" ref="K107:M107" si="106">$H107*(1+K$4)</f>
        <v>0</v>
      </c>
      <c r="L107" s="115">
        <f t="shared" si="106"/>
        <v>0</v>
      </c>
      <c r="M107" s="115">
        <f t="shared" si="106"/>
        <v>0</v>
      </c>
      <c r="O107" s="117">
        <f t="shared" si="3"/>
        <v>1</v>
      </c>
      <c r="P107" s="117">
        <f t="shared" si="4"/>
        <v>1</v>
      </c>
      <c r="Q107" s="117">
        <f t="shared" si="5"/>
        <v>1</v>
      </c>
    </row>
    <row r="108" ht="14.25" customHeight="1">
      <c r="B108" s="3"/>
      <c r="C108" s="3"/>
      <c r="D108" s="3"/>
      <c r="E108" s="2" t="s">
        <v>239</v>
      </c>
      <c r="F108" s="124">
        <v>0.61</v>
      </c>
      <c r="G108" s="124">
        <v>14319.0</v>
      </c>
      <c r="H108" s="124">
        <v>0.0</v>
      </c>
      <c r="I108" s="124">
        <v>0.0</v>
      </c>
      <c r="K108" s="115">
        <f t="shared" ref="K108:M108" si="107">$H108*(1+K$4)</f>
        <v>0</v>
      </c>
      <c r="L108" s="115">
        <f t="shared" si="107"/>
        <v>0</v>
      </c>
      <c r="M108" s="115">
        <f t="shared" si="107"/>
        <v>0</v>
      </c>
      <c r="O108" s="117">
        <f t="shared" si="3"/>
        <v>1</v>
      </c>
      <c r="P108" s="117">
        <f t="shared" si="4"/>
        <v>1</v>
      </c>
      <c r="Q108" s="117">
        <f t="shared" si="5"/>
        <v>1</v>
      </c>
    </row>
    <row r="109" ht="14.25" customHeight="1">
      <c r="B109" s="3"/>
      <c r="C109" s="3"/>
      <c r="D109" s="3"/>
      <c r="E109" s="2" t="s">
        <v>231</v>
      </c>
      <c r="F109" s="124">
        <v>0.38</v>
      </c>
      <c r="G109" s="124">
        <v>7415.0</v>
      </c>
      <c r="H109" s="124">
        <v>0.0</v>
      </c>
      <c r="I109" s="124">
        <v>0.0</v>
      </c>
      <c r="K109" s="115">
        <f t="shared" ref="K109:M109" si="108">$H109*(1+K$4)</f>
        <v>0</v>
      </c>
      <c r="L109" s="115">
        <f t="shared" si="108"/>
        <v>0</v>
      </c>
      <c r="M109" s="115">
        <f t="shared" si="108"/>
        <v>0</v>
      </c>
      <c r="O109" s="117">
        <f t="shared" si="3"/>
        <v>1</v>
      </c>
      <c r="P109" s="117">
        <f t="shared" si="4"/>
        <v>1</v>
      </c>
      <c r="Q109" s="117">
        <f t="shared" si="5"/>
        <v>1</v>
      </c>
    </row>
    <row r="110" ht="14.25" customHeight="1">
      <c r="B110" s="3"/>
      <c r="C110" s="3" t="s">
        <v>240</v>
      </c>
      <c r="D110" s="3" t="s">
        <v>241</v>
      </c>
      <c r="E110" s="2">
        <v>1.652825027456E12</v>
      </c>
      <c r="F110" s="124">
        <v>0.45</v>
      </c>
      <c r="G110" s="124">
        <v>5292.0</v>
      </c>
      <c r="H110" s="124">
        <v>0.0</v>
      </c>
      <c r="I110" s="124">
        <v>0.0</v>
      </c>
      <c r="K110" s="115">
        <f t="shared" ref="K110:M110" si="109">$H110*(1+K$4)</f>
        <v>0</v>
      </c>
      <c r="L110" s="115">
        <f t="shared" si="109"/>
        <v>0</v>
      </c>
      <c r="M110" s="115">
        <f t="shared" si="109"/>
        <v>0</v>
      </c>
      <c r="O110" s="117">
        <f t="shared" si="3"/>
        <v>1</v>
      </c>
      <c r="P110" s="117">
        <f t="shared" si="4"/>
        <v>1</v>
      </c>
      <c r="Q110" s="117">
        <f t="shared" si="5"/>
        <v>1</v>
      </c>
    </row>
    <row r="111" ht="14.25" customHeight="1">
      <c r="B111" s="3"/>
      <c r="C111" s="3"/>
      <c r="D111" s="3" t="s">
        <v>243</v>
      </c>
      <c r="E111" s="2">
        <v>1.748316345017E12</v>
      </c>
      <c r="F111" s="124">
        <v>0.14</v>
      </c>
      <c r="G111" s="124">
        <v>4918.0</v>
      </c>
      <c r="H111" s="124">
        <v>0.0</v>
      </c>
      <c r="I111" s="124">
        <v>0.0</v>
      </c>
      <c r="K111" s="115">
        <f t="shared" ref="K111:M111" si="110">$H111*(1+K$4)</f>
        <v>0</v>
      </c>
      <c r="L111" s="115">
        <f t="shared" si="110"/>
        <v>0</v>
      </c>
      <c r="M111" s="115">
        <f t="shared" si="110"/>
        <v>0</v>
      </c>
      <c r="O111" s="117">
        <f t="shared" si="3"/>
        <v>1</v>
      </c>
      <c r="P111" s="117">
        <f t="shared" si="4"/>
        <v>1</v>
      </c>
      <c r="Q111" s="117">
        <f t="shared" si="5"/>
        <v>1</v>
      </c>
    </row>
    <row r="112" ht="14.25" customHeight="1">
      <c r="B112" s="3"/>
      <c r="C112" s="3"/>
      <c r="D112" s="3"/>
      <c r="E112" s="2">
        <v>6.7327559384453E13</v>
      </c>
      <c r="F112" s="124">
        <v>0.35</v>
      </c>
      <c r="G112" s="124">
        <v>6176.0</v>
      </c>
      <c r="H112" s="124">
        <v>0.0</v>
      </c>
      <c r="I112" s="124">
        <v>0.0</v>
      </c>
      <c r="K112" s="115">
        <f t="shared" ref="K112:M112" si="111">$H112*(1+K$4)</f>
        <v>0</v>
      </c>
      <c r="L112" s="115">
        <f t="shared" si="111"/>
        <v>0</v>
      </c>
      <c r="M112" s="115">
        <f t="shared" si="111"/>
        <v>0</v>
      </c>
      <c r="O112" s="117">
        <f t="shared" si="3"/>
        <v>1</v>
      </c>
      <c r="P112" s="117">
        <f t="shared" si="4"/>
        <v>1</v>
      </c>
      <c r="Q112" s="117">
        <f t="shared" si="5"/>
        <v>1</v>
      </c>
    </row>
    <row r="113" ht="14.25" customHeight="1">
      <c r="B113" s="3"/>
      <c r="C113" s="3"/>
      <c r="D113" s="3" t="s">
        <v>246</v>
      </c>
      <c r="E113" s="2" t="s">
        <v>248</v>
      </c>
      <c r="F113" s="124">
        <v>0.35</v>
      </c>
      <c r="G113" s="124">
        <v>4157.0</v>
      </c>
      <c r="H113" s="124">
        <v>0.0</v>
      </c>
      <c r="I113" s="124">
        <v>0.0</v>
      </c>
      <c r="K113" s="115">
        <f t="shared" ref="K113:M113" si="112">$H113*(1+K$4)</f>
        <v>0</v>
      </c>
      <c r="L113" s="115">
        <f t="shared" si="112"/>
        <v>0</v>
      </c>
      <c r="M113" s="115">
        <f t="shared" si="112"/>
        <v>0</v>
      </c>
      <c r="O113" s="117">
        <f t="shared" si="3"/>
        <v>1</v>
      </c>
      <c r="P113" s="117">
        <f t="shared" si="4"/>
        <v>1</v>
      </c>
      <c r="Q113" s="117">
        <f t="shared" si="5"/>
        <v>1</v>
      </c>
    </row>
    <row r="114" ht="14.25" customHeight="1">
      <c r="B114" s="3"/>
      <c r="C114" s="3"/>
      <c r="D114" s="3" t="s">
        <v>249</v>
      </c>
      <c r="E114" s="2" t="s">
        <v>253</v>
      </c>
      <c r="F114" s="124">
        <v>0.26</v>
      </c>
      <c r="G114" s="124">
        <v>22856.0</v>
      </c>
      <c r="H114" s="124">
        <v>0.0</v>
      </c>
      <c r="I114" s="124">
        <v>0.0</v>
      </c>
      <c r="K114" s="115">
        <f t="shared" ref="K114:M114" si="113">$H114*(1+K$4)</f>
        <v>0</v>
      </c>
      <c r="L114" s="115">
        <f t="shared" si="113"/>
        <v>0</v>
      </c>
      <c r="M114" s="115">
        <f t="shared" si="113"/>
        <v>0</v>
      </c>
      <c r="O114" s="117">
        <f t="shared" si="3"/>
        <v>1</v>
      </c>
      <c r="P114" s="117">
        <f t="shared" si="4"/>
        <v>1</v>
      </c>
      <c r="Q114" s="117">
        <f t="shared" si="5"/>
        <v>1</v>
      </c>
    </row>
    <row r="115" ht="14.25" customHeight="1">
      <c r="B115" s="3"/>
      <c r="C115" s="3"/>
      <c r="D115" s="3" t="s">
        <v>254</v>
      </c>
      <c r="E115" s="2">
        <v>1.538141129434E12</v>
      </c>
      <c r="F115" s="124">
        <v>0.45</v>
      </c>
      <c r="G115" s="124">
        <v>2627.0</v>
      </c>
      <c r="H115" s="124">
        <v>0.0</v>
      </c>
      <c r="I115" s="124">
        <v>0.0</v>
      </c>
      <c r="K115" s="115">
        <f t="shared" ref="K115:M115" si="114">$H115*(1+K$4)</f>
        <v>0</v>
      </c>
      <c r="L115" s="115">
        <f t="shared" si="114"/>
        <v>0</v>
      </c>
      <c r="M115" s="115">
        <f t="shared" si="114"/>
        <v>0</v>
      </c>
      <c r="O115" s="117">
        <f t="shared" si="3"/>
        <v>1</v>
      </c>
      <c r="P115" s="117">
        <f t="shared" si="4"/>
        <v>1</v>
      </c>
      <c r="Q115" s="117">
        <f t="shared" si="5"/>
        <v>1</v>
      </c>
    </row>
    <row r="116" ht="14.25" customHeight="1">
      <c r="B116" s="3"/>
      <c r="C116" s="3"/>
      <c r="D116" s="3"/>
      <c r="E116" s="2">
        <v>1.543406075297E12</v>
      </c>
      <c r="F116" s="124">
        <v>0.38</v>
      </c>
      <c r="G116" s="124">
        <v>2212.0</v>
      </c>
      <c r="H116" s="124">
        <v>0.0</v>
      </c>
      <c r="I116" s="124">
        <v>0.0</v>
      </c>
      <c r="K116" s="115">
        <f t="shared" ref="K116:M116" si="115">$H116*(1+K$4)</f>
        <v>0</v>
      </c>
      <c r="L116" s="115">
        <f t="shared" si="115"/>
        <v>0</v>
      </c>
      <c r="M116" s="115">
        <f t="shared" si="115"/>
        <v>0</v>
      </c>
      <c r="O116" s="117">
        <f t="shared" si="3"/>
        <v>1</v>
      </c>
      <c r="P116" s="117">
        <f t="shared" si="4"/>
        <v>1</v>
      </c>
      <c r="Q116" s="117">
        <f t="shared" si="5"/>
        <v>1</v>
      </c>
    </row>
    <row r="117" ht="14.25" customHeight="1">
      <c r="B117" s="3"/>
      <c r="C117" s="3" t="s">
        <v>257</v>
      </c>
      <c r="D117" s="3" t="s">
        <v>1757</v>
      </c>
      <c r="E117" s="2" t="s">
        <v>1758</v>
      </c>
      <c r="F117" s="124">
        <v>0.49</v>
      </c>
      <c r="G117" s="124">
        <v>4301.0</v>
      </c>
      <c r="H117" s="124">
        <v>0.0</v>
      </c>
      <c r="I117" s="124">
        <v>0.0</v>
      </c>
      <c r="K117" s="115">
        <f t="shared" ref="K117:M117" si="116">$H117*(1+K$4)</f>
        <v>0</v>
      </c>
      <c r="L117" s="115">
        <f t="shared" si="116"/>
        <v>0</v>
      </c>
      <c r="M117" s="115">
        <f t="shared" si="116"/>
        <v>0</v>
      </c>
      <c r="O117" s="117">
        <f t="shared" si="3"/>
        <v>1</v>
      </c>
      <c r="P117" s="117">
        <f t="shared" si="4"/>
        <v>1</v>
      </c>
      <c r="Q117" s="117">
        <f t="shared" si="5"/>
        <v>1</v>
      </c>
    </row>
    <row r="118" ht="14.25" customHeight="1">
      <c r="B118" s="3"/>
      <c r="C118" s="3"/>
      <c r="D118" s="3"/>
      <c r="E118" s="2" t="s">
        <v>1756</v>
      </c>
      <c r="F118" s="124">
        <v>0.37</v>
      </c>
      <c r="G118" s="124">
        <v>5444.0</v>
      </c>
      <c r="H118" s="124">
        <v>0.0</v>
      </c>
      <c r="I118" s="124">
        <v>0.0</v>
      </c>
      <c r="K118" s="115">
        <f t="shared" ref="K118:M118" si="117">$H118*(1+K$4)</f>
        <v>0</v>
      </c>
      <c r="L118" s="115">
        <f t="shared" si="117"/>
        <v>0</v>
      </c>
      <c r="M118" s="115">
        <f t="shared" si="117"/>
        <v>0</v>
      </c>
      <c r="O118" s="117">
        <f t="shared" si="3"/>
        <v>1</v>
      </c>
      <c r="P118" s="117">
        <f t="shared" si="4"/>
        <v>1</v>
      </c>
      <c r="Q118" s="117">
        <f t="shared" si="5"/>
        <v>1</v>
      </c>
    </row>
    <row r="119" ht="14.25" customHeight="1">
      <c r="B119" s="3"/>
      <c r="C119" s="3"/>
      <c r="D119" s="3" t="s">
        <v>258</v>
      </c>
      <c r="E119" s="2" t="s">
        <v>260</v>
      </c>
      <c r="F119" s="124">
        <v>0.28</v>
      </c>
      <c r="G119" s="124">
        <v>1157.0</v>
      </c>
      <c r="H119" s="124">
        <v>0.0</v>
      </c>
      <c r="I119" s="124">
        <v>0.0</v>
      </c>
      <c r="K119" s="115">
        <f t="shared" ref="K119:M119" si="118">$H119*(1+K$4)</f>
        <v>0</v>
      </c>
      <c r="L119" s="115">
        <f t="shared" si="118"/>
        <v>0</v>
      </c>
      <c r="M119" s="115">
        <f t="shared" si="118"/>
        <v>0</v>
      </c>
      <c r="O119" s="117">
        <f t="shared" si="3"/>
        <v>1</v>
      </c>
      <c r="P119" s="117">
        <f t="shared" si="4"/>
        <v>1</v>
      </c>
      <c r="Q119" s="117">
        <f t="shared" si="5"/>
        <v>1</v>
      </c>
    </row>
    <row r="120" ht="14.25" customHeight="1">
      <c r="B120" s="3"/>
      <c r="C120" s="3" t="s">
        <v>266</v>
      </c>
      <c r="D120" s="3" t="s">
        <v>267</v>
      </c>
      <c r="E120" s="2" t="s">
        <v>271</v>
      </c>
      <c r="F120" s="124">
        <v>0.13</v>
      </c>
      <c r="G120" s="124">
        <v>7248.0</v>
      </c>
      <c r="H120" s="124">
        <v>0.0</v>
      </c>
      <c r="I120" s="124">
        <v>0.0</v>
      </c>
      <c r="K120" s="115">
        <f t="shared" ref="K120:M120" si="119">$H120*(1+K$4)</f>
        <v>0</v>
      </c>
      <c r="L120" s="115">
        <f t="shared" si="119"/>
        <v>0</v>
      </c>
      <c r="M120" s="115">
        <f t="shared" si="119"/>
        <v>0</v>
      </c>
      <c r="O120" s="117">
        <f t="shared" si="3"/>
        <v>1</v>
      </c>
      <c r="P120" s="117">
        <f t="shared" si="4"/>
        <v>1</v>
      </c>
      <c r="Q120" s="117">
        <f t="shared" si="5"/>
        <v>1</v>
      </c>
    </row>
    <row r="121" ht="14.25" customHeight="1">
      <c r="B121" s="3"/>
      <c r="C121" s="3"/>
      <c r="D121" s="3"/>
      <c r="E121" s="2" t="s">
        <v>281</v>
      </c>
      <c r="F121" s="124">
        <v>0.45</v>
      </c>
      <c r="G121" s="124">
        <v>30425.0</v>
      </c>
      <c r="H121" s="124">
        <v>0.0</v>
      </c>
      <c r="I121" s="124">
        <v>0.0</v>
      </c>
      <c r="K121" s="115">
        <f t="shared" ref="K121:M121" si="120">$H121*(1+K$4)</f>
        <v>0</v>
      </c>
      <c r="L121" s="115">
        <f t="shared" si="120"/>
        <v>0</v>
      </c>
      <c r="M121" s="115">
        <f t="shared" si="120"/>
        <v>0</v>
      </c>
      <c r="O121" s="117">
        <f t="shared" si="3"/>
        <v>1</v>
      </c>
      <c r="P121" s="117">
        <f t="shared" si="4"/>
        <v>1</v>
      </c>
      <c r="Q121" s="117">
        <f t="shared" si="5"/>
        <v>1</v>
      </c>
    </row>
    <row r="122" ht="14.25" customHeight="1">
      <c r="B122" s="3"/>
      <c r="C122" s="3"/>
      <c r="D122" s="3"/>
      <c r="E122" s="2" t="s">
        <v>276</v>
      </c>
      <c r="F122" s="124">
        <v>0.34</v>
      </c>
      <c r="G122" s="124">
        <v>46062.0</v>
      </c>
      <c r="H122" s="124">
        <v>0.0</v>
      </c>
      <c r="I122" s="124">
        <v>0.0</v>
      </c>
      <c r="K122" s="115">
        <f t="shared" ref="K122:M122" si="121">$H122*(1+K$4)</f>
        <v>0</v>
      </c>
      <c r="L122" s="115">
        <f t="shared" si="121"/>
        <v>0</v>
      </c>
      <c r="M122" s="115">
        <f t="shared" si="121"/>
        <v>0</v>
      </c>
      <c r="O122" s="117">
        <f t="shared" si="3"/>
        <v>1</v>
      </c>
      <c r="P122" s="117">
        <f t="shared" si="4"/>
        <v>1</v>
      </c>
      <c r="Q122" s="117">
        <f t="shared" si="5"/>
        <v>1</v>
      </c>
    </row>
    <row r="123" ht="14.25" customHeight="1">
      <c r="B123" s="3"/>
      <c r="C123" s="3"/>
      <c r="D123" s="3"/>
      <c r="E123" s="2" t="s">
        <v>278</v>
      </c>
      <c r="F123" s="124">
        <v>0.4</v>
      </c>
      <c r="G123" s="124">
        <v>37268.0</v>
      </c>
      <c r="H123" s="124">
        <v>0.0</v>
      </c>
      <c r="I123" s="124">
        <v>0.0</v>
      </c>
      <c r="K123" s="115">
        <f t="shared" ref="K123:M123" si="122">$H123*(1+K$4)</f>
        <v>0</v>
      </c>
      <c r="L123" s="115">
        <f t="shared" si="122"/>
        <v>0</v>
      </c>
      <c r="M123" s="115">
        <f t="shared" si="122"/>
        <v>0</v>
      </c>
      <c r="O123" s="117">
        <f t="shared" si="3"/>
        <v>1</v>
      </c>
      <c r="P123" s="117">
        <f t="shared" si="4"/>
        <v>1</v>
      </c>
      <c r="Q123" s="117">
        <f t="shared" si="5"/>
        <v>1</v>
      </c>
    </row>
    <row r="124" ht="14.25" customHeight="1">
      <c r="B124" s="3"/>
      <c r="C124" s="3"/>
      <c r="D124" s="3"/>
      <c r="E124" s="2" t="s">
        <v>274</v>
      </c>
      <c r="F124" s="124">
        <v>0.33</v>
      </c>
      <c r="G124" s="124">
        <v>38201.0</v>
      </c>
      <c r="H124" s="124">
        <v>0.0</v>
      </c>
      <c r="I124" s="124">
        <v>0.0</v>
      </c>
      <c r="K124" s="115">
        <f t="shared" ref="K124:M124" si="123">$H124*(1+K$4)</f>
        <v>0</v>
      </c>
      <c r="L124" s="115">
        <f t="shared" si="123"/>
        <v>0</v>
      </c>
      <c r="M124" s="115">
        <f t="shared" si="123"/>
        <v>0</v>
      </c>
      <c r="O124" s="117">
        <f t="shared" si="3"/>
        <v>1</v>
      </c>
      <c r="P124" s="117">
        <f t="shared" si="4"/>
        <v>1</v>
      </c>
      <c r="Q124" s="117">
        <f t="shared" si="5"/>
        <v>1</v>
      </c>
    </row>
    <row r="125" ht="14.25" customHeight="1">
      <c r="B125" s="3"/>
      <c r="C125" s="3"/>
      <c r="D125" s="3" t="s">
        <v>282</v>
      </c>
      <c r="E125" s="2">
        <v>1.659991971809E12</v>
      </c>
      <c r="F125" s="124">
        <v>0.47</v>
      </c>
      <c r="G125" s="124">
        <v>18012.0</v>
      </c>
      <c r="H125" s="124">
        <v>0.0</v>
      </c>
      <c r="I125" s="124">
        <v>0.0</v>
      </c>
      <c r="K125" s="115">
        <f t="shared" ref="K125:M125" si="124">$H125*(1+K$4)</f>
        <v>0</v>
      </c>
      <c r="L125" s="115">
        <f t="shared" si="124"/>
        <v>0</v>
      </c>
      <c r="M125" s="115">
        <f t="shared" si="124"/>
        <v>0</v>
      </c>
      <c r="O125" s="117">
        <f t="shared" si="3"/>
        <v>1</v>
      </c>
      <c r="P125" s="117">
        <f t="shared" si="4"/>
        <v>1</v>
      </c>
      <c r="Q125" s="117">
        <f t="shared" si="5"/>
        <v>1</v>
      </c>
    </row>
    <row r="126" ht="14.25" customHeight="1">
      <c r="B126" s="3"/>
      <c r="C126" s="3"/>
      <c r="D126" s="3"/>
      <c r="E126" s="2">
        <v>1.659991999728E12</v>
      </c>
      <c r="F126" s="124">
        <v>0.59</v>
      </c>
      <c r="G126" s="124">
        <v>13906.0</v>
      </c>
      <c r="H126" s="124">
        <v>0.0</v>
      </c>
      <c r="I126" s="124">
        <v>0.0</v>
      </c>
      <c r="K126" s="115">
        <f t="shared" ref="K126:M126" si="125">$H126*(1+K$4)</f>
        <v>0</v>
      </c>
      <c r="L126" s="115">
        <f t="shared" si="125"/>
        <v>0</v>
      </c>
      <c r="M126" s="115">
        <f t="shared" si="125"/>
        <v>0</v>
      </c>
      <c r="O126" s="117">
        <f t="shared" si="3"/>
        <v>1</v>
      </c>
      <c r="P126" s="117">
        <f t="shared" si="4"/>
        <v>1</v>
      </c>
      <c r="Q126" s="117">
        <f t="shared" si="5"/>
        <v>1</v>
      </c>
    </row>
    <row r="127" ht="14.25" customHeight="1">
      <c r="B127" s="3"/>
      <c r="C127" s="3"/>
      <c r="D127" s="3"/>
      <c r="E127" s="2" t="s">
        <v>292</v>
      </c>
      <c r="F127" s="124">
        <v>0.45</v>
      </c>
      <c r="G127" s="124">
        <v>14546.0</v>
      </c>
      <c r="H127" s="124">
        <v>0.0</v>
      </c>
      <c r="I127" s="124">
        <v>0.0</v>
      </c>
      <c r="K127" s="115">
        <f t="shared" ref="K127:M127" si="126">$H127*(1+K$4)</f>
        <v>0</v>
      </c>
      <c r="L127" s="115">
        <f t="shared" si="126"/>
        <v>0</v>
      </c>
      <c r="M127" s="115">
        <f t="shared" si="126"/>
        <v>0</v>
      </c>
      <c r="O127" s="117">
        <f t="shared" si="3"/>
        <v>1</v>
      </c>
      <c r="P127" s="117">
        <f t="shared" si="4"/>
        <v>1</v>
      </c>
      <c r="Q127" s="117">
        <f t="shared" si="5"/>
        <v>1</v>
      </c>
    </row>
    <row r="128" ht="14.25" customHeight="1">
      <c r="B128" s="3"/>
      <c r="C128" s="3"/>
      <c r="D128" s="3"/>
      <c r="E128" s="2" t="s">
        <v>296</v>
      </c>
      <c r="F128" s="124">
        <v>0.51</v>
      </c>
      <c r="G128" s="124">
        <v>21036.0</v>
      </c>
      <c r="H128" s="124">
        <v>0.0</v>
      </c>
      <c r="I128" s="124">
        <v>0.0</v>
      </c>
      <c r="K128" s="115">
        <f t="shared" ref="K128:M128" si="127">$H128*(1+K$4)</f>
        <v>0</v>
      </c>
      <c r="L128" s="115">
        <f t="shared" si="127"/>
        <v>0</v>
      </c>
      <c r="M128" s="115">
        <f t="shared" si="127"/>
        <v>0</v>
      </c>
      <c r="O128" s="117">
        <f t="shared" si="3"/>
        <v>1</v>
      </c>
      <c r="P128" s="117">
        <f t="shared" si="4"/>
        <v>1</v>
      </c>
      <c r="Q128" s="117">
        <f t="shared" si="5"/>
        <v>1</v>
      </c>
    </row>
    <row r="129" ht="14.25" customHeight="1">
      <c r="B129" s="3"/>
      <c r="C129" s="3"/>
      <c r="D129" s="3"/>
      <c r="E129" s="2" t="s">
        <v>300</v>
      </c>
      <c r="F129" s="124">
        <v>0.6</v>
      </c>
      <c r="G129" s="124">
        <v>14030.0</v>
      </c>
      <c r="H129" s="124">
        <v>0.0</v>
      </c>
      <c r="I129" s="124">
        <v>0.0</v>
      </c>
      <c r="K129" s="115">
        <f t="shared" ref="K129:M129" si="128">$H129*(1+K$4)</f>
        <v>0</v>
      </c>
      <c r="L129" s="115">
        <f t="shared" si="128"/>
        <v>0</v>
      </c>
      <c r="M129" s="115">
        <f t="shared" si="128"/>
        <v>0</v>
      </c>
      <c r="O129" s="117">
        <f t="shared" si="3"/>
        <v>1</v>
      </c>
      <c r="P129" s="117">
        <f t="shared" si="4"/>
        <v>1</v>
      </c>
      <c r="Q129" s="117">
        <f t="shared" si="5"/>
        <v>1</v>
      </c>
    </row>
    <row r="130" ht="14.25" customHeight="1">
      <c r="B130" s="3"/>
      <c r="C130" s="3"/>
      <c r="D130" s="3"/>
      <c r="E130" s="2" t="s">
        <v>298</v>
      </c>
      <c r="F130" s="124">
        <v>0.5</v>
      </c>
      <c r="G130" s="124">
        <v>17555.0</v>
      </c>
      <c r="H130" s="124">
        <v>0.0</v>
      </c>
      <c r="I130" s="124">
        <v>0.0</v>
      </c>
      <c r="K130" s="115">
        <f t="shared" ref="K130:M130" si="129">$H130*(1+K$4)</f>
        <v>0</v>
      </c>
      <c r="L130" s="115">
        <f t="shared" si="129"/>
        <v>0</v>
      </c>
      <c r="M130" s="115">
        <f t="shared" si="129"/>
        <v>0</v>
      </c>
      <c r="O130" s="117">
        <f t="shared" si="3"/>
        <v>1</v>
      </c>
      <c r="P130" s="117">
        <f t="shared" si="4"/>
        <v>1</v>
      </c>
      <c r="Q130" s="117">
        <f t="shared" si="5"/>
        <v>1</v>
      </c>
    </row>
    <row r="131" ht="14.25" customHeight="1">
      <c r="B131" s="3"/>
      <c r="C131" s="3"/>
      <c r="D131" s="3"/>
      <c r="E131" s="2" t="s">
        <v>284</v>
      </c>
      <c r="F131" s="124">
        <v>0.48</v>
      </c>
      <c r="G131" s="124">
        <v>21250.0</v>
      </c>
      <c r="H131" s="124">
        <v>0.0</v>
      </c>
      <c r="I131" s="124">
        <v>0.0</v>
      </c>
      <c r="K131" s="115">
        <f t="shared" ref="K131:M131" si="130">$H131*(1+K$4)</f>
        <v>0</v>
      </c>
      <c r="L131" s="115">
        <f t="shared" si="130"/>
        <v>0</v>
      </c>
      <c r="M131" s="115">
        <f t="shared" si="130"/>
        <v>0</v>
      </c>
      <c r="O131" s="117">
        <f t="shared" si="3"/>
        <v>1</v>
      </c>
      <c r="P131" s="117">
        <f t="shared" si="4"/>
        <v>1</v>
      </c>
      <c r="Q131" s="117">
        <f t="shared" si="5"/>
        <v>1</v>
      </c>
    </row>
    <row r="132" ht="14.25" customHeight="1">
      <c r="B132" s="3"/>
      <c r="C132" s="3"/>
      <c r="D132" s="3"/>
      <c r="E132" s="2" t="s">
        <v>287</v>
      </c>
      <c r="F132" s="124">
        <v>0.39</v>
      </c>
      <c r="G132" s="124">
        <v>11386.0</v>
      </c>
      <c r="H132" s="124">
        <v>0.0</v>
      </c>
      <c r="I132" s="124">
        <v>0.0</v>
      </c>
      <c r="K132" s="115">
        <f t="shared" ref="K132:M132" si="131">$H132*(1+K$4)</f>
        <v>0</v>
      </c>
      <c r="L132" s="115">
        <f t="shared" si="131"/>
        <v>0</v>
      </c>
      <c r="M132" s="115">
        <f t="shared" si="131"/>
        <v>0</v>
      </c>
      <c r="O132" s="117">
        <f t="shared" si="3"/>
        <v>1</v>
      </c>
      <c r="P132" s="117">
        <f t="shared" si="4"/>
        <v>1</v>
      </c>
      <c r="Q132" s="117">
        <f t="shared" si="5"/>
        <v>1</v>
      </c>
    </row>
    <row r="133" ht="14.25" customHeight="1">
      <c r="B133" s="3"/>
      <c r="C133" s="3"/>
      <c r="D133" s="3"/>
      <c r="E133" s="2" t="s">
        <v>290</v>
      </c>
      <c r="F133" s="124">
        <v>0.45</v>
      </c>
      <c r="G133" s="124">
        <v>17336.0</v>
      </c>
      <c r="H133" s="124">
        <v>0.0</v>
      </c>
      <c r="I133" s="124">
        <v>0.0</v>
      </c>
      <c r="K133" s="115">
        <f t="shared" ref="K133:M133" si="132">$H133*(1+K$4)</f>
        <v>0</v>
      </c>
      <c r="L133" s="115">
        <f t="shared" si="132"/>
        <v>0</v>
      </c>
      <c r="M133" s="115">
        <f t="shared" si="132"/>
        <v>0</v>
      </c>
      <c r="O133" s="117">
        <f t="shared" si="3"/>
        <v>1</v>
      </c>
      <c r="P133" s="117">
        <f t="shared" si="4"/>
        <v>1</v>
      </c>
      <c r="Q133" s="117">
        <f t="shared" si="5"/>
        <v>1</v>
      </c>
    </row>
    <row r="134" ht="14.25" customHeight="1">
      <c r="B134" s="3"/>
      <c r="C134" s="3"/>
      <c r="D134" s="3"/>
      <c r="E134" s="2" t="s">
        <v>294</v>
      </c>
      <c r="F134" s="124">
        <v>0.38</v>
      </c>
      <c r="G134" s="124">
        <v>56555.0</v>
      </c>
      <c r="H134" s="124">
        <v>0.0</v>
      </c>
      <c r="I134" s="124">
        <v>0.0</v>
      </c>
      <c r="K134" s="115">
        <f t="shared" ref="K134:M134" si="133">$H134*(1+K$4)</f>
        <v>0</v>
      </c>
      <c r="L134" s="115">
        <f t="shared" si="133"/>
        <v>0</v>
      </c>
      <c r="M134" s="115">
        <f t="shared" si="133"/>
        <v>0</v>
      </c>
      <c r="O134" s="117">
        <f t="shared" si="3"/>
        <v>1</v>
      </c>
      <c r="P134" s="117">
        <f t="shared" si="4"/>
        <v>1</v>
      </c>
      <c r="Q134" s="117">
        <f t="shared" si="5"/>
        <v>1</v>
      </c>
    </row>
    <row r="135" ht="14.25" customHeight="1">
      <c r="B135" s="3" t="s">
        <v>5706</v>
      </c>
      <c r="C135" s="3"/>
      <c r="D135" s="3"/>
      <c r="E135" s="3"/>
      <c r="F135" s="124">
        <v>28.029999999999998</v>
      </c>
      <c r="G135" s="124">
        <v>1158940.0</v>
      </c>
      <c r="H135" s="124">
        <v>0.0</v>
      </c>
      <c r="I135" s="124">
        <v>0.0</v>
      </c>
      <c r="K135" s="115">
        <f t="shared" ref="K135:M135" si="134">$H135*(1+K$4)</f>
        <v>0</v>
      </c>
      <c r="L135" s="115">
        <f t="shared" si="134"/>
        <v>0</v>
      </c>
      <c r="M135" s="115">
        <f t="shared" si="134"/>
        <v>0</v>
      </c>
      <c r="O135" s="117">
        <f t="shared" si="3"/>
        <v>1</v>
      </c>
      <c r="P135" s="117">
        <f t="shared" si="4"/>
        <v>1</v>
      </c>
      <c r="Q135" s="117">
        <f t="shared" si="5"/>
        <v>1</v>
      </c>
    </row>
    <row r="136" ht="14.25" customHeight="1">
      <c r="B136" s="3" t="s">
        <v>302</v>
      </c>
      <c r="C136" s="3" t="s">
        <v>303</v>
      </c>
      <c r="D136" s="3" t="s">
        <v>304</v>
      </c>
      <c r="E136" s="2" t="s">
        <v>312</v>
      </c>
      <c r="F136" s="124">
        <v>0.68</v>
      </c>
      <c r="G136" s="124">
        <v>2793.0</v>
      </c>
      <c r="H136" s="124">
        <v>0.0</v>
      </c>
      <c r="I136" s="124">
        <v>0.0</v>
      </c>
      <c r="K136" s="115">
        <f t="shared" ref="K136:M136" si="135">$H136*(1+K$4)</f>
        <v>0</v>
      </c>
      <c r="L136" s="115">
        <f t="shared" si="135"/>
        <v>0</v>
      </c>
      <c r="M136" s="115">
        <f t="shared" si="135"/>
        <v>0</v>
      </c>
      <c r="O136" s="117">
        <f t="shared" si="3"/>
        <v>1</v>
      </c>
      <c r="P136" s="117">
        <f t="shared" si="4"/>
        <v>1</v>
      </c>
      <c r="Q136" s="117">
        <f t="shared" si="5"/>
        <v>1</v>
      </c>
    </row>
    <row r="137" ht="14.25" customHeight="1">
      <c r="B137" s="3"/>
      <c r="C137" s="3"/>
      <c r="D137" s="3"/>
      <c r="E137" s="2" t="s">
        <v>310</v>
      </c>
      <c r="F137" s="124">
        <v>0.68</v>
      </c>
      <c r="G137" s="124">
        <v>2793.0</v>
      </c>
      <c r="H137" s="124">
        <v>0.0</v>
      </c>
      <c r="I137" s="124">
        <v>0.0</v>
      </c>
      <c r="K137" s="115">
        <f t="shared" ref="K137:M137" si="136">$H137*(1+K$4)</f>
        <v>0</v>
      </c>
      <c r="L137" s="115">
        <f t="shared" si="136"/>
        <v>0</v>
      </c>
      <c r="M137" s="115">
        <f t="shared" si="136"/>
        <v>0</v>
      </c>
      <c r="O137" s="117">
        <f t="shared" si="3"/>
        <v>1</v>
      </c>
      <c r="P137" s="117">
        <f t="shared" si="4"/>
        <v>1</v>
      </c>
      <c r="Q137" s="117">
        <f t="shared" si="5"/>
        <v>1</v>
      </c>
    </row>
    <row r="138" ht="14.25" customHeight="1">
      <c r="B138" s="3"/>
      <c r="C138" s="3"/>
      <c r="D138" s="3"/>
      <c r="E138" s="2" t="s">
        <v>308</v>
      </c>
      <c r="F138" s="124">
        <v>0.68</v>
      </c>
      <c r="G138" s="124">
        <v>2793.0</v>
      </c>
      <c r="H138" s="124">
        <v>0.0</v>
      </c>
      <c r="I138" s="124">
        <v>0.0</v>
      </c>
      <c r="K138" s="115">
        <f t="shared" ref="K138:M138" si="137">$H138*(1+K$4)</f>
        <v>0</v>
      </c>
      <c r="L138" s="115">
        <f t="shared" si="137"/>
        <v>0</v>
      </c>
      <c r="M138" s="115">
        <f t="shared" si="137"/>
        <v>0</v>
      </c>
      <c r="O138" s="117">
        <f t="shared" si="3"/>
        <v>1</v>
      </c>
      <c r="P138" s="117">
        <f t="shared" si="4"/>
        <v>1</v>
      </c>
      <c r="Q138" s="117">
        <f t="shared" si="5"/>
        <v>1</v>
      </c>
    </row>
    <row r="139" ht="14.25" customHeight="1">
      <c r="B139" s="3"/>
      <c r="C139" s="3"/>
      <c r="D139" s="3"/>
      <c r="E139" s="2" t="s">
        <v>306</v>
      </c>
      <c r="F139" s="124">
        <v>0.68</v>
      </c>
      <c r="G139" s="124">
        <v>2793.0</v>
      </c>
      <c r="H139" s="124">
        <v>0.0</v>
      </c>
      <c r="I139" s="124">
        <v>0.0</v>
      </c>
      <c r="K139" s="115">
        <f t="shared" ref="K139:M139" si="138">$H139*(1+K$4)</f>
        <v>0</v>
      </c>
      <c r="L139" s="115">
        <f t="shared" si="138"/>
        <v>0</v>
      </c>
      <c r="M139" s="115">
        <f t="shared" si="138"/>
        <v>0</v>
      </c>
      <c r="O139" s="117">
        <f t="shared" si="3"/>
        <v>1</v>
      </c>
      <c r="P139" s="117">
        <f t="shared" si="4"/>
        <v>1</v>
      </c>
      <c r="Q139" s="117">
        <f t="shared" si="5"/>
        <v>1</v>
      </c>
    </row>
    <row r="140" ht="14.25" customHeight="1">
      <c r="B140" s="3"/>
      <c r="C140" s="3"/>
      <c r="D140" s="3"/>
      <c r="E140" s="2" t="s">
        <v>316</v>
      </c>
      <c r="F140" s="124">
        <v>0.68</v>
      </c>
      <c r="G140" s="124">
        <v>2793.0</v>
      </c>
      <c r="H140" s="124">
        <v>0.0</v>
      </c>
      <c r="I140" s="124">
        <v>0.0</v>
      </c>
      <c r="K140" s="115">
        <f t="shared" ref="K140:M140" si="139">$H140*(1+K$4)</f>
        <v>0</v>
      </c>
      <c r="L140" s="115">
        <f t="shared" si="139"/>
        <v>0</v>
      </c>
      <c r="M140" s="115">
        <f t="shared" si="139"/>
        <v>0</v>
      </c>
      <c r="O140" s="117">
        <f t="shared" si="3"/>
        <v>1</v>
      </c>
      <c r="P140" s="117">
        <f t="shared" si="4"/>
        <v>1</v>
      </c>
      <c r="Q140" s="117">
        <f t="shared" si="5"/>
        <v>1</v>
      </c>
    </row>
    <row r="141" ht="14.25" customHeight="1">
      <c r="B141" s="3"/>
      <c r="C141" s="3"/>
      <c r="D141" s="3"/>
      <c r="E141" s="2" t="s">
        <v>314</v>
      </c>
      <c r="F141" s="124">
        <v>0.68</v>
      </c>
      <c r="G141" s="124">
        <v>2793.0</v>
      </c>
      <c r="H141" s="124">
        <v>0.0</v>
      </c>
      <c r="I141" s="124">
        <v>0.0</v>
      </c>
      <c r="K141" s="115">
        <f t="shared" ref="K141:M141" si="140">$H141*(1+K$4)</f>
        <v>0</v>
      </c>
      <c r="L141" s="115">
        <f t="shared" si="140"/>
        <v>0</v>
      </c>
      <c r="M141" s="115">
        <f t="shared" si="140"/>
        <v>0</v>
      </c>
      <c r="O141" s="117">
        <f t="shared" si="3"/>
        <v>1</v>
      </c>
      <c r="P141" s="117">
        <f t="shared" si="4"/>
        <v>1</v>
      </c>
      <c r="Q141" s="117">
        <f t="shared" si="5"/>
        <v>1</v>
      </c>
    </row>
    <row r="142" ht="14.25" customHeight="1">
      <c r="B142" s="3"/>
      <c r="C142" s="3"/>
      <c r="D142" s="3"/>
      <c r="E142" s="2" t="s">
        <v>336</v>
      </c>
      <c r="F142" s="124">
        <v>0.52</v>
      </c>
      <c r="G142" s="124">
        <v>3069.0</v>
      </c>
      <c r="H142" s="124">
        <v>0.0</v>
      </c>
      <c r="I142" s="124">
        <v>0.0</v>
      </c>
      <c r="K142" s="115">
        <f t="shared" ref="K142:M142" si="141">$H142*(1+K$4)</f>
        <v>0</v>
      </c>
      <c r="L142" s="115">
        <f t="shared" si="141"/>
        <v>0</v>
      </c>
      <c r="M142" s="115">
        <f t="shared" si="141"/>
        <v>0</v>
      </c>
      <c r="O142" s="117">
        <f t="shared" si="3"/>
        <v>1</v>
      </c>
      <c r="P142" s="117">
        <f t="shared" si="4"/>
        <v>1</v>
      </c>
      <c r="Q142" s="117">
        <f t="shared" si="5"/>
        <v>1</v>
      </c>
    </row>
    <row r="143" ht="14.25" customHeight="1">
      <c r="B143" s="3"/>
      <c r="C143" s="3"/>
      <c r="D143" s="3"/>
      <c r="E143" s="2" t="s">
        <v>334</v>
      </c>
      <c r="F143" s="124">
        <v>0.52</v>
      </c>
      <c r="G143" s="124">
        <v>3069.0</v>
      </c>
      <c r="H143" s="124">
        <v>0.0</v>
      </c>
      <c r="I143" s="124">
        <v>0.0</v>
      </c>
      <c r="K143" s="115">
        <f t="shared" ref="K143:M143" si="142">$H143*(1+K$4)</f>
        <v>0</v>
      </c>
      <c r="L143" s="115">
        <f t="shared" si="142"/>
        <v>0</v>
      </c>
      <c r="M143" s="115">
        <f t="shared" si="142"/>
        <v>0</v>
      </c>
      <c r="O143" s="117">
        <f t="shared" si="3"/>
        <v>1</v>
      </c>
      <c r="P143" s="117">
        <f t="shared" si="4"/>
        <v>1</v>
      </c>
      <c r="Q143" s="117">
        <f t="shared" si="5"/>
        <v>1</v>
      </c>
    </row>
    <row r="144" ht="14.25" customHeight="1">
      <c r="B144" s="3"/>
      <c r="C144" s="3"/>
      <c r="D144" s="3"/>
      <c r="E144" s="2" t="s">
        <v>340</v>
      </c>
      <c r="F144" s="124">
        <v>0.52</v>
      </c>
      <c r="G144" s="124">
        <v>3069.0</v>
      </c>
      <c r="H144" s="124">
        <v>0.0</v>
      </c>
      <c r="I144" s="124">
        <v>0.0</v>
      </c>
      <c r="K144" s="115">
        <f t="shared" ref="K144:M144" si="143">$H144*(1+K$4)</f>
        <v>0</v>
      </c>
      <c r="L144" s="115">
        <f t="shared" si="143"/>
        <v>0</v>
      </c>
      <c r="M144" s="115">
        <f t="shared" si="143"/>
        <v>0</v>
      </c>
      <c r="O144" s="117">
        <f t="shared" si="3"/>
        <v>1</v>
      </c>
      <c r="P144" s="117">
        <f t="shared" si="4"/>
        <v>1</v>
      </c>
      <c r="Q144" s="117">
        <f t="shared" si="5"/>
        <v>1</v>
      </c>
    </row>
    <row r="145" ht="14.25" customHeight="1">
      <c r="B145" s="3"/>
      <c r="C145" s="3"/>
      <c r="D145" s="3"/>
      <c r="E145" s="2" t="s">
        <v>338</v>
      </c>
      <c r="F145" s="124">
        <v>0.52</v>
      </c>
      <c r="G145" s="124">
        <v>3069.0</v>
      </c>
      <c r="H145" s="124">
        <v>0.0</v>
      </c>
      <c r="I145" s="124">
        <v>0.0</v>
      </c>
      <c r="K145" s="115">
        <f t="shared" ref="K145:M145" si="144">$H145*(1+K$4)</f>
        <v>0</v>
      </c>
      <c r="L145" s="115">
        <f t="shared" si="144"/>
        <v>0</v>
      </c>
      <c r="M145" s="115">
        <f t="shared" si="144"/>
        <v>0</v>
      </c>
      <c r="O145" s="117">
        <f t="shared" si="3"/>
        <v>1</v>
      </c>
      <c r="P145" s="117">
        <f t="shared" si="4"/>
        <v>1</v>
      </c>
      <c r="Q145" s="117">
        <f t="shared" si="5"/>
        <v>1</v>
      </c>
    </row>
    <row r="146" ht="14.25" customHeight="1">
      <c r="B146" s="3"/>
      <c r="C146" s="3"/>
      <c r="D146" s="3"/>
      <c r="E146" s="2" t="s">
        <v>332</v>
      </c>
      <c r="F146" s="124">
        <v>0.52</v>
      </c>
      <c r="G146" s="124">
        <v>3069.0</v>
      </c>
      <c r="H146" s="124">
        <v>0.0</v>
      </c>
      <c r="I146" s="124">
        <v>0.0</v>
      </c>
      <c r="K146" s="115">
        <f t="shared" ref="K146:M146" si="145">$H146*(1+K$4)</f>
        <v>0</v>
      </c>
      <c r="L146" s="115">
        <f t="shared" si="145"/>
        <v>0</v>
      </c>
      <c r="M146" s="115">
        <f t="shared" si="145"/>
        <v>0</v>
      </c>
      <c r="O146" s="117">
        <f t="shared" si="3"/>
        <v>1</v>
      </c>
      <c r="P146" s="117">
        <f t="shared" si="4"/>
        <v>1</v>
      </c>
      <c r="Q146" s="117">
        <f t="shared" si="5"/>
        <v>1</v>
      </c>
    </row>
    <row r="147" ht="14.25" customHeight="1">
      <c r="B147" s="3"/>
      <c r="C147" s="3"/>
      <c r="D147" s="3"/>
      <c r="E147" s="2" t="s">
        <v>330</v>
      </c>
      <c r="F147" s="124">
        <v>0.52</v>
      </c>
      <c r="G147" s="124">
        <v>3069.0</v>
      </c>
      <c r="H147" s="124">
        <v>0.0</v>
      </c>
      <c r="I147" s="124">
        <v>0.0</v>
      </c>
      <c r="K147" s="115">
        <f t="shared" ref="K147:M147" si="146">$H147*(1+K$4)</f>
        <v>0</v>
      </c>
      <c r="L147" s="115">
        <f t="shared" si="146"/>
        <v>0</v>
      </c>
      <c r="M147" s="115">
        <f t="shared" si="146"/>
        <v>0</v>
      </c>
      <c r="O147" s="117">
        <f t="shared" si="3"/>
        <v>1</v>
      </c>
      <c r="P147" s="117">
        <f t="shared" si="4"/>
        <v>1</v>
      </c>
      <c r="Q147" s="117">
        <f t="shared" si="5"/>
        <v>1</v>
      </c>
    </row>
    <row r="148" ht="14.25" customHeight="1">
      <c r="B148" s="3"/>
      <c r="C148" s="3"/>
      <c r="D148" s="3"/>
      <c r="E148" s="2" t="s">
        <v>328</v>
      </c>
      <c r="F148" s="124">
        <v>0.56</v>
      </c>
      <c r="G148" s="124">
        <v>2985.0</v>
      </c>
      <c r="H148" s="124">
        <v>0.0</v>
      </c>
      <c r="I148" s="124">
        <v>0.0</v>
      </c>
      <c r="K148" s="115">
        <f t="shared" ref="K148:M148" si="147">$H148*(1+K$4)</f>
        <v>0</v>
      </c>
      <c r="L148" s="115">
        <f t="shared" si="147"/>
        <v>0</v>
      </c>
      <c r="M148" s="115">
        <f t="shared" si="147"/>
        <v>0</v>
      </c>
      <c r="O148" s="117">
        <f t="shared" si="3"/>
        <v>1</v>
      </c>
      <c r="P148" s="117">
        <f t="shared" si="4"/>
        <v>1</v>
      </c>
      <c r="Q148" s="117">
        <f t="shared" si="5"/>
        <v>1</v>
      </c>
    </row>
    <row r="149" ht="14.25" customHeight="1">
      <c r="B149" s="3"/>
      <c r="C149" s="3"/>
      <c r="D149" s="3"/>
      <c r="E149" s="2" t="s">
        <v>326</v>
      </c>
      <c r="F149" s="124">
        <v>0.56</v>
      </c>
      <c r="G149" s="124">
        <v>2985.0</v>
      </c>
      <c r="H149" s="124">
        <v>0.0</v>
      </c>
      <c r="I149" s="124">
        <v>0.0</v>
      </c>
      <c r="K149" s="115">
        <f t="shared" ref="K149:M149" si="148">$H149*(1+K$4)</f>
        <v>0</v>
      </c>
      <c r="L149" s="115">
        <f t="shared" si="148"/>
        <v>0</v>
      </c>
      <c r="M149" s="115">
        <f t="shared" si="148"/>
        <v>0</v>
      </c>
      <c r="O149" s="117">
        <f t="shared" si="3"/>
        <v>1</v>
      </c>
      <c r="P149" s="117">
        <f t="shared" si="4"/>
        <v>1</v>
      </c>
      <c r="Q149" s="117">
        <f t="shared" si="5"/>
        <v>1</v>
      </c>
    </row>
    <row r="150" ht="14.25" customHeight="1">
      <c r="B150" s="3"/>
      <c r="C150" s="3"/>
      <c r="D150" s="3"/>
      <c r="E150" s="2" t="s">
        <v>324</v>
      </c>
      <c r="F150" s="124">
        <v>0.56</v>
      </c>
      <c r="G150" s="124">
        <v>2985.0</v>
      </c>
      <c r="H150" s="124">
        <v>0.0</v>
      </c>
      <c r="I150" s="124">
        <v>0.0</v>
      </c>
      <c r="K150" s="115">
        <f t="shared" ref="K150:M150" si="149">$H150*(1+K$4)</f>
        <v>0</v>
      </c>
      <c r="L150" s="115">
        <f t="shared" si="149"/>
        <v>0</v>
      </c>
      <c r="M150" s="115">
        <f t="shared" si="149"/>
        <v>0</v>
      </c>
      <c r="O150" s="117">
        <f t="shared" si="3"/>
        <v>1</v>
      </c>
      <c r="P150" s="117">
        <f t="shared" si="4"/>
        <v>1</v>
      </c>
      <c r="Q150" s="117">
        <f t="shared" si="5"/>
        <v>1</v>
      </c>
    </row>
    <row r="151" ht="14.25" customHeight="1">
      <c r="B151" s="3"/>
      <c r="C151" s="3"/>
      <c r="D151" s="3"/>
      <c r="E151" s="2" t="s">
        <v>322</v>
      </c>
      <c r="F151" s="124">
        <v>0.56</v>
      </c>
      <c r="G151" s="124">
        <v>2985.0</v>
      </c>
      <c r="H151" s="124">
        <v>0.0</v>
      </c>
      <c r="I151" s="124">
        <v>0.0</v>
      </c>
      <c r="K151" s="115">
        <f t="shared" ref="K151:M151" si="150">$H151*(1+K$4)</f>
        <v>0</v>
      </c>
      <c r="L151" s="115">
        <f t="shared" si="150"/>
        <v>0</v>
      </c>
      <c r="M151" s="115">
        <f t="shared" si="150"/>
        <v>0</v>
      </c>
      <c r="O151" s="117">
        <f t="shared" si="3"/>
        <v>1</v>
      </c>
      <c r="P151" s="117">
        <f t="shared" si="4"/>
        <v>1</v>
      </c>
      <c r="Q151" s="117">
        <f t="shared" si="5"/>
        <v>1</v>
      </c>
    </row>
    <row r="152" ht="14.25" customHeight="1">
      <c r="B152" s="3"/>
      <c r="C152" s="3"/>
      <c r="D152" s="3"/>
      <c r="E152" s="2" t="s">
        <v>320</v>
      </c>
      <c r="F152" s="124">
        <v>0.56</v>
      </c>
      <c r="G152" s="124">
        <v>2985.0</v>
      </c>
      <c r="H152" s="124">
        <v>0.0</v>
      </c>
      <c r="I152" s="124">
        <v>0.0</v>
      </c>
      <c r="K152" s="115">
        <f t="shared" ref="K152:M152" si="151">$H152*(1+K$4)</f>
        <v>0</v>
      </c>
      <c r="L152" s="115">
        <f t="shared" si="151"/>
        <v>0</v>
      </c>
      <c r="M152" s="115">
        <f t="shared" si="151"/>
        <v>0</v>
      </c>
      <c r="O152" s="117">
        <f t="shared" si="3"/>
        <v>1</v>
      </c>
      <c r="P152" s="117">
        <f t="shared" si="4"/>
        <v>1</v>
      </c>
      <c r="Q152" s="117">
        <f t="shared" si="5"/>
        <v>1</v>
      </c>
    </row>
    <row r="153" ht="14.25" customHeight="1">
      <c r="B153" s="3"/>
      <c r="C153" s="3"/>
      <c r="D153" s="3"/>
      <c r="E153" s="2" t="s">
        <v>318</v>
      </c>
      <c r="F153" s="124">
        <v>0.56</v>
      </c>
      <c r="G153" s="124">
        <v>2985.0</v>
      </c>
      <c r="H153" s="124">
        <v>0.0</v>
      </c>
      <c r="I153" s="124">
        <v>0.0</v>
      </c>
      <c r="K153" s="115">
        <f t="shared" ref="K153:M153" si="152">$H153*(1+K$4)</f>
        <v>0</v>
      </c>
      <c r="L153" s="115">
        <f t="shared" si="152"/>
        <v>0</v>
      </c>
      <c r="M153" s="115">
        <f t="shared" si="152"/>
        <v>0</v>
      </c>
      <c r="O153" s="117">
        <f t="shared" si="3"/>
        <v>1</v>
      </c>
      <c r="P153" s="117">
        <f t="shared" si="4"/>
        <v>1</v>
      </c>
      <c r="Q153" s="117">
        <f t="shared" si="5"/>
        <v>1</v>
      </c>
    </row>
    <row r="154" ht="14.25" customHeight="1">
      <c r="B154" s="3"/>
      <c r="C154" s="3"/>
      <c r="D154" s="3" t="s">
        <v>345</v>
      </c>
      <c r="E154" s="2" t="s">
        <v>359</v>
      </c>
      <c r="F154" s="124">
        <v>0.24</v>
      </c>
      <c r="G154" s="124">
        <v>1143.0</v>
      </c>
      <c r="H154" s="124">
        <v>0.0</v>
      </c>
      <c r="I154" s="124">
        <v>0.0</v>
      </c>
      <c r="K154" s="115">
        <f t="shared" ref="K154:M154" si="153">$H154*(1+K$4)</f>
        <v>0</v>
      </c>
      <c r="L154" s="115">
        <f t="shared" si="153"/>
        <v>0</v>
      </c>
      <c r="M154" s="115">
        <f t="shared" si="153"/>
        <v>0</v>
      </c>
      <c r="O154" s="117">
        <f t="shared" si="3"/>
        <v>1</v>
      </c>
      <c r="P154" s="117">
        <f t="shared" si="4"/>
        <v>1</v>
      </c>
      <c r="Q154" s="117">
        <f t="shared" si="5"/>
        <v>1</v>
      </c>
    </row>
    <row r="155" ht="14.25" customHeight="1">
      <c r="B155" s="3"/>
      <c r="C155" s="3"/>
      <c r="D155" s="3"/>
      <c r="E155" s="2" t="s">
        <v>361</v>
      </c>
      <c r="F155" s="124">
        <v>0.24</v>
      </c>
      <c r="G155" s="124">
        <v>1143.0</v>
      </c>
      <c r="H155" s="124">
        <v>0.0</v>
      </c>
      <c r="I155" s="124">
        <v>0.0</v>
      </c>
      <c r="K155" s="115">
        <f t="shared" ref="K155:M155" si="154">$H155*(1+K$4)</f>
        <v>0</v>
      </c>
      <c r="L155" s="115">
        <f t="shared" si="154"/>
        <v>0</v>
      </c>
      <c r="M155" s="115">
        <f t="shared" si="154"/>
        <v>0</v>
      </c>
      <c r="O155" s="117">
        <f t="shared" si="3"/>
        <v>1</v>
      </c>
      <c r="P155" s="117">
        <f t="shared" si="4"/>
        <v>1</v>
      </c>
      <c r="Q155" s="117">
        <f t="shared" si="5"/>
        <v>1</v>
      </c>
    </row>
    <row r="156" ht="14.25" customHeight="1">
      <c r="B156" s="3"/>
      <c r="C156" s="3"/>
      <c r="D156" s="3"/>
      <c r="E156" s="2" t="s">
        <v>363</v>
      </c>
      <c r="F156" s="124">
        <v>0.34</v>
      </c>
      <c r="G156" s="124">
        <v>1599.0</v>
      </c>
      <c r="H156" s="124">
        <v>0.0</v>
      </c>
      <c r="I156" s="124">
        <v>0.0</v>
      </c>
      <c r="K156" s="115">
        <f t="shared" ref="K156:M156" si="155">$H156*(1+K$4)</f>
        <v>0</v>
      </c>
      <c r="L156" s="115">
        <f t="shared" si="155"/>
        <v>0</v>
      </c>
      <c r="M156" s="115">
        <f t="shared" si="155"/>
        <v>0</v>
      </c>
      <c r="O156" s="117">
        <f t="shared" si="3"/>
        <v>1</v>
      </c>
      <c r="P156" s="117">
        <f t="shared" si="4"/>
        <v>1</v>
      </c>
      <c r="Q156" s="117">
        <f t="shared" si="5"/>
        <v>1</v>
      </c>
    </row>
    <row r="157" ht="14.25" customHeight="1">
      <c r="B157" s="3"/>
      <c r="C157" s="3"/>
      <c r="D157" s="3"/>
      <c r="E157" s="2" t="s">
        <v>367</v>
      </c>
      <c r="F157" s="124">
        <v>0.34</v>
      </c>
      <c r="G157" s="124">
        <v>1599.0</v>
      </c>
      <c r="H157" s="124">
        <v>0.0</v>
      </c>
      <c r="I157" s="124">
        <v>0.0</v>
      </c>
      <c r="K157" s="115">
        <f t="shared" ref="K157:M157" si="156">$H157*(1+K$4)</f>
        <v>0</v>
      </c>
      <c r="L157" s="115">
        <f t="shared" si="156"/>
        <v>0</v>
      </c>
      <c r="M157" s="115">
        <f t="shared" si="156"/>
        <v>0</v>
      </c>
      <c r="O157" s="117">
        <f t="shared" si="3"/>
        <v>1</v>
      </c>
      <c r="P157" s="117">
        <f t="shared" si="4"/>
        <v>1</v>
      </c>
      <c r="Q157" s="117">
        <f t="shared" si="5"/>
        <v>1</v>
      </c>
    </row>
    <row r="158" ht="14.25" customHeight="1">
      <c r="B158" s="3"/>
      <c r="C158" s="3"/>
      <c r="D158" s="3"/>
      <c r="E158" s="2" t="s">
        <v>365</v>
      </c>
      <c r="F158" s="124">
        <v>0.34</v>
      </c>
      <c r="G158" s="124">
        <v>1599.0</v>
      </c>
      <c r="H158" s="124">
        <v>0.0</v>
      </c>
      <c r="I158" s="124">
        <v>0.0</v>
      </c>
      <c r="K158" s="115">
        <f t="shared" ref="K158:M158" si="157">$H158*(1+K$4)</f>
        <v>0</v>
      </c>
      <c r="L158" s="115">
        <f t="shared" si="157"/>
        <v>0</v>
      </c>
      <c r="M158" s="115">
        <f t="shared" si="157"/>
        <v>0</v>
      </c>
      <c r="O158" s="117">
        <f t="shared" si="3"/>
        <v>1</v>
      </c>
      <c r="P158" s="117">
        <f t="shared" si="4"/>
        <v>1</v>
      </c>
      <c r="Q158" s="117">
        <f t="shared" si="5"/>
        <v>1</v>
      </c>
    </row>
    <row r="159" ht="14.25" customHeight="1">
      <c r="B159" s="3"/>
      <c r="C159" s="3"/>
      <c r="D159" s="3"/>
      <c r="E159" s="2" t="s">
        <v>347</v>
      </c>
      <c r="F159" s="124">
        <v>0.32</v>
      </c>
      <c r="G159" s="124">
        <v>1482.0</v>
      </c>
      <c r="H159" s="124">
        <v>0.0</v>
      </c>
      <c r="I159" s="124">
        <v>0.0</v>
      </c>
      <c r="K159" s="115">
        <f t="shared" ref="K159:M159" si="158">$H159*(1+K$4)</f>
        <v>0</v>
      </c>
      <c r="L159" s="115">
        <f t="shared" si="158"/>
        <v>0</v>
      </c>
      <c r="M159" s="115">
        <f t="shared" si="158"/>
        <v>0</v>
      </c>
      <c r="O159" s="117">
        <f t="shared" si="3"/>
        <v>1</v>
      </c>
      <c r="P159" s="117">
        <f t="shared" si="4"/>
        <v>1</v>
      </c>
      <c r="Q159" s="117">
        <f t="shared" si="5"/>
        <v>1</v>
      </c>
    </row>
    <row r="160" ht="14.25" customHeight="1">
      <c r="B160" s="3"/>
      <c r="C160" s="3"/>
      <c r="D160" s="3"/>
      <c r="E160" s="2" t="s">
        <v>351</v>
      </c>
      <c r="F160" s="124">
        <v>0.32</v>
      </c>
      <c r="G160" s="124">
        <v>1482.0</v>
      </c>
      <c r="H160" s="124">
        <v>0.0</v>
      </c>
      <c r="I160" s="124">
        <v>0.0</v>
      </c>
      <c r="K160" s="115">
        <f t="shared" ref="K160:M160" si="159">$H160*(1+K$4)</f>
        <v>0</v>
      </c>
      <c r="L160" s="115">
        <f t="shared" si="159"/>
        <v>0</v>
      </c>
      <c r="M160" s="115">
        <f t="shared" si="159"/>
        <v>0</v>
      </c>
      <c r="O160" s="117">
        <f t="shared" si="3"/>
        <v>1</v>
      </c>
      <c r="P160" s="117">
        <f t="shared" si="4"/>
        <v>1</v>
      </c>
      <c r="Q160" s="117">
        <f t="shared" si="5"/>
        <v>1</v>
      </c>
    </row>
    <row r="161" ht="14.25" customHeight="1">
      <c r="B161" s="3"/>
      <c r="C161" s="3"/>
      <c r="D161" s="3"/>
      <c r="E161" s="2" t="s">
        <v>349</v>
      </c>
      <c r="F161" s="124">
        <v>0.32</v>
      </c>
      <c r="G161" s="124">
        <v>1482.0</v>
      </c>
      <c r="H161" s="124">
        <v>0.0</v>
      </c>
      <c r="I161" s="124">
        <v>0.0</v>
      </c>
      <c r="K161" s="115">
        <f t="shared" ref="K161:M161" si="160">$H161*(1+K$4)</f>
        <v>0</v>
      </c>
      <c r="L161" s="115">
        <f t="shared" si="160"/>
        <v>0</v>
      </c>
      <c r="M161" s="115">
        <f t="shared" si="160"/>
        <v>0</v>
      </c>
      <c r="O161" s="117">
        <f t="shared" si="3"/>
        <v>1</v>
      </c>
      <c r="P161" s="117">
        <f t="shared" si="4"/>
        <v>1</v>
      </c>
      <c r="Q161" s="117">
        <f t="shared" si="5"/>
        <v>1</v>
      </c>
    </row>
    <row r="162" ht="14.25" customHeight="1">
      <c r="B162" s="3"/>
      <c r="C162" s="3"/>
      <c r="D162" s="3"/>
      <c r="E162" s="2" t="s">
        <v>369</v>
      </c>
      <c r="F162" s="124">
        <v>0.34</v>
      </c>
      <c r="G162" s="124">
        <v>1599.0</v>
      </c>
      <c r="H162" s="124">
        <v>0.0</v>
      </c>
      <c r="I162" s="124">
        <v>0.0</v>
      </c>
      <c r="K162" s="115">
        <f t="shared" ref="K162:M162" si="161">$H162*(1+K$4)</f>
        <v>0</v>
      </c>
      <c r="L162" s="115">
        <f t="shared" si="161"/>
        <v>0</v>
      </c>
      <c r="M162" s="115">
        <f t="shared" si="161"/>
        <v>0</v>
      </c>
      <c r="O162" s="117">
        <f t="shared" si="3"/>
        <v>1</v>
      </c>
      <c r="P162" s="117">
        <f t="shared" si="4"/>
        <v>1</v>
      </c>
      <c r="Q162" s="117">
        <f t="shared" si="5"/>
        <v>1</v>
      </c>
    </row>
    <row r="163" ht="14.25" customHeight="1">
      <c r="B163" s="3"/>
      <c r="C163" s="3"/>
      <c r="D163" s="3"/>
      <c r="E163" s="2" t="s">
        <v>371</v>
      </c>
      <c r="F163" s="124">
        <v>0.34</v>
      </c>
      <c r="G163" s="124">
        <v>1599.0</v>
      </c>
      <c r="H163" s="124">
        <v>0.0</v>
      </c>
      <c r="I163" s="124">
        <v>0.0</v>
      </c>
      <c r="K163" s="115">
        <f t="shared" ref="K163:M163" si="162">$H163*(1+K$4)</f>
        <v>0</v>
      </c>
      <c r="L163" s="115">
        <f t="shared" si="162"/>
        <v>0</v>
      </c>
      <c r="M163" s="115">
        <f t="shared" si="162"/>
        <v>0</v>
      </c>
      <c r="O163" s="117">
        <f t="shared" si="3"/>
        <v>1</v>
      </c>
      <c r="P163" s="117">
        <f t="shared" si="4"/>
        <v>1</v>
      </c>
      <c r="Q163" s="117">
        <f t="shared" si="5"/>
        <v>1</v>
      </c>
    </row>
    <row r="164" ht="14.25" customHeight="1">
      <c r="B164" s="3"/>
      <c r="C164" s="3"/>
      <c r="D164" s="3"/>
      <c r="E164" s="2" t="s">
        <v>373</v>
      </c>
      <c r="F164" s="124">
        <v>0.34</v>
      </c>
      <c r="G164" s="124">
        <v>1599.0</v>
      </c>
      <c r="H164" s="124">
        <v>0.0</v>
      </c>
      <c r="I164" s="124">
        <v>0.0</v>
      </c>
      <c r="K164" s="115">
        <f t="shared" ref="K164:M164" si="163">$H164*(1+K$4)</f>
        <v>0</v>
      </c>
      <c r="L164" s="115">
        <f t="shared" si="163"/>
        <v>0</v>
      </c>
      <c r="M164" s="115">
        <f t="shared" si="163"/>
        <v>0</v>
      </c>
      <c r="O164" s="117">
        <f t="shared" si="3"/>
        <v>1</v>
      </c>
      <c r="P164" s="117">
        <f t="shared" si="4"/>
        <v>1</v>
      </c>
      <c r="Q164" s="117">
        <f t="shared" si="5"/>
        <v>1</v>
      </c>
    </row>
    <row r="165" ht="14.25" customHeight="1">
      <c r="B165" s="3"/>
      <c r="C165" s="3"/>
      <c r="D165" s="3"/>
      <c r="E165" s="2" t="s">
        <v>353</v>
      </c>
      <c r="F165" s="124">
        <v>0.32</v>
      </c>
      <c r="G165" s="124">
        <v>1482.0</v>
      </c>
      <c r="H165" s="124">
        <v>0.0</v>
      </c>
      <c r="I165" s="124">
        <v>0.0</v>
      </c>
      <c r="K165" s="115">
        <f t="shared" ref="K165:M165" si="164">$H165*(1+K$4)</f>
        <v>0</v>
      </c>
      <c r="L165" s="115">
        <f t="shared" si="164"/>
        <v>0</v>
      </c>
      <c r="M165" s="115">
        <f t="shared" si="164"/>
        <v>0</v>
      </c>
      <c r="O165" s="117">
        <f t="shared" si="3"/>
        <v>1</v>
      </c>
      <c r="P165" s="117">
        <f t="shared" si="4"/>
        <v>1</v>
      </c>
      <c r="Q165" s="117">
        <f t="shared" si="5"/>
        <v>1</v>
      </c>
    </row>
    <row r="166" ht="14.25" customHeight="1">
      <c r="B166" s="3"/>
      <c r="C166" s="3"/>
      <c r="D166" s="3"/>
      <c r="E166" s="2" t="s">
        <v>355</v>
      </c>
      <c r="F166" s="124">
        <v>0.32</v>
      </c>
      <c r="G166" s="124">
        <v>1482.0</v>
      </c>
      <c r="H166" s="124">
        <v>0.0</v>
      </c>
      <c r="I166" s="124">
        <v>0.0</v>
      </c>
      <c r="K166" s="115">
        <f t="shared" ref="K166:M166" si="165">$H166*(1+K$4)</f>
        <v>0</v>
      </c>
      <c r="L166" s="115">
        <f t="shared" si="165"/>
        <v>0</v>
      </c>
      <c r="M166" s="115">
        <f t="shared" si="165"/>
        <v>0</v>
      </c>
      <c r="O166" s="117">
        <f t="shared" si="3"/>
        <v>1</v>
      </c>
      <c r="P166" s="117">
        <f t="shared" si="4"/>
        <v>1</v>
      </c>
      <c r="Q166" s="117">
        <f t="shared" si="5"/>
        <v>1</v>
      </c>
    </row>
    <row r="167" ht="14.25" customHeight="1">
      <c r="B167" s="3"/>
      <c r="C167" s="3"/>
      <c r="D167" s="3" t="s">
        <v>374</v>
      </c>
      <c r="E167" s="2" t="s">
        <v>386</v>
      </c>
      <c r="F167" s="124">
        <v>0.08</v>
      </c>
      <c r="G167" s="124">
        <v>542.0</v>
      </c>
      <c r="H167" s="124">
        <v>0.0</v>
      </c>
      <c r="I167" s="124">
        <v>0.0</v>
      </c>
      <c r="K167" s="115">
        <f t="shared" ref="K167:M167" si="166">$H167*(1+K$4)</f>
        <v>0</v>
      </c>
      <c r="L167" s="115">
        <f t="shared" si="166"/>
        <v>0</v>
      </c>
      <c r="M167" s="115">
        <f t="shared" si="166"/>
        <v>0</v>
      </c>
      <c r="O167" s="117">
        <f t="shared" si="3"/>
        <v>1</v>
      </c>
      <c r="P167" s="117">
        <f t="shared" si="4"/>
        <v>1</v>
      </c>
      <c r="Q167" s="117">
        <f t="shared" si="5"/>
        <v>1</v>
      </c>
    </row>
    <row r="168" ht="14.25" customHeight="1">
      <c r="B168" s="3"/>
      <c r="C168" s="3"/>
      <c r="D168" s="3"/>
      <c r="E168" s="2" t="s">
        <v>388</v>
      </c>
      <c r="F168" s="124">
        <v>0.08</v>
      </c>
      <c r="G168" s="124">
        <v>541.0</v>
      </c>
      <c r="H168" s="124">
        <v>0.0</v>
      </c>
      <c r="I168" s="124">
        <v>0.0</v>
      </c>
      <c r="K168" s="115">
        <f t="shared" ref="K168:M168" si="167">$H168*(1+K$4)</f>
        <v>0</v>
      </c>
      <c r="L168" s="115">
        <f t="shared" si="167"/>
        <v>0</v>
      </c>
      <c r="M168" s="115">
        <f t="shared" si="167"/>
        <v>0</v>
      </c>
      <c r="O168" s="117">
        <f t="shared" si="3"/>
        <v>1</v>
      </c>
      <c r="P168" s="117">
        <f t="shared" si="4"/>
        <v>1</v>
      </c>
      <c r="Q168" s="117">
        <f t="shared" si="5"/>
        <v>1</v>
      </c>
    </row>
    <row r="169" ht="14.25" customHeight="1">
      <c r="B169" s="3"/>
      <c r="C169" s="3"/>
      <c r="D169" s="3"/>
      <c r="E169" s="2" t="s">
        <v>390</v>
      </c>
      <c r="F169" s="124">
        <v>0.08</v>
      </c>
      <c r="G169" s="124">
        <v>542.0</v>
      </c>
      <c r="H169" s="124">
        <v>0.0</v>
      </c>
      <c r="I169" s="124">
        <v>0.0</v>
      </c>
      <c r="K169" s="115">
        <f t="shared" ref="K169:M169" si="168">$H169*(1+K$4)</f>
        <v>0</v>
      </c>
      <c r="L169" s="115">
        <f t="shared" si="168"/>
        <v>0</v>
      </c>
      <c r="M169" s="115">
        <f t="shared" si="168"/>
        <v>0</v>
      </c>
      <c r="O169" s="117">
        <f t="shared" si="3"/>
        <v>1</v>
      </c>
      <c r="P169" s="117">
        <f t="shared" si="4"/>
        <v>1</v>
      </c>
      <c r="Q169" s="117">
        <f t="shared" si="5"/>
        <v>1</v>
      </c>
    </row>
    <row r="170" ht="14.25" customHeight="1">
      <c r="B170" s="3"/>
      <c r="C170" s="3"/>
      <c r="D170" s="3"/>
      <c r="E170" s="2" t="s">
        <v>378</v>
      </c>
      <c r="F170" s="124">
        <v>0.08</v>
      </c>
      <c r="G170" s="124">
        <v>542.0</v>
      </c>
      <c r="H170" s="124">
        <v>0.0</v>
      </c>
      <c r="I170" s="124">
        <v>0.0</v>
      </c>
      <c r="K170" s="115">
        <f t="shared" ref="K170:M170" si="169">$H170*(1+K$4)</f>
        <v>0</v>
      </c>
      <c r="L170" s="115">
        <f t="shared" si="169"/>
        <v>0</v>
      </c>
      <c r="M170" s="115">
        <f t="shared" si="169"/>
        <v>0</v>
      </c>
      <c r="O170" s="117">
        <f t="shared" si="3"/>
        <v>1</v>
      </c>
      <c r="P170" s="117">
        <f t="shared" si="4"/>
        <v>1</v>
      </c>
      <c r="Q170" s="117">
        <f t="shared" si="5"/>
        <v>1</v>
      </c>
    </row>
    <row r="171" ht="14.25" customHeight="1">
      <c r="B171" s="3"/>
      <c r="C171" s="3"/>
      <c r="D171" s="3"/>
      <c r="E171" s="2" t="s">
        <v>380</v>
      </c>
      <c r="F171" s="124">
        <v>0.08</v>
      </c>
      <c r="G171" s="124">
        <v>542.0</v>
      </c>
      <c r="H171" s="124">
        <v>0.0</v>
      </c>
      <c r="I171" s="124">
        <v>0.0</v>
      </c>
      <c r="K171" s="115">
        <f t="shared" ref="K171:M171" si="170">$H171*(1+K$4)</f>
        <v>0</v>
      </c>
      <c r="L171" s="115">
        <f t="shared" si="170"/>
        <v>0</v>
      </c>
      <c r="M171" s="115">
        <f t="shared" si="170"/>
        <v>0</v>
      </c>
      <c r="O171" s="117">
        <f t="shared" si="3"/>
        <v>1</v>
      </c>
      <c r="P171" s="117">
        <f t="shared" si="4"/>
        <v>1</v>
      </c>
      <c r="Q171" s="117">
        <f t="shared" si="5"/>
        <v>1</v>
      </c>
    </row>
    <row r="172" ht="14.25" customHeight="1">
      <c r="B172" s="3"/>
      <c r="C172" s="3"/>
      <c r="D172" s="3"/>
      <c r="E172" s="2" t="s">
        <v>384</v>
      </c>
      <c r="F172" s="124">
        <v>0.08</v>
      </c>
      <c r="G172" s="124">
        <v>542.0</v>
      </c>
      <c r="H172" s="124">
        <v>0.0</v>
      </c>
      <c r="I172" s="124">
        <v>0.0</v>
      </c>
      <c r="K172" s="115">
        <f t="shared" ref="K172:M172" si="171">$H172*(1+K$4)</f>
        <v>0</v>
      </c>
      <c r="L172" s="115">
        <f t="shared" si="171"/>
        <v>0</v>
      </c>
      <c r="M172" s="115">
        <f t="shared" si="171"/>
        <v>0</v>
      </c>
      <c r="O172" s="117">
        <f t="shared" si="3"/>
        <v>1</v>
      </c>
      <c r="P172" s="117">
        <f t="shared" si="4"/>
        <v>1</v>
      </c>
      <c r="Q172" s="117">
        <f t="shared" si="5"/>
        <v>1</v>
      </c>
    </row>
    <row r="173" ht="14.25" customHeight="1">
      <c r="B173" s="3"/>
      <c r="C173" s="3"/>
      <c r="D173" s="3"/>
      <c r="E173" s="2" t="s">
        <v>396</v>
      </c>
      <c r="F173" s="124">
        <v>0.08</v>
      </c>
      <c r="G173" s="124">
        <v>542.0</v>
      </c>
      <c r="H173" s="124">
        <v>0.0</v>
      </c>
      <c r="I173" s="124">
        <v>0.0</v>
      </c>
      <c r="K173" s="115">
        <f t="shared" ref="K173:M173" si="172">$H173*(1+K$4)</f>
        <v>0</v>
      </c>
      <c r="L173" s="115">
        <f t="shared" si="172"/>
        <v>0</v>
      </c>
      <c r="M173" s="115">
        <f t="shared" si="172"/>
        <v>0</v>
      </c>
      <c r="O173" s="117">
        <f t="shared" si="3"/>
        <v>1</v>
      </c>
      <c r="P173" s="117">
        <f t="shared" si="4"/>
        <v>1</v>
      </c>
      <c r="Q173" s="117">
        <f t="shared" si="5"/>
        <v>1</v>
      </c>
    </row>
    <row r="174" ht="14.25" customHeight="1">
      <c r="B174" s="3"/>
      <c r="C174" s="3"/>
      <c r="D174" s="3"/>
      <c r="E174" s="2" t="s">
        <v>398</v>
      </c>
      <c r="F174" s="124">
        <v>0.08</v>
      </c>
      <c r="G174" s="124">
        <v>542.0</v>
      </c>
      <c r="H174" s="124">
        <v>0.0</v>
      </c>
      <c r="I174" s="124">
        <v>0.0</v>
      </c>
      <c r="K174" s="115">
        <f t="shared" ref="K174:M174" si="173">$H174*(1+K$4)</f>
        <v>0</v>
      </c>
      <c r="L174" s="115">
        <f t="shared" si="173"/>
        <v>0</v>
      </c>
      <c r="M174" s="115">
        <f t="shared" si="173"/>
        <v>0</v>
      </c>
      <c r="O174" s="117">
        <f t="shared" si="3"/>
        <v>1</v>
      </c>
      <c r="P174" s="117">
        <f t="shared" si="4"/>
        <v>1</v>
      </c>
      <c r="Q174" s="117">
        <f t="shared" si="5"/>
        <v>1</v>
      </c>
    </row>
    <row r="175" ht="14.25" customHeight="1">
      <c r="B175" s="3"/>
      <c r="C175" s="3"/>
      <c r="D175" s="3"/>
      <c r="E175" s="2" t="s">
        <v>400</v>
      </c>
      <c r="F175" s="124">
        <v>0.08</v>
      </c>
      <c r="G175" s="124">
        <v>542.0</v>
      </c>
      <c r="H175" s="124">
        <v>0.0</v>
      </c>
      <c r="I175" s="124">
        <v>0.0</v>
      </c>
      <c r="K175" s="115">
        <f t="shared" ref="K175:M175" si="174">$H175*(1+K$4)</f>
        <v>0</v>
      </c>
      <c r="L175" s="115">
        <f t="shared" si="174"/>
        <v>0</v>
      </c>
      <c r="M175" s="115">
        <f t="shared" si="174"/>
        <v>0</v>
      </c>
      <c r="O175" s="117">
        <f t="shared" si="3"/>
        <v>1</v>
      </c>
      <c r="P175" s="117">
        <f t="shared" si="4"/>
        <v>1</v>
      </c>
      <c r="Q175" s="117">
        <f t="shared" si="5"/>
        <v>1</v>
      </c>
    </row>
    <row r="176" ht="14.25" customHeight="1">
      <c r="B176" s="3"/>
      <c r="C176" s="3"/>
      <c r="D176" s="3"/>
      <c r="E176" s="2" t="s">
        <v>404</v>
      </c>
      <c r="F176" s="124">
        <v>0.08</v>
      </c>
      <c r="G176" s="124">
        <v>542.0</v>
      </c>
      <c r="H176" s="124">
        <v>0.0</v>
      </c>
      <c r="I176" s="124">
        <v>0.0</v>
      </c>
      <c r="K176" s="115">
        <f t="shared" ref="K176:M176" si="175">$H176*(1+K$4)</f>
        <v>0</v>
      </c>
      <c r="L176" s="115">
        <f t="shared" si="175"/>
        <v>0</v>
      </c>
      <c r="M176" s="115">
        <f t="shared" si="175"/>
        <v>0</v>
      </c>
      <c r="O176" s="117">
        <f t="shared" si="3"/>
        <v>1</v>
      </c>
      <c r="P176" s="117">
        <f t="shared" si="4"/>
        <v>1</v>
      </c>
      <c r="Q176" s="117">
        <f t="shared" si="5"/>
        <v>1</v>
      </c>
    </row>
    <row r="177" ht="14.25" customHeight="1">
      <c r="B177" s="3"/>
      <c r="C177" s="3"/>
      <c r="D177" s="3"/>
      <c r="E177" s="2" t="s">
        <v>416</v>
      </c>
      <c r="F177" s="124">
        <v>0.42</v>
      </c>
      <c r="G177" s="124">
        <v>5432.0</v>
      </c>
      <c r="H177" s="124">
        <v>0.0</v>
      </c>
      <c r="I177" s="124">
        <v>0.0</v>
      </c>
      <c r="K177" s="115">
        <f t="shared" ref="K177:M177" si="176">$H177*(1+K$4)</f>
        <v>0</v>
      </c>
      <c r="L177" s="115">
        <f t="shared" si="176"/>
        <v>0</v>
      </c>
      <c r="M177" s="115">
        <f t="shared" si="176"/>
        <v>0</v>
      </c>
      <c r="O177" s="117">
        <f t="shared" si="3"/>
        <v>1</v>
      </c>
      <c r="P177" s="117">
        <f t="shared" si="4"/>
        <v>1</v>
      </c>
      <c r="Q177" s="117">
        <f t="shared" si="5"/>
        <v>1</v>
      </c>
    </row>
    <row r="178" ht="14.25" customHeight="1">
      <c r="B178" s="3"/>
      <c r="C178" s="3"/>
      <c r="D178" s="3"/>
      <c r="E178" s="2" t="s">
        <v>418</v>
      </c>
      <c r="F178" s="124">
        <v>0.42</v>
      </c>
      <c r="G178" s="124">
        <v>5432.0</v>
      </c>
      <c r="H178" s="124">
        <v>0.0</v>
      </c>
      <c r="I178" s="124">
        <v>0.0</v>
      </c>
      <c r="K178" s="115">
        <f t="shared" ref="K178:M178" si="177">$H178*(1+K$4)</f>
        <v>0</v>
      </c>
      <c r="L178" s="115">
        <f t="shared" si="177"/>
        <v>0</v>
      </c>
      <c r="M178" s="115">
        <f t="shared" si="177"/>
        <v>0</v>
      </c>
      <c r="O178" s="117">
        <f t="shared" si="3"/>
        <v>1</v>
      </c>
      <c r="P178" s="117">
        <f t="shared" si="4"/>
        <v>1</v>
      </c>
      <c r="Q178" s="117">
        <f t="shared" si="5"/>
        <v>1</v>
      </c>
    </row>
    <row r="179" ht="14.25" customHeight="1">
      <c r="B179" s="3"/>
      <c r="C179" s="3"/>
      <c r="D179" s="3"/>
      <c r="E179" s="2" t="s">
        <v>420</v>
      </c>
      <c r="F179" s="124">
        <v>0.42</v>
      </c>
      <c r="G179" s="124">
        <v>5432.0</v>
      </c>
      <c r="H179" s="124">
        <v>0.0</v>
      </c>
      <c r="I179" s="124">
        <v>0.0</v>
      </c>
      <c r="K179" s="115">
        <f t="shared" ref="K179:M179" si="178">$H179*(1+K$4)</f>
        <v>0</v>
      </c>
      <c r="L179" s="115">
        <f t="shared" si="178"/>
        <v>0</v>
      </c>
      <c r="M179" s="115">
        <f t="shared" si="178"/>
        <v>0</v>
      </c>
      <c r="O179" s="117">
        <f t="shared" si="3"/>
        <v>1</v>
      </c>
      <c r="P179" s="117">
        <f t="shared" si="4"/>
        <v>1</v>
      </c>
      <c r="Q179" s="117">
        <f t="shared" si="5"/>
        <v>1</v>
      </c>
    </row>
    <row r="180" ht="14.25" customHeight="1">
      <c r="B180" s="3"/>
      <c r="C180" s="3"/>
      <c r="D180" s="3"/>
      <c r="E180" s="2" t="s">
        <v>422</v>
      </c>
      <c r="F180" s="124">
        <v>0.42</v>
      </c>
      <c r="G180" s="124">
        <v>5432.0</v>
      </c>
      <c r="H180" s="124">
        <v>0.0</v>
      </c>
      <c r="I180" s="124">
        <v>0.0</v>
      </c>
      <c r="K180" s="115">
        <f t="shared" ref="K180:M180" si="179">$H180*(1+K$4)</f>
        <v>0</v>
      </c>
      <c r="L180" s="115">
        <f t="shared" si="179"/>
        <v>0</v>
      </c>
      <c r="M180" s="115">
        <f t="shared" si="179"/>
        <v>0</v>
      </c>
      <c r="O180" s="117">
        <f t="shared" si="3"/>
        <v>1</v>
      </c>
      <c r="P180" s="117">
        <f t="shared" si="4"/>
        <v>1</v>
      </c>
      <c r="Q180" s="117">
        <f t="shared" si="5"/>
        <v>1</v>
      </c>
    </row>
    <row r="181" ht="14.25" customHeight="1">
      <c r="B181" s="3"/>
      <c r="C181" s="3"/>
      <c r="D181" s="3"/>
      <c r="E181" s="2" t="s">
        <v>424</v>
      </c>
      <c r="F181" s="124">
        <v>0.42</v>
      </c>
      <c r="G181" s="124">
        <v>5432.0</v>
      </c>
      <c r="H181" s="124">
        <v>0.0</v>
      </c>
      <c r="I181" s="124">
        <v>0.0</v>
      </c>
      <c r="K181" s="115">
        <f t="shared" ref="K181:M181" si="180">$H181*(1+K$4)</f>
        <v>0</v>
      </c>
      <c r="L181" s="115">
        <f t="shared" si="180"/>
        <v>0</v>
      </c>
      <c r="M181" s="115">
        <f t="shared" si="180"/>
        <v>0</v>
      </c>
      <c r="O181" s="117">
        <f t="shared" si="3"/>
        <v>1</v>
      </c>
      <c r="P181" s="117">
        <f t="shared" si="4"/>
        <v>1</v>
      </c>
      <c r="Q181" s="117">
        <f t="shared" si="5"/>
        <v>1</v>
      </c>
    </row>
    <row r="182" ht="14.25" customHeight="1">
      <c r="B182" s="3"/>
      <c r="C182" s="3"/>
      <c r="D182" s="3"/>
      <c r="E182" s="2" t="s">
        <v>406</v>
      </c>
      <c r="F182" s="124">
        <v>0.45</v>
      </c>
      <c r="G182" s="124">
        <v>6020.0</v>
      </c>
      <c r="H182" s="124">
        <v>0.0</v>
      </c>
      <c r="I182" s="124">
        <v>0.0</v>
      </c>
      <c r="K182" s="115">
        <f t="shared" ref="K182:M182" si="181">$H182*(1+K$4)</f>
        <v>0</v>
      </c>
      <c r="L182" s="115">
        <f t="shared" si="181"/>
        <v>0</v>
      </c>
      <c r="M182" s="115">
        <f t="shared" si="181"/>
        <v>0</v>
      </c>
      <c r="O182" s="117">
        <f t="shared" si="3"/>
        <v>1</v>
      </c>
      <c r="P182" s="117">
        <f t="shared" si="4"/>
        <v>1</v>
      </c>
      <c r="Q182" s="117">
        <f t="shared" si="5"/>
        <v>1</v>
      </c>
    </row>
    <row r="183" ht="14.25" customHeight="1">
      <c r="B183" s="3"/>
      <c r="C183" s="3"/>
      <c r="D183" s="3"/>
      <c r="E183" s="2" t="s">
        <v>408</v>
      </c>
      <c r="F183" s="124">
        <v>0.42</v>
      </c>
      <c r="G183" s="124">
        <v>5432.0</v>
      </c>
      <c r="H183" s="124">
        <v>0.0</v>
      </c>
      <c r="I183" s="124">
        <v>0.0</v>
      </c>
      <c r="K183" s="115">
        <f t="shared" ref="K183:M183" si="182">$H183*(1+K$4)</f>
        <v>0</v>
      </c>
      <c r="L183" s="115">
        <f t="shared" si="182"/>
        <v>0</v>
      </c>
      <c r="M183" s="115">
        <f t="shared" si="182"/>
        <v>0</v>
      </c>
      <c r="O183" s="117">
        <f t="shared" si="3"/>
        <v>1</v>
      </c>
      <c r="P183" s="117">
        <f t="shared" si="4"/>
        <v>1</v>
      </c>
      <c r="Q183" s="117">
        <f t="shared" si="5"/>
        <v>1</v>
      </c>
    </row>
    <row r="184" ht="14.25" customHeight="1">
      <c r="B184" s="3"/>
      <c r="C184" s="3"/>
      <c r="D184" s="3"/>
      <c r="E184" s="2" t="s">
        <v>410</v>
      </c>
      <c r="F184" s="124">
        <v>0.42</v>
      </c>
      <c r="G184" s="124">
        <v>5432.0</v>
      </c>
      <c r="H184" s="124">
        <v>0.0</v>
      </c>
      <c r="I184" s="124">
        <v>0.0</v>
      </c>
      <c r="K184" s="115">
        <f t="shared" ref="K184:M184" si="183">$H184*(1+K$4)</f>
        <v>0</v>
      </c>
      <c r="L184" s="115">
        <f t="shared" si="183"/>
        <v>0</v>
      </c>
      <c r="M184" s="115">
        <f t="shared" si="183"/>
        <v>0</v>
      </c>
      <c r="O184" s="117">
        <f t="shared" si="3"/>
        <v>1</v>
      </c>
      <c r="P184" s="117">
        <f t="shared" si="4"/>
        <v>1</v>
      </c>
      <c r="Q184" s="117">
        <f t="shared" si="5"/>
        <v>1</v>
      </c>
    </row>
    <row r="185" ht="14.25" customHeight="1">
      <c r="B185" s="3"/>
      <c r="C185" s="3"/>
      <c r="D185" s="3"/>
      <c r="E185" s="2" t="s">
        <v>412</v>
      </c>
      <c r="F185" s="124">
        <v>0.42</v>
      </c>
      <c r="G185" s="124">
        <v>5432.0</v>
      </c>
      <c r="H185" s="124">
        <v>0.0</v>
      </c>
      <c r="I185" s="124">
        <v>0.0</v>
      </c>
      <c r="K185" s="115">
        <f t="shared" ref="K185:M185" si="184">$H185*(1+K$4)</f>
        <v>0</v>
      </c>
      <c r="L185" s="115">
        <f t="shared" si="184"/>
        <v>0</v>
      </c>
      <c r="M185" s="115">
        <f t="shared" si="184"/>
        <v>0</v>
      </c>
      <c r="O185" s="117">
        <f t="shared" si="3"/>
        <v>1</v>
      </c>
      <c r="P185" s="117">
        <f t="shared" si="4"/>
        <v>1</v>
      </c>
      <c r="Q185" s="117">
        <f t="shared" si="5"/>
        <v>1</v>
      </c>
    </row>
    <row r="186" ht="14.25" customHeight="1">
      <c r="B186" s="3"/>
      <c r="C186" s="3"/>
      <c r="D186" s="3"/>
      <c r="E186" s="2" t="s">
        <v>414</v>
      </c>
      <c r="F186" s="124">
        <v>0.42</v>
      </c>
      <c r="G186" s="124">
        <v>5432.0</v>
      </c>
      <c r="H186" s="124">
        <v>0.0</v>
      </c>
      <c r="I186" s="124">
        <v>0.0</v>
      </c>
      <c r="K186" s="115">
        <f t="shared" ref="K186:M186" si="185">$H186*(1+K$4)</f>
        <v>0</v>
      </c>
      <c r="L186" s="115">
        <f t="shared" si="185"/>
        <v>0</v>
      </c>
      <c r="M186" s="115">
        <f t="shared" si="185"/>
        <v>0</v>
      </c>
      <c r="O186" s="117">
        <f t="shared" si="3"/>
        <v>1</v>
      </c>
      <c r="P186" s="117">
        <f t="shared" si="4"/>
        <v>1</v>
      </c>
      <c r="Q186" s="117">
        <f t="shared" si="5"/>
        <v>1</v>
      </c>
    </row>
    <row r="187" ht="14.25" customHeight="1">
      <c r="B187" s="3"/>
      <c r="C187" s="3"/>
      <c r="D187" s="3"/>
      <c r="E187" s="2" t="s">
        <v>426</v>
      </c>
      <c r="F187" s="124">
        <v>0.42</v>
      </c>
      <c r="G187" s="124">
        <v>5432.0</v>
      </c>
      <c r="H187" s="124">
        <v>0.0</v>
      </c>
      <c r="I187" s="124">
        <v>0.0</v>
      </c>
      <c r="K187" s="115">
        <f t="shared" ref="K187:M187" si="186">$H187*(1+K$4)</f>
        <v>0</v>
      </c>
      <c r="L187" s="115">
        <f t="shared" si="186"/>
        <v>0</v>
      </c>
      <c r="M187" s="115">
        <f t="shared" si="186"/>
        <v>0</v>
      </c>
      <c r="O187" s="117">
        <f t="shared" si="3"/>
        <v>1</v>
      </c>
      <c r="P187" s="117">
        <f t="shared" si="4"/>
        <v>1</v>
      </c>
      <c r="Q187" s="117">
        <f t="shared" si="5"/>
        <v>1</v>
      </c>
    </row>
    <row r="188" ht="14.25" customHeight="1">
      <c r="B188" s="3"/>
      <c r="C188" s="3"/>
      <c r="D188" s="3"/>
      <c r="E188" s="2" t="s">
        <v>428</v>
      </c>
      <c r="F188" s="124">
        <v>0.42</v>
      </c>
      <c r="G188" s="124">
        <v>5432.0</v>
      </c>
      <c r="H188" s="124">
        <v>0.0</v>
      </c>
      <c r="I188" s="124">
        <v>0.0</v>
      </c>
      <c r="K188" s="115">
        <f t="shared" ref="K188:M188" si="187">$H188*(1+K$4)</f>
        <v>0</v>
      </c>
      <c r="L188" s="115">
        <f t="shared" si="187"/>
        <v>0</v>
      </c>
      <c r="M188" s="115">
        <f t="shared" si="187"/>
        <v>0</v>
      </c>
      <c r="O188" s="117">
        <f t="shared" si="3"/>
        <v>1</v>
      </c>
      <c r="P188" s="117">
        <f t="shared" si="4"/>
        <v>1</v>
      </c>
      <c r="Q188" s="117">
        <f t="shared" si="5"/>
        <v>1</v>
      </c>
    </row>
    <row r="189" ht="14.25" customHeight="1">
      <c r="B189" s="3"/>
      <c r="C189" s="3"/>
      <c r="D189" s="3"/>
      <c r="E189" s="2" t="s">
        <v>430</v>
      </c>
      <c r="F189" s="124">
        <v>0.42</v>
      </c>
      <c r="G189" s="124">
        <v>5432.0</v>
      </c>
      <c r="H189" s="124">
        <v>0.0</v>
      </c>
      <c r="I189" s="124">
        <v>0.0</v>
      </c>
      <c r="K189" s="115">
        <f t="shared" ref="K189:M189" si="188">$H189*(1+K$4)</f>
        <v>0</v>
      </c>
      <c r="L189" s="115">
        <f t="shared" si="188"/>
        <v>0</v>
      </c>
      <c r="M189" s="115">
        <f t="shared" si="188"/>
        <v>0</v>
      </c>
      <c r="O189" s="117">
        <f t="shared" si="3"/>
        <v>1</v>
      </c>
      <c r="P189" s="117">
        <f t="shared" si="4"/>
        <v>1</v>
      </c>
      <c r="Q189" s="117">
        <f t="shared" si="5"/>
        <v>1</v>
      </c>
    </row>
    <row r="190" ht="14.25" customHeight="1">
      <c r="B190" s="3"/>
      <c r="C190" s="3"/>
      <c r="D190" s="3"/>
      <c r="E190" s="2" t="s">
        <v>432</v>
      </c>
      <c r="F190" s="124">
        <v>0.42</v>
      </c>
      <c r="G190" s="124">
        <v>5432.0</v>
      </c>
      <c r="H190" s="124">
        <v>0.0</v>
      </c>
      <c r="I190" s="124">
        <v>0.0</v>
      </c>
      <c r="K190" s="115">
        <f t="shared" ref="K190:M190" si="189">$H190*(1+K$4)</f>
        <v>0</v>
      </c>
      <c r="L190" s="115">
        <f t="shared" si="189"/>
        <v>0</v>
      </c>
      <c r="M190" s="115">
        <f t="shared" si="189"/>
        <v>0</v>
      </c>
      <c r="O190" s="117">
        <f t="shared" si="3"/>
        <v>1</v>
      </c>
      <c r="P190" s="117">
        <f t="shared" si="4"/>
        <v>1</v>
      </c>
      <c r="Q190" s="117">
        <f t="shared" si="5"/>
        <v>1</v>
      </c>
    </row>
    <row r="191" ht="14.25" customHeight="1">
      <c r="B191" s="3"/>
      <c r="C191" s="3"/>
      <c r="D191" s="3"/>
      <c r="E191" s="2" t="s">
        <v>442</v>
      </c>
      <c r="F191" s="124">
        <v>0.42</v>
      </c>
      <c r="G191" s="124">
        <v>5432.0</v>
      </c>
      <c r="H191" s="124">
        <v>0.0</v>
      </c>
      <c r="I191" s="124">
        <v>0.0</v>
      </c>
      <c r="K191" s="115">
        <f t="shared" ref="K191:M191" si="190">$H191*(1+K$4)</f>
        <v>0</v>
      </c>
      <c r="L191" s="115">
        <f t="shared" si="190"/>
        <v>0</v>
      </c>
      <c r="M191" s="115">
        <f t="shared" si="190"/>
        <v>0</v>
      </c>
      <c r="O191" s="117">
        <f t="shared" si="3"/>
        <v>1</v>
      </c>
      <c r="P191" s="117">
        <f t="shared" si="4"/>
        <v>1</v>
      </c>
      <c r="Q191" s="117">
        <f t="shared" si="5"/>
        <v>1</v>
      </c>
    </row>
    <row r="192" ht="14.25" customHeight="1">
      <c r="B192" s="3"/>
      <c r="C192" s="3"/>
      <c r="D192" s="3"/>
      <c r="E192" s="2" t="s">
        <v>444</v>
      </c>
      <c r="F192" s="124">
        <v>0.42</v>
      </c>
      <c r="G192" s="124">
        <v>5432.0</v>
      </c>
      <c r="H192" s="124">
        <v>0.0</v>
      </c>
      <c r="I192" s="124">
        <v>0.0</v>
      </c>
      <c r="K192" s="115">
        <f t="shared" ref="K192:M192" si="191">$H192*(1+K$4)</f>
        <v>0</v>
      </c>
      <c r="L192" s="115">
        <f t="shared" si="191"/>
        <v>0</v>
      </c>
      <c r="M192" s="115">
        <f t="shared" si="191"/>
        <v>0</v>
      </c>
      <c r="O192" s="117">
        <f t="shared" si="3"/>
        <v>1</v>
      </c>
      <c r="P192" s="117">
        <f t="shared" si="4"/>
        <v>1</v>
      </c>
      <c r="Q192" s="117">
        <f t="shared" si="5"/>
        <v>1</v>
      </c>
    </row>
    <row r="193" ht="14.25" customHeight="1">
      <c r="B193" s="3"/>
      <c r="C193" s="3"/>
      <c r="D193" s="3"/>
      <c r="E193" s="2" t="s">
        <v>446</v>
      </c>
      <c r="F193" s="124">
        <v>0.42</v>
      </c>
      <c r="G193" s="124">
        <v>5432.0</v>
      </c>
      <c r="H193" s="124">
        <v>0.0</v>
      </c>
      <c r="I193" s="124">
        <v>0.0</v>
      </c>
      <c r="K193" s="115">
        <f t="shared" ref="K193:M193" si="192">$H193*(1+K$4)</f>
        <v>0</v>
      </c>
      <c r="L193" s="115">
        <f t="shared" si="192"/>
        <v>0</v>
      </c>
      <c r="M193" s="115">
        <f t="shared" si="192"/>
        <v>0</v>
      </c>
      <c r="O193" s="117">
        <f t="shared" si="3"/>
        <v>1</v>
      </c>
      <c r="P193" s="117">
        <f t="shared" si="4"/>
        <v>1</v>
      </c>
      <c r="Q193" s="117">
        <f t="shared" si="5"/>
        <v>1</v>
      </c>
    </row>
    <row r="194" ht="14.25" customHeight="1">
      <c r="B194" s="3"/>
      <c r="C194" s="3"/>
      <c r="D194" s="3"/>
      <c r="E194" s="2" t="s">
        <v>448</v>
      </c>
      <c r="F194" s="124">
        <v>0.42</v>
      </c>
      <c r="G194" s="124">
        <v>5432.0</v>
      </c>
      <c r="H194" s="124">
        <v>0.0</v>
      </c>
      <c r="I194" s="124">
        <v>0.0</v>
      </c>
      <c r="K194" s="115">
        <f t="shared" ref="K194:M194" si="193">$H194*(1+K$4)</f>
        <v>0</v>
      </c>
      <c r="L194" s="115">
        <f t="shared" si="193"/>
        <v>0</v>
      </c>
      <c r="M194" s="115">
        <f t="shared" si="193"/>
        <v>0</v>
      </c>
      <c r="O194" s="117">
        <f t="shared" si="3"/>
        <v>1</v>
      </c>
      <c r="P194" s="117">
        <f t="shared" si="4"/>
        <v>1</v>
      </c>
      <c r="Q194" s="117">
        <f t="shared" si="5"/>
        <v>1</v>
      </c>
    </row>
    <row r="195" ht="14.25" customHeight="1">
      <c r="B195" s="3"/>
      <c r="C195" s="3"/>
      <c r="D195" s="3"/>
      <c r="E195" s="2" t="s">
        <v>450</v>
      </c>
      <c r="F195" s="124">
        <v>0.42</v>
      </c>
      <c r="G195" s="124">
        <v>5432.0</v>
      </c>
      <c r="H195" s="124">
        <v>0.0</v>
      </c>
      <c r="I195" s="124">
        <v>0.0</v>
      </c>
      <c r="K195" s="115">
        <f t="shared" ref="K195:M195" si="194">$H195*(1+K$4)</f>
        <v>0</v>
      </c>
      <c r="L195" s="115">
        <f t="shared" si="194"/>
        <v>0</v>
      </c>
      <c r="M195" s="115">
        <f t="shared" si="194"/>
        <v>0</v>
      </c>
      <c r="O195" s="117">
        <f t="shared" si="3"/>
        <v>1</v>
      </c>
      <c r="P195" s="117">
        <f t="shared" si="4"/>
        <v>1</v>
      </c>
      <c r="Q195" s="117">
        <f t="shared" si="5"/>
        <v>1</v>
      </c>
    </row>
    <row r="196" ht="14.25" customHeight="1">
      <c r="B196" s="3"/>
      <c r="C196" s="3"/>
      <c r="D196" s="3"/>
      <c r="E196" s="2" t="s">
        <v>434</v>
      </c>
      <c r="F196" s="124">
        <v>0.42</v>
      </c>
      <c r="G196" s="124">
        <v>5432.0</v>
      </c>
      <c r="H196" s="124">
        <v>0.0</v>
      </c>
      <c r="I196" s="124">
        <v>0.0</v>
      </c>
      <c r="K196" s="115">
        <f t="shared" ref="K196:M196" si="195">$H196*(1+K$4)</f>
        <v>0</v>
      </c>
      <c r="L196" s="115">
        <f t="shared" si="195"/>
        <v>0</v>
      </c>
      <c r="M196" s="115">
        <f t="shared" si="195"/>
        <v>0</v>
      </c>
      <c r="O196" s="117">
        <f t="shared" si="3"/>
        <v>1</v>
      </c>
      <c r="P196" s="117">
        <f t="shared" si="4"/>
        <v>1</v>
      </c>
      <c r="Q196" s="117">
        <f t="shared" si="5"/>
        <v>1</v>
      </c>
    </row>
    <row r="197" ht="14.25" customHeight="1">
      <c r="B197" s="3"/>
      <c r="C197" s="3"/>
      <c r="D197" s="3"/>
      <c r="E197" s="2" t="s">
        <v>436</v>
      </c>
      <c r="F197" s="124">
        <v>0.42</v>
      </c>
      <c r="G197" s="124">
        <v>5432.0</v>
      </c>
      <c r="H197" s="124">
        <v>0.0</v>
      </c>
      <c r="I197" s="124">
        <v>0.0</v>
      </c>
      <c r="K197" s="115">
        <f t="shared" ref="K197:M197" si="196">$H197*(1+K$4)</f>
        <v>0</v>
      </c>
      <c r="L197" s="115">
        <f t="shared" si="196"/>
        <v>0</v>
      </c>
      <c r="M197" s="115">
        <f t="shared" si="196"/>
        <v>0</v>
      </c>
      <c r="O197" s="117">
        <f t="shared" si="3"/>
        <v>1</v>
      </c>
      <c r="P197" s="117">
        <f t="shared" si="4"/>
        <v>1</v>
      </c>
      <c r="Q197" s="117">
        <f t="shared" si="5"/>
        <v>1</v>
      </c>
    </row>
    <row r="198" ht="14.25" customHeight="1">
      <c r="B198" s="3"/>
      <c r="C198" s="3"/>
      <c r="D198" s="3"/>
      <c r="E198" s="2" t="s">
        <v>438</v>
      </c>
      <c r="F198" s="124">
        <v>0.42</v>
      </c>
      <c r="G198" s="124">
        <v>5432.0</v>
      </c>
      <c r="H198" s="124">
        <v>0.0</v>
      </c>
      <c r="I198" s="124">
        <v>0.0</v>
      </c>
      <c r="K198" s="115">
        <f t="shared" ref="K198:M198" si="197">$H198*(1+K$4)</f>
        <v>0</v>
      </c>
      <c r="L198" s="115">
        <f t="shared" si="197"/>
        <v>0</v>
      </c>
      <c r="M198" s="115">
        <f t="shared" si="197"/>
        <v>0</v>
      </c>
      <c r="O198" s="117">
        <f t="shared" si="3"/>
        <v>1</v>
      </c>
      <c r="P198" s="117">
        <f t="shared" si="4"/>
        <v>1</v>
      </c>
      <c r="Q198" s="117">
        <f t="shared" si="5"/>
        <v>1</v>
      </c>
    </row>
    <row r="199" ht="14.25" customHeight="1">
      <c r="B199" s="3"/>
      <c r="C199" s="3"/>
      <c r="D199" s="3"/>
      <c r="E199" s="2" t="s">
        <v>440</v>
      </c>
      <c r="F199" s="124">
        <v>0.42</v>
      </c>
      <c r="G199" s="124">
        <v>5432.0</v>
      </c>
      <c r="H199" s="124">
        <v>0.0</v>
      </c>
      <c r="I199" s="124">
        <v>0.0</v>
      </c>
      <c r="K199" s="115">
        <f t="shared" ref="K199:M199" si="198">$H199*(1+K$4)</f>
        <v>0</v>
      </c>
      <c r="L199" s="115">
        <f t="shared" si="198"/>
        <v>0</v>
      </c>
      <c r="M199" s="115">
        <f t="shared" si="198"/>
        <v>0</v>
      </c>
      <c r="O199" s="117">
        <f t="shared" si="3"/>
        <v>1</v>
      </c>
      <c r="P199" s="117">
        <f t="shared" si="4"/>
        <v>1</v>
      </c>
      <c r="Q199" s="117">
        <f t="shared" si="5"/>
        <v>1</v>
      </c>
    </row>
    <row r="200" ht="14.25" customHeight="1">
      <c r="B200" s="3"/>
      <c r="C200" s="3"/>
      <c r="D200" s="3" t="s">
        <v>451</v>
      </c>
      <c r="E200" s="2" t="s">
        <v>453</v>
      </c>
      <c r="F200" s="124">
        <v>0.44</v>
      </c>
      <c r="G200" s="124">
        <v>2566.0</v>
      </c>
      <c r="H200" s="124">
        <v>0.0</v>
      </c>
      <c r="I200" s="124">
        <v>0.0</v>
      </c>
      <c r="K200" s="115">
        <f t="shared" ref="K200:M200" si="199">$H200*(1+K$4)</f>
        <v>0</v>
      </c>
      <c r="L200" s="115">
        <f t="shared" si="199"/>
        <v>0</v>
      </c>
      <c r="M200" s="115">
        <f t="shared" si="199"/>
        <v>0</v>
      </c>
      <c r="O200" s="117">
        <f t="shared" si="3"/>
        <v>1</v>
      </c>
      <c r="P200" s="117">
        <f t="shared" si="4"/>
        <v>1</v>
      </c>
      <c r="Q200" s="117">
        <f t="shared" si="5"/>
        <v>1</v>
      </c>
    </row>
    <row r="201" ht="14.25" customHeight="1">
      <c r="B201" s="3"/>
      <c r="C201" s="3"/>
      <c r="D201" s="3"/>
      <c r="E201" s="2" t="s">
        <v>455</v>
      </c>
      <c r="F201" s="124">
        <v>0.44</v>
      </c>
      <c r="G201" s="124">
        <v>2566.0</v>
      </c>
      <c r="H201" s="124">
        <v>0.0</v>
      </c>
      <c r="I201" s="124">
        <v>0.0</v>
      </c>
      <c r="K201" s="115">
        <f t="shared" ref="K201:M201" si="200">$H201*(1+K$4)</f>
        <v>0</v>
      </c>
      <c r="L201" s="115">
        <f t="shared" si="200"/>
        <v>0</v>
      </c>
      <c r="M201" s="115">
        <f t="shared" si="200"/>
        <v>0</v>
      </c>
      <c r="O201" s="117">
        <f t="shared" si="3"/>
        <v>1</v>
      </c>
      <c r="P201" s="117">
        <f t="shared" si="4"/>
        <v>1</v>
      </c>
      <c r="Q201" s="117">
        <f t="shared" si="5"/>
        <v>1</v>
      </c>
    </row>
    <row r="202" ht="14.25" customHeight="1">
      <c r="B202" s="3"/>
      <c r="C202" s="3" t="s">
        <v>456</v>
      </c>
      <c r="D202" s="3" t="s">
        <v>457</v>
      </c>
      <c r="E202" s="2">
        <v>1.53788936885E12</v>
      </c>
      <c r="F202" s="124">
        <v>0.45</v>
      </c>
      <c r="G202" s="124">
        <v>3459.0</v>
      </c>
      <c r="H202" s="124">
        <v>0.0</v>
      </c>
      <c r="I202" s="124">
        <v>0.0</v>
      </c>
      <c r="K202" s="115">
        <f t="shared" ref="K202:M202" si="201">$H202*(1+K$4)</f>
        <v>0</v>
      </c>
      <c r="L202" s="115">
        <f t="shared" si="201"/>
        <v>0</v>
      </c>
      <c r="M202" s="115">
        <f t="shared" si="201"/>
        <v>0</v>
      </c>
      <c r="O202" s="117">
        <f t="shared" si="3"/>
        <v>1</v>
      </c>
      <c r="P202" s="117">
        <f t="shared" si="4"/>
        <v>1</v>
      </c>
      <c r="Q202" s="117">
        <f t="shared" si="5"/>
        <v>1</v>
      </c>
    </row>
    <row r="203" ht="14.25" customHeight="1">
      <c r="B203" s="3"/>
      <c r="C203" s="3"/>
      <c r="D203" s="3"/>
      <c r="E203" s="2">
        <v>1.564150627423E12</v>
      </c>
      <c r="F203" s="124">
        <v>0.48</v>
      </c>
      <c r="G203" s="124">
        <v>2243.0</v>
      </c>
      <c r="H203" s="124">
        <v>0.0</v>
      </c>
      <c r="I203" s="124">
        <v>0.0</v>
      </c>
      <c r="K203" s="115">
        <f t="shared" ref="K203:M203" si="202">$H203*(1+K$4)</f>
        <v>0</v>
      </c>
      <c r="L203" s="115">
        <f t="shared" si="202"/>
        <v>0</v>
      </c>
      <c r="M203" s="115">
        <f t="shared" si="202"/>
        <v>0</v>
      </c>
      <c r="O203" s="117">
        <f t="shared" si="3"/>
        <v>1</v>
      </c>
      <c r="P203" s="117">
        <f t="shared" si="4"/>
        <v>1</v>
      </c>
      <c r="Q203" s="117">
        <f t="shared" si="5"/>
        <v>1</v>
      </c>
    </row>
    <row r="204" ht="14.25" customHeight="1">
      <c r="B204" s="3"/>
      <c r="C204" s="3"/>
      <c r="D204" s="3"/>
      <c r="E204" s="2">
        <v>1.564150661249E12</v>
      </c>
      <c r="F204" s="124">
        <v>0.47</v>
      </c>
      <c r="G204" s="124">
        <v>2205.0</v>
      </c>
      <c r="H204" s="124">
        <v>0.0</v>
      </c>
      <c r="I204" s="124">
        <v>0.0</v>
      </c>
      <c r="K204" s="115">
        <f t="shared" ref="K204:M204" si="203">$H204*(1+K$4)</f>
        <v>0</v>
      </c>
      <c r="L204" s="115">
        <f t="shared" si="203"/>
        <v>0</v>
      </c>
      <c r="M204" s="115">
        <f t="shared" si="203"/>
        <v>0</v>
      </c>
      <c r="O204" s="117">
        <f t="shared" si="3"/>
        <v>1</v>
      </c>
      <c r="P204" s="117">
        <f t="shared" si="4"/>
        <v>1</v>
      </c>
      <c r="Q204" s="117">
        <f t="shared" si="5"/>
        <v>1</v>
      </c>
    </row>
    <row r="205" ht="14.25" customHeight="1">
      <c r="B205" s="3"/>
      <c r="C205" s="3"/>
      <c r="D205" s="3"/>
      <c r="E205" s="2">
        <v>1.566335721736E12</v>
      </c>
      <c r="F205" s="124">
        <v>0.46</v>
      </c>
      <c r="G205" s="124">
        <v>2145.0</v>
      </c>
      <c r="H205" s="124">
        <v>0.0</v>
      </c>
      <c r="I205" s="124">
        <v>0.0</v>
      </c>
      <c r="K205" s="115">
        <f t="shared" ref="K205:M205" si="204">$H205*(1+K$4)</f>
        <v>0</v>
      </c>
      <c r="L205" s="115">
        <f t="shared" si="204"/>
        <v>0</v>
      </c>
      <c r="M205" s="115">
        <f t="shared" si="204"/>
        <v>0</v>
      </c>
      <c r="O205" s="117">
        <f t="shared" si="3"/>
        <v>1</v>
      </c>
      <c r="P205" s="117">
        <f t="shared" si="4"/>
        <v>1</v>
      </c>
      <c r="Q205" s="117">
        <f t="shared" si="5"/>
        <v>1</v>
      </c>
    </row>
    <row r="206" ht="14.25" customHeight="1">
      <c r="B206" s="3"/>
      <c r="C206" s="3"/>
      <c r="D206" s="3"/>
      <c r="E206" s="2">
        <v>1.592492799236E12</v>
      </c>
      <c r="F206" s="124">
        <v>0.44</v>
      </c>
      <c r="G206" s="124">
        <v>2065.0</v>
      </c>
      <c r="H206" s="124">
        <v>0.0</v>
      </c>
      <c r="I206" s="124">
        <v>0.0</v>
      </c>
      <c r="K206" s="115">
        <f t="shared" ref="K206:M206" si="205">$H206*(1+K$4)</f>
        <v>0</v>
      </c>
      <c r="L206" s="115">
        <f t="shared" si="205"/>
        <v>0</v>
      </c>
      <c r="M206" s="115">
        <f t="shared" si="205"/>
        <v>0</v>
      </c>
      <c r="O206" s="117">
        <f t="shared" si="3"/>
        <v>1</v>
      </c>
      <c r="P206" s="117">
        <f t="shared" si="4"/>
        <v>1</v>
      </c>
      <c r="Q206" s="117">
        <f t="shared" si="5"/>
        <v>1</v>
      </c>
    </row>
    <row r="207" ht="14.25" customHeight="1">
      <c r="B207" s="3"/>
      <c r="C207" s="3"/>
      <c r="D207" s="3"/>
      <c r="E207" s="2">
        <v>1.59708649984E12</v>
      </c>
      <c r="F207" s="124">
        <v>0.39</v>
      </c>
      <c r="G207" s="124">
        <v>2942.0</v>
      </c>
      <c r="H207" s="124">
        <v>0.0</v>
      </c>
      <c r="I207" s="124">
        <v>0.0</v>
      </c>
      <c r="K207" s="115">
        <f t="shared" ref="K207:M207" si="206">$H207*(1+K$4)</f>
        <v>0</v>
      </c>
      <c r="L207" s="115">
        <f t="shared" si="206"/>
        <v>0</v>
      </c>
      <c r="M207" s="115">
        <f t="shared" si="206"/>
        <v>0</v>
      </c>
      <c r="O207" s="117">
        <f t="shared" si="3"/>
        <v>1</v>
      </c>
      <c r="P207" s="117">
        <f t="shared" si="4"/>
        <v>1</v>
      </c>
      <c r="Q207" s="117">
        <f t="shared" si="5"/>
        <v>1</v>
      </c>
    </row>
    <row r="208" ht="14.25" customHeight="1">
      <c r="B208" s="3"/>
      <c r="C208" s="3"/>
      <c r="D208" s="3"/>
      <c r="E208" s="2">
        <v>1.597098592591E12</v>
      </c>
      <c r="F208" s="124">
        <v>0.38</v>
      </c>
      <c r="G208" s="124">
        <v>2900.0</v>
      </c>
      <c r="H208" s="124">
        <v>0.0</v>
      </c>
      <c r="I208" s="124">
        <v>0.0</v>
      </c>
      <c r="K208" s="115">
        <f t="shared" ref="K208:M208" si="207">$H208*(1+K$4)</f>
        <v>0</v>
      </c>
      <c r="L208" s="115">
        <f t="shared" si="207"/>
        <v>0</v>
      </c>
      <c r="M208" s="115">
        <f t="shared" si="207"/>
        <v>0</v>
      </c>
      <c r="O208" s="117">
        <f t="shared" si="3"/>
        <v>1</v>
      </c>
      <c r="P208" s="117">
        <f t="shared" si="4"/>
        <v>1</v>
      </c>
      <c r="Q208" s="117">
        <f t="shared" si="5"/>
        <v>1</v>
      </c>
    </row>
    <row r="209" ht="14.25" customHeight="1">
      <c r="B209" s="3"/>
      <c r="C209" s="3"/>
      <c r="D209" s="3"/>
      <c r="E209" s="2">
        <v>6.8658866289861E13</v>
      </c>
      <c r="F209" s="124">
        <v>0.49</v>
      </c>
      <c r="G209" s="124">
        <v>4347.0</v>
      </c>
      <c r="H209" s="124">
        <v>0.0</v>
      </c>
      <c r="I209" s="124">
        <v>0.0</v>
      </c>
      <c r="K209" s="115">
        <f t="shared" ref="K209:M209" si="208">$H209*(1+K$4)</f>
        <v>0</v>
      </c>
      <c r="L209" s="115">
        <f t="shared" si="208"/>
        <v>0</v>
      </c>
      <c r="M209" s="115">
        <f t="shared" si="208"/>
        <v>0</v>
      </c>
      <c r="O209" s="117">
        <f t="shared" si="3"/>
        <v>1</v>
      </c>
      <c r="P209" s="117">
        <f t="shared" si="4"/>
        <v>1</v>
      </c>
      <c r="Q209" s="117">
        <f t="shared" si="5"/>
        <v>1</v>
      </c>
    </row>
    <row r="210" ht="14.25" customHeight="1">
      <c r="B210" s="3"/>
      <c r="C210" s="3"/>
      <c r="D210" s="3"/>
      <c r="E210" s="2">
        <v>6.8658868763602E13</v>
      </c>
      <c r="F210" s="124">
        <v>0.49</v>
      </c>
      <c r="G210" s="124">
        <v>4365.0</v>
      </c>
      <c r="H210" s="124">
        <v>0.0</v>
      </c>
      <c r="I210" s="124">
        <v>0.0</v>
      </c>
      <c r="K210" s="115">
        <f t="shared" ref="K210:M210" si="209">$H210*(1+K$4)</f>
        <v>0</v>
      </c>
      <c r="L210" s="115">
        <f t="shared" si="209"/>
        <v>0</v>
      </c>
      <c r="M210" s="115">
        <f t="shared" si="209"/>
        <v>0</v>
      </c>
      <c r="O210" s="117">
        <f t="shared" si="3"/>
        <v>1</v>
      </c>
      <c r="P210" s="117">
        <f t="shared" si="4"/>
        <v>1</v>
      </c>
      <c r="Q210" s="117">
        <f t="shared" si="5"/>
        <v>1</v>
      </c>
    </row>
    <row r="211" ht="14.25" customHeight="1">
      <c r="B211" s="3"/>
      <c r="C211" s="3"/>
      <c r="D211" s="3"/>
      <c r="E211" s="2" t="s">
        <v>466</v>
      </c>
      <c r="F211" s="124">
        <v>0.52</v>
      </c>
      <c r="G211" s="124">
        <v>5228.0</v>
      </c>
      <c r="H211" s="124">
        <v>0.0</v>
      </c>
      <c r="I211" s="124">
        <v>0.0</v>
      </c>
      <c r="K211" s="115">
        <f t="shared" ref="K211:M211" si="210">$H211*(1+K$4)</f>
        <v>0</v>
      </c>
      <c r="L211" s="115">
        <f t="shared" si="210"/>
        <v>0</v>
      </c>
      <c r="M211" s="115">
        <f t="shared" si="210"/>
        <v>0</v>
      </c>
      <c r="O211" s="117">
        <f t="shared" si="3"/>
        <v>1</v>
      </c>
      <c r="P211" s="117">
        <f t="shared" si="4"/>
        <v>1</v>
      </c>
      <c r="Q211" s="117">
        <f t="shared" si="5"/>
        <v>1</v>
      </c>
    </row>
    <row r="212" ht="14.25" customHeight="1">
      <c r="B212" s="3"/>
      <c r="C212" s="3"/>
      <c r="D212" s="3"/>
      <c r="E212" s="2" t="s">
        <v>474</v>
      </c>
      <c r="F212" s="124">
        <v>0.6</v>
      </c>
      <c r="G212" s="124">
        <v>3885.0</v>
      </c>
      <c r="H212" s="124">
        <v>0.0</v>
      </c>
      <c r="I212" s="124">
        <v>0.0</v>
      </c>
      <c r="K212" s="115">
        <f t="shared" ref="K212:M212" si="211">$H212*(1+K$4)</f>
        <v>0</v>
      </c>
      <c r="L212" s="115">
        <f t="shared" si="211"/>
        <v>0</v>
      </c>
      <c r="M212" s="115">
        <f t="shared" si="211"/>
        <v>0</v>
      </c>
      <c r="O212" s="117">
        <f t="shared" si="3"/>
        <v>1</v>
      </c>
      <c r="P212" s="117">
        <f t="shared" si="4"/>
        <v>1</v>
      </c>
      <c r="Q212" s="117">
        <f t="shared" si="5"/>
        <v>1</v>
      </c>
    </row>
    <row r="213" ht="14.25" customHeight="1">
      <c r="B213" s="3"/>
      <c r="C213" s="3"/>
      <c r="D213" s="3"/>
      <c r="E213" s="2" t="s">
        <v>470</v>
      </c>
      <c r="F213" s="124">
        <v>0.27</v>
      </c>
      <c r="G213" s="124">
        <v>3482.0</v>
      </c>
      <c r="H213" s="124">
        <v>0.0</v>
      </c>
      <c r="I213" s="124">
        <v>0.0</v>
      </c>
      <c r="K213" s="115">
        <f t="shared" ref="K213:M213" si="212">$H213*(1+K$4)</f>
        <v>0</v>
      </c>
      <c r="L213" s="115">
        <f t="shared" si="212"/>
        <v>0</v>
      </c>
      <c r="M213" s="115">
        <f t="shared" si="212"/>
        <v>0</v>
      </c>
      <c r="O213" s="117">
        <f t="shared" si="3"/>
        <v>1</v>
      </c>
      <c r="P213" s="117">
        <f t="shared" si="4"/>
        <v>1</v>
      </c>
      <c r="Q213" s="117">
        <f t="shared" si="5"/>
        <v>1</v>
      </c>
    </row>
    <row r="214" ht="14.25" customHeight="1">
      <c r="B214" s="3"/>
      <c r="C214" s="3"/>
      <c r="D214" s="3"/>
      <c r="E214" s="2" t="s">
        <v>472</v>
      </c>
      <c r="F214" s="124">
        <v>0.27</v>
      </c>
      <c r="G214" s="124">
        <v>3468.0</v>
      </c>
      <c r="H214" s="124">
        <v>0.0</v>
      </c>
      <c r="I214" s="124">
        <v>0.0</v>
      </c>
      <c r="K214" s="115">
        <f t="shared" ref="K214:M214" si="213">$H214*(1+K$4)</f>
        <v>0</v>
      </c>
      <c r="L214" s="115">
        <f t="shared" si="213"/>
        <v>0</v>
      </c>
      <c r="M214" s="115">
        <f t="shared" si="213"/>
        <v>0</v>
      </c>
      <c r="O214" s="117">
        <f t="shared" si="3"/>
        <v>1</v>
      </c>
      <c r="P214" s="117">
        <f t="shared" si="4"/>
        <v>1</v>
      </c>
      <c r="Q214" s="117">
        <f t="shared" si="5"/>
        <v>1</v>
      </c>
    </row>
    <row r="215" ht="14.25" customHeight="1">
      <c r="B215" s="3"/>
      <c r="C215" s="3"/>
      <c r="D215" s="3"/>
      <c r="E215" s="2" t="s">
        <v>476</v>
      </c>
      <c r="F215" s="124">
        <v>0.34</v>
      </c>
      <c r="G215" s="124">
        <v>3033.0</v>
      </c>
      <c r="H215" s="124">
        <v>0.0</v>
      </c>
      <c r="I215" s="124">
        <v>0.0</v>
      </c>
      <c r="K215" s="115">
        <f t="shared" ref="K215:M215" si="214">$H215*(1+K$4)</f>
        <v>0</v>
      </c>
      <c r="L215" s="115">
        <f t="shared" si="214"/>
        <v>0</v>
      </c>
      <c r="M215" s="115">
        <f t="shared" si="214"/>
        <v>0</v>
      </c>
      <c r="O215" s="117">
        <f t="shared" si="3"/>
        <v>1</v>
      </c>
      <c r="P215" s="117">
        <f t="shared" si="4"/>
        <v>1</v>
      </c>
      <c r="Q215" s="117">
        <f t="shared" si="5"/>
        <v>1</v>
      </c>
    </row>
    <row r="216" ht="14.25" customHeight="1">
      <c r="B216" s="3"/>
      <c r="C216" s="3"/>
      <c r="D216" s="3"/>
      <c r="E216" s="2" t="s">
        <v>478</v>
      </c>
      <c r="F216" s="124">
        <v>0.24</v>
      </c>
      <c r="G216" s="124">
        <v>2150.0</v>
      </c>
      <c r="H216" s="124">
        <v>0.0</v>
      </c>
      <c r="I216" s="124">
        <v>0.0</v>
      </c>
      <c r="K216" s="115">
        <f t="shared" ref="K216:M216" si="215">$H216*(1+K$4)</f>
        <v>0</v>
      </c>
      <c r="L216" s="115">
        <f t="shared" si="215"/>
        <v>0</v>
      </c>
      <c r="M216" s="115">
        <f t="shared" si="215"/>
        <v>0</v>
      </c>
      <c r="O216" s="117">
        <f t="shared" si="3"/>
        <v>1</v>
      </c>
      <c r="P216" s="117">
        <f t="shared" si="4"/>
        <v>1</v>
      </c>
      <c r="Q216" s="117">
        <f t="shared" si="5"/>
        <v>1</v>
      </c>
    </row>
    <row r="217" ht="14.25" customHeight="1">
      <c r="B217" s="3"/>
      <c r="C217" s="3"/>
      <c r="D217" s="3"/>
      <c r="E217" s="2" t="s">
        <v>480</v>
      </c>
      <c r="F217" s="124">
        <v>0.33</v>
      </c>
      <c r="G217" s="124">
        <v>3330.0</v>
      </c>
      <c r="H217" s="124">
        <v>0.0</v>
      </c>
      <c r="I217" s="124">
        <v>0.0</v>
      </c>
      <c r="K217" s="115">
        <f t="shared" ref="K217:M217" si="216">$H217*(1+K$4)</f>
        <v>0</v>
      </c>
      <c r="L217" s="115">
        <f t="shared" si="216"/>
        <v>0</v>
      </c>
      <c r="M217" s="115">
        <f t="shared" si="216"/>
        <v>0</v>
      </c>
      <c r="O217" s="117">
        <f t="shared" si="3"/>
        <v>1</v>
      </c>
      <c r="P217" s="117">
        <f t="shared" si="4"/>
        <v>1</v>
      </c>
      <c r="Q217" s="117">
        <f t="shared" si="5"/>
        <v>1</v>
      </c>
    </row>
    <row r="218" ht="14.25" customHeight="1">
      <c r="B218" s="3"/>
      <c r="C218" s="3"/>
      <c r="D218" s="3"/>
      <c r="E218" s="2" t="s">
        <v>482</v>
      </c>
      <c r="F218" s="124">
        <v>0.38</v>
      </c>
      <c r="G218" s="124">
        <v>3765.0</v>
      </c>
      <c r="H218" s="124">
        <v>0.0</v>
      </c>
      <c r="I218" s="124">
        <v>0.0</v>
      </c>
      <c r="K218" s="115">
        <f t="shared" ref="K218:M218" si="217">$H218*(1+K$4)</f>
        <v>0</v>
      </c>
      <c r="L218" s="115">
        <f t="shared" si="217"/>
        <v>0</v>
      </c>
      <c r="M218" s="115">
        <f t="shared" si="217"/>
        <v>0</v>
      </c>
      <c r="O218" s="117">
        <f t="shared" si="3"/>
        <v>1</v>
      </c>
      <c r="P218" s="117">
        <f t="shared" si="4"/>
        <v>1</v>
      </c>
      <c r="Q218" s="117">
        <f t="shared" si="5"/>
        <v>1</v>
      </c>
    </row>
    <row r="219" ht="14.25" customHeight="1">
      <c r="B219" s="3"/>
      <c r="C219" s="3"/>
      <c r="D219" s="3" t="s">
        <v>483</v>
      </c>
      <c r="E219" s="2">
        <v>6.7898461965813E13</v>
      </c>
      <c r="F219" s="124">
        <v>0.47</v>
      </c>
      <c r="G219" s="124">
        <v>4102.0</v>
      </c>
      <c r="H219" s="124">
        <v>0.0</v>
      </c>
      <c r="I219" s="124">
        <v>0.0</v>
      </c>
      <c r="K219" s="115">
        <f t="shared" ref="K219:M219" si="218">$H219*(1+K$4)</f>
        <v>0</v>
      </c>
      <c r="L219" s="115">
        <f t="shared" si="218"/>
        <v>0</v>
      </c>
      <c r="M219" s="115">
        <f t="shared" si="218"/>
        <v>0</v>
      </c>
      <c r="O219" s="117">
        <f t="shared" si="3"/>
        <v>1</v>
      </c>
      <c r="P219" s="117">
        <f t="shared" si="4"/>
        <v>1</v>
      </c>
      <c r="Q219" s="117">
        <f t="shared" si="5"/>
        <v>1</v>
      </c>
    </row>
    <row r="220" ht="14.25" customHeight="1">
      <c r="B220" s="3"/>
      <c r="C220" s="3"/>
      <c r="D220" s="3"/>
      <c r="E220" s="2">
        <v>6.7898463643999E13</v>
      </c>
      <c r="F220" s="124">
        <v>0.49</v>
      </c>
      <c r="G220" s="124">
        <v>4328.0</v>
      </c>
      <c r="H220" s="124">
        <v>0.0</v>
      </c>
      <c r="I220" s="124">
        <v>0.0</v>
      </c>
      <c r="K220" s="115">
        <f t="shared" ref="K220:M220" si="219">$H220*(1+K$4)</f>
        <v>0</v>
      </c>
      <c r="L220" s="115">
        <f t="shared" si="219"/>
        <v>0</v>
      </c>
      <c r="M220" s="115">
        <f t="shared" si="219"/>
        <v>0</v>
      </c>
      <c r="O220" s="117">
        <f t="shared" si="3"/>
        <v>1</v>
      </c>
      <c r="P220" s="117">
        <f t="shared" si="4"/>
        <v>1</v>
      </c>
      <c r="Q220" s="117">
        <f t="shared" si="5"/>
        <v>1</v>
      </c>
    </row>
    <row r="221" ht="14.25" customHeight="1">
      <c r="B221" s="3"/>
      <c r="C221" s="3"/>
      <c r="D221" s="3"/>
      <c r="E221" s="2">
        <v>6.7898465380537E13</v>
      </c>
      <c r="F221" s="124">
        <v>0.47</v>
      </c>
      <c r="G221" s="124">
        <v>4108.0</v>
      </c>
      <c r="H221" s="124">
        <v>0.0</v>
      </c>
      <c r="I221" s="124">
        <v>0.0</v>
      </c>
      <c r="K221" s="115">
        <f t="shared" ref="K221:M221" si="220">$H221*(1+K$4)</f>
        <v>0</v>
      </c>
      <c r="L221" s="115">
        <f t="shared" si="220"/>
        <v>0</v>
      </c>
      <c r="M221" s="115">
        <f t="shared" si="220"/>
        <v>0</v>
      </c>
      <c r="O221" s="117">
        <f t="shared" si="3"/>
        <v>1</v>
      </c>
      <c r="P221" s="117">
        <f t="shared" si="4"/>
        <v>1</v>
      </c>
      <c r="Q221" s="117">
        <f t="shared" si="5"/>
        <v>1</v>
      </c>
    </row>
    <row r="222" ht="14.25" customHeight="1">
      <c r="B222" s="3"/>
      <c r="C222" s="3"/>
      <c r="D222" s="3"/>
      <c r="E222" s="2">
        <v>6.793383184397E13</v>
      </c>
      <c r="F222" s="124">
        <v>0.41</v>
      </c>
      <c r="G222" s="124">
        <v>3128.0</v>
      </c>
      <c r="H222" s="124">
        <v>0.0</v>
      </c>
      <c r="I222" s="124">
        <v>0.0</v>
      </c>
      <c r="K222" s="115">
        <f t="shared" ref="K222:M222" si="221">$H222*(1+K$4)</f>
        <v>0</v>
      </c>
      <c r="L222" s="115">
        <f t="shared" si="221"/>
        <v>0</v>
      </c>
      <c r="M222" s="115">
        <f t="shared" si="221"/>
        <v>0</v>
      </c>
      <c r="O222" s="117">
        <f t="shared" si="3"/>
        <v>1</v>
      </c>
      <c r="P222" s="117">
        <f t="shared" si="4"/>
        <v>1</v>
      </c>
      <c r="Q222" s="117">
        <f t="shared" si="5"/>
        <v>1</v>
      </c>
    </row>
    <row r="223" ht="14.25" customHeight="1">
      <c r="B223" s="3"/>
      <c r="C223" s="3"/>
      <c r="D223" s="3"/>
      <c r="E223" s="2">
        <v>6.7933833934278E13</v>
      </c>
      <c r="F223" s="124">
        <v>0.41</v>
      </c>
      <c r="G223" s="124">
        <v>3130.0</v>
      </c>
      <c r="H223" s="124">
        <v>0.0</v>
      </c>
      <c r="I223" s="124">
        <v>0.0</v>
      </c>
      <c r="K223" s="115">
        <f t="shared" ref="K223:M223" si="222">$H223*(1+K$4)</f>
        <v>0</v>
      </c>
      <c r="L223" s="115">
        <f t="shared" si="222"/>
        <v>0</v>
      </c>
      <c r="M223" s="115">
        <f t="shared" si="222"/>
        <v>0</v>
      </c>
      <c r="O223" s="117">
        <f t="shared" si="3"/>
        <v>1</v>
      </c>
      <c r="P223" s="117">
        <f t="shared" si="4"/>
        <v>1</v>
      </c>
      <c r="Q223" s="117">
        <f t="shared" si="5"/>
        <v>1</v>
      </c>
    </row>
    <row r="224" ht="14.25" customHeight="1">
      <c r="B224" s="3"/>
      <c r="C224" s="3"/>
      <c r="D224" s="3"/>
      <c r="E224" s="2">
        <v>6.7933835121467E13</v>
      </c>
      <c r="F224" s="124">
        <v>0.4</v>
      </c>
      <c r="G224" s="124">
        <v>3024.0</v>
      </c>
      <c r="H224" s="124">
        <v>0.0</v>
      </c>
      <c r="I224" s="124">
        <v>0.0</v>
      </c>
      <c r="K224" s="115">
        <f t="shared" ref="K224:M224" si="223">$H224*(1+K$4)</f>
        <v>0</v>
      </c>
      <c r="L224" s="115">
        <f t="shared" si="223"/>
        <v>0</v>
      </c>
      <c r="M224" s="115">
        <f t="shared" si="223"/>
        <v>0</v>
      </c>
      <c r="O224" s="117">
        <f t="shared" si="3"/>
        <v>1</v>
      </c>
      <c r="P224" s="117">
        <f t="shared" si="4"/>
        <v>1</v>
      </c>
      <c r="Q224" s="117">
        <f t="shared" si="5"/>
        <v>1</v>
      </c>
    </row>
    <row r="225" ht="14.25" customHeight="1">
      <c r="B225" s="3"/>
      <c r="C225" s="3"/>
      <c r="D225" s="3"/>
      <c r="E225" s="2">
        <v>6.7933835988925E13</v>
      </c>
      <c r="F225" s="124">
        <v>0.41</v>
      </c>
      <c r="G225" s="124">
        <v>3106.0</v>
      </c>
      <c r="H225" s="124">
        <v>0.0</v>
      </c>
      <c r="I225" s="124">
        <v>0.0</v>
      </c>
      <c r="K225" s="115">
        <f t="shared" ref="K225:M225" si="224">$H225*(1+K$4)</f>
        <v>0</v>
      </c>
      <c r="L225" s="115">
        <f t="shared" si="224"/>
        <v>0</v>
      </c>
      <c r="M225" s="115">
        <f t="shared" si="224"/>
        <v>0</v>
      </c>
      <c r="O225" s="117">
        <f t="shared" si="3"/>
        <v>1</v>
      </c>
      <c r="P225" s="117">
        <f t="shared" si="4"/>
        <v>1</v>
      </c>
      <c r="Q225" s="117">
        <f t="shared" si="5"/>
        <v>1</v>
      </c>
    </row>
    <row r="226" ht="14.25" customHeight="1">
      <c r="B226" s="3"/>
      <c r="C226" s="3"/>
      <c r="D226" s="3"/>
      <c r="E226" s="2" t="s">
        <v>490</v>
      </c>
      <c r="F226" s="124">
        <v>0.31</v>
      </c>
      <c r="G226" s="124">
        <v>4526.0</v>
      </c>
      <c r="H226" s="124">
        <v>0.0</v>
      </c>
      <c r="I226" s="124">
        <v>0.0</v>
      </c>
      <c r="K226" s="115">
        <f t="shared" ref="K226:M226" si="225">$H226*(1+K$4)</f>
        <v>0</v>
      </c>
      <c r="L226" s="115">
        <f t="shared" si="225"/>
        <v>0</v>
      </c>
      <c r="M226" s="115">
        <f t="shared" si="225"/>
        <v>0</v>
      </c>
      <c r="O226" s="117">
        <f t="shared" si="3"/>
        <v>1</v>
      </c>
      <c r="P226" s="117">
        <f t="shared" si="4"/>
        <v>1</v>
      </c>
      <c r="Q226" s="117">
        <f t="shared" si="5"/>
        <v>1</v>
      </c>
    </row>
    <row r="227" ht="14.25" customHeight="1">
      <c r="B227" s="3"/>
      <c r="C227" s="3"/>
      <c r="D227" s="3"/>
      <c r="E227" s="2" t="s">
        <v>492</v>
      </c>
      <c r="F227" s="124">
        <v>0.26</v>
      </c>
      <c r="G227" s="124">
        <v>3809.0</v>
      </c>
      <c r="H227" s="124">
        <v>0.0</v>
      </c>
      <c r="I227" s="124">
        <v>0.0</v>
      </c>
      <c r="K227" s="115">
        <f t="shared" ref="K227:M227" si="226">$H227*(1+K$4)</f>
        <v>0</v>
      </c>
      <c r="L227" s="115">
        <f t="shared" si="226"/>
        <v>0</v>
      </c>
      <c r="M227" s="115">
        <f t="shared" si="226"/>
        <v>0</v>
      </c>
      <c r="O227" s="117">
        <f t="shared" si="3"/>
        <v>1</v>
      </c>
      <c r="P227" s="117">
        <f t="shared" si="4"/>
        <v>1</v>
      </c>
      <c r="Q227" s="117">
        <f t="shared" si="5"/>
        <v>1</v>
      </c>
    </row>
    <row r="228" ht="14.25" customHeight="1">
      <c r="B228" s="3"/>
      <c r="C228" s="3"/>
      <c r="D228" s="3"/>
      <c r="E228" s="2" t="s">
        <v>494</v>
      </c>
      <c r="F228" s="124">
        <v>0.37</v>
      </c>
      <c r="G228" s="124">
        <v>4317.0</v>
      </c>
      <c r="H228" s="124">
        <v>0.0</v>
      </c>
      <c r="I228" s="124">
        <v>0.0</v>
      </c>
      <c r="K228" s="115">
        <f t="shared" ref="K228:M228" si="227">$H228*(1+K$4)</f>
        <v>0</v>
      </c>
      <c r="L228" s="115">
        <f t="shared" si="227"/>
        <v>0</v>
      </c>
      <c r="M228" s="115">
        <f t="shared" si="227"/>
        <v>0</v>
      </c>
      <c r="O228" s="117">
        <f t="shared" si="3"/>
        <v>1</v>
      </c>
      <c r="P228" s="117">
        <f t="shared" si="4"/>
        <v>1</v>
      </c>
      <c r="Q228" s="117">
        <f t="shared" si="5"/>
        <v>1</v>
      </c>
    </row>
    <row r="229" ht="14.25" customHeight="1">
      <c r="B229" s="3"/>
      <c r="C229" s="3"/>
      <c r="D229" s="3"/>
      <c r="E229" s="2" t="s">
        <v>496</v>
      </c>
      <c r="F229" s="124">
        <v>0.37</v>
      </c>
      <c r="G229" s="124">
        <v>4322.0</v>
      </c>
      <c r="H229" s="124">
        <v>0.0</v>
      </c>
      <c r="I229" s="124">
        <v>0.0</v>
      </c>
      <c r="K229" s="115">
        <f t="shared" ref="K229:M229" si="228">$H229*(1+K$4)</f>
        <v>0</v>
      </c>
      <c r="L229" s="115">
        <f t="shared" si="228"/>
        <v>0</v>
      </c>
      <c r="M229" s="115">
        <f t="shared" si="228"/>
        <v>0</v>
      </c>
      <c r="O229" s="117">
        <f t="shared" si="3"/>
        <v>1</v>
      </c>
      <c r="P229" s="117">
        <f t="shared" si="4"/>
        <v>1</v>
      </c>
      <c r="Q229" s="117">
        <f t="shared" si="5"/>
        <v>1</v>
      </c>
    </row>
    <row r="230" ht="14.25" customHeight="1">
      <c r="B230" s="3"/>
      <c r="C230" s="3"/>
      <c r="D230" s="3"/>
      <c r="E230" s="2" t="s">
        <v>498</v>
      </c>
      <c r="F230" s="124">
        <v>0.28</v>
      </c>
      <c r="G230" s="124">
        <v>3312.0</v>
      </c>
      <c r="H230" s="124">
        <v>0.0</v>
      </c>
      <c r="I230" s="124">
        <v>0.0</v>
      </c>
      <c r="K230" s="115">
        <f t="shared" ref="K230:M230" si="229">$H230*(1+K$4)</f>
        <v>0</v>
      </c>
      <c r="L230" s="115">
        <f t="shared" si="229"/>
        <v>0</v>
      </c>
      <c r="M230" s="115">
        <f t="shared" si="229"/>
        <v>0</v>
      </c>
      <c r="O230" s="117">
        <f t="shared" si="3"/>
        <v>1</v>
      </c>
      <c r="P230" s="117">
        <f t="shared" si="4"/>
        <v>1</v>
      </c>
      <c r="Q230" s="117">
        <f t="shared" si="5"/>
        <v>1</v>
      </c>
    </row>
    <row r="231" ht="14.25" customHeight="1">
      <c r="B231" s="3"/>
      <c r="C231" s="3"/>
      <c r="D231" s="3"/>
      <c r="E231" s="2" t="s">
        <v>500</v>
      </c>
      <c r="F231" s="124">
        <v>0.36</v>
      </c>
      <c r="G231" s="124">
        <v>4211.0</v>
      </c>
      <c r="H231" s="124">
        <v>0.0</v>
      </c>
      <c r="I231" s="124">
        <v>0.0</v>
      </c>
      <c r="K231" s="115">
        <f t="shared" ref="K231:M231" si="230">$H231*(1+K$4)</f>
        <v>0</v>
      </c>
      <c r="L231" s="115">
        <f t="shared" si="230"/>
        <v>0</v>
      </c>
      <c r="M231" s="115">
        <f t="shared" si="230"/>
        <v>0</v>
      </c>
      <c r="O231" s="117">
        <f t="shared" si="3"/>
        <v>1</v>
      </c>
      <c r="P231" s="117">
        <f t="shared" si="4"/>
        <v>1</v>
      </c>
      <c r="Q231" s="117">
        <f t="shared" si="5"/>
        <v>1</v>
      </c>
    </row>
    <row r="232" ht="14.25" customHeight="1">
      <c r="B232" s="3"/>
      <c r="C232" s="3"/>
      <c r="D232" s="3"/>
      <c r="E232" s="2" t="s">
        <v>502</v>
      </c>
      <c r="F232" s="124">
        <v>0.33</v>
      </c>
      <c r="G232" s="124">
        <v>2931.0</v>
      </c>
      <c r="H232" s="124">
        <v>0.0</v>
      </c>
      <c r="I232" s="124">
        <v>0.0</v>
      </c>
      <c r="K232" s="115">
        <f t="shared" ref="K232:M232" si="231">$H232*(1+K$4)</f>
        <v>0</v>
      </c>
      <c r="L232" s="115">
        <f t="shared" si="231"/>
        <v>0</v>
      </c>
      <c r="M232" s="115">
        <f t="shared" si="231"/>
        <v>0</v>
      </c>
      <c r="O232" s="117">
        <f t="shared" si="3"/>
        <v>1</v>
      </c>
      <c r="P232" s="117">
        <f t="shared" si="4"/>
        <v>1</v>
      </c>
      <c r="Q232" s="117">
        <f t="shared" si="5"/>
        <v>1</v>
      </c>
    </row>
    <row r="233" ht="14.25" customHeight="1">
      <c r="B233" s="3"/>
      <c r="C233" s="3"/>
      <c r="D233" s="3"/>
      <c r="E233" s="2" t="s">
        <v>504</v>
      </c>
      <c r="F233" s="124">
        <v>0.33</v>
      </c>
      <c r="G233" s="124">
        <v>2902.0</v>
      </c>
      <c r="H233" s="124">
        <v>0.0</v>
      </c>
      <c r="I233" s="124">
        <v>0.0</v>
      </c>
      <c r="K233" s="115">
        <f t="shared" ref="K233:M233" si="232">$H233*(1+K$4)</f>
        <v>0</v>
      </c>
      <c r="L233" s="115">
        <f t="shared" si="232"/>
        <v>0</v>
      </c>
      <c r="M233" s="115">
        <f t="shared" si="232"/>
        <v>0</v>
      </c>
      <c r="O233" s="117">
        <f t="shared" si="3"/>
        <v>1</v>
      </c>
      <c r="P233" s="117">
        <f t="shared" si="4"/>
        <v>1</v>
      </c>
      <c r="Q233" s="117">
        <f t="shared" si="5"/>
        <v>1</v>
      </c>
    </row>
    <row r="234" ht="14.25" customHeight="1">
      <c r="B234" s="3"/>
      <c r="C234" s="3"/>
      <c r="D234" s="3"/>
      <c r="E234" s="2" t="s">
        <v>506</v>
      </c>
      <c r="F234" s="124">
        <v>0.35</v>
      </c>
      <c r="G234" s="124">
        <v>3064.0</v>
      </c>
      <c r="H234" s="124">
        <v>0.0</v>
      </c>
      <c r="I234" s="124">
        <v>0.0</v>
      </c>
      <c r="K234" s="115">
        <f t="shared" ref="K234:M234" si="233">$H234*(1+K$4)</f>
        <v>0</v>
      </c>
      <c r="L234" s="115">
        <f t="shared" si="233"/>
        <v>0</v>
      </c>
      <c r="M234" s="115">
        <f t="shared" si="233"/>
        <v>0</v>
      </c>
      <c r="O234" s="117">
        <f t="shared" si="3"/>
        <v>1</v>
      </c>
      <c r="P234" s="117">
        <f t="shared" si="4"/>
        <v>1</v>
      </c>
      <c r="Q234" s="117">
        <f t="shared" si="5"/>
        <v>1</v>
      </c>
    </row>
    <row r="235" ht="14.25" customHeight="1">
      <c r="B235" s="3"/>
      <c r="C235" s="3"/>
      <c r="D235" s="3"/>
      <c r="E235" s="2" t="s">
        <v>508</v>
      </c>
      <c r="F235" s="124">
        <v>0.33</v>
      </c>
      <c r="G235" s="124">
        <v>2885.0</v>
      </c>
      <c r="H235" s="124">
        <v>0.0</v>
      </c>
      <c r="I235" s="124">
        <v>0.0</v>
      </c>
      <c r="K235" s="115">
        <f t="shared" ref="K235:M235" si="234">$H235*(1+K$4)</f>
        <v>0</v>
      </c>
      <c r="L235" s="115">
        <f t="shared" si="234"/>
        <v>0</v>
      </c>
      <c r="M235" s="115">
        <f t="shared" si="234"/>
        <v>0</v>
      </c>
      <c r="O235" s="117">
        <f t="shared" si="3"/>
        <v>1</v>
      </c>
      <c r="P235" s="117">
        <f t="shared" si="4"/>
        <v>1</v>
      </c>
      <c r="Q235" s="117">
        <f t="shared" si="5"/>
        <v>1</v>
      </c>
    </row>
    <row r="236" ht="14.25" customHeight="1">
      <c r="B236" s="3"/>
      <c r="C236" s="3" t="s">
        <v>513</v>
      </c>
      <c r="D236" s="3" t="s">
        <v>514</v>
      </c>
      <c r="E236" s="2">
        <v>1.513614057219E12</v>
      </c>
      <c r="F236" s="124">
        <v>0.42</v>
      </c>
      <c r="G236" s="124">
        <v>2497.0</v>
      </c>
      <c r="H236" s="124">
        <v>0.0</v>
      </c>
      <c r="I236" s="124">
        <v>0.0</v>
      </c>
      <c r="K236" s="115">
        <f t="shared" ref="K236:M236" si="235">$H236*(1+K$4)</f>
        <v>0</v>
      </c>
      <c r="L236" s="115">
        <f t="shared" si="235"/>
        <v>0</v>
      </c>
      <c r="M236" s="115">
        <f t="shared" si="235"/>
        <v>0</v>
      </c>
      <c r="O236" s="117">
        <f t="shared" si="3"/>
        <v>1</v>
      </c>
      <c r="P236" s="117">
        <f t="shared" si="4"/>
        <v>1</v>
      </c>
      <c r="Q236" s="117">
        <f t="shared" si="5"/>
        <v>1</v>
      </c>
    </row>
    <row r="237" ht="14.25" customHeight="1">
      <c r="B237" s="3"/>
      <c r="C237" s="3"/>
      <c r="D237" s="3"/>
      <c r="E237" s="2">
        <v>1.542823095263E12</v>
      </c>
      <c r="F237" s="124">
        <v>0.44</v>
      </c>
      <c r="G237" s="124">
        <v>1548.0</v>
      </c>
      <c r="H237" s="124">
        <v>0.0</v>
      </c>
      <c r="I237" s="124">
        <v>0.0</v>
      </c>
      <c r="K237" s="115">
        <f t="shared" ref="K237:M237" si="236">$H237*(1+K$4)</f>
        <v>0</v>
      </c>
      <c r="L237" s="115">
        <f t="shared" si="236"/>
        <v>0</v>
      </c>
      <c r="M237" s="115">
        <f t="shared" si="236"/>
        <v>0</v>
      </c>
      <c r="O237" s="117">
        <f t="shared" si="3"/>
        <v>1</v>
      </c>
      <c r="P237" s="117">
        <f t="shared" si="4"/>
        <v>1</v>
      </c>
      <c r="Q237" s="117">
        <f t="shared" si="5"/>
        <v>1</v>
      </c>
    </row>
    <row r="238" ht="14.25" customHeight="1">
      <c r="B238" s="3"/>
      <c r="C238" s="3"/>
      <c r="D238" s="3" t="s">
        <v>519</v>
      </c>
      <c r="E238" s="2">
        <v>1.571423280815E12</v>
      </c>
      <c r="F238" s="124">
        <v>0.33</v>
      </c>
      <c r="G238" s="124">
        <v>12619.0</v>
      </c>
      <c r="H238" s="124">
        <v>0.0</v>
      </c>
      <c r="I238" s="124">
        <v>0.0</v>
      </c>
      <c r="K238" s="115">
        <f t="shared" ref="K238:M238" si="237">$H238*(1+K$4)</f>
        <v>0</v>
      </c>
      <c r="L238" s="115">
        <f t="shared" si="237"/>
        <v>0</v>
      </c>
      <c r="M238" s="115">
        <f t="shared" si="237"/>
        <v>0</v>
      </c>
      <c r="O238" s="117">
        <f t="shared" si="3"/>
        <v>1</v>
      </c>
      <c r="P238" s="117">
        <f t="shared" si="4"/>
        <v>1</v>
      </c>
      <c r="Q238" s="117">
        <f t="shared" si="5"/>
        <v>1</v>
      </c>
    </row>
    <row r="239" ht="14.25" customHeight="1">
      <c r="B239" s="3"/>
      <c r="C239" s="3"/>
      <c r="D239" s="3"/>
      <c r="E239" s="2">
        <v>1.61538336617E12</v>
      </c>
      <c r="F239" s="124">
        <v>0.16</v>
      </c>
      <c r="G239" s="124">
        <v>6786.0</v>
      </c>
      <c r="H239" s="124">
        <v>0.0</v>
      </c>
      <c r="I239" s="124">
        <v>0.0</v>
      </c>
      <c r="K239" s="115">
        <f t="shared" ref="K239:M239" si="238">$H239*(1+K$4)</f>
        <v>0</v>
      </c>
      <c r="L239" s="115">
        <f t="shared" si="238"/>
        <v>0</v>
      </c>
      <c r="M239" s="115">
        <f t="shared" si="238"/>
        <v>0</v>
      </c>
      <c r="O239" s="117">
        <f t="shared" si="3"/>
        <v>1</v>
      </c>
      <c r="P239" s="117">
        <f t="shared" si="4"/>
        <v>1</v>
      </c>
      <c r="Q239" s="117">
        <f t="shared" si="5"/>
        <v>1</v>
      </c>
    </row>
    <row r="240" ht="14.25" customHeight="1">
      <c r="B240" s="3"/>
      <c r="C240" s="3"/>
      <c r="D240" s="3"/>
      <c r="E240" s="2">
        <v>1.615383407099E12</v>
      </c>
      <c r="F240" s="124">
        <v>0.5</v>
      </c>
      <c r="G240" s="124">
        <v>14731.0</v>
      </c>
      <c r="H240" s="124">
        <v>0.0</v>
      </c>
      <c r="I240" s="124">
        <v>0.0</v>
      </c>
      <c r="K240" s="115">
        <f t="shared" ref="K240:M240" si="239">$H240*(1+K$4)</f>
        <v>0</v>
      </c>
      <c r="L240" s="115">
        <f t="shared" si="239"/>
        <v>0</v>
      </c>
      <c r="M240" s="115">
        <f t="shared" si="239"/>
        <v>0</v>
      </c>
      <c r="O240" s="117">
        <f t="shared" si="3"/>
        <v>1</v>
      </c>
      <c r="P240" s="117">
        <f t="shared" si="4"/>
        <v>1</v>
      </c>
      <c r="Q240" s="117">
        <f t="shared" si="5"/>
        <v>1</v>
      </c>
    </row>
    <row r="241" ht="14.25" customHeight="1">
      <c r="B241" s="3"/>
      <c r="C241" s="3" t="s">
        <v>523</v>
      </c>
      <c r="D241" s="3" t="s">
        <v>524</v>
      </c>
      <c r="E241" s="2">
        <v>1.62741684103E12</v>
      </c>
      <c r="F241" s="124">
        <v>0.38</v>
      </c>
      <c r="G241" s="124">
        <v>3309.0</v>
      </c>
      <c r="H241" s="124">
        <v>0.0</v>
      </c>
      <c r="I241" s="124">
        <v>0.0</v>
      </c>
      <c r="K241" s="115">
        <f t="shared" ref="K241:M241" si="240">$H241*(1+K$4)</f>
        <v>0</v>
      </c>
      <c r="L241" s="115">
        <f t="shared" si="240"/>
        <v>0</v>
      </c>
      <c r="M241" s="115">
        <f t="shared" si="240"/>
        <v>0</v>
      </c>
      <c r="O241" s="117">
        <f t="shared" si="3"/>
        <v>1</v>
      </c>
      <c r="P241" s="117">
        <f t="shared" si="4"/>
        <v>1</v>
      </c>
      <c r="Q241" s="117">
        <f t="shared" si="5"/>
        <v>1</v>
      </c>
    </row>
    <row r="242" ht="14.25" customHeight="1">
      <c r="B242" s="3"/>
      <c r="C242" s="3" t="s">
        <v>526</v>
      </c>
      <c r="D242" s="3" t="s">
        <v>527</v>
      </c>
      <c r="E242" s="2">
        <v>1.623703942966E12</v>
      </c>
      <c r="F242" s="124">
        <v>0.66</v>
      </c>
      <c r="G242" s="124">
        <v>5005.0</v>
      </c>
      <c r="H242" s="124">
        <v>0.0</v>
      </c>
      <c r="I242" s="124">
        <v>0.0</v>
      </c>
      <c r="K242" s="115">
        <f t="shared" ref="K242:M242" si="241">$H242*(1+K$4)</f>
        <v>0</v>
      </c>
      <c r="L242" s="115">
        <f t="shared" si="241"/>
        <v>0</v>
      </c>
      <c r="M242" s="115">
        <f t="shared" si="241"/>
        <v>0</v>
      </c>
      <c r="O242" s="117">
        <f t="shared" si="3"/>
        <v>1</v>
      </c>
      <c r="P242" s="117">
        <f t="shared" si="4"/>
        <v>1</v>
      </c>
      <c r="Q242" s="117">
        <f t="shared" si="5"/>
        <v>1</v>
      </c>
    </row>
    <row r="243" ht="14.25" customHeight="1">
      <c r="B243" s="3"/>
      <c r="C243" s="3"/>
      <c r="D243" s="3"/>
      <c r="E243" s="2" t="s">
        <v>529</v>
      </c>
      <c r="F243" s="124">
        <v>0.42</v>
      </c>
      <c r="G243" s="124">
        <v>2464.0</v>
      </c>
      <c r="H243" s="124">
        <v>0.0</v>
      </c>
      <c r="I243" s="124">
        <v>0.0</v>
      </c>
      <c r="K243" s="115">
        <f t="shared" ref="K243:M243" si="242">$H243*(1+K$4)</f>
        <v>0</v>
      </c>
      <c r="L243" s="115">
        <f t="shared" si="242"/>
        <v>0</v>
      </c>
      <c r="M243" s="115">
        <f t="shared" si="242"/>
        <v>0</v>
      </c>
      <c r="O243" s="117">
        <f t="shared" si="3"/>
        <v>1</v>
      </c>
      <c r="P243" s="117">
        <f t="shared" si="4"/>
        <v>1</v>
      </c>
      <c r="Q243" s="117">
        <f t="shared" si="5"/>
        <v>1</v>
      </c>
    </row>
    <row r="244" ht="14.25" customHeight="1">
      <c r="B244" s="3"/>
      <c r="C244" s="3"/>
      <c r="D244" s="3"/>
      <c r="E244" s="2" t="s">
        <v>531</v>
      </c>
      <c r="F244" s="124">
        <v>0.35</v>
      </c>
      <c r="G244" s="124">
        <v>2055.0</v>
      </c>
      <c r="H244" s="124">
        <v>0.0</v>
      </c>
      <c r="I244" s="124">
        <v>0.0</v>
      </c>
      <c r="K244" s="115">
        <f t="shared" ref="K244:M244" si="243">$H244*(1+K$4)</f>
        <v>0</v>
      </c>
      <c r="L244" s="115">
        <f t="shared" si="243"/>
        <v>0</v>
      </c>
      <c r="M244" s="115">
        <f t="shared" si="243"/>
        <v>0</v>
      </c>
      <c r="O244" s="117">
        <f t="shared" si="3"/>
        <v>1</v>
      </c>
      <c r="P244" s="117">
        <f t="shared" si="4"/>
        <v>1</v>
      </c>
      <c r="Q244" s="117">
        <f t="shared" si="5"/>
        <v>1</v>
      </c>
    </row>
    <row r="245" ht="14.25" customHeight="1">
      <c r="B245" s="3"/>
      <c r="C245" s="3"/>
      <c r="D245" s="3"/>
      <c r="E245" s="2" t="s">
        <v>533</v>
      </c>
      <c r="F245" s="124">
        <v>0.35</v>
      </c>
      <c r="G245" s="124">
        <v>2055.0</v>
      </c>
      <c r="H245" s="124">
        <v>0.0</v>
      </c>
      <c r="I245" s="124">
        <v>0.0</v>
      </c>
      <c r="K245" s="115">
        <f t="shared" ref="K245:M245" si="244">$H245*(1+K$4)</f>
        <v>0</v>
      </c>
      <c r="L245" s="115">
        <f t="shared" si="244"/>
        <v>0</v>
      </c>
      <c r="M245" s="115">
        <f t="shared" si="244"/>
        <v>0</v>
      </c>
      <c r="O245" s="117">
        <f t="shared" si="3"/>
        <v>1</v>
      </c>
      <c r="P245" s="117">
        <f t="shared" si="4"/>
        <v>1</v>
      </c>
      <c r="Q245" s="117">
        <f t="shared" si="5"/>
        <v>1</v>
      </c>
    </row>
    <row r="246" ht="14.25" customHeight="1">
      <c r="B246" s="3"/>
      <c r="C246" s="3"/>
      <c r="D246" s="3"/>
      <c r="E246" s="2" t="s">
        <v>536</v>
      </c>
      <c r="F246" s="124">
        <v>0.61</v>
      </c>
      <c r="G246" s="124">
        <v>7190.0</v>
      </c>
      <c r="H246" s="124">
        <v>0.0</v>
      </c>
      <c r="I246" s="124">
        <v>0.0</v>
      </c>
      <c r="K246" s="115">
        <f t="shared" ref="K246:M246" si="245">$H246*(1+K$4)</f>
        <v>0</v>
      </c>
      <c r="L246" s="115">
        <f t="shared" si="245"/>
        <v>0</v>
      </c>
      <c r="M246" s="115">
        <f t="shared" si="245"/>
        <v>0</v>
      </c>
      <c r="O246" s="117">
        <f t="shared" si="3"/>
        <v>1</v>
      </c>
      <c r="P246" s="117">
        <f t="shared" si="4"/>
        <v>1</v>
      </c>
      <c r="Q246" s="117">
        <f t="shared" si="5"/>
        <v>1</v>
      </c>
    </row>
    <row r="247" ht="14.25" customHeight="1">
      <c r="B247" s="3"/>
      <c r="C247" s="3"/>
      <c r="D247" s="3" t="s">
        <v>537</v>
      </c>
      <c r="E247" s="2">
        <v>1.623703861303E12</v>
      </c>
      <c r="F247" s="124">
        <v>0.28</v>
      </c>
      <c r="G247" s="124">
        <v>3821.0</v>
      </c>
      <c r="H247" s="124">
        <v>0.0</v>
      </c>
      <c r="I247" s="124">
        <v>0.0</v>
      </c>
      <c r="K247" s="115">
        <f t="shared" ref="K247:M247" si="246">$H247*(1+K$4)</f>
        <v>0</v>
      </c>
      <c r="L247" s="115">
        <f t="shared" si="246"/>
        <v>0</v>
      </c>
      <c r="M247" s="115">
        <f t="shared" si="246"/>
        <v>0</v>
      </c>
      <c r="O247" s="117">
        <f t="shared" si="3"/>
        <v>1</v>
      </c>
      <c r="P247" s="117">
        <f t="shared" si="4"/>
        <v>1</v>
      </c>
      <c r="Q247" s="117">
        <f t="shared" si="5"/>
        <v>1</v>
      </c>
    </row>
    <row r="248" ht="14.25" customHeight="1">
      <c r="B248" s="3"/>
      <c r="C248" s="3"/>
      <c r="D248" s="3"/>
      <c r="E248" s="2">
        <v>1.656603804695E12</v>
      </c>
      <c r="F248" s="124">
        <v>0.33</v>
      </c>
      <c r="G248" s="124">
        <v>11639.0</v>
      </c>
      <c r="H248" s="124">
        <v>0.0</v>
      </c>
      <c r="I248" s="124">
        <v>0.0</v>
      </c>
      <c r="K248" s="115">
        <f t="shared" ref="K248:M248" si="247">$H248*(1+K$4)</f>
        <v>0</v>
      </c>
      <c r="L248" s="115">
        <f t="shared" si="247"/>
        <v>0</v>
      </c>
      <c r="M248" s="115">
        <f t="shared" si="247"/>
        <v>0</v>
      </c>
      <c r="O248" s="117">
        <f t="shared" si="3"/>
        <v>1</v>
      </c>
      <c r="P248" s="117">
        <f t="shared" si="4"/>
        <v>1</v>
      </c>
      <c r="Q248" s="117">
        <f t="shared" si="5"/>
        <v>1</v>
      </c>
    </row>
    <row r="249" ht="14.25" customHeight="1">
      <c r="B249" s="3"/>
      <c r="C249" s="3"/>
      <c r="D249" s="3"/>
      <c r="E249" s="2" t="s">
        <v>542</v>
      </c>
      <c r="F249" s="124">
        <v>0.27</v>
      </c>
      <c r="G249" s="124">
        <v>4002.0</v>
      </c>
      <c r="H249" s="124">
        <v>0.0</v>
      </c>
      <c r="I249" s="124">
        <v>0.0</v>
      </c>
      <c r="K249" s="115">
        <f t="shared" ref="K249:M249" si="248">$H249*(1+K$4)</f>
        <v>0</v>
      </c>
      <c r="L249" s="115">
        <f t="shared" si="248"/>
        <v>0</v>
      </c>
      <c r="M249" s="115">
        <f t="shared" si="248"/>
        <v>0</v>
      </c>
      <c r="O249" s="117">
        <f t="shared" si="3"/>
        <v>1</v>
      </c>
      <c r="P249" s="117">
        <f t="shared" si="4"/>
        <v>1</v>
      </c>
      <c r="Q249" s="117">
        <f t="shared" si="5"/>
        <v>1</v>
      </c>
    </row>
    <row r="250" ht="14.25" customHeight="1">
      <c r="B250" s="3"/>
      <c r="C250" s="3"/>
      <c r="D250" s="3"/>
      <c r="E250" s="2" t="s">
        <v>546</v>
      </c>
      <c r="F250" s="124">
        <v>0.48</v>
      </c>
      <c r="G250" s="124">
        <v>11178.0</v>
      </c>
      <c r="H250" s="124">
        <v>0.0</v>
      </c>
      <c r="I250" s="124">
        <v>0.0</v>
      </c>
      <c r="K250" s="115">
        <f t="shared" ref="K250:M250" si="249">$H250*(1+K$4)</f>
        <v>0</v>
      </c>
      <c r="L250" s="115">
        <f t="shared" si="249"/>
        <v>0</v>
      </c>
      <c r="M250" s="115">
        <f t="shared" si="249"/>
        <v>0</v>
      </c>
      <c r="O250" s="117">
        <f t="shared" si="3"/>
        <v>1</v>
      </c>
      <c r="P250" s="117">
        <f t="shared" si="4"/>
        <v>1</v>
      </c>
      <c r="Q250" s="117">
        <f t="shared" si="5"/>
        <v>1</v>
      </c>
    </row>
    <row r="251" ht="14.25" customHeight="1">
      <c r="B251" s="3"/>
      <c r="C251" s="3"/>
      <c r="D251" s="3"/>
      <c r="E251" s="2" t="s">
        <v>544</v>
      </c>
      <c r="F251" s="124">
        <v>0.33</v>
      </c>
      <c r="G251" s="124">
        <v>4888.0</v>
      </c>
      <c r="H251" s="124">
        <v>0.0</v>
      </c>
      <c r="I251" s="124">
        <v>0.0</v>
      </c>
      <c r="K251" s="115">
        <f t="shared" ref="K251:M251" si="250">$H251*(1+K$4)</f>
        <v>0</v>
      </c>
      <c r="L251" s="115">
        <f t="shared" si="250"/>
        <v>0</v>
      </c>
      <c r="M251" s="115">
        <f t="shared" si="250"/>
        <v>0</v>
      </c>
      <c r="O251" s="117">
        <f t="shared" si="3"/>
        <v>1</v>
      </c>
      <c r="P251" s="117">
        <f t="shared" si="4"/>
        <v>1</v>
      </c>
      <c r="Q251" s="117">
        <f t="shared" si="5"/>
        <v>1</v>
      </c>
    </row>
    <row r="252" ht="14.25" customHeight="1">
      <c r="B252" s="3"/>
      <c r="C252" s="3"/>
      <c r="D252" s="3"/>
      <c r="E252" s="2" t="s">
        <v>548</v>
      </c>
      <c r="F252" s="124">
        <v>0.45</v>
      </c>
      <c r="G252" s="124">
        <v>10614.0</v>
      </c>
      <c r="H252" s="124">
        <v>0.0</v>
      </c>
      <c r="I252" s="124">
        <v>0.0</v>
      </c>
      <c r="K252" s="115">
        <f t="shared" ref="K252:M252" si="251">$H252*(1+K$4)</f>
        <v>0</v>
      </c>
      <c r="L252" s="115">
        <f t="shared" si="251"/>
        <v>0</v>
      </c>
      <c r="M252" s="115">
        <f t="shared" si="251"/>
        <v>0</v>
      </c>
      <c r="O252" s="117">
        <f t="shared" si="3"/>
        <v>1</v>
      </c>
      <c r="P252" s="117">
        <f t="shared" si="4"/>
        <v>1</v>
      </c>
      <c r="Q252" s="117">
        <f t="shared" si="5"/>
        <v>1</v>
      </c>
    </row>
    <row r="253" ht="14.25" customHeight="1">
      <c r="B253" s="3"/>
      <c r="C253" s="3"/>
      <c r="D253" s="3"/>
      <c r="E253" s="2" t="s">
        <v>540</v>
      </c>
      <c r="F253" s="124">
        <v>0.34</v>
      </c>
      <c r="G253" s="124">
        <v>4963.0</v>
      </c>
      <c r="H253" s="124">
        <v>0.0</v>
      </c>
      <c r="I253" s="124">
        <v>0.0</v>
      </c>
      <c r="K253" s="115">
        <f t="shared" ref="K253:M253" si="252">$H253*(1+K$4)</f>
        <v>0</v>
      </c>
      <c r="L253" s="115">
        <f t="shared" si="252"/>
        <v>0</v>
      </c>
      <c r="M253" s="115">
        <f t="shared" si="252"/>
        <v>0</v>
      </c>
      <c r="O253" s="117">
        <f t="shared" si="3"/>
        <v>1</v>
      </c>
      <c r="P253" s="117">
        <f t="shared" si="4"/>
        <v>1</v>
      </c>
      <c r="Q253" s="117">
        <f t="shared" si="5"/>
        <v>1</v>
      </c>
    </row>
    <row r="254" ht="14.25" customHeight="1">
      <c r="B254" s="3"/>
      <c r="C254" s="3"/>
      <c r="D254" s="3"/>
      <c r="E254" s="2" t="s">
        <v>550</v>
      </c>
      <c r="F254" s="124">
        <v>0.46</v>
      </c>
      <c r="G254" s="124">
        <v>10778.0</v>
      </c>
      <c r="H254" s="124">
        <v>0.0</v>
      </c>
      <c r="I254" s="124">
        <v>0.0</v>
      </c>
      <c r="K254" s="115">
        <f t="shared" ref="K254:M254" si="253">$H254*(1+K$4)</f>
        <v>0</v>
      </c>
      <c r="L254" s="115">
        <f t="shared" si="253"/>
        <v>0</v>
      </c>
      <c r="M254" s="115">
        <f t="shared" si="253"/>
        <v>0</v>
      </c>
      <c r="O254" s="117">
        <f t="shared" si="3"/>
        <v>1</v>
      </c>
      <c r="P254" s="117">
        <f t="shared" si="4"/>
        <v>1</v>
      </c>
      <c r="Q254" s="117">
        <f t="shared" si="5"/>
        <v>1</v>
      </c>
    </row>
    <row r="255" ht="14.25" customHeight="1">
      <c r="B255" s="3"/>
      <c r="C255" s="3"/>
      <c r="D255" s="3" t="s">
        <v>553</v>
      </c>
      <c r="E255" s="2" t="s">
        <v>557</v>
      </c>
      <c r="F255" s="124">
        <v>0.26</v>
      </c>
      <c r="G255" s="124">
        <v>10851.0</v>
      </c>
      <c r="H255" s="124">
        <v>0.0</v>
      </c>
      <c r="I255" s="124">
        <v>0.0</v>
      </c>
      <c r="K255" s="115">
        <f t="shared" ref="K255:M255" si="254">$H255*(1+K$4)</f>
        <v>0</v>
      </c>
      <c r="L255" s="115">
        <f t="shared" si="254"/>
        <v>0</v>
      </c>
      <c r="M255" s="115">
        <f t="shared" si="254"/>
        <v>0</v>
      </c>
      <c r="O255" s="117">
        <f t="shared" si="3"/>
        <v>1</v>
      </c>
      <c r="P255" s="117">
        <f t="shared" si="4"/>
        <v>1</v>
      </c>
      <c r="Q255" s="117">
        <f t="shared" si="5"/>
        <v>1</v>
      </c>
    </row>
    <row r="256" ht="14.25" customHeight="1">
      <c r="B256" s="3"/>
      <c r="C256" s="3"/>
      <c r="D256" s="3"/>
      <c r="E256" s="2" t="s">
        <v>559</v>
      </c>
      <c r="F256" s="124">
        <v>0.27</v>
      </c>
      <c r="G256" s="124">
        <v>13549.0</v>
      </c>
      <c r="H256" s="124">
        <v>0.0</v>
      </c>
      <c r="I256" s="124">
        <v>0.0</v>
      </c>
      <c r="K256" s="115">
        <f t="shared" ref="K256:M256" si="255">$H256*(1+K$4)</f>
        <v>0</v>
      </c>
      <c r="L256" s="115">
        <f t="shared" si="255"/>
        <v>0</v>
      </c>
      <c r="M256" s="115">
        <f t="shared" si="255"/>
        <v>0</v>
      </c>
      <c r="O256" s="117">
        <f t="shared" si="3"/>
        <v>1</v>
      </c>
      <c r="P256" s="117">
        <f t="shared" si="4"/>
        <v>1</v>
      </c>
      <c r="Q256" s="117">
        <f t="shared" si="5"/>
        <v>1</v>
      </c>
    </row>
    <row r="257" ht="14.25" customHeight="1">
      <c r="B257" s="3"/>
      <c r="C257" s="3"/>
      <c r="D257" s="3"/>
      <c r="E257" s="2" t="s">
        <v>561</v>
      </c>
      <c r="F257" s="124">
        <v>0.27</v>
      </c>
      <c r="G257" s="124">
        <v>15645.0</v>
      </c>
      <c r="H257" s="124">
        <v>0.0</v>
      </c>
      <c r="I257" s="124">
        <v>0.0</v>
      </c>
      <c r="K257" s="115">
        <f t="shared" ref="K257:M257" si="256">$H257*(1+K$4)</f>
        <v>0</v>
      </c>
      <c r="L257" s="115">
        <f t="shared" si="256"/>
        <v>0</v>
      </c>
      <c r="M257" s="115">
        <f t="shared" si="256"/>
        <v>0</v>
      </c>
      <c r="O257" s="117">
        <f t="shared" si="3"/>
        <v>1</v>
      </c>
      <c r="P257" s="117">
        <f t="shared" si="4"/>
        <v>1</v>
      </c>
      <c r="Q257" s="117">
        <f t="shared" si="5"/>
        <v>1</v>
      </c>
    </row>
    <row r="258" ht="14.25" customHeight="1">
      <c r="B258" s="3"/>
      <c r="C258" s="3"/>
      <c r="D258" s="3" t="s">
        <v>175</v>
      </c>
      <c r="E258" s="2">
        <v>1.566849947902E12</v>
      </c>
      <c r="F258" s="124">
        <v>0.29</v>
      </c>
      <c r="G258" s="124">
        <v>4280.0</v>
      </c>
      <c r="H258" s="124">
        <v>0.0</v>
      </c>
      <c r="I258" s="124">
        <v>0.0</v>
      </c>
      <c r="K258" s="115">
        <f t="shared" ref="K258:M258" si="257">$H258*(1+K$4)</f>
        <v>0</v>
      </c>
      <c r="L258" s="115">
        <f t="shared" si="257"/>
        <v>0</v>
      </c>
      <c r="M258" s="115">
        <f t="shared" si="257"/>
        <v>0</v>
      </c>
      <c r="O258" s="117">
        <f t="shared" si="3"/>
        <v>1</v>
      </c>
      <c r="P258" s="117">
        <f t="shared" si="4"/>
        <v>1</v>
      </c>
      <c r="Q258" s="117">
        <f t="shared" si="5"/>
        <v>1</v>
      </c>
    </row>
    <row r="259" ht="14.25" customHeight="1">
      <c r="B259" s="3"/>
      <c r="C259" s="3"/>
      <c r="D259" s="3"/>
      <c r="E259" s="2">
        <v>1.661873760641E12</v>
      </c>
      <c r="F259" s="124">
        <v>0.39</v>
      </c>
      <c r="G259" s="124">
        <v>5244.0</v>
      </c>
      <c r="H259" s="124">
        <v>0.0</v>
      </c>
      <c r="I259" s="124">
        <v>0.0</v>
      </c>
      <c r="K259" s="115">
        <f t="shared" ref="K259:M259" si="258">$H259*(1+K$4)</f>
        <v>0</v>
      </c>
      <c r="L259" s="115">
        <f t="shared" si="258"/>
        <v>0</v>
      </c>
      <c r="M259" s="115">
        <f t="shared" si="258"/>
        <v>0</v>
      </c>
      <c r="O259" s="117">
        <f t="shared" si="3"/>
        <v>1</v>
      </c>
      <c r="P259" s="117">
        <f t="shared" si="4"/>
        <v>1</v>
      </c>
      <c r="Q259" s="117">
        <f t="shared" si="5"/>
        <v>1</v>
      </c>
    </row>
    <row r="260" ht="14.25" customHeight="1">
      <c r="B260" s="3"/>
      <c r="C260" s="3"/>
      <c r="D260" s="3"/>
      <c r="E260" s="2">
        <v>1.66187377951E12</v>
      </c>
      <c r="F260" s="124">
        <v>0.38</v>
      </c>
      <c r="G260" s="124">
        <v>5144.0</v>
      </c>
      <c r="H260" s="124">
        <v>0.0</v>
      </c>
      <c r="I260" s="124">
        <v>0.0</v>
      </c>
      <c r="K260" s="115">
        <f t="shared" ref="K260:M260" si="259">$H260*(1+K$4)</f>
        <v>0</v>
      </c>
      <c r="L260" s="115">
        <f t="shared" si="259"/>
        <v>0</v>
      </c>
      <c r="M260" s="115">
        <f t="shared" si="259"/>
        <v>0</v>
      </c>
      <c r="O260" s="117">
        <f t="shared" si="3"/>
        <v>1</v>
      </c>
      <c r="P260" s="117">
        <f t="shared" si="4"/>
        <v>1</v>
      </c>
      <c r="Q260" s="117">
        <f t="shared" si="5"/>
        <v>1</v>
      </c>
    </row>
    <row r="261" ht="14.25" customHeight="1">
      <c r="B261" s="3"/>
      <c r="C261" s="3"/>
      <c r="D261" s="3"/>
      <c r="E261" s="2">
        <v>1.661873799978E12</v>
      </c>
      <c r="F261" s="124">
        <v>0.28</v>
      </c>
      <c r="G261" s="124">
        <v>3782.0</v>
      </c>
      <c r="H261" s="124">
        <v>0.0</v>
      </c>
      <c r="I261" s="124">
        <v>0.0</v>
      </c>
      <c r="K261" s="115">
        <f t="shared" ref="K261:M261" si="260">$H261*(1+K$4)</f>
        <v>0</v>
      </c>
      <c r="L261" s="115">
        <f t="shared" si="260"/>
        <v>0</v>
      </c>
      <c r="M261" s="115">
        <f t="shared" si="260"/>
        <v>0</v>
      </c>
      <c r="O261" s="117">
        <f t="shared" si="3"/>
        <v>1</v>
      </c>
      <c r="P261" s="117">
        <f t="shared" si="4"/>
        <v>1</v>
      </c>
      <c r="Q261" s="117">
        <f t="shared" si="5"/>
        <v>1</v>
      </c>
    </row>
    <row r="262" ht="14.25" customHeight="1">
      <c r="B262" s="3"/>
      <c r="C262" s="3"/>
      <c r="D262" s="3"/>
      <c r="E262" s="2">
        <v>1.661873818029E12</v>
      </c>
      <c r="F262" s="124">
        <v>0.29</v>
      </c>
      <c r="G262" s="124">
        <v>3865.0</v>
      </c>
      <c r="H262" s="124">
        <v>0.0</v>
      </c>
      <c r="I262" s="124">
        <v>0.0</v>
      </c>
      <c r="K262" s="115">
        <f t="shared" ref="K262:M262" si="261">$H262*(1+K$4)</f>
        <v>0</v>
      </c>
      <c r="L262" s="115">
        <f t="shared" si="261"/>
        <v>0</v>
      </c>
      <c r="M262" s="115">
        <f t="shared" si="261"/>
        <v>0</v>
      </c>
      <c r="O262" s="117">
        <f t="shared" si="3"/>
        <v>1</v>
      </c>
      <c r="P262" s="117">
        <f t="shared" si="4"/>
        <v>1</v>
      </c>
      <c r="Q262" s="117">
        <f t="shared" si="5"/>
        <v>1</v>
      </c>
    </row>
    <row r="263" ht="14.25" customHeight="1">
      <c r="B263" s="3"/>
      <c r="C263" s="3"/>
      <c r="D263" s="3"/>
      <c r="E263" s="2" t="s">
        <v>564</v>
      </c>
      <c r="F263" s="124">
        <v>0.42</v>
      </c>
      <c r="G263" s="124">
        <v>8184.0</v>
      </c>
      <c r="H263" s="124">
        <v>0.0</v>
      </c>
      <c r="I263" s="124">
        <v>0.0</v>
      </c>
      <c r="K263" s="115">
        <f t="shared" ref="K263:M263" si="262">$H263*(1+K$4)</f>
        <v>0</v>
      </c>
      <c r="L263" s="115">
        <f t="shared" si="262"/>
        <v>0</v>
      </c>
      <c r="M263" s="115">
        <f t="shared" si="262"/>
        <v>0</v>
      </c>
      <c r="O263" s="117">
        <f t="shared" si="3"/>
        <v>1</v>
      </c>
      <c r="P263" s="117">
        <f t="shared" si="4"/>
        <v>1</v>
      </c>
      <c r="Q263" s="117">
        <f t="shared" si="5"/>
        <v>1</v>
      </c>
    </row>
    <row r="264" ht="14.25" customHeight="1">
      <c r="B264" s="3"/>
      <c r="C264" s="3"/>
      <c r="D264" s="3"/>
      <c r="E264" s="2" t="s">
        <v>566</v>
      </c>
      <c r="F264" s="124">
        <v>0.35</v>
      </c>
      <c r="G264" s="124">
        <v>6781.0</v>
      </c>
      <c r="H264" s="124">
        <v>0.0</v>
      </c>
      <c r="I264" s="124">
        <v>0.0</v>
      </c>
      <c r="K264" s="115">
        <f t="shared" ref="K264:M264" si="263">$H264*(1+K$4)</f>
        <v>0</v>
      </c>
      <c r="L264" s="115">
        <f t="shared" si="263"/>
        <v>0</v>
      </c>
      <c r="M264" s="115">
        <f t="shared" si="263"/>
        <v>0</v>
      </c>
      <c r="O264" s="117">
        <f t="shared" si="3"/>
        <v>1</v>
      </c>
      <c r="P264" s="117">
        <f t="shared" si="4"/>
        <v>1</v>
      </c>
      <c r="Q264" s="117">
        <f t="shared" si="5"/>
        <v>1</v>
      </c>
    </row>
    <row r="265" ht="14.25" customHeight="1">
      <c r="B265" s="3"/>
      <c r="C265" s="3"/>
      <c r="D265" s="3"/>
      <c r="E265" s="2" t="s">
        <v>580</v>
      </c>
      <c r="F265" s="124">
        <v>0.44</v>
      </c>
      <c r="G265" s="124">
        <v>8994.0</v>
      </c>
      <c r="H265" s="124">
        <v>0.0</v>
      </c>
      <c r="I265" s="124">
        <v>0.0</v>
      </c>
      <c r="K265" s="115">
        <f t="shared" ref="K265:M265" si="264">$H265*(1+K$4)</f>
        <v>0</v>
      </c>
      <c r="L265" s="115">
        <f t="shared" si="264"/>
        <v>0</v>
      </c>
      <c r="M265" s="115">
        <f t="shared" si="264"/>
        <v>0</v>
      </c>
      <c r="O265" s="117">
        <f t="shared" si="3"/>
        <v>1</v>
      </c>
      <c r="P265" s="117">
        <f t="shared" si="4"/>
        <v>1</v>
      </c>
      <c r="Q265" s="117">
        <f t="shared" si="5"/>
        <v>1</v>
      </c>
    </row>
    <row r="266" ht="14.25" customHeight="1">
      <c r="B266" s="3"/>
      <c r="C266" s="3"/>
      <c r="D266" s="3"/>
      <c r="E266" s="2" t="s">
        <v>582</v>
      </c>
      <c r="F266" s="124">
        <v>0.38</v>
      </c>
      <c r="G266" s="124">
        <v>7739.0</v>
      </c>
      <c r="H266" s="124">
        <v>0.0</v>
      </c>
      <c r="I266" s="124">
        <v>0.0</v>
      </c>
      <c r="K266" s="115">
        <f t="shared" ref="K266:M266" si="265">$H266*(1+K$4)</f>
        <v>0</v>
      </c>
      <c r="L266" s="115">
        <f t="shared" si="265"/>
        <v>0</v>
      </c>
      <c r="M266" s="115">
        <f t="shared" si="265"/>
        <v>0</v>
      </c>
      <c r="O266" s="117">
        <f t="shared" si="3"/>
        <v>1</v>
      </c>
      <c r="P266" s="117">
        <f t="shared" si="4"/>
        <v>1</v>
      </c>
      <c r="Q266" s="117">
        <f t="shared" si="5"/>
        <v>1</v>
      </c>
    </row>
    <row r="267" ht="14.25" customHeight="1">
      <c r="B267" s="3"/>
      <c r="C267" s="3"/>
      <c r="D267" s="3"/>
      <c r="E267" s="2" t="s">
        <v>586</v>
      </c>
      <c r="F267" s="124">
        <v>0.47</v>
      </c>
      <c r="G267" s="124">
        <v>17817.0</v>
      </c>
      <c r="H267" s="124">
        <v>0.0</v>
      </c>
      <c r="I267" s="124">
        <v>0.0</v>
      </c>
      <c r="K267" s="115">
        <f t="shared" ref="K267:M267" si="266">$H267*(1+K$4)</f>
        <v>0</v>
      </c>
      <c r="L267" s="115">
        <f t="shared" si="266"/>
        <v>0</v>
      </c>
      <c r="M267" s="115">
        <f t="shared" si="266"/>
        <v>0</v>
      </c>
      <c r="O267" s="117">
        <f t="shared" si="3"/>
        <v>1</v>
      </c>
      <c r="P267" s="117">
        <f t="shared" si="4"/>
        <v>1</v>
      </c>
      <c r="Q267" s="117">
        <f t="shared" si="5"/>
        <v>1</v>
      </c>
    </row>
    <row r="268" ht="14.25" customHeight="1">
      <c r="B268" s="3" t="s">
        <v>1178</v>
      </c>
      <c r="C268" s="3"/>
      <c r="D268" s="3"/>
      <c r="E268" s="3"/>
      <c r="F268" s="124">
        <v>51.45000000000003</v>
      </c>
      <c r="G268" s="124">
        <v>558681.0</v>
      </c>
      <c r="H268" s="124">
        <v>0.0</v>
      </c>
      <c r="I268" s="124">
        <v>0.0</v>
      </c>
      <c r="K268" s="115">
        <f t="shared" ref="K268:M268" si="267">$H268*(1+K$4)</f>
        <v>0</v>
      </c>
      <c r="L268" s="115">
        <f t="shared" si="267"/>
        <v>0</v>
      </c>
      <c r="M268" s="115">
        <f t="shared" si="267"/>
        <v>0</v>
      </c>
      <c r="O268" s="117">
        <f t="shared" si="3"/>
        <v>1</v>
      </c>
      <c r="P268" s="117">
        <f t="shared" si="4"/>
        <v>1</v>
      </c>
      <c r="Q268" s="117">
        <f t="shared" si="5"/>
        <v>1</v>
      </c>
    </row>
    <row r="269" ht="14.25" customHeight="1">
      <c r="B269" s="3" t="s">
        <v>4</v>
      </c>
      <c r="C269" s="3" t="s">
        <v>1579</v>
      </c>
      <c r="D269" s="3" t="s">
        <v>1580</v>
      </c>
      <c r="E269" s="2" t="s">
        <v>8</v>
      </c>
      <c r="F269" s="124">
        <v>0.0</v>
      </c>
      <c r="G269" s="124">
        <v>0.0</v>
      </c>
      <c r="H269" s="124">
        <v>0.0</v>
      </c>
      <c r="I269" s="124">
        <v>0.0</v>
      </c>
      <c r="K269" s="115">
        <f t="shared" ref="K269:M269" si="268">$H269*(1+K$4)</f>
        <v>0</v>
      </c>
      <c r="L269" s="115">
        <f t="shared" si="268"/>
        <v>0</v>
      </c>
      <c r="M269" s="115">
        <f t="shared" si="268"/>
        <v>0</v>
      </c>
      <c r="O269" s="117" t="str">
        <f t="shared" si="3"/>
        <v>#DIV/0!</v>
      </c>
      <c r="P269" s="117" t="str">
        <f t="shared" si="4"/>
        <v>#DIV/0!</v>
      </c>
      <c r="Q269" s="117" t="str">
        <f t="shared" si="5"/>
        <v>#DIV/0!</v>
      </c>
    </row>
    <row r="270" ht="14.25" customHeight="1">
      <c r="B270" s="3" t="s">
        <v>5707</v>
      </c>
      <c r="C270" s="3"/>
      <c r="D270" s="3"/>
      <c r="E270" s="3"/>
      <c r="F270" s="124">
        <v>0.0</v>
      </c>
      <c r="G270" s="124">
        <v>0.0</v>
      </c>
      <c r="H270" s="124">
        <v>0.0</v>
      </c>
      <c r="I270" s="124">
        <v>0.0</v>
      </c>
      <c r="K270" s="115">
        <f t="shared" ref="K270:M270" si="269">$H270*(1+K$4)</f>
        <v>0</v>
      </c>
      <c r="L270" s="115">
        <f t="shared" si="269"/>
        <v>0</v>
      </c>
      <c r="M270" s="115">
        <f t="shared" si="269"/>
        <v>0</v>
      </c>
      <c r="O270" s="117" t="str">
        <f t="shared" si="3"/>
        <v>#DIV/0!</v>
      </c>
      <c r="P270" s="117" t="str">
        <f t="shared" si="4"/>
        <v>#DIV/0!</v>
      </c>
      <c r="Q270" s="117" t="str">
        <f t="shared" si="5"/>
        <v>#DIV/0!</v>
      </c>
    </row>
    <row r="271" ht="14.25" customHeight="1">
      <c r="B271" s="3" t="s">
        <v>5708</v>
      </c>
      <c r="C271" s="3"/>
      <c r="D271" s="3"/>
      <c r="E271" s="3"/>
      <c r="F271" s="124">
        <v>100.51000000000002</v>
      </c>
      <c r="G271" s="124">
        <v>6154656.0</v>
      </c>
      <c r="H271" s="124">
        <v>0.0</v>
      </c>
      <c r="I271" s="124">
        <v>0.0</v>
      </c>
      <c r="K271" s="115">
        <f t="shared" ref="K271:M271" si="270">$H271*(1+K$4)</f>
        <v>0</v>
      </c>
      <c r="L271" s="115">
        <f t="shared" si="270"/>
        <v>0</v>
      </c>
      <c r="M271" s="115">
        <f t="shared" si="270"/>
        <v>0</v>
      </c>
      <c r="O271" s="117">
        <f t="shared" si="3"/>
        <v>1</v>
      </c>
      <c r="P271" s="117">
        <f t="shared" si="4"/>
        <v>1</v>
      </c>
      <c r="Q271" s="117">
        <f t="shared" si="5"/>
        <v>1</v>
      </c>
    </row>
    <row r="272" ht="14.25" customHeight="1">
      <c r="F272" s="124"/>
      <c r="G272" s="124"/>
      <c r="H272" s="124"/>
      <c r="I272" s="124"/>
      <c r="K272" s="115">
        <f t="shared" ref="K272:M272" si="271">$H272*(1+K$4)</f>
        <v>0</v>
      </c>
      <c r="L272" s="115">
        <f t="shared" si="271"/>
        <v>0</v>
      </c>
      <c r="M272" s="115">
        <f t="shared" si="271"/>
        <v>0</v>
      </c>
      <c r="O272" s="117" t="str">
        <f t="shared" si="3"/>
        <v>#DIV/0!</v>
      </c>
      <c r="P272" s="117" t="str">
        <f t="shared" si="4"/>
        <v>#DIV/0!</v>
      </c>
      <c r="Q272" s="117" t="str">
        <f t="shared" si="5"/>
        <v>#DIV/0!</v>
      </c>
    </row>
    <row r="273" ht="14.25" customHeight="1">
      <c r="F273" s="124"/>
      <c r="G273" s="124"/>
      <c r="H273" s="124"/>
      <c r="I273" s="124"/>
      <c r="K273" s="115">
        <f t="shared" ref="K273:M273" si="272">$H273*(1+K$4)</f>
        <v>0</v>
      </c>
      <c r="L273" s="115">
        <f t="shared" si="272"/>
        <v>0</v>
      </c>
      <c r="M273" s="115">
        <f t="shared" si="272"/>
        <v>0</v>
      </c>
      <c r="O273" s="117" t="str">
        <f t="shared" si="3"/>
        <v>#DIV/0!</v>
      </c>
      <c r="P273" s="117" t="str">
        <f t="shared" si="4"/>
        <v>#DIV/0!</v>
      </c>
      <c r="Q273" s="117" t="str">
        <f t="shared" si="5"/>
        <v>#DIV/0!</v>
      </c>
    </row>
    <row r="274" ht="14.25" customHeight="1">
      <c r="F274" s="124"/>
      <c r="G274" s="124"/>
      <c r="H274" s="124"/>
      <c r="I274" s="124"/>
      <c r="K274" s="115">
        <f t="shared" ref="K274:M274" si="273">$H274*(1+K$4)</f>
        <v>0</v>
      </c>
      <c r="L274" s="115">
        <f t="shared" si="273"/>
        <v>0</v>
      </c>
      <c r="M274" s="115">
        <f t="shared" si="273"/>
        <v>0</v>
      </c>
      <c r="O274" s="117" t="str">
        <f t="shared" si="3"/>
        <v>#DIV/0!</v>
      </c>
      <c r="P274" s="117" t="str">
        <f t="shared" si="4"/>
        <v>#DIV/0!</v>
      </c>
      <c r="Q274" s="117" t="str">
        <f t="shared" si="5"/>
        <v>#DIV/0!</v>
      </c>
    </row>
    <row r="275" ht="14.25" customHeight="1">
      <c r="F275" s="124"/>
      <c r="G275" s="124"/>
      <c r="H275" s="124"/>
      <c r="I275" s="124"/>
      <c r="K275" s="115">
        <f t="shared" ref="K275:M275" si="274">$H275*(1+K$4)</f>
        <v>0</v>
      </c>
      <c r="L275" s="115">
        <f t="shared" si="274"/>
        <v>0</v>
      </c>
      <c r="M275" s="115">
        <f t="shared" si="274"/>
        <v>0</v>
      </c>
      <c r="O275" s="117" t="str">
        <f t="shared" si="3"/>
        <v>#DIV/0!</v>
      </c>
      <c r="P275" s="117" t="str">
        <f t="shared" si="4"/>
        <v>#DIV/0!</v>
      </c>
      <c r="Q275" s="117" t="str">
        <f t="shared" si="5"/>
        <v>#DIV/0!</v>
      </c>
    </row>
    <row r="276" ht="14.25" customHeight="1">
      <c r="F276" s="124"/>
      <c r="G276" s="124"/>
      <c r="H276" s="124"/>
      <c r="I276" s="124"/>
    </row>
    <row r="277" ht="14.25" customHeight="1">
      <c r="F277" s="124"/>
      <c r="G277" s="124"/>
      <c r="H277" s="124"/>
      <c r="I277" s="124"/>
    </row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K3:M3"/>
    <mergeCell ref="O3:Q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0"/>
    <col customWidth="1" min="3" max="3" width="16.5"/>
    <col customWidth="1" min="5" max="5" width="33.88"/>
  </cols>
  <sheetData>
    <row r="1">
      <c r="A1" s="37"/>
      <c r="B1" s="37"/>
      <c r="C1" s="37"/>
      <c r="D1" s="125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</row>
    <row r="2">
      <c r="A2" s="37"/>
      <c r="B2" s="37"/>
      <c r="C2" s="37"/>
      <c r="D2" s="37"/>
      <c r="E2" s="16"/>
      <c r="F2" s="126" t="s">
        <v>1571</v>
      </c>
      <c r="G2" s="73"/>
      <c r="H2" s="126" t="s">
        <v>1572</v>
      </c>
      <c r="I2" s="59"/>
      <c r="J2" s="57"/>
      <c r="K2" s="126" t="s">
        <v>1571</v>
      </c>
      <c r="L2" s="59"/>
      <c r="M2" s="127"/>
      <c r="N2" s="127"/>
      <c r="O2" s="127"/>
      <c r="P2" s="128"/>
      <c r="Q2" s="37"/>
      <c r="R2" s="37"/>
      <c r="S2" s="37"/>
      <c r="T2" s="37"/>
      <c r="U2" s="37"/>
    </row>
    <row r="3">
      <c r="A3" s="37"/>
      <c r="B3" s="37"/>
      <c r="C3" s="37"/>
      <c r="D3" s="37"/>
      <c r="E3" s="16"/>
      <c r="F3" s="75" t="s">
        <v>1573</v>
      </c>
      <c r="G3" s="129" t="s">
        <v>1574</v>
      </c>
      <c r="H3" s="127" t="s">
        <v>1573</v>
      </c>
      <c r="I3" s="127"/>
      <c r="J3" s="73"/>
      <c r="K3" s="130" t="s">
        <v>1575</v>
      </c>
      <c r="L3" s="129"/>
      <c r="M3" s="126" t="s">
        <v>1576</v>
      </c>
      <c r="N3" s="57"/>
      <c r="O3" s="130" t="s">
        <v>1577</v>
      </c>
      <c r="P3" s="129"/>
      <c r="Q3" s="16" t="s">
        <v>1578</v>
      </c>
      <c r="R3" s="37"/>
      <c r="S3" s="37"/>
      <c r="T3" s="37"/>
      <c r="U3" s="37"/>
    </row>
    <row r="4">
      <c r="A4" s="65" t="s">
        <v>5709</v>
      </c>
      <c r="B4" s="65" t="s">
        <v>4</v>
      </c>
      <c r="C4" s="65" t="s">
        <v>8</v>
      </c>
      <c r="D4" s="65" t="s">
        <v>1579</v>
      </c>
      <c r="E4" s="67" t="s">
        <v>1580</v>
      </c>
      <c r="F4" s="75" t="s">
        <v>1581</v>
      </c>
      <c r="G4" s="130" t="s">
        <v>7</v>
      </c>
      <c r="H4" s="65" t="s">
        <v>12</v>
      </c>
      <c r="I4" s="75" t="s">
        <v>1582</v>
      </c>
      <c r="J4" s="75" t="s">
        <v>1583</v>
      </c>
      <c r="K4" s="131" t="s">
        <v>1584</v>
      </c>
      <c r="L4" s="132" t="s">
        <v>1585</v>
      </c>
      <c r="M4" s="130" t="s">
        <v>1586</v>
      </c>
      <c r="N4" s="129" t="s">
        <v>11</v>
      </c>
      <c r="O4" s="129" t="s">
        <v>1587</v>
      </c>
      <c r="P4" s="129" t="s">
        <v>1588</v>
      </c>
      <c r="Q4" s="75" t="s">
        <v>9</v>
      </c>
      <c r="R4" s="76" t="s">
        <v>1589</v>
      </c>
      <c r="S4" s="76" t="s">
        <v>1590</v>
      </c>
      <c r="T4" s="43" t="s">
        <v>5710</v>
      </c>
      <c r="U4" s="44" t="s">
        <v>5711</v>
      </c>
    </row>
    <row r="5">
      <c r="A5" s="76" t="s">
        <v>5712</v>
      </c>
      <c r="B5" s="16" t="s">
        <v>5713</v>
      </c>
      <c r="C5" s="89">
        <v>209063.0</v>
      </c>
      <c r="D5" s="16" t="s">
        <v>5714</v>
      </c>
      <c r="E5" s="16" t="s">
        <v>5714</v>
      </c>
      <c r="F5" s="16" t="s">
        <v>5715</v>
      </c>
      <c r="G5" s="22" t="s">
        <v>5715</v>
      </c>
      <c r="H5" s="22">
        <v>18761.0</v>
      </c>
      <c r="I5" s="84">
        <v>0.36</v>
      </c>
      <c r="J5" s="96">
        <v>10644.0</v>
      </c>
      <c r="K5" s="22">
        <v>69990.0</v>
      </c>
      <c r="L5" s="22">
        <v>49990.0</v>
      </c>
      <c r="M5" s="96">
        <v>41171.0</v>
      </c>
      <c r="N5" s="96">
        <v>29406.0</v>
      </c>
      <c r="O5" s="84">
        <v>0.3</v>
      </c>
      <c r="P5" s="84">
        <v>0.3</v>
      </c>
      <c r="Q5" s="133" t="s">
        <v>20</v>
      </c>
      <c r="R5" s="84">
        <v>0.55</v>
      </c>
      <c r="S5" s="84">
        <v>0.32</v>
      </c>
      <c r="T5" s="37"/>
      <c r="U5" s="37"/>
    </row>
    <row r="6">
      <c r="A6" s="76" t="s">
        <v>5712</v>
      </c>
      <c r="B6" s="16" t="s">
        <v>5713</v>
      </c>
      <c r="C6" s="16" t="s">
        <v>5716</v>
      </c>
      <c r="D6" s="16" t="s">
        <v>5714</v>
      </c>
      <c r="E6" s="16" t="s">
        <v>5714</v>
      </c>
      <c r="F6" s="16" t="s">
        <v>5717</v>
      </c>
      <c r="G6" s="22" t="s">
        <v>5717</v>
      </c>
      <c r="H6" s="22">
        <v>27796.0</v>
      </c>
      <c r="I6" s="84">
        <v>0.37</v>
      </c>
      <c r="J6" s="96">
        <v>16316.0</v>
      </c>
      <c r="K6" s="22">
        <v>89990.0</v>
      </c>
      <c r="L6" s="22">
        <v>74990.0</v>
      </c>
      <c r="M6" s="96">
        <v>52935.0</v>
      </c>
      <c r="N6" s="96">
        <v>44112.0</v>
      </c>
      <c r="O6" s="84">
        <v>0.3</v>
      </c>
      <c r="P6" s="84">
        <v>0.3</v>
      </c>
      <c r="Q6" s="133" t="s">
        <v>20</v>
      </c>
      <c r="R6" s="84">
        <v>0.56</v>
      </c>
      <c r="S6" s="84">
        <v>0.33</v>
      </c>
      <c r="T6" s="37"/>
      <c r="U6" s="37"/>
    </row>
    <row r="7">
      <c r="A7" s="76" t="s">
        <v>5712</v>
      </c>
      <c r="B7" s="16" t="s">
        <v>5713</v>
      </c>
      <c r="C7" s="89">
        <v>201982.0</v>
      </c>
      <c r="D7" s="16" t="s">
        <v>5714</v>
      </c>
      <c r="E7" s="16" t="s">
        <v>5714</v>
      </c>
      <c r="F7" s="16" t="s">
        <v>5718</v>
      </c>
      <c r="G7" s="22" t="s">
        <v>5718</v>
      </c>
      <c r="H7" s="22">
        <v>20840.0</v>
      </c>
      <c r="I7" s="84">
        <v>0.36</v>
      </c>
      <c r="J7" s="96">
        <v>11507.0</v>
      </c>
      <c r="K7" s="22">
        <v>69990.0</v>
      </c>
      <c r="L7" s="22">
        <v>54990.0</v>
      </c>
      <c r="M7" s="96">
        <v>41171.0</v>
      </c>
      <c r="N7" s="96">
        <v>32347.0</v>
      </c>
      <c r="O7" s="84">
        <v>0.3</v>
      </c>
      <c r="P7" s="84">
        <v>0.3</v>
      </c>
      <c r="Q7" s="133" t="s">
        <v>20</v>
      </c>
      <c r="R7" s="84">
        <v>0.55</v>
      </c>
      <c r="S7" s="84">
        <v>0.32</v>
      </c>
      <c r="T7" s="37"/>
      <c r="U7" s="37"/>
    </row>
    <row r="8">
      <c r="A8" s="76" t="s">
        <v>5712</v>
      </c>
      <c r="B8" s="16" t="s">
        <v>5713</v>
      </c>
      <c r="C8" s="89">
        <v>202016.0</v>
      </c>
      <c r="D8" s="16" t="s">
        <v>5714</v>
      </c>
      <c r="E8" s="16" t="s">
        <v>5714</v>
      </c>
      <c r="F8" s="16" t="s">
        <v>5719</v>
      </c>
      <c r="G8" s="22" t="s">
        <v>5719</v>
      </c>
      <c r="H8" s="22">
        <v>27796.0</v>
      </c>
      <c r="I8" s="84">
        <v>0.37</v>
      </c>
      <c r="J8" s="96">
        <v>16316.0</v>
      </c>
      <c r="K8" s="22">
        <v>99990.0</v>
      </c>
      <c r="L8" s="22">
        <v>74990.0</v>
      </c>
      <c r="M8" s="96">
        <v>58818.0</v>
      </c>
      <c r="N8" s="96">
        <v>44112.0</v>
      </c>
      <c r="O8" s="84">
        <v>0.3</v>
      </c>
      <c r="P8" s="84">
        <v>0.3</v>
      </c>
      <c r="Q8" s="133" t="s">
        <v>20</v>
      </c>
      <c r="R8" s="84">
        <v>0.56</v>
      </c>
      <c r="S8" s="84">
        <v>0.33</v>
      </c>
      <c r="T8" s="37"/>
      <c r="U8" s="37"/>
    </row>
    <row r="9">
      <c r="A9" s="76" t="s">
        <v>5712</v>
      </c>
      <c r="B9" s="16" t="s">
        <v>5713</v>
      </c>
      <c r="C9" s="89">
        <v>202017.0</v>
      </c>
      <c r="D9" s="16" t="s">
        <v>5714</v>
      </c>
      <c r="E9" s="16" t="s">
        <v>5714</v>
      </c>
      <c r="F9" s="16" t="s">
        <v>5720</v>
      </c>
      <c r="G9" s="22" t="s">
        <v>5720</v>
      </c>
      <c r="H9" s="22">
        <v>48623.0</v>
      </c>
      <c r="I9" s="84">
        <v>0.36</v>
      </c>
      <c r="J9" s="96">
        <v>27841.0</v>
      </c>
      <c r="K9" s="22">
        <v>149990.0</v>
      </c>
      <c r="L9" s="22">
        <v>129990.0</v>
      </c>
      <c r="M9" s="96">
        <v>88229.0</v>
      </c>
      <c r="N9" s="96">
        <v>76465.0</v>
      </c>
      <c r="O9" s="84">
        <v>0.3</v>
      </c>
      <c r="P9" s="84">
        <v>0.3</v>
      </c>
      <c r="Q9" s="133" t="s">
        <v>20</v>
      </c>
      <c r="R9" s="84">
        <v>0.55</v>
      </c>
      <c r="S9" s="84">
        <v>0.32</v>
      </c>
      <c r="T9" s="90"/>
      <c r="U9" s="90"/>
    </row>
    <row r="10">
      <c r="A10" s="76" t="s">
        <v>5712</v>
      </c>
      <c r="B10" s="16" t="s">
        <v>5713</v>
      </c>
      <c r="C10" s="89">
        <v>184924.0</v>
      </c>
      <c r="D10" s="16" t="s">
        <v>5721</v>
      </c>
      <c r="E10" s="16" t="s">
        <v>5721</v>
      </c>
      <c r="F10" s="16" t="s">
        <v>5722</v>
      </c>
      <c r="G10" s="22" t="s">
        <v>5722</v>
      </c>
      <c r="H10" s="22">
        <v>126000.0</v>
      </c>
      <c r="I10" s="84">
        <v>0.33</v>
      </c>
      <c r="J10" s="96">
        <v>62229.0</v>
      </c>
      <c r="K10" s="22">
        <v>349990.0</v>
      </c>
      <c r="L10" s="22">
        <v>319990.0</v>
      </c>
      <c r="M10" s="96">
        <v>205876.0</v>
      </c>
      <c r="N10" s="96">
        <v>188229.0</v>
      </c>
      <c r="O10" s="84">
        <v>0.3</v>
      </c>
      <c r="P10" s="84">
        <v>0.3</v>
      </c>
      <c r="Q10" s="133" t="s">
        <v>20</v>
      </c>
      <c r="R10" s="84">
        <v>0.53</v>
      </c>
      <c r="S10" s="84">
        <v>0.3</v>
      </c>
      <c r="T10" s="37"/>
      <c r="U10" s="37"/>
    </row>
    <row r="11">
      <c r="A11" s="76" t="s">
        <v>5712</v>
      </c>
      <c r="B11" s="16" t="s">
        <v>5713</v>
      </c>
      <c r="C11" s="89">
        <v>179010.0</v>
      </c>
      <c r="D11" s="16" t="s">
        <v>5721</v>
      </c>
      <c r="E11" s="16" t="s">
        <v>5721</v>
      </c>
      <c r="F11" s="16" t="s">
        <v>5723</v>
      </c>
      <c r="G11" s="22" t="s">
        <v>5723</v>
      </c>
      <c r="H11" s="22">
        <v>103950.0</v>
      </c>
      <c r="I11" s="84">
        <v>0.35</v>
      </c>
      <c r="J11" s="96">
        <v>54868.0</v>
      </c>
      <c r="K11" s="22">
        <v>299990.0</v>
      </c>
      <c r="L11" s="22">
        <v>269990.0</v>
      </c>
      <c r="M11" s="96">
        <v>176465.0</v>
      </c>
      <c r="N11" s="96">
        <v>158818.0</v>
      </c>
      <c r="O11" s="84">
        <v>0.3</v>
      </c>
      <c r="P11" s="84">
        <v>0.3</v>
      </c>
      <c r="Q11" s="133" t="s">
        <v>20</v>
      </c>
      <c r="R11" s="84">
        <v>0.54</v>
      </c>
      <c r="S11" s="84">
        <v>0.31</v>
      </c>
      <c r="T11" s="37"/>
      <c r="U11" s="37"/>
    </row>
    <row r="12">
      <c r="A12" s="76" t="s">
        <v>5712</v>
      </c>
      <c r="B12" s="16" t="s">
        <v>5713</v>
      </c>
      <c r="C12" s="89">
        <v>192954.0</v>
      </c>
      <c r="D12" s="16" t="s">
        <v>5721</v>
      </c>
      <c r="E12" s="16" t="s">
        <v>5721</v>
      </c>
      <c r="F12" s="16" t="s">
        <v>5724</v>
      </c>
      <c r="G12" s="22" t="s">
        <v>5724</v>
      </c>
      <c r="H12" s="22">
        <v>103950.0</v>
      </c>
      <c r="I12" s="84">
        <v>0.35</v>
      </c>
      <c r="J12" s="96">
        <v>54868.0</v>
      </c>
      <c r="K12" s="22">
        <v>299990.0</v>
      </c>
      <c r="L12" s="22">
        <v>269990.0</v>
      </c>
      <c r="M12" s="96">
        <v>176465.0</v>
      </c>
      <c r="N12" s="96">
        <v>158818.0</v>
      </c>
      <c r="O12" s="84">
        <v>0.3</v>
      </c>
      <c r="P12" s="84">
        <v>0.3</v>
      </c>
      <c r="Q12" s="133" t="s">
        <v>20</v>
      </c>
      <c r="R12" s="84">
        <v>0.54</v>
      </c>
      <c r="S12" s="84">
        <v>0.31</v>
      </c>
      <c r="T12" s="37"/>
      <c r="U12" s="37"/>
    </row>
    <row r="13">
      <c r="A13" s="76" t="s">
        <v>5712</v>
      </c>
      <c r="B13" s="16" t="s">
        <v>5713</v>
      </c>
      <c r="C13" s="89">
        <v>197700.0</v>
      </c>
      <c r="D13" s="16" t="s">
        <v>5721</v>
      </c>
      <c r="E13" s="16" t="s">
        <v>5721</v>
      </c>
      <c r="F13" s="16" t="s">
        <v>5725</v>
      </c>
      <c r="G13" s="22" t="s">
        <v>5725</v>
      </c>
      <c r="H13" s="22">
        <v>55440.0</v>
      </c>
      <c r="I13" s="84">
        <v>0.37</v>
      </c>
      <c r="J13" s="96">
        <v>32789.0</v>
      </c>
      <c r="K13" s="22">
        <v>149990.0</v>
      </c>
      <c r="L13" s="22">
        <v>149990.0</v>
      </c>
      <c r="M13" s="96">
        <v>88229.0</v>
      </c>
      <c r="N13" s="96">
        <v>88229.0</v>
      </c>
      <c r="O13" s="84">
        <v>0.3</v>
      </c>
      <c r="P13" s="84">
        <v>0.3</v>
      </c>
      <c r="Q13" s="133" t="s">
        <v>20</v>
      </c>
      <c r="R13" s="84">
        <v>0.56</v>
      </c>
      <c r="S13" s="84">
        <v>0.33</v>
      </c>
      <c r="T13" s="90"/>
      <c r="U13" s="90"/>
    </row>
    <row r="14">
      <c r="A14" s="76" t="s">
        <v>5712</v>
      </c>
      <c r="B14" s="16" t="s">
        <v>5713</v>
      </c>
      <c r="C14" s="89">
        <v>179012.0</v>
      </c>
      <c r="D14" s="16" t="s">
        <v>5721</v>
      </c>
      <c r="E14" s="16" t="s">
        <v>5721</v>
      </c>
      <c r="F14" s="16" t="s">
        <v>5726</v>
      </c>
      <c r="G14" s="22" t="s">
        <v>5726</v>
      </c>
      <c r="H14" s="22">
        <v>63000.0</v>
      </c>
      <c r="I14" s="84">
        <v>0.33</v>
      </c>
      <c r="J14" s="96">
        <v>31112.0</v>
      </c>
      <c r="K14" s="22">
        <v>149990.0</v>
      </c>
      <c r="L14" s="22">
        <v>159990.0</v>
      </c>
      <c r="M14" s="96">
        <v>88229.0</v>
      </c>
      <c r="N14" s="96">
        <v>94112.0</v>
      </c>
      <c r="O14" s="84">
        <v>0.3</v>
      </c>
      <c r="P14" s="84">
        <v>0.3</v>
      </c>
      <c r="Q14" s="133" t="s">
        <v>20</v>
      </c>
      <c r="R14" s="84">
        <v>0.53</v>
      </c>
      <c r="S14" s="84">
        <v>0.3</v>
      </c>
      <c r="T14" s="37"/>
      <c r="U14" s="37"/>
    </row>
    <row r="15">
      <c r="A15" s="76" t="s">
        <v>5712</v>
      </c>
      <c r="B15" s="16" t="s">
        <v>5713</v>
      </c>
      <c r="C15" s="16" t="s">
        <v>5727</v>
      </c>
      <c r="D15" s="16" t="s">
        <v>5721</v>
      </c>
      <c r="E15" s="16" t="s">
        <v>5721</v>
      </c>
      <c r="F15" s="16" t="s">
        <v>5728</v>
      </c>
      <c r="G15" s="22" t="s">
        <v>5728</v>
      </c>
      <c r="H15" s="22">
        <v>63000.0</v>
      </c>
      <c r="I15" s="84">
        <v>0.33</v>
      </c>
      <c r="J15" s="96">
        <v>31112.0</v>
      </c>
      <c r="K15" s="22">
        <v>149990.0</v>
      </c>
      <c r="L15" s="22">
        <v>159990.0</v>
      </c>
      <c r="M15" s="96">
        <v>88229.0</v>
      </c>
      <c r="N15" s="96">
        <v>94112.0</v>
      </c>
      <c r="O15" s="84">
        <v>0.3</v>
      </c>
      <c r="P15" s="84">
        <v>0.3</v>
      </c>
      <c r="Q15" s="133" t="s">
        <v>20</v>
      </c>
      <c r="R15" s="84">
        <v>0.53</v>
      </c>
      <c r="S15" s="84">
        <v>0.3</v>
      </c>
      <c r="T15" s="37"/>
      <c r="U15" s="37"/>
    </row>
    <row r="16">
      <c r="A16" s="76" t="s">
        <v>5712</v>
      </c>
      <c r="B16" s="16" t="s">
        <v>5713</v>
      </c>
      <c r="C16" s="89">
        <v>197703.0</v>
      </c>
      <c r="D16" s="16" t="s">
        <v>5721</v>
      </c>
      <c r="E16" s="16" t="s">
        <v>5721</v>
      </c>
      <c r="F16" s="16" t="s">
        <v>5729</v>
      </c>
      <c r="G16" s="22" t="s">
        <v>5729</v>
      </c>
      <c r="H16" s="22">
        <v>207900.0</v>
      </c>
      <c r="I16" s="84">
        <v>0.29</v>
      </c>
      <c r="J16" s="96">
        <v>86212.0</v>
      </c>
      <c r="K16" s="22">
        <v>699990.0</v>
      </c>
      <c r="L16" s="22">
        <v>499990.0</v>
      </c>
      <c r="M16" s="96">
        <v>411759.0</v>
      </c>
      <c r="N16" s="96">
        <v>294112.0</v>
      </c>
      <c r="O16" s="84">
        <v>0.3</v>
      </c>
      <c r="P16" s="84">
        <v>0.3</v>
      </c>
      <c r="Q16" s="133" t="s">
        <v>20</v>
      </c>
      <c r="R16" s="84">
        <v>0.51</v>
      </c>
      <c r="S16" s="84">
        <v>0.28</v>
      </c>
      <c r="T16" s="37"/>
      <c r="U16" s="37"/>
    </row>
    <row r="17">
      <c r="A17" s="76" t="s">
        <v>5712</v>
      </c>
      <c r="B17" s="16" t="s">
        <v>5713</v>
      </c>
      <c r="C17" s="89">
        <v>179098.0</v>
      </c>
      <c r="D17" s="16" t="s">
        <v>5721</v>
      </c>
      <c r="E17" s="16" t="s">
        <v>5721</v>
      </c>
      <c r="F17" s="16" t="s">
        <v>5730</v>
      </c>
      <c r="G17" s="22" t="s">
        <v>5730</v>
      </c>
      <c r="H17" s="22">
        <v>441000.0</v>
      </c>
      <c r="I17" s="84">
        <v>0.25</v>
      </c>
      <c r="J17" s="96">
        <v>147229.0</v>
      </c>
      <c r="K17" s="22">
        <v>1299990.0</v>
      </c>
      <c r="L17" s="22">
        <v>999990.0</v>
      </c>
      <c r="M17" s="96">
        <v>764700.0</v>
      </c>
      <c r="N17" s="96">
        <v>588229.0</v>
      </c>
      <c r="O17" s="84">
        <v>0.3</v>
      </c>
      <c r="P17" s="84">
        <v>0.3</v>
      </c>
      <c r="Q17" s="133" t="s">
        <v>20</v>
      </c>
      <c r="R17" s="84">
        <v>0.48</v>
      </c>
      <c r="S17" s="84">
        <v>0.25</v>
      </c>
      <c r="T17" s="37"/>
      <c r="U17" s="37"/>
    </row>
    <row r="18">
      <c r="A18" s="76" t="s">
        <v>5712</v>
      </c>
      <c r="B18" s="16" t="s">
        <v>5713</v>
      </c>
      <c r="C18" s="89">
        <v>123174.0</v>
      </c>
      <c r="D18" s="16" t="s">
        <v>5721</v>
      </c>
      <c r="E18" s="16" t="s">
        <v>5721</v>
      </c>
      <c r="F18" s="16" t="s">
        <v>5731</v>
      </c>
      <c r="G18" s="22" t="s">
        <v>5731</v>
      </c>
      <c r="H18" s="22">
        <v>27796.0</v>
      </c>
      <c r="I18" s="84">
        <v>0.32</v>
      </c>
      <c r="J18" s="96">
        <v>13375.0</v>
      </c>
      <c r="K18" s="22">
        <v>99990.0</v>
      </c>
      <c r="L18" s="22">
        <v>69990.0</v>
      </c>
      <c r="M18" s="96">
        <v>58818.0</v>
      </c>
      <c r="N18" s="96">
        <v>41171.0</v>
      </c>
      <c r="O18" s="84">
        <v>0.3</v>
      </c>
      <c r="P18" s="84">
        <v>0.3</v>
      </c>
      <c r="Q18" s="133" t="s">
        <v>20</v>
      </c>
      <c r="R18" s="84">
        <v>0.53</v>
      </c>
      <c r="S18" s="84">
        <v>0.3</v>
      </c>
      <c r="T18" s="37"/>
      <c r="U18" s="37"/>
    </row>
    <row r="19">
      <c r="A19" s="76" t="s">
        <v>5712</v>
      </c>
      <c r="B19" s="16" t="s">
        <v>5713</v>
      </c>
      <c r="C19" s="89">
        <v>190675.0</v>
      </c>
      <c r="D19" s="16" t="s">
        <v>5721</v>
      </c>
      <c r="E19" s="16" t="s">
        <v>5721</v>
      </c>
      <c r="F19" s="16" t="s">
        <v>5732</v>
      </c>
      <c r="G19" s="22" t="s">
        <v>5732</v>
      </c>
      <c r="H19" s="22">
        <v>65986.0</v>
      </c>
      <c r="I19" s="84">
        <v>0.34</v>
      </c>
      <c r="J19" s="96">
        <v>34008.0</v>
      </c>
      <c r="K19" s="22">
        <v>199990.0</v>
      </c>
      <c r="L19" s="22">
        <v>169990.0</v>
      </c>
      <c r="M19" s="96">
        <v>117641.0</v>
      </c>
      <c r="N19" s="96">
        <v>99994.0</v>
      </c>
      <c r="O19" s="84">
        <v>0.3</v>
      </c>
      <c r="P19" s="84">
        <v>0.3</v>
      </c>
      <c r="Q19" s="133" t="s">
        <v>20</v>
      </c>
      <c r="R19" s="84">
        <v>0.54</v>
      </c>
      <c r="S19" s="84">
        <v>0.31</v>
      </c>
      <c r="T19" s="37"/>
      <c r="U19" s="37"/>
    </row>
    <row r="20">
      <c r="A20" s="76" t="s">
        <v>5712</v>
      </c>
      <c r="B20" s="16" t="s">
        <v>5713</v>
      </c>
      <c r="C20" s="89">
        <v>182433.0</v>
      </c>
      <c r="D20" s="16" t="s">
        <v>5721</v>
      </c>
      <c r="E20" s="16" t="s">
        <v>5721</v>
      </c>
      <c r="F20" s="16" t="s">
        <v>5733</v>
      </c>
      <c r="G20" s="22" t="s">
        <v>5733</v>
      </c>
      <c r="H20" s="22">
        <v>48623.0</v>
      </c>
      <c r="I20" s="84">
        <v>0.36</v>
      </c>
      <c r="J20" s="96">
        <v>27841.0</v>
      </c>
      <c r="K20" s="22">
        <v>149990.0</v>
      </c>
      <c r="L20" s="22">
        <v>129990.0</v>
      </c>
      <c r="M20" s="96">
        <v>88229.0</v>
      </c>
      <c r="N20" s="96">
        <v>76465.0</v>
      </c>
      <c r="O20" s="84">
        <v>0.3</v>
      </c>
      <c r="P20" s="84">
        <v>0.3</v>
      </c>
      <c r="Q20" s="133" t="s">
        <v>20</v>
      </c>
      <c r="R20" s="84">
        <v>0.55</v>
      </c>
      <c r="S20" s="84">
        <v>0.32</v>
      </c>
      <c r="T20" s="37"/>
      <c r="U20" s="37"/>
    </row>
    <row r="21">
      <c r="A21" s="76" t="s">
        <v>5712</v>
      </c>
      <c r="B21" s="16" t="s">
        <v>5713</v>
      </c>
      <c r="C21" s="16" t="s">
        <v>5734</v>
      </c>
      <c r="D21" s="16" t="s">
        <v>5735</v>
      </c>
      <c r="E21" s="16" t="s">
        <v>5735</v>
      </c>
      <c r="F21" s="16" t="s">
        <v>5736</v>
      </c>
      <c r="G21" s="22" t="s">
        <v>5736</v>
      </c>
      <c r="H21" s="22">
        <v>9034.0</v>
      </c>
      <c r="I21" s="84">
        <v>0.39</v>
      </c>
      <c r="J21" s="96">
        <v>5666.0</v>
      </c>
      <c r="K21" s="22">
        <v>29990.0</v>
      </c>
      <c r="L21" s="22">
        <v>24990.0</v>
      </c>
      <c r="M21" s="96">
        <v>17641.0</v>
      </c>
      <c r="N21" s="96">
        <v>14700.0</v>
      </c>
      <c r="O21" s="84">
        <v>0.3</v>
      </c>
      <c r="P21" s="84">
        <v>0.3</v>
      </c>
      <c r="Q21" s="133" t="s">
        <v>20</v>
      </c>
      <c r="R21" s="84">
        <v>0.57</v>
      </c>
      <c r="S21" s="84">
        <v>0.34</v>
      </c>
      <c r="T21" s="37"/>
      <c r="U21" s="37"/>
    </row>
    <row r="22">
      <c r="A22" s="76" t="s">
        <v>5712</v>
      </c>
      <c r="B22" s="16" t="s">
        <v>5713</v>
      </c>
      <c r="C22" s="89">
        <v>185268.0</v>
      </c>
      <c r="D22" s="16" t="s">
        <v>5735</v>
      </c>
      <c r="E22" s="16" t="s">
        <v>5735</v>
      </c>
      <c r="F22" s="16" t="s">
        <v>5737</v>
      </c>
      <c r="G22" s="22" t="s">
        <v>5737</v>
      </c>
      <c r="H22" s="22">
        <v>9034.0</v>
      </c>
      <c r="I22" s="84">
        <v>0.39</v>
      </c>
      <c r="J22" s="96">
        <v>5666.0</v>
      </c>
      <c r="K22" s="22">
        <v>29990.0</v>
      </c>
      <c r="L22" s="22">
        <v>24990.0</v>
      </c>
      <c r="M22" s="96">
        <v>17641.0</v>
      </c>
      <c r="N22" s="96">
        <v>14700.0</v>
      </c>
      <c r="O22" s="84">
        <v>0.3</v>
      </c>
      <c r="P22" s="84">
        <v>0.3</v>
      </c>
      <c r="Q22" s="133" t="s">
        <v>20</v>
      </c>
      <c r="R22" s="84">
        <v>0.57</v>
      </c>
      <c r="S22" s="84">
        <v>0.34</v>
      </c>
      <c r="T22" s="37"/>
      <c r="U22" s="37"/>
    </row>
    <row r="23">
      <c r="A23" s="76" t="s">
        <v>5712</v>
      </c>
      <c r="B23" s="16" t="s">
        <v>5738</v>
      </c>
      <c r="C23" s="16" t="s">
        <v>3758</v>
      </c>
      <c r="D23" s="16" t="s">
        <v>5739</v>
      </c>
      <c r="E23" s="16" t="s">
        <v>5739</v>
      </c>
      <c r="F23" s="16" t="s">
        <v>5740</v>
      </c>
      <c r="G23" s="22" t="s">
        <v>5740</v>
      </c>
      <c r="H23" s="22">
        <v>4613.0</v>
      </c>
      <c r="I23" s="84">
        <v>0.4</v>
      </c>
      <c r="J23" s="96">
        <v>3028.0</v>
      </c>
      <c r="K23" s="22">
        <v>14990.0</v>
      </c>
      <c r="L23" s="22">
        <v>12990.0</v>
      </c>
      <c r="M23" s="96">
        <v>8818.0</v>
      </c>
      <c r="N23" s="96">
        <v>7641.0</v>
      </c>
      <c r="O23" s="84">
        <v>0.3</v>
      </c>
      <c r="P23" s="84">
        <v>0.3</v>
      </c>
      <c r="Q23" s="133" t="s">
        <v>20</v>
      </c>
      <c r="R23" s="84">
        <v>0.58</v>
      </c>
      <c r="S23" s="84">
        <v>0.35</v>
      </c>
    </row>
    <row r="24">
      <c r="A24" s="76" t="s">
        <v>5712</v>
      </c>
      <c r="B24" s="16" t="s">
        <v>5738</v>
      </c>
      <c r="C24" s="89">
        <v>161016.0</v>
      </c>
      <c r="D24" s="16" t="s">
        <v>5741</v>
      </c>
      <c r="E24" s="16" t="s">
        <v>5741</v>
      </c>
      <c r="F24" s="16" t="s">
        <v>5742</v>
      </c>
      <c r="G24" s="22" t="s">
        <v>5742</v>
      </c>
      <c r="H24" s="22">
        <v>6212.0</v>
      </c>
      <c r="I24" s="84">
        <v>0.38</v>
      </c>
      <c r="J24" s="96">
        <v>3782.0</v>
      </c>
      <c r="K24" s="22">
        <v>19990.0</v>
      </c>
      <c r="L24" s="22">
        <v>16990.0</v>
      </c>
      <c r="M24" s="96">
        <v>11759.0</v>
      </c>
      <c r="N24" s="96">
        <v>9994.0</v>
      </c>
      <c r="O24" s="84">
        <v>0.3</v>
      </c>
      <c r="P24" s="84">
        <v>0.3</v>
      </c>
      <c r="Q24" s="133" t="s">
        <v>134</v>
      </c>
      <c r="R24" s="84">
        <v>0.56</v>
      </c>
      <c r="S24" s="84">
        <v>0.33</v>
      </c>
    </row>
    <row r="25">
      <c r="A25" s="76" t="s">
        <v>5712</v>
      </c>
      <c r="B25" s="16" t="s">
        <v>5738</v>
      </c>
      <c r="C25" s="89">
        <v>160479.0</v>
      </c>
      <c r="D25" s="16" t="s">
        <v>5721</v>
      </c>
      <c r="E25" s="16" t="s">
        <v>5721</v>
      </c>
      <c r="F25" s="16" t="s">
        <v>5743</v>
      </c>
      <c r="G25" s="22" t="s">
        <v>5743</v>
      </c>
      <c r="H25" s="22">
        <v>33402.0</v>
      </c>
      <c r="I25" s="84">
        <v>0.37</v>
      </c>
      <c r="J25" s="96">
        <v>19533.0</v>
      </c>
      <c r="K25" s="22">
        <v>119990.0</v>
      </c>
      <c r="L25" s="22">
        <v>89990.0</v>
      </c>
      <c r="M25" s="96">
        <v>70582.0</v>
      </c>
      <c r="N25" s="96">
        <v>52935.0</v>
      </c>
      <c r="O25" s="84">
        <v>0.3</v>
      </c>
      <c r="P25" s="84">
        <v>0.3</v>
      </c>
      <c r="Q25" s="133" t="s">
        <v>20</v>
      </c>
      <c r="R25" s="84">
        <v>0.56</v>
      </c>
      <c r="S25" s="84">
        <v>0.33</v>
      </c>
    </row>
    <row r="26">
      <c r="A26" s="76" t="s">
        <v>5712</v>
      </c>
      <c r="B26" s="16" t="s">
        <v>5738</v>
      </c>
      <c r="C26" s="89">
        <v>134515.0</v>
      </c>
      <c r="D26" s="16" t="s">
        <v>1302</v>
      </c>
      <c r="E26" s="16" t="s">
        <v>1302</v>
      </c>
      <c r="F26" s="16" t="s">
        <v>5744</v>
      </c>
      <c r="G26" s="22" t="s">
        <v>5744</v>
      </c>
      <c r="H26" s="22">
        <v>6186.0</v>
      </c>
      <c r="I26" s="84">
        <v>0.34</v>
      </c>
      <c r="J26" s="96">
        <v>3220.0</v>
      </c>
      <c r="K26" s="22">
        <v>19990.0</v>
      </c>
      <c r="L26" s="22">
        <v>15990.0</v>
      </c>
      <c r="M26" s="96">
        <v>11759.0</v>
      </c>
      <c r="N26" s="96">
        <v>9406.0</v>
      </c>
      <c r="O26" s="84">
        <v>0.3</v>
      </c>
      <c r="P26" s="84">
        <v>0.3</v>
      </c>
      <c r="Q26" s="133" t="s">
        <v>134</v>
      </c>
      <c r="R26" s="84">
        <v>0.54</v>
      </c>
      <c r="S26" s="84">
        <v>0.31</v>
      </c>
    </row>
    <row r="27">
      <c r="A27" s="76" t="s">
        <v>5712</v>
      </c>
      <c r="B27" s="16" t="s">
        <v>5713</v>
      </c>
      <c r="C27" s="89">
        <v>172476.0</v>
      </c>
      <c r="D27" s="16" t="s">
        <v>5714</v>
      </c>
      <c r="E27" s="16" t="s">
        <v>5714</v>
      </c>
      <c r="F27" s="16" t="s">
        <v>5745</v>
      </c>
      <c r="G27" s="22" t="s">
        <v>5745</v>
      </c>
      <c r="H27" s="22">
        <v>62249.0</v>
      </c>
      <c r="I27" s="84">
        <v>0.33</v>
      </c>
      <c r="J27" s="96">
        <v>30098.0</v>
      </c>
      <c r="K27" s="22">
        <v>199990.0</v>
      </c>
      <c r="L27" s="22">
        <v>156990.0</v>
      </c>
      <c r="M27" s="96">
        <v>117641.0</v>
      </c>
      <c r="N27" s="96">
        <v>92347.0</v>
      </c>
      <c r="O27" s="84">
        <v>0.3</v>
      </c>
      <c r="P27" s="84">
        <v>0.3</v>
      </c>
      <c r="Q27" s="133" t="s">
        <v>20</v>
      </c>
      <c r="R27" s="84">
        <v>0.53</v>
      </c>
      <c r="S27" s="84">
        <v>0.3</v>
      </c>
    </row>
    <row r="28">
      <c r="A28" s="76" t="s">
        <v>5712</v>
      </c>
      <c r="B28" s="16" t="s">
        <v>5713</v>
      </c>
      <c r="C28" s="89">
        <v>194340.0</v>
      </c>
      <c r="D28" s="16" t="s">
        <v>5714</v>
      </c>
      <c r="E28" s="16" t="s">
        <v>5714</v>
      </c>
      <c r="F28" s="16" t="s">
        <v>5746</v>
      </c>
      <c r="G28" s="22" t="s">
        <v>5746</v>
      </c>
      <c r="H28" s="22">
        <v>32134.0</v>
      </c>
      <c r="I28" s="84">
        <v>0.33</v>
      </c>
      <c r="J28" s="96">
        <v>15507.0</v>
      </c>
      <c r="K28" s="22">
        <v>149990.0</v>
      </c>
      <c r="L28" s="22">
        <v>80990.0</v>
      </c>
      <c r="M28" s="96">
        <v>88229.0</v>
      </c>
      <c r="N28" s="96">
        <v>47641.0</v>
      </c>
      <c r="O28" s="84">
        <v>0.3</v>
      </c>
      <c r="P28" s="84">
        <v>0.3</v>
      </c>
      <c r="Q28" s="133" t="s">
        <v>20</v>
      </c>
      <c r="R28" s="84">
        <v>0.53</v>
      </c>
      <c r="S28" s="84">
        <v>0.3</v>
      </c>
    </row>
    <row r="29">
      <c r="A29" s="76" t="s">
        <v>5712</v>
      </c>
      <c r="B29" s="16" t="s">
        <v>5713</v>
      </c>
      <c r="C29" s="16" t="s">
        <v>3982</v>
      </c>
      <c r="D29" s="16" t="s">
        <v>5714</v>
      </c>
      <c r="E29" s="16" t="s">
        <v>5714</v>
      </c>
      <c r="F29" s="16" t="s">
        <v>5747</v>
      </c>
      <c r="G29" s="22" t="s">
        <v>5747</v>
      </c>
      <c r="H29" s="22">
        <v>28756.0</v>
      </c>
      <c r="I29" s="84">
        <v>0.33</v>
      </c>
      <c r="J29" s="96">
        <v>14179.0</v>
      </c>
      <c r="K29" s="22">
        <v>89990.0</v>
      </c>
      <c r="L29" s="22">
        <v>72990.0</v>
      </c>
      <c r="M29" s="96">
        <v>52935.0</v>
      </c>
      <c r="N29" s="96">
        <v>42935.0</v>
      </c>
      <c r="O29" s="84">
        <v>0.3</v>
      </c>
      <c r="P29" s="84">
        <v>0.3</v>
      </c>
      <c r="Q29" s="133" t="s">
        <v>20</v>
      </c>
      <c r="R29" s="84">
        <v>0.53</v>
      </c>
      <c r="S29" s="84">
        <v>0.3</v>
      </c>
    </row>
    <row r="30">
      <c r="A30" s="76" t="s">
        <v>5712</v>
      </c>
      <c r="B30" s="16" t="s">
        <v>5713</v>
      </c>
      <c r="C30" s="16" t="s">
        <v>5748</v>
      </c>
      <c r="D30" s="16" t="s">
        <v>5714</v>
      </c>
      <c r="E30" s="16" t="s">
        <v>5714</v>
      </c>
      <c r="F30" s="16" t="s">
        <v>5749</v>
      </c>
      <c r="G30" s="22" t="s">
        <v>5749</v>
      </c>
      <c r="H30" s="22">
        <v>28881.0</v>
      </c>
      <c r="I30" s="84">
        <v>0.33</v>
      </c>
      <c r="J30" s="96">
        <v>14054.0</v>
      </c>
      <c r="K30" s="22">
        <v>89990.0</v>
      </c>
      <c r="L30" s="22">
        <v>72990.0</v>
      </c>
      <c r="M30" s="96">
        <v>52935.0</v>
      </c>
      <c r="N30" s="96">
        <v>42935.0</v>
      </c>
      <c r="O30" s="84">
        <v>0.3</v>
      </c>
      <c r="P30" s="84">
        <v>0.3</v>
      </c>
      <c r="Q30" s="133" t="s">
        <v>20</v>
      </c>
      <c r="R30" s="84">
        <v>0.53</v>
      </c>
      <c r="S30" s="84">
        <v>0.3</v>
      </c>
    </row>
    <row r="31">
      <c r="A31" s="76" t="s">
        <v>5712</v>
      </c>
      <c r="B31" s="16" t="s">
        <v>5713</v>
      </c>
      <c r="C31" s="89">
        <v>181000.0</v>
      </c>
      <c r="D31" s="16" t="s">
        <v>5714</v>
      </c>
      <c r="E31" s="16" t="s">
        <v>5714</v>
      </c>
      <c r="F31" s="16" t="s">
        <v>5750</v>
      </c>
      <c r="G31" s="22" t="s">
        <v>5750</v>
      </c>
      <c r="H31" s="22">
        <v>16629.0</v>
      </c>
      <c r="I31" s="84">
        <v>0.34</v>
      </c>
      <c r="J31" s="96">
        <v>8659.0</v>
      </c>
      <c r="K31" s="22">
        <v>69990.0</v>
      </c>
      <c r="L31" s="22">
        <v>42990.0</v>
      </c>
      <c r="M31" s="96">
        <v>41171.0</v>
      </c>
      <c r="N31" s="96">
        <v>25288.0</v>
      </c>
      <c r="O31" s="84">
        <v>0.3</v>
      </c>
      <c r="P31" s="84">
        <v>0.3</v>
      </c>
      <c r="Q31" s="133" t="s">
        <v>20</v>
      </c>
      <c r="R31" s="84">
        <v>0.54</v>
      </c>
      <c r="S31" s="84">
        <v>0.31</v>
      </c>
    </row>
    <row r="32">
      <c r="A32" s="76" t="s">
        <v>5712</v>
      </c>
      <c r="B32" s="16" t="s">
        <v>5713</v>
      </c>
      <c r="C32" s="16" t="s">
        <v>3766</v>
      </c>
      <c r="D32" s="16" t="s">
        <v>5714</v>
      </c>
      <c r="E32" s="16" t="s">
        <v>5714</v>
      </c>
      <c r="F32" s="16" t="s">
        <v>5751</v>
      </c>
      <c r="G32" s="22" t="s">
        <v>5751</v>
      </c>
      <c r="H32" s="22">
        <v>16631.0</v>
      </c>
      <c r="I32" s="84">
        <v>0.34</v>
      </c>
      <c r="J32" s="96">
        <v>8657.0</v>
      </c>
      <c r="K32" s="22">
        <v>69990.0</v>
      </c>
      <c r="L32" s="22">
        <v>42990.0</v>
      </c>
      <c r="M32" s="96">
        <v>41171.0</v>
      </c>
      <c r="N32" s="96">
        <v>25288.0</v>
      </c>
      <c r="O32" s="84">
        <v>0.3</v>
      </c>
      <c r="P32" s="84">
        <v>0.3</v>
      </c>
      <c r="Q32" s="133" t="s">
        <v>20</v>
      </c>
      <c r="R32" s="84">
        <v>0.54</v>
      </c>
      <c r="S32" s="84">
        <v>0.31</v>
      </c>
    </row>
    <row r="33">
      <c r="A33" s="76" t="s">
        <v>5712</v>
      </c>
      <c r="B33" s="16" t="s">
        <v>5713</v>
      </c>
      <c r="C33" s="89">
        <v>157266.0</v>
      </c>
      <c r="D33" s="16" t="s">
        <v>5752</v>
      </c>
      <c r="E33" s="16" t="s">
        <v>5752</v>
      </c>
      <c r="F33" s="16" t="s">
        <v>5753</v>
      </c>
      <c r="G33" s="22" t="s">
        <v>5753</v>
      </c>
      <c r="H33" s="22">
        <v>8512.0</v>
      </c>
      <c r="I33" s="84">
        <v>0.34</v>
      </c>
      <c r="J33" s="96">
        <v>4423.0</v>
      </c>
      <c r="K33" s="22">
        <v>24990.0</v>
      </c>
      <c r="L33" s="22">
        <v>21990.0</v>
      </c>
      <c r="M33" s="96">
        <v>14700.0</v>
      </c>
      <c r="N33" s="96">
        <v>12935.0</v>
      </c>
      <c r="O33" s="84">
        <v>0.3</v>
      </c>
      <c r="P33" s="84">
        <v>0.3</v>
      </c>
      <c r="Q33" s="133" t="s">
        <v>20</v>
      </c>
      <c r="R33" s="84">
        <v>0.54</v>
      </c>
      <c r="S33" s="84">
        <v>0.31</v>
      </c>
    </row>
    <row r="34">
      <c r="A34" s="76" t="s">
        <v>5712</v>
      </c>
      <c r="B34" s="16" t="s">
        <v>5713</v>
      </c>
      <c r="C34" s="89">
        <v>178520.0</v>
      </c>
      <c r="D34" s="16" t="s">
        <v>5735</v>
      </c>
      <c r="E34" s="16" t="s">
        <v>5735</v>
      </c>
      <c r="F34" s="16" t="s">
        <v>5754</v>
      </c>
      <c r="G34" s="22" t="s">
        <v>5754</v>
      </c>
      <c r="H34" s="22">
        <v>8024.0</v>
      </c>
      <c r="I34" s="84">
        <v>0.35</v>
      </c>
      <c r="J34" s="96">
        <v>4323.0</v>
      </c>
      <c r="K34" s="22">
        <v>22990.0</v>
      </c>
      <c r="L34" s="22">
        <v>20990.0</v>
      </c>
      <c r="M34" s="96">
        <v>13524.0</v>
      </c>
      <c r="N34" s="96">
        <v>12347.0</v>
      </c>
      <c r="O34" s="84">
        <v>0.3</v>
      </c>
      <c r="P34" s="84">
        <v>0.3</v>
      </c>
      <c r="Q34" s="133" t="s">
        <v>20</v>
      </c>
      <c r="R34" s="84">
        <v>0.55</v>
      </c>
      <c r="S34" s="84">
        <v>0.32</v>
      </c>
    </row>
    <row r="35">
      <c r="A35" s="76" t="s">
        <v>5712</v>
      </c>
      <c r="B35" s="16" t="s">
        <v>5713</v>
      </c>
      <c r="C35" s="89">
        <v>172496.0</v>
      </c>
      <c r="D35" s="16" t="s">
        <v>5735</v>
      </c>
      <c r="E35" s="16" t="s">
        <v>5735</v>
      </c>
      <c r="F35" s="16" t="s">
        <v>5755</v>
      </c>
      <c r="G35" s="22" t="s">
        <v>5755</v>
      </c>
      <c r="H35" s="22">
        <v>6475.0</v>
      </c>
      <c r="I35" s="84">
        <v>0.15</v>
      </c>
      <c r="J35" s="96">
        <v>1166.0</v>
      </c>
      <c r="K35" s="22">
        <v>16990.0</v>
      </c>
      <c r="L35" s="22">
        <v>12990.0</v>
      </c>
      <c r="M35" s="96">
        <v>9994.0</v>
      </c>
      <c r="N35" s="96">
        <v>7641.0</v>
      </c>
      <c r="O35" s="84">
        <v>0.3</v>
      </c>
      <c r="P35" s="84">
        <v>0.3</v>
      </c>
      <c r="Q35" s="133" t="s">
        <v>20</v>
      </c>
      <c r="R35" s="84">
        <v>0.41</v>
      </c>
      <c r="S35" s="84">
        <v>0.18</v>
      </c>
    </row>
    <row r="36">
      <c r="A36" s="76" t="s">
        <v>5712</v>
      </c>
      <c r="B36" s="16" t="s">
        <v>5713</v>
      </c>
      <c r="C36" s="16" t="s">
        <v>3985</v>
      </c>
      <c r="D36" s="16" t="s">
        <v>5735</v>
      </c>
      <c r="E36" s="16" t="s">
        <v>5735</v>
      </c>
      <c r="F36" s="16" t="s">
        <v>5756</v>
      </c>
      <c r="G36" s="22" t="s">
        <v>5756</v>
      </c>
      <c r="H36" s="22">
        <v>4353.0</v>
      </c>
      <c r="I36" s="84">
        <v>0.43</v>
      </c>
      <c r="J36" s="96">
        <v>3288.0</v>
      </c>
      <c r="K36" s="22">
        <v>16990.0</v>
      </c>
      <c r="L36" s="22">
        <v>12990.0</v>
      </c>
      <c r="M36" s="96">
        <v>9994.0</v>
      </c>
      <c r="N36" s="96">
        <v>7641.0</v>
      </c>
      <c r="O36" s="84">
        <v>0.3</v>
      </c>
      <c r="P36" s="84">
        <v>0.3</v>
      </c>
      <c r="Q36" s="133" t="s">
        <v>20</v>
      </c>
      <c r="R36" s="84">
        <v>0.6</v>
      </c>
      <c r="S36" s="84">
        <v>0.37</v>
      </c>
    </row>
    <row r="37">
      <c r="A37" s="76" t="s">
        <v>5712</v>
      </c>
      <c r="B37" s="16" t="s">
        <v>5713</v>
      </c>
      <c r="C37" s="16" t="s">
        <v>3376</v>
      </c>
      <c r="D37" s="16" t="s">
        <v>5741</v>
      </c>
      <c r="E37" s="16" t="s">
        <v>5741</v>
      </c>
      <c r="F37" s="16" t="s">
        <v>5757</v>
      </c>
      <c r="G37" s="22" t="s">
        <v>5757</v>
      </c>
      <c r="H37" s="22">
        <v>21871.0</v>
      </c>
      <c r="I37" s="84">
        <v>0.34</v>
      </c>
      <c r="J37" s="96">
        <v>11064.0</v>
      </c>
      <c r="K37" s="22">
        <v>69990.0</v>
      </c>
      <c r="L37" s="22">
        <v>55990.0</v>
      </c>
      <c r="M37" s="96">
        <v>41171.0</v>
      </c>
      <c r="N37" s="96">
        <v>32935.0</v>
      </c>
      <c r="O37" s="84">
        <v>0.3</v>
      </c>
      <c r="P37" s="84">
        <v>0.3</v>
      </c>
      <c r="Q37" s="133" t="s">
        <v>134</v>
      </c>
      <c r="R37" s="84">
        <v>0.54</v>
      </c>
      <c r="S37" s="84">
        <v>0.31</v>
      </c>
    </row>
    <row r="38">
      <c r="A38" s="76" t="s">
        <v>5712</v>
      </c>
      <c r="B38" s="16" t="s">
        <v>5713</v>
      </c>
      <c r="C38" s="16" t="s">
        <v>5758</v>
      </c>
      <c r="D38" s="16" t="s">
        <v>5741</v>
      </c>
      <c r="E38" s="16" t="s">
        <v>5741</v>
      </c>
      <c r="F38" s="16" t="s">
        <v>5759</v>
      </c>
      <c r="G38" s="22" t="s">
        <v>5759</v>
      </c>
      <c r="H38" s="22">
        <v>6118.0</v>
      </c>
      <c r="I38" s="84">
        <v>0.35</v>
      </c>
      <c r="J38" s="96">
        <v>3288.0</v>
      </c>
      <c r="K38" s="22">
        <v>19990.0</v>
      </c>
      <c r="L38" s="22">
        <v>15990.0</v>
      </c>
      <c r="M38" s="96">
        <v>11759.0</v>
      </c>
      <c r="N38" s="96">
        <v>9406.0</v>
      </c>
      <c r="O38" s="84">
        <v>0.3</v>
      </c>
      <c r="P38" s="84">
        <v>0.3</v>
      </c>
      <c r="Q38" s="133" t="s">
        <v>134</v>
      </c>
      <c r="R38" s="84">
        <v>0.54</v>
      </c>
      <c r="S38" s="84">
        <v>0.31</v>
      </c>
    </row>
    <row r="39">
      <c r="A39" s="76" t="s">
        <v>5712</v>
      </c>
      <c r="B39" s="16" t="s">
        <v>5713</v>
      </c>
      <c r="C39" s="16" t="s">
        <v>3760</v>
      </c>
      <c r="D39" s="16" t="s">
        <v>5760</v>
      </c>
      <c r="E39" s="16" t="s">
        <v>5760</v>
      </c>
      <c r="F39" s="16" t="s">
        <v>5761</v>
      </c>
      <c r="G39" s="22" t="s">
        <v>5761</v>
      </c>
      <c r="H39" s="22">
        <v>2377.0</v>
      </c>
      <c r="I39" s="84">
        <v>0.42</v>
      </c>
      <c r="J39" s="96">
        <v>1735.0</v>
      </c>
      <c r="K39" s="22">
        <v>9990.0</v>
      </c>
      <c r="L39" s="22">
        <v>6990.0</v>
      </c>
      <c r="M39" s="96">
        <v>5876.0</v>
      </c>
      <c r="N39" s="96">
        <v>4112.0</v>
      </c>
      <c r="O39" s="84">
        <v>0.3</v>
      </c>
      <c r="P39" s="84">
        <v>0.3</v>
      </c>
      <c r="Q39" s="133" t="s">
        <v>134</v>
      </c>
      <c r="R39" s="84">
        <v>0.6</v>
      </c>
      <c r="S39" s="84">
        <v>0.37</v>
      </c>
    </row>
    <row r="40">
      <c r="A40" s="76" t="s">
        <v>5712</v>
      </c>
      <c r="B40" s="16" t="s">
        <v>5713</v>
      </c>
      <c r="C40" s="89">
        <v>179073.0</v>
      </c>
      <c r="D40" s="16" t="s">
        <v>5762</v>
      </c>
      <c r="E40" s="16" t="s">
        <v>5762</v>
      </c>
      <c r="F40" s="16" t="s">
        <v>5763</v>
      </c>
      <c r="G40" s="22" t="s">
        <v>5763</v>
      </c>
      <c r="H40" s="22">
        <v>92067.0</v>
      </c>
      <c r="I40" s="84">
        <v>0.32</v>
      </c>
      <c r="J40" s="96">
        <v>43809.0</v>
      </c>
      <c r="K40" s="22">
        <v>299990.0</v>
      </c>
      <c r="L40" s="22">
        <v>230990.0</v>
      </c>
      <c r="M40" s="96">
        <v>176465.0</v>
      </c>
      <c r="N40" s="96">
        <v>135876.0</v>
      </c>
      <c r="O40" s="84">
        <v>0.3</v>
      </c>
      <c r="P40" s="84">
        <v>0.3</v>
      </c>
      <c r="Q40" s="133" t="s">
        <v>134</v>
      </c>
      <c r="R40" s="84">
        <v>0.53</v>
      </c>
      <c r="S40" s="84">
        <v>0.3</v>
      </c>
    </row>
    <row r="41">
      <c r="A41" s="76" t="s">
        <v>5712</v>
      </c>
      <c r="B41" s="16" t="s">
        <v>5713</v>
      </c>
      <c r="C41" s="89">
        <v>157210.0</v>
      </c>
      <c r="D41" s="16" t="s">
        <v>5762</v>
      </c>
      <c r="E41" s="16" t="s">
        <v>5762</v>
      </c>
      <c r="F41" s="16" t="s">
        <v>5764</v>
      </c>
      <c r="G41" s="22" t="s">
        <v>5764</v>
      </c>
      <c r="H41" s="22">
        <v>95941.0</v>
      </c>
      <c r="I41" s="84">
        <v>0.32</v>
      </c>
      <c r="J41" s="96">
        <v>45818.0</v>
      </c>
      <c r="K41" s="22">
        <v>299990.0</v>
      </c>
      <c r="L41" s="22">
        <v>240990.0</v>
      </c>
      <c r="M41" s="96">
        <v>176465.0</v>
      </c>
      <c r="N41" s="96">
        <v>141759.0</v>
      </c>
      <c r="O41" s="84">
        <v>0.3</v>
      </c>
      <c r="P41" s="84">
        <v>0.3</v>
      </c>
      <c r="Q41" s="133" t="s">
        <v>134</v>
      </c>
      <c r="R41" s="84">
        <v>0.53</v>
      </c>
      <c r="S41" s="84">
        <v>0.3</v>
      </c>
    </row>
    <row r="42">
      <c r="A42" s="76" t="s">
        <v>5712</v>
      </c>
      <c r="B42" s="16" t="s">
        <v>5713</v>
      </c>
      <c r="C42" s="89">
        <v>102411.0</v>
      </c>
      <c r="D42" s="16" t="s">
        <v>5762</v>
      </c>
      <c r="E42" s="16" t="s">
        <v>5762</v>
      </c>
      <c r="F42" s="16" t="s">
        <v>5765</v>
      </c>
      <c r="G42" s="22" t="s">
        <v>5765</v>
      </c>
      <c r="H42" s="22">
        <v>74697.0</v>
      </c>
      <c r="I42" s="84">
        <v>0.32</v>
      </c>
      <c r="J42" s="96">
        <v>35886.0</v>
      </c>
      <c r="K42" s="22">
        <v>229990.0</v>
      </c>
      <c r="L42" s="22">
        <v>187990.0</v>
      </c>
      <c r="M42" s="96">
        <v>135288.0</v>
      </c>
      <c r="N42" s="96">
        <v>110582.0</v>
      </c>
      <c r="O42" s="84">
        <v>0.3</v>
      </c>
      <c r="P42" s="84">
        <v>0.3</v>
      </c>
      <c r="Q42" s="133" t="s">
        <v>20</v>
      </c>
      <c r="R42" s="84">
        <v>0.53</v>
      </c>
      <c r="S42" s="84">
        <v>0.3</v>
      </c>
    </row>
    <row r="43">
      <c r="A43" s="76" t="s">
        <v>5712</v>
      </c>
      <c r="B43" s="16" t="s">
        <v>5713</v>
      </c>
      <c r="C43" s="89">
        <v>179106.0</v>
      </c>
      <c r="D43" s="16" t="s">
        <v>5721</v>
      </c>
      <c r="E43" s="16" t="s">
        <v>5721</v>
      </c>
      <c r="F43" s="16" t="s">
        <v>5766</v>
      </c>
      <c r="G43" s="22" t="s">
        <v>5766</v>
      </c>
      <c r="H43" s="22">
        <v>97898.0</v>
      </c>
      <c r="I43" s="84">
        <v>0.32</v>
      </c>
      <c r="J43" s="96">
        <v>46802.0</v>
      </c>
      <c r="K43" s="22">
        <v>329990.0</v>
      </c>
      <c r="L43" s="22">
        <v>245990.0</v>
      </c>
      <c r="M43" s="96">
        <v>194112.0</v>
      </c>
      <c r="N43" s="96">
        <v>144700.0</v>
      </c>
      <c r="O43" s="84">
        <v>0.3</v>
      </c>
      <c r="P43" s="84">
        <v>0.3</v>
      </c>
      <c r="Q43" s="133" t="s">
        <v>20</v>
      </c>
      <c r="R43" s="84">
        <v>0.53</v>
      </c>
      <c r="S43" s="84">
        <v>0.3</v>
      </c>
    </row>
    <row r="44">
      <c r="A44" s="76" t="s">
        <v>5712</v>
      </c>
      <c r="B44" s="16" t="s">
        <v>5713</v>
      </c>
      <c r="C44" s="89">
        <v>179107.0</v>
      </c>
      <c r="D44" s="16" t="s">
        <v>5721</v>
      </c>
      <c r="E44" s="16" t="s">
        <v>5721</v>
      </c>
      <c r="F44" s="16" t="s">
        <v>5767</v>
      </c>
      <c r="G44" s="22" t="s">
        <v>5767</v>
      </c>
      <c r="H44" s="22">
        <v>125819.0</v>
      </c>
      <c r="I44" s="84">
        <v>0.32</v>
      </c>
      <c r="J44" s="96">
        <v>60057.0</v>
      </c>
      <c r="K44" s="22">
        <v>349990.0</v>
      </c>
      <c r="L44" s="22">
        <v>315990.0</v>
      </c>
      <c r="M44" s="96">
        <v>205876.0</v>
      </c>
      <c r="N44" s="96">
        <v>185876.0</v>
      </c>
      <c r="O44" s="84">
        <v>0.3</v>
      </c>
      <c r="P44" s="84">
        <v>0.3</v>
      </c>
      <c r="Q44" s="133" t="s">
        <v>20</v>
      </c>
      <c r="R44" s="84">
        <v>0.53</v>
      </c>
      <c r="S44" s="84">
        <v>0.3</v>
      </c>
    </row>
    <row r="45">
      <c r="A45" s="76" t="s">
        <v>5712</v>
      </c>
      <c r="B45" s="16" t="s">
        <v>5713</v>
      </c>
      <c r="C45" s="89">
        <v>157209.0</v>
      </c>
      <c r="D45" s="16" t="s">
        <v>5721</v>
      </c>
      <c r="E45" s="16" t="s">
        <v>5721</v>
      </c>
      <c r="F45" s="16" t="s">
        <v>5768</v>
      </c>
      <c r="G45" s="22" t="s">
        <v>5768</v>
      </c>
      <c r="H45" s="22">
        <v>79993.0</v>
      </c>
      <c r="I45" s="84">
        <v>0.32</v>
      </c>
      <c r="J45" s="96">
        <v>38236.0</v>
      </c>
      <c r="K45" s="22">
        <v>249990.0</v>
      </c>
      <c r="L45" s="22">
        <v>200990.0</v>
      </c>
      <c r="M45" s="96">
        <v>147053.0</v>
      </c>
      <c r="N45" s="96">
        <v>118229.0</v>
      </c>
      <c r="O45" s="84">
        <v>0.3</v>
      </c>
      <c r="P45" s="84">
        <v>0.3</v>
      </c>
      <c r="Q45" s="133" t="s">
        <v>134</v>
      </c>
      <c r="R45" s="84">
        <v>0.53</v>
      </c>
      <c r="S45" s="84">
        <v>0.3</v>
      </c>
    </row>
    <row r="46">
      <c r="A46" s="76" t="s">
        <v>5712</v>
      </c>
      <c r="B46" s="16" t="s">
        <v>5713</v>
      </c>
      <c r="C46" s="89">
        <v>157098.0</v>
      </c>
      <c r="D46" s="16" t="s">
        <v>5721</v>
      </c>
      <c r="E46" s="16" t="s">
        <v>5721</v>
      </c>
      <c r="F46" s="16" t="s">
        <v>5769</v>
      </c>
      <c r="G46" s="22" t="s">
        <v>5769</v>
      </c>
      <c r="H46" s="22">
        <v>10651.0</v>
      </c>
      <c r="I46" s="84">
        <v>0.35</v>
      </c>
      <c r="J46" s="96">
        <v>5814.0</v>
      </c>
      <c r="K46" s="22">
        <v>29990.0</v>
      </c>
      <c r="L46" s="22">
        <v>27990.0</v>
      </c>
      <c r="M46" s="96">
        <v>17641.0</v>
      </c>
      <c r="N46" s="96">
        <v>16465.0</v>
      </c>
      <c r="O46" s="84">
        <v>0.3</v>
      </c>
      <c r="P46" s="84">
        <v>0.3</v>
      </c>
      <c r="Q46" s="133" t="s">
        <v>20</v>
      </c>
      <c r="R46" s="84">
        <v>0.55</v>
      </c>
      <c r="S46" s="84">
        <v>0.32</v>
      </c>
    </row>
    <row r="47">
      <c r="A47" s="76" t="s">
        <v>5712</v>
      </c>
      <c r="B47" s="16" t="s">
        <v>5713</v>
      </c>
      <c r="C47" s="89">
        <v>140101.0</v>
      </c>
      <c r="D47" s="16" t="s">
        <v>5721</v>
      </c>
      <c r="E47" s="16" t="s">
        <v>5721</v>
      </c>
      <c r="F47" s="16" t="s">
        <v>5770</v>
      </c>
      <c r="G47" s="22" t="s">
        <v>5770</v>
      </c>
      <c r="H47" s="22">
        <v>10110.0</v>
      </c>
      <c r="I47" s="84">
        <v>0.34</v>
      </c>
      <c r="J47" s="96">
        <v>5178.0</v>
      </c>
      <c r="K47" s="22">
        <v>29990.0</v>
      </c>
      <c r="L47" s="22">
        <v>25990.0</v>
      </c>
      <c r="M47" s="96">
        <v>17641.0</v>
      </c>
      <c r="N47" s="96">
        <v>15288.0</v>
      </c>
      <c r="O47" s="84">
        <v>0.3</v>
      </c>
      <c r="P47" s="84">
        <v>0.3</v>
      </c>
      <c r="Q47" s="133" t="s">
        <v>20</v>
      </c>
      <c r="R47" s="84">
        <v>0.54</v>
      </c>
      <c r="S47" s="84">
        <v>0.31</v>
      </c>
    </row>
    <row r="48">
      <c r="A48" s="76" t="s">
        <v>5712</v>
      </c>
      <c r="B48" s="16" t="s">
        <v>5713</v>
      </c>
      <c r="C48" s="89">
        <v>138868.0</v>
      </c>
      <c r="D48" s="16" t="s">
        <v>5771</v>
      </c>
      <c r="E48" s="16" t="s">
        <v>5771</v>
      </c>
      <c r="F48" s="16" t="s">
        <v>5772</v>
      </c>
      <c r="G48" s="22" t="s">
        <v>5772</v>
      </c>
      <c r="H48" s="22">
        <v>3284.0</v>
      </c>
      <c r="I48" s="84">
        <v>0.38</v>
      </c>
      <c r="J48" s="96">
        <v>2004.0</v>
      </c>
      <c r="K48" s="22">
        <v>12990.0</v>
      </c>
      <c r="L48" s="22">
        <v>8990.0</v>
      </c>
      <c r="M48" s="96">
        <v>7641.0</v>
      </c>
      <c r="N48" s="96">
        <v>5288.0</v>
      </c>
      <c r="O48" s="84">
        <v>0.3</v>
      </c>
      <c r="P48" s="84">
        <v>0.3</v>
      </c>
      <c r="Q48" s="133" t="s">
        <v>20</v>
      </c>
      <c r="R48" s="84">
        <v>0.57</v>
      </c>
      <c r="S48" s="84">
        <v>0.34</v>
      </c>
    </row>
    <row r="49">
      <c r="A49" s="76" t="s">
        <v>5712</v>
      </c>
      <c r="B49" s="16" t="s">
        <v>5773</v>
      </c>
      <c r="C49" s="89">
        <v>3950087.0</v>
      </c>
      <c r="D49" s="16" t="s">
        <v>5774</v>
      </c>
      <c r="E49" s="16" t="s">
        <v>5774</v>
      </c>
      <c r="F49" s="16" t="s">
        <v>5775</v>
      </c>
      <c r="G49" s="22" t="s">
        <v>5775</v>
      </c>
      <c r="H49" s="22">
        <v>4083.0</v>
      </c>
      <c r="I49" s="84">
        <v>0.37</v>
      </c>
      <c r="J49" s="96">
        <v>2382.0</v>
      </c>
      <c r="K49" s="22">
        <v>19990.0</v>
      </c>
      <c r="L49" s="22">
        <v>10990.0</v>
      </c>
      <c r="M49" s="96">
        <v>11759.0</v>
      </c>
      <c r="N49" s="96">
        <v>6465.0</v>
      </c>
      <c r="O49" s="84">
        <v>0.3</v>
      </c>
      <c r="P49" s="84">
        <v>0.3</v>
      </c>
      <c r="Q49" s="133" t="s">
        <v>134</v>
      </c>
      <c r="R49" s="84">
        <v>0.56</v>
      </c>
      <c r="S49" s="84">
        <v>0.33</v>
      </c>
    </row>
    <row r="50">
      <c r="A50" s="76" t="s">
        <v>5712</v>
      </c>
      <c r="B50" s="16" t="s">
        <v>5773</v>
      </c>
      <c r="C50" s="89">
        <v>3950032.0</v>
      </c>
      <c r="D50" s="16" t="s">
        <v>1293</v>
      </c>
      <c r="E50" s="16" t="s">
        <v>1293</v>
      </c>
      <c r="F50" s="16" t="s">
        <v>5776</v>
      </c>
      <c r="G50" s="22" t="s">
        <v>5776</v>
      </c>
      <c r="H50" s="22">
        <v>7500.0</v>
      </c>
      <c r="I50" s="84">
        <v>0.36</v>
      </c>
      <c r="J50" s="96">
        <v>4259.0</v>
      </c>
      <c r="K50" s="22">
        <v>29990.0</v>
      </c>
      <c r="L50" s="22">
        <v>19990.0</v>
      </c>
      <c r="M50" s="96">
        <v>17641.0</v>
      </c>
      <c r="N50" s="96">
        <v>11759.0</v>
      </c>
      <c r="O50" s="84">
        <v>0.3</v>
      </c>
      <c r="P50" s="84">
        <v>0.3</v>
      </c>
      <c r="Q50" s="133" t="s">
        <v>134</v>
      </c>
      <c r="R50" s="84">
        <v>0.55</v>
      </c>
      <c r="S50" s="84">
        <v>0.32</v>
      </c>
    </row>
    <row r="51">
      <c r="A51" s="76" t="s">
        <v>5712</v>
      </c>
      <c r="B51" s="16" t="s">
        <v>5777</v>
      </c>
      <c r="C51" s="89">
        <v>71874.0</v>
      </c>
      <c r="D51" s="16" t="s">
        <v>5752</v>
      </c>
      <c r="E51" s="16" t="s">
        <v>5752</v>
      </c>
      <c r="F51" s="16" t="s">
        <v>5778</v>
      </c>
      <c r="G51" s="22" t="s">
        <v>5778</v>
      </c>
      <c r="H51" s="22">
        <v>4532.0</v>
      </c>
      <c r="I51" s="84">
        <v>0.36</v>
      </c>
      <c r="J51" s="96">
        <v>2521.0</v>
      </c>
      <c r="K51" s="22">
        <v>17990.0</v>
      </c>
      <c r="L51" s="22">
        <v>11990.0</v>
      </c>
      <c r="M51" s="96">
        <v>10582.0</v>
      </c>
      <c r="N51" s="96">
        <v>7053.0</v>
      </c>
      <c r="O51" s="84">
        <v>0.3</v>
      </c>
      <c r="P51" s="84">
        <v>0.3</v>
      </c>
      <c r="Q51" s="133" t="s">
        <v>134</v>
      </c>
      <c r="R51" s="84">
        <v>0.55</v>
      </c>
      <c r="S51" s="84">
        <v>0.32</v>
      </c>
    </row>
    <row r="52">
      <c r="A52" s="76" t="s">
        <v>5712</v>
      </c>
      <c r="B52" s="16" t="s">
        <v>5777</v>
      </c>
      <c r="C52" s="89">
        <v>77915.0</v>
      </c>
      <c r="D52" s="16" t="s">
        <v>5752</v>
      </c>
      <c r="E52" s="16" t="s">
        <v>5752</v>
      </c>
      <c r="F52" s="16" t="s">
        <v>5779</v>
      </c>
      <c r="G52" s="22" t="s">
        <v>5779</v>
      </c>
      <c r="H52" s="22">
        <v>3690.0</v>
      </c>
      <c r="I52" s="84">
        <v>0.37</v>
      </c>
      <c r="J52" s="96">
        <v>2186.0</v>
      </c>
      <c r="K52" s="22">
        <v>17990.0</v>
      </c>
      <c r="L52" s="22">
        <v>9990.0</v>
      </c>
      <c r="M52" s="96">
        <v>10582.0</v>
      </c>
      <c r="N52" s="96">
        <v>5876.0</v>
      </c>
      <c r="O52" s="84">
        <v>0.3</v>
      </c>
      <c r="P52" s="84">
        <v>0.3</v>
      </c>
      <c r="Q52" s="133" t="s">
        <v>134</v>
      </c>
      <c r="R52" s="84">
        <v>0.56</v>
      </c>
      <c r="S52" s="84">
        <v>0.33</v>
      </c>
    </row>
    <row r="53">
      <c r="A53" s="76" t="s">
        <v>5712</v>
      </c>
      <c r="B53" s="16" t="s">
        <v>5777</v>
      </c>
      <c r="C53" s="89">
        <v>72633.0</v>
      </c>
      <c r="D53" s="16" t="s">
        <v>5780</v>
      </c>
      <c r="E53" s="16" t="s">
        <v>5780</v>
      </c>
      <c r="F53" s="16" t="s">
        <v>5781</v>
      </c>
      <c r="G53" s="22" t="s">
        <v>5781</v>
      </c>
      <c r="H53" s="22">
        <v>5433.0</v>
      </c>
      <c r="I53" s="84">
        <v>0.38</v>
      </c>
      <c r="J53" s="96">
        <v>3385.0</v>
      </c>
      <c r="K53" s="22">
        <v>19990.0</v>
      </c>
      <c r="L53" s="22">
        <v>14990.0</v>
      </c>
      <c r="M53" s="96">
        <v>11759.0</v>
      </c>
      <c r="N53" s="96">
        <v>8818.0</v>
      </c>
      <c r="O53" s="84">
        <v>0.3</v>
      </c>
      <c r="P53" s="84">
        <v>0.3</v>
      </c>
      <c r="Q53" s="133" t="s">
        <v>134</v>
      </c>
      <c r="R53" s="84">
        <v>0.57</v>
      </c>
      <c r="S53" s="84">
        <v>0.34</v>
      </c>
    </row>
    <row r="54">
      <c r="A54" s="76" t="s">
        <v>5712</v>
      </c>
      <c r="B54" s="16" t="s">
        <v>5777</v>
      </c>
      <c r="C54" s="89">
        <v>73849.0</v>
      </c>
      <c r="D54" s="16" t="s">
        <v>5780</v>
      </c>
      <c r="E54" s="16" t="s">
        <v>5780</v>
      </c>
      <c r="F54" s="16" t="s">
        <v>5782</v>
      </c>
      <c r="G54" s="22" t="s">
        <v>5782</v>
      </c>
      <c r="H54" s="22">
        <v>2484.0</v>
      </c>
      <c r="I54" s="84">
        <v>0.4</v>
      </c>
      <c r="J54" s="96">
        <v>1628.0</v>
      </c>
      <c r="K54" s="22">
        <v>9990.0</v>
      </c>
      <c r="L54" s="22">
        <v>6990.0</v>
      </c>
      <c r="M54" s="96">
        <v>5876.0</v>
      </c>
      <c r="N54" s="96">
        <v>4112.0</v>
      </c>
      <c r="O54" s="84">
        <v>0.3</v>
      </c>
      <c r="P54" s="84">
        <v>0.3</v>
      </c>
      <c r="Q54" s="133" t="s">
        <v>134</v>
      </c>
      <c r="R54" s="84">
        <v>0.58</v>
      </c>
      <c r="S54" s="84">
        <v>0.35</v>
      </c>
    </row>
    <row r="55">
      <c r="A55" s="76" t="s">
        <v>5712</v>
      </c>
      <c r="B55" s="16" t="s">
        <v>5777</v>
      </c>
      <c r="C55" s="89">
        <v>72389.0</v>
      </c>
      <c r="D55" s="16" t="s">
        <v>5780</v>
      </c>
      <c r="E55" s="16" t="s">
        <v>5780</v>
      </c>
      <c r="F55" s="16" t="s">
        <v>5783</v>
      </c>
      <c r="G55" s="22" t="s">
        <v>5783</v>
      </c>
      <c r="H55" s="22">
        <v>2484.0</v>
      </c>
      <c r="I55" s="84">
        <v>0.4</v>
      </c>
      <c r="J55" s="96">
        <v>1628.0</v>
      </c>
      <c r="K55" s="22">
        <v>9990.0</v>
      </c>
      <c r="L55" s="22">
        <v>6990.0</v>
      </c>
      <c r="M55" s="96">
        <v>5876.0</v>
      </c>
      <c r="N55" s="96">
        <v>4112.0</v>
      </c>
      <c r="O55" s="84">
        <v>0.3</v>
      </c>
      <c r="P55" s="84">
        <v>0.3</v>
      </c>
      <c r="Q55" s="133" t="s">
        <v>134</v>
      </c>
      <c r="R55" s="84">
        <v>0.58</v>
      </c>
      <c r="S55" s="84">
        <v>0.35</v>
      </c>
    </row>
    <row r="56">
      <c r="A56" s="76" t="s">
        <v>5712</v>
      </c>
      <c r="B56" s="16" t="s">
        <v>5777</v>
      </c>
      <c r="C56" s="89">
        <v>74142.0</v>
      </c>
      <c r="D56" s="16" t="s">
        <v>5780</v>
      </c>
      <c r="E56" s="16" t="s">
        <v>5780</v>
      </c>
      <c r="F56" s="16" t="s">
        <v>5784</v>
      </c>
      <c r="G56" s="22" t="s">
        <v>5784</v>
      </c>
      <c r="H56" s="22">
        <v>2153.0</v>
      </c>
      <c r="I56" s="84">
        <v>0.39</v>
      </c>
      <c r="J56" s="96">
        <v>1371.0</v>
      </c>
      <c r="K56" s="22">
        <v>7990.0</v>
      </c>
      <c r="L56" s="22">
        <v>5990.0</v>
      </c>
      <c r="M56" s="96">
        <v>4700.0</v>
      </c>
      <c r="N56" s="96">
        <v>3524.0</v>
      </c>
      <c r="O56" s="84">
        <v>0.3</v>
      </c>
      <c r="P56" s="84">
        <v>0.3</v>
      </c>
      <c r="Q56" s="133" t="s">
        <v>134</v>
      </c>
      <c r="R56" s="84">
        <v>0.57</v>
      </c>
      <c r="S56" s="84">
        <v>0.34</v>
      </c>
    </row>
    <row r="57">
      <c r="A57" s="76" t="s">
        <v>5712</v>
      </c>
      <c r="B57" s="16" t="s">
        <v>5777</v>
      </c>
      <c r="C57" s="89">
        <v>72383.0</v>
      </c>
      <c r="D57" s="16" t="s">
        <v>5780</v>
      </c>
      <c r="E57" s="16" t="s">
        <v>5780</v>
      </c>
      <c r="F57" s="16" t="s">
        <v>5785</v>
      </c>
      <c r="G57" s="22" t="s">
        <v>5785</v>
      </c>
      <c r="H57" s="22">
        <v>2484.0</v>
      </c>
      <c r="I57" s="84">
        <v>0.4</v>
      </c>
      <c r="J57" s="96">
        <v>1628.0</v>
      </c>
      <c r="K57" s="22">
        <v>9990.0</v>
      </c>
      <c r="L57" s="22">
        <v>6990.0</v>
      </c>
      <c r="M57" s="96">
        <v>5876.0</v>
      </c>
      <c r="N57" s="96">
        <v>4112.0</v>
      </c>
      <c r="O57" s="84">
        <v>0.3</v>
      </c>
      <c r="P57" s="84">
        <v>0.3</v>
      </c>
      <c r="Q57" s="133" t="s">
        <v>134</v>
      </c>
      <c r="R57" s="84">
        <v>0.58</v>
      </c>
      <c r="S57" s="84">
        <v>0.35</v>
      </c>
    </row>
    <row r="58">
      <c r="A58" s="76" t="s">
        <v>5712</v>
      </c>
      <c r="B58" s="16" t="s">
        <v>5777</v>
      </c>
      <c r="C58" s="89">
        <v>72178.0</v>
      </c>
      <c r="D58" s="16" t="s">
        <v>5780</v>
      </c>
      <c r="E58" s="16" t="s">
        <v>5780</v>
      </c>
      <c r="F58" s="16" t="s">
        <v>5786</v>
      </c>
      <c r="G58" s="22" t="s">
        <v>5786</v>
      </c>
      <c r="H58" s="22">
        <v>2484.0</v>
      </c>
      <c r="I58" s="84">
        <v>0.4</v>
      </c>
      <c r="J58" s="96">
        <v>1628.0</v>
      </c>
      <c r="K58" s="22">
        <v>9990.0</v>
      </c>
      <c r="L58" s="22">
        <v>6990.0</v>
      </c>
      <c r="M58" s="96">
        <v>5876.0</v>
      </c>
      <c r="N58" s="96">
        <v>4112.0</v>
      </c>
      <c r="O58" s="84">
        <v>0.3</v>
      </c>
      <c r="P58" s="84">
        <v>0.3</v>
      </c>
      <c r="Q58" s="133" t="s">
        <v>134</v>
      </c>
      <c r="R58" s="84">
        <v>0.58</v>
      </c>
      <c r="S58" s="84">
        <v>0.35</v>
      </c>
    </row>
    <row r="59">
      <c r="A59" s="76" t="s">
        <v>5712</v>
      </c>
      <c r="B59" s="16" t="s">
        <v>5777</v>
      </c>
      <c r="C59" s="89">
        <v>74049.0</v>
      </c>
      <c r="D59" s="16" t="s">
        <v>1340</v>
      </c>
      <c r="E59" s="16" t="s">
        <v>1340</v>
      </c>
      <c r="F59" s="16" t="s">
        <v>5787</v>
      </c>
      <c r="G59" s="22" t="s">
        <v>5787</v>
      </c>
      <c r="H59" s="22">
        <v>6000.0</v>
      </c>
      <c r="I59" s="84">
        <v>0.36</v>
      </c>
      <c r="J59" s="96">
        <v>3406.0</v>
      </c>
      <c r="K59" s="22">
        <v>19990.0</v>
      </c>
      <c r="L59" s="22">
        <v>15990.0</v>
      </c>
      <c r="M59" s="96">
        <v>11759.0</v>
      </c>
      <c r="N59" s="96">
        <v>9406.0</v>
      </c>
      <c r="O59" s="84">
        <v>0.3</v>
      </c>
      <c r="P59" s="84">
        <v>0.3</v>
      </c>
      <c r="Q59" s="133" t="s">
        <v>134</v>
      </c>
      <c r="R59" s="84">
        <v>0.55</v>
      </c>
      <c r="S59" s="84">
        <v>0.32</v>
      </c>
    </row>
    <row r="60">
      <c r="A60" s="76" t="s">
        <v>5712</v>
      </c>
      <c r="B60" s="16" t="s">
        <v>5777</v>
      </c>
      <c r="C60" s="89">
        <v>100706.0</v>
      </c>
      <c r="D60" s="16" t="s">
        <v>1371</v>
      </c>
      <c r="E60" s="16" t="s">
        <v>1371</v>
      </c>
      <c r="F60" s="16" t="s">
        <v>5788</v>
      </c>
      <c r="G60" s="22" t="s">
        <v>5788</v>
      </c>
      <c r="H60" s="22">
        <v>5905.0</v>
      </c>
      <c r="I60" s="84">
        <v>0.37</v>
      </c>
      <c r="J60" s="96">
        <v>3501.0</v>
      </c>
      <c r="K60" s="22">
        <v>19990.0</v>
      </c>
      <c r="L60" s="22">
        <v>15990.0</v>
      </c>
      <c r="M60" s="96">
        <v>11759.0</v>
      </c>
      <c r="N60" s="96">
        <v>9406.0</v>
      </c>
      <c r="O60" s="84">
        <v>0.3</v>
      </c>
      <c r="P60" s="84">
        <v>0.3</v>
      </c>
      <c r="Q60" s="133" t="s">
        <v>134</v>
      </c>
      <c r="R60" s="84">
        <v>0.56</v>
      </c>
      <c r="S60" s="84">
        <v>0.33</v>
      </c>
    </row>
    <row r="61">
      <c r="A61" s="76" t="s">
        <v>5712</v>
      </c>
      <c r="B61" s="16" t="s">
        <v>5777</v>
      </c>
      <c r="C61" s="89">
        <v>71244.0</v>
      </c>
      <c r="D61" s="16" t="s">
        <v>5760</v>
      </c>
      <c r="E61" s="16" t="s">
        <v>5760</v>
      </c>
      <c r="F61" s="16" t="s">
        <v>5789</v>
      </c>
      <c r="G61" s="22" t="s">
        <v>5789</v>
      </c>
      <c r="H61" s="22">
        <v>2474.0</v>
      </c>
      <c r="I61" s="84">
        <v>0.4</v>
      </c>
      <c r="J61" s="96">
        <v>1638.0</v>
      </c>
      <c r="K61" s="22">
        <v>8990.0</v>
      </c>
      <c r="L61" s="22">
        <v>6990.0</v>
      </c>
      <c r="M61" s="96">
        <v>5288.0</v>
      </c>
      <c r="N61" s="96">
        <v>4112.0</v>
      </c>
      <c r="O61" s="84">
        <v>0.3</v>
      </c>
      <c r="P61" s="84">
        <v>0.3</v>
      </c>
      <c r="Q61" s="133" t="s">
        <v>134</v>
      </c>
      <c r="R61" s="84">
        <v>0.58</v>
      </c>
      <c r="S61" s="84">
        <v>0.35</v>
      </c>
    </row>
    <row r="62">
      <c r="A62" s="76" t="s">
        <v>5712</v>
      </c>
      <c r="B62" s="16" t="s">
        <v>5777</v>
      </c>
      <c r="C62" s="89">
        <v>74048.0</v>
      </c>
      <c r="D62" s="16" t="s">
        <v>5790</v>
      </c>
      <c r="E62" s="16" t="s">
        <v>5790</v>
      </c>
      <c r="F62" s="16" t="s">
        <v>5791</v>
      </c>
      <c r="G62" s="22" t="s">
        <v>5791</v>
      </c>
      <c r="H62" s="22">
        <v>8670.0</v>
      </c>
      <c r="I62" s="84">
        <v>0.36</v>
      </c>
      <c r="J62" s="96">
        <v>4854.0</v>
      </c>
      <c r="K62" s="22">
        <v>34990.0</v>
      </c>
      <c r="L62" s="22">
        <v>22990.0</v>
      </c>
      <c r="M62" s="96">
        <v>20582.0</v>
      </c>
      <c r="N62" s="96">
        <v>13524.0</v>
      </c>
      <c r="O62" s="84">
        <v>0.3</v>
      </c>
      <c r="P62" s="84">
        <v>0.3</v>
      </c>
      <c r="Q62" s="133" t="s">
        <v>134</v>
      </c>
      <c r="R62" s="84">
        <v>0.55</v>
      </c>
      <c r="S62" s="84">
        <v>0.32</v>
      </c>
    </row>
    <row r="63">
      <c r="A63" s="76" t="s">
        <v>5712</v>
      </c>
      <c r="B63" s="16" t="s">
        <v>5777</v>
      </c>
      <c r="C63" s="89">
        <v>751178.0</v>
      </c>
      <c r="D63" s="16" t="s">
        <v>5792</v>
      </c>
      <c r="E63" s="16" t="s">
        <v>5792</v>
      </c>
      <c r="F63" s="16" t="s">
        <v>5793</v>
      </c>
      <c r="G63" s="22" t="s">
        <v>5793</v>
      </c>
      <c r="H63" s="22">
        <v>25600.0</v>
      </c>
      <c r="I63" s="84">
        <v>0.33</v>
      </c>
      <c r="J63" s="96">
        <v>12629.0</v>
      </c>
      <c r="K63" s="22">
        <v>119990.0</v>
      </c>
      <c r="L63" s="22">
        <v>64990.0</v>
      </c>
      <c r="M63" s="96">
        <v>70582.0</v>
      </c>
      <c r="N63" s="96">
        <v>38229.0</v>
      </c>
      <c r="O63" s="84">
        <v>0.3</v>
      </c>
      <c r="P63" s="84">
        <v>0.3</v>
      </c>
      <c r="Q63" s="133" t="s">
        <v>134</v>
      </c>
      <c r="R63" s="84">
        <v>0.53</v>
      </c>
      <c r="S63" s="84">
        <v>0.3</v>
      </c>
    </row>
    <row r="64">
      <c r="A64" s="76" t="s">
        <v>5712</v>
      </c>
      <c r="B64" s="16" t="s">
        <v>5777</v>
      </c>
      <c r="C64" s="89">
        <v>731177.0</v>
      </c>
      <c r="D64" s="16" t="s">
        <v>5792</v>
      </c>
      <c r="E64" s="16" t="s">
        <v>5792</v>
      </c>
      <c r="F64" s="16" t="s">
        <v>5794</v>
      </c>
      <c r="G64" s="22" t="s">
        <v>5794</v>
      </c>
      <c r="H64" s="22">
        <v>22460.0</v>
      </c>
      <c r="I64" s="84">
        <v>0.33</v>
      </c>
      <c r="J64" s="96">
        <v>11063.0</v>
      </c>
      <c r="K64" s="22">
        <v>79990.0</v>
      </c>
      <c r="L64" s="22">
        <v>56990.0</v>
      </c>
      <c r="M64" s="96">
        <v>47053.0</v>
      </c>
      <c r="N64" s="96">
        <v>33524.0</v>
      </c>
      <c r="O64" s="84">
        <v>0.3</v>
      </c>
      <c r="P64" s="84">
        <v>0.3</v>
      </c>
      <c r="Q64" s="133" t="s">
        <v>134</v>
      </c>
      <c r="R64" s="84">
        <v>0.53</v>
      </c>
      <c r="S64" s="84">
        <v>0.3</v>
      </c>
    </row>
    <row r="65">
      <c r="A65" s="76" t="s">
        <v>5712</v>
      </c>
      <c r="B65" s="16" t="s">
        <v>5777</v>
      </c>
      <c r="C65" s="89">
        <v>73131.0</v>
      </c>
      <c r="D65" s="16" t="s">
        <v>5792</v>
      </c>
      <c r="E65" s="16" t="s">
        <v>5792</v>
      </c>
      <c r="F65" s="16" t="s">
        <v>5795</v>
      </c>
      <c r="G65" s="22" t="s">
        <v>5795</v>
      </c>
      <c r="H65" s="22">
        <v>10298.0</v>
      </c>
      <c r="I65" s="84">
        <v>0.35</v>
      </c>
      <c r="J65" s="96">
        <v>5578.0</v>
      </c>
      <c r="K65" s="22">
        <v>34990.0</v>
      </c>
      <c r="L65" s="22">
        <v>26990.0</v>
      </c>
      <c r="M65" s="96">
        <v>20582.0</v>
      </c>
      <c r="N65" s="96">
        <v>15876.0</v>
      </c>
      <c r="O65" s="84">
        <v>0.3</v>
      </c>
      <c r="P65" s="84">
        <v>0.3</v>
      </c>
      <c r="Q65" s="133" t="s">
        <v>134</v>
      </c>
      <c r="R65" s="84">
        <v>0.55</v>
      </c>
      <c r="S65" s="84">
        <v>0.32</v>
      </c>
      <c r="T65" s="37"/>
      <c r="U65" s="37"/>
    </row>
    <row r="66">
      <c r="A66" s="76" t="s">
        <v>5712</v>
      </c>
      <c r="B66" s="16" t="s">
        <v>5777</v>
      </c>
      <c r="C66" s="89">
        <v>73130.0</v>
      </c>
      <c r="D66" s="16" t="s">
        <v>5792</v>
      </c>
      <c r="E66" s="16" t="s">
        <v>5792</v>
      </c>
      <c r="F66" s="16" t="s">
        <v>5796</v>
      </c>
      <c r="G66" s="22" t="s">
        <v>5796</v>
      </c>
      <c r="H66" s="22">
        <v>7324.0</v>
      </c>
      <c r="I66" s="84">
        <v>0.34</v>
      </c>
      <c r="J66" s="96">
        <v>3847.0</v>
      </c>
      <c r="K66" s="22">
        <v>24990.0</v>
      </c>
      <c r="L66" s="22">
        <v>18990.0</v>
      </c>
      <c r="M66" s="96">
        <v>14700.0</v>
      </c>
      <c r="N66" s="96">
        <v>11171.0</v>
      </c>
      <c r="O66" s="84">
        <v>0.3</v>
      </c>
      <c r="P66" s="84">
        <v>0.3</v>
      </c>
      <c r="Q66" s="133" t="s">
        <v>134</v>
      </c>
      <c r="R66" s="84">
        <v>0.54</v>
      </c>
      <c r="S66" s="84">
        <v>0.31</v>
      </c>
      <c r="T66" s="37"/>
      <c r="U66" s="37"/>
    </row>
    <row r="67">
      <c r="A67" s="76" t="s">
        <v>5712</v>
      </c>
      <c r="B67" s="16" t="s">
        <v>5777</v>
      </c>
      <c r="C67" s="89">
        <v>73730.0</v>
      </c>
      <c r="D67" s="16" t="s">
        <v>5721</v>
      </c>
      <c r="E67" s="16" t="s">
        <v>5721</v>
      </c>
      <c r="F67" s="16" t="s">
        <v>5797</v>
      </c>
      <c r="G67" s="22" t="s">
        <v>5797</v>
      </c>
      <c r="H67" s="22">
        <v>9080.0</v>
      </c>
      <c r="I67" s="84">
        <v>0.36</v>
      </c>
      <c r="J67" s="96">
        <v>5032.0</v>
      </c>
      <c r="K67" s="22">
        <v>32990.0</v>
      </c>
      <c r="L67" s="22">
        <v>23990.0</v>
      </c>
      <c r="M67" s="96">
        <v>19406.0</v>
      </c>
      <c r="N67" s="96">
        <v>14112.0</v>
      </c>
      <c r="O67" s="84">
        <v>0.3</v>
      </c>
      <c r="P67" s="84">
        <v>0.3</v>
      </c>
      <c r="Q67" s="133" t="s">
        <v>134</v>
      </c>
      <c r="R67" s="84">
        <v>0.55</v>
      </c>
      <c r="S67" s="84">
        <v>0.32</v>
      </c>
      <c r="T67" s="37"/>
      <c r="U67" s="37"/>
    </row>
    <row r="68">
      <c r="A68" s="76" t="s">
        <v>5712</v>
      </c>
      <c r="B68" s="16" t="s">
        <v>5777</v>
      </c>
      <c r="C68" s="89">
        <v>731145.0</v>
      </c>
      <c r="D68" s="16" t="s">
        <v>5721</v>
      </c>
      <c r="E68" s="16" t="s">
        <v>5721</v>
      </c>
      <c r="F68" s="16" t="s">
        <v>5798</v>
      </c>
      <c r="G68" s="22" t="s">
        <v>5798</v>
      </c>
      <c r="H68" s="22">
        <v>7080.0</v>
      </c>
      <c r="I68" s="84">
        <v>0.37</v>
      </c>
      <c r="J68" s="96">
        <v>4091.0</v>
      </c>
      <c r="K68" s="22">
        <v>22990.0</v>
      </c>
      <c r="L68" s="22">
        <v>18990.0</v>
      </c>
      <c r="M68" s="96">
        <v>13524.0</v>
      </c>
      <c r="N68" s="96">
        <v>11171.0</v>
      </c>
      <c r="O68" s="84">
        <v>0.3</v>
      </c>
      <c r="P68" s="84">
        <v>0.3</v>
      </c>
      <c r="Q68" s="133" t="s">
        <v>134</v>
      </c>
      <c r="R68" s="84">
        <v>0.56</v>
      </c>
      <c r="S68" s="84">
        <v>0.33</v>
      </c>
      <c r="T68" s="37"/>
      <c r="U68" s="37"/>
    </row>
    <row r="69">
      <c r="A69" s="76" t="s">
        <v>5712</v>
      </c>
      <c r="B69" s="16" t="s">
        <v>5777</v>
      </c>
      <c r="C69" s="89">
        <v>73132.0</v>
      </c>
      <c r="D69" s="16" t="s">
        <v>5721</v>
      </c>
      <c r="E69" s="16" t="s">
        <v>5721</v>
      </c>
      <c r="F69" s="16" t="s">
        <v>5799</v>
      </c>
      <c r="G69" s="22" t="s">
        <v>5799</v>
      </c>
      <c r="H69" s="22">
        <v>5289.0</v>
      </c>
      <c r="I69" s="84">
        <v>0.36</v>
      </c>
      <c r="J69" s="96">
        <v>2940.0</v>
      </c>
      <c r="K69" s="22">
        <v>17990.0</v>
      </c>
      <c r="L69" s="22">
        <v>13990.0</v>
      </c>
      <c r="M69" s="96">
        <v>10582.0</v>
      </c>
      <c r="N69" s="96">
        <v>8229.0</v>
      </c>
      <c r="O69" s="84">
        <v>0.3</v>
      </c>
      <c r="P69" s="84">
        <v>0.3</v>
      </c>
      <c r="Q69" s="133" t="s">
        <v>134</v>
      </c>
      <c r="R69" s="84">
        <v>0.55</v>
      </c>
      <c r="S69" s="84">
        <v>0.32</v>
      </c>
      <c r="T69" s="37"/>
      <c r="U69" s="37"/>
    </row>
    <row r="70">
      <c r="A70" s="76" t="s">
        <v>5712</v>
      </c>
      <c r="B70" s="16" t="s">
        <v>5777</v>
      </c>
      <c r="C70" s="89">
        <v>731144.0</v>
      </c>
      <c r="D70" s="16" t="s">
        <v>5721</v>
      </c>
      <c r="E70" s="16" t="s">
        <v>5721</v>
      </c>
      <c r="F70" s="16" t="s">
        <v>5800</v>
      </c>
      <c r="G70" s="22" t="s">
        <v>5800</v>
      </c>
      <c r="H70" s="22">
        <v>3600.0</v>
      </c>
      <c r="I70" s="84">
        <v>0.39</v>
      </c>
      <c r="J70" s="96">
        <v>2276.0</v>
      </c>
      <c r="K70" s="22">
        <v>14990.0</v>
      </c>
      <c r="L70" s="22">
        <v>9990.0</v>
      </c>
      <c r="M70" s="96">
        <v>8818.0</v>
      </c>
      <c r="N70" s="96">
        <v>5876.0</v>
      </c>
      <c r="O70" s="84">
        <v>0.3</v>
      </c>
      <c r="P70" s="84">
        <v>0.3</v>
      </c>
      <c r="Q70" s="133" t="s">
        <v>134</v>
      </c>
      <c r="R70" s="84">
        <v>0.57</v>
      </c>
      <c r="S70" s="84">
        <v>0.34</v>
      </c>
      <c r="T70" s="37"/>
      <c r="U70" s="37"/>
    </row>
    <row r="71">
      <c r="A71" s="76" t="s">
        <v>5712</v>
      </c>
      <c r="B71" s="16" t="s">
        <v>5777</v>
      </c>
      <c r="C71" s="89">
        <v>731154.0</v>
      </c>
      <c r="D71" s="16" t="s">
        <v>5771</v>
      </c>
      <c r="E71" s="16" t="s">
        <v>5771</v>
      </c>
      <c r="F71" s="16" t="s">
        <v>5801</v>
      </c>
      <c r="G71" s="22" t="s">
        <v>5801</v>
      </c>
      <c r="H71" s="22">
        <v>4980.0</v>
      </c>
      <c r="I71" s="84">
        <v>0.35</v>
      </c>
      <c r="J71" s="96">
        <v>2661.0</v>
      </c>
      <c r="K71" s="22">
        <v>19990.0</v>
      </c>
      <c r="L71" s="22">
        <v>12990.0</v>
      </c>
      <c r="M71" s="96">
        <v>11759.0</v>
      </c>
      <c r="N71" s="96">
        <v>7641.0</v>
      </c>
      <c r="O71" s="84">
        <v>0.3</v>
      </c>
      <c r="P71" s="84">
        <v>0.3</v>
      </c>
      <c r="Q71" s="133" t="s">
        <v>134</v>
      </c>
      <c r="R71" s="84">
        <v>0.54</v>
      </c>
      <c r="S71" s="84">
        <v>0.31</v>
      </c>
      <c r="T71" s="37"/>
      <c r="U71" s="37"/>
    </row>
    <row r="72">
      <c r="A72" s="76" t="s">
        <v>5712</v>
      </c>
      <c r="B72" s="16" t="s">
        <v>5777</v>
      </c>
      <c r="C72" s="89">
        <v>75095.0</v>
      </c>
      <c r="D72" s="16" t="s">
        <v>5774</v>
      </c>
      <c r="E72" s="16" t="s">
        <v>5774</v>
      </c>
      <c r="F72" s="16" t="s">
        <v>5802</v>
      </c>
      <c r="G72" s="22" t="s">
        <v>5802</v>
      </c>
      <c r="H72" s="22">
        <v>7014.0</v>
      </c>
      <c r="I72" s="84">
        <v>0.37</v>
      </c>
      <c r="J72" s="96">
        <v>4157.0</v>
      </c>
      <c r="K72" s="22">
        <v>19990.0</v>
      </c>
      <c r="L72" s="22">
        <v>18990.0</v>
      </c>
      <c r="M72" s="96">
        <v>11759.0</v>
      </c>
      <c r="N72" s="96">
        <v>11171.0</v>
      </c>
      <c r="O72" s="84">
        <v>0.3</v>
      </c>
      <c r="P72" s="84">
        <v>0.3</v>
      </c>
      <c r="Q72" s="133" t="s">
        <v>134</v>
      </c>
      <c r="R72" s="84">
        <v>0.56</v>
      </c>
      <c r="S72" s="84">
        <v>0.33</v>
      </c>
      <c r="T72" s="37"/>
      <c r="U72" s="37"/>
    </row>
    <row r="73">
      <c r="A73" s="76" t="s">
        <v>5712</v>
      </c>
      <c r="B73" s="16" t="s">
        <v>5777</v>
      </c>
      <c r="C73" s="89">
        <v>74173.0</v>
      </c>
      <c r="D73" s="16" t="s">
        <v>5774</v>
      </c>
      <c r="E73" s="16" t="s">
        <v>5774</v>
      </c>
      <c r="F73" s="16" t="s">
        <v>5803</v>
      </c>
      <c r="G73" s="22" t="s">
        <v>5803</v>
      </c>
      <c r="H73" s="22">
        <v>2808.0</v>
      </c>
      <c r="I73" s="84">
        <v>0.4</v>
      </c>
      <c r="J73" s="96">
        <v>1892.0</v>
      </c>
      <c r="K73" s="22">
        <v>8990.0</v>
      </c>
      <c r="L73" s="22">
        <v>7990.0</v>
      </c>
      <c r="M73" s="96">
        <v>5288.0</v>
      </c>
      <c r="N73" s="96">
        <v>4700.0</v>
      </c>
      <c r="O73" s="84">
        <v>0.3</v>
      </c>
      <c r="P73" s="84">
        <v>0.3</v>
      </c>
      <c r="Q73" s="133" t="s">
        <v>134</v>
      </c>
      <c r="R73" s="84">
        <v>0.58</v>
      </c>
      <c r="S73" s="84">
        <v>0.35</v>
      </c>
      <c r="T73" s="37"/>
      <c r="U73" s="37"/>
    </row>
    <row r="74">
      <c r="A74" s="76" t="s">
        <v>5712</v>
      </c>
      <c r="B74" s="16" t="s">
        <v>5777</v>
      </c>
      <c r="C74" s="89">
        <v>10844.0</v>
      </c>
      <c r="D74" s="16" t="s">
        <v>5774</v>
      </c>
      <c r="E74" s="16" t="s">
        <v>5774</v>
      </c>
      <c r="F74" s="16" t="s">
        <v>5804</v>
      </c>
      <c r="G74" s="22" t="s">
        <v>5804</v>
      </c>
      <c r="H74" s="22">
        <v>2325.0</v>
      </c>
      <c r="I74" s="84">
        <v>0.43</v>
      </c>
      <c r="J74" s="96">
        <v>1787.0</v>
      </c>
      <c r="K74" s="22">
        <v>7990.0</v>
      </c>
      <c r="L74" s="22">
        <v>6990.0</v>
      </c>
      <c r="M74" s="96">
        <v>4700.0</v>
      </c>
      <c r="N74" s="96">
        <v>4112.0</v>
      </c>
      <c r="O74" s="84">
        <v>0.3</v>
      </c>
      <c r="P74" s="84">
        <v>0.3</v>
      </c>
      <c r="Q74" s="133" t="s">
        <v>134</v>
      </c>
      <c r="R74" s="84">
        <v>0.6</v>
      </c>
      <c r="S74" s="84">
        <v>0.37</v>
      </c>
      <c r="T74" s="37"/>
      <c r="U74" s="37"/>
    </row>
    <row r="75">
      <c r="A75" s="76" t="s">
        <v>5712</v>
      </c>
      <c r="B75" s="16" t="s">
        <v>5777</v>
      </c>
      <c r="C75" s="89">
        <v>10644.0</v>
      </c>
      <c r="D75" s="16" t="s">
        <v>5805</v>
      </c>
      <c r="E75" s="16" t="s">
        <v>5805</v>
      </c>
      <c r="F75" s="16" t="s">
        <v>5806</v>
      </c>
      <c r="G75" s="22" t="s">
        <v>5806</v>
      </c>
      <c r="H75" s="22">
        <v>3360.0</v>
      </c>
      <c r="I75" s="84">
        <v>0.36</v>
      </c>
      <c r="J75" s="96">
        <v>1928.0</v>
      </c>
      <c r="K75" s="22">
        <v>9990.0</v>
      </c>
      <c r="L75" s="22">
        <v>8990.0</v>
      </c>
      <c r="M75" s="96">
        <v>5876.0</v>
      </c>
      <c r="N75" s="96">
        <v>5288.0</v>
      </c>
      <c r="O75" s="84">
        <v>0.3</v>
      </c>
      <c r="P75" s="84">
        <v>0.3</v>
      </c>
      <c r="Q75" s="133" t="s">
        <v>134</v>
      </c>
      <c r="R75" s="84">
        <v>0.56</v>
      </c>
      <c r="S75" s="84">
        <v>0.33</v>
      </c>
      <c r="T75" s="37"/>
      <c r="U75" s="37"/>
    </row>
    <row r="76">
      <c r="A76" s="76" t="s">
        <v>5712</v>
      </c>
      <c r="B76" s="16" t="s">
        <v>5807</v>
      </c>
      <c r="C76" s="89">
        <v>160753.0</v>
      </c>
      <c r="D76" s="16" t="s">
        <v>5808</v>
      </c>
      <c r="E76" s="16" t="s">
        <v>5808</v>
      </c>
      <c r="F76" s="16" t="s">
        <v>5809</v>
      </c>
      <c r="G76" s="22" t="s">
        <v>5809</v>
      </c>
      <c r="H76" s="22">
        <v>5453.0</v>
      </c>
      <c r="I76" s="84">
        <v>0.38</v>
      </c>
      <c r="J76" s="96">
        <v>3365.0</v>
      </c>
      <c r="K76" s="22">
        <v>17990.0</v>
      </c>
      <c r="L76" s="22">
        <v>14990.0</v>
      </c>
      <c r="M76" s="96">
        <v>10582.0</v>
      </c>
      <c r="N76" s="96">
        <v>8818.0</v>
      </c>
      <c r="O76" s="84">
        <v>0.3</v>
      </c>
      <c r="P76" s="84">
        <v>0.3</v>
      </c>
      <c r="Q76" s="133" t="s">
        <v>134</v>
      </c>
      <c r="R76" s="84">
        <v>0.57</v>
      </c>
      <c r="S76" s="84">
        <v>0.34</v>
      </c>
      <c r="T76" s="37"/>
      <c r="U76" s="37"/>
    </row>
    <row r="77">
      <c r="A77" s="76" t="s">
        <v>5712</v>
      </c>
      <c r="B77" s="16" t="s">
        <v>5807</v>
      </c>
      <c r="C77" s="89">
        <v>160616.0</v>
      </c>
      <c r="D77" s="16" t="s">
        <v>5810</v>
      </c>
      <c r="E77" s="16" t="s">
        <v>5810</v>
      </c>
      <c r="F77" s="16" t="s">
        <v>5811</v>
      </c>
      <c r="G77" s="22" t="s">
        <v>5811</v>
      </c>
      <c r="H77" s="22">
        <v>6253.0</v>
      </c>
      <c r="I77" s="84">
        <v>0.37</v>
      </c>
      <c r="J77" s="96">
        <v>3741.0</v>
      </c>
      <c r="K77" s="22">
        <v>19990.0</v>
      </c>
      <c r="L77" s="22">
        <v>16990.0</v>
      </c>
      <c r="M77" s="96">
        <v>11759.0</v>
      </c>
      <c r="N77" s="96">
        <v>9994.0</v>
      </c>
      <c r="O77" s="84">
        <v>0.3</v>
      </c>
      <c r="P77" s="84">
        <v>0.3</v>
      </c>
      <c r="Q77" s="133" t="s">
        <v>134</v>
      </c>
      <c r="R77" s="84">
        <v>0.56</v>
      </c>
      <c r="S77" s="84">
        <v>0.33</v>
      </c>
      <c r="T77" s="37"/>
      <c r="U77" s="37"/>
    </row>
    <row r="78">
      <c r="A78" s="76" t="s">
        <v>5712</v>
      </c>
      <c r="B78" s="16" t="s">
        <v>5807</v>
      </c>
      <c r="C78" s="89">
        <v>194905.0</v>
      </c>
      <c r="D78" s="16" t="s">
        <v>1190</v>
      </c>
      <c r="E78" s="16" t="s">
        <v>1190</v>
      </c>
      <c r="F78" s="16" t="s">
        <v>5812</v>
      </c>
      <c r="G78" s="22" t="s">
        <v>5812</v>
      </c>
      <c r="H78" s="22">
        <v>12263.0</v>
      </c>
      <c r="I78" s="84">
        <v>0.35</v>
      </c>
      <c r="J78" s="96">
        <v>6555.0</v>
      </c>
      <c r="K78" s="22">
        <v>32990.0</v>
      </c>
      <c r="L78" s="22">
        <v>31990.0</v>
      </c>
      <c r="M78" s="96">
        <v>19406.0</v>
      </c>
      <c r="N78" s="96">
        <v>18818.0</v>
      </c>
      <c r="O78" s="84">
        <v>0.3</v>
      </c>
      <c r="P78" s="84">
        <v>0.3</v>
      </c>
      <c r="Q78" s="133" t="s">
        <v>134</v>
      </c>
      <c r="R78" s="84">
        <v>0.54</v>
      </c>
      <c r="S78" s="84">
        <v>0.31</v>
      </c>
      <c r="T78" s="37"/>
      <c r="U78" s="37"/>
    </row>
    <row r="79">
      <c r="A79" s="76" t="s">
        <v>5712</v>
      </c>
      <c r="B79" s="16" t="s">
        <v>5807</v>
      </c>
      <c r="C79" s="89">
        <v>150287.0</v>
      </c>
      <c r="D79" s="16" t="s">
        <v>1190</v>
      </c>
      <c r="E79" s="16" t="s">
        <v>1190</v>
      </c>
      <c r="F79" s="16" t="s">
        <v>5813</v>
      </c>
      <c r="G79" s="22" t="s">
        <v>5813</v>
      </c>
      <c r="H79" s="22">
        <v>7222.0</v>
      </c>
      <c r="I79" s="84">
        <v>0.35</v>
      </c>
      <c r="J79" s="96">
        <v>3949.0</v>
      </c>
      <c r="K79" s="22">
        <v>19990.0</v>
      </c>
      <c r="L79" s="22">
        <v>18990.0</v>
      </c>
      <c r="M79" s="96">
        <v>11759.0</v>
      </c>
      <c r="N79" s="96">
        <v>11171.0</v>
      </c>
      <c r="O79" s="84">
        <v>0.3</v>
      </c>
      <c r="P79" s="84">
        <v>0.3</v>
      </c>
      <c r="Q79" s="133" t="s">
        <v>134</v>
      </c>
      <c r="R79" s="84">
        <v>0.55</v>
      </c>
      <c r="S79" s="84">
        <v>0.32</v>
      </c>
      <c r="T79" s="37"/>
      <c r="U79" s="37"/>
    </row>
    <row r="80">
      <c r="A80" s="76" t="s">
        <v>5712</v>
      </c>
      <c r="B80" s="16" t="s">
        <v>5807</v>
      </c>
      <c r="C80" s="89">
        <v>176926.0</v>
      </c>
      <c r="D80" s="16" t="s">
        <v>5774</v>
      </c>
      <c r="E80" s="16" t="s">
        <v>5774</v>
      </c>
      <c r="F80" s="16" t="s">
        <v>5814</v>
      </c>
      <c r="G80" s="22" t="s">
        <v>5814</v>
      </c>
      <c r="H80" s="22">
        <v>4471.0</v>
      </c>
      <c r="I80" s="84">
        <v>0.37</v>
      </c>
      <c r="J80" s="96">
        <v>2582.0</v>
      </c>
      <c r="K80" s="22">
        <v>14990.0</v>
      </c>
      <c r="L80" s="22">
        <v>11990.0</v>
      </c>
      <c r="M80" s="96">
        <v>8818.0</v>
      </c>
      <c r="N80" s="96">
        <v>7053.0</v>
      </c>
      <c r="O80" s="84">
        <v>0.3</v>
      </c>
      <c r="P80" s="84">
        <v>0.3</v>
      </c>
      <c r="Q80" s="133" t="s">
        <v>134</v>
      </c>
      <c r="R80" s="84">
        <v>0.56</v>
      </c>
      <c r="S80" s="84">
        <v>0.33</v>
      </c>
      <c r="T80" s="37"/>
      <c r="U80" s="37"/>
    </row>
    <row r="81">
      <c r="A81" s="76" t="s">
        <v>5712</v>
      </c>
      <c r="B81" s="16" t="s">
        <v>5807</v>
      </c>
      <c r="C81" s="89">
        <v>188455.0</v>
      </c>
      <c r="D81" s="16" t="s">
        <v>5774</v>
      </c>
      <c r="E81" s="16" t="s">
        <v>5774</v>
      </c>
      <c r="F81" s="16" t="s">
        <v>5815</v>
      </c>
      <c r="G81" s="22" t="s">
        <v>5815</v>
      </c>
      <c r="H81" s="22">
        <v>4531.0</v>
      </c>
      <c r="I81" s="84">
        <v>0.36</v>
      </c>
      <c r="J81" s="96">
        <v>2522.0</v>
      </c>
      <c r="K81" s="22">
        <v>14990.0</v>
      </c>
      <c r="L81" s="22">
        <v>11990.0</v>
      </c>
      <c r="M81" s="96">
        <v>8818.0</v>
      </c>
      <c r="N81" s="96">
        <v>7053.0</v>
      </c>
      <c r="O81" s="84">
        <v>0.3</v>
      </c>
      <c r="P81" s="84">
        <v>0.3</v>
      </c>
      <c r="Q81" s="133" t="s">
        <v>134</v>
      </c>
      <c r="R81" s="84">
        <v>0.55</v>
      </c>
      <c r="S81" s="84">
        <v>0.32</v>
      </c>
      <c r="T81" s="37"/>
      <c r="U81" s="37"/>
    </row>
    <row r="82">
      <c r="A82" s="76" t="s">
        <v>5712</v>
      </c>
      <c r="B82" s="16" t="s">
        <v>5713</v>
      </c>
      <c r="C82" s="16" t="s">
        <v>5816</v>
      </c>
      <c r="D82" s="16" t="s">
        <v>5774</v>
      </c>
      <c r="E82" s="16" t="s">
        <v>5774</v>
      </c>
      <c r="F82" s="16" t="s">
        <v>5817</v>
      </c>
      <c r="G82" s="22" t="s">
        <v>5817</v>
      </c>
      <c r="H82" s="22">
        <v>16579.0</v>
      </c>
      <c r="I82" s="84">
        <v>0.33</v>
      </c>
      <c r="J82" s="96">
        <v>8121.0</v>
      </c>
      <c r="K82" s="22">
        <v>59990.0</v>
      </c>
      <c r="L82" s="22">
        <v>41990.0</v>
      </c>
      <c r="M82" s="96">
        <v>35288.0</v>
      </c>
      <c r="N82" s="96">
        <v>24700.0</v>
      </c>
      <c r="O82" s="84">
        <v>0.3</v>
      </c>
      <c r="P82" s="84">
        <v>0.3</v>
      </c>
      <c r="Q82" s="133" t="s">
        <v>134</v>
      </c>
      <c r="R82" s="84">
        <v>0.53</v>
      </c>
      <c r="S82" s="84">
        <v>0.3</v>
      </c>
      <c r="T82" s="37"/>
      <c r="U82" s="37"/>
    </row>
    <row r="83">
      <c r="A83" s="76" t="s">
        <v>5712</v>
      </c>
      <c r="B83" s="16" t="s">
        <v>5713</v>
      </c>
      <c r="C83" s="16" t="s">
        <v>3987</v>
      </c>
      <c r="D83" s="16" t="s">
        <v>5774</v>
      </c>
      <c r="E83" s="16" t="s">
        <v>5774</v>
      </c>
      <c r="F83" s="16" t="s">
        <v>5818</v>
      </c>
      <c r="G83" s="22" t="s">
        <v>5818</v>
      </c>
      <c r="H83" s="22">
        <v>4353.0</v>
      </c>
      <c r="I83" s="84">
        <v>0.43</v>
      </c>
      <c r="J83" s="96">
        <v>3288.0</v>
      </c>
      <c r="K83" s="22">
        <v>16990.0</v>
      </c>
      <c r="L83" s="22">
        <v>12990.0</v>
      </c>
      <c r="M83" s="96">
        <v>9994.0</v>
      </c>
      <c r="N83" s="96">
        <v>7641.0</v>
      </c>
      <c r="O83" s="84">
        <v>0.3</v>
      </c>
      <c r="P83" s="84">
        <v>0.3</v>
      </c>
      <c r="Q83" s="133" t="s">
        <v>134</v>
      </c>
      <c r="R83" s="84">
        <v>0.6</v>
      </c>
      <c r="S83" s="84">
        <v>0.37</v>
      </c>
      <c r="T83" s="37"/>
      <c r="U83" s="37"/>
    </row>
    <row r="84">
      <c r="A84" s="76" t="s">
        <v>5712</v>
      </c>
      <c r="B84" s="16" t="s">
        <v>5738</v>
      </c>
      <c r="C84" s="89">
        <v>189717.0</v>
      </c>
      <c r="D84" s="16" t="s">
        <v>5774</v>
      </c>
      <c r="E84" s="16" t="s">
        <v>5774</v>
      </c>
      <c r="F84" s="16" t="s">
        <v>5819</v>
      </c>
      <c r="G84" s="22" t="s">
        <v>5819</v>
      </c>
      <c r="H84" s="22">
        <v>6507.0</v>
      </c>
      <c r="I84" s="84">
        <v>0.35</v>
      </c>
      <c r="J84" s="96">
        <v>3487.0</v>
      </c>
      <c r="K84" s="22">
        <v>19990.0</v>
      </c>
      <c r="L84" s="22">
        <v>16990.0</v>
      </c>
      <c r="M84" s="96">
        <v>11759.0</v>
      </c>
      <c r="N84" s="96">
        <v>9994.0</v>
      </c>
      <c r="O84" s="84">
        <v>0.3</v>
      </c>
      <c r="P84" s="84">
        <v>0.3</v>
      </c>
      <c r="Q84" s="133" t="s">
        <v>20</v>
      </c>
      <c r="R84" s="84">
        <v>0.54</v>
      </c>
      <c r="S84" s="84">
        <v>0.31</v>
      </c>
      <c r="T84" s="37"/>
      <c r="U84" s="37"/>
    </row>
    <row r="85">
      <c r="A85" s="76" t="s">
        <v>5712</v>
      </c>
      <c r="B85" s="16" t="s">
        <v>5713</v>
      </c>
      <c r="C85" s="16" t="s">
        <v>3785</v>
      </c>
      <c r="D85" s="16" t="s">
        <v>5774</v>
      </c>
      <c r="E85" s="16" t="s">
        <v>5774</v>
      </c>
      <c r="F85" s="16" t="s">
        <v>5820</v>
      </c>
      <c r="G85" s="22" t="s">
        <v>5820</v>
      </c>
      <c r="H85" s="22">
        <v>3513.0</v>
      </c>
      <c r="I85" s="84">
        <v>0.54</v>
      </c>
      <c r="J85" s="96">
        <v>4128.0</v>
      </c>
      <c r="K85" s="22">
        <v>16990.0</v>
      </c>
      <c r="L85" s="22">
        <v>12990.0</v>
      </c>
      <c r="M85" s="96">
        <v>9994.0</v>
      </c>
      <c r="N85" s="96">
        <v>7641.0</v>
      </c>
      <c r="O85" s="84">
        <v>0.3</v>
      </c>
      <c r="P85" s="84">
        <v>0.3</v>
      </c>
      <c r="Q85" s="133" t="s">
        <v>20</v>
      </c>
      <c r="R85" s="84">
        <v>0.68</v>
      </c>
      <c r="S85" s="84">
        <v>0.45</v>
      </c>
      <c r="T85" s="37"/>
      <c r="U85" s="37"/>
    </row>
    <row r="86">
      <c r="A86" s="76" t="s">
        <v>5712</v>
      </c>
      <c r="B86" s="16" t="s">
        <v>5821</v>
      </c>
      <c r="C86" s="89">
        <v>188914.0</v>
      </c>
      <c r="D86" s="16" t="s">
        <v>5774</v>
      </c>
      <c r="E86" s="16" t="s">
        <v>5774</v>
      </c>
      <c r="F86" s="16" t="s">
        <v>5822</v>
      </c>
      <c r="G86" s="22" t="s">
        <v>5822</v>
      </c>
      <c r="H86" s="22">
        <v>9394.0</v>
      </c>
      <c r="I86" s="84">
        <v>0.33</v>
      </c>
      <c r="J86" s="96">
        <v>4718.0</v>
      </c>
      <c r="K86" s="22">
        <v>21990.0</v>
      </c>
      <c r="L86" s="22">
        <v>23990.0</v>
      </c>
      <c r="M86" s="96">
        <v>12935.0</v>
      </c>
      <c r="N86" s="96">
        <v>14112.0</v>
      </c>
      <c r="O86" s="84">
        <v>0.3</v>
      </c>
      <c r="P86" s="84">
        <v>0.3</v>
      </c>
      <c r="Q86" s="133" t="s">
        <v>134</v>
      </c>
      <c r="R86" s="84">
        <v>0.53</v>
      </c>
      <c r="S86" s="84">
        <v>0.3</v>
      </c>
      <c r="T86" s="37"/>
      <c r="U86" s="37"/>
    </row>
    <row r="87">
      <c r="A87" s="76" t="s">
        <v>5712</v>
      </c>
      <c r="B87" s="16" t="s">
        <v>5821</v>
      </c>
      <c r="C87" s="16" t="s">
        <v>5823</v>
      </c>
      <c r="D87" s="16" t="s">
        <v>5774</v>
      </c>
      <c r="E87" s="16" t="s">
        <v>5774</v>
      </c>
      <c r="F87" s="16" t="s">
        <v>5824</v>
      </c>
      <c r="G87" s="22" t="s">
        <v>5824</v>
      </c>
      <c r="H87" s="22">
        <v>3287.0</v>
      </c>
      <c r="I87" s="84">
        <v>0.44</v>
      </c>
      <c r="J87" s="96">
        <v>2590.0</v>
      </c>
      <c r="K87" s="22">
        <v>14990.0</v>
      </c>
      <c r="L87" s="22">
        <v>9990.0</v>
      </c>
      <c r="M87" s="96">
        <v>8818.0</v>
      </c>
      <c r="N87" s="96">
        <v>5876.0</v>
      </c>
      <c r="O87" s="84">
        <v>0.3</v>
      </c>
      <c r="P87" s="84">
        <v>0.3</v>
      </c>
      <c r="Q87" s="133" t="s">
        <v>134</v>
      </c>
      <c r="R87" s="84">
        <v>0.61</v>
      </c>
      <c r="S87" s="84">
        <v>0.38</v>
      </c>
      <c r="T87" s="90"/>
      <c r="U87" s="90"/>
    </row>
    <row r="88">
      <c r="A88" s="76" t="s">
        <v>5712</v>
      </c>
      <c r="B88" s="16" t="s">
        <v>5713</v>
      </c>
      <c r="C88" s="89">
        <v>178603.0</v>
      </c>
      <c r="D88" s="16" t="s">
        <v>5774</v>
      </c>
      <c r="E88" s="16" t="s">
        <v>5774</v>
      </c>
      <c r="F88" s="16" t="s">
        <v>5825</v>
      </c>
      <c r="G88" s="22" t="s">
        <v>5825</v>
      </c>
      <c r="H88" s="22">
        <v>6711.0</v>
      </c>
      <c r="I88" s="84">
        <v>0.37</v>
      </c>
      <c r="J88" s="96">
        <v>3871.0</v>
      </c>
      <c r="K88" s="22">
        <v>22990.0</v>
      </c>
      <c r="L88" s="22">
        <v>17990.0</v>
      </c>
      <c r="M88" s="96">
        <v>13524.0</v>
      </c>
      <c r="N88" s="96">
        <v>10582.0</v>
      </c>
      <c r="O88" s="84">
        <v>0.3</v>
      </c>
      <c r="P88" s="84">
        <v>0.3</v>
      </c>
      <c r="Q88" s="133" t="s">
        <v>134</v>
      </c>
      <c r="R88" s="84">
        <v>0.56</v>
      </c>
      <c r="S88" s="84">
        <v>0.33</v>
      </c>
      <c r="T88" s="90"/>
      <c r="U88" s="90"/>
    </row>
    <row r="89">
      <c r="A89" s="76" t="s">
        <v>5712</v>
      </c>
      <c r="B89" s="16" t="s">
        <v>5738</v>
      </c>
      <c r="C89" s="89">
        <v>189646.0</v>
      </c>
      <c r="D89" s="16" t="s">
        <v>5774</v>
      </c>
      <c r="E89" s="16" t="s">
        <v>5774</v>
      </c>
      <c r="F89" s="16" t="s">
        <v>5826</v>
      </c>
      <c r="G89" s="22" t="s">
        <v>5826</v>
      </c>
      <c r="H89" s="22">
        <v>55853.0</v>
      </c>
      <c r="I89" s="84">
        <v>0.33</v>
      </c>
      <c r="J89" s="96">
        <v>27082.0</v>
      </c>
      <c r="K89" s="22">
        <v>149990.0</v>
      </c>
      <c r="L89" s="22">
        <v>140990.0</v>
      </c>
      <c r="M89" s="96">
        <v>88229.0</v>
      </c>
      <c r="N89" s="96">
        <v>82935.0</v>
      </c>
      <c r="O89" s="84">
        <v>0.3</v>
      </c>
      <c r="P89" s="84">
        <v>0.3</v>
      </c>
      <c r="Q89" s="133" t="s">
        <v>20</v>
      </c>
      <c r="R89" s="84">
        <v>0.53</v>
      </c>
      <c r="S89" s="84">
        <v>0.3</v>
      </c>
      <c r="T89" s="37"/>
      <c r="U89" s="37"/>
    </row>
    <row r="90">
      <c r="A90" s="76" t="s">
        <v>5712</v>
      </c>
      <c r="B90" s="16" t="s">
        <v>5713</v>
      </c>
      <c r="C90" s="89">
        <v>158229.0</v>
      </c>
      <c r="D90" s="16" t="s">
        <v>5774</v>
      </c>
      <c r="E90" s="16" t="s">
        <v>5774</v>
      </c>
      <c r="F90" s="16" t="s">
        <v>5827</v>
      </c>
      <c r="G90" s="22" t="s">
        <v>5827</v>
      </c>
      <c r="H90" s="22">
        <v>13154.0</v>
      </c>
      <c r="I90" s="84">
        <v>0.34</v>
      </c>
      <c r="J90" s="96">
        <v>6840.0</v>
      </c>
      <c r="K90" s="22">
        <v>49990.0</v>
      </c>
      <c r="L90" s="22">
        <v>33990.0</v>
      </c>
      <c r="M90" s="96">
        <v>29406.0</v>
      </c>
      <c r="N90" s="96">
        <v>19994.0</v>
      </c>
      <c r="O90" s="84">
        <v>0.3</v>
      </c>
      <c r="P90" s="84">
        <v>0.3</v>
      </c>
      <c r="Q90" s="133" t="s">
        <v>134</v>
      </c>
      <c r="R90" s="84">
        <v>0.54</v>
      </c>
      <c r="S90" s="84">
        <v>0.31</v>
      </c>
      <c r="T90" s="37"/>
      <c r="U90" s="37"/>
    </row>
    <row r="91">
      <c r="A91" s="76" t="s">
        <v>5712</v>
      </c>
      <c r="B91" s="16" t="s">
        <v>5828</v>
      </c>
      <c r="C91" s="89">
        <v>731176.0</v>
      </c>
      <c r="D91" s="16" t="s">
        <v>5774</v>
      </c>
      <c r="E91" s="16" t="s">
        <v>5774</v>
      </c>
      <c r="F91" s="16" t="s">
        <v>5829</v>
      </c>
      <c r="G91" s="22" t="s">
        <v>5829</v>
      </c>
      <c r="H91" s="22">
        <v>12852.0</v>
      </c>
      <c r="I91" s="84">
        <v>0.38</v>
      </c>
      <c r="J91" s="96">
        <v>7730.0</v>
      </c>
      <c r="K91" s="22">
        <v>49990.0</v>
      </c>
      <c r="L91" s="22">
        <v>34990.0</v>
      </c>
      <c r="M91" s="96">
        <v>29406.0</v>
      </c>
      <c r="N91" s="96">
        <v>20582.0</v>
      </c>
      <c r="O91" s="84">
        <v>0.3</v>
      </c>
      <c r="P91" s="84">
        <v>0.3</v>
      </c>
      <c r="Q91" s="133" t="s">
        <v>134</v>
      </c>
      <c r="R91" s="84">
        <v>0.56</v>
      </c>
      <c r="S91" s="84">
        <v>0.33</v>
      </c>
      <c r="T91" s="37"/>
      <c r="U91" s="37"/>
    </row>
    <row r="92">
      <c r="A92" s="76" t="s">
        <v>5712</v>
      </c>
      <c r="B92" s="16" t="s">
        <v>5828</v>
      </c>
      <c r="C92" s="89">
        <v>731192.0</v>
      </c>
      <c r="D92" s="16" t="s">
        <v>5774</v>
      </c>
      <c r="E92" s="16" t="s">
        <v>5774</v>
      </c>
      <c r="F92" s="16" t="s">
        <v>5830</v>
      </c>
      <c r="G92" s="22" t="s">
        <v>5830</v>
      </c>
      <c r="H92" s="22">
        <v>12559.0</v>
      </c>
      <c r="I92" s="84">
        <v>0.47</v>
      </c>
      <c r="J92" s="96">
        <v>10965.0</v>
      </c>
      <c r="K92" s="22">
        <v>49990.0</v>
      </c>
      <c r="L92" s="22">
        <v>39990.0</v>
      </c>
      <c r="M92" s="96">
        <v>29406.0</v>
      </c>
      <c r="N92" s="96">
        <v>23524.0</v>
      </c>
      <c r="O92" s="84">
        <v>0.3</v>
      </c>
      <c r="P92" s="84">
        <v>0.3</v>
      </c>
      <c r="Q92" s="133" t="s">
        <v>134</v>
      </c>
      <c r="R92" s="84">
        <v>0.63</v>
      </c>
      <c r="S92" s="84">
        <v>0.4</v>
      </c>
      <c r="T92" s="37"/>
      <c r="U92" s="37"/>
    </row>
    <row r="93">
      <c r="A93" s="76" t="s">
        <v>5712</v>
      </c>
      <c r="B93" s="16" t="s">
        <v>5738</v>
      </c>
      <c r="C93" s="89">
        <v>162085.0</v>
      </c>
      <c r="D93" s="16" t="s">
        <v>5774</v>
      </c>
      <c r="E93" s="16" t="s">
        <v>5774</v>
      </c>
      <c r="F93" s="16" t="s">
        <v>5831</v>
      </c>
      <c r="G93" s="22" t="s">
        <v>5831</v>
      </c>
      <c r="H93" s="22">
        <v>4376.0</v>
      </c>
      <c r="I93" s="84">
        <v>0.38</v>
      </c>
      <c r="J93" s="96">
        <v>2677.0</v>
      </c>
      <c r="K93" s="22">
        <v>14990.0</v>
      </c>
      <c r="L93" s="22">
        <v>11990.0</v>
      </c>
      <c r="M93" s="96">
        <v>8818.0</v>
      </c>
      <c r="N93" s="96">
        <v>7053.0</v>
      </c>
      <c r="O93" s="84">
        <v>0.3</v>
      </c>
      <c r="P93" s="84">
        <v>0.3</v>
      </c>
      <c r="Q93" s="133" t="s">
        <v>20</v>
      </c>
      <c r="R93" s="84">
        <v>0.57</v>
      </c>
      <c r="S93" s="84">
        <v>0.34</v>
      </c>
      <c r="T93" s="37"/>
      <c r="U93" s="37"/>
    </row>
    <row r="94">
      <c r="A94" s="76" t="s">
        <v>5712</v>
      </c>
      <c r="B94" s="16" t="s">
        <v>5821</v>
      </c>
      <c r="C94" s="89">
        <v>160726.0</v>
      </c>
      <c r="D94" s="16" t="s">
        <v>5774</v>
      </c>
      <c r="E94" s="16" t="s">
        <v>5774</v>
      </c>
      <c r="F94" s="16" t="s">
        <v>5832</v>
      </c>
      <c r="G94" s="22" t="s">
        <v>5832</v>
      </c>
      <c r="H94" s="22">
        <v>3610.0</v>
      </c>
      <c r="I94" s="84">
        <v>0.39</v>
      </c>
      <c r="J94" s="96">
        <v>2266.0</v>
      </c>
      <c r="K94" s="22">
        <v>12990.0</v>
      </c>
      <c r="L94" s="22">
        <v>9990.0</v>
      </c>
      <c r="M94" s="96">
        <v>7641.0</v>
      </c>
      <c r="N94" s="96">
        <v>5876.0</v>
      </c>
      <c r="O94" s="84">
        <v>0.3</v>
      </c>
      <c r="P94" s="84">
        <v>0.3</v>
      </c>
      <c r="Q94" s="133" t="s">
        <v>134</v>
      </c>
      <c r="R94" s="84">
        <v>0.57</v>
      </c>
      <c r="S94" s="84">
        <v>0.34</v>
      </c>
      <c r="T94" s="37"/>
      <c r="U94" s="37"/>
    </row>
    <row r="95">
      <c r="A95" s="76" t="s">
        <v>5712</v>
      </c>
      <c r="B95" s="16" t="s">
        <v>5828</v>
      </c>
      <c r="C95" s="89">
        <v>72657.0</v>
      </c>
      <c r="D95" s="16" t="s">
        <v>5774</v>
      </c>
      <c r="E95" s="16" t="s">
        <v>5774</v>
      </c>
      <c r="F95" s="16" t="s">
        <v>5833</v>
      </c>
      <c r="G95" s="22" t="s">
        <v>5833</v>
      </c>
      <c r="H95" s="22">
        <v>3466.0</v>
      </c>
      <c r="I95" s="84">
        <v>0.41</v>
      </c>
      <c r="J95" s="96">
        <v>2410.0</v>
      </c>
      <c r="K95" s="22">
        <v>12990.0</v>
      </c>
      <c r="L95" s="22">
        <v>9990.0</v>
      </c>
      <c r="M95" s="96">
        <v>7641.0</v>
      </c>
      <c r="N95" s="96">
        <v>5876.0</v>
      </c>
      <c r="O95" s="84">
        <v>0.3</v>
      </c>
      <c r="P95" s="84">
        <v>0.3</v>
      </c>
      <c r="Q95" s="133" t="s">
        <v>134</v>
      </c>
      <c r="R95" s="84">
        <v>0.59</v>
      </c>
      <c r="S95" s="84">
        <v>0.36</v>
      </c>
      <c r="T95" s="37"/>
      <c r="U95" s="37"/>
    </row>
    <row r="96">
      <c r="A96" s="76" t="s">
        <v>5712</v>
      </c>
      <c r="B96" s="16" t="s">
        <v>5738</v>
      </c>
      <c r="C96" s="89">
        <v>185017.0</v>
      </c>
      <c r="D96" s="16" t="s">
        <v>5774</v>
      </c>
      <c r="E96" s="16" t="s">
        <v>5774</v>
      </c>
      <c r="F96" s="16" t="s">
        <v>5834</v>
      </c>
      <c r="G96" s="22" t="s">
        <v>5834</v>
      </c>
      <c r="H96" s="22">
        <v>89296.0</v>
      </c>
      <c r="I96" s="84">
        <v>0.32</v>
      </c>
      <c r="J96" s="96">
        <v>42463.0</v>
      </c>
      <c r="K96" s="22">
        <v>299990.0</v>
      </c>
      <c r="L96" s="22">
        <v>223990.0</v>
      </c>
      <c r="M96" s="96">
        <v>176465.0</v>
      </c>
      <c r="N96" s="96">
        <v>131759.0</v>
      </c>
      <c r="O96" s="84">
        <v>0.3</v>
      </c>
      <c r="P96" s="84">
        <v>0.3</v>
      </c>
      <c r="Q96" s="133" t="s">
        <v>134</v>
      </c>
      <c r="R96" s="84">
        <v>0.53</v>
      </c>
      <c r="S96" s="84">
        <v>0.3</v>
      </c>
      <c r="T96" s="37"/>
      <c r="U96" s="37"/>
    </row>
    <row r="97">
      <c r="A97" s="76" t="s">
        <v>5712</v>
      </c>
      <c r="B97" s="16" t="s">
        <v>5713</v>
      </c>
      <c r="C97" s="89">
        <v>156147.0</v>
      </c>
      <c r="D97" s="16" t="s">
        <v>5774</v>
      </c>
      <c r="E97" s="16" t="s">
        <v>5774</v>
      </c>
      <c r="F97" s="16" t="s">
        <v>5835</v>
      </c>
      <c r="G97" s="22" t="s">
        <v>5835</v>
      </c>
      <c r="H97" s="22">
        <v>16742.0</v>
      </c>
      <c r="I97" s="84">
        <v>0.34</v>
      </c>
      <c r="J97" s="96">
        <v>8546.0</v>
      </c>
      <c r="K97" s="22">
        <v>69990.0</v>
      </c>
      <c r="L97" s="22">
        <v>42990.0</v>
      </c>
      <c r="M97" s="96">
        <v>41171.0</v>
      </c>
      <c r="N97" s="96">
        <v>25288.0</v>
      </c>
      <c r="O97" s="84">
        <v>0.3</v>
      </c>
      <c r="P97" s="84">
        <v>0.3</v>
      </c>
      <c r="Q97" s="133" t="s">
        <v>20</v>
      </c>
      <c r="R97" s="84">
        <v>0.54</v>
      </c>
      <c r="S97" s="84">
        <v>0.31</v>
      </c>
      <c r="T97" s="37"/>
      <c r="U97" s="37"/>
    </row>
    <row r="98">
      <c r="A98" s="76" t="s">
        <v>5712</v>
      </c>
      <c r="B98" s="16" t="s">
        <v>5713</v>
      </c>
      <c r="C98" s="89">
        <v>157101.0</v>
      </c>
      <c r="D98" s="16" t="s">
        <v>5774</v>
      </c>
      <c r="E98" s="16" t="s">
        <v>5774</v>
      </c>
      <c r="F98" s="16" t="s">
        <v>5836</v>
      </c>
      <c r="G98" s="22" t="s">
        <v>5836</v>
      </c>
      <c r="H98" s="22">
        <v>15648.0</v>
      </c>
      <c r="I98" s="84">
        <v>0.33</v>
      </c>
      <c r="J98" s="96">
        <v>7876.0</v>
      </c>
      <c r="K98" s="22">
        <v>49990.0</v>
      </c>
      <c r="L98" s="22">
        <v>39990.0</v>
      </c>
      <c r="M98" s="96">
        <v>29406.0</v>
      </c>
      <c r="N98" s="96">
        <v>23524.0</v>
      </c>
      <c r="O98" s="84">
        <v>0.3</v>
      </c>
      <c r="P98" s="84">
        <v>0.3</v>
      </c>
      <c r="Q98" s="133" t="s">
        <v>20</v>
      </c>
      <c r="R98" s="84">
        <v>0.53</v>
      </c>
      <c r="S98" s="84">
        <v>0.3</v>
      </c>
      <c r="T98" s="37"/>
      <c r="U98" s="37"/>
    </row>
    <row r="99">
      <c r="A99" s="76" t="s">
        <v>5712</v>
      </c>
      <c r="B99" s="16" t="s">
        <v>5713</v>
      </c>
      <c r="C99" s="16" t="s">
        <v>3841</v>
      </c>
      <c r="D99" s="16" t="s">
        <v>5774</v>
      </c>
      <c r="E99" s="16" t="s">
        <v>5774</v>
      </c>
      <c r="F99" s="16" t="s">
        <v>5837</v>
      </c>
      <c r="G99" s="22" t="s">
        <v>5837</v>
      </c>
      <c r="H99" s="22">
        <v>6573.0</v>
      </c>
      <c r="I99" s="84">
        <v>0.34</v>
      </c>
      <c r="J99" s="96">
        <v>3421.0</v>
      </c>
      <c r="K99" s="22">
        <v>24990.0</v>
      </c>
      <c r="L99" s="22">
        <v>16990.0</v>
      </c>
      <c r="M99" s="96">
        <v>14700.0</v>
      </c>
      <c r="N99" s="96">
        <v>9994.0</v>
      </c>
      <c r="O99" s="84">
        <v>0.3</v>
      </c>
      <c r="P99" s="84">
        <v>0.3</v>
      </c>
      <c r="Q99" s="133" t="s">
        <v>134</v>
      </c>
      <c r="R99" s="84">
        <v>0.54</v>
      </c>
      <c r="S99" s="84">
        <v>0.31</v>
      </c>
      <c r="T99" s="37"/>
      <c r="U99" s="37"/>
    </row>
    <row r="100">
      <c r="A100" s="76" t="s">
        <v>5712</v>
      </c>
      <c r="B100" s="16" t="s">
        <v>5738</v>
      </c>
      <c r="C100" s="89">
        <v>189720.0</v>
      </c>
      <c r="D100" s="16" t="s">
        <v>5774</v>
      </c>
      <c r="E100" s="16" t="s">
        <v>5774</v>
      </c>
      <c r="F100" s="16" t="s">
        <v>5838</v>
      </c>
      <c r="G100" s="22" t="s">
        <v>5838</v>
      </c>
      <c r="H100" s="22">
        <v>5170.0</v>
      </c>
      <c r="I100" s="84">
        <v>0.37</v>
      </c>
      <c r="J100" s="96">
        <v>3059.0</v>
      </c>
      <c r="K100" s="22">
        <v>19990.0</v>
      </c>
      <c r="L100" s="22">
        <v>13990.0</v>
      </c>
      <c r="M100" s="96">
        <v>11759.0</v>
      </c>
      <c r="N100" s="96">
        <v>8229.0</v>
      </c>
      <c r="O100" s="84">
        <v>0.3</v>
      </c>
      <c r="P100" s="84">
        <v>0.3</v>
      </c>
      <c r="Q100" s="133" t="s">
        <v>134</v>
      </c>
      <c r="R100" s="84">
        <v>0.56</v>
      </c>
      <c r="S100" s="84">
        <v>0.33</v>
      </c>
      <c r="T100" s="37"/>
      <c r="U100" s="37"/>
    </row>
    <row r="101">
      <c r="A101" s="76" t="s">
        <v>5712</v>
      </c>
      <c r="B101" s="16" t="s">
        <v>5828</v>
      </c>
      <c r="C101" s="89">
        <v>49452.0</v>
      </c>
      <c r="D101" s="16" t="s">
        <v>5774</v>
      </c>
      <c r="E101" s="16" t="s">
        <v>5774</v>
      </c>
      <c r="F101" s="16" t="s">
        <v>5839</v>
      </c>
      <c r="G101" s="22" t="s">
        <v>5839</v>
      </c>
      <c r="H101" s="22">
        <v>5804.0</v>
      </c>
      <c r="I101" s="84">
        <v>0.38</v>
      </c>
      <c r="J101" s="96">
        <v>3602.0</v>
      </c>
      <c r="K101" s="22">
        <v>19990.0</v>
      </c>
      <c r="L101" s="22">
        <v>15990.0</v>
      </c>
      <c r="M101" s="96">
        <v>11759.0</v>
      </c>
      <c r="N101" s="96">
        <v>9406.0</v>
      </c>
      <c r="O101" s="84">
        <v>0.3</v>
      </c>
      <c r="P101" s="84">
        <v>0.3</v>
      </c>
      <c r="Q101" s="133" t="s">
        <v>134</v>
      </c>
      <c r="R101" s="84">
        <v>0.57</v>
      </c>
      <c r="S101" s="84">
        <v>0.34</v>
      </c>
    </row>
    <row r="102">
      <c r="A102" s="76" t="s">
        <v>5712</v>
      </c>
      <c r="B102" s="16" t="s">
        <v>5828</v>
      </c>
      <c r="C102" s="89">
        <v>72491.0</v>
      </c>
      <c r="D102" s="16" t="s">
        <v>5774</v>
      </c>
      <c r="E102" s="16" t="s">
        <v>5774</v>
      </c>
      <c r="F102" s="16" t="s">
        <v>5840</v>
      </c>
      <c r="G102" s="22" t="s">
        <v>5840</v>
      </c>
      <c r="H102" s="22">
        <v>6500.0</v>
      </c>
      <c r="I102" s="84">
        <v>0.35</v>
      </c>
      <c r="J102" s="96">
        <v>3494.0</v>
      </c>
      <c r="K102" s="22">
        <v>29990.0</v>
      </c>
      <c r="L102" s="22">
        <v>16990.0</v>
      </c>
      <c r="M102" s="96">
        <v>17641.0</v>
      </c>
      <c r="N102" s="96">
        <v>9994.0</v>
      </c>
      <c r="O102" s="84">
        <v>0.3</v>
      </c>
      <c r="P102" s="84">
        <v>0.3</v>
      </c>
      <c r="Q102" s="133" t="s">
        <v>134</v>
      </c>
      <c r="R102" s="84">
        <v>0.54</v>
      </c>
      <c r="S102" s="84">
        <v>0.31</v>
      </c>
    </row>
    <row r="103">
      <c r="A103" s="76" t="s">
        <v>5712</v>
      </c>
      <c r="B103" s="16" t="s">
        <v>5713</v>
      </c>
      <c r="C103" s="89">
        <v>141149.0</v>
      </c>
      <c r="D103" s="16" t="s">
        <v>5774</v>
      </c>
      <c r="E103" s="16" t="s">
        <v>5774</v>
      </c>
      <c r="F103" s="16" t="s">
        <v>5841</v>
      </c>
      <c r="G103" s="22" t="s">
        <v>5841</v>
      </c>
      <c r="H103" s="22">
        <v>9458.0</v>
      </c>
      <c r="I103" s="84">
        <v>0.36</v>
      </c>
      <c r="J103" s="96">
        <v>5242.0</v>
      </c>
      <c r="K103" s="22">
        <v>29990.0</v>
      </c>
      <c r="L103" s="22">
        <v>24990.0</v>
      </c>
      <c r="M103" s="96">
        <v>17641.0</v>
      </c>
      <c r="N103" s="96">
        <v>14700.0</v>
      </c>
      <c r="O103" s="84">
        <v>0.3</v>
      </c>
      <c r="P103" s="84">
        <v>0.3</v>
      </c>
      <c r="Q103" s="133" t="s">
        <v>134</v>
      </c>
      <c r="R103" s="84">
        <v>0.55</v>
      </c>
      <c r="S103" s="84">
        <v>0.32</v>
      </c>
    </row>
    <row r="104">
      <c r="A104" s="76" t="s">
        <v>5712</v>
      </c>
      <c r="B104" s="16" t="s">
        <v>5777</v>
      </c>
      <c r="C104" s="89">
        <v>83318.0</v>
      </c>
      <c r="D104" s="16" t="s">
        <v>5842</v>
      </c>
      <c r="E104" s="16" t="s">
        <v>5842</v>
      </c>
      <c r="F104" s="16" t="s">
        <v>5843</v>
      </c>
      <c r="G104" s="22" t="s">
        <v>5843</v>
      </c>
      <c r="H104" s="22">
        <v>2710.0</v>
      </c>
      <c r="I104" s="84">
        <v>0.42</v>
      </c>
      <c r="J104" s="96">
        <v>1990.0</v>
      </c>
      <c r="K104" s="22">
        <v>12990.0</v>
      </c>
      <c r="L104" s="22">
        <v>7990.0</v>
      </c>
      <c r="M104" s="96">
        <v>7641.0</v>
      </c>
      <c r="N104" s="96">
        <v>4700.0</v>
      </c>
      <c r="O104" s="84">
        <v>0.3</v>
      </c>
      <c r="P104" s="84">
        <v>0.3</v>
      </c>
      <c r="Q104" s="133" t="s">
        <v>134</v>
      </c>
      <c r="R104" s="84">
        <v>0.6</v>
      </c>
      <c r="S104" s="84">
        <v>0.37</v>
      </c>
    </row>
    <row r="105">
      <c r="A105" s="76" t="s">
        <v>5712</v>
      </c>
      <c r="B105" s="16" t="s">
        <v>5821</v>
      </c>
      <c r="C105" s="89">
        <v>108051.0</v>
      </c>
      <c r="D105" s="16" t="s">
        <v>5842</v>
      </c>
      <c r="E105" s="16" t="s">
        <v>5842</v>
      </c>
      <c r="F105" s="16" t="s">
        <v>5844</v>
      </c>
      <c r="G105" s="22" t="s">
        <v>5844</v>
      </c>
      <c r="H105" s="22">
        <v>4215.0</v>
      </c>
      <c r="I105" s="84">
        <v>0.4</v>
      </c>
      <c r="J105" s="96">
        <v>2838.0</v>
      </c>
      <c r="K105" s="22">
        <v>14990.0</v>
      </c>
      <c r="L105" s="22">
        <v>11990.0</v>
      </c>
      <c r="M105" s="96">
        <v>8818.0</v>
      </c>
      <c r="N105" s="96">
        <v>7053.0</v>
      </c>
      <c r="O105" s="84">
        <v>0.3</v>
      </c>
      <c r="P105" s="84">
        <v>0.3</v>
      </c>
      <c r="Q105" s="133" t="s">
        <v>134</v>
      </c>
      <c r="R105" s="84">
        <v>0.58</v>
      </c>
      <c r="S105" s="84">
        <v>0.35</v>
      </c>
    </row>
    <row r="106">
      <c r="A106" s="76" t="s">
        <v>5712</v>
      </c>
      <c r="B106" s="16" t="s">
        <v>5738</v>
      </c>
      <c r="C106" s="89">
        <v>188452.0</v>
      </c>
      <c r="D106" s="16" t="s">
        <v>5842</v>
      </c>
      <c r="E106" s="16" t="s">
        <v>5842</v>
      </c>
      <c r="F106" s="16" t="s">
        <v>5845</v>
      </c>
      <c r="G106" s="22" t="s">
        <v>5845</v>
      </c>
      <c r="H106" s="22">
        <v>5401.0</v>
      </c>
      <c r="I106" s="84">
        <v>0.39</v>
      </c>
      <c r="J106" s="96">
        <v>3417.0</v>
      </c>
      <c r="K106" s="22">
        <v>19990.0</v>
      </c>
      <c r="L106" s="22">
        <v>14990.0</v>
      </c>
      <c r="M106" s="96">
        <v>11759.0</v>
      </c>
      <c r="N106" s="96">
        <v>8818.0</v>
      </c>
      <c r="O106" s="84">
        <v>0.3</v>
      </c>
      <c r="P106" s="84">
        <v>0.3</v>
      </c>
      <c r="Q106" s="133" t="s">
        <v>134</v>
      </c>
      <c r="R106" s="84">
        <v>0.57</v>
      </c>
      <c r="S106" s="84">
        <v>0.34</v>
      </c>
    </row>
    <row r="107">
      <c r="A107" s="76" t="s">
        <v>5712</v>
      </c>
      <c r="B107" s="16" t="s">
        <v>5777</v>
      </c>
      <c r="C107" s="89">
        <v>86386.0</v>
      </c>
      <c r="D107" s="16" t="s">
        <v>5846</v>
      </c>
      <c r="E107" s="16" t="s">
        <v>5846</v>
      </c>
      <c r="F107" s="16" t="s">
        <v>5847</v>
      </c>
      <c r="G107" s="22" t="s">
        <v>5847</v>
      </c>
      <c r="H107" s="16">
        <v>999.0</v>
      </c>
      <c r="I107" s="84">
        <v>0.43</v>
      </c>
      <c r="J107" s="96">
        <v>760.0</v>
      </c>
      <c r="K107" s="22">
        <v>4990.0</v>
      </c>
      <c r="L107" s="22">
        <v>2990.0</v>
      </c>
      <c r="M107" s="96">
        <v>2935.0</v>
      </c>
      <c r="N107" s="96">
        <v>1759.0</v>
      </c>
      <c r="O107" s="84">
        <v>0.3</v>
      </c>
      <c r="P107" s="84">
        <v>0.3</v>
      </c>
      <c r="Q107" s="133" t="s">
        <v>134</v>
      </c>
      <c r="R107" s="84">
        <v>0.6</v>
      </c>
      <c r="S107" s="84">
        <v>0.37</v>
      </c>
    </row>
    <row r="108">
      <c r="A108" s="76" t="s">
        <v>5712</v>
      </c>
      <c r="B108" s="16" t="s">
        <v>5777</v>
      </c>
      <c r="C108" s="89">
        <v>77898.0</v>
      </c>
      <c r="D108" s="16" t="s">
        <v>5846</v>
      </c>
      <c r="E108" s="16" t="s">
        <v>5846</v>
      </c>
      <c r="F108" s="16" t="s">
        <v>5848</v>
      </c>
      <c r="G108" s="22" t="s">
        <v>5848</v>
      </c>
      <c r="H108" s="22">
        <v>1630.0</v>
      </c>
      <c r="I108" s="84">
        <v>0.44</v>
      </c>
      <c r="J108" s="96">
        <v>1305.0</v>
      </c>
      <c r="K108" s="22">
        <v>5990.0</v>
      </c>
      <c r="L108" s="22">
        <v>4990.0</v>
      </c>
      <c r="M108" s="96">
        <v>3524.0</v>
      </c>
      <c r="N108" s="96">
        <v>2935.0</v>
      </c>
      <c r="O108" s="84">
        <v>0.3</v>
      </c>
      <c r="P108" s="84">
        <v>0.3</v>
      </c>
      <c r="Q108" s="133" t="s">
        <v>134</v>
      </c>
      <c r="R108" s="84">
        <v>0.61</v>
      </c>
      <c r="S108" s="84">
        <v>0.38</v>
      </c>
    </row>
    <row r="109">
      <c r="A109" s="76" t="s">
        <v>5712</v>
      </c>
      <c r="B109" s="16" t="s">
        <v>5738</v>
      </c>
      <c r="C109" s="89">
        <v>179742.0</v>
      </c>
      <c r="D109" s="16" t="s">
        <v>5846</v>
      </c>
      <c r="E109" s="16" t="s">
        <v>5846</v>
      </c>
      <c r="F109" s="16" t="s">
        <v>5849</v>
      </c>
      <c r="G109" s="22" t="s">
        <v>5849</v>
      </c>
      <c r="H109" s="22">
        <v>2609.0</v>
      </c>
      <c r="I109" s="84">
        <v>0.44</v>
      </c>
      <c r="J109" s="96">
        <v>2091.0</v>
      </c>
      <c r="K109" s="22">
        <v>12990.0</v>
      </c>
      <c r="L109" s="22">
        <v>7990.0</v>
      </c>
      <c r="M109" s="96">
        <v>7641.0</v>
      </c>
      <c r="N109" s="96">
        <v>4700.0</v>
      </c>
      <c r="O109" s="84">
        <v>0.3</v>
      </c>
      <c r="P109" s="84">
        <v>0.3</v>
      </c>
      <c r="Q109" s="133" t="s">
        <v>134</v>
      </c>
      <c r="R109" s="84">
        <v>0.61</v>
      </c>
      <c r="S109" s="84">
        <v>0.38</v>
      </c>
    </row>
    <row r="110">
      <c r="A110" s="76" t="s">
        <v>5712</v>
      </c>
      <c r="B110" s="16" t="s">
        <v>5777</v>
      </c>
      <c r="C110" s="89">
        <v>74919.0</v>
      </c>
      <c r="D110" s="16" t="s">
        <v>5846</v>
      </c>
      <c r="E110" s="16" t="s">
        <v>5846</v>
      </c>
      <c r="F110" s="16" t="s">
        <v>5850</v>
      </c>
      <c r="G110" s="22" t="s">
        <v>5850</v>
      </c>
      <c r="H110" s="22">
        <v>1335.0</v>
      </c>
      <c r="I110" s="84">
        <v>0.43</v>
      </c>
      <c r="J110" s="96">
        <v>1012.0</v>
      </c>
      <c r="K110" s="22">
        <v>9990.0</v>
      </c>
      <c r="L110" s="22">
        <v>3990.0</v>
      </c>
      <c r="M110" s="96">
        <v>5876.0</v>
      </c>
      <c r="N110" s="96">
        <v>2347.0</v>
      </c>
      <c r="O110" s="84">
        <v>0.3</v>
      </c>
      <c r="P110" s="84">
        <v>0.3</v>
      </c>
      <c r="Q110" s="133" t="s">
        <v>134</v>
      </c>
      <c r="R110" s="84">
        <v>0.6</v>
      </c>
      <c r="S110" s="84">
        <v>0.37</v>
      </c>
    </row>
    <row r="111">
      <c r="A111" s="76" t="s">
        <v>5712</v>
      </c>
      <c r="B111" s="16" t="s">
        <v>5738</v>
      </c>
      <c r="C111" s="89">
        <v>119666.0</v>
      </c>
      <c r="D111" s="16" t="s">
        <v>5846</v>
      </c>
      <c r="E111" s="16" t="s">
        <v>5846</v>
      </c>
      <c r="F111" s="16" t="s">
        <v>5851</v>
      </c>
      <c r="G111" s="22" t="s">
        <v>5851</v>
      </c>
      <c r="H111" s="22">
        <v>3948.0</v>
      </c>
      <c r="I111" s="84">
        <v>0.39</v>
      </c>
      <c r="J111" s="96">
        <v>2517.0</v>
      </c>
      <c r="K111" s="22">
        <v>14990.0</v>
      </c>
      <c r="L111" s="22">
        <v>10990.0</v>
      </c>
      <c r="M111" s="96">
        <v>8818.0</v>
      </c>
      <c r="N111" s="96">
        <v>6465.0</v>
      </c>
      <c r="O111" s="84">
        <v>0.3</v>
      </c>
      <c r="P111" s="84">
        <v>0.3</v>
      </c>
      <c r="Q111" s="133" t="s">
        <v>134</v>
      </c>
      <c r="R111" s="84">
        <v>0.57</v>
      </c>
      <c r="S111" s="84">
        <v>0.34</v>
      </c>
    </row>
    <row r="112">
      <c r="A112" s="76" t="s">
        <v>5712</v>
      </c>
      <c r="B112" s="16" t="s">
        <v>5852</v>
      </c>
      <c r="C112" s="89">
        <v>893531.0</v>
      </c>
      <c r="D112" s="16" t="s">
        <v>5853</v>
      </c>
      <c r="E112" s="16" t="s">
        <v>5853</v>
      </c>
      <c r="F112" s="16" t="s">
        <v>5854</v>
      </c>
      <c r="G112" s="22" t="s">
        <v>5854</v>
      </c>
      <c r="H112" s="16">
        <v>609.0</v>
      </c>
      <c r="I112" s="84">
        <v>0.65</v>
      </c>
      <c r="J112" s="96">
        <v>1150.0</v>
      </c>
      <c r="K112" s="22">
        <v>4990.0</v>
      </c>
      <c r="L112" s="22">
        <v>2990.0</v>
      </c>
      <c r="M112" s="96">
        <v>2935.0</v>
      </c>
      <c r="N112" s="96">
        <v>1759.0</v>
      </c>
      <c r="O112" s="84">
        <v>0.3</v>
      </c>
      <c r="P112" s="84">
        <v>0.3</v>
      </c>
      <c r="Q112" s="133" t="s">
        <v>134</v>
      </c>
      <c r="R112" s="84">
        <v>0.76</v>
      </c>
      <c r="S112" s="84">
        <v>0.53</v>
      </c>
    </row>
    <row r="113">
      <c r="A113" s="76" t="s">
        <v>5712</v>
      </c>
      <c r="B113" s="16" t="s">
        <v>5852</v>
      </c>
      <c r="C113" s="89">
        <v>86597.0</v>
      </c>
      <c r="D113" s="16" t="s">
        <v>5853</v>
      </c>
      <c r="E113" s="16" t="s">
        <v>5853</v>
      </c>
      <c r="F113" s="16" t="s">
        <v>5855</v>
      </c>
      <c r="G113" s="22" t="s">
        <v>5855</v>
      </c>
      <c r="H113" s="22">
        <v>5016.0</v>
      </c>
      <c r="I113" s="84">
        <v>0.39</v>
      </c>
      <c r="J113" s="96">
        <v>3213.0</v>
      </c>
      <c r="K113" s="22">
        <v>19990.0</v>
      </c>
      <c r="L113" s="22">
        <v>13990.0</v>
      </c>
      <c r="M113" s="96">
        <v>11759.0</v>
      </c>
      <c r="N113" s="96">
        <v>8229.0</v>
      </c>
      <c r="O113" s="84">
        <v>0.3</v>
      </c>
      <c r="P113" s="84">
        <v>0.3</v>
      </c>
      <c r="Q113" s="133" t="s">
        <v>134</v>
      </c>
      <c r="R113" s="84">
        <v>0.57</v>
      </c>
      <c r="S113" s="84">
        <v>0.34</v>
      </c>
    </row>
    <row r="114">
      <c r="A114" s="76" t="s">
        <v>5712</v>
      </c>
      <c r="B114" s="16" t="s">
        <v>5821</v>
      </c>
      <c r="C114" s="89">
        <v>5.40724263E8</v>
      </c>
      <c r="D114" s="16" t="s">
        <v>5846</v>
      </c>
      <c r="E114" s="16" t="s">
        <v>5846</v>
      </c>
      <c r="F114" s="16" t="s">
        <v>5856</v>
      </c>
      <c r="G114" s="22" t="s">
        <v>5856</v>
      </c>
      <c r="H114" s="22">
        <v>4609.0</v>
      </c>
      <c r="I114" s="84">
        <v>0.4</v>
      </c>
      <c r="J114" s="96">
        <v>3032.0</v>
      </c>
      <c r="K114" s="22">
        <v>19990.0</v>
      </c>
      <c r="L114" s="22">
        <v>12990.0</v>
      </c>
      <c r="M114" s="96">
        <v>11759.0</v>
      </c>
      <c r="N114" s="96">
        <v>7641.0</v>
      </c>
      <c r="O114" s="84">
        <v>0.3</v>
      </c>
      <c r="P114" s="84">
        <v>0.3</v>
      </c>
      <c r="Q114" s="133" t="s">
        <v>134</v>
      </c>
      <c r="R114" s="84">
        <v>0.58</v>
      </c>
      <c r="S114" s="84">
        <v>0.35</v>
      </c>
    </row>
    <row r="115">
      <c r="A115" s="76" t="s">
        <v>5712</v>
      </c>
      <c r="B115" s="16" t="s">
        <v>5852</v>
      </c>
      <c r="C115" s="89">
        <v>751873.0</v>
      </c>
      <c r="D115" s="16" t="s">
        <v>5853</v>
      </c>
      <c r="E115" s="16" t="s">
        <v>5853</v>
      </c>
      <c r="F115" s="16" t="s">
        <v>5857</v>
      </c>
      <c r="G115" s="22" t="s">
        <v>5857</v>
      </c>
      <c r="H115" s="22">
        <v>5977.0</v>
      </c>
      <c r="I115" s="84">
        <v>0.36</v>
      </c>
      <c r="J115" s="96">
        <v>3429.0</v>
      </c>
      <c r="K115" s="22">
        <v>19990.0</v>
      </c>
      <c r="L115" s="22">
        <v>15990.0</v>
      </c>
      <c r="M115" s="96">
        <v>11759.0</v>
      </c>
      <c r="N115" s="96">
        <v>9406.0</v>
      </c>
      <c r="O115" s="84">
        <v>0.3</v>
      </c>
      <c r="P115" s="84">
        <v>0.3</v>
      </c>
      <c r="Q115" s="133" t="s">
        <v>134</v>
      </c>
      <c r="R115" s="84">
        <v>0.56</v>
      </c>
      <c r="S115" s="84">
        <v>0.33</v>
      </c>
    </row>
    <row r="116">
      <c r="A116" s="76" t="s">
        <v>5712</v>
      </c>
      <c r="B116" s="16" t="s">
        <v>5821</v>
      </c>
      <c r="C116" s="89">
        <v>134522.0</v>
      </c>
      <c r="D116" s="16" t="s">
        <v>5858</v>
      </c>
      <c r="E116" s="16" t="s">
        <v>5858</v>
      </c>
      <c r="F116" s="16" t="s">
        <v>5859</v>
      </c>
      <c r="G116" s="22" t="s">
        <v>5859</v>
      </c>
      <c r="H116" s="22">
        <v>6983.0</v>
      </c>
      <c r="I116" s="84">
        <v>0.34</v>
      </c>
      <c r="J116" s="96">
        <v>3599.0</v>
      </c>
      <c r="K116" s="22">
        <v>24990.0</v>
      </c>
      <c r="L116" s="22">
        <v>17990.0</v>
      </c>
      <c r="M116" s="96">
        <v>14700.0</v>
      </c>
      <c r="N116" s="96">
        <v>10582.0</v>
      </c>
      <c r="O116" s="84">
        <v>0.3</v>
      </c>
      <c r="P116" s="84">
        <v>0.3</v>
      </c>
      <c r="Q116" s="133" t="s">
        <v>134</v>
      </c>
      <c r="R116" s="84">
        <v>0.54</v>
      </c>
      <c r="S116" s="84">
        <v>0.31</v>
      </c>
    </row>
    <row r="117">
      <c r="A117" s="76" t="s">
        <v>5712</v>
      </c>
      <c r="B117" s="16" t="s">
        <v>5777</v>
      </c>
      <c r="C117" s="89">
        <v>72785.0</v>
      </c>
      <c r="D117" s="16" t="s">
        <v>5858</v>
      </c>
      <c r="E117" s="16" t="s">
        <v>5858</v>
      </c>
      <c r="F117" s="16" t="s">
        <v>5860</v>
      </c>
      <c r="G117" s="22" t="s">
        <v>5860</v>
      </c>
      <c r="H117" s="22">
        <v>6974.0</v>
      </c>
      <c r="I117" s="84">
        <v>0.34</v>
      </c>
      <c r="J117" s="96">
        <v>3608.0</v>
      </c>
      <c r="K117" s="22">
        <v>24990.0</v>
      </c>
      <c r="L117" s="22">
        <v>17990.0</v>
      </c>
      <c r="M117" s="96">
        <v>14700.0</v>
      </c>
      <c r="N117" s="96">
        <v>10582.0</v>
      </c>
      <c r="O117" s="84">
        <v>0.3</v>
      </c>
      <c r="P117" s="84">
        <v>0.3</v>
      </c>
      <c r="Q117" s="133" t="s">
        <v>134</v>
      </c>
      <c r="R117" s="84">
        <v>0.54</v>
      </c>
      <c r="S117" s="84">
        <v>0.31</v>
      </c>
    </row>
    <row r="118">
      <c r="A118" s="76" t="s">
        <v>5712</v>
      </c>
      <c r="B118" s="16" t="s">
        <v>5852</v>
      </c>
      <c r="C118" s="89">
        <v>88191.0</v>
      </c>
      <c r="D118" s="16" t="s">
        <v>5853</v>
      </c>
      <c r="E118" s="16" t="s">
        <v>5853</v>
      </c>
      <c r="F118" s="16" t="s">
        <v>5861</v>
      </c>
      <c r="G118" s="22" t="s">
        <v>5861</v>
      </c>
      <c r="H118" s="22">
        <v>7260.0</v>
      </c>
      <c r="I118" s="84">
        <v>0.35</v>
      </c>
      <c r="J118" s="96">
        <v>3911.0</v>
      </c>
      <c r="K118" s="22">
        <v>24990.0</v>
      </c>
      <c r="L118" s="22">
        <v>18990.0</v>
      </c>
      <c r="M118" s="96">
        <v>14700.0</v>
      </c>
      <c r="N118" s="96">
        <v>11171.0</v>
      </c>
      <c r="O118" s="84">
        <v>0.3</v>
      </c>
      <c r="P118" s="84">
        <v>0.3</v>
      </c>
      <c r="Q118" s="133" t="s">
        <v>134</v>
      </c>
      <c r="R118" s="84">
        <v>0.55</v>
      </c>
      <c r="S118" s="84">
        <v>0.32</v>
      </c>
    </row>
    <row r="119">
      <c r="A119" s="76" t="s">
        <v>5712</v>
      </c>
      <c r="B119" s="16" t="s">
        <v>5852</v>
      </c>
      <c r="C119" s="89">
        <v>88214.0</v>
      </c>
      <c r="D119" s="16" t="s">
        <v>5853</v>
      </c>
      <c r="E119" s="16" t="s">
        <v>5853</v>
      </c>
      <c r="F119" s="16" t="s">
        <v>5862</v>
      </c>
      <c r="G119" s="22" t="s">
        <v>5862</v>
      </c>
      <c r="H119" s="22">
        <v>1500.0</v>
      </c>
      <c r="I119" s="84">
        <v>0.49</v>
      </c>
      <c r="J119" s="96">
        <v>1435.0</v>
      </c>
      <c r="K119" s="22">
        <v>7990.0</v>
      </c>
      <c r="L119" s="22">
        <v>4990.0</v>
      </c>
      <c r="M119" s="96">
        <v>4700.0</v>
      </c>
      <c r="N119" s="96">
        <v>2935.0</v>
      </c>
      <c r="O119" s="84">
        <v>0.3</v>
      </c>
      <c r="P119" s="84">
        <v>0.3</v>
      </c>
      <c r="Q119" s="133" t="s">
        <v>134</v>
      </c>
      <c r="R119" s="84">
        <v>0.64</v>
      </c>
      <c r="S119" s="84">
        <v>0.41</v>
      </c>
    </row>
    <row r="120">
      <c r="A120" s="76" t="s">
        <v>5712</v>
      </c>
      <c r="B120" s="16" t="s">
        <v>5738</v>
      </c>
      <c r="C120" s="89">
        <v>189703.0</v>
      </c>
      <c r="D120" s="16" t="s">
        <v>5842</v>
      </c>
      <c r="E120" s="16" t="s">
        <v>5842</v>
      </c>
      <c r="F120" s="16" t="s">
        <v>5863</v>
      </c>
      <c r="G120" s="22" t="s">
        <v>5863</v>
      </c>
      <c r="H120" s="22">
        <v>3197.0</v>
      </c>
      <c r="I120" s="84">
        <v>0.4</v>
      </c>
      <c r="J120" s="96">
        <v>2091.0</v>
      </c>
      <c r="K120" s="22">
        <v>12990.0</v>
      </c>
      <c r="L120" s="22">
        <v>8990.0</v>
      </c>
      <c r="M120" s="96">
        <v>7641.0</v>
      </c>
      <c r="N120" s="96">
        <v>5288.0</v>
      </c>
      <c r="O120" s="84">
        <v>0.3</v>
      </c>
      <c r="P120" s="84">
        <v>0.3</v>
      </c>
      <c r="Q120" s="133" t="s">
        <v>20</v>
      </c>
      <c r="R120" s="84">
        <v>0.58</v>
      </c>
      <c r="S120" s="84">
        <v>0.35</v>
      </c>
    </row>
    <row r="121">
      <c r="A121" s="76" t="s">
        <v>5712</v>
      </c>
      <c r="B121" s="16" t="s">
        <v>5777</v>
      </c>
      <c r="C121" s="89">
        <v>75380.0</v>
      </c>
      <c r="D121" s="16" t="s">
        <v>5846</v>
      </c>
      <c r="E121" s="16" t="s">
        <v>5846</v>
      </c>
      <c r="F121" s="16" t="s">
        <v>5864</v>
      </c>
      <c r="G121" s="22" t="s">
        <v>5864</v>
      </c>
      <c r="H121" s="22">
        <v>3891.0</v>
      </c>
      <c r="I121" s="84">
        <v>0.4</v>
      </c>
      <c r="J121" s="96">
        <v>2574.0</v>
      </c>
      <c r="K121" s="22">
        <v>14990.0</v>
      </c>
      <c r="L121" s="22">
        <v>10990.0</v>
      </c>
      <c r="M121" s="96">
        <v>8818.0</v>
      </c>
      <c r="N121" s="96">
        <v>6465.0</v>
      </c>
      <c r="O121" s="84">
        <v>0.3</v>
      </c>
      <c r="P121" s="84">
        <v>0.3</v>
      </c>
      <c r="Q121" s="133" t="s">
        <v>134</v>
      </c>
      <c r="R121" s="84">
        <v>0.58</v>
      </c>
      <c r="S121" s="84">
        <v>0.35</v>
      </c>
    </row>
    <row r="122">
      <c r="A122" s="76" t="s">
        <v>5712</v>
      </c>
      <c r="B122" s="16" t="s">
        <v>5821</v>
      </c>
      <c r="C122" s="89">
        <v>135986.0</v>
      </c>
      <c r="D122" s="16" t="s">
        <v>5805</v>
      </c>
      <c r="E122" s="16" t="s">
        <v>5805</v>
      </c>
      <c r="F122" s="16" t="s">
        <v>5865</v>
      </c>
      <c r="G122" s="22" t="s">
        <v>5865</v>
      </c>
      <c r="H122" s="22">
        <v>3061.0</v>
      </c>
      <c r="I122" s="84">
        <v>0.42</v>
      </c>
      <c r="J122" s="96">
        <v>2227.0</v>
      </c>
      <c r="K122" s="22">
        <v>12990.0</v>
      </c>
      <c r="L122" s="22">
        <v>8990.0</v>
      </c>
      <c r="M122" s="96">
        <v>7641.0</v>
      </c>
      <c r="N122" s="96">
        <v>5288.0</v>
      </c>
      <c r="O122" s="84">
        <v>0.3</v>
      </c>
      <c r="P122" s="84">
        <v>0.3</v>
      </c>
      <c r="Q122" s="133" t="s">
        <v>20</v>
      </c>
      <c r="R122" s="84">
        <v>0.59</v>
      </c>
      <c r="S122" s="84">
        <v>0.36</v>
      </c>
    </row>
    <row r="123">
      <c r="A123" s="76" t="s">
        <v>5712</v>
      </c>
      <c r="B123" s="16" t="s">
        <v>5852</v>
      </c>
      <c r="C123" s="89">
        <v>86637.0</v>
      </c>
      <c r="D123" s="16" t="s">
        <v>5853</v>
      </c>
      <c r="E123" s="16" t="s">
        <v>5853</v>
      </c>
      <c r="F123" s="16" t="s">
        <v>5866</v>
      </c>
      <c r="G123" s="22" t="s">
        <v>5866</v>
      </c>
      <c r="H123" s="22">
        <v>3675.0</v>
      </c>
      <c r="I123" s="84">
        <v>0.37</v>
      </c>
      <c r="J123" s="96">
        <v>2201.0</v>
      </c>
      <c r="K123" s="22">
        <v>12990.0</v>
      </c>
      <c r="L123" s="22">
        <v>9990.0</v>
      </c>
      <c r="M123" s="96">
        <v>7641.0</v>
      </c>
      <c r="N123" s="96">
        <v>5876.0</v>
      </c>
      <c r="O123" s="84">
        <v>0.3</v>
      </c>
      <c r="P123" s="84">
        <v>0.3</v>
      </c>
      <c r="Q123" s="133" t="s">
        <v>134</v>
      </c>
      <c r="R123" s="84">
        <v>0.56</v>
      </c>
      <c r="S123" s="84">
        <v>0.33</v>
      </c>
    </row>
    <row r="124">
      <c r="A124" s="76" t="s">
        <v>5712</v>
      </c>
      <c r="B124" s="16" t="s">
        <v>5821</v>
      </c>
      <c r="C124" s="89">
        <v>125364.0</v>
      </c>
      <c r="D124" s="16" t="s">
        <v>5842</v>
      </c>
      <c r="E124" s="16" t="s">
        <v>5842</v>
      </c>
      <c r="F124" s="16" t="s">
        <v>5867</v>
      </c>
      <c r="G124" s="22" t="s">
        <v>5867</v>
      </c>
      <c r="H124" s="22">
        <v>6596.0</v>
      </c>
      <c r="I124" s="84">
        <v>0.34</v>
      </c>
      <c r="J124" s="96">
        <v>3398.0</v>
      </c>
      <c r="K124" s="22">
        <v>24990.0</v>
      </c>
      <c r="L124" s="22">
        <v>16990.0</v>
      </c>
      <c r="M124" s="96">
        <v>14700.0</v>
      </c>
      <c r="N124" s="96">
        <v>9994.0</v>
      </c>
      <c r="O124" s="84">
        <v>0.3</v>
      </c>
      <c r="P124" s="84">
        <v>0.3</v>
      </c>
      <c r="Q124" s="133" t="s">
        <v>134</v>
      </c>
      <c r="R124" s="84">
        <v>0.54</v>
      </c>
      <c r="S124" s="84">
        <v>0.31</v>
      </c>
    </row>
    <row r="125">
      <c r="A125" s="76" t="s">
        <v>5712</v>
      </c>
      <c r="B125" s="16" t="s">
        <v>5777</v>
      </c>
      <c r="C125" s="89">
        <v>72749.0</v>
      </c>
      <c r="D125" s="16" t="s">
        <v>5846</v>
      </c>
      <c r="E125" s="16" t="s">
        <v>5846</v>
      </c>
      <c r="F125" s="16" t="s">
        <v>5868</v>
      </c>
      <c r="G125" s="22" t="s">
        <v>5868</v>
      </c>
      <c r="H125" s="22">
        <v>2780.0</v>
      </c>
      <c r="I125" s="84">
        <v>0.41</v>
      </c>
      <c r="J125" s="96">
        <v>1920.0</v>
      </c>
      <c r="K125" s="22">
        <v>12990.0</v>
      </c>
      <c r="L125" s="22">
        <v>7990.0</v>
      </c>
      <c r="M125" s="96">
        <v>7641.0</v>
      </c>
      <c r="N125" s="96">
        <v>4700.0</v>
      </c>
      <c r="O125" s="84">
        <v>0.3</v>
      </c>
      <c r="P125" s="84">
        <v>0.3</v>
      </c>
      <c r="Q125" s="133" t="s">
        <v>134</v>
      </c>
      <c r="R125" s="84">
        <v>0.59</v>
      </c>
      <c r="S125" s="84">
        <v>0.36</v>
      </c>
    </row>
    <row r="126">
      <c r="A126" s="76" t="s">
        <v>5712</v>
      </c>
      <c r="B126" s="16" t="s">
        <v>5777</v>
      </c>
      <c r="C126" s="89">
        <v>77020.0</v>
      </c>
      <c r="D126" s="16" t="s">
        <v>5858</v>
      </c>
      <c r="E126" s="16" t="s">
        <v>5858</v>
      </c>
      <c r="F126" s="16" t="s">
        <v>5869</v>
      </c>
      <c r="G126" s="22" t="s">
        <v>5869</v>
      </c>
      <c r="H126" s="22">
        <v>9369.0</v>
      </c>
      <c r="I126" s="84">
        <v>0.34</v>
      </c>
      <c r="J126" s="96">
        <v>4743.0</v>
      </c>
      <c r="K126" s="22">
        <v>49990.0</v>
      </c>
      <c r="L126" s="22">
        <v>23990.0</v>
      </c>
      <c r="M126" s="96">
        <v>29406.0</v>
      </c>
      <c r="N126" s="96">
        <v>14112.0</v>
      </c>
      <c r="O126" s="84">
        <v>0.3</v>
      </c>
      <c r="P126" s="84">
        <v>0.3</v>
      </c>
      <c r="Q126" s="133" t="s">
        <v>134</v>
      </c>
      <c r="R126" s="84">
        <v>0.54</v>
      </c>
      <c r="S126" s="84">
        <v>0.31</v>
      </c>
    </row>
    <row r="127">
      <c r="A127" s="76" t="s">
        <v>5712</v>
      </c>
      <c r="B127" s="16" t="s">
        <v>5852</v>
      </c>
      <c r="C127" s="89">
        <v>893529.0</v>
      </c>
      <c r="D127" s="16" t="s">
        <v>5853</v>
      </c>
      <c r="E127" s="16" t="s">
        <v>5853</v>
      </c>
      <c r="F127" s="16" t="s">
        <v>5870</v>
      </c>
      <c r="G127" s="22" t="s">
        <v>5870</v>
      </c>
      <c r="H127" s="16">
        <v>744.0</v>
      </c>
      <c r="I127" s="84">
        <v>0.58</v>
      </c>
      <c r="J127" s="96">
        <v>1015.0</v>
      </c>
      <c r="K127" s="22">
        <v>4990.0</v>
      </c>
      <c r="L127" s="22">
        <v>2990.0</v>
      </c>
      <c r="M127" s="96">
        <v>2935.0</v>
      </c>
      <c r="N127" s="96">
        <v>1759.0</v>
      </c>
      <c r="O127" s="84">
        <v>0.3</v>
      </c>
      <c r="P127" s="84">
        <v>0.3</v>
      </c>
      <c r="Q127" s="133" t="s">
        <v>134</v>
      </c>
      <c r="R127" s="84">
        <v>0.7</v>
      </c>
      <c r="S127" s="84">
        <v>0.47</v>
      </c>
    </row>
    <row r="128">
      <c r="A128" s="76" t="s">
        <v>5712</v>
      </c>
      <c r="B128" s="16" t="s">
        <v>5777</v>
      </c>
      <c r="C128" s="89">
        <v>739104.0</v>
      </c>
      <c r="D128" s="16" t="s">
        <v>5871</v>
      </c>
      <c r="E128" s="16" t="s">
        <v>5871</v>
      </c>
      <c r="F128" s="16" t="s">
        <v>5872</v>
      </c>
      <c r="G128" s="22" t="s">
        <v>5872</v>
      </c>
      <c r="H128" s="22">
        <v>1333.0</v>
      </c>
      <c r="I128" s="84">
        <v>0.43</v>
      </c>
      <c r="J128" s="96">
        <v>1014.0</v>
      </c>
      <c r="K128" s="22">
        <v>9990.0</v>
      </c>
      <c r="L128" s="22">
        <v>3990.0</v>
      </c>
      <c r="M128" s="96">
        <v>5876.0</v>
      </c>
      <c r="N128" s="96">
        <v>2347.0</v>
      </c>
      <c r="O128" s="84">
        <v>0.3</v>
      </c>
      <c r="P128" s="84">
        <v>0.3</v>
      </c>
      <c r="Q128" s="133" t="s">
        <v>134</v>
      </c>
      <c r="R128" s="84">
        <v>0.6</v>
      </c>
      <c r="S128" s="84">
        <v>0.37</v>
      </c>
    </row>
    <row r="129">
      <c r="A129" s="76" t="s">
        <v>5712</v>
      </c>
      <c r="B129" s="16" t="s">
        <v>5821</v>
      </c>
      <c r="C129" s="89">
        <v>188942.0</v>
      </c>
      <c r="D129" s="16" t="s">
        <v>5858</v>
      </c>
      <c r="E129" s="16" t="s">
        <v>5858</v>
      </c>
      <c r="F129" s="16" t="s">
        <v>5873</v>
      </c>
      <c r="G129" s="22" t="s">
        <v>5873</v>
      </c>
      <c r="H129" s="22">
        <v>4807.0</v>
      </c>
      <c r="I129" s="84">
        <v>0.37</v>
      </c>
      <c r="J129" s="96">
        <v>2834.0</v>
      </c>
      <c r="K129" s="22">
        <v>17990.0</v>
      </c>
      <c r="L129" s="22">
        <v>12990.0</v>
      </c>
      <c r="M129" s="96">
        <v>10582.0</v>
      </c>
      <c r="N129" s="96">
        <v>7641.0</v>
      </c>
      <c r="O129" s="84">
        <v>0.3</v>
      </c>
      <c r="P129" s="84">
        <v>0.3</v>
      </c>
      <c r="Q129" s="133" t="s">
        <v>134</v>
      </c>
      <c r="R129" s="84">
        <v>0.56</v>
      </c>
      <c r="S129" s="84">
        <v>0.33</v>
      </c>
    </row>
    <row r="130">
      <c r="A130" s="76" t="s">
        <v>5712</v>
      </c>
      <c r="B130" s="16" t="s">
        <v>5713</v>
      </c>
      <c r="C130" s="89">
        <v>126505.0</v>
      </c>
      <c r="D130" s="16" t="s">
        <v>5874</v>
      </c>
      <c r="E130" s="16" t="s">
        <v>5874</v>
      </c>
      <c r="F130" s="16" t="s">
        <v>5875</v>
      </c>
      <c r="G130" s="22" t="s">
        <v>5875</v>
      </c>
      <c r="H130" s="22">
        <v>2628.0</v>
      </c>
      <c r="I130" s="84">
        <v>0.44</v>
      </c>
      <c r="J130" s="96">
        <v>2072.0</v>
      </c>
      <c r="K130" s="22">
        <v>9990.0</v>
      </c>
      <c r="L130" s="22">
        <v>7990.0</v>
      </c>
      <c r="M130" s="96">
        <v>5876.0</v>
      </c>
      <c r="N130" s="96">
        <v>4700.0</v>
      </c>
      <c r="O130" s="84">
        <v>0.3</v>
      </c>
      <c r="P130" s="84">
        <v>0.3</v>
      </c>
      <c r="Q130" s="133" t="s">
        <v>134</v>
      </c>
      <c r="R130" s="84">
        <v>0.61</v>
      </c>
      <c r="S130" s="84">
        <v>0.38</v>
      </c>
    </row>
    <row r="131">
      <c r="A131" s="76" t="s">
        <v>5712</v>
      </c>
      <c r="B131" s="16" t="s">
        <v>5852</v>
      </c>
      <c r="C131" s="89">
        <v>88202.0</v>
      </c>
      <c r="D131" s="16" t="s">
        <v>5853</v>
      </c>
      <c r="E131" s="16" t="s">
        <v>5853</v>
      </c>
      <c r="F131" s="16" t="s">
        <v>5876</v>
      </c>
      <c r="G131" s="22" t="s">
        <v>5876</v>
      </c>
      <c r="H131" s="22">
        <v>6333.0</v>
      </c>
      <c r="I131" s="84">
        <v>0.37</v>
      </c>
      <c r="J131" s="96">
        <v>3661.0</v>
      </c>
      <c r="K131" s="22">
        <v>29990.0</v>
      </c>
      <c r="L131" s="22">
        <v>16990.0</v>
      </c>
      <c r="M131" s="96">
        <v>17641.0</v>
      </c>
      <c r="N131" s="96">
        <v>9994.0</v>
      </c>
      <c r="O131" s="84">
        <v>0.3</v>
      </c>
      <c r="P131" s="84">
        <v>0.3</v>
      </c>
      <c r="Q131" s="133" t="s">
        <v>134</v>
      </c>
      <c r="R131" s="84">
        <v>0.56</v>
      </c>
      <c r="S131" s="84">
        <v>0.33</v>
      </c>
    </row>
    <row r="132">
      <c r="A132" s="76" t="s">
        <v>5712</v>
      </c>
      <c r="B132" s="16" t="s">
        <v>5777</v>
      </c>
      <c r="C132" s="89">
        <v>75428.0</v>
      </c>
      <c r="D132" s="16" t="s">
        <v>5846</v>
      </c>
      <c r="E132" s="16" t="s">
        <v>5846</v>
      </c>
      <c r="F132" s="16" t="s">
        <v>5877</v>
      </c>
      <c r="G132" s="22" t="s">
        <v>5877</v>
      </c>
      <c r="H132" s="22">
        <v>5287.0</v>
      </c>
      <c r="I132" s="84">
        <v>0.36</v>
      </c>
      <c r="J132" s="96">
        <v>2942.0</v>
      </c>
      <c r="K132" s="22">
        <v>19990.0</v>
      </c>
      <c r="L132" s="22">
        <v>13990.0</v>
      </c>
      <c r="M132" s="96">
        <v>11759.0</v>
      </c>
      <c r="N132" s="96">
        <v>8229.0</v>
      </c>
      <c r="O132" s="84">
        <v>0.3</v>
      </c>
      <c r="P132" s="84">
        <v>0.3</v>
      </c>
      <c r="Q132" s="133" t="s">
        <v>134</v>
      </c>
      <c r="R132" s="84">
        <v>0.55</v>
      </c>
      <c r="S132" s="84">
        <v>0.32</v>
      </c>
    </row>
    <row r="133">
      <c r="A133" s="76" t="s">
        <v>5712</v>
      </c>
      <c r="B133" s="16" t="s">
        <v>5777</v>
      </c>
      <c r="C133" s="89">
        <v>72498.0</v>
      </c>
      <c r="D133" s="16" t="s">
        <v>5878</v>
      </c>
      <c r="E133" s="16" t="s">
        <v>5878</v>
      </c>
      <c r="F133" s="16" t="s">
        <v>5879</v>
      </c>
      <c r="G133" s="22" t="s">
        <v>5879</v>
      </c>
      <c r="H133" s="22">
        <v>6213.0</v>
      </c>
      <c r="I133" s="84">
        <v>0.38</v>
      </c>
      <c r="J133" s="96">
        <v>3781.0</v>
      </c>
      <c r="K133" s="22">
        <v>24990.0</v>
      </c>
      <c r="L133" s="22">
        <v>16990.0</v>
      </c>
      <c r="M133" s="96">
        <v>14700.0</v>
      </c>
      <c r="N133" s="96">
        <v>9994.0</v>
      </c>
      <c r="O133" s="84">
        <v>0.3</v>
      </c>
      <c r="P133" s="84">
        <v>0.3</v>
      </c>
      <c r="Q133" s="133" t="s">
        <v>134</v>
      </c>
      <c r="R133" s="84">
        <v>0.56</v>
      </c>
      <c r="S133" s="84">
        <v>0.33</v>
      </c>
    </row>
    <row r="134">
      <c r="A134" s="76" t="s">
        <v>5712</v>
      </c>
      <c r="B134" s="16" t="s">
        <v>5880</v>
      </c>
      <c r="C134" s="89">
        <v>97550.0</v>
      </c>
      <c r="D134" s="16" t="s">
        <v>5881</v>
      </c>
      <c r="E134" s="16" t="s">
        <v>5881</v>
      </c>
      <c r="F134" s="16" t="s">
        <v>5882</v>
      </c>
      <c r="G134" s="22" t="s">
        <v>5882</v>
      </c>
      <c r="H134" s="22">
        <v>2943.0</v>
      </c>
      <c r="I134" s="84">
        <v>0.37</v>
      </c>
      <c r="J134" s="96">
        <v>1757.0</v>
      </c>
      <c r="K134" s="22">
        <v>9990.0</v>
      </c>
      <c r="L134" s="22">
        <v>7990.0</v>
      </c>
      <c r="M134" s="96">
        <v>5876.0</v>
      </c>
      <c r="N134" s="96">
        <v>4700.0</v>
      </c>
      <c r="O134" s="84">
        <v>0.3</v>
      </c>
      <c r="P134" s="84">
        <v>0.3</v>
      </c>
      <c r="Q134" s="133" t="s">
        <v>134</v>
      </c>
      <c r="R134" s="84">
        <v>0.56</v>
      </c>
      <c r="S134" s="84">
        <v>0.33</v>
      </c>
    </row>
    <row r="135">
      <c r="A135" s="76" t="s">
        <v>5712</v>
      </c>
      <c r="B135" s="16" t="s">
        <v>5852</v>
      </c>
      <c r="C135" s="89">
        <v>86293.0</v>
      </c>
      <c r="D135" s="16" t="s">
        <v>5853</v>
      </c>
      <c r="E135" s="16" t="s">
        <v>5853</v>
      </c>
      <c r="F135" s="16" t="s">
        <v>5883</v>
      </c>
      <c r="G135" s="22" t="s">
        <v>5883</v>
      </c>
      <c r="H135" s="22">
        <v>4580.0</v>
      </c>
      <c r="I135" s="84">
        <v>0.35</v>
      </c>
      <c r="J135" s="96">
        <v>2473.0</v>
      </c>
      <c r="K135" s="22">
        <v>19990.0</v>
      </c>
      <c r="L135" s="22">
        <v>11990.0</v>
      </c>
      <c r="M135" s="96">
        <v>11759.0</v>
      </c>
      <c r="N135" s="96">
        <v>7053.0</v>
      </c>
      <c r="O135" s="84">
        <v>0.3</v>
      </c>
      <c r="P135" s="84">
        <v>0.3</v>
      </c>
      <c r="Q135" s="133" t="s">
        <v>134</v>
      </c>
      <c r="R135" s="84">
        <v>0.55</v>
      </c>
      <c r="S135" s="84">
        <v>0.32</v>
      </c>
    </row>
    <row r="136">
      <c r="A136" s="76" t="s">
        <v>5712</v>
      </c>
      <c r="B136" s="16" t="s">
        <v>5821</v>
      </c>
      <c r="C136" s="89">
        <v>134993.0</v>
      </c>
      <c r="D136" s="16" t="s">
        <v>5805</v>
      </c>
      <c r="E136" s="16" t="s">
        <v>5805</v>
      </c>
      <c r="F136" s="16" t="s">
        <v>5884</v>
      </c>
      <c r="G136" s="22" t="s">
        <v>5884</v>
      </c>
      <c r="H136" s="22">
        <v>1662.0</v>
      </c>
      <c r="I136" s="84">
        <v>0.43</v>
      </c>
      <c r="J136" s="96">
        <v>1273.0</v>
      </c>
      <c r="K136" s="22">
        <v>7990.0</v>
      </c>
      <c r="L136" s="22">
        <v>4990.0</v>
      </c>
      <c r="M136" s="96">
        <v>4700.0</v>
      </c>
      <c r="N136" s="96">
        <v>2935.0</v>
      </c>
      <c r="O136" s="84">
        <v>0.3</v>
      </c>
      <c r="P136" s="84">
        <v>0.3</v>
      </c>
      <c r="Q136" s="133" t="s">
        <v>134</v>
      </c>
      <c r="R136" s="84">
        <v>0.6</v>
      </c>
      <c r="S136" s="84">
        <v>0.37</v>
      </c>
    </row>
    <row r="137">
      <c r="A137" s="76" t="s">
        <v>5712</v>
      </c>
      <c r="B137" s="16" t="s">
        <v>5885</v>
      </c>
      <c r="C137" s="16" t="s">
        <v>5886</v>
      </c>
      <c r="D137" s="16" t="s">
        <v>5871</v>
      </c>
      <c r="E137" s="16" t="s">
        <v>5871</v>
      </c>
      <c r="F137" s="16" t="s">
        <v>5887</v>
      </c>
      <c r="G137" s="22" t="s">
        <v>5887</v>
      </c>
      <c r="H137" s="22">
        <v>3555.0</v>
      </c>
      <c r="I137" s="84">
        <v>0.4</v>
      </c>
      <c r="J137" s="96">
        <v>2321.0</v>
      </c>
      <c r="K137" s="22">
        <v>14990.0</v>
      </c>
      <c r="L137" s="22">
        <v>9990.0</v>
      </c>
      <c r="M137" s="96">
        <v>8818.0</v>
      </c>
      <c r="N137" s="96">
        <v>5876.0</v>
      </c>
      <c r="O137" s="84">
        <v>0.3</v>
      </c>
      <c r="P137" s="84">
        <v>0.3</v>
      </c>
      <c r="Q137" s="133" t="s">
        <v>134</v>
      </c>
      <c r="R137" s="84">
        <v>0.58</v>
      </c>
      <c r="S137" s="84">
        <v>0.35</v>
      </c>
    </row>
    <row r="138">
      <c r="A138" s="76" t="s">
        <v>5712</v>
      </c>
      <c r="B138" s="16" t="s">
        <v>5738</v>
      </c>
      <c r="C138" s="89">
        <v>120040.0</v>
      </c>
      <c r="D138" s="16" t="s">
        <v>5846</v>
      </c>
      <c r="E138" s="16" t="s">
        <v>5846</v>
      </c>
      <c r="F138" s="16" t="s">
        <v>5888</v>
      </c>
      <c r="G138" s="22" t="s">
        <v>5888</v>
      </c>
      <c r="H138" s="22">
        <v>2370.0</v>
      </c>
      <c r="I138" s="84">
        <v>0.42</v>
      </c>
      <c r="J138" s="96">
        <v>1742.0</v>
      </c>
      <c r="K138" s="22">
        <v>9990.0</v>
      </c>
      <c r="L138" s="22">
        <v>6990.0</v>
      </c>
      <c r="M138" s="96">
        <v>5876.0</v>
      </c>
      <c r="N138" s="96">
        <v>4112.0</v>
      </c>
      <c r="O138" s="84">
        <v>0.3</v>
      </c>
      <c r="P138" s="84">
        <v>0.3</v>
      </c>
      <c r="Q138" s="133" t="s">
        <v>134</v>
      </c>
      <c r="R138" s="84">
        <v>0.6</v>
      </c>
      <c r="S138" s="84">
        <v>0.37</v>
      </c>
    </row>
    <row r="139">
      <c r="A139" s="76" t="s">
        <v>5712</v>
      </c>
      <c r="B139" s="16" t="s">
        <v>5738</v>
      </c>
      <c r="C139" s="89">
        <v>189702.0</v>
      </c>
      <c r="D139" s="16" t="s">
        <v>5842</v>
      </c>
      <c r="E139" s="16" t="s">
        <v>5842</v>
      </c>
      <c r="F139" s="16" t="s">
        <v>5889</v>
      </c>
      <c r="G139" s="22" t="s">
        <v>5889</v>
      </c>
      <c r="H139" s="22">
        <v>3983.0</v>
      </c>
      <c r="I139" s="84">
        <v>0.38</v>
      </c>
      <c r="J139" s="96">
        <v>2482.0</v>
      </c>
      <c r="K139" s="22">
        <v>19990.0</v>
      </c>
      <c r="L139" s="22">
        <v>10990.0</v>
      </c>
      <c r="M139" s="96">
        <v>11759.0</v>
      </c>
      <c r="N139" s="96">
        <v>6465.0</v>
      </c>
      <c r="O139" s="84">
        <v>0.3</v>
      </c>
      <c r="P139" s="84">
        <v>0.3</v>
      </c>
      <c r="Q139" s="133" t="s">
        <v>134</v>
      </c>
      <c r="R139" s="84">
        <v>0.57</v>
      </c>
      <c r="S139" s="84">
        <v>0.34</v>
      </c>
    </row>
    <row r="140">
      <c r="A140" s="76" t="s">
        <v>5712</v>
      </c>
      <c r="B140" s="16" t="s">
        <v>5821</v>
      </c>
      <c r="C140" s="89">
        <v>188453.0</v>
      </c>
      <c r="D140" s="16" t="s">
        <v>5858</v>
      </c>
      <c r="E140" s="16" t="s">
        <v>5858</v>
      </c>
      <c r="F140" s="16" t="s">
        <v>5890</v>
      </c>
      <c r="G140" s="22" t="s">
        <v>5890</v>
      </c>
      <c r="H140" s="22">
        <v>2681.0</v>
      </c>
      <c r="I140" s="84">
        <v>0.43</v>
      </c>
      <c r="J140" s="96">
        <v>2019.0</v>
      </c>
      <c r="K140" s="22">
        <v>9990.0</v>
      </c>
      <c r="L140" s="22">
        <v>7990.0</v>
      </c>
      <c r="M140" s="96">
        <v>5876.0</v>
      </c>
      <c r="N140" s="96">
        <v>4700.0</v>
      </c>
      <c r="O140" s="84">
        <v>0.3</v>
      </c>
      <c r="P140" s="84">
        <v>0.3</v>
      </c>
      <c r="Q140" s="133" t="s">
        <v>134</v>
      </c>
      <c r="R140" s="84">
        <v>0.6</v>
      </c>
      <c r="S140" s="84">
        <v>0.37</v>
      </c>
    </row>
    <row r="141">
      <c r="A141" s="76" t="s">
        <v>5712</v>
      </c>
      <c r="B141" s="16" t="s">
        <v>5852</v>
      </c>
      <c r="C141" s="89">
        <v>86389.0</v>
      </c>
      <c r="D141" s="16" t="s">
        <v>5853</v>
      </c>
      <c r="E141" s="16" t="s">
        <v>5853</v>
      </c>
      <c r="F141" s="16" t="s">
        <v>5891</v>
      </c>
      <c r="G141" s="22" t="s">
        <v>5891</v>
      </c>
      <c r="H141" s="22">
        <v>2000.0</v>
      </c>
      <c r="I141" s="84">
        <v>0.43</v>
      </c>
      <c r="J141" s="96">
        <v>1524.0</v>
      </c>
      <c r="K141" s="22">
        <v>9990.0</v>
      </c>
      <c r="L141" s="22">
        <v>5990.0</v>
      </c>
      <c r="M141" s="96">
        <v>5876.0</v>
      </c>
      <c r="N141" s="96">
        <v>3524.0</v>
      </c>
      <c r="O141" s="84">
        <v>0.3</v>
      </c>
      <c r="P141" s="84">
        <v>0.3</v>
      </c>
      <c r="Q141" s="133" t="s">
        <v>134</v>
      </c>
      <c r="R141" s="84">
        <v>0.6</v>
      </c>
      <c r="S141" s="84">
        <v>0.37</v>
      </c>
    </row>
    <row r="142">
      <c r="A142" s="76" t="s">
        <v>5712</v>
      </c>
      <c r="B142" s="16" t="s">
        <v>5777</v>
      </c>
      <c r="C142" s="89">
        <v>75571.0</v>
      </c>
      <c r="D142" s="16" t="s">
        <v>5846</v>
      </c>
      <c r="E142" s="16" t="s">
        <v>5846</v>
      </c>
      <c r="F142" s="16" t="s">
        <v>5892</v>
      </c>
      <c r="G142" s="22" t="s">
        <v>5892</v>
      </c>
      <c r="H142" s="22">
        <v>4541.0</v>
      </c>
      <c r="I142" s="84">
        <v>0.36</v>
      </c>
      <c r="J142" s="96">
        <v>2512.0</v>
      </c>
      <c r="K142" s="22">
        <v>19990.0</v>
      </c>
      <c r="L142" s="22">
        <v>11990.0</v>
      </c>
      <c r="M142" s="96">
        <v>11759.0</v>
      </c>
      <c r="N142" s="96">
        <v>7053.0</v>
      </c>
      <c r="O142" s="84">
        <v>0.3</v>
      </c>
      <c r="P142" s="84">
        <v>0.3</v>
      </c>
      <c r="Q142" s="133" t="s">
        <v>134</v>
      </c>
      <c r="R142" s="84">
        <v>0.55</v>
      </c>
      <c r="S142" s="84">
        <v>0.32</v>
      </c>
    </row>
    <row r="143">
      <c r="A143" s="76" t="s">
        <v>5712</v>
      </c>
      <c r="B143" s="16" t="s">
        <v>5777</v>
      </c>
      <c r="C143" s="89">
        <v>73732.0</v>
      </c>
      <c r="D143" s="16" t="s">
        <v>5893</v>
      </c>
      <c r="E143" s="16" t="s">
        <v>5893</v>
      </c>
      <c r="F143" s="16" t="s">
        <v>5894</v>
      </c>
      <c r="G143" s="22" t="s">
        <v>5894</v>
      </c>
      <c r="H143" s="22">
        <v>8530.0</v>
      </c>
      <c r="I143" s="84">
        <v>0.34</v>
      </c>
      <c r="J143" s="96">
        <v>4405.0</v>
      </c>
      <c r="K143" s="22">
        <v>34990.0</v>
      </c>
      <c r="L143" s="22">
        <v>21990.0</v>
      </c>
      <c r="M143" s="96">
        <v>20582.0</v>
      </c>
      <c r="N143" s="96">
        <v>12935.0</v>
      </c>
      <c r="O143" s="84">
        <v>0.3</v>
      </c>
      <c r="P143" s="84">
        <v>0.3</v>
      </c>
      <c r="Q143" s="133" t="s">
        <v>134</v>
      </c>
      <c r="R143" s="84">
        <v>0.54</v>
      </c>
      <c r="S143" s="84">
        <v>0.31</v>
      </c>
      <c r="T143" s="37"/>
      <c r="U143" s="37"/>
    </row>
    <row r="144">
      <c r="A144" s="76" t="s">
        <v>5712</v>
      </c>
      <c r="B144" s="16" t="s">
        <v>5713</v>
      </c>
      <c r="C144" s="89">
        <v>158120.0</v>
      </c>
      <c r="D144" s="16" t="s">
        <v>5874</v>
      </c>
      <c r="E144" s="16" t="s">
        <v>5874</v>
      </c>
      <c r="F144" s="16" t="s">
        <v>5895</v>
      </c>
      <c r="G144" s="22" t="s">
        <v>5895</v>
      </c>
      <c r="H144" s="22">
        <v>4602.0</v>
      </c>
      <c r="I144" s="84">
        <v>0.4</v>
      </c>
      <c r="J144" s="96">
        <v>3039.0</v>
      </c>
      <c r="K144" s="22">
        <v>14990.0</v>
      </c>
      <c r="L144" s="22">
        <v>12990.0</v>
      </c>
      <c r="M144" s="96">
        <v>8818.0</v>
      </c>
      <c r="N144" s="96">
        <v>7641.0</v>
      </c>
      <c r="O144" s="84">
        <v>0.3</v>
      </c>
      <c r="P144" s="84">
        <v>0.3</v>
      </c>
      <c r="Q144" s="133" t="s">
        <v>134</v>
      </c>
      <c r="R144" s="84">
        <v>0.58</v>
      </c>
      <c r="S144" s="84">
        <v>0.35</v>
      </c>
      <c r="T144" s="37"/>
      <c r="U144" s="37"/>
    </row>
    <row r="145">
      <c r="A145" s="76" t="s">
        <v>5712</v>
      </c>
      <c r="B145" s="16" t="s">
        <v>5880</v>
      </c>
      <c r="C145" s="89">
        <v>21222.0</v>
      </c>
      <c r="D145" s="16" t="s">
        <v>5881</v>
      </c>
      <c r="E145" s="16" t="s">
        <v>5881</v>
      </c>
      <c r="F145" s="16" t="s">
        <v>5896</v>
      </c>
      <c r="G145" s="22" t="s">
        <v>5896</v>
      </c>
      <c r="H145" s="22">
        <v>2294.0</v>
      </c>
      <c r="I145" s="84">
        <v>0.44</v>
      </c>
      <c r="J145" s="96">
        <v>1818.0</v>
      </c>
      <c r="K145" s="22">
        <v>9990.0</v>
      </c>
      <c r="L145" s="22">
        <v>6990.0</v>
      </c>
      <c r="M145" s="96">
        <v>5876.0</v>
      </c>
      <c r="N145" s="96">
        <v>4112.0</v>
      </c>
      <c r="O145" s="84">
        <v>0.3</v>
      </c>
      <c r="P145" s="84">
        <v>0.3</v>
      </c>
      <c r="Q145" s="133" t="s">
        <v>134</v>
      </c>
      <c r="R145" s="84">
        <v>0.61</v>
      </c>
      <c r="S145" s="84">
        <v>0.38</v>
      </c>
    </row>
    <row r="146">
      <c r="A146" s="76" t="s">
        <v>5712</v>
      </c>
      <c r="B146" s="16" t="s">
        <v>5852</v>
      </c>
      <c r="C146" s="89">
        <v>86644.0</v>
      </c>
      <c r="D146" s="16" t="s">
        <v>5853</v>
      </c>
      <c r="E146" s="16" t="s">
        <v>5853</v>
      </c>
      <c r="F146" s="16" t="s">
        <v>5897</v>
      </c>
      <c r="G146" s="22" t="s">
        <v>5897</v>
      </c>
      <c r="H146" s="22">
        <v>2830.0</v>
      </c>
      <c r="I146" s="84">
        <v>0.4</v>
      </c>
      <c r="J146" s="96">
        <v>1870.0</v>
      </c>
      <c r="K146" s="22">
        <v>12990.0</v>
      </c>
      <c r="L146" s="22">
        <v>7990.0</v>
      </c>
      <c r="M146" s="96">
        <v>7641.0</v>
      </c>
      <c r="N146" s="96">
        <v>4700.0</v>
      </c>
      <c r="O146" s="84">
        <v>0.3</v>
      </c>
      <c r="P146" s="84">
        <v>0.3</v>
      </c>
      <c r="Q146" s="133" t="s">
        <v>134</v>
      </c>
      <c r="R146" s="84">
        <v>0.58</v>
      </c>
      <c r="S146" s="84">
        <v>0.35</v>
      </c>
    </row>
    <row r="147">
      <c r="A147" s="76" t="s">
        <v>5712</v>
      </c>
      <c r="B147" s="16" t="s">
        <v>5777</v>
      </c>
      <c r="C147" s="89">
        <v>75298.0</v>
      </c>
      <c r="D147" s="16" t="s">
        <v>5858</v>
      </c>
      <c r="E147" s="16" t="s">
        <v>5858</v>
      </c>
      <c r="F147" s="16" t="s">
        <v>5898</v>
      </c>
      <c r="G147" s="22" t="s">
        <v>5898</v>
      </c>
      <c r="H147" s="22">
        <v>3345.0</v>
      </c>
      <c r="I147" s="84">
        <v>0.37</v>
      </c>
      <c r="J147" s="96">
        <v>1943.0</v>
      </c>
      <c r="K147" s="22">
        <v>12990.0</v>
      </c>
      <c r="L147" s="22">
        <v>8990.0</v>
      </c>
      <c r="M147" s="96">
        <v>7641.0</v>
      </c>
      <c r="N147" s="96">
        <v>5288.0</v>
      </c>
      <c r="O147" s="84">
        <v>0.3</v>
      </c>
      <c r="P147" s="84">
        <v>0.3</v>
      </c>
      <c r="Q147" s="133" t="s">
        <v>134</v>
      </c>
      <c r="R147" s="84">
        <v>0.56</v>
      </c>
      <c r="S147" s="84">
        <v>0.33</v>
      </c>
    </row>
    <row r="148">
      <c r="A148" s="76" t="s">
        <v>5712</v>
      </c>
      <c r="B148" s="16" t="s">
        <v>5738</v>
      </c>
      <c r="C148" s="89">
        <v>1.54748003E8</v>
      </c>
      <c r="D148" s="16" t="s">
        <v>5846</v>
      </c>
      <c r="E148" s="16" t="s">
        <v>5846</v>
      </c>
      <c r="F148" s="16" t="s">
        <v>5899</v>
      </c>
      <c r="G148" s="22" t="s">
        <v>5899</v>
      </c>
      <c r="H148" s="22">
        <v>6068.0</v>
      </c>
      <c r="I148" s="84">
        <v>0.35</v>
      </c>
      <c r="J148" s="96">
        <v>3338.0</v>
      </c>
      <c r="K148" s="22">
        <v>29990.0</v>
      </c>
      <c r="L148" s="22">
        <v>15990.0</v>
      </c>
      <c r="M148" s="96">
        <v>17641.0</v>
      </c>
      <c r="N148" s="96">
        <v>9406.0</v>
      </c>
      <c r="O148" s="84">
        <v>0.3</v>
      </c>
      <c r="P148" s="84">
        <v>0.3</v>
      </c>
      <c r="Q148" s="133" t="s">
        <v>134</v>
      </c>
      <c r="R148" s="84">
        <v>0.55</v>
      </c>
      <c r="S148" s="84">
        <v>0.32</v>
      </c>
    </row>
    <row r="149">
      <c r="A149" s="76" t="s">
        <v>5712</v>
      </c>
      <c r="B149" s="16" t="s">
        <v>5880</v>
      </c>
      <c r="C149" s="89">
        <v>97554.0</v>
      </c>
      <c r="D149" s="16" t="s">
        <v>5881</v>
      </c>
      <c r="E149" s="16" t="s">
        <v>5881</v>
      </c>
      <c r="F149" s="16" t="s">
        <v>5900</v>
      </c>
      <c r="G149" s="22" t="s">
        <v>5900</v>
      </c>
      <c r="H149" s="22">
        <v>1872.0</v>
      </c>
      <c r="I149" s="84">
        <v>0.47</v>
      </c>
      <c r="J149" s="96">
        <v>1652.0</v>
      </c>
      <c r="K149" s="22">
        <v>9990.0</v>
      </c>
      <c r="L149" s="22">
        <v>5990.0</v>
      </c>
      <c r="M149" s="96">
        <v>5876.0</v>
      </c>
      <c r="N149" s="96">
        <v>3524.0</v>
      </c>
      <c r="O149" s="84">
        <v>0.3</v>
      </c>
      <c r="P149" s="84">
        <v>0.3</v>
      </c>
      <c r="Q149" s="133" t="s">
        <v>134</v>
      </c>
      <c r="R149" s="84">
        <v>0.63</v>
      </c>
      <c r="S149" s="84">
        <v>0.4</v>
      </c>
    </row>
    <row r="150">
      <c r="A150" s="76" t="s">
        <v>5712</v>
      </c>
      <c r="B150" s="16" t="s">
        <v>5713</v>
      </c>
      <c r="C150" s="89">
        <v>167884.0</v>
      </c>
      <c r="D150" s="16" t="s">
        <v>5871</v>
      </c>
      <c r="E150" s="16" t="s">
        <v>5871</v>
      </c>
      <c r="F150" s="16" t="s">
        <v>5901</v>
      </c>
      <c r="G150" s="22" t="s">
        <v>5901</v>
      </c>
      <c r="H150" s="22">
        <v>20260.0</v>
      </c>
      <c r="I150" s="84">
        <v>0.34</v>
      </c>
      <c r="J150" s="96">
        <v>10322.0</v>
      </c>
      <c r="K150" s="22">
        <v>99990.0</v>
      </c>
      <c r="L150" s="22">
        <v>51990.0</v>
      </c>
      <c r="M150" s="96">
        <v>58818.0</v>
      </c>
      <c r="N150" s="96">
        <v>30582.0</v>
      </c>
      <c r="O150" s="84">
        <v>0.3</v>
      </c>
      <c r="P150" s="84">
        <v>0.3</v>
      </c>
      <c r="Q150" s="133" t="s">
        <v>20</v>
      </c>
      <c r="R150" s="84">
        <v>0.54</v>
      </c>
      <c r="S150" s="84">
        <v>0.31</v>
      </c>
    </row>
    <row r="151">
      <c r="A151" s="76" t="s">
        <v>5712</v>
      </c>
      <c r="B151" s="16" t="s">
        <v>5738</v>
      </c>
      <c r="C151" s="89">
        <v>151077.0</v>
      </c>
      <c r="D151" s="16" t="s">
        <v>5846</v>
      </c>
      <c r="E151" s="16" t="s">
        <v>5846</v>
      </c>
      <c r="F151" s="16" t="s">
        <v>5902</v>
      </c>
      <c r="G151" s="22" t="s">
        <v>5902</v>
      </c>
      <c r="H151" s="22">
        <v>1453.0</v>
      </c>
      <c r="I151" s="84">
        <v>0.5</v>
      </c>
      <c r="J151" s="96">
        <v>1482.0</v>
      </c>
      <c r="K151" s="22">
        <v>7990.0</v>
      </c>
      <c r="L151" s="22">
        <v>4990.0</v>
      </c>
      <c r="M151" s="96">
        <v>4700.0</v>
      </c>
      <c r="N151" s="96">
        <v>2935.0</v>
      </c>
      <c r="O151" s="84">
        <v>0.3</v>
      </c>
      <c r="P151" s="84">
        <v>0.3</v>
      </c>
      <c r="Q151" s="133" t="s">
        <v>134</v>
      </c>
      <c r="R151" s="84">
        <v>0.65</v>
      </c>
      <c r="S151" s="84">
        <v>0.42</v>
      </c>
    </row>
    <row r="152">
      <c r="A152" s="76" t="s">
        <v>5712</v>
      </c>
      <c r="B152" s="16" t="s">
        <v>5713</v>
      </c>
      <c r="C152" s="89">
        <v>202312.0</v>
      </c>
      <c r="D152" s="16" t="s">
        <v>5871</v>
      </c>
      <c r="E152" s="16" t="s">
        <v>5871</v>
      </c>
      <c r="F152" s="16" t="s">
        <v>5903</v>
      </c>
      <c r="G152" s="22" t="s">
        <v>5903</v>
      </c>
      <c r="H152" s="22">
        <v>20260.0</v>
      </c>
      <c r="I152" s="84">
        <v>0.34</v>
      </c>
      <c r="J152" s="96">
        <v>10322.0</v>
      </c>
      <c r="K152" s="22">
        <v>99990.0</v>
      </c>
      <c r="L152" s="22">
        <v>51990.0</v>
      </c>
      <c r="M152" s="96">
        <v>58818.0</v>
      </c>
      <c r="N152" s="96">
        <v>30582.0</v>
      </c>
      <c r="O152" s="84">
        <v>0.3</v>
      </c>
      <c r="P152" s="84">
        <v>0.3</v>
      </c>
      <c r="Q152" s="133" t="s">
        <v>20</v>
      </c>
      <c r="R152" s="84">
        <v>0.54</v>
      </c>
      <c r="S152" s="84">
        <v>0.31</v>
      </c>
    </row>
    <row r="153">
      <c r="A153" s="76" t="s">
        <v>5712</v>
      </c>
      <c r="B153" s="16" t="s">
        <v>5777</v>
      </c>
      <c r="C153" s="89">
        <v>75391.0</v>
      </c>
      <c r="D153" s="16" t="s">
        <v>5846</v>
      </c>
      <c r="E153" s="16" t="s">
        <v>5846</v>
      </c>
      <c r="F153" s="16" t="s">
        <v>5904</v>
      </c>
      <c r="G153" s="22" t="s">
        <v>5904</v>
      </c>
      <c r="H153" s="22">
        <v>3424.0</v>
      </c>
      <c r="I153" s="84">
        <v>0.42</v>
      </c>
      <c r="J153" s="96">
        <v>2452.0</v>
      </c>
      <c r="K153" s="22">
        <v>14990.0</v>
      </c>
      <c r="L153" s="22">
        <v>9990.0</v>
      </c>
      <c r="M153" s="96">
        <v>8818.0</v>
      </c>
      <c r="N153" s="96">
        <v>5876.0</v>
      </c>
      <c r="O153" s="84">
        <v>0.3</v>
      </c>
      <c r="P153" s="84">
        <v>0.3</v>
      </c>
      <c r="Q153" s="133" t="s">
        <v>134</v>
      </c>
      <c r="R153" s="84">
        <v>0.59</v>
      </c>
      <c r="S153" s="84">
        <v>0.36</v>
      </c>
    </row>
    <row r="154">
      <c r="A154" s="76" t="s">
        <v>5712</v>
      </c>
      <c r="B154" s="16" t="s">
        <v>5777</v>
      </c>
      <c r="C154" s="89">
        <v>756325.0</v>
      </c>
      <c r="D154" s="16" t="s">
        <v>5878</v>
      </c>
      <c r="E154" s="16" t="s">
        <v>5878</v>
      </c>
      <c r="F154" s="16" t="s">
        <v>5905</v>
      </c>
      <c r="G154" s="22" t="s">
        <v>5905</v>
      </c>
      <c r="H154" s="22">
        <v>4532.0</v>
      </c>
      <c r="I154" s="84">
        <v>0.36</v>
      </c>
      <c r="J154" s="96">
        <v>2521.0</v>
      </c>
      <c r="K154" s="22">
        <v>19990.0</v>
      </c>
      <c r="L154" s="22">
        <v>11990.0</v>
      </c>
      <c r="M154" s="96">
        <v>11759.0</v>
      </c>
      <c r="N154" s="96">
        <v>7053.0</v>
      </c>
      <c r="O154" s="84">
        <v>0.3</v>
      </c>
      <c r="P154" s="84">
        <v>0.3</v>
      </c>
      <c r="Q154" s="133" t="s">
        <v>134</v>
      </c>
      <c r="R154" s="84">
        <v>0.55</v>
      </c>
      <c r="S154" s="84">
        <v>0.32</v>
      </c>
    </row>
    <row r="155">
      <c r="A155" s="76" t="s">
        <v>5712</v>
      </c>
      <c r="B155" s="16" t="s">
        <v>5821</v>
      </c>
      <c r="C155" s="89">
        <v>160519.0</v>
      </c>
      <c r="D155" s="16" t="s">
        <v>5805</v>
      </c>
      <c r="E155" s="16" t="s">
        <v>5805</v>
      </c>
      <c r="F155" s="16" t="s">
        <v>5906</v>
      </c>
      <c r="G155" s="22" t="s">
        <v>5906</v>
      </c>
      <c r="H155" s="22">
        <v>4901.0</v>
      </c>
      <c r="I155" s="84">
        <v>0.36</v>
      </c>
      <c r="J155" s="96">
        <v>2740.0</v>
      </c>
      <c r="K155" s="22">
        <v>19990.0</v>
      </c>
      <c r="L155" s="22">
        <v>12990.0</v>
      </c>
      <c r="M155" s="96">
        <v>11759.0</v>
      </c>
      <c r="N155" s="96">
        <v>7641.0</v>
      </c>
      <c r="O155" s="84">
        <v>0.3</v>
      </c>
      <c r="P155" s="84">
        <v>0.3</v>
      </c>
      <c r="Q155" s="133" t="s">
        <v>134</v>
      </c>
      <c r="R155" s="84">
        <v>0.55</v>
      </c>
      <c r="S155" s="84">
        <v>0.32</v>
      </c>
    </row>
    <row r="156">
      <c r="A156" s="76" t="s">
        <v>5712</v>
      </c>
      <c r="B156" s="16" t="s">
        <v>5713</v>
      </c>
      <c r="C156" s="16" t="s">
        <v>5907</v>
      </c>
      <c r="D156" s="16" t="s">
        <v>5874</v>
      </c>
      <c r="E156" s="16" t="s">
        <v>5874</v>
      </c>
      <c r="F156" s="16" t="s">
        <v>5908</v>
      </c>
      <c r="G156" s="22" t="s">
        <v>5908</v>
      </c>
      <c r="H156" s="22">
        <v>8690.0</v>
      </c>
      <c r="I156" s="84">
        <v>0.36</v>
      </c>
      <c r="J156" s="96">
        <v>4834.0</v>
      </c>
      <c r="K156" s="22">
        <v>29990.0</v>
      </c>
      <c r="L156" s="22">
        <v>22990.0</v>
      </c>
      <c r="M156" s="96">
        <v>17641.0</v>
      </c>
      <c r="N156" s="96">
        <v>13524.0</v>
      </c>
      <c r="O156" s="84">
        <v>0.3</v>
      </c>
      <c r="P156" s="84">
        <v>0.3</v>
      </c>
      <c r="Q156" s="133" t="s">
        <v>134</v>
      </c>
      <c r="R156" s="84">
        <v>0.55</v>
      </c>
      <c r="S156" s="84">
        <v>0.32</v>
      </c>
    </row>
    <row r="157">
      <c r="A157" s="76" t="s">
        <v>5712</v>
      </c>
      <c r="B157" s="16" t="s">
        <v>5738</v>
      </c>
      <c r="C157" s="89">
        <v>150166.0</v>
      </c>
      <c r="D157" s="16" t="s">
        <v>5846</v>
      </c>
      <c r="E157" s="16" t="s">
        <v>5846</v>
      </c>
      <c r="F157" s="16" t="s">
        <v>5909</v>
      </c>
      <c r="G157" s="22" t="s">
        <v>5909</v>
      </c>
      <c r="H157" s="22">
        <v>3594.0</v>
      </c>
      <c r="I157" s="84">
        <v>0.39</v>
      </c>
      <c r="J157" s="96">
        <v>2282.0</v>
      </c>
      <c r="K157" s="22">
        <v>14990.0</v>
      </c>
      <c r="L157" s="22">
        <v>9990.0</v>
      </c>
      <c r="M157" s="96">
        <v>8818.0</v>
      </c>
      <c r="N157" s="96">
        <v>5876.0</v>
      </c>
      <c r="O157" s="84">
        <v>0.3</v>
      </c>
      <c r="P157" s="84">
        <v>0.3</v>
      </c>
      <c r="Q157" s="133" t="s">
        <v>134</v>
      </c>
      <c r="R157" s="84">
        <v>0.57</v>
      </c>
      <c r="S157" s="84">
        <v>0.34</v>
      </c>
    </row>
    <row r="158">
      <c r="A158" s="76" t="s">
        <v>5712</v>
      </c>
      <c r="B158" s="16" t="s">
        <v>5713</v>
      </c>
      <c r="C158" s="16" t="s">
        <v>5910</v>
      </c>
      <c r="D158" s="16" t="s">
        <v>5874</v>
      </c>
      <c r="E158" s="16" t="s">
        <v>5874</v>
      </c>
      <c r="F158" s="16" t="s">
        <v>5911</v>
      </c>
      <c r="G158" s="22" t="s">
        <v>5911</v>
      </c>
      <c r="H158" s="22">
        <v>8690.0</v>
      </c>
      <c r="I158" s="84">
        <v>0.36</v>
      </c>
      <c r="J158" s="96">
        <v>4834.0</v>
      </c>
      <c r="K158" s="22">
        <v>29990.0</v>
      </c>
      <c r="L158" s="22">
        <v>22990.0</v>
      </c>
      <c r="M158" s="96">
        <v>17641.0</v>
      </c>
      <c r="N158" s="96">
        <v>13524.0</v>
      </c>
      <c r="O158" s="84">
        <v>0.3</v>
      </c>
      <c r="P158" s="84">
        <v>0.3</v>
      </c>
      <c r="Q158" s="133" t="s">
        <v>134</v>
      </c>
      <c r="R158" s="84">
        <v>0.55</v>
      </c>
      <c r="S158" s="84">
        <v>0.32</v>
      </c>
    </row>
    <row r="159">
      <c r="A159" s="76" t="s">
        <v>5712</v>
      </c>
      <c r="B159" s="16" t="s">
        <v>5773</v>
      </c>
      <c r="C159" s="89">
        <v>1100033.0</v>
      </c>
      <c r="D159" s="16" t="s">
        <v>5846</v>
      </c>
      <c r="E159" s="16" t="s">
        <v>5846</v>
      </c>
      <c r="F159" s="16" t="s">
        <v>5912</v>
      </c>
      <c r="G159" s="22" t="s">
        <v>5912</v>
      </c>
      <c r="H159" s="22">
        <v>7300.0</v>
      </c>
      <c r="I159" s="84">
        <v>0.35</v>
      </c>
      <c r="J159" s="96">
        <v>3871.0</v>
      </c>
      <c r="K159" s="22">
        <v>29990.0</v>
      </c>
      <c r="L159" s="22">
        <v>18990.0</v>
      </c>
      <c r="M159" s="96">
        <v>17641.0</v>
      </c>
      <c r="N159" s="96">
        <v>11171.0</v>
      </c>
      <c r="O159" s="84">
        <v>0.3</v>
      </c>
      <c r="P159" s="84">
        <v>0.3</v>
      </c>
      <c r="Q159" s="133" t="s">
        <v>134</v>
      </c>
      <c r="R159" s="84">
        <v>0.54</v>
      </c>
      <c r="S159" s="84">
        <v>0.31</v>
      </c>
    </row>
    <row r="160">
      <c r="A160" s="76" t="s">
        <v>5712</v>
      </c>
      <c r="B160" s="16" t="s">
        <v>5880</v>
      </c>
      <c r="C160" s="89">
        <v>97551.0</v>
      </c>
      <c r="D160" s="16" t="s">
        <v>5881</v>
      </c>
      <c r="E160" s="16" t="s">
        <v>5881</v>
      </c>
      <c r="F160" s="16" t="s">
        <v>5913</v>
      </c>
      <c r="G160" s="22" t="s">
        <v>5913</v>
      </c>
      <c r="H160" s="22">
        <v>2666.0</v>
      </c>
      <c r="I160" s="84">
        <v>0.43</v>
      </c>
      <c r="J160" s="96">
        <v>2034.0</v>
      </c>
      <c r="K160" s="22">
        <v>9990.0</v>
      </c>
      <c r="L160" s="22">
        <v>7990.0</v>
      </c>
      <c r="M160" s="96">
        <v>5876.0</v>
      </c>
      <c r="N160" s="96">
        <v>4700.0</v>
      </c>
      <c r="O160" s="84">
        <v>0.3</v>
      </c>
      <c r="P160" s="84">
        <v>0.3</v>
      </c>
      <c r="Q160" s="133" t="s">
        <v>134</v>
      </c>
      <c r="R160" s="84">
        <v>0.6</v>
      </c>
      <c r="S160" s="84">
        <v>0.37</v>
      </c>
    </row>
    <row r="161">
      <c r="A161" s="76" t="s">
        <v>5712</v>
      </c>
      <c r="B161" s="16" t="s">
        <v>5852</v>
      </c>
      <c r="C161" s="89">
        <v>88105.0</v>
      </c>
      <c r="D161" s="16" t="s">
        <v>5853</v>
      </c>
      <c r="E161" s="16" t="s">
        <v>5853</v>
      </c>
      <c r="F161" s="16" t="s">
        <v>5914</v>
      </c>
      <c r="G161" s="22" t="s">
        <v>5914</v>
      </c>
      <c r="H161" s="22">
        <v>2653.0</v>
      </c>
      <c r="I161" s="84">
        <v>0.44</v>
      </c>
      <c r="J161" s="96">
        <v>2047.0</v>
      </c>
      <c r="K161" s="22">
        <v>12990.0</v>
      </c>
      <c r="L161" s="22">
        <v>7990.0</v>
      </c>
      <c r="M161" s="96">
        <v>7641.0</v>
      </c>
      <c r="N161" s="96">
        <v>4700.0</v>
      </c>
      <c r="O161" s="84">
        <v>0.3</v>
      </c>
      <c r="P161" s="84">
        <v>0.3</v>
      </c>
      <c r="Q161" s="133" t="s">
        <v>134</v>
      </c>
      <c r="R161" s="84">
        <v>0.6</v>
      </c>
      <c r="S161" s="84">
        <v>0.37</v>
      </c>
    </row>
    <row r="162">
      <c r="A162" s="76" t="s">
        <v>5712</v>
      </c>
      <c r="B162" s="16" t="s">
        <v>5777</v>
      </c>
      <c r="C162" s="89">
        <v>74172.0</v>
      </c>
      <c r="D162" s="16" t="s">
        <v>5846</v>
      </c>
      <c r="E162" s="16" t="s">
        <v>5846</v>
      </c>
      <c r="F162" s="16" t="s">
        <v>5915</v>
      </c>
      <c r="G162" s="22" t="s">
        <v>5915</v>
      </c>
      <c r="H162" s="22">
        <v>2107.0</v>
      </c>
      <c r="I162" s="84">
        <v>0.4</v>
      </c>
      <c r="J162" s="96">
        <v>1417.0</v>
      </c>
      <c r="K162" s="22">
        <v>12990.0</v>
      </c>
      <c r="L162" s="22">
        <v>5990.0</v>
      </c>
      <c r="M162" s="96">
        <v>7641.0</v>
      </c>
      <c r="N162" s="96">
        <v>3524.0</v>
      </c>
      <c r="O162" s="84">
        <v>0.3</v>
      </c>
      <c r="P162" s="84">
        <v>0.3</v>
      </c>
      <c r="Q162" s="133" t="s">
        <v>134</v>
      </c>
      <c r="R162" s="84">
        <v>0.58</v>
      </c>
      <c r="S162" s="84">
        <v>0.35</v>
      </c>
    </row>
    <row r="163">
      <c r="A163" s="76" t="s">
        <v>5712</v>
      </c>
      <c r="B163" s="16" t="s">
        <v>5738</v>
      </c>
      <c r="C163" s="89">
        <v>151268.0</v>
      </c>
      <c r="D163" s="16" t="s">
        <v>5846</v>
      </c>
      <c r="E163" s="16" t="s">
        <v>5846</v>
      </c>
      <c r="F163" s="16" t="s">
        <v>5916</v>
      </c>
      <c r="G163" s="22" t="s">
        <v>5916</v>
      </c>
      <c r="H163" s="22">
        <v>5526.0</v>
      </c>
      <c r="I163" s="84">
        <v>0.37</v>
      </c>
      <c r="J163" s="96">
        <v>3292.0</v>
      </c>
      <c r="K163" s="22">
        <v>19990.0</v>
      </c>
      <c r="L163" s="22">
        <v>14990.0</v>
      </c>
      <c r="M163" s="96">
        <v>11759.0</v>
      </c>
      <c r="N163" s="96">
        <v>8818.0</v>
      </c>
      <c r="O163" s="84">
        <v>0.3</v>
      </c>
      <c r="P163" s="84">
        <v>0.3</v>
      </c>
      <c r="Q163" s="133" t="s">
        <v>134</v>
      </c>
      <c r="R163" s="84">
        <v>0.56</v>
      </c>
      <c r="S163" s="84">
        <v>0.33</v>
      </c>
    </row>
    <row r="164">
      <c r="A164" s="76" t="s">
        <v>5712</v>
      </c>
      <c r="B164" s="16" t="s">
        <v>5713</v>
      </c>
      <c r="C164" s="16" t="s">
        <v>5917</v>
      </c>
      <c r="D164" s="16" t="s">
        <v>5874</v>
      </c>
      <c r="E164" s="16" t="s">
        <v>5874</v>
      </c>
      <c r="F164" s="16" t="s">
        <v>5918</v>
      </c>
      <c r="G164" s="22" t="s">
        <v>5918</v>
      </c>
      <c r="H164" s="22">
        <v>6381.0</v>
      </c>
      <c r="I164" s="84">
        <v>0.36</v>
      </c>
      <c r="J164" s="96">
        <v>3613.0</v>
      </c>
      <c r="K164" s="22">
        <v>24990.0</v>
      </c>
      <c r="L164" s="22">
        <v>16990.0</v>
      </c>
      <c r="M164" s="96">
        <v>14700.0</v>
      </c>
      <c r="N164" s="96">
        <v>9994.0</v>
      </c>
      <c r="O164" s="84">
        <v>0.3</v>
      </c>
      <c r="P164" s="84">
        <v>0.3</v>
      </c>
      <c r="Q164" s="133" t="s">
        <v>134</v>
      </c>
      <c r="R164" s="84">
        <v>0.55</v>
      </c>
      <c r="S164" s="84">
        <v>0.32</v>
      </c>
    </row>
    <row r="165">
      <c r="A165" s="76" t="s">
        <v>5712</v>
      </c>
      <c r="B165" s="16" t="s">
        <v>5821</v>
      </c>
      <c r="C165" s="89">
        <v>196488.0</v>
      </c>
      <c r="D165" s="16" t="s">
        <v>5805</v>
      </c>
      <c r="E165" s="16" t="s">
        <v>5805</v>
      </c>
      <c r="F165" s="16" t="s">
        <v>5919</v>
      </c>
      <c r="G165" s="22" t="s">
        <v>5919</v>
      </c>
      <c r="H165" s="22">
        <v>4249.0</v>
      </c>
      <c r="I165" s="84">
        <v>0.4</v>
      </c>
      <c r="J165" s="96">
        <v>2804.0</v>
      </c>
      <c r="K165" s="22">
        <v>19990.0</v>
      </c>
      <c r="L165" s="22">
        <v>11990.0</v>
      </c>
      <c r="M165" s="96">
        <v>11759.0</v>
      </c>
      <c r="N165" s="96">
        <v>7053.0</v>
      </c>
      <c r="O165" s="84">
        <v>0.3</v>
      </c>
      <c r="P165" s="84">
        <v>0.3</v>
      </c>
      <c r="Q165" s="133" t="s">
        <v>134</v>
      </c>
      <c r="R165" s="84">
        <v>0.58</v>
      </c>
      <c r="S165" s="84">
        <v>0.35</v>
      </c>
    </row>
    <row r="166">
      <c r="A166" s="76" t="s">
        <v>5712</v>
      </c>
      <c r="B166" s="16" t="s">
        <v>5738</v>
      </c>
      <c r="C166" s="16" t="s">
        <v>5920</v>
      </c>
      <c r="D166" s="16" t="s">
        <v>5878</v>
      </c>
      <c r="E166" s="16" t="s">
        <v>5878</v>
      </c>
      <c r="F166" s="16" t="s">
        <v>5921</v>
      </c>
      <c r="G166" s="22" t="s">
        <v>5921</v>
      </c>
      <c r="H166" s="22">
        <v>1772.0</v>
      </c>
      <c r="I166" s="84">
        <v>0.4</v>
      </c>
      <c r="J166" s="96">
        <v>1163.0</v>
      </c>
      <c r="K166" s="22">
        <v>8990.0</v>
      </c>
      <c r="L166" s="22">
        <v>4990.0</v>
      </c>
      <c r="M166" s="96">
        <v>5288.0</v>
      </c>
      <c r="N166" s="96">
        <v>2935.0</v>
      </c>
      <c r="O166" s="84">
        <v>0.3</v>
      </c>
      <c r="P166" s="84">
        <v>0.3</v>
      </c>
      <c r="Q166" s="133" t="s">
        <v>134</v>
      </c>
      <c r="R166" s="84">
        <v>0.58</v>
      </c>
      <c r="S166" s="84">
        <v>0.35</v>
      </c>
    </row>
    <row r="167">
      <c r="A167" s="76" t="s">
        <v>5712</v>
      </c>
      <c r="B167" s="16" t="s">
        <v>5738</v>
      </c>
      <c r="C167" s="16" t="s">
        <v>5922</v>
      </c>
      <c r="D167" s="16" t="s">
        <v>5878</v>
      </c>
      <c r="E167" s="16" t="s">
        <v>5878</v>
      </c>
      <c r="F167" s="16" t="s">
        <v>5923</v>
      </c>
      <c r="G167" s="22" t="s">
        <v>5923</v>
      </c>
      <c r="H167" s="22">
        <v>1772.0</v>
      </c>
      <c r="I167" s="84">
        <v>0.4</v>
      </c>
      <c r="J167" s="96">
        <v>1163.0</v>
      </c>
      <c r="K167" s="22">
        <v>8990.0</v>
      </c>
      <c r="L167" s="22">
        <v>4990.0</v>
      </c>
      <c r="M167" s="96">
        <v>5288.0</v>
      </c>
      <c r="N167" s="96">
        <v>2935.0</v>
      </c>
      <c r="O167" s="84">
        <v>0.3</v>
      </c>
      <c r="P167" s="84">
        <v>0.3</v>
      </c>
      <c r="Q167" s="133" t="s">
        <v>134</v>
      </c>
      <c r="R167" s="84">
        <v>0.58</v>
      </c>
      <c r="S167" s="84">
        <v>0.35</v>
      </c>
    </row>
    <row r="168">
      <c r="A168" s="76" t="s">
        <v>5712</v>
      </c>
      <c r="B168" s="16" t="s">
        <v>5713</v>
      </c>
      <c r="C168" s="16" t="s">
        <v>5924</v>
      </c>
      <c r="D168" s="16" t="s">
        <v>5874</v>
      </c>
      <c r="E168" s="16" t="s">
        <v>5874</v>
      </c>
      <c r="F168" s="16" t="s">
        <v>5925</v>
      </c>
      <c r="G168" s="22" t="s">
        <v>5925</v>
      </c>
      <c r="H168" s="22">
        <v>8690.0</v>
      </c>
      <c r="I168" s="84">
        <v>0.36</v>
      </c>
      <c r="J168" s="96">
        <v>4834.0</v>
      </c>
      <c r="K168" s="22">
        <v>29990.0</v>
      </c>
      <c r="L168" s="22">
        <v>22990.0</v>
      </c>
      <c r="M168" s="96">
        <v>17641.0</v>
      </c>
      <c r="N168" s="96">
        <v>13524.0</v>
      </c>
      <c r="O168" s="84">
        <v>0.3</v>
      </c>
      <c r="P168" s="84">
        <v>0.3</v>
      </c>
      <c r="Q168" s="133" t="s">
        <v>134</v>
      </c>
      <c r="R168" s="84">
        <v>0.55</v>
      </c>
      <c r="S168" s="84">
        <v>0.32</v>
      </c>
    </row>
    <row r="169">
      <c r="A169" s="76" t="s">
        <v>5712</v>
      </c>
      <c r="B169" s="16" t="s">
        <v>5738</v>
      </c>
      <c r="C169" s="89">
        <v>179740.0</v>
      </c>
      <c r="D169" s="16" t="s">
        <v>5846</v>
      </c>
      <c r="E169" s="16" t="s">
        <v>5846</v>
      </c>
      <c r="F169" s="16" t="s">
        <v>5926</v>
      </c>
      <c r="G169" s="22" t="s">
        <v>5926</v>
      </c>
      <c r="H169" s="22">
        <v>7018.0</v>
      </c>
      <c r="I169" s="84">
        <v>0.37</v>
      </c>
      <c r="J169" s="96">
        <v>4153.0</v>
      </c>
      <c r="K169" s="22">
        <v>24990.0</v>
      </c>
      <c r="L169" s="22">
        <v>18990.0</v>
      </c>
      <c r="M169" s="96">
        <v>14700.0</v>
      </c>
      <c r="N169" s="96">
        <v>11171.0</v>
      </c>
      <c r="O169" s="84">
        <v>0.3</v>
      </c>
      <c r="P169" s="84">
        <v>0.3</v>
      </c>
      <c r="Q169" s="133" t="s">
        <v>134</v>
      </c>
      <c r="R169" s="84">
        <v>0.56</v>
      </c>
      <c r="S169" s="84">
        <v>0.33</v>
      </c>
    </row>
    <row r="170">
      <c r="A170" s="76" t="s">
        <v>5712</v>
      </c>
      <c r="B170" s="16" t="s">
        <v>5738</v>
      </c>
      <c r="C170" s="16" t="s">
        <v>5927</v>
      </c>
      <c r="D170" s="16" t="s">
        <v>5846</v>
      </c>
      <c r="E170" s="16" t="s">
        <v>5846</v>
      </c>
      <c r="F170" s="16" t="s">
        <v>5928</v>
      </c>
      <c r="G170" s="22" t="s">
        <v>5928</v>
      </c>
      <c r="H170" s="22">
        <v>6869.0</v>
      </c>
      <c r="I170" s="84">
        <v>0.35</v>
      </c>
      <c r="J170" s="96">
        <v>3713.0</v>
      </c>
      <c r="K170" s="22">
        <v>24990.0</v>
      </c>
      <c r="L170" s="22">
        <v>17990.0</v>
      </c>
      <c r="M170" s="96">
        <v>14700.0</v>
      </c>
      <c r="N170" s="96">
        <v>10582.0</v>
      </c>
      <c r="O170" s="84">
        <v>0.3</v>
      </c>
      <c r="P170" s="84">
        <v>0.3</v>
      </c>
      <c r="Q170" s="133" t="s">
        <v>134</v>
      </c>
      <c r="R170" s="84">
        <v>0.55</v>
      </c>
      <c r="S170" s="84">
        <v>0.32</v>
      </c>
    </row>
    <row r="171">
      <c r="A171" s="76" t="s">
        <v>5712</v>
      </c>
      <c r="B171" s="16" t="s">
        <v>5821</v>
      </c>
      <c r="C171" s="89">
        <v>4.6172218E8</v>
      </c>
      <c r="D171" s="16" t="s">
        <v>5805</v>
      </c>
      <c r="E171" s="16" t="s">
        <v>5805</v>
      </c>
      <c r="F171" s="16" t="s">
        <v>5929</v>
      </c>
      <c r="G171" s="22" t="s">
        <v>5929</v>
      </c>
      <c r="H171" s="22">
        <v>2384.0</v>
      </c>
      <c r="I171" s="84">
        <v>0.42</v>
      </c>
      <c r="J171" s="96">
        <v>1728.0</v>
      </c>
      <c r="K171" s="22">
        <v>9990.0</v>
      </c>
      <c r="L171" s="22">
        <v>6990.0</v>
      </c>
      <c r="M171" s="96">
        <v>5876.0</v>
      </c>
      <c r="N171" s="96">
        <v>4112.0</v>
      </c>
      <c r="O171" s="84">
        <v>0.3</v>
      </c>
      <c r="P171" s="84">
        <v>0.3</v>
      </c>
      <c r="Q171" s="133" t="s">
        <v>134</v>
      </c>
      <c r="R171" s="84">
        <v>0.59</v>
      </c>
      <c r="S171" s="84">
        <v>0.36</v>
      </c>
    </row>
    <row r="172">
      <c r="A172" s="76" t="s">
        <v>5712</v>
      </c>
      <c r="B172" s="16" t="s">
        <v>5777</v>
      </c>
      <c r="C172" s="89">
        <v>77070.0</v>
      </c>
      <c r="D172" s="16" t="s">
        <v>5846</v>
      </c>
      <c r="E172" s="16" t="s">
        <v>5846</v>
      </c>
      <c r="F172" s="16" t="s">
        <v>5930</v>
      </c>
      <c r="G172" s="22" t="s">
        <v>5930</v>
      </c>
      <c r="H172" s="22">
        <v>7536.0</v>
      </c>
      <c r="I172" s="84">
        <v>0.36</v>
      </c>
      <c r="J172" s="96">
        <v>4223.0</v>
      </c>
      <c r="K172" s="22">
        <v>29990.0</v>
      </c>
      <c r="L172" s="22">
        <v>19990.0</v>
      </c>
      <c r="M172" s="96">
        <v>17641.0</v>
      </c>
      <c r="N172" s="96">
        <v>11759.0</v>
      </c>
      <c r="O172" s="84">
        <v>0.3</v>
      </c>
      <c r="P172" s="84">
        <v>0.3</v>
      </c>
      <c r="Q172" s="133" t="s">
        <v>134</v>
      </c>
      <c r="R172" s="84">
        <v>0.55</v>
      </c>
      <c r="S172" s="84">
        <v>0.32</v>
      </c>
    </row>
    <row r="173">
      <c r="A173" s="76" t="s">
        <v>5712</v>
      </c>
      <c r="B173" s="16" t="s">
        <v>5880</v>
      </c>
      <c r="C173" s="89">
        <v>98042.0</v>
      </c>
      <c r="D173" s="16" t="s">
        <v>5881</v>
      </c>
      <c r="E173" s="16" t="s">
        <v>5881</v>
      </c>
      <c r="F173" s="16" t="s">
        <v>5931</v>
      </c>
      <c r="G173" s="22" t="s">
        <v>5931</v>
      </c>
      <c r="H173" s="22">
        <v>5618.0</v>
      </c>
      <c r="I173" s="84">
        <v>0.36</v>
      </c>
      <c r="J173" s="96">
        <v>3200.0</v>
      </c>
      <c r="K173" s="22">
        <v>19990.0</v>
      </c>
      <c r="L173" s="22">
        <v>14990.0</v>
      </c>
      <c r="M173" s="96">
        <v>11759.0</v>
      </c>
      <c r="N173" s="96">
        <v>8818.0</v>
      </c>
      <c r="O173" s="84">
        <v>0.3</v>
      </c>
      <c r="P173" s="84">
        <v>0.3</v>
      </c>
      <c r="Q173" s="133" t="s">
        <v>134</v>
      </c>
      <c r="R173" s="84">
        <v>0.55</v>
      </c>
      <c r="S173" s="84">
        <v>0.32</v>
      </c>
    </row>
    <row r="174">
      <c r="A174" s="76" t="s">
        <v>5712</v>
      </c>
      <c r="B174" s="16" t="s">
        <v>5852</v>
      </c>
      <c r="C174" s="89">
        <v>95246.0</v>
      </c>
      <c r="D174" s="16" t="s">
        <v>5853</v>
      </c>
      <c r="E174" s="16" t="s">
        <v>5853</v>
      </c>
      <c r="F174" s="16" t="s">
        <v>5932</v>
      </c>
      <c r="G174" s="22" t="s">
        <v>5932</v>
      </c>
      <c r="H174" s="22">
        <v>8372.0</v>
      </c>
      <c r="I174" s="84">
        <v>0.35</v>
      </c>
      <c r="J174" s="96">
        <v>4563.0</v>
      </c>
      <c r="K174" s="22">
        <v>29990.0</v>
      </c>
      <c r="L174" s="22">
        <v>21990.0</v>
      </c>
      <c r="M174" s="96">
        <v>17641.0</v>
      </c>
      <c r="N174" s="96">
        <v>12935.0</v>
      </c>
      <c r="O174" s="84">
        <v>0.3</v>
      </c>
      <c r="P174" s="84">
        <v>0.3</v>
      </c>
      <c r="Q174" s="133" t="s">
        <v>134</v>
      </c>
      <c r="R174" s="84">
        <v>0.55</v>
      </c>
      <c r="S174" s="84">
        <v>0.32</v>
      </c>
    </row>
    <row r="175">
      <c r="A175" s="76" t="s">
        <v>5712</v>
      </c>
      <c r="B175" s="16" t="s">
        <v>5852</v>
      </c>
      <c r="C175" s="89">
        <v>87279.0</v>
      </c>
      <c r="D175" s="16" t="s">
        <v>5853</v>
      </c>
      <c r="E175" s="16" t="s">
        <v>5853</v>
      </c>
      <c r="F175" s="16" t="s">
        <v>5933</v>
      </c>
      <c r="G175" s="22" t="s">
        <v>5933</v>
      </c>
      <c r="H175" s="22">
        <v>4345.0</v>
      </c>
      <c r="I175" s="84">
        <v>0.38</v>
      </c>
      <c r="J175" s="96">
        <v>2708.0</v>
      </c>
      <c r="K175" s="22">
        <v>24990.0</v>
      </c>
      <c r="L175" s="22">
        <v>11990.0</v>
      </c>
      <c r="M175" s="96">
        <v>14700.0</v>
      </c>
      <c r="N175" s="96">
        <v>7053.0</v>
      </c>
      <c r="O175" s="84">
        <v>0.3</v>
      </c>
      <c r="P175" s="84">
        <v>0.3</v>
      </c>
      <c r="Q175" s="133" t="s">
        <v>134</v>
      </c>
      <c r="R175" s="84">
        <v>0.57</v>
      </c>
      <c r="S175" s="84">
        <v>0.34</v>
      </c>
    </row>
    <row r="176">
      <c r="A176" s="76" t="s">
        <v>5712</v>
      </c>
      <c r="B176" s="16" t="s">
        <v>5821</v>
      </c>
      <c r="C176" s="89">
        <v>176927.0</v>
      </c>
      <c r="D176" s="16" t="s">
        <v>5858</v>
      </c>
      <c r="E176" s="16" t="s">
        <v>5858</v>
      </c>
      <c r="F176" s="16" t="s">
        <v>5934</v>
      </c>
      <c r="G176" s="22" t="s">
        <v>5934</v>
      </c>
      <c r="H176" s="22">
        <v>3903.0</v>
      </c>
      <c r="I176" s="84">
        <v>0.4</v>
      </c>
      <c r="J176" s="96">
        <v>2562.0</v>
      </c>
      <c r="K176" s="22">
        <v>14990.0</v>
      </c>
      <c r="L176" s="22">
        <v>10990.0</v>
      </c>
      <c r="M176" s="96">
        <v>8818.0</v>
      </c>
      <c r="N176" s="96">
        <v>6465.0</v>
      </c>
      <c r="O176" s="84">
        <v>0.3</v>
      </c>
      <c r="P176" s="84">
        <v>0.3</v>
      </c>
      <c r="Q176" s="133" t="s">
        <v>134</v>
      </c>
      <c r="R176" s="84">
        <v>0.58</v>
      </c>
      <c r="S176" s="84">
        <v>0.35</v>
      </c>
    </row>
    <row r="177">
      <c r="A177" s="76" t="s">
        <v>5712</v>
      </c>
      <c r="B177" s="16" t="s">
        <v>5777</v>
      </c>
      <c r="C177" s="89">
        <v>98060.0</v>
      </c>
      <c r="D177" s="16" t="s">
        <v>5881</v>
      </c>
      <c r="E177" s="16" t="s">
        <v>5881</v>
      </c>
      <c r="F177" s="16" t="s">
        <v>5935</v>
      </c>
      <c r="G177" s="22" t="s">
        <v>5935</v>
      </c>
      <c r="H177" s="22">
        <v>5485.0</v>
      </c>
      <c r="I177" s="84">
        <v>0.38</v>
      </c>
      <c r="J177" s="96">
        <v>3333.0</v>
      </c>
      <c r="K177" s="22">
        <v>24990.0</v>
      </c>
      <c r="L177" s="22">
        <v>14990.0</v>
      </c>
      <c r="M177" s="96">
        <v>14700.0</v>
      </c>
      <c r="N177" s="96">
        <v>8818.0</v>
      </c>
      <c r="O177" s="84">
        <v>0.3</v>
      </c>
      <c r="P177" s="84">
        <v>0.3</v>
      </c>
      <c r="Q177" s="133" t="s">
        <v>134</v>
      </c>
      <c r="R177" s="84">
        <v>0.56</v>
      </c>
      <c r="S177" s="84">
        <v>0.33</v>
      </c>
    </row>
    <row r="178">
      <c r="A178" s="76" t="s">
        <v>5712</v>
      </c>
      <c r="B178" s="16" t="s">
        <v>5713</v>
      </c>
      <c r="C178" s="89">
        <v>168413.0</v>
      </c>
      <c r="D178" s="16" t="s">
        <v>5874</v>
      </c>
      <c r="E178" s="16" t="s">
        <v>5874</v>
      </c>
      <c r="F178" s="16" t="s">
        <v>5936</v>
      </c>
      <c r="G178" s="22" t="s">
        <v>5936</v>
      </c>
      <c r="H178" s="22">
        <v>6021.0</v>
      </c>
      <c r="I178" s="84">
        <v>0.36</v>
      </c>
      <c r="J178" s="96">
        <v>3384.0</v>
      </c>
      <c r="K178" s="22">
        <v>24990.0</v>
      </c>
      <c r="L178" s="22">
        <v>15990.0</v>
      </c>
      <c r="M178" s="96">
        <v>14700.0</v>
      </c>
      <c r="N178" s="96">
        <v>9406.0</v>
      </c>
      <c r="O178" s="84">
        <v>0.3</v>
      </c>
      <c r="P178" s="84">
        <v>0.3</v>
      </c>
      <c r="Q178" s="133" t="s">
        <v>134</v>
      </c>
      <c r="R178" s="84">
        <v>0.55</v>
      </c>
      <c r="S178" s="84">
        <v>0.32</v>
      </c>
    </row>
    <row r="179">
      <c r="A179" s="76" t="s">
        <v>5712</v>
      </c>
      <c r="B179" s="16" t="s">
        <v>5713</v>
      </c>
      <c r="C179" s="89">
        <v>168414.0</v>
      </c>
      <c r="D179" s="16" t="s">
        <v>5874</v>
      </c>
      <c r="E179" s="16" t="s">
        <v>5874</v>
      </c>
      <c r="F179" s="16" t="s">
        <v>5937</v>
      </c>
      <c r="G179" s="22" t="s">
        <v>5937</v>
      </c>
      <c r="H179" s="22">
        <v>6021.0</v>
      </c>
      <c r="I179" s="84">
        <v>0.36</v>
      </c>
      <c r="J179" s="96">
        <v>3384.0</v>
      </c>
      <c r="K179" s="22">
        <v>24990.0</v>
      </c>
      <c r="L179" s="22">
        <v>15990.0</v>
      </c>
      <c r="M179" s="96">
        <v>14700.0</v>
      </c>
      <c r="N179" s="96">
        <v>9406.0</v>
      </c>
      <c r="O179" s="84">
        <v>0.3</v>
      </c>
      <c r="P179" s="84">
        <v>0.3</v>
      </c>
      <c r="Q179" s="133" t="s">
        <v>134</v>
      </c>
      <c r="R179" s="84">
        <v>0.55</v>
      </c>
      <c r="S179" s="84">
        <v>0.32</v>
      </c>
    </row>
    <row r="180">
      <c r="A180" s="76" t="s">
        <v>5712</v>
      </c>
      <c r="B180" s="16" t="s">
        <v>5821</v>
      </c>
      <c r="C180" s="89">
        <v>136194.0</v>
      </c>
      <c r="D180" s="16" t="s">
        <v>5858</v>
      </c>
      <c r="E180" s="16" t="s">
        <v>5858</v>
      </c>
      <c r="F180" s="16" t="s">
        <v>5938</v>
      </c>
      <c r="G180" s="22" t="s">
        <v>5938</v>
      </c>
      <c r="H180" s="22">
        <v>7087.0</v>
      </c>
      <c r="I180" s="84">
        <v>0.37</v>
      </c>
      <c r="J180" s="96">
        <v>4083.0</v>
      </c>
      <c r="K180" s="22">
        <v>24990.0</v>
      </c>
      <c r="L180" s="22">
        <v>18990.0</v>
      </c>
      <c r="M180" s="96">
        <v>14700.0</v>
      </c>
      <c r="N180" s="96">
        <v>11171.0</v>
      </c>
      <c r="O180" s="84">
        <v>0.3</v>
      </c>
      <c r="P180" s="84">
        <v>0.3</v>
      </c>
      <c r="Q180" s="133" t="s">
        <v>134</v>
      </c>
      <c r="R180" s="84">
        <v>0.56</v>
      </c>
      <c r="S180" s="84">
        <v>0.33</v>
      </c>
    </row>
    <row r="181">
      <c r="A181" s="76" t="s">
        <v>5712</v>
      </c>
      <c r="B181" s="16" t="s">
        <v>5821</v>
      </c>
      <c r="C181" s="89">
        <v>194195.0</v>
      </c>
      <c r="D181" s="16" t="s">
        <v>5858</v>
      </c>
      <c r="E181" s="16" t="s">
        <v>5858</v>
      </c>
      <c r="F181" s="16" t="s">
        <v>5939</v>
      </c>
      <c r="G181" s="22" t="s">
        <v>5939</v>
      </c>
      <c r="H181" s="22">
        <v>7087.0</v>
      </c>
      <c r="I181" s="84">
        <v>0.37</v>
      </c>
      <c r="J181" s="96">
        <v>4083.0</v>
      </c>
      <c r="K181" s="22">
        <v>24990.0</v>
      </c>
      <c r="L181" s="22">
        <v>18990.0</v>
      </c>
      <c r="M181" s="96">
        <v>14700.0</v>
      </c>
      <c r="N181" s="96">
        <v>11171.0</v>
      </c>
      <c r="O181" s="84">
        <v>0.3</v>
      </c>
      <c r="P181" s="84">
        <v>0.3</v>
      </c>
      <c r="Q181" s="133" t="s">
        <v>134</v>
      </c>
      <c r="R181" s="84">
        <v>0.56</v>
      </c>
      <c r="S181" s="84">
        <v>0.33</v>
      </c>
    </row>
    <row r="182">
      <c r="A182" s="76" t="s">
        <v>5712</v>
      </c>
      <c r="B182" s="16" t="s">
        <v>5821</v>
      </c>
      <c r="C182" s="89">
        <v>196306.0</v>
      </c>
      <c r="D182" s="16" t="s">
        <v>5858</v>
      </c>
      <c r="E182" s="16" t="s">
        <v>5858</v>
      </c>
      <c r="F182" s="16" t="s">
        <v>5940</v>
      </c>
      <c r="G182" s="22" t="s">
        <v>5940</v>
      </c>
      <c r="H182" s="22">
        <v>4455.0</v>
      </c>
      <c r="I182" s="84">
        <v>0.37</v>
      </c>
      <c r="J182" s="96">
        <v>2598.0</v>
      </c>
      <c r="K182" s="22">
        <v>19990.0</v>
      </c>
      <c r="L182" s="22">
        <v>11990.0</v>
      </c>
      <c r="M182" s="96">
        <v>11759.0</v>
      </c>
      <c r="N182" s="96">
        <v>7053.0</v>
      </c>
      <c r="O182" s="84">
        <v>0.3</v>
      </c>
      <c r="P182" s="84">
        <v>0.3</v>
      </c>
      <c r="Q182" s="133" t="s">
        <v>134</v>
      </c>
      <c r="R182" s="84">
        <v>0.56</v>
      </c>
      <c r="S182" s="84">
        <v>0.33</v>
      </c>
    </row>
    <row r="183">
      <c r="A183" s="76" t="s">
        <v>5712</v>
      </c>
      <c r="B183" s="16" t="s">
        <v>5821</v>
      </c>
      <c r="C183" s="89">
        <v>160638.0</v>
      </c>
      <c r="D183" s="16" t="s">
        <v>5858</v>
      </c>
      <c r="E183" s="16" t="s">
        <v>5858</v>
      </c>
      <c r="F183" s="16" t="s">
        <v>5941</v>
      </c>
      <c r="G183" s="22" t="s">
        <v>5941</v>
      </c>
      <c r="H183" s="22">
        <v>4509.0</v>
      </c>
      <c r="I183" s="84">
        <v>0.36</v>
      </c>
      <c r="J183" s="96">
        <v>2544.0</v>
      </c>
      <c r="K183" s="22">
        <v>19990.0</v>
      </c>
      <c r="L183" s="22">
        <v>11990.0</v>
      </c>
      <c r="M183" s="96">
        <v>11759.0</v>
      </c>
      <c r="N183" s="96">
        <v>7053.0</v>
      </c>
      <c r="O183" s="84">
        <v>0.3</v>
      </c>
      <c r="P183" s="84">
        <v>0.3</v>
      </c>
      <c r="Q183" s="133" t="s">
        <v>134</v>
      </c>
      <c r="R183" s="84">
        <v>0.55</v>
      </c>
      <c r="S183" s="84">
        <v>0.32</v>
      </c>
    </row>
    <row r="184">
      <c r="A184" s="76" t="s">
        <v>5712</v>
      </c>
      <c r="B184" s="16" t="s">
        <v>5821</v>
      </c>
      <c r="C184" s="89">
        <v>188451.0</v>
      </c>
      <c r="D184" s="16" t="s">
        <v>5858</v>
      </c>
      <c r="E184" s="16" t="s">
        <v>5858</v>
      </c>
      <c r="F184" s="16" t="s">
        <v>5942</v>
      </c>
      <c r="G184" s="22" t="s">
        <v>5942</v>
      </c>
      <c r="H184" s="22">
        <v>3543.0</v>
      </c>
      <c r="I184" s="84">
        <v>0.4</v>
      </c>
      <c r="J184" s="96">
        <v>2333.0</v>
      </c>
      <c r="K184" s="22">
        <v>14990.0</v>
      </c>
      <c r="L184" s="22">
        <v>9990.0</v>
      </c>
      <c r="M184" s="96">
        <v>8818.0</v>
      </c>
      <c r="N184" s="96">
        <v>5876.0</v>
      </c>
      <c r="O184" s="84">
        <v>0.3</v>
      </c>
      <c r="P184" s="84">
        <v>0.3</v>
      </c>
      <c r="Q184" s="133" t="s">
        <v>134</v>
      </c>
      <c r="R184" s="84">
        <v>0.58</v>
      </c>
      <c r="S184" s="84">
        <v>0.35</v>
      </c>
    </row>
    <row r="185">
      <c r="A185" s="76" t="s">
        <v>5712</v>
      </c>
      <c r="B185" s="16" t="s">
        <v>5852</v>
      </c>
      <c r="C185" s="89">
        <v>86533.0</v>
      </c>
      <c r="D185" s="16" t="s">
        <v>5853</v>
      </c>
      <c r="E185" s="16" t="s">
        <v>5853</v>
      </c>
      <c r="F185" s="16" t="s">
        <v>5943</v>
      </c>
      <c r="G185" s="22" t="s">
        <v>5943</v>
      </c>
      <c r="H185" s="22">
        <v>3118.0</v>
      </c>
      <c r="I185" s="84">
        <v>0.41</v>
      </c>
      <c r="J185" s="96">
        <v>2170.0</v>
      </c>
      <c r="K185" s="22">
        <v>14990.0</v>
      </c>
      <c r="L185" s="22">
        <v>8990.0</v>
      </c>
      <c r="M185" s="96">
        <v>8818.0</v>
      </c>
      <c r="N185" s="96">
        <v>5288.0</v>
      </c>
      <c r="O185" s="84">
        <v>0.3</v>
      </c>
      <c r="P185" s="84">
        <v>0.3</v>
      </c>
      <c r="Q185" s="133" t="s">
        <v>134</v>
      </c>
      <c r="R185" s="84">
        <v>0.59</v>
      </c>
      <c r="S185" s="84">
        <v>0.36</v>
      </c>
    </row>
    <row r="186">
      <c r="A186" s="76" t="s">
        <v>5712</v>
      </c>
      <c r="B186" s="16" t="s">
        <v>5852</v>
      </c>
      <c r="C186" s="89">
        <v>95318.0</v>
      </c>
      <c r="D186" s="16" t="s">
        <v>5853</v>
      </c>
      <c r="E186" s="16" t="s">
        <v>5853</v>
      </c>
      <c r="F186" s="16" t="s">
        <v>5944</v>
      </c>
      <c r="G186" s="22" t="s">
        <v>5944</v>
      </c>
      <c r="H186" s="22">
        <v>16801.0</v>
      </c>
      <c r="I186" s="84">
        <v>0.34</v>
      </c>
      <c r="J186" s="96">
        <v>8487.0</v>
      </c>
      <c r="K186" s="22">
        <v>59990.0</v>
      </c>
      <c r="L186" s="22">
        <v>42990.0</v>
      </c>
      <c r="M186" s="96">
        <v>35288.0</v>
      </c>
      <c r="N186" s="96">
        <v>25288.0</v>
      </c>
      <c r="O186" s="84">
        <v>0.3</v>
      </c>
      <c r="P186" s="84">
        <v>0.3</v>
      </c>
      <c r="Q186" s="133" t="s">
        <v>134</v>
      </c>
      <c r="R186" s="84">
        <v>0.53</v>
      </c>
      <c r="S186" s="84">
        <v>0.3</v>
      </c>
    </row>
    <row r="187">
      <c r="A187" s="76" t="s">
        <v>5712</v>
      </c>
      <c r="B187" s="16" t="s">
        <v>5777</v>
      </c>
      <c r="C187" s="89">
        <v>82285.0</v>
      </c>
      <c r="D187" s="16" t="s">
        <v>5805</v>
      </c>
      <c r="E187" s="16" t="s">
        <v>5805</v>
      </c>
      <c r="F187" s="16" t="s">
        <v>5945</v>
      </c>
      <c r="G187" s="22" t="s">
        <v>5945</v>
      </c>
      <c r="H187" s="22">
        <v>6067.0</v>
      </c>
      <c r="I187" s="84">
        <v>0.35</v>
      </c>
      <c r="J187" s="96">
        <v>3338.0</v>
      </c>
      <c r="K187" s="22">
        <v>29990.0</v>
      </c>
      <c r="L187" s="22">
        <v>15990.0</v>
      </c>
      <c r="M187" s="96">
        <v>17641.0</v>
      </c>
      <c r="N187" s="96">
        <v>9406.0</v>
      </c>
      <c r="O187" s="84">
        <v>0.3</v>
      </c>
      <c r="P187" s="84">
        <v>0.3</v>
      </c>
      <c r="Q187" s="133" t="s">
        <v>134</v>
      </c>
      <c r="R187" s="84">
        <v>0.55</v>
      </c>
      <c r="S187" s="84">
        <v>0.32</v>
      </c>
    </row>
    <row r="188">
      <c r="A188" s="76" t="s">
        <v>5712</v>
      </c>
      <c r="B188" s="16" t="s">
        <v>5773</v>
      </c>
      <c r="C188" s="89">
        <v>3950534.0</v>
      </c>
      <c r="D188" s="16" t="s">
        <v>5846</v>
      </c>
      <c r="E188" s="16" t="s">
        <v>5846</v>
      </c>
      <c r="F188" s="16" t="s">
        <v>5946</v>
      </c>
      <c r="G188" s="22" t="s">
        <v>5946</v>
      </c>
      <c r="H188" s="22">
        <v>2240.0</v>
      </c>
      <c r="I188" s="84">
        <v>0.46</v>
      </c>
      <c r="J188" s="96">
        <v>1872.0</v>
      </c>
      <c r="K188" s="22">
        <v>12990.0</v>
      </c>
      <c r="L188" s="22">
        <v>6990.0</v>
      </c>
      <c r="M188" s="96">
        <v>7641.0</v>
      </c>
      <c r="N188" s="96">
        <v>4112.0</v>
      </c>
      <c r="O188" s="84">
        <v>0.3</v>
      </c>
      <c r="P188" s="84">
        <v>0.3</v>
      </c>
      <c r="Q188" s="133" t="s">
        <v>134</v>
      </c>
      <c r="R188" s="84">
        <v>0.62</v>
      </c>
      <c r="S188" s="84">
        <v>0.39</v>
      </c>
    </row>
    <row r="189">
      <c r="A189" s="76" t="s">
        <v>5712</v>
      </c>
      <c r="B189" s="16" t="s">
        <v>5713</v>
      </c>
      <c r="C189" s="89">
        <v>157102.0</v>
      </c>
      <c r="D189" s="16" t="s">
        <v>5874</v>
      </c>
      <c r="E189" s="16" t="s">
        <v>5874</v>
      </c>
      <c r="F189" s="16" t="s">
        <v>5947</v>
      </c>
      <c r="G189" s="22" t="s">
        <v>5947</v>
      </c>
      <c r="H189" s="22">
        <v>16704.0</v>
      </c>
      <c r="I189" s="84">
        <v>0.34</v>
      </c>
      <c r="J189" s="96">
        <v>8584.0</v>
      </c>
      <c r="K189" s="22">
        <v>59990.0</v>
      </c>
      <c r="L189" s="22">
        <v>42990.0</v>
      </c>
      <c r="M189" s="96">
        <v>35288.0</v>
      </c>
      <c r="N189" s="96">
        <v>25288.0</v>
      </c>
      <c r="O189" s="84">
        <v>0.3</v>
      </c>
      <c r="P189" s="84">
        <v>0.3</v>
      </c>
      <c r="Q189" s="133" t="s">
        <v>134</v>
      </c>
      <c r="R189" s="84">
        <v>0.54</v>
      </c>
      <c r="S189" s="84">
        <v>0.31</v>
      </c>
    </row>
    <row r="190">
      <c r="A190" s="76" t="s">
        <v>5712</v>
      </c>
      <c r="B190" s="16" t="s">
        <v>5852</v>
      </c>
      <c r="C190" s="89">
        <v>95245.0</v>
      </c>
      <c r="D190" s="16" t="s">
        <v>5853</v>
      </c>
      <c r="E190" s="16" t="s">
        <v>5853</v>
      </c>
      <c r="F190" s="16" t="s">
        <v>5948</v>
      </c>
      <c r="G190" s="22" t="s">
        <v>5948</v>
      </c>
      <c r="H190" s="22">
        <v>10117.0</v>
      </c>
      <c r="I190" s="84">
        <v>0.34</v>
      </c>
      <c r="J190" s="96">
        <v>5171.0</v>
      </c>
      <c r="K190" s="22">
        <v>39990.0</v>
      </c>
      <c r="L190" s="22">
        <v>25990.0</v>
      </c>
      <c r="M190" s="96">
        <v>23524.0</v>
      </c>
      <c r="N190" s="96">
        <v>15288.0</v>
      </c>
      <c r="O190" s="84">
        <v>0.3</v>
      </c>
      <c r="P190" s="84">
        <v>0.3</v>
      </c>
      <c r="Q190" s="133" t="s">
        <v>134</v>
      </c>
      <c r="R190" s="84">
        <v>0.54</v>
      </c>
      <c r="S190" s="84">
        <v>0.31</v>
      </c>
    </row>
    <row r="191">
      <c r="A191" s="76" t="s">
        <v>5712</v>
      </c>
      <c r="B191" s="16" t="s">
        <v>5713</v>
      </c>
      <c r="C191" s="16" t="s">
        <v>5949</v>
      </c>
      <c r="D191" s="16" t="s">
        <v>5846</v>
      </c>
      <c r="E191" s="16" t="s">
        <v>5846</v>
      </c>
      <c r="F191" s="16" t="s">
        <v>5950</v>
      </c>
      <c r="G191" s="22" t="s">
        <v>5950</v>
      </c>
      <c r="H191" s="22">
        <v>2628.0</v>
      </c>
      <c r="I191" s="84">
        <v>0.44</v>
      </c>
      <c r="J191" s="96">
        <v>2072.0</v>
      </c>
      <c r="K191" s="22">
        <v>12990.0</v>
      </c>
      <c r="L191" s="22">
        <v>7990.0</v>
      </c>
      <c r="M191" s="96">
        <v>7641.0</v>
      </c>
      <c r="N191" s="96">
        <v>4700.0</v>
      </c>
      <c r="O191" s="84">
        <v>0.3</v>
      </c>
      <c r="P191" s="84">
        <v>0.3</v>
      </c>
      <c r="Q191" s="133" t="s">
        <v>134</v>
      </c>
      <c r="R191" s="84">
        <v>0.61</v>
      </c>
      <c r="S191" s="84">
        <v>0.38</v>
      </c>
    </row>
    <row r="192">
      <c r="A192" s="76" t="s">
        <v>5712</v>
      </c>
      <c r="B192" s="16" t="s">
        <v>5713</v>
      </c>
      <c r="C192" s="16" t="s">
        <v>5951</v>
      </c>
      <c r="D192" s="16" t="s">
        <v>5874</v>
      </c>
      <c r="E192" s="16" t="s">
        <v>5874</v>
      </c>
      <c r="F192" s="16" t="s">
        <v>5952</v>
      </c>
      <c r="G192" s="22" t="s">
        <v>5952</v>
      </c>
      <c r="H192" s="22">
        <v>4955.0</v>
      </c>
      <c r="I192" s="84">
        <v>0.35</v>
      </c>
      <c r="J192" s="96">
        <v>2686.0</v>
      </c>
      <c r="K192" s="22">
        <v>24990.0</v>
      </c>
      <c r="L192" s="22">
        <v>12990.0</v>
      </c>
      <c r="M192" s="96">
        <v>14700.0</v>
      </c>
      <c r="N192" s="96">
        <v>7641.0</v>
      </c>
      <c r="O192" s="84">
        <v>0.3</v>
      </c>
      <c r="P192" s="84">
        <v>0.3</v>
      </c>
      <c r="Q192" s="133" t="s">
        <v>134</v>
      </c>
      <c r="R192" s="84">
        <v>0.55</v>
      </c>
      <c r="S192" s="84">
        <v>0.32</v>
      </c>
    </row>
    <row r="193">
      <c r="A193" s="76" t="s">
        <v>5712</v>
      </c>
      <c r="B193" s="16" t="s">
        <v>5880</v>
      </c>
      <c r="C193" s="89">
        <v>97512.0</v>
      </c>
      <c r="D193" s="16" t="s">
        <v>5881</v>
      </c>
      <c r="E193" s="16" t="s">
        <v>5881</v>
      </c>
      <c r="F193" s="16" t="s">
        <v>5953</v>
      </c>
      <c r="G193" s="22" t="s">
        <v>5953</v>
      </c>
      <c r="H193" s="22">
        <v>3018.0</v>
      </c>
      <c r="I193" s="84">
        <v>0.43</v>
      </c>
      <c r="J193" s="96">
        <v>2270.0</v>
      </c>
      <c r="K193" s="22">
        <v>9990.0</v>
      </c>
      <c r="L193" s="22">
        <v>8990.0</v>
      </c>
      <c r="M193" s="96">
        <v>5876.0</v>
      </c>
      <c r="N193" s="96">
        <v>5288.0</v>
      </c>
      <c r="O193" s="84">
        <v>0.3</v>
      </c>
      <c r="P193" s="84">
        <v>0.3</v>
      </c>
      <c r="Q193" s="133" t="s">
        <v>134</v>
      </c>
      <c r="R193" s="84">
        <v>0.6</v>
      </c>
      <c r="S193" s="84">
        <v>0.37</v>
      </c>
    </row>
    <row r="194">
      <c r="A194" s="76" t="s">
        <v>5712</v>
      </c>
      <c r="B194" s="16" t="s">
        <v>5713</v>
      </c>
      <c r="C194" s="16" t="s">
        <v>5954</v>
      </c>
      <c r="D194" s="16" t="s">
        <v>5874</v>
      </c>
      <c r="E194" s="16" t="s">
        <v>5874</v>
      </c>
      <c r="F194" s="16" t="s">
        <v>5955</v>
      </c>
      <c r="G194" s="22" t="s">
        <v>5955</v>
      </c>
      <c r="H194" s="22">
        <v>4353.0</v>
      </c>
      <c r="I194" s="84">
        <v>0.43</v>
      </c>
      <c r="J194" s="96">
        <v>3288.0</v>
      </c>
      <c r="K194" s="22">
        <v>16990.0</v>
      </c>
      <c r="L194" s="22">
        <v>12990.0</v>
      </c>
      <c r="M194" s="96">
        <v>9994.0</v>
      </c>
      <c r="N194" s="96">
        <v>7641.0</v>
      </c>
      <c r="O194" s="84">
        <v>0.3</v>
      </c>
      <c r="P194" s="84">
        <v>0.3</v>
      </c>
      <c r="Q194" s="133" t="s">
        <v>134</v>
      </c>
      <c r="R194" s="84">
        <v>0.6</v>
      </c>
      <c r="S194" s="84">
        <v>0.37</v>
      </c>
    </row>
    <row r="195">
      <c r="A195" s="76" t="s">
        <v>5712</v>
      </c>
      <c r="B195" s="16" t="s">
        <v>5738</v>
      </c>
      <c r="C195" s="89">
        <v>128651.0</v>
      </c>
      <c r="D195" s="16" t="s">
        <v>5846</v>
      </c>
      <c r="E195" s="16" t="s">
        <v>5846</v>
      </c>
      <c r="F195" s="16" t="s">
        <v>5956</v>
      </c>
      <c r="G195" s="22" t="s">
        <v>5956</v>
      </c>
      <c r="H195" s="22">
        <v>5224.0</v>
      </c>
      <c r="I195" s="84">
        <v>0.37</v>
      </c>
      <c r="J195" s="96">
        <v>3005.0</v>
      </c>
      <c r="K195" s="22">
        <v>19990.0</v>
      </c>
      <c r="L195" s="22">
        <v>13990.0</v>
      </c>
      <c r="M195" s="96">
        <v>11759.0</v>
      </c>
      <c r="N195" s="96">
        <v>8229.0</v>
      </c>
      <c r="O195" s="84">
        <v>0.3</v>
      </c>
      <c r="P195" s="84">
        <v>0.3</v>
      </c>
      <c r="Q195" s="133" t="s">
        <v>134</v>
      </c>
      <c r="R195" s="84">
        <v>0.56</v>
      </c>
      <c r="S195" s="84">
        <v>0.33</v>
      </c>
    </row>
    <row r="196">
      <c r="A196" s="76" t="s">
        <v>5712</v>
      </c>
      <c r="B196" s="16" t="s">
        <v>5821</v>
      </c>
      <c r="C196" s="89">
        <v>145763.0</v>
      </c>
      <c r="D196" s="16" t="s">
        <v>5858</v>
      </c>
      <c r="E196" s="16" t="s">
        <v>5858</v>
      </c>
      <c r="F196" s="16" t="s">
        <v>5957</v>
      </c>
      <c r="G196" s="22" t="s">
        <v>5957</v>
      </c>
      <c r="H196" s="22">
        <v>5910.0</v>
      </c>
      <c r="I196" s="84">
        <v>0.37</v>
      </c>
      <c r="J196" s="96">
        <v>3496.0</v>
      </c>
      <c r="K196" s="22">
        <v>19990.0</v>
      </c>
      <c r="L196" s="22">
        <v>15990.0</v>
      </c>
      <c r="M196" s="96">
        <v>11759.0</v>
      </c>
      <c r="N196" s="96">
        <v>9406.0</v>
      </c>
      <c r="O196" s="84">
        <v>0.3</v>
      </c>
      <c r="P196" s="84">
        <v>0.3</v>
      </c>
      <c r="Q196" s="133" t="s">
        <v>134</v>
      </c>
      <c r="R196" s="84">
        <v>0.56</v>
      </c>
      <c r="S196" s="84">
        <v>0.33</v>
      </c>
    </row>
    <row r="197">
      <c r="A197" s="76" t="s">
        <v>5712</v>
      </c>
      <c r="B197" s="16" t="s">
        <v>5852</v>
      </c>
      <c r="C197" s="89">
        <v>95243.0</v>
      </c>
      <c r="D197" s="16" t="s">
        <v>5853</v>
      </c>
      <c r="E197" s="16" t="s">
        <v>5853</v>
      </c>
      <c r="F197" s="16" t="s">
        <v>5958</v>
      </c>
      <c r="G197" s="22" t="s">
        <v>5958</v>
      </c>
      <c r="H197" s="22">
        <v>10812.0</v>
      </c>
      <c r="I197" s="84">
        <v>0.34</v>
      </c>
      <c r="J197" s="96">
        <v>5653.0</v>
      </c>
      <c r="K197" s="22">
        <v>34990.0</v>
      </c>
      <c r="L197" s="22">
        <v>27990.0</v>
      </c>
      <c r="M197" s="96">
        <v>20582.0</v>
      </c>
      <c r="N197" s="96">
        <v>16465.0</v>
      </c>
      <c r="O197" s="84">
        <v>0.3</v>
      </c>
      <c r="P197" s="84">
        <v>0.3</v>
      </c>
      <c r="Q197" s="133" t="s">
        <v>134</v>
      </c>
      <c r="R197" s="84">
        <v>0.54</v>
      </c>
      <c r="S197" s="84">
        <v>0.31</v>
      </c>
    </row>
    <row r="198">
      <c r="A198" s="76" t="s">
        <v>5712</v>
      </c>
      <c r="B198" s="16" t="s">
        <v>5880</v>
      </c>
      <c r="C198" s="89">
        <v>97130.0</v>
      </c>
      <c r="D198" s="16" t="s">
        <v>5881</v>
      </c>
      <c r="E198" s="16" t="s">
        <v>5881</v>
      </c>
      <c r="F198" s="16" t="s">
        <v>5959</v>
      </c>
      <c r="G198" s="22" t="s">
        <v>5959</v>
      </c>
      <c r="H198" s="22">
        <v>2265.0</v>
      </c>
      <c r="I198" s="84">
        <v>0.45</v>
      </c>
      <c r="J198" s="96">
        <v>1847.0</v>
      </c>
      <c r="K198" s="22">
        <v>7047.0</v>
      </c>
      <c r="L198" s="22">
        <v>6990.0</v>
      </c>
      <c r="M198" s="96">
        <v>4145.0</v>
      </c>
      <c r="N198" s="96">
        <v>4112.0</v>
      </c>
      <c r="O198" s="84">
        <v>0.3</v>
      </c>
      <c r="P198" s="84">
        <v>0.3</v>
      </c>
      <c r="Q198" s="133" t="s">
        <v>134</v>
      </c>
      <c r="R198" s="84">
        <v>0.61</v>
      </c>
      <c r="S198" s="84">
        <v>0.38</v>
      </c>
    </row>
    <row r="199">
      <c r="A199" s="76" t="s">
        <v>5712</v>
      </c>
      <c r="B199" s="16" t="s">
        <v>5773</v>
      </c>
      <c r="C199" s="89">
        <v>1106255.0</v>
      </c>
      <c r="D199" s="16" t="s">
        <v>5846</v>
      </c>
      <c r="E199" s="16" t="s">
        <v>5846</v>
      </c>
      <c r="F199" s="16" t="s">
        <v>5960</v>
      </c>
      <c r="G199" s="22" t="s">
        <v>5960</v>
      </c>
      <c r="H199" s="22">
        <v>4000.0</v>
      </c>
      <c r="I199" s="84">
        <v>0.38</v>
      </c>
      <c r="J199" s="96">
        <v>2465.0</v>
      </c>
      <c r="K199" s="22">
        <v>14990.0</v>
      </c>
      <c r="L199" s="22">
        <v>10990.0</v>
      </c>
      <c r="M199" s="96">
        <v>8818.0</v>
      </c>
      <c r="N199" s="96">
        <v>6465.0</v>
      </c>
      <c r="O199" s="84">
        <v>0.3</v>
      </c>
      <c r="P199" s="84">
        <v>0.3</v>
      </c>
      <c r="Q199" s="133" t="s">
        <v>134</v>
      </c>
      <c r="R199" s="84">
        <v>0.57</v>
      </c>
      <c r="S199" s="84">
        <v>0.34</v>
      </c>
    </row>
    <row r="200">
      <c r="A200" s="76" t="s">
        <v>5712</v>
      </c>
      <c r="B200" s="16" t="s">
        <v>5773</v>
      </c>
      <c r="C200" s="89">
        <v>3950204.0</v>
      </c>
      <c r="D200" s="16" t="s">
        <v>5846</v>
      </c>
      <c r="E200" s="16" t="s">
        <v>5846</v>
      </c>
      <c r="F200" s="16" t="s">
        <v>5961</v>
      </c>
      <c r="G200" s="22" t="s">
        <v>5961</v>
      </c>
      <c r="H200" s="22">
        <v>4278.0</v>
      </c>
      <c r="I200" s="84">
        <v>0.39</v>
      </c>
      <c r="J200" s="96">
        <v>2775.0</v>
      </c>
      <c r="K200" s="22">
        <v>14990.0</v>
      </c>
      <c r="L200" s="22">
        <v>11990.0</v>
      </c>
      <c r="M200" s="96">
        <v>8818.0</v>
      </c>
      <c r="N200" s="96">
        <v>7053.0</v>
      </c>
      <c r="O200" s="84">
        <v>0.3</v>
      </c>
      <c r="P200" s="84">
        <v>0.3</v>
      </c>
      <c r="Q200" s="133" t="s">
        <v>134</v>
      </c>
      <c r="R200" s="84">
        <v>0.58</v>
      </c>
      <c r="S200" s="84">
        <v>0.35</v>
      </c>
    </row>
    <row r="201">
      <c r="A201" s="76" t="s">
        <v>5712</v>
      </c>
      <c r="B201" s="16" t="s">
        <v>5738</v>
      </c>
      <c r="C201" s="89">
        <v>119695.0</v>
      </c>
      <c r="D201" s="16" t="s">
        <v>5846</v>
      </c>
      <c r="E201" s="16" t="s">
        <v>5846</v>
      </c>
      <c r="F201" s="16" t="s">
        <v>5962</v>
      </c>
      <c r="G201" s="22" t="s">
        <v>5962</v>
      </c>
      <c r="H201" s="22">
        <v>3026.0</v>
      </c>
      <c r="I201" s="84">
        <v>0.43</v>
      </c>
      <c r="J201" s="96">
        <v>2262.0</v>
      </c>
      <c r="K201" s="22">
        <v>12990.0</v>
      </c>
      <c r="L201" s="22">
        <v>8990.0</v>
      </c>
      <c r="M201" s="96">
        <v>7641.0</v>
      </c>
      <c r="N201" s="96">
        <v>5288.0</v>
      </c>
      <c r="O201" s="84">
        <v>0.3</v>
      </c>
      <c r="P201" s="84">
        <v>0.3</v>
      </c>
      <c r="Q201" s="133" t="s">
        <v>134</v>
      </c>
      <c r="R201" s="84">
        <v>0.6</v>
      </c>
      <c r="S201" s="84">
        <v>0.37</v>
      </c>
    </row>
    <row r="202">
      <c r="A202" s="76" t="s">
        <v>5712</v>
      </c>
      <c r="B202" s="16" t="s">
        <v>5773</v>
      </c>
      <c r="C202" s="89">
        <v>3950419.0</v>
      </c>
      <c r="D202" s="16" t="s">
        <v>5846</v>
      </c>
      <c r="E202" s="16" t="s">
        <v>5846</v>
      </c>
      <c r="F202" s="16" t="s">
        <v>5963</v>
      </c>
      <c r="G202" s="22" t="s">
        <v>5963</v>
      </c>
      <c r="H202" s="22">
        <v>2390.0</v>
      </c>
      <c r="I202" s="84">
        <v>0.42</v>
      </c>
      <c r="J202" s="96">
        <v>1722.0</v>
      </c>
      <c r="K202" s="22">
        <v>12990.0</v>
      </c>
      <c r="L202" s="22">
        <v>6990.0</v>
      </c>
      <c r="M202" s="96">
        <v>7641.0</v>
      </c>
      <c r="N202" s="96">
        <v>4112.0</v>
      </c>
      <c r="O202" s="84">
        <v>0.3</v>
      </c>
      <c r="P202" s="84">
        <v>0.3</v>
      </c>
      <c r="Q202" s="133" t="s">
        <v>134</v>
      </c>
      <c r="R202" s="84">
        <v>0.59</v>
      </c>
      <c r="S202" s="84">
        <v>0.36</v>
      </c>
    </row>
    <row r="203">
      <c r="A203" s="76" t="s">
        <v>5712</v>
      </c>
      <c r="B203" s="16" t="s">
        <v>5964</v>
      </c>
      <c r="C203" s="89">
        <v>47806.0</v>
      </c>
      <c r="D203" s="16" t="s">
        <v>5965</v>
      </c>
      <c r="E203" s="16" t="s">
        <v>5965</v>
      </c>
      <c r="F203" s="16" t="s">
        <v>5966</v>
      </c>
      <c r="G203" s="22" t="s">
        <v>5966</v>
      </c>
      <c r="H203" s="22">
        <v>15946.0</v>
      </c>
      <c r="I203" s="84">
        <v>0.37</v>
      </c>
      <c r="J203" s="96">
        <v>9342.0</v>
      </c>
      <c r="K203" s="22">
        <v>49990.0</v>
      </c>
      <c r="L203" s="22">
        <v>42990.0</v>
      </c>
      <c r="M203" s="96">
        <v>29406.0</v>
      </c>
      <c r="N203" s="96">
        <v>25288.0</v>
      </c>
      <c r="O203" s="84">
        <v>0.3</v>
      </c>
      <c r="P203" s="84">
        <v>0.3</v>
      </c>
      <c r="Q203" s="133" t="s">
        <v>134</v>
      </c>
      <c r="R203" s="84">
        <v>0.56</v>
      </c>
      <c r="S203" s="84">
        <v>0.33</v>
      </c>
    </row>
    <row r="204">
      <c r="A204" s="76" t="s">
        <v>5712</v>
      </c>
      <c r="B204" s="16" t="s">
        <v>5777</v>
      </c>
      <c r="C204" s="89">
        <v>73543.0</v>
      </c>
      <c r="D204" s="16" t="s">
        <v>5965</v>
      </c>
      <c r="E204" s="16" t="s">
        <v>5965</v>
      </c>
      <c r="F204" s="16" t="s">
        <v>5967</v>
      </c>
      <c r="G204" s="22" t="s">
        <v>5967</v>
      </c>
      <c r="H204" s="22">
        <v>19843.0</v>
      </c>
      <c r="I204" s="84">
        <v>0.44</v>
      </c>
      <c r="J204" s="96">
        <v>15445.0</v>
      </c>
      <c r="K204" s="22">
        <v>79990.0</v>
      </c>
      <c r="L204" s="22">
        <v>59990.0</v>
      </c>
      <c r="M204" s="96">
        <v>47053.0</v>
      </c>
      <c r="N204" s="96">
        <v>35288.0</v>
      </c>
      <c r="O204" s="84">
        <v>0.3</v>
      </c>
      <c r="P204" s="84">
        <v>0.3</v>
      </c>
      <c r="Q204" s="133" t="s">
        <v>134</v>
      </c>
      <c r="R204" s="84">
        <v>0.61</v>
      </c>
      <c r="S204" s="84">
        <v>0.38</v>
      </c>
    </row>
    <row r="205">
      <c r="A205" s="76" t="s">
        <v>5712</v>
      </c>
      <c r="B205" s="16" t="s">
        <v>5777</v>
      </c>
      <c r="C205" s="89">
        <v>10802.0</v>
      </c>
      <c r="D205" s="16" t="s">
        <v>5846</v>
      </c>
      <c r="E205" s="16" t="s">
        <v>5846</v>
      </c>
      <c r="F205" s="16" t="s">
        <v>5968</v>
      </c>
      <c r="G205" s="22" t="s">
        <v>5968</v>
      </c>
      <c r="H205" s="22">
        <v>2498.0</v>
      </c>
      <c r="I205" s="84">
        <v>0.39</v>
      </c>
      <c r="J205" s="96">
        <v>1614.0</v>
      </c>
      <c r="K205" s="22">
        <v>9990.0</v>
      </c>
      <c r="L205" s="22">
        <v>6990.0</v>
      </c>
      <c r="M205" s="96">
        <v>5876.0</v>
      </c>
      <c r="N205" s="96">
        <v>4112.0</v>
      </c>
      <c r="O205" s="84">
        <v>0.3</v>
      </c>
      <c r="P205" s="84">
        <v>0.3</v>
      </c>
      <c r="Q205" s="133" t="s">
        <v>134</v>
      </c>
      <c r="R205" s="84">
        <v>0.57</v>
      </c>
      <c r="S205" s="84">
        <v>0.34</v>
      </c>
    </row>
    <row r="206">
      <c r="A206" s="76" t="s">
        <v>5712</v>
      </c>
      <c r="B206" s="16" t="s">
        <v>5713</v>
      </c>
      <c r="C206" s="16" t="s">
        <v>5969</v>
      </c>
      <c r="D206" s="16" t="s">
        <v>5874</v>
      </c>
      <c r="E206" s="16" t="s">
        <v>5874</v>
      </c>
      <c r="F206" s="16" t="s">
        <v>5970</v>
      </c>
      <c r="G206" s="22" t="s">
        <v>5970</v>
      </c>
      <c r="H206" s="22">
        <v>24779.0</v>
      </c>
      <c r="I206" s="84">
        <v>0.33</v>
      </c>
      <c r="J206" s="96">
        <v>12274.0</v>
      </c>
      <c r="K206" s="22">
        <v>79990.0</v>
      </c>
      <c r="L206" s="22">
        <v>62990.0</v>
      </c>
      <c r="M206" s="96">
        <v>47053.0</v>
      </c>
      <c r="N206" s="96">
        <v>37053.0</v>
      </c>
      <c r="O206" s="84">
        <v>0.3</v>
      </c>
      <c r="P206" s="84">
        <v>0.3</v>
      </c>
      <c r="Q206" s="133" t="s">
        <v>134</v>
      </c>
      <c r="R206" s="84">
        <v>0.53</v>
      </c>
      <c r="S206" s="84">
        <v>0.3</v>
      </c>
    </row>
    <row r="207">
      <c r="A207" s="76" t="s">
        <v>5712</v>
      </c>
      <c r="B207" s="16" t="s">
        <v>5738</v>
      </c>
      <c r="C207" s="89">
        <v>146512.0</v>
      </c>
      <c r="D207" s="16" t="s">
        <v>5846</v>
      </c>
      <c r="E207" s="16" t="s">
        <v>5846</v>
      </c>
      <c r="F207" s="16" t="s">
        <v>5971</v>
      </c>
      <c r="G207" s="22" t="s">
        <v>5971</v>
      </c>
      <c r="H207" s="22">
        <v>7394.0</v>
      </c>
      <c r="I207" s="84">
        <v>0.34</v>
      </c>
      <c r="J207" s="96">
        <v>3777.0</v>
      </c>
      <c r="K207" s="22">
        <v>29990.0</v>
      </c>
      <c r="L207" s="22">
        <v>18990.0</v>
      </c>
      <c r="M207" s="96">
        <v>17641.0</v>
      </c>
      <c r="N207" s="96">
        <v>11171.0</v>
      </c>
      <c r="O207" s="84">
        <v>0.3</v>
      </c>
      <c r="P207" s="84">
        <v>0.3</v>
      </c>
      <c r="Q207" s="133" t="s">
        <v>134</v>
      </c>
      <c r="R207" s="84">
        <v>0.54</v>
      </c>
      <c r="S207" s="84">
        <v>0.31</v>
      </c>
    </row>
    <row r="208">
      <c r="A208" s="76" t="s">
        <v>5712</v>
      </c>
      <c r="B208" s="16" t="s">
        <v>5821</v>
      </c>
      <c r="C208" s="89">
        <v>154707.0</v>
      </c>
      <c r="D208" s="16" t="s">
        <v>5858</v>
      </c>
      <c r="E208" s="16" t="s">
        <v>5858</v>
      </c>
      <c r="F208" s="16" t="s">
        <v>5972</v>
      </c>
      <c r="G208" s="22" t="s">
        <v>5972</v>
      </c>
      <c r="H208" s="22">
        <v>6726.0</v>
      </c>
      <c r="I208" s="84">
        <v>0.36</v>
      </c>
      <c r="J208" s="96">
        <v>3856.0</v>
      </c>
      <c r="K208" s="22">
        <v>29990.0</v>
      </c>
      <c r="L208" s="22">
        <v>17990.0</v>
      </c>
      <c r="M208" s="96">
        <v>17641.0</v>
      </c>
      <c r="N208" s="96">
        <v>10582.0</v>
      </c>
      <c r="O208" s="84">
        <v>0.3</v>
      </c>
      <c r="P208" s="84">
        <v>0.3</v>
      </c>
      <c r="Q208" s="133" t="s">
        <v>134</v>
      </c>
      <c r="R208" s="84">
        <v>0.56</v>
      </c>
      <c r="S208" s="84">
        <v>0.33</v>
      </c>
    </row>
    <row r="209">
      <c r="A209" s="76" t="s">
        <v>5712</v>
      </c>
      <c r="B209" s="16" t="s">
        <v>5713</v>
      </c>
      <c r="C209" s="16" t="s">
        <v>5973</v>
      </c>
      <c r="D209" s="16" t="s">
        <v>5874</v>
      </c>
      <c r="E209" s="16" t="s">
        <v>5874</v>
      </c>
      <c r="F209" s="16" t="s">
        <v>5974</v>
      </c>
      <c r="G209" s="22" t="s">
        <v>5974</v>
      </c>
      <c r="H209" s="22">
        <v>8338.0</v>
      </c>
      <c r="I209" s="84">
        <v>0.36</v>
      </c>
      <c r="J209" s="96">
        <v>4597.0</v>
      </c>
      <c r="K209" s="22">
        <v>29990.0</v>
      </c>
      <c r="L209" s="22">
        <v>21990.0</v>
      </c>
      <c r="M209" s="96">
        <v>17641.0</v>
      </c>
      <c r="N209" s="96">
        <v>12935.0</v>
      </c>
      <c r="O209" s="84">
        <v>0.3</v>
      </c>
      <c r="P209" s="84">
        <v>0.3</v>
      </c>
      <c r="Q209" s="133" t="s">
        <v>134</v>
      </c>
      <c r="R209" s="84">
        <v>0.55</v>
      </c>
      <c r="S209" s="84">
        <v>0.32</v>
      </c>
    </row>
    <row r="210">
      <c r="A210" s="76" t="s">
        <v>5712</v>
      </c>
      <c r="B210" s="16" t="s">
        <v>5713</v>
      </c>
      <c r="C210" s="16" t="s">
        <v>5975</v>
      </c>
      <c r="D210" s="16" t="s">
        <v>5965</v>
      </c>
      <c r="E210" s="16" t="s">
        <v>5965</v>
      </c>
      <c r="F210" s="16" t="s">
        <v>5976</v>
      </c>
      <c r="G210" s="22" t="s">
        <v>5976</v>
      </c>
      <c r="H210" s="22">
        <v>26654.0</v>
      </c>
      <c r="I210" s="84">
        <v>0.33</v>
      </c>
      <c r="J210" s="96">
        <v>13340.0</v>
      </c>
      <c r="K210" s="22">
        <v>119990.0</v>
      </c>
      <c r="L210" s="22">
        <v>67990.0</v>
      </c>
      <c r="M210" s="96">
        <v>70582.0</v>
      </c>
      <c r="N210" s="96">
        <v>39994.0</v>
      </c>
      <c r="O210" s="84">
        <v>0.3</v>
      </c>
      <c r="P210" s="84">
        <v>0.3</v>
      </c>
      <c r="Q210" s="133" t="s">
        <v>134</v>
      </c>
      <c r="R210" s="84">
        <v>0.53</v>
      </c>
      <c r="S210" s="84">
        <v>0.3</v>
      </c>
    </row>
    <row r="211">
      <c r="A211" s="76" t="s">
        <v>5712</v>
      </c>
      <c r="B211" s="16" t="s">
        <v>5964</v>
      </c>
      <c r="C211" s="89">
        <v>47805.0</v>
      </c>
      <c r="D211" s="16" t="s">
        <v>5965</v>
      </c>
      <c r="E211" s="16" t="s">
        <v>5965</v>
      </c>
      <c r="F211" s="16" t="s">
        <v>5977</v>
      </c>
      <c r="G211" s="22" t="s">
        <v>5977</v>
      </c>
      <c r="H211" s="22">
        <v>24920.0</v>
      </c>
      <c r="I211" s="84">
        <v>0.33</v>
      </c>
      <c r="J211" s="96">
        <v>12133.0</v>
      </c>
      <c r="K211" s="22">
        <v>89990.0</v>
      </c>
      <c r="L211" s="22">
        <v>62990.0</v>
      </c>
      <c r="M211" s="96">
        <v>52935.0</v>
      </c>
      <c r="N211" s="96">
        <v>37053.0</v>
      </c>
      <c r="O211" s="84">
        <v>0.3</v>
      </c>
      <c r="P211" s="84">
        <v>0.3</v>
      </c>
      <c r="Q211" s="133" t="s">
        <v>134</v>
      </c>
      <c r="R211" s="84">
        <v>0.53</v>
      </c>
      <c r="S211" s="84">
        <v>0.3</v>
      </c>
    </row>
    <row r="212">
      <c r="A212" s="76" t="s">
        <v>5712</v>
      </c>
      <c r="B212" s="16" t="s">
        <v>5713</v>
      </c>
      <c r="C212" s="89">
        <v>137391.0</v>
      </c>
      <c r="D212" s="16" t="s">
        <v>5874</v>
      </c>
      <c r="E212" s="16" t="s">
        <v>5874</v>
      </c>
      <c r="F212" s="16" t="s">
        <v>5978</v>
      </c>
      <c r="G212" s="22" t="s">
        <v>5978</v>
      </c>
      <c r="H212" s="22">
        <v>21235.0</v>
      </c>
      <c r="I212" s="84">
        <v>0.33</v>
      </c>
      <c r="J212" s="96">
        <v>10524.0</v>
      </c>
      <c r="K212" s="22">
        <v>69990.0</v>
      </c>
      <c r="L212" s="22">
        <v>53990.0</v>
      </c>
      <c r="M212" s="96">
        <v>41171.0</v>
      </c>
      <c r="N212" s="96">
        <v>31759.0</v>
      </c>
      <c r="O212" s="84">
        <v>0.3</v>
      </c>
      <c r="P212" s="84">
        <v>0.3</v>
      </c>
      <c r="Q212" s="133" t="s">
        <v>134</v>
      </c>
      <c r="R212" s="84">
        <v>0.53</v>
      </c>
      <c r="S212" s="84">
        <v>0.3</v>
      </c>
    </row>
    <row r="213">
      <c r="A213" s="76" t="s">
        <v>5712</v>
      </c>
      <c r="B213" s="16" t="s">
        <v>5777</v>
      </c>
      <c r="C213" s="89">
        <v>731190.0</v>
      </c>
      <c r="D213" s="16" t="s">
        <v>5893</v>
      </c>
      <c r="E213" s="16" t="s">
        <v>5893</v>
      </c>
      <c r="F213" s="16" t="s">
        <v>5979</v>
      </c>
      <c r="G213" s="22" t="s">
        <v>5979</v>
      </c>
      <c r="H213" s="22">
        <v>15699.0</v>
      </c>
      <c r="I213" s="84">
        <v>0.33</v>
      </c>
      <c r="J213" s="96">
        <v>7825.0</v>
      </c>
      <c r="K213" s="22">
        <v>49990.0</v>
      </c>
      <c r="L213" s="22">
        <v>39990.0</v>
      </c>
      <c r="M213" s="96">
        <v>29406.0</v>
      </c>
      <c r="N213" s="96">
        <v>23524.0</v>
      </c>
      <c r="O213" s="84">
        <v>0.3</v>
      </c>
      <c r="P213" s="84">
        <v>0.3</v>
      </c>
      <c r="Q213" s="133" t="s">
        <v>134</v>
      </c>
      <c r="R213" s="84">
        <v>0.53</v>
      </c>
      <c r="S213" s="84">
        <v>0.3</v>
      </c>
    </row>
    <row r="214">
      <c r="A214" s="76" t="s">
        <v>5712</v>
      </c>
      <c r="B214" s="16" t="s">
        <v>5852</v>
      </c>
      <c r="C214" s="89">
        <v>88005.0</v>
      </c>
      <c r="D214" s="16" t="s">
        <v>5853</v>
      </c>
      <c r="E214" s="16" t="s">
        <v>5853</v>
      </c>
      <c r="F214" s="16" t="s">
        <v>5980</v>
      </c>
      <c r="G214" s="22" t="s">
        <v>5980</v>
      </c>
      <c r="H214" s="22">
        <v>13963.0</v>
      </c>
      <c r="I214" s="84">
        <v>0.34</v>
      </c>
      <c r="J214" s="96">
        <v>7208.0</v>
      </c>
      <c r="K214" s="22">
        <v>79990.0</v>
      </c>
      <c r="L214" s="22">
        <v>35990.0</v>
      </c>
      <c r="M214" s="96">
        <v>47053.0</v>
      </c>
      <c r="N214" s="96">
        <v>21171.0</v>
      </c>
      <c r="O214" s="84">
        <v>0.3</v>
      </c>
      <c r="P214" s="84">
        <v>0.3</v>
      </c>
      <c r="Q214" s="133" t="s">
        <v>134</v>
      </c>
      <c r="R214" s="84">
        <v>0.54</v>
      </c>
      <c r="S214" s="84">
        <v>0.31</v>
      </c>
    </row>
    <row r="215">
      <c r="A215" s="76" t="s">
        <v>5712</v>
      </c>
      <c r="B215" s="16" t="s">
        <v>5713</v>
      </c>
      <c r="C215" s="16" t="s">
        <v>5981</v>
      </c>
      <c r="D215" s="16" t="s">
        <v>5965</v>
      </c>
      <c r="E215" s="16" t="s">
        <v>5965</v>
      </c>
      <c r="F215" s="16" t="s">
        <v>5982</v>
      </c>
      <c r="G215" s="22" t="s">
        <v>5982</v>
      </c>
      <c r="H215" s="22">
        <v>24920.0</v>
      </c>
      <c r="I215" s="84">
        <v>0.33</v>
      </c>
      <c r="J215" s="96">
        <v>12133.0</v>
      </c>
      <c r="K215" s="22">
        <v>79990.0</v>
      </c>
      <c r="L215" s="22">
        <v>62990.0</v>
      </c>
      <c r="M215" s="96">
        <v>47053.0</v>
      </c>
      <c r="N215" s="96">
        <v>37053.0</v>
      </c>
      <c r="O215" s="84">
        <v>0.3</v>
      </c>
      <c r="P215" s="84">
        <v>0.3</v>
      </c>
      <c r="Q215" s="133" t="s">
        <v>134</v>
      </c>
      <c r="R215" s="84">
        <v>0.53</v>
      </c>
      <c r="S215" s="84">
        <v>0.3</v>
      </c>
    </row>
    <row r="216">
      <c r="A216" s="76" t="s">
        <v>5712</v>
      </c>
      <c r="B216" s="16" t="s">
        <v>5880</v>
      </c>
      <c r="C216" s="89">
        <v>98613.0</v>
      </c>
      <c r="D216" s="16" t="s">
        <v>5881</v>
      </c>
      <c r="E216" s="16" t="s">
        <v>5881</v>
      </c>
      <c r="F216" s="16" t="s">
        <v>5983</v>
      </c>
      <c r="G216" s="22" t="s">
        <v>5983</v>
      </c>
      <c r="H216" s="22">
        <v>7250.0</v>
      </c>
      <c r="I216" s="84">
        <v>0.35</v>
      </c>
      <c r="J216" s="96">
        <v>3921.0</v>
      </c>
      <c r="K216" s="22">
        <v>29990.0</v>
      </c>
      <c r="L216" s="22">
        <v>18990.0</v>
      </c>
      <c r="M216" s="96">
        <v>17641.0</v>
      </c>
      <c r="N216" s="96">
        <v>11171.0</v>
      </c>
      <c r="O216" s="84">
        <v>0.3</v>
      </c>
      <c r="P216" s="84">
        <v>0.3</v>
      </c>
      <c r="Q216" s="133" t="s">
        <v>134</v>
      </c>
      <c r="R216" s="84">
        <v>0.55</v>
      </c>
      <c r="S216" s="84">
        <v>0.32</v>
      </c>
    </row>
    <row r="217">
      <c r="A217" s="76" t="s">
        <v>5712</v>
      </c>
      <c r="B217" s="16" t="s">
        <v>5713</v>
      </c>
      <c r="C217" s="89">
        <v>146294.0</v>
      </c>
      <c r="D217" s="16" t="s">
        <v>5874</v>
      </c>
      <c r="E217" s="16" t="s">
        <v>5874</v>
      </c>
      <c r="F217" s="16" t="s">
        <v>5984</v>
      </c>
      <c r="G217" s="22" t="s">
        <v>5984</v>
      </c>
      <c r="H217" s="22">
        <v>7814.0</v>
      </c>
      <c r="I217" s="84">
        <v>0.37</v>
      </c>
      <c r="J217" s="96">
        <v>4533.0</v>
      </c>
      <c r="K217" s="22">
        <v>29990.0</v>
      </c>
      <c r="L217" s="22">
        <v>20990.0</v>
      </c>
      <c r="M217" s="96">
        <v>17641.0</v>
      </c>
      <c r="N217" s="96">
        <v>12347.0</v>
      </c>
      <c r="O217" s="84">
        <v>0.3</v>
      </c>
      <c r="P217" s="84">
        <v>0.3</v>
      </c>
      <c r="Q217" s="133" t="s">
        <v>134</v>
      </c>
      <c r="R217" s="84">
        <v>0.56</v>
      </c>
      <c r="S217" s="84">
        <v>0.33</v>
      </c>
    </row>
    <row r="218">
      <c r="A218" s="76" t="s">
        <v>5712</v>
      </c>
      <c r="B218" s="16" t="s">
        <v>5773</v>
      </c>
      <c r="C218" s="89">
        <v>1100136.0</v>
      </c>
      <c r="D218" s="16" t="s">
        <v>5846</v>
      </c>
      <c r="E218" s="16" t="s">
        <v>5846</v>
      </c>
      <c r="F218" s="16" t="s">
        <v>5985</v>
      </c>
      <c r="G218" s="22" t="s">
        <v>5985</v>
      </c>
      <c r="H218" s="22">
        <v>2156.0</v>
      </c>
      <c r="I218" s="84">
        <v>0.39</v>
      </c>
      <c r="J218" s="96">
        <v>1368.0</v>
      </c>
      <c r="K218" s="22">
        <v>9990.0</v>
      </c>
      <c r="L218" s="22">
        <v>5990.0</v>
      </c>
      <c r="M218" s="96">
        <v>5876.0</v>
      </c>
      <c r="N218" s="96">
        <v>3524.0</v>
      </c>
      <c r="O218" s="84">
        <v>0.3</v>
      </c>
      <c r="P218" s="84">
        <v>0.3</v>
      </c>
      <c r="Q218" s="133" t="s">
        <v>134</v>
      </c>
      <c r="R218" s="84">
        <v>0.57</v>
      </c>
      <c r="S218" s="84">
        <v>0.34</v>
      </c>
    </row>
    <row r="219">
      <c r="A219" s="76" t="s">
        <v>5712</v>
      </c>
      <c r="B219" s="16" t="s">
        <v>5777</v>
      </c>
      <c r="C219" s="89">
        <v>73896.0</v>
      </c>
      <c r="D219" s="16" t="s">
        <v>5871</v>
      </c>
      <c r="E219" s="16" t="s">
        <v>5871</v>
      </c>
      <c r="F219" s="16" t="s">
        <v>5986</v>
      </c>
      <c r="G219" s="22" t="s">
        <v>5986</v>
      </c>
      <c r="H219" s="22">
        <v>5900.0</v>
      </c>
      <c r="I219" s="84">
        <v>0.37</v>
      </c>
      <c r="J219" s="96">
        <v>3506.0</v>
      </c>
      <c r="K219" s="22">
        <v>24990.0</v>
      </c>
      <c r="L219" s="22">
        <v>15990.0</v>
      </c>
      <c r="M219" s="96">
        <v>14700.0</v>
      </c>
      <c r="N219" s="96">
        <v>9406.0</v>
      </c>
      <c r="O219" s="84">
        <v>0.3</v>
      </c>
      <c r="P219" s="84">
        <v>0.3</v>
      </c>
      <c r="Q219" s="133" t="s">
        <v>134</v>
      </c>
      <c r="R219" s="84">
        <v>0.56</v>
      </c>
      <c r="S219" s="84">
        <v>0.33</v>
      </c>
    </row>
    <row r="220">
      <c r="A220" s="76" t="s">
        <v>5712</v>
      </c>
      <c r="B220" s="16" t="s">
        <v>5738</v>
      </c>
      <c r="C220" s="89">
        <v>124599.0</v>
      </c>
      <c r="D220" s="16" t="s">
        <v>5846</v>
      </c>
      <c r="E220" s="16" t="s">
        <v>5846</v>
      </c>
      <c r="F220" s="16" t="s">
        <v>5987</v>
      </c>
      <c r="G220" s="22" t="s">
        <v>5987</v>
      </c>
      <c r="H220" s="22">
        <v>3318.0</v>
      </c>
      <c r="I220" s="84">
        <v>0.37</v>
      </c>
      <c r="J220" s="96">
        <v>1970.0</v>
      </c>
      <c r="K220" s="22">
        <v>12990.0</v>
      </c>
      <c r="L220" s="22">
        <v>8990.0</v>
      </c>
      <c r="M220" s="96">
        <v>7641.0</v>
      </c>
      <c r="N220" s="96">
        <v>5288.0</v>
      </c>
      <c r="O220" s="84">
        <v>0.3</v>
      </c>
      <c r="P220" s="84">
        <v>0.3</v>
      </c>
      <c r="Q220" s="133" t="s">
        <v>134</v>
      </c>
      <c r="R220" s="84">
        <v>0.56</v>
      </c>
      <c r="S220" s="84">
        <v>0.33</v>
      </c>
    </row>
    <row r="221">
      <c r="A221" s="76" t="s">
        <v>5712</v>
      </c>
      <c r="B221" s="16" t="s">
        <v>5773</v>
      </c>
      <c r="C221" s="89">
        <v>1301067.0</v>
      </c>
      <c r="D221" s="16" t="s">
        <v>5846</v>
      </c>
      <c r="E221" s="16" t="s">
        <v>5846</v>
      </c>
      <c r="F221" s="16" t="s">
        <v>5988</v>
      </c>
      <c r="G221" s="22" t="s">
        <v>5988</v>
      </c>
      <c r="H221" s="22">
        <v>5900.0</v>
      </c>
      <c r="I221" s="84">
        <v>0.37</v>
      </c>
      <c r="J221" s="96">
        <v>3506.0</v>
      </c>
      <c r="K221" s="22">
        <v>22990.0</v>
      </c>
      <c r="L221" s="22">
        <v>15990.0</v>
      </c>
      <c r="M221" s="96">
        <v>13524.0</v>
      </c>
      <c r="N221" s="96">
        <v>9406.0</v>
      </c>
      <c r="O221" s="84">
        <v>0.3</v>
      </c>
      <c r="P221" s="84">
        <v>0.3</v>
      </c>
      <c r="Q221" s="133" t="s">
        <v>134</v>
      </c>
      <c r="R221" s="84">
        <v>0.56</v>
      </c>
      <c r="S221" s="84">
        <v>0.33</v>
      </c>
    </row>
    <row r="222">
      <c r="A222" s="76" t="s">
        <v>5712</v>
      </c>
      <c r="B222" s="16" t="s">
        <v>5713</v>
      </c>
      <c r="C222" s="89">
        <v>202230.0</v>
      </c>
      <c r="D222" s="16" t="s">
        <v>5893</v>
      </c>
      <c r="E222" s="16" t="s">
        <v>5893</v>
      </c>
      <c r="F222" s="16" t="s">
        <v>5989</v>
      </c>
      <c r="G222" s="22" t="s">
        <v>5989</v>
      </c>
      <c r="H222" s="22">
        <v>18482.0</v>
      </c>
      <c r="I222" s="84">
        <v>0.33</v>
      </c>
      <c r="J222" s="96">
        <v>9159.0</v>
      </c>
      <c r="K222" s="22">
        <v>69990.0</v>
      </c>
      <c r="L222" s="22">
        <v>46990.0</v>
      </c>
      <c r="M222" s="96">
        <v>41171.0</v>
      </c>
      <c r="N222" s="96">
        <v>27641.0</v>
      </c>
      <c r="O222" s="84">
        <v>0.3</v>
      </c>
      <c r="P222" s="84">
        <v>0.3</v>
      </c>
      <c r="Q222" s="133" t="s">
        <v>20</v>
      </c>
      <c r="R222" s="84">
        <v>0.53</v>
      </c>
      <c r="S222" s="84">
        <v>0.3</v>
      </c>
    </row>
    <row r="223">
      <c r="A223" s="76" t="s">
        <v>5712</v>
      </c>
      <c r="B223" s="16" t="s">
        <v>5990</v>
      </c>
      <c r="C223" s="89">
        <v>6.73656103E8</v>
      </c>
      <c r="D223" s="16" t="s">
        <v>5853</v>
      </c>
      <c r="E223" s="16" t="s">
        <v>5853</v>
      </c>
      <c r="F223" s="16" t="s">
        <v>5991</v>
      </c>
      <c r="G223" s="22" t="s">
        <v>5991</v>
      </c>
      <c r="H223" s="22">
        <v>1320.0</v>
      </c>
      <c r="I223" s="84">
        <v>0.44</v>
      </c>
      <c r="J223" s="96">
        <v>1027.0</v>
      </c>
      <c r="K223" s="22">
        <v>4990.0</v>
      </c>
      <c r="L223" s="22">
        <v>3990.0</v>
      </c>
      <c r="M223" s="96">
        <v>2935.0</v>
      </c>
      <c r="N223" s="96">
        <v>2347.0</v>
      </c>
      <c r="O223" s="84">
        <v>0.3</v>
      </c>
      <c r="P223" s="84">
        <v>0.3</v>
      </c>
      <c r="Q223" s="133" t="s">
        <v>134</v>
      </c>
      <c r="R223" s="84">
        <v>0.61</v>
      </c>
      <c r="S223" s="84">
        <v>0.38</v>
      </c>
    </row>
    <row r="224">
      <c r="A224" s="76" t="s">
        <v>5712</v>
      </c>
      <c r="B224" s="16" t="s">
        <v>5738</v>
      </c>
      <c r="C224" s="89">
        <v>189634.0</v>
      </c>
      <c r="D224" s="16" t="s">
        <v>5893</v>
      </c>
      <c r="E224" s="16" t="s">
        <v>5893</v>
      </c>
      <c r="F224" s="16" t="s">
        <v>5992</v>
      </c>
      <c r="G224" s="22" t="s">
        <v>5992</v>
      </c>
      <c r="H224" s="22">
        <v>13140.0</v>
      </c>
      <c r="I224" s="84">
        <v>0.34</v>
      </c>
      <c r="J224" s="96">
        <v>6854.0</v>
      </c>
      <c r="K224" s="22">
        <v>49990.0</v>
      </c>
      <c r="L224" s="22">
        <v>33990.0</v>
      </c>
      <c r="M224" s="96">
        <v>29406.0</v>
      </c>
      <c r="N224" s="96">
        <v>19994.0</v>
      </c>
      <c r="O224" s="84">
        <v>0.3</v>
      </c>
      <c r="P224" s="84">
        <v>0.3</v>
      </c>
      <c r="Q224" s="133" t="s">
        <v>134</v>
      </c>
      <c r="R224" s="84">
        <v>0.54</v>
      </c>
      <c r="S224" s="84">
        <v>0.31</v>
      </c>
    </row>
    <row r="225">
      <c r="A225" s="76" t="s">
        <v>5712</v>
      </c>
      <c r="B225" s="16" t="s">
        <v>5880</v>
      </c>
      <c r="C225" s="89">
        <v>97298.0</v>
      </c>
      <c r="D225" s="16" t="s">
        <v>5881</v>
      </c>
      <c r="E225" s="16" t="s">
        <v>5881</v>
      </c>
      <c r="F225" s="16" t="s">
        <v>5993</v>
      </c>
      <c r="G225" s="22" t="s">
        <v>5993</v>
      </c>
      <c r="H225" s="22">
        <v>34890.0</v>
      </c>
      <c r="I225" s="84">
        <v>0.33</v>
      </c>
      <c r="J225" s="96">
        <v>16868.0</v>
      </c>
      <c r="K225" s="22">
        <v>119990.0</v>
      </c>
      <c r="L225" s="22">
        <v>87990.0</v>
      </c>
      <c r="M225" s="96">
        <v>70582.0</v>
      </c>
      <c r="N225" s="96">
        <v>51759.0</v>
      </c>
      <c r="O225" s="84">
        <v>0.3</v>
      </c>
      <c r="P225" s="84">
        <v>0.3</v>
      </c>
      <c r="Q225" s="133" t="s">
        <v>134</v>
      </c>
      <c r="R225" s="84">
        <v>0.53</v>
      </c>
      <c r="S225" s="84">
        <v>0.3</v>
      </c>
    </row>
    <row r="226">
      <c r="A226" s="76" t="s">
        <v>5712</v>
      </c>
      <c r="B226" s="16" t="s">
        <v>5777</v>
      </c>
      <c r="C226" s="89">
        <v>47992.0</v>
      </c>
      <c r="D226" s="16" t="s">
        <v>5965</v>
      </c>
      <c r="E226" s="16" t="s">
        <v>5965</v>
      </c>
      <c r="F226" s="16" t="s">
        <v>5994</v>
      </c>
      <c r="G226" s="22" t="s">
        <v>5994</v>
      </c>
      <c r="H226" s="22">
        <v>53570.0</v>
      </c>
      <c r="I226" s="84">
        <v>0.33</v>
      </c>
      <c r="J226" s="96">
        <v>25836.0</v>
      </c>
      <c r="K226" s="22">
        <v>199990.0</v>
      </c>
      <c r="L226" s="22">
        <v>134990.0</v>
      </c>
      <c r="M226" s="96">
        <v>117641.0</v>
      </c>
      <c r="N226" s="96">
        <v>79406.0</v>
      </c>
      <c r="O226" s="84">
        <v>0.3</v>
      </c>
      <c r="P226" s="84">
        <v>0.3</v>
      </c>
      <c r="Q226" s="133" t="s">
        <v>134</v>
      </c>
      <c r="R226" s="84">
        <v>0.53</v>
      </c>
      <c r="S226" s="84">
        <v>0.3</v>
      </c>
    </row>
    <row r="227">
      <c r="A227" s="76" t="s">
        <v>5712</v>
      </c>
      <c r="B227" s="16" t="s">
        <v>5821</v>
      </c>
      <c r="C227" s="89">
        <v>176976.0</v>
      </c>
      <c r="D227" s="16" t="s">
        <v>5858</v>
      </c>
      <c r="E227" s="16" t="s">
        <v>5858</v>
      </c>
      <c r="F227" s="16" t="s">
        <v>5995</v>
      </c>
      <c r="G227" s="16" t="s">
        <v>5995</v>
      </c>
      <c r="H227" s="22">
        <v>6577.0</v>
      </c>
      <c r="I227" s="84">
        <v>0.34</v>
      </c>
      <c r="J227" s="96">
        <v>3417.0</v>
      </c>
      <c r="K227" s="22">
        <v>22990.0</v>
      </c>
      <c r="L227" s="22">
        <v>16990.0</v>
      </c>
      <c r="M227" s="96">
        <v>13524.0</v>
      </c>
      <c r="N227" s="96">
        <v>9994.0</v>
      </c>
      <c r="O227" s="84">
        <v>0.3</v>
      </c>
      <c r="P227" s="84">
        <v>0.3</v>
      </c>
      <c r="Q227" s="133" t="s">
        <v>134</v>
      </c>
      <c r="R227" s="84">
        <v>0.54</v>
      </c>
      <c r="S227" s="84">
        <v>0.31</v>
      </c>
      <c r="T227" s="37"/>
      <c r="U227" s="37"/>
    </row>
    <row r="228">
      <c r="A228" s="76" t="s">
        <v>5712</v>
      </c>
      <c r="B228" s="16" t="s">
        <v>5777</v>
      </c>
      <c r="C228" s="89">
        <v>50119.0</v>
      </c>
      <c r="D228" s="16" t="s">
        <v>5965</v>
      </c>
      <c r="E228" s="16" t="s">
        <v>5965</v>
      </c>
      <c r="F228" s="16" t="s">
        <v>5996</v>
      </c>
      <c r="G228" s="22" t="s">
        <v>5996</v>
      </c>
      <c r="H228" s="22">
        <v>103639.0</v>
      </c>
      <c r="I228" s="84">
        <v>0.32</v>
      </c>
      <c r="J228" s="96">
        <v>49296.0</v>
      </c>
      <c r="K228" s="22">
        <v>299990.0</v>
      </c>
      <c r="L228" s="22">
        <v>259990.0</v>
      </c>
      <c r="M228" s="96">
        <v>176465.0</v>
      </c>
      <c r="N228" s="96">
        <v>152935.0</v>
      </c>
      <c r="O228" s="84">
        <v>0.3</v>
      </c>
      <c r="P228" s="84">
        <v>0.3</v>
      </c>
      <c r="Q228" s="133" t="s">
        <v>134</v>
      </c>
      <c r="R228" s="84">
        <v>0.53</v>
      </c>
      <c r="S228" s="84">
        <v>0.3</v>
      </c>
      <c r="T228" s="37"/>
      <c r="U228" s="37"/>
    </row>
    <row r="229">
      <c r="A229" s="76" t="s">
        <v>5712</v>
      </c>
      <c r="B229" s="16" t="s">
        <v>5777</v>
      </c>
      <c r="C229" s="89">
        <v>74008.0</v>
      </c>
      <c r="D229" s="16" t="s">
        <v>5846</v>
      </c>
      <c r="E229" s="16" t="s">
        <v>5846</v>
      </c>
      <c r="F229" s="16" t="s">
        <v>5997</v>
      </c>
      <c r="G229" s="22" t="s">
        <v>5997</v>
      </c>
      <c r="H229" s="22">
        <v>1200.0</v>
      </c>
      <c r="I229" s="84">
        <v>0.49</v>
      </c>
      <c r="J229" s="96">
        <v>1147.0</v>
      </c>
      <c r="K229" s="22">
        <v>9990.0</v>
      </c>
      <c r="L229" s="22">
        <v>3990.0</v>
      </c>
      <c r="M229" s="96">
        <v>5876.0</v>
      </c>
      <c r="N229" s="96">
        <v>2347.0</v>
      </c>
      <c r="O229" s="84">
        <v>0.3</v>
      </c>
      <c r="P229" s="84">
        <v>0.3</v>
      </c>
      <c r="Q229" s="133" t="s">
        <v>134</v>
      </c>
      <c r="R229" s="84">
        <v>0.64</v>
      </c>
      <c r="S229" s="84">
        <v>0.41</v>
      </c>
      <c r="T229" s="37"/>
      <c r="U229" s="37"/>
    </row>
    <row r="230">
      <c r="A230" s="76" t="s">
        <v>5712</v>
      </c>
      <c r="B230" s="16" t="s">
        <v>5880</v>
      </c>
      <c r="C230" s="89">
        <v>47457.0</v>
      </c>
      <c r="D230" s="16" t="s">
        <v>5965</v>
      </c>
      <c r="E230" s="16" t="s">
        <v>5965</v>
      </c>
      <c r="F230" s="16" t="s">
        <v>5998</v>
      </c>
      <c r="G230" s="22" t="s">
        <v>5998</v>
      </c>
      <c r="H230" s="22">
        <v>15139.0</v>
      </c>
      <c r="I230" s="84">
        <v>0.36</v>
      </c>
      <c r="J230" s="96">
        <v>8385.0</v>
      </c>
      <c r="K230" s="22">
        <v>69990.0</v>
      </c>
      <c r="L230" s="22">
        <v>39990.0</v>
      </c>
      <c r="M230" s="96">
        <v>41171.0</v>
      </c>
      <c r="N230" s="96">
        <v>23524.0</v>
      </c>
      <c r="O230" s="84">
        <v>0.3</v>
      </c>
      <c r="P230" s="84">
        <v>0.3</v>
      </c>
      <c r="Q230" s="133" t="s">
        <v>134</v>
      </c>
      <c r="R230" s="84">
        <v>0.55</v>
      </c>
      <c r="S230" s="84">
        <v>0.32</v>
      </c>
      <c r="T230" s="37"/>
      <c r="U230" s="37"/>
    </row>
    <row r="231">
      <c r="A231" s="76" t="s">
        <v>5712</v>
      </c>
      <c r="B231" s="16" t="s">
        <v>5999</v>
      </c>
      <c r="C231" s="89">
        <v>167967.0</v>
      </c>
      <c r="D231" s="16" t="s">
        <v>5853</v>
      </c>
      <c r="E231" s="16" t="s">
        <v>5853</v>
      </c>
      <c r="F231" s="16" t="s">
        <v>6000</v>
      </c>
      <c r="G231" s="22" t="s">
        <v>6000</v>
      </c>
      <c r="H231" s="22">
        <v>9588.0</v>
      </c>
      <c r="I231" s="84">
        <v>0.35</v>
      </c>
      <c r="J231" s="96">
        <v>5112.0</v>
      </c>
      <c r="K231" s="22">
        <v>39990.0</v>
      </c>
      <c r="L231" s="22">
        <v>24990.0</v>
      </c>
      <c r="M231" s="96">
        <v>23524.0</v>
      </c>
      <c r="N231" s="96">
        <v>14700.0</v>
      </c>
      <c r="O231" s="84">
        <v>0.3</v>
      </c>
      <c r="P231" s="84">
        <v>0.3</v>
      </c>
      <c r="Q231" s="133" t="s">
        <v>134</v>
      </c>
      <c r="R231" s="84">
        <v>0.54</v>
      </c>
      <c r="S231" s="84">
        <v>0.31</v>
      </c>
      <c r="T231" s="37"/>
      <c r="U231" s="37"/>
    </row>
    <row r="232">
      <c r="A232" s="76" t="s">
        <v>5712</v>
      </c>
      <c r="B232" s="16" t="s">
        <v>5880</v>
      </c>
      <c r="C232" s="89">
        <v>72289.0</v>
      </c>
      <c r="D232" s="16" t="s">
        <v>5965</v>
      </c>
      <c r="E232" s="16" t="s">
        <v>5965</v>
      </c>
      <c r="F232" s="16" t="s">
        <v>6001</v>
      </c>
      <c r="G232" s="22" t="s">
        <v>6001</v>
      </c>
      <c r="H232" s="22">
        <v>15139.0</v>
      </c>
      <c r="I232" s="84">
        <v>0.36</v>
      </c>
      <c r="J232" s="96">
        <v>8385.0</v>
      </c>
      <c r="K232" s="22">
        <v>69990.0</v>
      </c>
      <c r="L232" s="22">
        <v>39990.0</v>
      </c>
      <c r="M232" s="96">
        <v>41171.0</v>
      </c>
      <c r="N232" s="96">
        <v>23524.0</v>
      </c>
      <c r="O232" s="84">
        <v>0.3</v>
      </c>
      <c r="P232" s="84">
        <v>0.3</v>
      </c>
      <c r="Q232" s="133" t="s">
        <v>134</v>
      </c>
      <c r="R232" s="84">
        <v>0.55</v>
      </c>
      <c r="S232" s="84">
        <v>0.32</v>
      </c>
      <c r="T232" s="37"/>
      <c r="U232" s="37"/>
    </row>
    <row r="233">
      <c r="A233" s="76" t="s">
        <v>5712</v>
      </c>
      <c r="B233" s="16" t="s">
        <v>5777</v>
      </c>
      <c r="C233" s="89">
        <v>73542.0</v>
      </c>
      <c r="D233" s="16" t="s">
        <v>5965</v>
      </c>
      <c r="E233" s="16" t="s">
        <v>5965</v>
      </c>
      <c r="F233" s="16" t="s">
        <v>6002</v>
      </c>
      <c r="G233" s="16" t="s">
        <v>6002</v>
      </c>
      <c r="H233" s="22">
        <v>19843.0</v>
      </c>
      <c r="I233" s="84">
        <v>0.44</v>
      </c>
      <c r="J233" s="96">
        <v>15445.0</v>
      </c>
      <c r="K233" s="22">
        <v>79990.0</v>
      </c>
      <c r="L233" s="22">
        <v>59990.0</v>
      </c>
      <c r="M233" s="96">
        <v>47053.0</v>
      </c>
      <c r="N233" s="96">
        <v>35288.0</v>
      </c>
      <c r="O233" s="84">
        <v>0.3</v>
      </c>
      <c r="P233" s="84">
        <v>0.3</v>
      </c>
      <c r="Q233" s="133" t="s">
        <v>134</v>
      </c>
      <c r="R233" s="84">
        <v>0.61</v>
      </c>
      <c r="S233" s="84">
        <v>0.38</v>
      </c>
      <c r="T233" s="37"/>
      <c r="U233" s="37"/>
    </row>
    <row r="234">
      <c r="A234" s="76" t="s">
        <v>5712</v>
      </c>
      <c r="B234" s="16" t="s">
        <v>5713</v>
      </c>
      <c r="C234" s="16" t="s">
        <v>6003</v>
      </c>
      <c r="D234" s="16" t="s">
        <v>5893</v>
      </c>
      <c r="E234" s="16" t="s">
        <v>5893</v>
      </c>
      <c r="F234" s="16" t="s">
        <v>6004</v>
      </c>
      <c r="G234" s="22" t="s">
        <v>6004</v>
      </c>
      <c r="H234" s="22">
        <v>42563.0</v>
      </c>
      <c r="I234" s="84">
        <v>0.32</v>
      </c>
      <c r="J234" s="96">
        <v>20372.0</v>
      </c>
      <c r="K234" s="22">
        <v>149990.0</v>
      </c>
      <c r="L234" s="22">
        <v>106990.0</v>
      </c>
      <c r="M234" s="96">
        <v>88229.0</v>
      </c>
      <c r="N234" s="96">
        <v>62935.0</v>
      </c>
      <c r="O234" s="84">
        <v>0.3</v>
      </c>
      <c r="P234" s="84">
        <v>0.3</v>
      </c>
      <c r="Q234" s="133" t="s">
        <v>20</v>
      </c>
      <c r="R234" s="84">
        <v>0.53</v>
      </c>
      <c r="S234" s="84">
        <v>0.3</v>
      </c>
      <c r="T234" s="37"/>
      <c r="U234" s="37"/>
    </row>
    <row r="235">
      <c r="A235" s="76" t="s">
        <v>5712</v>
      </c>
      <c r="B235" s="16" t="s">
        <v>5852</v>
      </c>
      <c r="C235" s="89">
        <v>88184.0</v>
      </c>
      <c r="D235" s="16" t="s">
        <v>5853</v>
      </c>
      <c r="E235" s="16" t="s">
        <v>5853</v>
      </c>
      <c r="F235" s="16" t="s">
        <v>6005</v>
      </c>
      <c r="G235" s="22" t="s">
        <v>6005</v>
      </c>
      <c r="H235" s="22">
        <v>4006.0</v>
      </c>
      <c r="I235" s="84">
        <v>0.38</v>
      </c>
      <c r="J235" s="96">
        <v>2459.0</v>
      </c>
      <c r="K235" s="22">
        <v>14990.0</v>
      </c>
      <c r="L235" s="22">
        <v>10990.0</v>
      </c>
      <c r="M235" s="96">
        <v>8818.0</v>
      </c>
      <c r="N235" s="96">
        <v>6465.0</v>
      </c>
      <c r="O235" s="84">
        <v>0.3</v>
      </c>
      <c r="P235" s="84">
        <v>0.3</v>
      </c>
      <c r="Q235" s="133" t="s">
        <v>134</v>
      </c>
      <c r="R235" s="84">
        <v>0.57</v>
      </c>
      <c r="S235" s="84">
        <v>0.34</v>
      </c>
      <c r="T235" s="37"/>
      <c r="U235" s="37"/>
    </row>
    <row r="236">
      <c r="A236" s="76" t="s">
        <v>5712</v>
      </c>
      <c r="B236" s="16" t="s">
        <v>5880</v>
      </c>
      <c r="C236" s="89">
        <v>98041.0</v>
      </c>
      <c r="D236" s="16" t="s">
        <v>5881</v>
      </c>
      <c r="E236" s="16" t="s">
        <v>5881</v>
      </c>
      <c r="F236" s="16" t="s">
        <v>6006</v>
      </c>
      <c r="G236" s="22" t="s">
        <v>6006</v>
      </c>
      <c r="H236" s="22">
        <v>4246.0</v>
      </c>
      <c r="I236" s="84">
        <v>0.4</v>
      </c>
      <c r="J236" s="96">
        <v>2807.0</v>
      </c>
      <c r="K236" s="22">
        <v>14990.0</v>
      </c>
      <c r="L236" s="22">
        <v>11990.0</v>
      </c>
      <c r="M236" s="96">
        <v>8818.0</v>
      </c>
      <c r="N236" s="96">
        <v>7053.0</v>
      </c>
      <c r="O236" s="84">
        <v>0.3</v>
      </c>
      <c r="P236" s="84">
        <v>0.3</v>
      </c>
      <c r="Q236" s="133" t="s">
        <v>134</v>
      </c>
      <c r="R236" s="84">
        <v>0.58</v>
      </c>
      <c r="S236" s="84">
        <v>0.35</v>
      </c>
      <c r="T236" s="37"/>
      <c r="U236" s="37"/>
    </row>
    <row r="237">
      <c r="A237" s="76" t="s">
        <v>5712</v>
      </c>
      <c r="B237" s="16" t="s">
        <v>5880</v>
      </c>
      <c r="C237" s="89">
        <v>72290.0</v>
      </c>
      <c r="D237" s="16" t="s">
        <v>5965</v>
      </c>
      <c r="E237" s="16" t="s">
        <v>5965</v>
      </c>
      <c r="F237" s="16" t="s">
        <v>6007</v>
      </c>
      <c r="G237" s="22" t="s">
        <v>6007</v>
      </c>
      <c r="H237" s="22">
        <v>15139.0</v>
      </c>
      <c r="I237" s="84">
        <v>0.36</v>
      </c>
      <c r="J237" s="96">
        <v>8385.0</v>
      </c>
      <c r="K237" s="22">
        <v>69990.0</v>
      </c>
      <c r="L237" s="22">
        <v>39990.0</v>
      </c>
      <c r="M237" s="96">
        <v>41171.0</v>
      </c>
      <c r="N237" s="96">
        <v>23524.0</v>
      </c>
      <c r="O237" s="84">
        <v>0.3</v>
      </c>
      <c r="P237" s="84">
        <v>0.3</v>
      </c>
      <c r="Q237" s="133" t="s">
        <v>134</v>
      </c>
      <c r="R237" s="84">
        <v>0.55</v>
      </c>
      <c r="S237" s="84">
        <v>0.32</v>
      </c>
      <c r="T237" s="37"/>
      <c r="U237" s="37"/>
    </row>
    <row r="238">
      <c r="A238" s="76" t="s">
        <v>5712</v>
      </c>
      <c r="B238" s="16" t="s">
        <v>5964</v>
      </c>
      <c r="C238" s="89">
        <v>629017.0</v>
      </c>
      <c r="D238" s="16" t="s">
        <v>5965</v>
      </c>
      <c r="E238" s="16" t="s">
        <v>5965</v>
      </c>
      <c r="F238" s="16" t="s">
        <v>6008</v>
      </c>
      <c r="G238" s="22" t="s">
        <v>6008</v>
      </c>
      <c r="H238" s="22">
        <v>76084.0</v>
      </c>
      <c r="I238" s="84">
        <v>0.32</v>
      </c>
      <c r="J238" s="96">
        <v>36263.0</v>
      </c>
      <c r="K238" s="22">
        <v>299990.0</v>
      </c>
      <c r="L238" s="22">
        <v>190990.0</v>
      </c>
      <c r="M238" s="96">
        <v>176465.0</v>
      </c>
      <c r="N238" s="96">
        <v>112347.0</v>
      </c>
      <c r="O238" s="84">
        <v>0.3</v>
      </c>
      <c r="P238" s="84">
        <v>0.3</v>
      </c>
      <c r="Q238" s="133" t="s">
        <v>134</v>
      </c>
      <c r="R238" s="84">
        <v>0.53</v>
      </c>
      <c r="S238" s="84">
        <v>0.3</v>
      </c>
    </row>
    <row r="239">
      <c r="A239" s="76" t="s">
        <v>5712</v>
      </c>
      <c r="B239" s="16" t="s">
        <v>5713</v>
      </c>
      <c r="C239" s="89">
        <v>185060.0</v>
      </c>
      <c r="D239" s="16" t="s">
        <v>5893</v>
      </c>
      <c r="E239" s="16" t="s">
        <v>5893</v>
      </c>
      <c r="F239" s="16" t="s">
        <v>6009</v>
      </c>
      <c r="G239" s="22" t="s">
        <v>6009</v>
      </c>
      <c r="H239" s="22">
        <v>69616.0</v>
      </c>
      <c r="I239" s="84">
        <v>0.32</v>
      </c>
      <c r="J239" s="96">
        <v>33319.0</v>
      </c>
      <c r="K239" s="22">
        <v>249990.0</v>
      </c>
      <c r="L239" s="22">
        <v>174990.0</v>
      </c>
      <c r="M239" s="96">
        <v>147053.0</v>
      </c>
      <c r="N239" s="96">
        <v>102935.0</v>
      </c>
      <c r="O239" s="84">
        <v>0.3</v>
      </c>
      <c r="P239" s="84">
        <v>0.3</v>
      </c>
      <c r="Q239" s="133" t="s">
        <v>134</v>
      </c>
      <c r="R239" s="84">
        <v>0.53</v>
      </c>
      <c r="S239" s="84">
        <v>0.3</v>
      </c>
    </row>
    <row r="240">
      <c r="A240" s="76" t="s">
        <v>5712</v>
      </c>
      <c r="B240" s="16" t="s">
        <v>5964</v>
      </c>
      <c r="C240" s="89">
        <v>47991.0</v>
      </c>
      <c r="D240" s="16" t="s">
        <v>5965</v>
      </c>
      <c r="E240" s="16" t="s">
        <v>5965</v>
      </c>
      <c r="F240" s="16" t="s">
        <v>6010</v>
      </c>
      <c r="G240" s="22" t="s">
        <v>6010</v>
      </c>
      <c r="H240" s="22">
        <v>60250.0</v>
      </c>
      <c r="I240" s="84">
        <v>0.33</v>
      </c>
      <c r="J240" s="96">
        <v>29156.0</v>
      </c>
      <c r="K240" s="22">
        <v>219990.0</v>
      </c>
      <c r="L240" s="22">
        <v>151990.0</v>
      </c>
      <c r="M240" s="96">
        <v>129406.0</v>
      </c>
      <c r="N240" s="96">
        <v>89406.0</v>
      </c>
      <c r="O240" s="84">
        <v>0.3</v>
      </c>
      <c r="P240" s="84">
        <v>0.3</v>
      </c>
      <c r="Q240" s="133" t="s">
        <v>134</v>
      </c>
      <c r="R240" s="84">
        <v>0.53</v>
      </c>
      <c r="S240" s="84">
        <v>0.3</v>
      </c>
    </row>
    <row r="241">
      <c r="A241" s="76" t="s">
        <v>5712</v>
      </c>
      <c r="B241" s="16" t="s">
        <v>5738</v>
      </c>
      <c r="C241" s="16" t="s">
        <v>6011</v>
      </c>
      <c r="D241" s="16" t="s">
        <v>5893</v>
      </c>
      <c r="E241" s="16" t="s">
        <v>5893</v>
      </c>
      <c r="F241" s="16" t="s">
        <v>6012</v>
      </c>
      <c r="G241" s="22" t="s">
        <v>6012</v>
      </c>
      <c r="H241" s="22">
        <v>33402.0</v>
      </c>
      <c r="I241" s="84">
        <v>0.33</v>
      </c>
      <c r="J241" s="96">
        <v>16592.0</v>
      </c>
      <c r="K241" s="22">
        <v>119990.0</v>
      </c>
      <c r="L241" s="22">
        <v>84990.0</v>
      </c>
      <c r="M241" s="96">
        <v>70582.0</v>
      </c>
      <c r="N241" s="96">
        <v>49994.0</v>
      </c>
      <c r="O241" s="84">
        <v>0.3</v>
      </c>
      <c r="P241" s="84">
        <v>0.3</v>
      </c>
      <c r="Q241" s="133" t="s">
        <v>134</v>
      </c>
      <c r="R241" s="84">
        <v>0.53</v>
      </c>
      <c r="S241" s="84">
        <v>0.3</v>
      </c>
    </row>
    <row r="242">
      <c r="A242" s="76" t="s">
        <v>5712</v>
      </c>
      <c r="B242" s="16" t="s">
        <v>5713</v>
      </c>
      <c r="C242" s="89">
        <v>155613.0</v>
      </c>
      <c r="D242" s="16" t="s">
        <v>5874</v>
      </c>
      <c r="E242" s="16" t="s">
        <v>5874</v>
      </c>
      <c r="F242" s="16" t="s">
        <v>6013</v>
      </c>
      <c r="G242" s="22" t="s">
        <v>6013</v>
      </c>
      <c r="H242" s="22">
        <v>3077.0</v>
      </c>
      <c r="I242" s="84">
        <v>0.42</v>
      </c>
      <c r="J242" s="96">
        <v>2211.0</v>
      </c>
      <c r="K242" s="22">
        <v>12990.0</v>
      </c>
      <c r="L242" s="22">
        <v>8990.0</v>
      </c>
      <c r="M242" s="96">
        <v>7641.0</v>
      </c>
      <c r="N242" s="96">
        <v>5288.0</v>
      </c>
      <c r="O242" s="84">
        <v>0.3</v>
      </c>
      <c r="P242" s="84">
        <v>0.3</v>
      </c>
      <c r="Q242" s="133" t="s">
        <v>134</v>
      </c>
      <c r="R242" s="84">
        <v>0.59</v>
      </c>
      <c r="S242" s="84">
        <v>0.36</v>
      </c>
    </row>
    <row r="243">
      <c r="A243" s="76" t="s">
        <v>5712</v>
      </c>
      <c r="B243" s="16" t="s">
        <v>5713</v>
      </c>
      <c r="C243" s="89">
        <v>166602.0</v>
      </c>
      <c r="D243" s="16" t="s">
        <v>5893</v>
      </c>
      <c r="E243" s="16" t="s">
        <v>5893</v>
      </c>
      <c r="F243" s="16" t="s">
        <v>6014</v>
      </c>
      <c r="G243" s="22" t="s">
        <v>6014</v>
      </c>
      <c r="H243" s="22">
        <v>72200.0</v>
      </c>
      <c r="I243" s="84">
        <v>0.32</v>
      </c>
      <c r="J243" s="96">
        <v>34265.0</v>
      </c>
      <c r="K243" s="22">
        <v>249990.0</v>
      </c>
      <c r="L243" s="22">
        <v>180990.0</v>
      </c>
      <c r="M243" s="96">
        <v>147053.0</v>
      </c>
      <c r="N243" s="96">
        <v>106465.0</v>
      </c>
      <c r="O243" s="84">
        <v>0.3</v>
      </c>
      <c r="P243" s="84">
        <v>0.3</v>
      </c>
      <c r="Q243" s="133" t="s">
        <v>20</v>
      </c>
      <c r="R243" s="84">
        <v>0.53</v>
      </c>
      <c r="S243" s="84">
        <v>0.3</v>
      </c>
    </row>
    <row r="244">
      <c r="A244" s="76" t="s">
        <v>5712</v>
      </c>
      <c r="B244" s="16" t="s">
        <v>5964</v>
      </c>
      <c r="C244" s="89">
        <v>621247.0</v>
      </c>
      <c r="D244" s="16" t="s">
        <v>5965</v>
      </c>
      <c r="E244" s="16" t="s">
        <v>5965</v>
      </c>
      <c r="F244" s="16" t="s">
        <v>6015</v>
      </c>
      <c r="G244" s="22" t="s">
        <v>6015</v>
      </c>
      <c r="H244" s="22">
        <v>60489.0</v>
      </c>
      <c r="I244" s="84">
        <v>0.32</v>
      </c>
      <c r="J244" s="96">
        <v>28917.0</v>
      </c>
      <c r="K244" s="22">
        <v>249990.0</v>
      </c>
      <c r="L244" s="22">
        <v>151990.0</v>
      </c>
      <c r="M244" s="96">
        <v>147053.0</v>
      </c>
      <c r="N244" s="96">
        <v>89406.0</v>
      </c>
      <c r="O244" s="84">
        <v>0.3</v>
      </c>
      <c r="P244" s="84">
        <v>0.3</v>
      </c>
      <c r="Q244" s="133" t="s">
        <v>134</v>
      </c>
      <c r="R244" s="84">
        <v>0.53</v>
      </c>
      <c r="S244" s="84">
        <v>0.3</v>
      </c>
    </row>
    <row r="245">
      <c r="A245" s="76" t="s">
        <v>5712</v>
      </c>
      <c r="B245" s="16" t="s">
        <v>5713</v>
      </c>
      <c r="C245" s="16" t="s">
        <v>6016</v>
      </c>
      <c r="D245" s="16" t="s">
        <v>5893</v>
      </c>
      <c r="E245" s="16" t="s">
        <v>5893</v>
      </c>
      <c r="F245" s="16" t="s">
        <v>6017</v>
      </c>
      <c r="G245" s="22" t="s">
        <v>6017</v>
      </c>
      <c r="H245" s="22">
        <v>53272.0</v>
      </c>
      <c r="I245" s="84">
        <v>0.32</v>
      </c>
      <c r="J245" s="96">
        <v>25546.0</v>
      </c>
      <c r="K245" s="22">
        <v>229990.0</v>
      </c>
      <c r="L245" s="22">
        <v>133990.0</v>
      </c>
      <c r="M245" s="96">
        <v>135288.0</v>
      </c>
      <c r="N245" s="96">
        <v>78818.0</v>
      </c>
      <c r="O245" s="84">
        <v>0.3</v>
      </c>
      <c r="P245" s="84">
        <v>0.3</v>
      </c>
      <c r="Q245" s="133" t="s">
        <v>20</v>
      </c>
      <c r="R245" s="84">
        <v>0.53</v>
      </c>
      <c r="S245" s="84">
        <v>0.3</v>
      </c>
    </row>
    <row r="246">
      <c r="A246" s="76" t="s">
        <v>5712</v>
      </c>
      <c r="B246" s="16" t="s">
        <v>5713</v>
      </c>
      <c r="C246" s="89">
        <v>184933.0</v>
      </c>
      <c r="D246" s="16" t="s">
        <v>5893</v>
      </c>
      <c r="E246" s="16" t="s">
        <v>5893</v>
      </c>
      <c r="F246" s="16" t="s">
        <v>6018</v>
      </c>
      <c r="G246" s="22" t="s">
        <v>6018</v>
      </c>
      <c r="H246" s="22">
        <v>59148.0</v>
      </c>
      <c r="I246" s="84">
        <v>0.33</v>
      </c>
      <c r="J246" s="96">
        <v>28493.0</v>
      </c>
      <c r="K246" s="22">
        <v>249990.0</v>
      </c>
      <c r="L246" s="22">
        <v>148990.0</v>
      </c>
      <c r="M246" s="96">
        <v>147053.0</v>
      </c>
      <c r="N246" s="96">
        <v>87641.0</v>
      </c>
      <c r="O246" s="84">
        <v>0.3</v>
      </c>
      <c r="P246" s="84">
        <v>0.3</v>
      </c>
      <c r="Q246" s="133" t="s">
        <v>20</v>
      </c>
      <c r="R246" s="84">
        <v>0.53</v>
      </c>
      <c r="S246" s="84">
        <v>0.3</v>
      </c>
    </row>
    <row r="247">
      <c r="A247" s="76" t="s">
        <v>5712</v>
      </c>
      <c r="B247" s="16" t="s">
        <v>5713</v>
      </c>
      <c r="C247" s="89">
        <v>179123.0</v>
      </c>
      <c r="D247" s="16" t="s">
        <v>5893</v>
      </c>
      <c r="E247" s="16" t="s">
        <v>5893</v>
      </c>
      <c r="F247" s="16" t="s">
        <v>6019</v>
      </c>
      <c r="G247" s="22" t="s">
        <v>6019</v>
      </c>
      <c r="H247" s="22">
        <v>72771.0</v>
      </c>
      <c r="I247" s="84">
        <v>0.32</v>
      </c>
      <c r="J247" s="96">
        <v>34870.0</v>
      </c>
      <c r="K247" s="22">
        <v>289990.0</v>
      </c>
      <c r="L247" s="22">
        <v>182990.0</v>
      </c>
      <c r="M247" s="96">
        <v>170582.0</v>
      </c>
      <c r="N247" s="96">
        <v>107641.0</v>
      </c>
      <c r="O247" s="84">
        <v>0.3</v>
      </c>
      <c r="P247" s="84">
        <v>0.3</v>
      </c>
      <c r="Q247" s="133" t="s">
        <v>134</v>
      </c>
      <c r="R247" s="84">
        <v>0.53</v>
      </c>
      <c r="S247" s="84">
        <v>0.3</v>
      </c>
    </row>
    <row r="248">
      <c r="A248" s="76" t="s">
        <v>5712</v>
      </c>
      <c r="B248" s="16" t="s">
        <v>5713</v>
      </c>
      <c r="C248" s="89">
        <v>179130.0</v>
      </c>
      <c r="D248" s="16" t="s">
        <v>5893</v>
      </c>
      <c r="E248" s="16" t="s">
        <v>5893</v>
      </c>
      <c r="F248" s="16" t="s">
        <v>6020</v>
      </c>
      <c r="G248" s="22" t="s">
        <v>6020</v>
      </c>
      <c r="H248" s="22">
        <v>111719.0</v>
      </c>
      <c r="I248" s="84">
        <v>0.32</v>
      </c>
      <c r="J248" s="96">
        <v>52981.0</v>
      </c>
      <c r="K248" s="22">
        <v>399990.0</v>
      </c>
      <c r="L248" s="22">
        <v>279990.0</v>
      </c>
      <c r="M248" s="96">
        <v>235288.0</v>
      </c>
      <c r="N248" s="96">
        <v>164700.0</v>
      </c>
      <c r="O248" s="84">
        <v>0.3</v>
      </c>
      <c r="P248" s="84">
        <v>0.3</v>
      </c>
      <c r="Q248" s="133" t="s">
        <v>134</v>
      </c>
      <c r="R248" s="84">
        <v>0.53</v>
      </c>
      <c r="S248" s="84">
        <v>0.3</v>
      </c>
    </row>
    <row r="249">
      <c r="A249" s="76" t="s">
        <v>5712</v>
      </c>
      <c r="B249" s="16" t="s">
        <v>5713</v>
      </c>
      <c r="C249" s="89">
        <v>197722.0</v>
      </c>
      <c r="D249" s="16" t="s">
        <v>5893</v>
      </c>
      <c r="E249" s="16" t="s">
        <v>5893</v>
      </c>
      <c r="F249" s="16" t="s">
        <v>6021</v>
      </c>
      <c r="G249" s="22" t="s">
        <v>6021</v>
      </c>
      <c r="H249" s="22">
        <v>328570.0</v>
      </c>
      <c r="I249" s="84">
        <v>0.32</v>
      </c>
      <c r="J249" s="96">
        <v>154954.0</v>
      </c>
      <c r="K249" s="22">
        <v>1199990.0</v>
      </c>
      <c r="L249" s="22">
        <v>821990.0</v>
      </c>
      <c r="M249" s="96">
        <v>705876.0</v>
      </c>
      <c r="N249" s="96">
        <v>483524.0</v>
      </c>
      <c r="O249" s="84">
        <v>0.3</v>
      </c>
      <c r="P249" s="84">
        <v>0.3</v>
      </c>
      <c r="Q249" s="133" t="s">
        <v>134</v>
      </c>
      <c r="R249" s="84">
        <v>0.52</v>
      </c>
      <c r="S249" s="84">
        <v>0.29</v>
      </c>
    </row>
    <row r="250">
      <c r="A250" s="76" t="s">
        <v>5712</v>
      </c>
      <c r="B250" s="16" t="s">
        <v>5713</v>
      </c>
      <c r="C250" s="89">
        <v>179108.0</v>
      </c>
      <c r="D250" s="16" t="s">
        <v>5893</v>
      </c>
      <c r="E250" s="16" t="s">
        <v>5893</v>
      </c>
      <c r="F250" s="16" t="s">
        <v>6022</v>
      </c>
      <c r="G250" s="22" t="s">
        <v>6022</v>
      </c>
      <c r="H250" s="22">
        <v>146218.0</v>
      </c>
      <c r="I250" s="84">
        <v>0.32</v>
      </c>
      <c r="J250" s="96">
        <v>69658.0</v>
      </c>
      <c r="K250" s="22">
        <v>499990.0</v>
      </c>
      <c r="L250" s="22">
        <v>366990.0</v>
      </c>
      <c r="M250" s="96">
        <v>294112.0</v>
      </c>
      <c r="N250" s="96">
        <v>215876.0</v>
      </c>
      <c r="O250" s="84">
        <v>0.3</v>
      </c>
      <c r="P250" s="84">
        <v>0.3</v>
      </c>
      <c r="Q250" s="133" t="s">
        <v>134</v>
      </c>
      <c r="R250" s="84">
        <v>0.53</v>
      </c>
      <c r="S250" s="84">
        <v>0.3</v>
      </c>
    </row>
    <row r="251">
      <c r="A251" s="76" t="s">
        <v>5712</v>
      </c>
      <c r="B251" s="16" t="s">
        <v>5777</v>
      </c>
      <c r="C251" s="89">
        <v>72497.0</v>
      </c>
      <c r="D251" s="16" t="s">
        <v>5878</v>
      </c>
      <c r="E251" s="16" t="s">
        <v>5878</v>
      </c>
      <c r="F251" s="16" t="s">
        <v>6023</v>
      </c>
      <c r="G251" s="22" t="s">
        <v>6023</v>
      </c>
      <c r="H251" s="22">
        <v>6340.0</v>
      </c>
      <c r="I251" s="84">
        <v>0.37</v>
      </c>
      <c r="J251" s="96">
        <v>3654.0</v>
      </c>
      <c r="K251" s="22">
        <v>24990.0</v>
      </c>
      <c r="L251" s="22">
        <v>16990.0</v>
      </c>
      <c r="M251" s="96">
        <v>14700.0</v>
      </c>
      <c r="N251" s="96">
        <v>9994.0</v>
      </c>
      <c r="O251" s="84">
        <v>0.3</v>
      </c>
      <c r="P251" s="84">
        <v>0.3</v>
      </c>
      <c r="Q251" s="133" t="s">
        <v>134</v>
      </c>
      <c r="R251" s="84">
        <v>0.56</v>
      </c>
      <c r="S251" s="84">
        <v>0.33</v>
      </c>
    </row>
    <row r="252">
      <c r="A252" s="76" t="s">
        <v>5712</v>
      </c>
      <c r="B252" s="16" t="s">
        <v>5821</v>
      </c>
      <c r="C252" s="89">
        <v>194153.0</v>
      </c>
      <c r="D252" s="16" t="s">
        <v>5805</v>
      </c>
      <c r="E252" s="16" t="s">
        <v>5805</v>
      </c>
      <c r="F252" s="16" t="s">
        <v>6024</v>
      </c>
      <c r="G252" s="22" t="s">
        <v>6024</v>
      </c>
      <c r="H252" s="22">
        <v>6010.0</v>
      </c>
      <c r="I252" s="84">
        <v>0.36</v>
      </c>
      <c r="J252" s="96">
        <v>3396.0</v>
      </c>
      <c r="K252" s="22">
        <v>24990.0</v>
      </c>
      <c r="L252" s="22">
        <v>15990.0</v>
      </c>
      <c r="M252" s="96">
        <v>14700.0</v>
      </c>
      <c r="N252" s="96">
        <v>9406.0</v>
      </c>
      <c r="O252" s="84">
        <v>0.3</v>
      </c>
      <c r="P252" s="84">
        <v>0.3</v>
      </c>
      <c r="Q252" s="133" t="s">
        <v>134</v>
      </c>
      <c r="R252" s="84">
        <v>0.55</v>
      </c>
      <c r="S252" s="84">
        <v>0.32</v>
      </c>
    </row>
    <row r="253">
      <c r="A253" s="76" t="s">
        <v>5712</v>
      </c>
      <c r="B253" s="16" t="s">
        <v>5773</v>
      </c>
      <c r="C253" s="89">
        <v>3950047.0</v>
      </c>
      <c r="D253" s="16" t="s">
        <v>5846</v>
      </c>
      <c r="E253" s="16" t="s">
        <v>5846</v>
      </c>
      <c r="F253" s="16" t="s">
        <v>6025</v>
      </c>
      <c r="G253" s="22" t="s">
        <v>6025</v>
      </c>
      <c r="H253" s="22">
        <v>2496.0</v>
      </c>
      <c r="I253" s="84">
        <v>0.39</v>
      </c>
      <c r="J253" s="96">
        <v>1616.0</v>
      </c>
      <c r="K253" s="22">
        <v>12990.0</v>
      </c>
      <c r="L253" s="22">
        <v>6990.0</v>
      </c>
      <c r="M253" s="96">
        <v>7641.0</v>
      </c>
      <c r="N253" s="96">
        <v>4112.0</v>
      </c>
      <c r="O253" s="84">
        <v>0.3</v>
      </c>
      <c r="P253" s="84">
        <v>0.3</v>
      </c>
      <c r="Q253" s="133" t="s">
        <v>134</v>
      </c>
      <c r="R253" s="84">
        <v>0.58</v>
      </c>
      <c r="S253" s="84">
        <v>0.35</v>
      </c>
    </row>
    <row r="254">
      <c r="A254" s="76" t="s">
        <v>5712</v>
      </c>
      <c r="B254" s="16" t="s">
        <v>5713</v>
      </c>
      <c r="C254" s="89">
        <v>197767.0</v>
      </c>
      <c r="D254" s="16" t="s">
        <v>5893</v>
      </c>
      <c r="E254" s="16" t="s">
        <v>5893</v>
      </c>
      <c r="F254" s="16" t="s">
        <v>6026</v>
      </c>
      <c r="G254" s="22" t="s">
        <v>6026</v>
      </c>
      <c r="H254" s="22">
        <v>328570.0</v>
      </c>
      <c r="I254" s="84">
        <v>0.32</v>
      </c>
      <c r="J254" s="96">
        <v>154954.0</v>
      </c>
      <c r="K254" s="22">
        <v>1199990.0</v>
      </c>
      <c r="L254" s="22">
        <v>821990.0</v>
      </c>
      <c r="M254" s="96">
        <v>705876.0</v>
      </c>
      <c r="N254" s="96">
        <v>483524.0</v>
      </c>
      <c r="O254" s="84">
        <v>0.3</v>
      </c>
      <c r="P254" s="84">
        <v>0.3</v>
      </c>
      <c r="Q254" s="133" t="s">
        <v>134</v>
      </c>
      <c r="R254" s="84">
        <v>0.52</v>
      </c>
      <c r="S254" s="84">
        <v>0.29</v>
      </c>
    </row>
    <row r="255">
      <c r="A255" s="76" t="s">
        <v>5712</v>
      </c>
      <c r="B255" s="16" t="s">
        <v>5713</v>
      </c>
      <c r="C255" s="89">
        <v>131333.0</v>
      </c>
      <c r="D255" s="16" t="s">
        <v>5893</v>
      </c>
      <c r="E255" s="16" t="s">
        <v>5893</v>
      </c>
      <c r="F255" s="16" t="s">
        <v>6027</v>
      </c>
      <c r="G255" s="22" t="s">
        <v>6027</v>
      </c>
      <c r="H255" s="22">
        <v>132100.0</v>
      </c>
      <c r="I255" s="84">
        <v>0.32</v>
      </c>
      <c r="J255" s="96">
        <v>62600.0</v>
      </c>
      <c r="K255" s="22">
        <v>799990.0</v>
      </c>
      <c r="L255" s="22">
        <v>330990.0</v>
      </c>
      <c r="M255" s="96">
        <v>470582.0</v>
      </c>
      <c r="N255" s="96">
        <v>194700.0</v>
      </c>
      <c r="O255" s="84">
        <v>0.3</v>
      </c>
      <c r="P255" s="84">
        <v>0.3</v>
      </c>
      <c r="Q255" s="133" t="s">
        <v>134</v>
      </c>
      <c r="R255" s="84">
        <v>0.53</v>
      </c>
      <c r="S255" s="84">
        <v>0.3</v>
      </c>
    </row>
    <row r="256">
      <c r="A256" s="76" t="s">
        <v>5712</v>
      </c>
      <c r="B256" s="16" t="s">
        <v>5713</v>
      </c>
      <c r="C256" s="89">
        <v>185062.0</v>
      </c>
      <c r="D256" s="16" t="s">
        <v>5893</v>
      </c>
      <c r="E256" s="16" t="s">
        <v>5893</v>
      </c>
      <c r="F256" s="16" t="s">
        <v>6028</v>
      </c>
      <c r="G256" s="22" t="s">
        <v>6028</v>
      </c>
      <c r="H256" s="22">
        <v>67000.0</v>
      </c>
      <c r="I256" s="84">
        <v>0.33</v>
      </c>
      <c r="J256" s="96">
        <v>32406.0</v>
      </c>
      <c r="K256" s="22">
        <v>249990.0</v>
      </c>
      <c r="L256" s="22">
        <v>168990.0</v>
      </c>
      <c r="M256" s="96">
        <v>147053.0</v>
      </c>
      <c r="N256" s="96">
        <v>99406.0</v>
      </c>
      <c r="O256" s="84">
        <v>0.3</v>
      </c>
      <c r="P256" s="84">
        <v>0.3</v>
      </c>
      <c r="Q256" s="133" t="s">
        <v>20</v>
      </c>
      <c r="R256" s="84">
        <v>0.53</v>
      </c>
      <c r="S256" s="84">
        <v>0.3</v>
      </c>
    </row>
    <row r="257">
      <c r="A257" s="76" t="s">
        <v>5712</v>
      </c>
      <c r="B257" s="16" t="s">
        <v>5713</v>
      </c>
      <c r="C257" s="16" t="s">
        <v>6029</v>
      </c>
      <c r="D257" s="16" t="s">
        <v>5893</v>
      </c>
      <c r="E257" s="16" t="s">
        <v>5893</v>
      </c>
      <c r="F257" s="16" t="s">
        <v>6030</v>
      </c>
      <c r="G257" s="22" t="s">
        <v>6030</v>
      </c>
      <c r="H257" s="22">
        <v>56903.0</v>
      </c>
      <c r="I257" s="84">
        <v>0.32</v>
      </c>
      <c r="J257" s="96">
        <v>27209.0</v>
      </c>
      <c r="K257" s="22">
        <v>199990.0</v>
      </c>
      <c r="L257" s="22">
        <v>142990.0</v>
      </c>
      <c r="M257" s="96">
        <v>117641.0</v>
      </c>
      <c r="N257" s="96">
        <v>84112.0</v>
      </c>
      <c r="O257" s="84">
        <v>0.3</v>
      </c>
      <c r="P257" s="84">
        <v>0.3</v>
      </c>
      <c r="Q257" s="133" t="s">
        <v>20</v>
      </c>
      <c r="R257" s="84">
        <v>0.53</v>
      </c>
      <c r="S257" s="84">
        <v>0.3</v>
      </c>
      <c r="T257" s="37"/>
      <c r="U257" s="37"/>
    </row>
    <row r="258">
      <c r="A258" s="76" t="s">
        <v>5712</v>
      </c>
      <c r="B258" s="16" t="s">
        <v>5773</v>
      </c>
      <c r="C258" s="89">
        <v>1301056.0</v>
      </c>
      <c r="D258" s="16" t="s">
        <v>5846</v>
      </c>
      <c r="E258" s="16" t="s">
        <v>5846</v>
      </c>
      <c r="F258" s="16" t="s">
        <v>6031</v>
      </c>
      <c r="G258" s="22" t="s">
        <v>6031</v>
      </c>
      <c r="H258" s="22">
        <v>12600.0</v>
      </c>
      <c r="I258" s="84">
        <v>0.35</v>
      </c>
      <c r="J258" s="96">
        <v>6806.0</v>
      </c>
      <c r="K258" s="22">
        <v>49990.0</v>
      </c>
      <c r="L258" s="22">
        <v>32990.0</v>
      </c>
      <c r="M258" s="96">
        <v>29406.0</v>
      </c>
      <c r="N258" s="96">
        <v>19406.0</v>
      </c>
      <c r="O258" s="84">
        <v>0.3</v>
      </c>
      <c r="P258" s="84">
        <v>0.3</v>
      </c>
      <c r="Q258" s="133" t="s">
        <v>134</v>
      </c>
      <c r="R258" s="84">
        <v>0.55</v>
      </c>
      <c r="S258" s="84">
        <v>0.32</v>
      </c>
      <c r="T258" s="37"/>
      <c r="U258" s="37"/>
    </row>
    <row r="259">
      <c r="A259" s="76" t="s">
        <v>5712</v>
      </c>
      <c r="B259" s="16" t="s">
        <v>5773</v>
      </c>
      <c r="C259" s="89">
        <v>1301059.0</v>
      </c>
      <c r="D259" s="16" t="s">
        <v>5846</v>
      </c>
      <c r="E259" s="16" t="s">
        <v>5846</v>
      </c>
      <c r="F259" s="16" t="s">
        <v>6032</v>
      </c>
      <c r="G259" s="22" t="s">
        <v>6032</v>
      </c>
      <c r="H259" s="22">
        <v>5444.0</v>
      </c>
      <c r="I259" s="84">
        <v>0.38</v>
      </c>
      <c r="J259" s="96">
        <v>3374.0</v>
      </c>
      <c r="K259" s="22">
        <v>22990.0</v>
      </c>
      <c r="L259" s="22">
        <v>14990.0</v>
      </c>
      <c r="M259" s="96">
        <v>13524.0</v>
      </c>
      <c r="N259" s="96">
        <v>8818.0</v>
      </c>
      <c r="O259" s="84">
        <v>0.3</v>
      </c>
      <c r="P259" s="84">
        <v>0.3</v>
      </c>
      <c r="Q259" s="133" t="s">
        <v>134</v>
      </c>
      <c r="R259" s="84">
        <v>0.57</v>
      </c>
      <c r="S259" s="84">
        <v>0.34</v>
      </c>
      <c r="T259" s="94"/>
      <c r="U259" s="94"/>
    </row>
    <row r="260">
      <c r="A260" s="76" t="s">
        <v>5712</v>
      </c>
      <c r="B260" s="16" t="s">
        <v>5885</v>
      </c>
      <c r="C260" s="16" t="s">
        <v>6033</v>
      </c>
      <c r="D260" s="16" t="s">
        <v>5871</v>
      </c>
      <c r="E260" s="16" t="s">
        <v>5871</v>
      </c>
      <c r="F260" s="16" t="s">
        <v>6034</v>
      </c>
      <c r="G260" s="22" t="s">
        <v>6034</v>
      </c>
      <c r="H260" s="22">
        <v>2510.0</v>
      </c>
      <c r="I260" s="84">
        <v>0.39</v>
      </c>
      <c r="J260" s="96">
        <v>1602.0</v>
      </c>
      <c r="K260" s="22">
        <v>9990.0</v>
      </c>
      <c r="L260" s="22">
        <v>6990.0</v>
      </c>
      <c r="M260" s="96">
        <v>5876.0</v>
      </c>
      <c r="N260" s="96">
        <v>4112.0</v>
      </c>
      <c r="O260" s="84">
        <v>0.3</v>
      </c>
      <c r="P260" s="84">
        <v>0.3</v>
      </c>
      <c r="Q260" s="133" t="s">
        <v>134</v>
      </c>
      <c r="R260" s="84">
        <v>0.57</v>
      </c>
      <c r="S260" s="84">
        <v>0.34</v>
      </c>
      <c r="T260" s="37"/>
      <c r="U260" s="37"/>
    </row>
    <row r="261">
      <c r="A261" s="76" t="s">
        <v>5712</v>
      </c>
      <c r="B261" s="16" t="s">
        <v>5885</v>
      </c>
      <c r="C261" s="16" t="s">
        <v>6035</v>
      </c>
      <c r="D261" s="16" t="s">
        <v>5871</v>
      </c>
      <c r="E261" s="16" t="s">
        <v>5871</v>
      </c>
      <c r="F261" s="16" t="s">
        <v>6036</v>
      </c>
      <c r="G261" s="22" t="s">
        <v>6036</v>
      </c>
      <c r="H261" s="22">
        <v>2422.0</v>
      </c>
      <c r="I261" s="84">
        <v>0.41</v>
      </c>
      <c r="J261" s="96">
        <v>1690.0</v>
      </c>
      <c r="K261" s="22">
        <v>9990.0</v>
      </c>
      <c r="L261" s="22">
        <v>6990.0</v>
      </c>
      <c r="M261" s="96">
        <v>5876.0</v>
      </c>
      <c r="N261" s="96">
        <v>4112.0</v>
      </c>
      <c r="O261" s="84">
        <v>0.3</v>
      </c>
      <c r="P261" s="84">
        <v>0.3</v>
      </c>
      <c r="Q261" s="133" t="s">
        <v>134</v>
      </c>
      <c r="R261" s="84">
        <v>0.59</v>
      </c>
      <c r="S261" s="84">
        <v>0.36</v>
      </c>
      <c r="T261" s="37"/>
      <c r="U261" s="37"/>
    </row>
    <row r="262">
      <c r="A262" s="76" t="s">
        <v>5712</v>
      </c>
      <c r="B262" s="16" t="s">
        <v>5713</v>
      </c>
      <c r="C262" s="19" t="s">
        <v>6037</v>
      </c>
      <c r="D262" s="16" t="s">
        <v>5874</v>
      </c>
      <c r="E262" s="16" t="s">
        <v>5874</v>
      </c>
      <c r="F262" s="16" t="s">
        <v>5984</v>
      </c>
      <c r="G262" s="22" t="s">
        <v>5984</v>
      </c>
      <c r="H262" s="22">
        <v>7814.0</v>
      </c>
      <c r="I262" s="84">
        <v>0.37</v>
      </c>
      <c r="J262" s="96">
        <v>4533.0</v>
      </c>
      <c r="K262" s="22">
        <v>29990.0</v>
      </c>
      <c r="L262" s="22">
        <v>20990.0</v>
      </c>
      <c r="M262" s="96">
        <v>17641.0</v>
      </c>
      <c r="N262" s="96">
        <v>12347.0</v>
      </c>
      <c r="O262" s="84">
        <v>0.3</v>
      </c>
      <c r="P262" s="84">
        <v>0.3</v>
      </c>
      <c r="Q262" s="133" t="s">
        <v>134</v>
      </c>
      <c r="R262" s="84">
        <v>0.56</v>
      </c>
      <c r="S262" s="84">
        <v>0.33</v>
      </c>
      <c r="T262" s="37"/>
      <c r="U262" s="37"/>
    </row>
    <row r="263">
      <c r="A263" s="76" t="s">
        <v>5712</v>
      </c>
      <c r="B263" s="16" t="s">
        <v>5713</v>
      </c>
      <c r="C263" s="19" t="s">
        <v>6038</v>
      </c>
      <c r="D263" s="16" t="s">
        <v>5874</v>
      </c>
      <c r="E263" s="16" t="s">
        <v>5874</v>
      </c>
      <c r="F263" s="16" t="s">
        <v>5984</v>
      </c>
      <c r="G263" s="22" t="s">
        <v>5984</v>
      </c>
      <c r="H263" s="22">
        <v>7814.0</v>
      </c>
      <c r="I263" s="84">
        <v>0.37</v>
      </c>
      <c r="J263" s="96">
        <v>4533.0</v>
      </c>
      <c r="K263" s="22">
        <v>29990.0</v>
      </c>
      <c r="L263" s="22">
        <v>20990.0</v>
      </c>
      <c r="M263" s="96">
        <v>17641.0</v>
      </c>
      <c r="N263" s="96">
        <v>12347.0</v>
      </c>
      <c r="O263" s="84">
        <v>0.3</v>
      </c>
      <c r="P263" s="84">
        <v>0.3</v>
      </c>
      <c r="Q263" s="133" t="s">
        <v>134</v>
      </c>
      <c r="R263" s="84">
        <v>0.56</v>
      </c>
      <c r="S263" s="84">
        <v>0.33</v>
      </c>
      <c r="T263" s="37"/>
      <c r="U263" s="37"/>
    </row>
    <row r="264">
      <c r="A264" s="76" t="s">
        <v>5712</v>
      </c>
      <c r="B264" s="16" t="s">
        <v>5713</v>
      </c>
      <c r="C264" s="19" t="s">
        <v>6039</v>
      </c>
      <c r="D264" s="16" t="s">
        <v>5874</v>
      </c>
      <c r="E264" s="16" t="s">
        <v>5874</v>
      </c>
      <c r="F264" s="16" t="s">
        <v>5984</v>
      </c>
      <c r="G264" s="22" t="s">
        <v>5984</v>
      </c>
      <c r="H264" s="22">
        <v>7814.0</v>
      </c>
      <c r="I264" s="84">
        <v>0.37</v>
      </c>
      <c r="J264" s="96">
        <v>4533.0</v>
      </c>
      <c r="K264" s="22">
        <v>29990.0</v>
      </c>
      <c r="L264" s="22">
        <v>20990.0</v>
      </c>
      <c r="M264" s="96">
        <v>17641.0</v>
      </c>
      <c r="N264" s="96">
        <v>12347.0</v>
      </c>
      <c r="O264" s="84">
        <v>0.3</v>
      </c>
      <c r="P264" s="84">
        <v>0.3</v>
      </c>
      <c r="Q264" s="133" t="s">
        <v>134</v>
      </c>
      <c r="R264" s="84">
        <v>0.56</v>
      </c>
      <c r="S264" s="84">
        <v>0.33</v>
      </c>
      <c r="T264" s="37"/>
      <c r="U264" s="37"/>
    </row>
    <row r="265">
      <c r="A265" s="134" t="s">
        <v>6040</v>
      </c>
      <c r="B265" s="16" t="s">
        <v>5777</v>
      </c>
      <c r="C265" s="89">
        <v>77910.0</v>
      </c>
      <c r="D265" s="16" t="s">
        <v>5805</v>
      </c>
      <c r="E265" s="16" t="s">
        <v>5805</v>
      </c>
      <c r="F265" s="16" t="s">
        <v>6041</v>
      </c>
      <c r="G265" s="22" t="s">
        <v>6041</v>
      </c>
      <c r="H265" s="22">
        <v>1038.0</v>
      </c>
      <c r="I265" s="84">
        <v>0.41</v>
      </c>
      <c r="J265" s="96">
        <v>721.0</v>
      </c>
      <c r="K265" s="22">
        <v>5990.0</v>
      </c>
      <c r="L265" s="22">
        <v>2990.0</v>
      </c>
      <c r="M265" s="96">
        <v>3524.0</v>
      </c>
      <c r="N265" s="96">
        <v>1759.0</v>
      </c>
      <c r="O265" s="84">
        <v>0.3</v>
      </c>
      <c r="P265" s="84">
        <v>0.3</v>
      </c>
      <c r="Q265" s="133" t="s">
        <v>134</v>
      </c>
      <c r="R265" s="84">
        <v>0.59</v>
      </c>
      <c r="S265" s="84">
        <v>0.36</v>
      </c>
      <c r="T265" s="37"/>
      <c r="U265" s="37"/>
    </row>
    <row r="266">
      <c r="A266" s="134" t="s">
        <v>6040</v>
      </c>
      <c r="B266" s="16" t="s">
        <v>5821</v>
      </c>
      <c r="C266" s="16" t="s">
        <v>6042</v>
      </c>
      <c r="D266" s="16" t="s">
        <v>5842</v>
      </c>
      <c r="E266" s="16" t="s">
        <v>5842</v>
      </c>
      <c r="F266" s="16" t="s">
        <v>6043</v>
      </c>
      <c r="G266" s="22" t="s">
        <v>6043</v>
      </c>
      <c r="H266" s="22">
        <v>2168.0</v>
      </c>
      <c r="I266" s="84">
        <v>0.38</v>
      </c>
      <c r="J266" s="96">
        <v>1356.0</v>
      </c>
      <c r="K266" s="22">
        <v>9990.0</v>
      </c>
      <c r="L266" s="22">
        <v>5990.0</v>
      </c>
      <c r="M266" s="96">
        <v>5876.0</v>
      </c>
      <c r="N266" s="96">
        <v>3524.0</v>
      </c>
      <c r="O266" s="84">
        <v>0.3</v>
      </c>
      <c r="P266" s="84">
        <v>0.3</v>
      </c>
      <c r="Q266" s="133" t="s">
        <v>134</v>
      </c>
      <c r="R266" s="84">
        <v>0.57</v>
      </c>
      <c r="S266" s="84">
        <v>0.34</v>
      </c>
      <c r="T266" s="37"/>
      <c r="U266" s="37"/>
    </row>
    <row r="267">
      <c r="A267" s="134" t="s">
        <v>6040</v>
      </c>
      <c r="B267" s="16" t="s">
        <v>5738</v>
      </c>
      <c r="C267" s="89">
        <v>174550.0</v>
      </c>
      <c r="D267" s="16" t="s">
        <v>5878</v>
      </c>
      <c r="E267" s="16" t="s">
        <v>5878</v>
      </c>
      <c r="F267" s="16" t="s">
        <v>6044</v>
      </c>
      <c r="G267" s="22" t="s">
        <v>6044</v>
      </c>
      <c r="H267" s="22">
        <v>1454.0</v>
      </c>
      <c r="I267" s="84">
        <v>0.38</v>
      </c>
      <c r="J267" s="96">
        <v>893.0</v>
      </c>
      <c r="K267" s="22">
        <v>6990.0</v>
      </c>
      <c r="L267" s="22">
        <v>3990.0</v>
      </c>
      <c r="M267" s="96">
        <v>4112.0</v>
      </c>
      <c r="N267" s="96">
        <v>2347.0</v>
      </c>
      <c r="O267" s="84">
        <v>0.3</v>
      </c>
      <c r="P267" s="84">
        <v>0.3</v>
      </c>
      <c r="Q267" s="133" t="s">
        <v>134</v>
      </c>
      <c r="R267" s="84">
        <v>0.57</v>
      </c>
      <c r="S267" s="84">
        <v>0.34</v>
      </c>
      <c r="T267" s="37"/>
      <c r="U267" s="37"/>
    </row>
    <row r="268">
      <c r="A268" s="134" t="s">
        <v>6040</v>
      </c>
      <c r="B268" s="16" t="s">
        <v>5777</v>
      </c>
      <c r="C268" s="89">
        <v>87516.0</v>
      </c>
      <c r="D268" s="16" t="s">
        <v>5846</v>
      </c>
      <c r="E268" s="16" t="s">
        <v>5846</v>
      </c>
      <c r="F268" s="16" t="s">
        <v>6045</v>
      </c>
      <c r="G268" s="22" t="s">
        <v>6045</v>
      </c>
      <c r="H268" s="16">
        <v>804.0</v>
      </c>
      <c r="I268" s="84">
        <v>0.54</v>
      </c>
      <c r="J268" s="96">
        <v>955.0</v>
      </c>
      <c r="K268" s="22">
        <v>5990.0</v>
      </c>
      <c r="L268" s="22">
        <v>2990.0</v>
      </c>
      <c r="M268" s="96">
        <v>3524.0</v>
      </c>
      <c r="N268" s="96">
        <v>1759.0</v>
      </c>
      <c r="O268" s="84">
        <v>0.3</v>
      </c>
      <c r="P268" s="84">
        <v>0.3</v>
      </c>
      <c r="Q268" s="133" t="s">
        <v>134</v>
      </c>
      <c r="R268" s="84">
        <v>0.68</v>
      </c>
      <c r="S268" s="84">
        <v>0.45</v>
      </c>
      <c r="T268" s="37"/>
      <c r="U268" s="37"/>
    </row>
    <row r="269">
      <c r="A269" s="134" t="s">
        <v>6040</v>
      </c>
      <c r="B269" s="16" t="s">
        <v>5777</v>
      </c>
      <c r="C269" s="89">
        <v>76145.0</v>
      </c>
      <c r="D269" s="16" t="s">
        <v>5858</v>
      </c>
      <c r="E269" s="16" t="s">
        <v>5858</v>
      </c>
      <c r="F269" s="16" t="s">
        <v>6046</v>
      </c>
      <c r="G269" s="22" t="s">
        <v>6046</v>
      </c>
      <c r="H269" s="16">
        <v>934.0</v>
      </c>
      <c r="I269" s="84">
        <v>0.47</v>
      </c>
      <c r="J269" s="96">
        <v>825.0</v>
      </c>
      <c r="K269" s="22">
        <v>5990.0</v>
      </c>
      <c r="L269" s="22">
        <v>2990.0</v>
      </c>
      <c r="M269" s="96">
        <v>3524.0</v>
      </c>
      <c r="N269" s="96">
        <v>1759.0</v>
      </c>
      <c r="O269" s="84">
        <v>0.3</v>
      </c>
      <c r="P269" s="84">
        <v>0.3</v>
      </c>
      <c r="Q269" s="133" t="s">
        <v>134</v>
      </c>
      <c r="R269" s="84">
        <v>0.63</v>
      </c>
      <c r="S269" s="84">
        <v>0.4</v>
      </c>
      <c r="T269" s="94"/>
      <c r="U269" s="94"/>
    </row>
    <row r="270">
      <c r="A270" s="134" t="s">
        <v>6040</v>
      </c>
      <c r="B270" s="16" t="s">
        <v>5738</v>
      </c>
      <c r="C270" s="89">
        <v>120057.0</v>
      </c>
      <c r="D270" s="16" t="s">
        <v>5846</v>
      </c>
      <c r="E270" s="16" t="s">
        <v>5846</v>
      </c>
      <c r="F270" s="16" t="s">
        <v>6047</v>
      </c>
      <c r="G270" s="22" t="s">
        <v>6047</v>
      </c>
      <c r="H270" s="22">
        <v>1772.0</v>
      </c>
      <c r="I270" s="84">
        <v>0.4</v>
      </c>
      <c r="J270" s="96">
        <v>1163.0</v>
      </c>
      <c r="K270" s="22">
        <v>8990.0</v>
      </c>
      <c r="L270" s="22">
        <v>4990.0</v>
      </c>
      <c r="M270" s="96">
        <v>5288.0</v>
      </c>
      <c r="N270" s="96">
        <v>2935.0</v>
      </c>
      <c r="O270" s="84">
        <v>0.3</v>
      </c>
      <c r="P270" s="84">
        <v>0.3</v>
      </c>
      <c r="Q270" s="133" t="s">
        <v>20</v>
      </c>
      <c r="R270" s="84">
        <v>0.58</v>
      </c>
      <c r="S270" s="84">
        <v>0.35</v>
      </c>
      <c r="T270" s="37"/>
      <c r="U270" s="37"/>
    </row>
    <row r="271">
      <c r="A271" s="134" t="s">
        <v>6040</v>
      </c>
      <c r="B271" s="16" t="s">
        <v>5777</v>
      </c>
      <c r="C271" s="89">
        <v>73001.0</v>
      </c>
      <c r="D271" s="16" t="s">
        <v>5846</v>
      </c>
      <c r="E271" s="16" t="s">
        <v>5846</v>
      </c>
      <c r="F271" s="16" t="s">
        <v>6048</v>
      </c>
      <c r="G271" s="22" t="s">
        <v>6048</v>
      </c>
      <c r="H271" s="16">
        <v>611.0</v>
      </c>
      <c r="I271" s="84">
        <v>0.48</v>
      </c>
      <c r="J271" s="96">
        <v>560.0</v>
      </c>
      <c r="K271" s="22">
        <v>3990.0</v>
      </c>
      <c r="L271" s="22">
        <v>1990.0</v>
      </c>
      <c r="M271" s="96">
        <v>2347.0</v>
      </c>
      <c r="N271" s="96">
        <v>1171.0</v>
      </c>
      <c r="O271" s="84">
        <v>0.3</v>
      </c>
      <c r="P271" s="84">
        <v>0.3</v>
      </c>
      <c r="Q271" s="133" t="s">
        <v>134</v>
      </c>
      <c r="R271" s="84">
        <v>0.63</v>
      </c>
      <c r="S271" s="84">
        <v>0.4</v>
      </c>
      <c r="T271" s="37"/>
      <c r="U271" s="37"/>
    </row>
    <row r="272">
      <c r="A272" s="134" t="s">
        <v>6040</v>
      </c>
      <c r="B272" s="16" t="s">
        <v>5777</v>
      </c>
      <c r="C272" s="89">
        <v>752077.0</v>
      </c>
      <c r="D272" s="16" t="s">
        <v>5805</v>
      </c>
      <c r="E272" s="16" t="s">
        <v>5805</v>
      </c>
      <c r="F272" s="16" t="s">
        <v>6049</v>
      </c>
      <c r="G272" s="22" t="s">
        <v>6049</v>
      </c>
      <c r="H272" s="22">
        <v>2848.0</v>
      </c>
      <c r="I272" s="84">
        <v>0.31</v>
      </c>
      <c r="J272" s="96">
        <v>1264.0</v>
      </c>
      <c r="K272" s="22">
        <v>11990.0</v>
      </c>
      <c r="L272" s="22">
        <v>6990.0</v>
      </c>
      <c r="M272" s="96">
        <v>7053.0</v>
      </c>
      <c r="N272" s="96">
        <v>4112.0</v>
      </c>
      <c r="O272" s="84">
        <v>0.3</v>
      </c>
      <c r="P272" s="84">
        <v>0.3</v>
      </c>
      <c r="Q272" s="133" t="s">
        <v>134</v>
      </c>
      <c r="R272" s="84">
        <v>0.52</v>
      </c>
      <c r="S272" s="84">
        <v>0.29</v>
      </c>
      <c r="T272" s="37"/>
      <c r="U272" s="37"/>
    </row>
    <row r="273">
      <c r="A273" s="134" t="s">
        <v>6040</v>
      </c>
      <c r="B273" s="16" t="s">
        <v>5821</v>
      </c>
      <c r="C273" s="16" t="s">
        <v>6050</v>
      </c>
      <c r="D273" s="16" t="s">
        <v>5842</v>
      </c>
      <c r="E273" s="16" t="s">
        <v>5842</v>
      </c>
      <c r="F273" s="16" t="s">
        <v>6051</v>
      </c>
      <c r="G273" s="22" t="s">
        <v>6051</v>
      </c>
      <c r="H273" s="22">
        <v>2034.0</v>
      </c>
      <c r="I273" s="84">
        <v>0.31</v>
      </c>
      <c r="J273" s="96">
        <v>901.0</v>
      </c>
      <c r="K273" s="22">
        <v>8990.0</v>
      </c>
      <c r="L273" s="22">
        <v>4990.0</v>
      </c>
      <c r="M273" s="96">
        <v>5288.0</v>
      </c>
      <c r="N273" s="96">
        <v>2935.0</v>
      </c>
      <c r="O273" s="84">
        <v>0.3</v>
      </c>
      <c r="P273" s="84">
        <v>0.3</v>
      </c>
      <c r="Q273" s="133" t="s">
        <v>134</v>
      </c>
      <c r="R273" s="84">
        <v>0.51</v>
      </c>
      <c r="S273" s="84">
        <v>0.28</v>
      </c>
      <c r="T273" s="37"/>
      <c r="U273" s="37"/>
    </row>
    <row r="274">
      <c r="A274" s="134" t="s">
        <v>6040</v>
      </c>
      <c r="B274" s="16" t="s">
        <v>5777</v>
      </c>
      <c r="C274" s="89">
        <v>77976.0</v>
      </c>
      <c r="D274" s="16" t="s">
        <v>5846</v>
      </c>
      <c r="E274" s="16" t="s">
        <v>5846</v>
      </c>
      <c r="F274" s="16" t="s">
        <v>6052</v>
      </c>
      <c r="G274" s="22" t="s">
        <v>6052</v>
      </c>
      <c r="H274" s="22">
        <v>2257.0</v>
      </c>
      <c r="I274" s="84">
        <v>0.36</v>
      </c>
      <c r="J274" s="96">
        <v>1267.0</v>
      </c>
      <c r="K274" s="22">
        <v>9990.0</v>
      </c>
      <c r="L274" s="22">
        <v>5990.0</v>
      </c>
      <c r="M274" s="96">
        <v>5876.0</v>
      </c>
      <c r="N274" s="96">
        <v>3524.0</v>
      </c>
      <c r="O274" s="84">
        <v>0.3</v>
      </c>
      <c r="P274" s="84">
        <v>0.3</v>
      </c>
      <c r="Q274" s="133" t="s">
        <v>134</v>
      </c>
      <c r="R274" s="84">
        <v>0.55</v>
      </c>
      <c r="S274" s="84">
        <v>0.32</v>
      </c>
      <c r="T274" s="37"/>
      <c r="U274" s="37"/>
    </row>
    <row r="275">
      <c r="A275" s="134" t="s">
        <v>6040</v>
      </c>
      <c r="B275" s="16" t="s">
        <v>5738</v>
      </c>
      <c r="C275" s="16" t="s">
        <v>6053</v>
      </c>
      <c r="D275" s="16" t="s">
        <v>5878</v>
      </c>
      <c r="E275" s="16" t="s">
        <v>5878</v>
      </c>
      <c r="F275" s="16" t="s">
        <v>6054</v>
      </c>
      <c r="G275" s="22" t="s">
        <v>6054</v>
      </c>
      <c r="H275" s="22">
        <v>1873.0</v>
      </c>
      <c r="I275" s="84">
        <v>0.36</v>
      </c>
      <c r="J275" s="96">
        <v>1062.0</v>
      </c>
      <c r="K275" s="22">
        <v>8990.0</v>
      </c>
      <c r="L275" s="22">
        <v>4990.0</v>
      </c>
      <c r="M275" s="96">
        <v>5288.0</v>
      </c>
      <c r="N275" s="96">
        <v>2935.0</v>
      </c>
      <c r="O275" s="84">
        <v>0.3</v>
      </c>
      <c r="P275" s="84">
        <v>0.3</v>
      </c>
      <c r="Q275" s="133" t="s">
        <v>134</v>
      </c>
      <c r="R275" s="84">
        <v>0.55</v>
      </c>
      <c r="S275" s="84">
        <v>0.32</v>
      </c>
      <c r="T275" s="37"/>
      <c r="U275" s="37"/>
    </row>
    <row r="276">
      <c r="A276" s="134" t="s">
        <v>6040</v>
      </c>
      <c r="B276" s="16" t="s">
        <v>5738</v>
      </c>
      <c r="C276" s="89">
        <v>174713.0</v>
      </c>
      <c r="D276" s="16" t="s">
        <v>5878</v>
      </c>
      <c r="E276" s="16" t="s">
        <v>5878</v>
      </c>
      <c r="F276" s="16" t="s">
        <v>6055</v>
      </c>
      <c r="G276" s="22" t="s">
        <v>6055</v>
      </c>
      <c r="H276" s="22">
        <v>1453.0</v>
      </c>
      <c r="I276" s="84">
        <v>0.38</v>
      </c>
      <c r="J276" s="96">
        <v>894.0</v>
      </c>
      <c r="K276" s="22">
        <v>6990.0</v>
      </c>
      <c r="L276" s="22">
        <v>3990.0</v>
      </c>
      <c r="M276" s="96">
        <v>4112.0</v>
      </c>
      <c r="N276" s="96">
        <v>2347.0</v>
      </c>
      <c r="O276" s="84">
        <v>0.3</v>
      </c>
      <c r="P276" s="84">
        <v>0.3</v>
      </c>
      <c r="Q276" s="133" t="s">
        <v>134</v>
      </c>
      <c r="R276" s="84">
        <v>0.57</v>
      </c>
      <c r="S276" s="84">
        <v>0.34</v>
      </c>
      <c r="T276" s="37"/>
      <c r="U276" s="37"/>
    </row>
    <row r="277">
      <c r="A277" s="134" t="s">
        <v>6040</v>
      </c>
      <c r="B277" s="16" t="s">
        <v>5777</v>
      </c>
      <c r="C277" s="89">
        <v>10825.0</v>
      </c>
      <c r="D277" s="16" t="s">
        <v>5858</v>
      </c>
      <c r="E277" s="16" t="s">
        <v>5858</v>
      </c>
      <c r="F277" s="16" t="s">
        <v>6056</v>
      </c>
      <c r="G277" s="22" t="s">
        <v>6056</v>
      </c>
      <c r="H277" s="22">
        <v>1774.0</v>
      </c>
      <c r="I277" s="84">
        <v>0.4</v>
      </c>
      <c r="J277" s="96">
        <v>1161.0</v>
      </c>
      <c r="K277" s="22">
        <v>8990.0</v>
      </c>
      <c r="L277" s="22">
        <v>4990.0</v>
      </c>
      <c r="M277" s="96">
        <v>5288.0</v>
      </c>
      <c r="N277" s="96">
        <v>2935.0</v>
      </c>
      <c r="O277" s="84">
        <v>0.3</v>
      </c>
      <c r="P277" s="84">
        <v>0.3</v>
      </c>
      <c r="Q277" s="133" t="s">
        <v>134</v>
      </c>
      <c r="R277" s="84">
        <v>0.58</v>
      </c>
      <c r="S277" s="84">
        <v>0.35</v>
      </c>
      <c r="T277" s="37"/>
      <c r="U277" s="37"/>
    </row>
    <row r="278">
      <c r="A278" s="134" t="s">
        <v>6040</v>
      </c>
      <c r="B278" s="16" t="s">
        <v>5777</v>
      </c>
      <c r="C278" s="89">
        <v>73544.0</v>
      </c>
      <c r="D278" s="16" t="s">
        <v>5878</v>
      </c>
      <c r="E278" s="16" t="s">
        <v>5878</v>
      </c>
      <c r="F278" s="16" t="s">
        <v>6057</v>
      </c>
      <c r="G278" s="22" t="s">
        <v>6057</v>
      </c>
      <c r="H278" s="16">
        <v>760.0</v>
      </c>
      <c r="I278" s="84">
        <v>0.57</v>
      </c>
      <c r="J278" s="96">
        <v>999.0</v>
      </c>
      <c r="K278" s="22">
        <v>5990.0</v>
      </c>
      <c r="L278" s="22">
        <v>2990.0</v>
      </c>
      <c r="M278" s="96">
        <v>3524.0</v>
      </c>
      <c r="N278" s="96">
        <v>1759.0</v>
      </c>
      <c r="O278" s="84">
        <v>0.3</v>
      </c>
      <c r="P278" s="84">
        <v>0.3</v>
      </c>
      <c r="Q278" s="133" t="s">
        <v>134</v>
      </c>
      <c r="R278" s="84">
        <v>0.7</v>
      </c>
      <c r="S278" s="84">
        <v>0.47</v>
      </c>
      <c r="T278" s="37"/>
      <c r="U278" s="37"/>
    </row>
    <row r="279">
      <c r="A279" s="134" t="s">
        <v>6040</v>
      </c>
      <c r="B279" s="16" t="s">
        <v>5777</v>
      </c>
      <c r="C279" s="89">
        <v>756324.0</v>
      </c>
      <c r="D279" s="16" t="s">
        <v>5878</v>
      </c>
      <c r="E279" s="16" t="s">
        <v>5878</v>
      </c>
      <c r="F279" s="16" t="s">
        <v>6058</v>
      </c>
      <c r="G279" s="22" t="s">
        <v>6058</v>
      </c>
      <c r="H279" s="22">
        <v>4317.0</v>
      </c>
      <c r="I279" s="84">
        <v>0.27</v>
      </c>
      <c r="J279" s="96">
        <v>1559.0</v>
      </c>
      <c r="K279" s="22">
        <v>15990.0</v>
      </c>
      <c r="L279" s="22">
        <v>9990.0</v>
      </c>
      <c r="M279" s="96">
        <v>9406.0</v>
      </c>
      <c r="N279" s="96">
        <v>5876.0</v>
      </c>
      <c r="O279" s="84">
        <v>0.3</v>
      </c>
      <c r="P279" s="84">
        <v>0.3</v>
      </c>
      <c r="Q279" s="133" t="s">
        <v>134</v>
      </c>
      <c r="R279" s="84">
        <v>0.49</v>
      </c>
      <c r="S279" s="84">
        <v>0.26</v>
      </c>
      <c r="T279" s="37"/>
      <c r="U279" s="37"/>
    </row>
    <row r="280">
      <c r="A280" s="134" t="s">
        <v>6040</v>
      </c>
      <c r="B280" s="16" t="s">
        <v>5738</v>
      </c>
      <c r="C280" s="89">
        <v>151078.0</v>
      </c>
      <c r="D280" s="16" t="s">
        <v>5846</v>
      </c>
      <c r="E280" s="16" t="s">
        <v>5846</v>
      </c>
      <c r="F280" s="16" t="s">
        <v>6059</v>
      </c>
      <c r="G280" s="22" t="s">
        <v>6059</v>
      </c>
      <c r="H280" s="22">
        <v>1356.0</v>
      </c>
      <c r="I280" s="84">
        <v>0.42</v>
      </c>
      <c r="J280" s="96">
        <v>991.0</v>
      </c>
      <c r="K280" s="22">
        <v>6990.0</v>
      </c>
      <c r="L280" s="22">
        <v>3990.0</v>
      </c>
      <c r="M280" s="96">
        <v>4112.0</v>
      </c>
      <c r="N280" s="96">
        <v>2347.0</v>
      </c>
      <c r="O280" s="84">
        <v>0.3</v>
      </c>
      <c r="P280" s="84">
        <v>0.3</v>
      </c>
      <c r="Q280" s="133" t="s">
        <v>134</v>
      </c>
      <c r="R280" s="84">
        <v>0.6</v>
      </c>
      <c r="S280" s="84">
        <v>0.37</v>
      </c>
      <c r="T280" s="37"/>
      <c r="U280" s="37"/>
    </row>
    <row r="281">
      <c r="A281" s="134" t="s">
        <v>6040</v>
      </c>
      <c r="B281" s="16" t="s">
        <v>5738</v>
      </c>
      <c r="C281" s="89">
        <v>150164.0</v>
      </c>
      <c r="D281" s="16" t="s">
        <v>5846</v>
      </c>
      <c r="E281" s="16" t="s">
        <v>5846</v>
      </c>
      <c r="F281" s="16" t="s">
        <v>6060</v>
      </c>
      <c r="G281" s="22" t="s">
        <v>6060</v>
      </c>
      <c r="H281" s="22">
        <v>2142.0</v>
      </c>
      <c r="I281" s="84">
        <v>0.39</v>
      </c>
      <c r="J281" s="96">
        <v>1382.0</v>
      </c>
      <c r="K281" s="22">
        <v>9990.0</v>
      </c>
      <c r="L281" s="22">
        <v>5990.0</v>
      </c>
      <c r="M281" s="96">
        <v>5876.0</v>
      </c>
      <c r="N281" s="96">
        <v>3524.0</v>
      </c>
      <c r="O281" s="84">
        <v>0.3</v>
      </c>
      <c r="P281" s="84">
        <v>0.3</v>
      </c>
      <c r="Q281" s="133" t="s">
        <v>134</v>
      </c>
      <c r="R281" s="84">
        <v>0.57</v>
      </c>
      <c r="S281" s="84">
        <v>0.34</v>
      </c>
      <c r="T281" s="37"/>
      <c r="U281" s="37"/>
    </row>
    <row r="282">
      <c r="A282" s="134" t="s">
        <v>6040</v>
      </c>
      <c r="B282" s="16" t="s">
        <v>5777</v>
      </c>
      <c r="C282" s="89">
        <v>72381.0</v>
      </c>
      <c r="D282" s="16" t="s">
        <v>5878</v>
      </c>
      <c r="E282" s="16" t="s">
        <v>5878</v>
      </c>
      <c r="F282" s="16" t="s">
        <v>6061</v>
      </c>
      <c r="G282" s="22" t="s">
        <v>6061</v>
      </c>
      <c r="H282" s="22">
        <v>1819.0</v>
      </c>
      <c r="I282" s="84">
        <v>0.38</v>
      </c>
      <c r="J282" s="96">
        <v>1116.0</v>
      </c>
      <c r="K282" s="22">
        <v>8990.0</v>
      </c>
      <c r="L282" s="22">
        <v>4990.0</v>
      </c>
      <c r="M282" s="96">
        <v>5288.0</v>
      </c>
      <c r="N282" s="96">
        <v>2935.0</v>
      </c>
      <c r="O282" s="84">
        <v>0.3</v>
      </c>
      <c r="P282" s="84">
        <v>0.3</v>
      </c>
      <c r="Q282" s="133" t="s">
        <v>134</v>
      </c>
      <c r="R282" s="84">
        <v>0.57</v>
      </c>
      <c r="S282" s="84">
        <v>0.34</v>
      </c>
      <c r="T282" s="37"/>
      <c r="U282" s="37"/>
    </row>
    <row r="283">
      <c r="A283" s="134" t="s">
        <v>6040</v>
      </c>
      <c r="B283" s="16" t="s">
        <v>5777</v>
      </c>
      <c r="C283" s="89">
        <v>751902.0</v>
      </c>
      <c r="D283" s="16" t="s">
        <v>5846</v>
      </c>
      <c r="E283" s="16" t="s">
        <v>5846</v>
      </c>
      <c r="F283" s="16" t="s">
        <v>6062</v>
      </c>
      <c r="G283" s="22" t="s">
        <v>6062</v>
      </c>
      <c r="H283" s="16">
        <v>875.0</v>
      </c>
      <c r="I283" s="84">
        <v>0.5</v>
      </c>
      <c r="J283" s="96">
        <v>884.0</v>
      </c>
      <c r="K283" s="22">
        <v>5990.0</v>
      </c>
      <c r="L283" s="22">
        <v>2990.0</v>
      </c>
      <c r="M283" s="96">
        <v>3524.0</v>
      </c>
      <c r="N283" s="96">
        <v>1759.0</v>
      </c>
      <c r="O283" s="84">
        <v>0.3</v>
      </c>
      <c r="P283" s="84">
        <v>0.3</v>
      </c>
      <c r="Q283" s="133" t="s">
        <v>134</v>
      </c>
      <c r="R283" s="84">
        <v>0.65</v>
      </c>
      <c r="S283" s="84">
        <v>0.42</v>
      </c>
      <c r="T283" s="37"/>
      <c r="U283" s="37"/>
    </row>
    <row r="284">
      <c r="A284" s="134" t="s">
        <v>6040</v>
      </c>
      <c r="B284" s="16" t="s">
        <v>5821</v>
      </c>
      <c r="C284" s="89">
        <v>134511.0</v>
      </c>
      <c r="D284" s="16" t="s">
        <v>5846</v>
      </c>
      <c r="E284" s="16" t="s">
        <v>5846</v>
      </c>
      <c r="F284" s="16" t="s">
        <v>6063</v>
      </c>
      <c r="G284" s="22" t="s">
        <v>6063</v>
      </c>
      <c r="H284" s="22">
        <v>1181.0</v>
      </c>
      <c r="I284" s="84">
        <v>0.5</v>
      </c>
      <c r="J284" s="96">
        <v>1166.0</v>
      </c>
      <c r="K284" s="22">
        <v>6990.0</v>
      </c>
      <c r="L284" s="22">
        <v>3990.0</v>
      </c>
      <c r="M284" s="96">
        <v>4112.0</v>
      </c>
      <c r="N284" s="96">
        <v>2347.0</v>
      </c>
      <c r="O284" s="84">
        <v>0.3</v>
      </c>
      <c r="P284" s="84">
        <v>0.3</v>
      </c>
      <c r="Q284" s="133" t="s">
        <v>134</v>
      </c>
      <c r="R284" s="84">
        <v>0.65</v>
      </c>
      <c r="S284" s="84">
        <v>0.42</v>
      </c>
      <c r="T284" s="37"/>
      <c r="U284" s="37"/>
    </row>
    <row r="285">
      <c r="A285" s="134" t="s">
        <v>6040</v>
      </c>
      <c r="B285" s="16" t="s">
        <v>5990</v>
      </c>
      <c r="C285" s="89">
        <v>6.73692043E8</v>
      </c>
      <c r="D285" s="16" t="s">
        <v>5853</v>
      </c>
      <c r="E285" s="16" t="s">
        <v>5853</v>
      </c>
      <c r="F285" s="16" t="s">
        <v>6064</v>
      </c>
      <c r="G285" s="22" t="s">
        <v>6064</v>
      </c>
      <c r="H285" s="22">
        <v>1320.0</v>
      </c>
      <c r="I285" s="84">
        <v>0.44</v>
      </c>
      <c r="J285" s="96">
        <v>1027.0</v>
      </c>
      <c r="K285" s="22">
        <v>6990.0</v>
      </c>
      <c r="L285" s="22">
        <v>3990.0</v>
      </c>
      <c r="M285" s="96">
        <v>4112.0</v>
      </c>
      <c r="N285" s="96">
        <v>2347.0</v>
      </c>
      <c r="O285" s="84">
        <v>0.3</v>
      </c>
      <c r="P285" s="84">
        <v>0.3</v>
      </c>
      <c r="Q285" s="133" t="s">
        <v>134</v>
      </c>
      <c r="R285" s="84">
        <v>0.61</v>
      </c>
      <c r="S285" s="84">
        <v>0.38</v>
      </c>
      <c r="T285" s="37"/>
      <c r="U285" s="37"/>
    </row>
    <row r="286">
      <c r="A286" s="134" t="s">
        <v>6040</v>
      </c>
      <c r="B286" s="16" t="s">
        <v>5777</v>
      </c>
      <c r="C286" s="89">
        <v>75429.0</v>
      </c>
      <c r="D286" s="16" t="s">
        <v>5846</v>
      </c>
      <c r="E286" s="16" t="s">
        <v>5846</v>
      </c>
      <c r="F286" s="16" t="s">
        <v>6065</v>
      </c>
      <c r="G286" s="22" t="s">
        <v>6065</v>
      </c>
      <c r="H286" s="22">
        <v>4281.0</v>
      </c>
      <c r="I286" s="84">
        <v>0.27</v>
      </c>
      <c r="J286" s="96">
        <v>1595.0</v>
      </c>
      <c r="K286" s="22">
        <v>15990.0</v>
      </c>
      <c r="L286" s="22">
        <v>9990.0</v>
      </c>
      <c r="M286" s="96">
        <v>9406.0</v>
      </c>
      <c r="N286" s="96">
        <v>5876.0</v>
      </c>
      <c r="O286" s="84">
        <v>0.3</v>
      </c>
      <c r="P286" s="84">
        <v>0.3</v>
      </c>
      <c r="Q286" s="133" t="s">
        <v>134</v>
      </c>
      <c r="R286" s="84">
        <v>0.49</v>
      </c>
      <c r="S286" s="84">
        <v>0.26</v>
      </c>
      <c r="T286" s="90"/>
      <c r="U286" s="90"/>
    </row>
    <row r="287">
      <c r="A287" s="134" t="s">
        <v>6040</v>
      </c>
      <c r="B287" s="16" t="s">
        <v>5738</v>
      </c>
      <c r="C287" s="89">
        <v>115189.0</v>
      </c>
      <c r="D287" s="16" t="s">
        <v>5846</v>
      </c>
      <c r="E287" s="16" t="s">
        <v>5846</v>
      </c>
      <c r="F287" s="16" t="s">
        <v>6066</v>
      </c>
      <c r="G287" s="22" t="s">
        <v>6066</v>
      </c>
      <c r="H287" s="22">
        <v>1320.0</v>
      </c>
      <c r="I287" s="84">
        <v>0.44</v>
      </c>
      <c r="J287" s="96">
        <v>1027.0</v>
      </c>
      <c r="K287" s="22">
        <v>6990.0</v>
      </c>
      <c r="L287" s="22">
        <v>3990.0</v>
      </c>
      <c r="M287" s="96">
        <v>4112.0</v>
      </c>
      <c r="N287" s="96">
        <v>2347.0</v>
      </c>
      <c r="O287" s="84">
        <v>0.3</v>
      </c>
      <c r="P287" s="84">
        <v>0.3</v>
      </c>
      <c r="Q287" s="133" t="s">
        <v>134</v>
      </c>
      <c r="R287" s="84">
        <v>0.61</v>
      </c>
      <c r="S287" s="84">
        <v>0.38</v>
      </c>
      <c r="T287" s="37"/>
      <c r="U287" s="37"/>
    </row>
    <row r="288">
      <c r="A288" s="134" t="s">
        <v>6040</v>
      </c>
      <c r="B288" s="16" t="s">
        <v>5777</v>
      </c>
      <c r="C288" s="89">
        <v>77919.0</v>
      </c>
      <c r="D288" s="16" t="s">
        <v>5846</v>
      </c>
      <c r="E288" s="16" t="s">
        <v>5846</v>
      </c>
      <c r="F288" s="16" t="s">
        <v>6067</v>
      </c>
      <c r="G288" s="22" t="s">
        <v>6067</v>
      </c>
      <c r="H288" s="22">
        <v>1676.0</v>
      </c>
      <c r="I288" s="84">
        <v>0.43</v>
      </c>
      <c r="J288" s="96">
        <v>1259.0</v>
      </c>
      <c r="K288" s="22">
        <v>8990.0</v>
      </c>
      <c r="L288" s="22">
        <v>4990.0</v>
      </c>
      <c r="M288" s="96">
        <v>5288.0</v>
      </c>
      <c r="N288" s="96">
        <v>2935.0</v>
      </c>
      <c r="O288" s="84">
        <v>0.3</v>
      </c>
      <c r="P288" s="84">
        <v>0.3</v>
      </c>
      <c r="Q288" s="133" t="s">
        <v>134</v>
      </c>
      <c r="R288" s="84">
        <v>0.6</v>
      </c>
      <c r="S288" s="84">
        <v>0.37</v>
      </c>
      <c r="T288" s="37"/>
      <c r="U288" s="37"/>
    </row>
    <row r="289">
      <c r="A289" s="134" t="s">
        <v>6040</v>
      </c>
      <c r="B289" s="16" t="s">
        <v>5738</v>
      </c>
      <c r="C289" s="16" t="s">
        <v>6068</v>
      </c>
      <c r="D289" s="16" t="s">
        <v>5878</v>
      </c>
      <c r="E289" s="16" t="s">
        <v>5878</v>
      </c>
      <c r="F289" s="16" t="s">
        <v>6069</v>
      </c>
      <c r="G289" s="22" t="s">
        <v>6069</v>
      </c>
      <c r="H289" s="22">
        <v>1873.0</v>
      </c>
      <c r="I289" s="84">
        <v>0.36</v>
      </c>
      <c r="J289" s="96">
        <v>1062.0</v>
      </c>
      <c r="K289" s="22">
        <v>8990.0</v>
      </c>
      <c r="L289" s="22">
        <v>4990.0</v>
      </c>
      <c r="M289" s="96">
        <v>5288.0</v>
      </c>
      <c r="N289" s="96">
        <v>2935.0</v>
      </c>
      <c r="O289" s="84">
        <v>0.3</v>
      </c>
      <c r="P289" s="84">
        <v>0.3</v>
      </c>
      <c r="Q289" s="133" t="s">
        <v>134</v>
      </c>
      <c r="R289" s="84">
        <v>0.55</v>
      </c>
      <c r="S289" s="84">
        <v>0.32</v>
      </c>
      <c r="T289" s="37"/>
      <c r="U289" s="37"/>
    </row>
    <row r="290">
      <c r="A290" s="134" t="s">
        <v>6040</v>
      </c>
      <c r="B290" s="16" t="s">
        <v>5738</v>
      </c>
      <c r="C290" s="19" t="s">
        <v>6070</v>
      </c>
      <c r="D290" s="16" t="s">
        <v>5805</v>
      </c>
      <c r="E290" s="16" t="s">
        <v>5805</v>
      </c>
      <c r="F290" s="16" t="s">
        <v>6071</v>
      </c>
      <c r="G290" s="22" t="s">
        <v>6072</v>
      </c>
      <c r="H290" s="22">
        <v>3667.0</v>
      </c>
      <c r="I290" s="84">
        <v>0.31</v>
      </c>
      <c r="J290" s="96">
        <v>1621.0</v>
      </c>
      <c r="K290" s="22">
        <v>14990.0</v>
      </c>
      <c r="L290" s="22">
        <v>8990.0</v>
      </c>
      <c r="M290" s="96">
        <v>8818.0</v>
      </c>
      <c r="N290" s="96">
        <v>5288.0</v>
      </c>
      <c r="O290" s="84">
        <v>0.3</v>
      </c>
      <c r="P290" s="84">
        <v>0.3</v>
      </c>
      <c r="Q290" s="133" t="s">
        <v>134</v>
      </c>
      <c r="R290" s="84">
        <v>0.51</v>
      </c>
      <c r="S290" s="84">
        <v>0.28</v>
      </c>
      <c r="T290" s="37"/>
      <c r="U290" s="37"/>
    </row>
    <row r="291">
      <c r="A291" s="134" t="s">
        <v>6040</v>
      </c>
      <c r="B291" s="16" t="s">
        <v>5738</v>
      </c>
      <c r="C291" s="19" t="s">
        <v>6073</v>
      </c>
      <c r="D291" s="16" t="s">
        <v>5805</v>
      </c>
      <c r="E291" s="16" t="s">
        <v>5805</v>
      </c>
      <c r="F291" s="16" t="s">
        <v>6071</v>
      </c>
      <c r="G291" s="22" t="s">
        <v>6074</v>
      </c>
      <c r="H291" s="22">
        <v>3667.0</v>
      </c>
      <c r="I291" s="84">
        <v>0.31</v>
      </c>
      <c r="J291" s="96">
        <v>1621.0</v>
      </c>
      <c r="K291" s="22">
        <v>14990.0</v>
      </c>
      <c r="L291" s="22">
        <v>8990.0</v>
      </c>
      <c r="M291" s="96">
        <v>8818.0</v>
      </c>
      <c r="N291" s="96">
        <v>5288.0</v>
      </c>
      <c r="O291" s="84">
        <v>0.3</v>
      </c>
      <c r="P291" s="84">
        <v>0.3</v>
      </c>
      <c r="Q291" s="133" t="s">
        <v>134</v>
      </c>
      <c r="R291" s="84">
        <v>0.51</v>
      </c>
      <c r="S291" s="84">
        <v>0.28</v>
      </c>
      <c r="T291" s="37"/>
      <c r="U291" s="37"/>
    </row>
    <row r="292">
      <c r="A292" s="134" t="s">
        <v>6040</v>
      </c>
      <c r="B292" s="16" t="s">
        <v>5738</v>
      </c>
      <c r="C292" s="19" t="s">
        <v>6075</v>
      </c>
      <c r="D292" s="16" t="s">
        <v>5805</v>
      </c>
      <c r="E292" s="16" t="s">
        <v>5805</v>
      </c>
      <c r="F292" s="16" t="s">
        <v>6071</v>
      </c>
      <c r="G292" s="22" t="s">
        <v>6076</v>
      </c>
      <c r="H292" s="22">
        <v>3667.0</v>
      </c>
      <c r="I292" s="84">
        <v>0.31</v>
      </c>
      <c r="J292" s="96">
        <v>1621.0</v>
      </c>
      <c r="K292" s="22">
        <v>14990.0</v>
      </c>
      <c r="L292" s="22">
        <v>8990.0</v>
      </c>
      <c r="M292" s="96">
        <v>8818.0</v>
      </c>
      <c r="N292" s="96">
        <v>5288.0</v>
      </c>
      <c r="O292" s="84">
        <v>0.3</v>
      </c>
      <c r="P292" s="84">
        <v>0.3</v>
      </c>
      <c r="Q292" s="133" t="s">
        <v>134</v>
      </c>
      <c r="R292" s="84">
        <v>0.51</v>
      </c>
      <c r="S292" s="84">
        <v>0.28</v>
      </c>
      <c r="T292" s="90"/>
      <c r="U292" s="90"/>
    </row>
    <row r="293">
      <c r="A293" s="134" t="s">
        <v>6040</v>
      </c>
      <c r="B293" s="16" t="s">
        <v>5738</v>
      </c>
      <c r="C293" s="89">
        <v>146607.0</v>
      </c>
      <c r="D293" s="16" t="s">
        <v>5846</v>
      </c>
      <c r="E293" s="16" t="s">
        <v>5846</v>
      </c>
      <c r="F293" s="16" t="s">
        <v>6077</v>
      </c>
      <c r="G293" s="22" t="s">
        <v>6077</v>
      </c>
      <c r="H293" s="22">
        <v>4174.0</v>
      </c>
      <c r="I293" s="84">
        <v>0.29</v>
      </c>
      <c r="J293" s="96">
        <v>1702.0</v>
      </c>
      <c r="K293" s="22">
        <v>15990.0</v>
      </c>
      <c r="L293" s="22">
        <v>9990.0</v>
      </c>
      <c r="M293" s="96">
        <v>9406.0</v>
      </c>
      <c r="N293" s="96">
        <v>5876.0</v>
      </c>
      <c r="O293" s="84">
        <v>0.3</v>
      </c>
      <c r="P293" s="84">
        <v>0.3</v>
      </c>
      <c r="Q293" s="133" t="s">
        <v>134</v>
      </c>
      <c r="R293" s="84">
        <v>0.5</v>
      </c>
      <c r="S293" s="84">
        <v>0.27</v>
      </c>
      <c r="T293" s="37"/>
      <c r="U293" s="37"/>
    </row>
    <row r="294">
      <c r="A294" s="134" t="s">
        <v>6040</v>
      </c>
      <c r="B294" s="16" t="s">
        <v>5738</v>
      </c>
      <c r="C294" s="16" t="s">
        <v>6078</v>
      </c>
      <c r="D294" s="16" t="s">
        <v>5878</v>
      </c>
      <c r="E294" s="16" t="s">
        <v>5878</v>
      </c>
      <c r="F294" s="16" t="s">
        <v>6079</v>
      </c>
      <c r="G294" s="22" t="s">
        <v>6079</v>
      </c>
      <c r="H294" s="22">
        <v>5372.0</v>
      </c>
      <c r="I294" s="84">
        <v>0.3</v>
      </c>
      <c r="J294" s="96">
        <v>2269.0</v>
      </c>
      <c r="K294" s="22">
        <v>20990.0</v>
      </c>
      <c r="L294" s="22">
        <v>12990.0</v>
      </c>
      <c r="M294" s="96">
        <v>12347.0</v>
      </c>
      <c r="N294" s="96">
        <v>7641.0</v>
      </c>
      <c r="O294" s="84">
        <v>0.3</v>
      </c>
      <c r="P294" s="84">
        <v>0.3</v>
      </c>
      <c r="Q294" s="133" t="s">
        <v>20</v>
      </c>
      <c r="R294" s="84">
        <v>0.51</v>
      </c>
      <c r="S294" s="84">
        <v>0.28</v>
      </c>
      <c r="T294" s="37"/>
      <c r="U294" s="37"/>
    </row>
    <row r="295">
      <c r="A295" s="134" t="s">
        <v>6040</v>
      </c>
      <c r="B295" s="16" t="s">
        <v>5777</v>
      </c>
      <c r="C295" s="89">
        <v>72662.0</v>
      </c>
      <c r="D295" s="16" t="s">
        <v>5871</v>
      </c>
      <c r="E295" s="16" t="s">
        <v>5871</v>
      </c>
      <c r="F295" s="16" t="s">
        <v>6080</v>
      </c>
      <c r="G295" s="22" t="s">
        <v>6080</v>
      </c>
      <c r="H295" s="22">
        <v>2439.0</v>
      </c>
      <c r="I295" s="84">
        <v>0.31</v>
      </c>
      <c r="J295" s="96">
        <v>1085.0</v>
      </c>
      <c r="K295" s="22">
        <v>9990.0</v>
      </c>
      <c r="L295" s="22">
        <v>5990.0</v>
      </c>
      <c r="M295" s="96">
        <v>5876.0</v>
      </c>
      <c r="N295" s="96">
        <v>3524.0</v>
      </c>
      <c r="O295" s="84">
        <v>0.3</v>
      </c>
      <c r="P295" s="84">
        <v>0.3</v>
      </c>
      <c r="Q295" s="133" t="s">
        <v>134</v>
      </c>
      <c r="R295" s="84">
        <v>0.52</v>
      </c>
      <c r="S295" s="84">
        <v>0.29</v>
      </c>
      <c r="T295" s="37"/>
      <c r="U295" s="37"/>
    </row>
    <row r="296">
      <c r="A296" s="134" t="s">
        <v>6040</v>
      </c>
      <c r="B296" s="16" t="s">
        <v>5821</v>
      </c>
      <c r="C296" s="16" t="s">
        <v>6081</v>
      </c>
      <c r="D296" s="16" t="s">
        <v>5858</v>
      </c>
      <c r="E296" s="16" t="s">
        <v>5858</v>
      </c>
      <c r="F296" s="16" t="s">
        <v>6082</v>
      </c>
      <c r="G296" s="22" t="s">
        <v>6082</v>
      </c>
      <c r="H296" s="22">
        <v>4240.0</v>
      </c>
      <c r="I296" s="84">
        <v>0.28</v>
      </c>
      <c r="J296" s="96">
        <v>1636.0</v>
      </c>
      <c r="K296" s="22">
        <v>15990.0</v>
      </c>
      <c r="L296" s="22">
        <v>9990.0</v>
      </c>
      <c r="M296" s="96">
        <v>9406.0</v>
      </c>
      <c r="N296" s="96">
        <v>5876.0</v>
      </c>
      <c r="O296" s="84">
        <v>0.3</v>
      </c>
      <c r="P296" s="84">
        <v>0.3</v>
      </c>
      <c r="Q296" s="133" t="s">
        <v>134</v>
      </c>
      <c r="R296" s="84">
        <v>0.49</v>
      </c>
      <c r="S296" s="84">
        <v>0.26</v>
      </c>
      <c r="T296" s="37"/>
      <c r="U296" s="37"/>
    </row>
    <row r="297">
      <c r="A297" s="134" t="s">
        <v>6040</v>
      </c>
      <c r="B297" s="16" t="s">
        <v>5738</v>
      </c>
      <c r="C297" s="89">
        <v>202590.0</v>
      </c>
      <c r="D297" s="16" t="s">
        <v>5846</v>
      </c>
      <c r="E297" s="16" t="s">
        <v>5846</v>
      </c>
      <c r="F297" s="16" t="s">
        <v>6083</v>
      </c>
      <c r="G297" s="22" t="s">
        <v>6083</v>
      </c>
      <c r="H297" s="22">
        <v>5038.0</v>
      </c>
      <c r="I297" s="84">
        <v>0.29</v>
      </c>
      <c r="J297" s="96">
        <v>2015.0</v>
      </c>
      <c r="K297" s="22">
        <v>18990.0</v>
      </c>
      <c r="L297" s="22">
        <v>11990.0</v>
      </c>
      <c r="M297" s="96">
        <v>11171.0</v>
      </c>
      <c r="N297" s="96">
        <v>7053.0</v>
      </c>
      <c r="O297" s="84">
        <v>0.3</v>
      </c>
      <c r="P297" s="84">
        <v>0.3</v>
      </c>
      <c r="Q297" s="133" t="s">
        <v>20</v>
      </c>
      <c r="R297" s="84">
        <v>0.5</v>
      </c>
      <c r="S297" s="84">
        <v>0.27</v>
      </c>
      <c r="T297" s="37"/>
      <c r="U297" s="37"/>
    </row>
    <row r="298">
      <c r="A298" s="134" t="s">
        <v>6040</v>
      </c>
      <c r="B298" s="16" t="s">
        <v>5777</v>
      </c>
      <c r="C298" s="89">
        <v>77900.0</v>
      </c>
      <c r="D298" s="16" t="s">
        <v>5846</v>
      </c>
      <c r="E298" s="16" t="s">
        <v>5846</v>
      </c>
      <c r="F298" s="16" t="s">
        <v>6084</v>
      </c>
      <c r="G298" s="22" t="s">
        <v>6084</v>
      </c>
      <c r="H298" s="22">
        <v>1459.0</v>
      </c>
      <c r="I298" s="84">
        <v>0.38</v>
      </c>
      <c r="J298" s="96">
        <v>888.0</v>
      </c>
      <c r="K298" s="22">
        <v>6990.0</v>
      </c>
      <c r="L298" s="22">
        <v>3990.0</v>
      </c>
      <c r="M298" s="96">
        <v>4112.0</v>
      </c>
      <c r="N298" s="96">
        <v>2347.0</v>
      </c>
      <c r="O298" s="84">
        <v>0.3</v>
      </c>
      <c r="P298" s="84">
        <v>0.3</v>
      </c>
      <c r="Q298" s="133" t="s">
        <v>134</v>
      </c>
      <c r="R298" s="84">
        <v>0.56</v>
      </c>
      <c r="S298" s="84">
        <v>0.33</v>
      </c>
      <c r="T298" s="37"/>
      <c r="U298" s="37"/>
    </row>
    <row r="299">
      <c r="A299" s="134" t="s">
        <v>6040</v>
      </c>
      <c r="B299" s="16" t="s">
        <v>5738</v>
      </c>
      <c r="C299" s="89">
        <v>188441.0</v>
      </c>
      <c r="D299" s="16" t="s">
        <v>5805</v>
      </c>
      <c r="E299" s="16" t="s">
        <v>5805</v>
      </c>
      <c r="F299" s="16" t="s">
        <v>6085</v>
      </c>
      <c r="G299" s="22" t="s">
        <v>6085</v>
      </c>
      <c r="H299" s="22">
        <v>7161.0</v>
      </c>
      <c r="I299" s="84">
        <v>0.28</v>
      </c>
      <c r="J299" s="96">
        <v>2833.0</v>
      </c>
      <c r="K299" s="22">
        <v>26990.0</v>
      </c>
      <c r="L299" s="22">
        <v>16990.0</v>
      </c>
      <c r="M299" s="96">
        <v>15876.0</v>
      </c>
      <c r="N299" s="96">
        <v>9994.0</v>
      </c>
      <c r="O299" s="84">
        <v>0.3</v>
      </c>
      <c r="P299" s="84">
        <v>0.3</v>
      </c>
      <c r="Q299" s="133" t="s">
        <v>134</v>
      </c>
      <c r="R299" s="84">
        <v>0.5</v>
      </c>
      <c r="S299" s="84">
        <v>0.27</v>
      </c>
      <c r="T299" s="37"/>
      <c r="U299" s="37"/>
    </row>
    <row r="300">
      <c r="A300" s="134" t="s">
        <v>6040</v>
      </c>
      <c r="B300" s="16" t="s">
        <v>5777</v>
      </c>
      <c r="C300" s="89">
        <v>73568.0</v>
      </c>
      <c r="D300" s="16" t="s">
        <v>5871</v>
      </c>
      <c r="E300" s="16" t="s">
        <v>5871</v>
      </c>
      <c r="F300" s="16" t="s">
        <v>6086</v>
      </c>
      <c r="G300" s="22" t="s">
        <v>6086</v>
      </c>
      <c r="H300" s="22">
        <v>2110.0</v>
      </c>
      <c r="I300" s="84">
        <v>0.4</v>
      </c>
      <c r="J300" s="96">
        <v>1414.0</v>
      </c>
      <c r="K300" s="22">
        <v>9990.0</v>
      </c>
      <c r="L300" s="22">
        <v>5990.0</v>
      </c>
      <c r="M300" s="96">
        <v>5876.0</v>
      </c>
      <c r="N300" s="96">
        <v>3524.0</v>
      </c>
      <c r="O300" s="84">
        <v>0.3</v>
      </c>
      <c r="P300" s="84">
        <v>0.3</v>
      </c>
      <c r="Q300" s="133" t="s">
        <v>134</v>
      </c>
      <c r="R300" s="84">
        <v>0.58</v>
      </c>
      <c r="S300" s="84">
        <v>0.35</v>
      </c>
      <c r="T300" s="37"/>
      <c r="U300" s="37"/>
    </row>
    <row r="301">
      <c r="A301" s="134" t="s">
        <v>6040</v>
      </c>
      <c r="B301" s="16" t="s">
        <v>5821</v>
      </c>
      <c r="C301" s="89">
        <v>125366.0</v>
      </c>
      <c r="D301" s="16" t="s">
        <v>5842</v>
      </c>
      <c r="E301" s="16" t="s">
        <v>5842</v>
      </c>
      <c r="F301" s="16" t="s">
        <v>6087</v>
      </c>
      <c r="G301" s="22" t="s">
        <v>6087</v>
      </c>
      <c r="H301" s="22">
        <v>5156.0</v>
      </c>
      <c r="I301" s="84">
        <v>0.27</v>
      </c>
      <c r="J301" s="96">
        <v>1897.0</v>
      </c>
      <c r="K301" s="22">
        <v>18990.0</v>
      </c>
      <c r="L301" s="22">
        <v>11990.0</v>
      </c>
      <c r="M301" s="96">
        <v>11171.0</v>
      </c>
      <c r="N301" s="96">
        <v>7053.0</v>
      </c>
      <c r="O301" s="84">
        <v>0.3</v>
      </c>
      <c r="P301" s="84">
        <v>0.3</v>
      </c>
      <c r="Q301" s="133" t="s">
        <v>20</v>
      </c>
      <c r="R301" s="84">
        <v>0.49</v>
      </c>
      <c r="S301" s="84">
        <v>0.26</v>
      </c>
      <c r="T301" s="37"/>
      <c r="U301" s="37"/>
    </row>
    <row r="302">
      <c r="A302" s="134" t="s">
        <v>6040</v>
      </c>
      <c r="B302" s="16" t="s">
        <v>5777</v>
      </c>
      <c r="C302" s="89">
        <v>72651.0</v>
      </c>
      <c r="D302" s="16" t="s">
        <v>5871</v>
      </c>
      <c r="E302" s="16" t="s">
        <v>5871</v>
      </c>
      <c r="F302" s="16" t="s">
        <v>6088</v>
      </c>
      <c r="G302" s="22" t="s">
        <v>6088</v>
      </c>
      <c r="H302" s="22">
        <v>2439.0</v>
      </c>
      <c r="I302" s="84">
        <v>0.31</v>
      </c>
      <c r="J302" s="96">
        <v>1085.0</v>
      </c>
      <c r="K302" s="22">
        <v>9990.0</v>
      </c>
      <c r="L302" s="22">
        <v>5990.0</v>
      </c>
      <c r="M302" s="96">
        <v>5876.0</v>
      </c>
      <c r="N302" s="96">
        <v>3524.0</v>
      </c>
      <c r="O302" s="84">
        <v>0.3</v>
      </c>
      <c r="P302" s="84">
        <v>0.3</v>
      </c>
      <c r="Q302" s="133" t="s">
        <v>134</v>
      </c>
      <c r="R302" s="84">
        <v>0.52</v>
      </c>
      <c r="S302" s="84">
        <v>0.29</v>
      </c>
      <c r="T302" s="37"/>
      <c r="U302" s="37"/>
    </row>
    <row r="303">
      <c r="A303" s="134" t="s">
        <v>6040</v>
      </c>
      <c r="B303" s="16" t="s">
        <v>5777</v>
      </c>
      <c r="C303" s="89">
        <v>73545.0</v>
      </c>
      <c r="D303" s="16" t="s">
        <v>5878</v>
      </c>
      <c r="E303" s="16" t="s">
        <v>5878</v>
      </c>
      <c r="F303" s="16" t="s">
        <v>6089</v>
      </c>
      <c r="G303" s="22" t="s">
        <v>6089</v>
      </c>
      <c r="H303" s="22">
        <v>1806.0</v>
      </c>
      <c r="I303" s="84">
        <v>0.38</v>
      </c>
      <c r="J303" s="96">
        <v>1129.0</v>
      </c>
      <c r="K303" s="22">
        <v>8990.0</v>
      </c>
      <c r="L303" s="22">
        <v>4990.0</v>
      </c>
      <c r="M303" s="96">
        <v>5288.0</v>
      </c>
      <c r="N303" s="96">
        <v>2935.0</v>
      </c>
      <c r="O303" s="84">
        <v>0.3</v>
      </c>
      <c r="P303" s="84">
        <v>0.3</v>
      </c>
      <c r="Q303" s="133" t="s">
        <v>134</v>
      </c>
      <c r="R303" s="84">
        <v>0.57</v>
      </c>
      <c r="S303" s="84">
        <v>0.34</v>
      </c>
    </row>
    <row r="304">
      <c r="A304" s="134" t="s">
        <v>6040</v>
      </c>
      <c r="B304" s="16" t="s">
        <v>5738</v>
      </c>
      <c r="C304" s="89">
        <v>119667.0</v>
      </c>
      <c r="D304" s="16" t="s">
        <v>5846</v>
      </c>
      <c r="E304" s="16" t="s">
        <v>5846</v>
      </c>
      <c r="F304" s="16" t="s">
        <v>6090</v>
      </c>
      <c r="G304" s="22" t="s">
        <v>6090</v>
      </c>
      <c r="H304" s="22">
        <v>4240.0</v>
      </c>
      <c r="I304" s="84">
        <v>0.28</v>
      </c>
      <c r="J304" s="96">
        <v>1636.0</v>
      </c>
      <c r="K304" s="22">
        <v>15990.0</v>
      </c>
      <c r="L304" s="22">
        <v>9990.0</v>
      </c>
      <c r="M304" s="96">
        <v>9406.0</v>
      </c>
      <c r="N304" s="96">
        <v>5876.0</v>
      </c>
      <c r="O304" s="84">
        <v>0.3</v>
      </c>
      <c r="P304" s="84">
        <v>0.3</v>
      </c>
      <c r="Q304" s="133" t="s">
        <v>134</v>
      </c>
      <c r="R304" s="84">
        <v>0.49</v>
      </c>
      <c r="S304" s="84">
        <v>0.26</v>
      </c>
    </row>
    <row r="305">
      <c r="A305" s="134" t="s">
        <v>6040</v>
      </c>
      <c r="B305" s="16" t="s">
        <v>5738</v>
      </c>
      <c r="C305" s="89">
        <v>119673.0</v>
      </c>
      <c r="D305" s="16" t="s">
        <v>5846</v>
      </c>
      <c r="E305" s="16" t="s">
        <v>5846</v>
      </c>
      <c r="F305" s="16" t="s">
        <v>6091</v>
      </c>
      <c r="G305" s="22" t="s">
        <v>6091</v>
      </c>
      <c r="H305" s="22">
        <v>2291.0</v>
      </c>
      <c r="I305" s="84">
        <v>0.35</v>
      </c>
      <c r="J305" s="96">
        <v>1233.0</v>
      </c>
      <c r="K305" s="22">
        <v>9990.0</v>
      </c>
      <c r="L305" s="22">
        <v>5990.0</v>
      </c>
      <c r="M305" s="96">
        <v>5876.0</v>
      </c>
      <c r="N305" s="96">
        <v>3524.0</v>
      </c>
      <c r="O305" s="84">
        <v>0.3</v>
      </c>
      <c r="P305" s="84">
        <v>0.3</v>
      </c>
      <c r="Q305" s="133" t="s">
        <v>134</v>
      </c>
      <c r="R305" s="84">
        <v>0.54</v>
      </c>
      <c r="S305" s="84">
        <v>0.31</v>
      </c>
    </row>
    <row r="306">
      <c r="A306" s="134" t="s">
        <v>6040</v>
      </c>
      <c r="B306" s="16" t="s">
        <v>5821</v>
      </c>
      <c r="C306" s="89">
        <v>150285.0</v>
      </c>
      <c r="D306" s="16" t="s">
        <v>5858</v>
      </c>
      <c r="E306" s="16" t="s">
        <v>5858</v>
      </c>
      <c r="F306" s="16" t="s">
        <v>6092</v>
      </c>
      <c r="G306" s="22" t="s">
        <v>6092</v>
      </c>
      <c r="H306" s="22">
        <v>4943.0</v>
      </c>
      <c r="I306" s="84">
        <v>0.3</v>
      </c>
      <c r="J306" s="96">
        <v>2110.0</v>
      </c>
      <c r="K306" s="22">
        <v>18990.0</v>
      </c>
      <c r="L306" s="22">
        <v>11990.0</v>
      </c>
      <c r="M306" s="96">
        <v>11171.0</v>
      </c>
      <c r="N306" s="96">
        <v>7053.0</v>
      </c>
      <c r="O306" s="84">
        <v>0.3</v>
      </c>
      <c r="P306" s="84">
        <v>0.3</v>
      </c>
      <c r="Q306" s="133" t="s">
        <v>20</v>
      </c>
      <c r="R306" s="84">
        <v>0.51</v>
      </c>
      <c r="S306" s="84">
        <v>0.28</v>
      </c>
    </row>
    <row r="307">
      <c r="A307" s="134" t="s">
        <v>6040</v>
      </c>
      <c r="B307" s="16" t="s">
        <v>5713</v>
      </c>
      <c r="C307" s="89">
        <v>163957.0</v>
      </c>
      <c r="D307" s="16" t="s">
        <v>5874</v>
      </c>
      <c r="E307" s="16" t="s">
        <v>5874</v>
      </c>
      <c r="F307" s="16" t="s">
        <v>6093</v>
      </c>
      <c r="G307" s="22" t="s">
        <v>6093</v>
      </c>
      <c r="H307" s="22">
        <v>8039.0</v>
      </c>
      <c r="I307" s="84">
        <v>0.28</v>
      </c>
      <c r="J307" s="96">
        <v>3132.0</v>
      </c>
      <c r="K307" s="22">
        <v>29990.0</v>
      </c>
      <c r="L307" s="22">
        <v>18990.0</v>
      </c>
      <c r="M307" s="96">
        <v>17641.0</v>
      </c>
      <c r="N307" s="96">
        <v>11171.0</v>
      </c>
      <c r="O307" s="84">
        <v>0.3</v>
      </c>
      <c r="P307" s="84">
        <v>0.3</v>
      </c>
      <c r="Q307" s="133" t="s">
        <v>20</v>
      </c>
      <c r="R307" s="84">
        <v>0.5</v>
      </c>
      <c r="S307" s="84">
        <v>0.27</v>
      </c>
    </row>
    <row r="308">
      <c r="A308" s="134" t="s">
        <v>6040</v>
      </c>
      <c r="B308" s="16" t="s">
        <v>5852</v>
      </c>
      <c r="C308" s="89">
        <v>751835.0</v>
      </c>
      <c r="D308" s="16" t="s">
        <v>5853</v>
      </c>
      <c r="E308" s="16" t="s">
        <v>5853</v>
      </c>
      <c r="F308" s="16" t="s">
        <v>6094</v>
      </c>
      <c r="G308" s="22" t="s">
        <v>6094</v>
      </c>
      <c r="H308" s="22">
        <v>9345.0</v>
      </c>
      <c r="I308" s="84">
        <v>0.28</v>
      </c>
      <c r="J308" s="96">
        <v>3590.0</v>
      </c>
      <c r="K308" s="22">
        <v>33990.0</v>
      </c>
      <c r="L308" s="22">
        <v>21990.0</v>
      </c>
      <c r="M308" s="96">
        <v>19994.0</v>
      </c>
      <c r="N308" s="96">
        <v>12935.0</v>
      </c>
      <c r="O308" s="84">
        <v>0.3</v>
      </c>
      <c r="P308" s="84">
        <v>0.3</v>
      </c>
      <c r="Q308" s="133" t="s">
        <v>20</v>
      </c>
      <c r="R308" s="84">
        <v>0.49</v>
      </c>
      <c r="S308" s="84">
        <v>0.26</v>
      </c>
    </row>
    <row r="309">
      <c r="A309" s="134" t="s">
        <v>6040</v>
      </c>
      <c r="B309" s="16" t="s">
        <v>5713</v>
      </c>
      <c r="C309" s="16" t="s">
        <v>6095</v>
      </c>
      <c r="D309" s="16" t="s">
        <v>5874</v>
      </c>
      <c r="E309" s="16" t="s">
        <v>5874</v>
      </c>
      <c r="F309" s="16" t="s">
        <v>6096</v>
      </c>
      <c r="G309" s="22" t="s">
        <v>6096</v>
      </c>
      <c r="H309" s="22">
        <v>2628.0</v>
      </c>
      <c r="I309" s="84">
        <v>0.36</v>
      </c>
      <c r="J309" s="96">
        <v>1484.0</v>
      </c>
      <c r="K309" s="22">
        <v>11990.0</v>
      </c>
      <c r="L309" s="22">
        <v>6990.0</v>
      </c>
      <c r="M309" s="96">
        <v>7053.0</v>
      </c>
      <c r="N309" s="96">
        <v>4112.0</v>
      </c>
      <c r="O309" s="84">
        <v>0.3</v>
      </c>
      <c r="P309" s="84">
        <v>0.3</v>
      </c>
      <c r="Q309" s="133" t="s">
        <v>134</v>
      </c>
      <c r="R309" s="84">
        <v>0.55</v>
      </c>
      <c r="S309" s="84">
        <v>0.32</v>
      </c>
    </row>
    <row r="310">
      <c r="A310" s="134" t="s">
        <v>6040</v>
      </c>
      <c r="B310" s="16" t="s">
        <v>5738</v>
      </c>
      <c r="C310" s="89">
        <v>120307.0</v>
      </c>
      <c r="D310" s="16" t="s">
        <v>5846</v>
      </c>
      <c r="E310" s="16" t="s">
        <v>5846</v>
      </c>
      <c r="F310" s="16" t="s">
        <v>6097</v>
      </c>
      <c r="G310" s="22" t="s">
        <v>6097</v>
      </c>
      <c r="H310" s="22">
        <v>2364.0</v>
      </c>
      <c r="I310" s="84">
        <v>0.33</v>
      </c>
      <c r="J310" s="96">
        <v>1160.0</v>
      </c>
      <c r="K310" s="22">
        <v>9990.0</v>
      </c>
      <c r="L310" s="22">
        <v>5990.0</v>
      </c>
      <c r="M310" s="96">
        <v>5876.0</v>
      </c>
      <c r="N310" s="96">
        <v>3524.0</v>
      </c>
      <c r="O310" s="84">
        <v>0.3</v>
      </c>
      <c r="P310" s="84">
        <v>0.3</v>
      </c>
      <c r="Q310" s="133" t="s">
        <v>134</v>
      </c>
      <c r="R310" s="84">
        <v>0.53</v>
      </c>
      <c r="S310" s="84">
        <v>0.3</v>
      </c>
    </row>
    <row r="311">
      <c r="A311" s="134" t="s">
        <v>6040</v>
      </c>
      <c r="B311" s="16" t="s">
        <v>5852</v>
      </c>
      <c r="C311" s="89">
        <v>86620.0</v>
      </c>
      <c r="D311" s="16" t="s">
        <v>5853</v>
      </c>
      <c r="E311" s="16" t="s">
        <v>5853</v>
      </c>
      <c r="F311" s="16" t="s">
        <v>6098</v>
      </c>
      <c r="G311" s="22" t="s">
        <v>6098</v>
      </c>
      <c r="H311" s="22">
        <v>8600.0</v>
      </c>
      <c r="I311" s="84">
        <v>0.27</v>
      </c>
      <c r="J311" s="96">
        <v>3159.0</v>
      </c>
      <c r="K311" s="22">
        <v>30990.0</v>
      </c>
      <c r="L311" s="22">
        <v>19990.0</v>
      </c>
      <c r="M311" s="96">
        <v>18229.0</v>
      </c>
      <c r="N311" s="96">
        <v>11759.0</v>
      </c>
      <c r="O311" s="84">
        <v>0.3</v>
      </c>
      <c r="P311" s="84">
        <v>0.3</v>
      </c>
      <c r="Q311" s="133" t="s">
        <v>134</v>
      </c>
      <c r="R311" s="84">
        <v>0.49</v>
      </c>
      <c r="S311" s="84">
        <v>0.26</v>
      </c>
    </row>
    <row r="312">
      <c r="A312" s="134" t="s">
        <v>6040</v>
      </c>
      <c r="B312" s="16" t="s">
        <v>5821</v>
      </c>
      <c r="C312" s="89">
        <v>146605.0</v>
      </c>
      <c r="D312" s="16" t="s">
        <v>5846</v>
      </c>
      <c r="E312" s="16" t="s">
        <v>5846</v>
      </c>
      <c r="F312" s="16" t="s">
        <v>6099</v>
      </c>
      <c r="G312" s="22" t="s">
        <v>6099</v>
      </c>
      <c r="H312" s="22">
        <v>4923.0</v>
      </c>
      <c r="I312" s="84">
        <v>0.3</v>
      </c>
      <c r="J312" s="96">
        <v>2130.0</v>
      </c>
      <c r="K312" s="22">
        <v>18990.0</v>
      </c>
      <c r="L312" s="22">
        <v>11990.0</v>
      </c>
      <c r="M312" s="96">
        <v>11171.0</v>
      </c>
      <c r="N312" s="96">
        <v>7053.0</v>
      </c>
      <c r="O312" s="84">
        <v>0.3</v>
      </c>
      <c r="P312" s="84">
        <v>0.3</v>
      </c>
      <c r="Q312" s="133" t="s">
        <v>134</v>
      </c>
      <c r="R312" s="84">
        <v>0.51</v>
      </c>
      <c r="S312" s="84">
        <v>0.28</v>
      </c>
    </row>
    <row r="313">
      <c r="A313" s="134" t="s">
        <v>6040</v>
      </c>
      <c r="B313" s="16" t="s">
        <v>5821</v>
      </c>
      <c r="C313" s="89">
        <v>150170.0</v>
      </c>
      <c r="D313" s="16" t="s">
        <v>5805</v>
      </c>
      <c r="E313" s="16" t="s">
        <v>5805</v>
      </c>
      <c r="F313" s="16" t="s">
        <v>6100</v>
      </c>
      <c r="G313" s="22" t="s">
        <v>6100</v>
      </c>
      <c r="H313" s="22">
        <v>4089.0</v>
      </c>
      <c r="I313" s="84">
        <v>0.3</v>
      </c>
      <c r="J313" s="96">
        <v>1787.0</v>
      </c>
      <c r="K313" s="22">
        <v>15990.0</v>
      </c>
      <c r="L313" s="22">
        <v>9990.0</v>
      </c>
      <c r="M313" s="96">
        <v>9406.0</v>
      </c>
      <c r="N313" s="96">
        <v>5876.0</v>
      </c>
      <c r="O313" s="84">
        <v>0.3</v>
      </c>
      <c r="P313" s="84">
        <v>0.3</v>
      </c>
      <c r="Q313" s="133" t="s">
        <v>20</v>
      </c>
      <c r="R313" s="84">
        <v>0.51</v>
      </c>
      <c r="S313" s="84">
        <v>0.28</v>
      </c>
    </row>
    <row r="314">
      <c r="A314" s="134" t="s">
        <v>6040</v>
      </c>
      <c r="B314" s="16" t="s">
        <v>5738</v>
      </c>
      <c r="C314" s="89">
        <v>151170.0</v>
      </c>
      <c r="D314" s="16" t="s">
        <v>5846</v>
      </c>
      <c r="E314" s="16" t="s">
        <v>5846</v>
      </c>
      <c r="F314" s="16" t="s">
        <v>6101</v>
      </c>
      <c r="G314" s="22" t="s">
        <v>6101</v>
      </c>
      <c r="H314" s="22">
        <v>12582.0</v>
      </c>
      <c r="I314" s="84">
        <v>0.26</v>
      </c>
      <c r="J314" s="96">
        <v>4471.0</v>
      </c>
      <c r="K314" s="22">
        <v>44990.0</v>
      </c>
      <c r="L314" s="22">
        <v>28990.0</v>
      </c>
      <c r="M314" s="96">
        <v>26465.0</v>
      </c>
      <c r="N314" s="96">
        <v>17053.0</v>
      </c>
      <c r="O314" s="84">
        <v>0.3</v>
      </c>
      <c r="P314" s="84">
        <v>0.3</v>
      </c>
      <c r="Q314" s="133" t="s">
        <v>20</v>
      </c>
      <c r="R314" s="84">
        <v>0.48</v>
      </c>
      <c r="S314" s="84">
        <v>0.25</v>
      </c>
    </row>
    <row r="315">
      <c r="A315" s="134" t="s">
        <v>6040</v>
      </c>
      <c r="B315" s="16" t="s">
        <v>5821</v>
      </c>
      <c r="C315" s="89">
        <v>181823.0</v>
      </c>
      <c r="D315" s="16" t="s">
        <v>5846</v>
      </c>
      <c r="E315" s="16" t="s">
        <v>5846</v>
      </c>
      <c r="F315" s="16" t="s">
        <v>6102</v>
      </c>
      <c r="G315" s="22" t="s">
        <v>6102</v>
      </c>
      <c r="H315" s="22">
        <v>5256.0</v>
      </c>
      <c r="I315" s="84">
        <v>0.31</v>
      </c>
      <c r="J315" s="96">
        <v>2385.0</v>
      </c>
      <c r="K315" s="22">
        <v>20990.0</v>
      </c>
      <c r="L315" s="22">
        <v>12990.0</v>
      </c>
      <c r="M315" s="96">
        <v>12347.0</v>
      </c>
      <c r="N315" s="96">
        <v>7641.0</v>
      </c>
      <c r="O315" s="84">
        <v>0.3</v>
      </c>
      <c r="P315" s="84">
        <v>0.3</v>
      </c>
      <c r="Q315" s="133" t="s">
        <v>20</v>
      </c>
      <c r="R315" s="84">
        <v>0.52</v>
      </c>
      <c r="S315" s="84">
        <v>0.29</v>
      </c>
    </row>
    <row r="316">
      <c r="A316" s="134" t="s">
        <v>6040</v>
      </c>
      <c r="B316" s="16" t="s">
        <v>5964</v>
      </c>
      <c r="C316" s="89">
        <v>48927.0</v>
      </c>
      <c r="D316" s="16" t="s">
        <v>5965</v>
      </c>
      <c r="E316" s="16" t="s">
        <v>5965</v>
      </c>
      <c r="F316" s="16" t="s">
        <v>6103</v>
      </c>
      <c r="G316" s="22" t="s">
        <v>6103</v>
      </c>
      <c r="H316" s="22">
        <v>15946.0</v>
      </c>
      <c r="I316" s="84">
        <v>0.32</v>
      </c>
      <c r="J316" s="96">
        <v>7578.0</v>
      </c>
      <c r="K316" s="22">
        <v>54990.0</v>
      </c>
      <c r="L316" s="22">
        <v>39990.0</v>
      </c>
      <c r="M316" s="96">
        <v>32347.0</v>
      </c>
      <c r="N316" s="96">
        <v>23524.0</v>
      </c>
      <c r="O316" s="84">
        <v>0.3</v>
      </c>
      <c r="P316" s="84">
        <v>0.3</v>
      </c>
      <c r="Q316" s="133" t="s">
        <v>134</v>
      </c>
      <c r="R316" s="84">
        <v>0.53</v>
      </c>
      <c r="S316" s="84">
        <v>0.3</v>
      </c>
    </row>
    <row r="317">
      <c r="A317" s="134" t="s">
        <v>6040</v>
      </c>
      <c r="B317" s="16" t="s">
        <v>5964</v>
      </c>
      <c r="C317" s="89">
        <v>48926.0</v>
      </c>
      <c r="D317" s="16" t="s">
        <v>5965</v>
      </c>
      <c r="E317" s="16" t="s">
        <v>5965</v>
      </c>
      <c r="F317" s="16" t="s">
        <v>6104</v>
      </c>
      <c r="G317" s="22" t="s">
        <v>6104</v>
      </c>
      <c r="H317" s="22">
        <v>24920.0</v>
      </c>
      <c r="I317" s="84">
        <v>0.29</v>
      </c>
      <c r="J317" s="96">
        <v>10368.0</v>
      </c>
      <c r="K317" s="22">
        <v>84990.0</v>
      </c>
      <c r="L317" s="22">
        <v>59990.0</v>
      </c>
      <c r="M317" s="96">
        <v>49994.0</v>
      </c>
      <c r="N317" s="96">
        <v>35288.0</v>
      </c>
      <c r="O317" s="84">
        <v>0.3</v>
      </c>
      <c r="P317" s="84">
        <v>0.3</v>
      </c>
      <c r="Q317" s="133" t="s">
        <v>134</v>
      </c>
      <c r="R317" s="84">
        <v>0.51</v>
      </c>
      <c r="S317" s="84">
        <v>0.28</v>
      </c>
    </row>
    <row r="318">
      <c r="A318" s="134" t="s">
        <v>6040</v>
      </c>
      <c r="B318" s="16" t="s">
        <v>5777</v>
      </c>
      <c r="C318" s="89">
        <v>77071.0</v>
      </c>
      <c r="D318" s="16" t="s">
        <v>5846</v>
      </c>
      <c r="E318" s="16" t="s">
        <v>5846</v>
      </c>
      <c r="F318" s="16" t="s">
        <v>6105</v>
      </c>
      <c r="G318" s="16" t="s">
        <v>6105</v>
      </c>
      <c r="H318" s="22">
        <v>1209.0</v>
      </c>
      <c r="I318" s="84">
        <v>0.48</v>
      </c>
      <c r="J318" s="96">
        <v>1138.0</v>
      </c>
      <c r="K318" s="22">
        <v>6990.0</v>
      </c>
      <c r="L318" s="22">
        <v>3990.0</v>
      </c>
      <c r="M318" s="96">
        <v>4112.0</v>
      </c>
      <c r="N318" s="96">
        <v>2347.0</v>
      </c>
      <c r="O318" s="84">
        <v>0.3</v>
      </c>
      <c r="P318" s="84">
        <v>0.3</v>
      </c>
      <c r="Q318" s="133" t="s">
        <v>134</v>
      </c>
      <c r="R318" s="84">
        <v>0.64</v>
      </c>
      <c r="S318" s="84">
        <v>0.41</v>
      </c>
    </row>
    <row r="319">
      <c r="A319" s="134" t="s">
        <v>6040</v>
      </c>
      <c r="B319" s="16" t="s">
        <v>5777</v>
      </c>
      <c r="C319" s="89">
        <v>71887.0</v>
      </c>
      <c r="D319" s="16" t="s">
        <v>5878</v>
      </c>
      <c r="E319" s="16" t="s">
        <v>5878</v>
      </c>
      <c r="F319" s="16" t="s">
        <v>6106</v>
      </c>
      <c r="G319" s="22" t="s">
        <v>6106</v>
      </c>
      <c r="H319" s="16">
        <v>948.0</v>
      </c>
      <c r="I319" s="84">
        <v>0.46</v>
      </c>
      <c r="J319" s="96">
        <v>811.0</v>
      </c>
      <c r="K319" s="22">
        <v>5990.0</v>
      </c>
      <c r="L319" s="22">
        <v>2990.0</v>
      </c>
      <c r="M319" s="96">
        <v>3524.0</v>
      </c>
      <c r="N319" s="96">
        <v>1759.0</v>
      </c>
      <c r="O319" s="84">
        <v>0.3</v>
      </c>
      <c r="P319" s="84">
        <v>0.3</v>
      </c>
      <c r="Q319" s="133" t="s">
        <v>134</v>
      </c>
      <c r="R319" s="84">
        <v>0.62</v>
      </c>
      <c r="S319" s="84">
        <v>0.39</v>
      </c>
    </row>
    <row r="320">
      <c r="A320" s="134" t="s">
        <v>6040</v>
      </c>
      <c r="B320" s="16" t="s">
        <v>5777</v>
      </c>
      <c r="C320" s="89">
        <v>74169.0</v>
      </c>
      <c r="D320" s="16" t="s">
        <v>5846</v>
      </c>
      <c r="E320" s="16" t="s">
        <v>5846</v>
      </c>
      <c r="F320" s="16" t="s">
        <v>6107</v>
      </c>
      <c r="G320" s="22" t="s">
        <v>6107</v>
      </c>
      <c r="H320" s="22">
        <v>5440.0</v>
      </c>
      <c r="I320" s="84">
        <v>0.29</v>
      </c>
      <c r="J320" s="96">
        <v>2201.0</v>
      </c>
      <c r="K320" s="22">
        <v>20990.0</v>
      </c>
      <c r="L320" s="22">
        <v>12990.0</v>
      </c>
      <c r="M320" s="96">
        <v>12347.0</v>
      </c>
      <c r="N320" s="96">
        <v>7641.0</v>
      </c>
      <c r="O320" s="84">
        <v>0.3</v>
      </c>
      <c r="P320" s="84">
        <v>0.3</v>
      </c>
      <c r="Q320" s="133" t="s">
        <v>134</v>
      </c>
      <c r="R320" s="84">
        <v>0.5</v>
      </c>
      <c r="S320" s="84">
        <v>0.27</v>
      </c>
    </row>
    <row r="321">
      <c r="A321" s="134" t="s">
        <v>6040</v>
      </c>
      <c r="B321" s="16" t="s">
        <v>5713</v>
      </c>
      <c r="C321" s="16" t="s">
        <v>6108</v>
      </c>
      <c r="D321" s="16" t="s">
        <v>5874</v>
      </c>
      <c r="E321" s="16" t="s">
        <v>5874</v>
      </c>
      <c r="F321" s="16" t="s">
        <v>6109</v>
      </c>
      <c r="G321" s="22" t="s">
        <v>6109</v>
      </c>
      <c r="H321" s="22">
        <v>20690.0</v>
      </c>
      <c r="I321" s="84">
        <v>0.25</v>
      </c>
      <c r="J321" s="96">
        <v>6951.0</v>
      </c>
      <c r="K321" s="22">
        <v>71990.0</v>
      </c>
      <c r="L321" s="22">
        <v>46990.0</v>
      </c>
      <c r="M321" s="96">
        <v>42347.0</v>
      </c>
      <c r="N321" s="96">
        <v>27641.0</v>
      </c>
      <c r="O321" s="84">
        <v>0.3</v>
      </c>
      <c r="P321" s="84">
        <v>0.3</v>
      </c>
      <c r="Q321" s="133" t="s">
        <v>134</v>
      </c>
      <c r="R321" s="84">
        <v>0.48</v>
      </c>
      <c r="S321" s="84">
        <v>0.25</v>
      </c>
    </row>
    <row r="322">
      <c r="A322" s="134" t="s">
        <v>6040</v>
      </c>
      <c r="B322" s="16" t="s">
        <v>5777</v>
      </c>
      <c r="C322" s="89">
        <v>71903.0</v>
      </c>
      <c r="D322" s="16" t="s">
        <v>5874</v>
      </c>
      <c r="E322" s="16" t="s">
        <v>5874</v>
      </c>
      <c r="F322" s="16" t="s">
        <v>6110</v>
      </c>
      <c r="G322" s="22" t="s">
        <v>6110</v>
      </c>
      <c r="H322" s="22">
        <v>2712.0</v>
      </c>
      <c r="I322" s="84">
        <v>0.34</v>
      </c>
      <c r="J322" s="96">
        <v>1400.0</v>
      </c>
      <c r="K322" s="22">
        <v>11990.0</v>
      </c>
      <c r="L322" s="22">
        <v>6990.0</v>
      </c>
      <c r="M322" s="96">
        <v>7053.0</v>
      </c>
      <c r="N322" s="96">
        <v>4112.0</v>
      </c>
      <c r="O322" s="84">
        <v>0.3</v>
      </c>
      <c r="P322" s="84">
        <v>0.3</v>
      </c>
      <c r="Q322" s="133" t="s">
        <v>134</v>
      </c>
      <c r="R322" s="84">
        <v>0.54</v>
      </c>
      <c r="S322" s="84">
        <v>0.31</v>
      </c>
    </row>
    <row r="323">
      <c r="A323" s="134" t="s">
        <v>6040</v>
      </c>
      <c r="B323" s="16" t="s">
        <v>5777</v>
      </c>
      <c r="C323" s="16" t="s">
        <v>6111</v>
      </c>
      <c r="D323" s="16" t="s">
        <v>5805</v>
      </c>
      <c r="E323" s="16" t="s">
        <v>5805</v>
      </c>
      <c r="F323" s="16" t="s">
        <v>6112</v>
      </c>
      <c r="G323" s="22" t="s">
        <v>6112</v>
      </c>
      <c r="H323" s="22">
        <v>6071.0</v>
      </c>
      <c r="I323" s="84">
        <v>0.35</v>
      </c>
      <c r="J323" s="96">
        <v>3335.0</v>
      </c>
      <c r="K323" s="22">
        <v>29990.0</v>
      </c>
      <c r="L323" s="22">
        <v>15990.0</v>
      </c>
      <c r="M323" s="96">
        <v>17641.0</v>
      </c>
      <c r="N323" s="96">
        <v>9406.0</v>
      </c>
      <c r="O323" s="84">
        <v>0.3</v>
      </c>
      <c r="P323" s="84">
        <v>0.3</v>
      </c>
      <c r="Q323" s="133" t="s">
        <v>134</v>
      </c>
      <c r="R323" s="84">
        <v>0.55</v>
      </c>
      <c r="S323" s="84">
        <v>0.32</v>
      </c>
    </row>
    <row r="324">
      <c r="A324" s="135" t="s">
        <v>6113</v>
      </c>
      <c r="B324" s="16" t="s">
        <v>5777</v>
      </c>
      <c r="C324" s="89">
        <v>10822.0</v>
      </c>
      <c r="D324" s="16" t="s">
        <v>5846</v>
      </c>
      <c r="E324" s="16" t="s">
        <v>5846</v>
      </c>
      <c r="F324" s="16" t="s">
        <v>6114</v>
      </c>
      <c r="G324" s="22" t="s">
        <v>6114</v>
      </c>
      <c r="H324" s="22">
        <v>1156.0</v>
      </c>
      <c r="I324" s="84">
        <v>0.51</v>
      </c>
      <c r="J324" s="96">
        <v>1191.0</v>
      </c>
      <c r="K324" s="22">
        <v>6990.0</v>
      </c>
      <c r="L324" s="22">
        <v>3990.0</v>
      </c>
      <c r="M324" s="96">
        <v>4112.0</v>
      </c>
      <c r="N324" s="96">
        <v>2347.0</v>
      </c>
      <c r="O324" s="84">
        <v>0.3</v>
      </c>
      <c r="P324" s="84">
        <v>0.3</v>
      </c>
      <c r="Q324" s="133" t="s">
        <v>134</v>
      </c>
      <c r="R324" s="84">
        <v>0.66</v>
      </c>
      <c r="S324" s="84">
        <v>0.43</v>
      </c>
    </row>
    <row r="325">
      <c r="A325" s="135" t="s">
        <v>6113</v>
      </c>
      <c r="B325" s="16" t="s">
        <v>5777</v>
      </c>
      <c r="C325" s="89">
        <v>77912.0</v>
      </c>
      <c r="D325" s="16" t="s">
        <v>5846</v>
      </c>
      <c r="E325" s="16" t="s">
        <v>5846</v>
      </c>
      <c r="F325" s="16" t="s">
        <v>6115</v>
      </c>
      <c r="G325" s="22" t="s">
        <v>6115</v>
      </c>
      <c r="H325" s="22">
        <v>1127.0</v>
      </c>
      <c r="I325" s="84">
        <v>0.36</v>
      </c>
      <c r="J325" s="96">
        <v>632.0</v>
      </c>
      <c r="K325" s="22">
        <v>5990.0</v>
      </c>
      <c r="L325" s="22">
        <v>2990.0</v>
      </c>
      <c r="M325" s="96">
        <v>3524.0</v>
      </c>
      <c r="N325" s="96">
        <v>1759.0</v>
      </c>
      <c r="O325" s="84">
        <v>0.3</v>
      </c>
      <c r="P325" s="84">
        <v>0.3</v>
      </c>
      <c r="Q325" s="133" t="s">
        <v>134</v>
      </c>
      <c r="R325" s="84">
        <v>0.55</v>
      </c>
      <c r="S325" s="84">
        <v>0.32</v>
      </c>
    </row>
    <row r="326">
      <c r="A326" s="135" t="s">
        <v>6113</v>
      </c>
      <c r="B326" s="16" t="s">
        <v>5777</v>
      </c>
      <c r="C326" s="89">
        <v>10623.0</v>
      </c>
      <c r="D326" s="16" t="s">
        <v>5846</v>
      </c>
      <c r="E326" s="16" t="s">
        <v>5846</v>
      </c>
      <c r="F326" s="16" t="s">
        <v>6116</v>
      </c>
      <c r="G326" s="22" t="s">
        <v>6116</v>
      </c>
      <c r="H326" s="22">
        <v>2270.0</v>
      </c>
      <c r="I326" s="84">
        <v>0.36</v>
      </c>
      <c r="J326" s="96">
        <v>1253.0</v>
      </c>
      <c r="K326" s="22">
        <v>9990.0</v>
      </c>
      <c r="L326" s="22">
        <v>5990.0</v>
      </c>
      <c r="M326" s="96">
        <v>5876.0</v>
      </c>
      <c r="N326" s="96">
        <v>3524.0</v>
      </c>
      <c r="O326" s="84">
        <v>0.3</v>
      </c>
      <c r="P326" s="84">
        <v>0.3</v>
      </c>
      <c r="Q326" s="133" t="s">
        <v>134</v>
      </c>
      <c r="R326" s="84">
        <v>0.55</v>
      </c>
      <c r="S326" s="84">
        <v>0.32</v>
      </c>
    </row>
    <row r="327">
      <c r="A327" s="135" t="s">
        <v>6113</v>
      </c>
      <c r="B327" s="16" t="s">
        <v>5777</v>
      </c>
      <c r="C327" s="89">
        <v>74053.0</v>
      </c>
      <c r="D327" s="16" t="s">
        <v>5846</v>
      </c>
      <c r="E327" s="16" t="s">
        <v>5846</v>
      </c>
      <c r="F327" s="16" t="s">
        <v>6117</v>
      </c>
      <c r="G327" s="22" t="s">
        <v>6117</v>
      </c>
      <c r="H327" s="22">
        <v>2329.0</v>
      </c>
      <c r="I327" s="84">
        <v>0.34</v>
      </c>
      <c r="J327" s="96">
        <v>1195.0</v>
      </c>
      <c r="K327" s="22">
        <v>9990.0</v>
      </c>
      <c r="L327" s="22">
        <v>5990.0</v>
      </c>
      <c r="M327" s="96">
        <v>5876.0</v>
      </c>
      <c r="N327" s="96">
        <v>3524.0</v>
      </c>
      <c r="O327" s="84">
        <v>0.3</v>
      </c>
      <c r="P327" s="84">
        <v>0.3</v>
      </c>
      <c r="Q327" s="133" t="s">
        <v>134</v>
      </c>
      <c r="R327" s="84">
        <v>0.54</v>
      </c>
      <c r="S327" s="84">
        <v>0.31</v>
      </c>
    </row>
    <row r="328">
      <c r="A328" s="135" t="s">
        <v>6113</v>
      </c>
      <c r="B328" s="16" t="s">
        <v>5777</v>
      </c>
      <c r="C328" s="89">
        <v>128648.0</v>
      </c>
      <c r="D328" s="16" t="s">
        <v>5846</v>
      </c>
      <c r="E328" s="16" t="s">
        <v>5846</v>
      </c>
      <c r="F328" s="16" t="s">
        <v>6118</v>
      </c>
      <c r="G328" s="22" t="s">
        <v>6118</v>
      </c>
      <c r="H328" s="22">
        <v>1429.0</v>
      </c>
      <c r="I328" s="84">
        <v>0.39</v>
      </c>
      <c r="J328" s="96">
        <v>918.0</v>
      </c>
      <c r="K328" s="22">
        <v>6990.0</v>
      </c>
      <c r="L328" s="22">
        <v>3990.0</v>
      </c>
      <c r="M328" s="96">
        <v>4112.0</v>
      </c>
      <c r="N328" s="96">
        <v>2347.0</v>
      </c>
      <c r="O328" s="84">
        <v>0.3</v>
      </c>
      <c r="P328" s="84">
        <v>0.3</v>
      </c>
      <c r="Q328" s="133" t="s">
        <v>134</v>
      </c>
      <c r="R328" s="84">
        <v>0.57</v>
      </c>
      <c r="S328" s="84">
        <v>0.34</v>
      </c>
    </row>
    <row r="329">
      <c r="A329" s="135" t="s">
        <v>6113</v>
      </c>
      <c r="B329" s="16" t="s">
        <v>5738</v>
      </c>
      <c r="C329" s="89">
        <v>179626.0</v>
      </c>
      <c r="D329" s="16" t="s">
        <v>5846</v>
      </c>
      <c r="E329" s="16" t="s">
        <v>5846</v>
      </c>
      <c r="F329" s="16" t="s">
        <v>6119</v>
      </c>
      <c r="G329" s="22" t="s">
        <v>6119</v>
      </c>
      <c r="H329" s="22">
        <v>3387.0</v>
      </c>
      <c r="I329" s="84">
        <v>0.28</v>
      </c>
      <c r="J329" s="96">
        <v>1313.0</v>
      </c>
      <c r="K329" s="22">
        <v>12990.0</v>
      </c>
      <c r="L329" s="22">
        <v>7990.0</v>
      </c>
      <c r="M329" s="96">
        <v>7641.0</v>
      </c>
      <c r="N329" s="96">
        <v>4700.0</v>
      </c>
      <c r="O329" s="84">
        <v>0.3</v>
      </c>
      <c r="P329" s="84">
        <v>0.3</v>
      </c>
      <c r="Q329" s="133" t="s">
        <v>134</v>
      </c>
      <c r="R329" s="84">
        <v>0.5</v>
      </c>
      <c r="S329" s="84">
        <v>0.27</v>
      </c>
    </row>
    <row r="330">
      <c r="A330" s="135" t="s">
        <v>6113</v>
      </c>
      <c r="B330" s="16" t="s">
        <v>5777</v>
      </c>
      <c r="C330" s="89">
        <v>76290.0</v>
      </c>
      <c r="D330" s="16" t="s">
        <v>5846</v>
      </c>
      <c r="E330" s="16" t="s">
        <v>5846</v>
      </c>
      <c r="F330" s="16" t="s">
        <v>6120</v>
      </c>
      <c r="G330" s="22" t="s">
        <v>6120</v>
      </c>
      <c r="H330" s="22">
        <v>2025.0</v>
      </c>
      <c r="I330" s="84">
        <v>0.31</v>
      </c>
      <c r="J330" s="96">
        <v>910.0</v>
      </c>
      <c r="K330" s="22">
        <v>8990.0</v>
      </c>
      <c r="L330" s="22">
        <v>4990.0</v>
      </c>
      <c r="M330" s="96">
        <v>5288.0</v>
      </c>
      <c r="N330" s="96">
        <v>2935.0</v>
      </c>
      <c r="O330" s="84">
        <v>0.3</v>
      </c>
      <c r="P330" s="84">
        <v>0.3</v>
      </c>
      <c r="Q330" s="133" t="s">
        <v>134</v>
      </c>
      <c r="R330" s="84">
        <v>0.52</v>
      </c>
      <c r="S330" s="84">
        <v>0.29</v>
      </c>
    </row>
    <row r="331">
      <c r="A331" s="135" t="s">
        <v>6113</v>
      </c>
      <c r="B331" s="16" t="s">
        <v>5852</v>
      </c>
      <c r="C331" s="89">
        <v>86594.0</v>
      </c>
      <c r="D331" s="16" t="s">
        <v>5853</v>
      </c>
      <c r="E331" s="16" t="s">
        <v>5853</v>
      </c>
      <c r="F331" s="16" t="s">
        <v>6121</v>
      </c>
      <c r="G331" s="22" t="s">
        <v>6121</v>
      </c>
      <c r="H331" s="22">
        <v>1154.0</v>
      </c>
      <c r="I331" s="84">
        <v>0.51</v>
      </c>
      <c r="J331" s="96">
        <v>1193.0</v>
      </c>
      <c r="K331" s="22">
        <v>6990.0</v>
      </c>
      <c r="L331" s="22">
        <v>3990.0</v>
      </c>
      <c r="M331" s="96">
        <v>4112.0</v>
      </c>
      <c r="N331" s="96">
        <v>2347.0</v>
      </c>
      <c r="O331" s="84">
        <v>0.3</v>
      </c>
      <c r="P331" s="84">
        <v>0.3</v>
      </c>
      <c r="Q331" s="133" t="s">
        <v>134</v>
      </c>
      <c r="R331" s="84">
        <v>0.66</v>
      </c>
      <c r="S331" s="84">
        <v>0.43</v>
      </c>
    </row>
    <row r="332">
      <c r="A332" s="135" t="s">
        <v>6113</v>
      </c>
      <c r="B332" s="16" t="s">
        <v>5852</v>
      </c>
      <c r="C332" s="89">
        <v>86595.0</v>
      </c>
      <c r="D332" s="16" t="s">
        <v>5853</v>
      </c>
      <c r="E332" s="16" t="s">
        <v>5853</v>
      </c>
      <c r="F332" s="16" t="s">
        <v>6122</v>
      </c>
      <c r="G332" s="22" t="s">
        <v>6122</v>
      </c>
      <c r="H332" s="22">
        <v>1197.0</v>
      </c>
      <c r="I332" s="84">
        <v>0.49</v>
      </c>
      <c r="J332" s="96">
        <v>1150.0</v>
      </c>
      <c r="K332" s="22">
        <v>6990.0</v>
      </c>
      <c r="L332" s="22">
        <v>3990.0</v>
      </c>
      <c r="M332" s="96">
        <v>4112.0</v>
      </c>
      <c r="N332" s="96">
        <v>2347.0</v>
      </c>
      <c r="O332" s="84">
        <v>0.3</v>
      </c>
      <c r="P332" s="84">
        <v>0.3</v>
      </c>
      <c r="Q332" s="133" t="s">
        <v>134</v>
      </c>
      <c r="R332" s="84">
        <v>0.64</v>
      </c>
      <c r="S332" s="84">
        <v>0.41</v>
      </c>
    </row>
    <row r="333">
      <c r="A333" s="135" t="s">
        <v>6113</v>
      </c>
      <c r="B333" s="16" t="s">
        <v>5880</v>
      </c>
      <c r="C333" s="89">
        <v>21220.0</v>
      </c>
      <c r="D333" s="16" t="s">
        <v>5881</v>
      </c>
      <c r="E333" s="16" t="s">
        <v>5881</v>
      </c>
      <c r="F333" s="16" t="s">
        <v>6123</v>
      </c>
      <c r="G333" s="22" t="s">
        <v>6123</v>
      </c>
      <c r="H333" s="22">
        <v>2549.0</v>
      </c>
      <c r="I333" s="84">
        <v>0.38</v>
      </c>
      <c r="J333" s="96">
        <v>1562.0</v>
      </c>
      <c r="K333" s="22">
        <v>11990.0</v>
      </c>
      <c r="L333" s="22">
        <v>6990.0</v>
      </c>
      <c r="M333" s="96">
        <v>7053.0</v>
      </c>
      <c r="N333" s="96">
        <v>4112.0</v>
      </c>
      <c r="O333" s="84">
        <v>0.3</v>
      </c>
      <c r="P333" s="84">
        <v>0.3</v>
      </c>
      <c r="Q333" s="133" t="s">
        <v>134</v>
      </c>
      <c r="R333" s="84">
        <v>0.57</v>
      </c>
      <c r="S333" s="84">
        <v>0.34</v>
      </c>
    </row>
    <row r="334">
      <c r="A334" s="135" t="s">
        <v>6113</v>
      </c>
      <c r="B334" s="16" t="s">
        <v>5880</v>
      </c>
      <c r="C334" s="89">
        <v>97547.0</v>
      </c>
      <c r="D334" s="16" t="s">
        <v>5881</v>
      </c>
      <c r="E334" s="16" t="s">
        <v>5881</v>
      </c>
      <c r="F334" s="16" t="s">
        <v>6124</v>
      </c>
      <c r="G334" s="22" t="s">
        <v>6124</v>
      </c>
      <c r="H334" s="22">
        <v>2216.0</v>
      </c>
      <c r="I334" s="84">
        <v>0.37</v>
      </c>
      <c r="J334" s="96">
        <v>1308.0</v>
      </c>
      <c r="K334" s="22">
        <v>9990.0</v>
      </c>
      <c r="L334" s="22">
        <v>5990.0</v>
      </c>
      <c r="M334" s="96">
        <v>5876.0</v>
      </c>
      <c r="N334" s="96">
        <v>3524.0</v>
      </c>
      <c r="O334" s="84">
        <v>0.3</v>
      </c>
      <c r="P334" s="84">
        <v>0.3</v>
      </c>
      <c r="Q334" s="133" t="s">
        <v>134</v>
      </c>
      <c r="R334" s="84">
        <v>0.56</v>
      </c>
      <c r="S334" s="84">
        <v>0.33</v>
      </c>
    </row>
    <row r="335">
      <c r="A335" s="135" t="s">
        <v>6113</v>
      </c>
      <c r="B335" s="16" t="s">
        <v>5880</v>
      </c>
      <c r="C335" s="89">
        <v>97361.0</v>
      </c>
      <c r="D335" s="16" t="s">
        <v>5881</v>
      </c>
      <c r="E335" s="16" t="s">
        <v>5881</v>
      </c>
      <c r="F335" s="16" t="s">
        <v>6125</v>
      </c>
      <c r="G335" s="22" t="s">
        <v>6125</v>
      </c>
      <c r="H335" s="22">
        <v>5966.0</v>
      </c>
      <c r="I335" s="84">
        <v>0.27</v>
      </c>
      <c r="J335" s="96">
        <v>2263.0</v>
      </c>
      <c r="K335" s="22">
        <v>21990.0</v>
      </c>
      <c r="L335" s="22">
        <v>13990.0</v>
      </c>
      <c r="M335" s="96">
        <v>12935.0</v>
      </c>
      <c r="N335" s="96">
        <v>8229.0</v>
      </c>
      <c r="O335" s="84">
        <v>0.3</v>
      </c>
      <c r="P335" s="84">
        <v>0.3</v>
      </c>
      <c r="Q335" s="133" t="s">
        <v>134</v>
      </c>
      <c r="R335" s="84">
        <v>0.49</v>
      </c>
      <c r="S335" s="84">
        <v>0.26</v>
      </c>
    </row>
    <row r="336">
      <c r="A336" s="135" t="s">
        <v>6113</v>
      </c>
      <c r="B336" s="16" t="s">
        <v>5738</v>
      </c>
      <c r="C336" s="89">
        <v>103700.0</v>
      </c>
      <c r="D336" s="16" t="s">
        <v>5846</v>
      </c>
      <c r="E336" s="16" t="s">
        <v>5846</v>
      </c>
      <c r="F336" s="16" t="s">
        <v>6126</v>
      </c>
      <c r="G336" s="22" t="s">
        <v>6126</v>
      </c>
      <c r="H336" s="16">
        <v>891.0</v>
      </c>
      <c r="I336" s="84">
        <v>0.49</v>
      </c>
      <c r="J336" s="96">
        <v>868.0</v>
      </c>
      <c r="K336" s="22">
        <v>5990.0</v>
      </c>
      <c r="L336" s="22">
        <v>2990.0</v>
      </c>
      <c r="M336" s="96">
        <v>3524.0</v>
      </c>
      <c r="N336" s="96">
        <v>1759.0</v>
      </c>
      <c r="O336" s="84">
        <v>0.3</v>
      </c>
      <c r="P336" s="84">
        <v>0.3</v>
      </c>
      <c r="Q336" s="133" t="s">
        <v>134</v>
      </c>
      <c r="R336" s="84">
        <v>0.65</v>
      </c>
      <c r="S336" s="84">
        <v>0.42</v>
      </c>
    </row>
    <row r="337">
      <c r="A337" s="135" t="s">
        <v>6113</v>
      </c>
      <c r="B337" s="16" t="s">
        <v>5880</v>
      </c>
      <c r="C337" s="89">
        <v>97334.0</v>
      </c>
      <c r="D337" s="16" t="s">
        <v>5881</v>
      </c>
      <c r="E337" s="16" t="s">
        <v>5881</v>
      </c>
      <c r="F337" s="16" t="s">
        <v>6127</v>
      </c>
      <c r="G337" s="22" t="s">
        <v>6127</v>
      </c>
      <c r="H337" s="22">
        <v>1650.0</v>
      </c>
      <c r="I337" s="84">
        <v>0.44</v>
      </c>
      <c r="J337" s="96">
        <v>1285.0</v>
      </c>
      <c r="K337" s="22">
        <v>8990.0</v>
      </c>
      <c r="L337" s="22">
        <v>4990.0</v>
      </c>
      <c r="M337" s="96">
        <v>5288.0</v>
      </c>
      <c r="N337" s="96">
        <v>2935.0</v>
      </c>
      <c r="O337" s="84">
        <v>0.3</v>
      </c>
      <c r="P337" s="84">
        <v>0.3</v>
      </c>
      <c r="Q337" s="133" t="s">
        <v>134</v>
      </c>
      <c r="R337" s="84">
        <v>0.61</v>
      </c>
      <c r="S337" s="84">
        <v>0.38</v>
      </c>
    </row>
    <row r="338">
      <c r="A338" s="135" t="s">
        <v>6113</v>
      </c>
      <c r="B338" s="16" t="s">
        <v>5738</v>
      </c>
      <c r="C338" s="89">
        <v>124576.0</v>
      </c>
      <c r="D338" s="16" t="s">
        <v>5846</v>
      </c>
      <c r="E338" s="16" t="s">
        <v>5846</v>
      </c>
      <c r="F338" s="16" t="s">
        <v>6128</v>
      </c>
      <c r="G338" s="22" t="s">
        <v>6128</v>
      </c>
      <c r="H338" s="22">
        <v>1220.0</v>
      </c>
      <c r="I338" s="84">
        <v>0.48</v>
      </c>
      <c r="J338" s="96">
        <v>1127.0</v>
      </c>
      <c r="K338" s="22">
        <v>6990.0</v>
      </c>
      <c r="L338" s="22">
        <v>3990.0</v>
      </c>
      <c r="M338" s="96">
        <v>4112.0</v>
      </c>
      <c r="N338" s="96">
        <v>2347.0</v>
      </c>
      <c r="O338" s="84">
        <v>0.3</v>
      </c>
      <c r="P338" s="84">
        <v>0.3</v>
      </c>
      <c r="Q338" s="133" t="s">
        <v>134</v>
      </c>
      <c r="R338" s="84">
        <v>0.64</v>
      </c>
      <c r="S338" s="84">
        <v>0.41</v>
      </c>
    </row>
    <row r="339">
      <c r="A339" s="135" t="s">
        <v>6113</v>
      </c>
      <c r="B339" s="16" t="s">
        <v>5738</v>
      </c>
      <c r="C339" s="89">
        <v>151190.0</v>
      </c>
      <c r="D339" s="16" t="s">
        <v>5846</v>
      </c>
      <c r="E339" s="16" t="s">
        <v>5846</v>
      </c>
      <c r="F339" s="16" t="s">
        <v>6129</v>
      </c>
      <c r="G339" s="22" t="s">
        <v>6129</v>
      </c>
      <c r="H339" s="22">
        <v>1662.0</v>
      </c>
      <c r="I339" s="84">
        <v>0.43</v>
      </c>
      <c r="J339" s="96">
        <v>1273.0</v>
      </c>
      <c r="K339" s="22">
        <v>8990.0</v>
      </c>
      <c r="L339" s="22">
        <v>4990.0</v>
      </c>
      <c r="M339" s="96">
        <v>5288.0</v>
      </c>
      <c r="N339" s="96">
        <v>2935.0</v>
      </c>
      <c r="O339" s="84">
        <v>0.3</v>
      </c>
      <c r="P339" s="84">
        <v>0.3</v>
      </c>
      <c r="Q339" s="133" t="s">
        <v>134</v>
      </c>
      <c r="R339" s="84">
        <v>0.6</v>
      </c>
      <c r="S339" s="84">
        <v>0.37</v>
      </c>
    </row>
    <row r="340">
      <c r="A340" s="135" t="s">
        <v>6113</v>
      </c>
      <c r="B340" s="16" t="s">
        <v>5713</v>
      </c>
      <c r="C340" s="16" t="s">
        <v>6130</v>
      </c>
      <c r="D340" s="16" t="s">
        <v>5874</v>
      </c>
      <c r="E340" s="16" t="s">
        <v>5874</v>
      </c>
      <c r="F340" s="16" t="s">
        <v>6131</v>
      </c>
      <c r="G340" s="22" t="s">
        <v>6131</v>
      </c>
      <c r="H340" s="22">
        <v>7978.0</v>
      </c>
      <c r="I340" s="84">
        <v>0.29</v>
      </c>
      <c r="J340" s="96">
        <v>3193.0</v>
      </c>
      <c r="K340" s="22">
        <v>29990.0</v>
      </c>
      <c r="L340" s="22">
        <v>18990.0</v>
      </c>
      <c r="M340" s="96">
        <v>17641.0</v>
      </c>
      <c r="N340" s="96">
        <v>11171.0</v>
      </c>
      <c r="O340" s="84">
        <v>0.3</v>
      </c>
      <c r="P340" s="84">
        <v>0.3</v>
      </c>
      <c r="Q340" s="133" t="s">
        <v>134</v>
      </c>
      <c r="R340" s="84">
        <v>0.5</v>
      </c>
      <c r="S340" s="84">
        <v>0.27</v>
      </c>
    </row>
    <row r="341">
      <c r="A341" s="135" t="s">
        <v>6113</v>
      </c>
      <c r="B341" s="16" t="s">
        <v>5777</v>
      </c>
      <c r="C341" s="89">
        <v>71824.0</v>
      </c>
      <c r="D341" s="16" t="s">
        <v>5878</v>
      </c>
      <c r="E341" s="16" t="s">
        <v>5878</v>
      </c>
      <c r="F341" s="16" t="s">
        <v>6132</v>
      </c>
      <c r="G341" s="22" t="s">
        <v>6132</v>
      </c>
      <c r="H341" s="22">
        <v>7937.0</v>
      </c>
      <c r="I341" s="84">
        <v>0.25</v>
      </c>
      <c r="J341" s="96">
        <v>2645.0</v>
      </c>
      <c r="K341" s="22">
        <v>27990.0</v>
      </c>
      <c r="L341" s="22">
        <v>17990.0</v>
      </c>
      <c r="M341" s="96">
        <v>16465.0</v>
      </c>
      <c r="N341" s="96">
        <v>10582.0</v>
      </c>
      <c r="O341" s="84">
        <v>0.3</v>
      </c>
      <c r="P341" s="84">
        <v>0.3</v>
      </c>
      <c r="Q341" s="133" t="s">
        <v>134</v>
      </c>
      <c r="R341" s="84">
        <v>0.47</v>
      </c>
      <c r="S341" s="84">
        <v>0.24</v>
      </c>
    </row>
    <row r="342">
      <c r="A342" s="135" t="s">
        <v>6113</v>
      </c>
      <c r="B342" s="16" t="s">
        <v>5880</v>
      </c>
      <c r="C342" s="89">
        <v>72291.0</v>
      </c>
      <c r="D342" s="16" t="s">
        <v>5965</v>
      </c>
      <c r="E342" s="16" t="s">
        <v>5965</v>
      </c>
      <c r="F342" s="16" t="s">
        <v>6133</v>
      </c>
      <c r="G342" s="22" t="s">
        <v>6133</v>
      </c>
      <c r="H342" s="22">
        <v>13918.0</v>
      </c>
      <c r="I342" s="84">
        <v>0.26</v>
      </c>
      <c r="J342" s="96">
        <v>4900.0</v>
      </c>
      <c r="K342" s="22">
        <v>48990.0</v>
      </c>
      <c r="L342" s="22">
        <v>31990.0</v>
      </c>
      <c r="M342" s="96">
        <v>28818.0</v>
      </c>
      <c r="N342" s="96">
        <v>18818.0</v>
      </c>
      <c r="O342" s="84">
        <v>0.3</v>
      </c>
      <c r="P342" s="84">
        <v>0.3</v>
      </c>
      <c r="Q342" s="133" t="s">
        <v>134</v>
      </c>
      <c r="R342" s="84">
        <v>0.48</v>
      </c>
      <c r="S342" s="84">
        <v>0.25</v>
      </c>
    </row>
    <row r="343">
      <c r="A343" s="135" t="s">
        <v>6113</v>
      </c>
      <c r="B343" s="16" t="s">
        <v>5738</v>
      </c>
      <c r="C343" s="89">
        <v>146604.0</v>
      </c>
      <c r="D343" s="16" t="s">
        <v>5846</v>
      </c>
      <c r="E343" s="16" t="s">
        <v>5846</v>
      </c>
      <c r="F343" s="16" t="s">
        <v>6134</v>
      </c>
      <c r="G343" s="22" t="s">
        <v>6134</v>
      </c>
      <c r="H343" s="22">
        <v>3755.0</v>
      </c>
      <c r="I343" s="84">
        <v>0.29</v>
      </c>
      <c r="J343" s="96">
        <v>1533.0</v>
      </c>
      <c r="K343" s="22">
        <v>14990.0</v>
      </c>
      <c r="L343" s="22">
        <v>8990.0</v>
      </c>
      <c r="M343" s="96">
        <v>8818.0</v>
      </c>
      <c r="N343" s="96">
        <v>5288.0</v>
      </c>
      <c r="O343" s="84">
        <v>0.3</v>
      </c>
      <c r="P343" s="84">
        <v>0.3</v>
      </c>
      <c r="Q343" s="133" t="s">
        <v>134</v>
      </c>
      <c r="R343" s="84">
        <v>0.5</v>
      </c>
      <c r="S343" s="84">
        <v>0.27</v>
      </c>
    </row>
    <row r="344">
      <c r="A344" s="135" t="s">
        <v>6113</v>
      </c>
      <c r="B344" s="16" t="s">
        <v>5713</v>
      </c>
      <c r="C344" s="89">
        <v>105490.0</v>
      </c>
      <c r="D344" s="16" t="s">
        <v>5871</v>
      </c>
      <c r="E344" s="16" t="s">
        <v>5871</v>
      </c>
      <c r="F344" s="16" t="s">
        <v>6135</v>
      </c>
      <c r="G344" s="22" t="s">
        <v>6135</v>
      </c>
      <c r="H344" s="22">
        <v>6030.0</v>
      </c>
      <c r="I344" s="84">
        <v>0.27</v>
      </c>
      <c r="J344" s="96">
        <v>2200.0</v>
      </c>
      <c r="K344" s="22">
        <v>21990.0</v>
      </c>
      <c r="L344" s="22">
        <v>13990.0</v>
      </c>
      <c r="M344" s="96">
        <v>12935.0</v>
      </c>
      <c r="N344" s="96">
        <v>8229.0</v>
      </c>
      <c r="O344" s="84">
        <v>0.3</v>
      </c>
      <c r="P344" s="84">
        <v>0.3</v>
      </c>
      <c r="Q344" s="133" t="s">
        <v>134</v>
      </c>
      <c r="R344" s="84">
        <v>0.49</v>
      </c>
      <c r="S344" s="84">
        <v>0.26</v>
      </c>
    </row>
    <row r="345">
      <c r="A345" s="135" t="s">
        <v>6113</v>
      </c>
      <c r="B345" s="16" t="s">
        <v>5713</v>
      </c>
      <c r="C345" s="16" t="s">
        <v>6136</v>
      </c>
      <c r="D345" s="16" t="s">
        <v>5893</v>
      </c>
      <c r="E345" s="16" t="s">
        <v>5893</v>
      </c>
      <c r="F345" s="16" t="s">
        <v>6137</v>
      </c>
      <c r="G345" s="22" t="s">
        <v>6137</v>
      </c>
      <c r="H345" s="22">
        <v>30378.0</v>
      </c>
      <c r="I345" s="84">
        <v>0.24</v>
      </c>
      <c r="J345" s="96">
        <v>9616.0</v>
      </c>
      <c r="K345" s="22">
        <v>102990.0</v>
      </c>
      <c r="L345" s="22">
        <v>67990.0</v>
      </c>
      <c r="M345" s="96">
        <v>60582.0</v>
      </c>
      <c r="N345" s="96">
        <v>39994.0</v>
      </c>
      <c r="O345" s="84">
        <v>0.3</v>
      </c>
      <c r="P345" s="84">
        <v>0.3</v>
      </c>
      <c r="Q345" s="133" t="s">
        <v>134</v>
      </c>
      <c r="R345" s="84">
        <v>0.47</v>
      </c>
      <c r="S345" s="84">
        <v>0.24</v>
      </c>
    </row>
    <row r="346">
      <c r="A346" s="136" t="s">
        <v>6138</v>
      </c>
      <c r="B346" s="16" t="s">
        <v>5852</v>
      </c>
      <c r="C346" s="89">
        <v>88280.0</v>
      </c>
      <c r="D346" s="16" t="s">
        <v>5853</v>
      </c>
      <c r="E346" s="16" t="s">
        <v>5853</v>
      </c>
      <c r="F346" s="16" t="s">
        <v>6139</v>
      </c>
      <c r="G346" s="22" t="s">
        <v>6139</v>
      </c>
      <c r="H346" s="16">
        <v>800.0</v>
      </c>
      <c r="I346" s="84">
        <v>0.55</v>
      </c>
      <c r="J346" s="96">
        <v>959.0</v>
      </c>
      <c r="K346" s="22">
        <v>5990.0</v>
      </c>
      <c r="L346" s="22">
        <v>2990.0</v>
      </c>
      <c r="M346" s="96">
        <v>3524.0</v>
      </c>
      <c r="N346" s="96">
        <v>1759.0</v>
      </c>
      <c r="O346" s="84">
        <v>0.3</v>
      </c>
      <c r="P346" s="84">
        <v>0.3</v>
      </c>
      <c r="Q346" s="133" t="s">
        <v>134</v>
      </c>
      <c r="R346" s="84">
        <v>0.68</v>
      </c>
      <c r="S346" s="84">
        <v>0.45</v>
      </c>
    </row>
    <row r="347">
      <c r="A347" s="136" t="s">
        <v>6138</v>
      </c>
      <c r="B347" s="16" t="s">
        <v>5852</v>
      </c>
      <c r="C347" s="89">
        <v>88277.0</v>
      </c>
      <c r="D347" s="16" t="s">
        <v>5853</v>
      </c>
      <c r="E347" s="16" t="s">
        <v>5853</v>
      </c>
      <c r="F347" s="16" t="s">
        <v>6140</v>
      </c>
      <c r="G347" s="22" t="s">
        <v>6140</v>
      </c>
      <c r="H347" s="22">
        <v>1000.0</v>
      </c>
      <c r="I347" s="84">
        <v>0.43</v>
      </c>
      <c r="J347" s="96">
        <v>759.0</v>
      </c>
      <c r="K347" s="22">
        <v>5990.0</v>
      </c>
      <c r="L347" s="22">
        <v>2990.0</v>
      </c>
      <c r="M347" s="96">
        <v>3524.0</v>
      </c>
      <c r="N347" s="96">
        <v>1759.0</v>
      </c>
      <c r="O347" s="84">
        <v>0.3</v>
      </c>
      <c r="P347" s="84">
        <v>0.3</v>
      </c>
      <c r="Q347" s="133" t="s">
        <v>134</v>
      </c>
      <c r="R347" s="84">
        <v>0.6</v>
      </c>
      <c r="S347" s="84">
        <v>0.37</v>
      </c>
    </row>
    <row r="348">
      <c r="A348" s="136" t="s">
        <v>6138</v>
      </c>
      <c r="B348" s="16" t="s">
        <v>5777</v>
      </c>
      <c r="C348" s="89">
        <v>151093.0</v>
      </c>
      <c r="D348" s="16" t="s">
        <v>5846</v>
      </c>
      <c r="E348" s="16" t="s">
        <v>5846</v>
      </c>
      <c r="F348" s="16" t="s">
        <v>6141</v>
      </c>
      <c r="G348" s="22" t="s">
        <v>6141</v>
      </c>
      <c r="H348" s="22">
        <v>1322.0</v>
      </c>
      <c r="I348" s="84">
        <v>0.44</v>
      </c>
      <c r="J348" s="96">
        <v>1025.0</v>
      </c>
      <c r="K348" s="22">
        <v>6990.0</v>
      </c>
      <c r="L348" s="22">
        <v>3990.0</v>
      </c>
      <c r="M348" s="96">
        <v>4112.0</v>
      </c>
      <c r="N348" s="96">
        <v>2347.0</v>
      </c>
      <c r="O348" s="84">
        <v>0.3</v>
      </c>
      <c r="P348" s="84">
        <v>0.3</v>
      </c>
      <c r="Q348" s="133" t="s">
        <v>134</v>
      </c>
      <c r="R348" s="84">
        <v>0.61</v>
      </c>
      <c r="S348" s="84">
        <v>0.38</v>
      </c>
    </row>
    <row r="349">
      <c r="A349" s="136" t="s">
        <v>6138</v>
      </c>
      <c r="B349" s="16" t="s">
        <v>5777</v>
      </c>
      <c r="C349" s="89">
        <v>70042.0</v>
      </c>
      <c r="D349" s="16" t="s">
        <v>6142</v>
      </c>
      <c r="E349" s="16" t="s">
        <v>6142</v>
      </c>
      <c r="F349" s="16" t="s">
        <v>6143</v>
      </c>
      <c r="G349" s="22" t="s">
        <v>6143</v>
      </c>
      <c r="H349" s="22">
        <v>1100.0</v>
      </c>
      <c r="I349" s="84">
        <v>0.37</v>
      </c>
      <c r="J349" s="96">
        <v>659.0</v>
      </c>
      <c r="K349" s="22">
        <v>5990.0</v>
      </c>
      <c r="L349" s="22">
        <v>2990.0</v>
      </c>
      <c r="M349" s="96">
        <v>3524.0</v>
      </c>
      <c r="N349" s="96">
        <v>1759.0</v>
      </c>
      <c r="O349" s="84">
        <v>0.3</v>
      </c>
      <c r="P349" s="84">
        <v>0.3</v>
      </c>
      <c r="Q349" s="133" t="s">
        <v>134</v>
      </c>
      <c r="R349" s="84">
        <v>0.56</v>
      </c>
      <c r="S349" s="84">
        <v>0.33</v>
      </c>
    </row>
    <row r="350">
      <c r="A350" s="136" t="s">
        <v>6138</v>
      </c>
      <c r="B350" s="16" t="s">
        <v>5880</v>
      </c>
      <c r="C350" s="89">
        <v>97536.0</v>
      </c>
      <c r="D350" s="16" t="s">
        <v>5881</v>
      </c>
      <c r="E350" s="16" t="s">
        <v>5881</v>
      </c>
      <c r="F350" s="16" t="s">
        <v>6144</v>
      </c>
      <c r="G350" s="22" t="s">
        <v>6144</v>
      </c>
      <c r="H350" s="22">
        <v>1998.0</v>
      </c>
      <c r="I350" s="84">
        <v>0.32</v>
      </c>
      <c r="J350" s="96">
        <v>937.0</v>
      </c>
      <c r="K350" s="22">
        <v>8990.0</v>
      </c>
      <c r="L350" s="22">
        <v>4990.0</v>
      </c>
      <c r="M350" s="96">
        <v>5288.0</v>
      </c>
      <c r="N350" s="96">
        <v>2935.0</v>
      </c>
      <c r="O350" s="84">
        <v>0.3</v>
      </c>
      <c r="P350" s="84">
        <v>0.3</v>
      </c>
      <c r="Q350" s="133" t="s">
        <v>134</v>
      </c>
      <c r="R350" s="84">
        <v>0.52</v>
      </c>
      <c r="S350" s="84">
        <v>0.29</v>
      </c>
    </row>
    <row r="351">
      <c r="A351" s="136" t="s">
        <v>6138</v>
      </c>
      <c r="B351" s="16" t="s">
        <v>5777</v>
      </c>
      <c r="C351" s="89">
        <v>10810.0</v>
      </c>
      <c r="D351" s="16" t="s">
        <v>5846</v>
      </c>
      <c r="E351" s="16" t="s">
        <v>5846</v>
      </c>
      <c r="F351" s="16" t="s">
        <v>6145</v>
      </c>
      <c r="G351" s="22" t="s">
        <v>6145</v>
      </c>
      <c r="H351" s="22">
        <v>1986.0</v>
      </c>
      <c r="I351" s="84">
        <v>0.32</v>
      </c>
      <c r="J351" s="96">
        <v>949.0</v>
      </c>
      <c r="K351" s="22">
        <v>8990.0</v>
      </c>
      <c r="L351" s="22">
        <v>4990.0</v>
      </c>
      <c r="M351" s="96">
        <v>5288.0</v>
      </c>
      <c r="N351" s="96">
        <v>2935.0</v>
      </c>
      <c r="O351" s="84">
        <v>0.3</v>
      </c>
      <c r="P351" s="84">
        <v>0.3</v>
      </c>
      <c r="Q351" s="133" t="s">
        <v>134</v>
      </c>
      <c r="R351" s="84">
        <v>0.53</v>
      </c>
      <c r="S351" s="84">
        <v>0.3</v>
      </c>
    </row>
    <row r="352">
      <c r="A352" s="136" t="s">
        <v>6138</v>
      </c>
      <c r="B352" s="16" t="s">
        <v>5777</v>
      </c>
      <c r="C352" s="89">
        <v>74006.0</v>
      </c>
      <c r="D352" s="16" t="s">
        <v>5846</v>
      </c>
      <c r="E352" s="16" t="s">
        <v>5846</v>
      </c>
      <c r="F352" s="16" t="s">
        <v>6146</v>
      </c>
      <c r="G352" s="22" t="s">
        <v>6146</v>
      </c>
      <c r="H352" s="22">
        <v>1732.0</v>
      </c>
      <c r="I352" s="84">
        <v>0.41</v>
      </c>
      <c r="J352" s="96">
        <v>1203.0</v>
      </c>
      <c r="K352" s="22">
        <v>8990.0</v>
      </c>
      <c r="L352" s="22">
        <v>4990.0</v>
      </c>
      <c r="M352" s="96">
        <v>5288.0</v>
      </c>
      <c r="N352" s="96">
        <v>2935.0</v>
      </c>
      <c r="O352" s="84">
        <v>0.3</v>
      </c>
      <c r="P352" s="84">
        <v>0.3</v>
      </c>
      <c r="Q352" s="133" t="s">
        <v>134</v>
      </c>
      <c r="R352" s="84">
        <v>0.59</v>
      </c>
      <c r="S352" s="84">
        <v>0.36</v>
      </c>
    </row>
    <row r="353">
      <c r="A353" s="136" t="s">
        <v>6138</v>
      </c>
      <c r="B353" s="16" t="s">
        <v>5852</v>
      </c>
      <c r="C353" s="89">
        <v>88281.0</v>
      </c>
      <c r="D353" s="16" t="s">
        <v>5853</v>
      </c>
      <c r="E353" s="16" t="s">
        <v>5853</v>
      </c>
      <c r="F353" s="16" t="s">
        <v>6147</v>
      </c>
      <c r="G353" s="22" t="s">
        <v>6147</v>
      </c>
      <c r="H353" s="22">
        <v>1768.0</v>
      </c>
      <c r="I353" s="84">
        <v>0.4</v>
      </c>
      <c r="J353" s="96">
        <v>1167.0</v>
      </c>
      <c r="K353" s="22">
        <v>8990.0</v>
      </c>
      <c r="L353" s="22">
        <v>4990.0</v>
      </c>
      <c r="M353" s="96">
        <v>5288.0</v>
      </c>
      <c r="N353" s="96">
        <v>2935.0</v>
      </c>
      <c r="O353" s="84">
        <v>0.3</v>
      </c>
      <c r="P353" s="84">
        <v>0.3</v>
      </c>
      <c r="Q353" s="133" t="s">
        <v>134</v>
      </c>
      <c r="R353" s="84">
        <v>0.58</v>
      </c>
      <c r="S353" s="84">
        <v>0.35</v>
      </c>
    </row>
    <row r="354">
      <c r="A354" s="136" t="s">
        <v>6138</v>
      </c>
      <c r="B354" s="16" t="s">
        <v>5777</v>
      </c>
      <c r="C354" s="89">
        <v>75302.0</v>
      </c>
      <c r="D354" s="16" t="s">
        <v>5846</v>
      </c>
      <c r="E354" s="16" t="s">
        <v>5846</v>
      </c>
      <c r="F354" s="16" t="s">
        <v>6148</v>
      </c>
      <c r="G354" s="22" t="s">
        <v>6148</v>
      </c>
      <c r="H354" s="22">
        <v>1760.0</v>
      </c>
      <c r="I354" s="84">
        <v>0.4</v>
      </c>
      <c r="J354" s="96">
        <v>1175.0</v>
      </c>
      <c r="K354" s="22">
        <v>8990.0</v>
      </c>
      <c r="L354" s="22">
        <v>4990.0</v>
      </c>
      <c r="M354" s="96">
        <v>5288.0</v>
      </c>
      <c r="N354" s="96">
        <v>2935.0</v>
      </c>
      <c r="O354" s="84">
        <v>0.3</v>
      </c>
      <c r="P354" s="84">
        <v>0.3</v>
      </c>
      <c r="Q354" s="133" t="s">
        <v>134</v>
      </c>
      <c r="R354" s="84">
        <v>0.58</v>
      </c>
      <c r="S354" s="84">
        <v>0.35</v>
      </c>
    </row>
    <row r="355">
      <c r="A355" s="136" t="s">
        <v>6138</v>
      </c>
      <c r="B355" s="16" t="s">
        <v>5852</v>
      </c>
      <c r="C355" s="89">
        <v>88278.0</v>
      </c>
      <c r="D355" s="16" t="s">
        <v>5853</v>
      </c>
      <c r="E355" s="16" t="s">
        <v>5853</v>
      </c>
      <c r="F355" s="16" t="s">
        <v>6149</v>
      </c>
      <c r="G355" s="22" t="s">
        <v>6149</v>
      </c>
      <c r="H355" s="22">
        <v>1200.0</v>
      </c>
      <c r="I355" s="84">
        <v>0.49</v>
      </c>
      <c r="J355" s="96">
        <v>1147.0</v>
      </c>
      <c r="K355" s="22">
        <v>6990.0</v>
      </c>
      <c r="L355" s="22">
        <v>3990.0</v>
      </c>
      <c r="M355" s="96">
        <v>4112.0</v>
      </c>
      <c r="N355" s="96">
        <v>2347.0</v>
      </c>
      <c r="O355" s="84">
        <v>0.3</v>
      </c>
      <c r="P355" s="84">
        <v>0.3</v>
      </c>
      <c r="Q355" s="133" t="s">
        <v>134</v>
      </c>
      <c r="R355" s="84">
        <v>0.64</v>
      </c>
      <c r="S355" s="84">
        <v>0.41</v>
      </c>
    </row>
    <row r="356">
      <c r="A356" s="136" t="s">
        <v>6138</v>
      </c>
      <c r="B356" s="16" t="s">
        <v>5777</v>
      </c>
      <c r="C356" s="89">
        <v>72784.0</v>
      </c>
      <c r="D356" s="16" t="s">
        <v>5846</v>
      </c>
      <c r="E356" s="16" t="s">
        <v>5846</v>
      </c>
      <c r="F356" s="16" t="s">
        <v>6150</v>
      </c>
      <c r="G356" s="22" t="s">
        <v>6150</v>
      </c>
      <c r="H356" s="22">
        <v>1665.0</v>
      </c>
      <c r="I356" s="84">
        <v>0.43</v>
      </c>
      <c r="J356" s="96">
        <v>1271.0</v>
      </c>
      <c r="K356" s="22">
        <v>8990.0</v>
      </c>
      <c r="L356" s="22">
        <v>4990.0</v>
      </c>
      <c r="M356" s="96">
        <v>5288.0</v>
      </c>
      <c r="N356" s="96">
        <v>2935.0</v>
      </c>
      <c r="O356" s="84">
        <v>0.3</v>
      </c>
      <c r="P356" s="84">
        <v>0.3</v>
      </c>
      <c r="Q356" s="133" t="s">
        <v>134</v>
      </c>
      <c r="R356" s="84">
        <v>0.6</v>
      </c>
      <c r="S356" s="84">
        <v>0.37</v>
      </c>
    </row>
    <row r="357">
      <c r="A357" s="136" t="s">
        <v>6138</v>
      </c>
      <c r="B357" s="16" t="s">
        <v>5777</v>
      </c>
      <c r="C357" s="89">
        <v>74086.0</v>
      </c>
      <c r="D357" s="16" t="s">
        <v>5846</v>
      </c>
      <c r="E357" s="16" t="s">
        <v>5846</v>
      </c>
      <c r="F357" s="16" t="s">
        <v>6151</v>
      </c>
      <c r="G357" s="22" t="s">
        <v>6151</v>
      </c>
      <c r="H357" s="22">
        <v>1020.0</v>
      </c>
      <c r="I357" s="84">
        <v>0.42</v>
      </c>
      <c r="J357" s="96">
        <v>739.0</v>
      </c>
      <c r="K357" s="22">
        <v>5990.0</v>
      </c>
      <c r="L357" s="22">
        <v>2990.0</v>
      </c>
      <c r="M357" s="96">
        <v>3524.0</v>
      </c>
      <c r="N357" s="96">
        <v>1759.0</v>
      </c>
      <c r="O357" s="84">
        <v>0.3</v>
      </c>
      <c r="P357" s="84">
        <v>0.3</v>
      </c>
      <c r="Q357" s="133" t="s">
        <v>134</v>
      </c>
      <c r="R357" s="84">
        <v>0.59</v>
      </c>
      <c r="S357" s="84">
        <v>0.36</v>
      </c>
    </row>
    <row r="358">
      <c r="A358" s="136" t="s">
        <v>6138</v>
      </c>
      <c r="B358" s="16" t="s">
        <v>5880</v>
      </c>
      <c r="C358" s="89">
        <v>95665.0</v>
      </c>
      <c r="D358" s="16" t="s">
        <v>5881</v>
      </c>
      <c r="E358" s="16" t="s">
        <v>5881</v>
      </c>
      <c r="F358" s="16" t="s">
        <v>6152</v>
      </c>
      <c r="G358" s="22" t="s">
        <v>6152</v>
      </c>
      <c r="H358" s="16">
        <v>875.0</v>
      </c>
      <c r="I358" s="84">
        <v>0.5</v>
      </c>
      <c r="J358" s="96">
        <v>884.0</v>
      </c>
      <c r="K358" s="22">
        <v>5990.0</v>
      </c>
      <c r="L358" s="22">
        <v>2990.0</v>
      </c>
      <c r="M358" s="96">
        <v>3524.0</v>
      </c>
      <c r="N358" s="96">
        <v>1759.0</v>
      </c>
      <c r="O358" s="84">
        <v>0.3</v>
      </c>
      <c r="P358" s="84">
        <v>0.3</v>
      </c>
      <c r="Q358" s="133" t="s">
        <v>134</v>
      </c>
      <c r="R358" s="84">
        <v>0.65</v>
      </c>
      <c r="S358" s="84">
        <v>0.42</v>
      </c>
    </row>
    <row r="359">
      <c r="A359" s="136" t="s">
        <v>6138</v>
      </c>
      <c r="B359" s="16" t="s">
        <v>5777</v>
      </c>
      <c r="C359" s="89">
        <v>74134.0</v>
      </c>
      <c r="D359" s="16" t="s">
        <v>5846</v>
      </c>
      <c r="E359" s="16" t="s">
        <v>5846</v>
      </c>
      <c r="F359" s="16" t="s">
        <v>6153</v>
      </c>
      <c r="G359" s="22" t="s">
        <v>6153</v>
      </c>
      <c r="H359" s="22">
        <v>3534.0</v>
      </c>
      <c r="I359" s="84">
        <v>0.33</v>
      </c>
      <c r="J359" s="96">
        <v>1754.0</v>
      </c>
      <c r="K359" s="22">
        <v>14990.0</v>
      </c>
      <c r="L359" s="22">
        <v>8990.0</v>
      </c>
      <c r="M359" s="96">
        <v>8818.0</v>
      </c>
      <c r="N359" s="96">
        <v>5288.0</v>
      </c>
      <c r="O359" s="84">
        <v>0.3</v>
      </c>
      <c r="P359" s="84">
        <v>0.3</v>
      </c>
      <c r="Q359" s="133" t="s">
        <v>134</v>
      </c>
      <c r="R359" s="84">
        <v>0.53</v>
      </c>
      <c r="S359" s="84">
        <v>0.3</v>
      </c>
    </row>
    <row r="360">
      <c r="A360" s="136" t="s">
        <v>6138</v>
      </c>
      <c r="B360" s="16" t="s">
        <v>5777</v>
      </c>
      <c r="C360" s="89">
        <v>74085.0</v>
      </c>
      <c r="D360" s="16" t="s">
        <v>5846</v>
      </c>
      <c r="E360" s="16" t="s">
        <v>5846</v>
      </c>
      <c r="F360" s="16" t="s">
        <v>6154</v>
      </c>
      <c r="G360" s="22" t="s">
        <v>6154</v>
      </c>
      <c r="H360" s="22">
        <v>1020.0</v>
      </c>
      <c r="I360" s="84">
        <v>0.42</v>
      </c>
      <c r="J360" s="96">
        <v>739.0</v>
      </c>
      <c r="K360" s="22">
        <v>5990.0</v>
      </c>
      <c r="L360" s="22">
        <v>2990.0</v>
      </c>
      <c r="M360" s="96">
        <v>3524.0</v>
      </c>
      <c r="N360" s="96">
        <v>1759.0</v>
      </c>
      <c r="O360" s="84">
        <v>0.3</v>
      </c>
      <c r="P360" s="84">
        <v>0.3</v>
      </c>
      <c r="Q360" s="133" t="s">
        <v>134</v>
      </c>
      <c r="R360" s="84">
        <v>0.59</v>
      </c>
      <c r="S360" s="84">
        <v>0.36</v>
      </c>
    </row>
    <row r="361">
      <c r="A361" s="136" t="s">
        <v>6138</v>
      </c>
      <c r="B361" s="16" t="s">
        <v>5773</v>
      </c>
      <c r="C361" s="89">
        <v>1100077.0</v>
      </c>
      <c r="D361" s="16" t="s">
        <v>5846</v>
      </c>
      <c r="E361" s="16" t="s">
        <v>5846</v>
      </c>
      <c r="F361" s="16" t="s">
        <v>6155</v>
      </c>
      <c r="G361" s="22" t="s">
        <v>6155</v>
      </c>
      <c r="H361" s="22">
        <v>8399.0</v>
      </c>
      <c r="I361" s="84">
        <v>0.25</v>
      </c>
      <c r="J361" s="96">
        <v>2772.0</v>
      </c>
      <c r="K361" s="22">
        <v>29990.0</v>
      </c>
      <c r="L361" s="22">
        <v>18990.0</v>
      </c>
      <c r="M361" s="96">
        <v>17641.0</v>
      </c>
      <c r="N361" s="96">
        <v>11171.0</v>
      </c>
      <c r="O361" s="84">
        <v>0.3</v>
      </c>
      <c r="P361" s="84">
        <v>0.3</v>
      </c>
      <c r="Q361" s="133" t="s">
        <v>134</v>
      </c>
      <c r="R361" s="84">
        <v>0.47</v>
      </c>
      <c r="S361" s="84">
        <v>0.24</v>
      </c>
    </row>
    <row r="362">
      <c r="A362" s="136" t="s">
        <v>6138</v>
      </c>
      <c r="B362" s="16" t="s">
        <v>5880</v>
      </c>
      <c r="C362" s="89">
        <v>21219.0</v>
      </c>
      <c r="D362" s="16" t="s">
        <v>5881</v>
      </c>
      <c r="E362" s="16" t="s">
        <v>5881</v>
      </c>
      <c r="F362" s="16" t="s">
        <v>6156</v>
      </c>
      <c r="G362" s="22" t="s">
        <v>6156</v>
      </c>
      <c r="H362" s="22">
        <v>1322.0</v>
      </c>
      <c r="I362" s="84">
        <v>0.44</v>
      </c>
      <c r="J362" s="96">
        <v>1025.0</v>
      </c>
      <c r="K362" s="22">
        <v>6990.0</v>
      </c>
      <c r="L362" s="22">
        <v>3990.0</v>
      </c>
      <c r="M362" s="96">
        <v>4112.0</v>
      </c>
      <c r="N362" s="96">
        <v>2347.0</v>
      </c>
      <c r="O362" s="84">
        <v>0.3</v>
      </c>
      <c r="P362" s="84">
        <v>0.3</v>
      </c>
      <c r="Q362" s="133" t="s">
        <v>134</v>
      </c>
      <c r="R362" s="84">
        <v>0.61</v>
      </c>
      <c r="S362" s="84">
        <v>0.38</v>
      </c>
    </row>
    <row r="363">
      <c r="A363" s="136" t="s">
        <v>6138</v>
      </c>
      <c r="B363" s="16" t="s">
        <v>5773</v>
      </c>
      <c r="C363" s="89">
        <v>1100010.0</v>
      </c>
      <c r="D363" s="16" t="s">
        <v>5846</v>
      </c>
      <c r="E363" s="16" t="s">
        <v>5846</v>
      </c>
      <c r="F363" s="16" t="s">
        <v>6157</v>
      </c>
      <c r="G363" s="22" t="s">
        <v>6157</v>
      </c>
      <c r="H363" s="22">
        <v>1322.0</v>
      </c>
      <c r="I363" s="84">
        <v>0.44</v>
      </c>
      <c r="J363" s="96">
        <v>1025.0</v>
      </c>
      <c r="K363" s="22">
        <v>6990.0</v>
      </c>
      <c r="L363" s="22">
        <v>3990.0</v>
      </c>
      <c r="M363" s="96">
        <v>4112.0</v>
      </c>
      <c r="N363" s="96">
        <v>2347.0</v>
      </c>
      <c r="O363" s="84">
        <v>0.3</v>
      </c>
      <c r="P363" s="84">
        <v>0.3</v>
      </c>
      <c r="Q363" s="133" t="s">
        <v>134</v>
      </c>
      <c r="R363" s="84">
        <v>0.61</v>
      </c>
      <c r="S363" s="84">
        <v>0.38</v>
      </c>
    </row>
    <row r="364">
      <c r="A364" s="136" t="s">
        <v>6138</v>
      </c>
      <c r="B364" s="16" t="s">
        <v>5777</v>
      </c>
      <c r="C364" s="89">
        <v>75137.0</v>
      </c>
      <c r="D364" s="16" t="s">
        <v>5846</v>
      </c>
      <c r="E364" s="16" t="s">
        <v>5846</v>
      </c>
      <c r="F364" s="16" t="s">
        <v>6158</v>
      </c>
      <c r="G364" s="22" t="s">
        <v>6158</v>
      </c>
      <c r="H364" s="22">
        <v>2989.0</v>
      </c>
      <c r="I364" s="84">
        <v>0.36</v>
      </c>
      <c r="J364" s="96">
        <v>1711.0</v>
      </c>
      <c r="K364" s="22">
        <v>12990.0</v>
      </c>
      <c r="L364" s="22">
        <v>7990.0</v>
      </c>
      <c r="M364" s="96">
        <v>7641.0</v>
      </c>
      <c r="N364" s="96">
        <v>4700.0</v>
      </c>
      <c r="O364" s="84">
        <v>0.3</v>
      </c>
      <c r="P364" s="84">
        <v>0.3</v>
      </c>
      <c r="Q364" s="133" t="s">
        <v>134</v>
      </c>
      <c r="R364" s="84">
        <v>0.55</v>
      </c>
      <c r="S364" s="84">
        <v>0.32</v>
      </c>
    </row>
    <row r="365">
      <c r="A365" s="136" t="s">
        <v>6138</v>
      </c>
      <c r="B365" s="16" t="s">
        <v>5777</v>
      </c>
      <c r="C365" s="89">
        <v>75157.0</v>
      </c>
      <c r="D365" s="16" t="s">
        <v>5846</v>
      </c>
      <c r="E365" s="16" t="s">
        <v>5846</v>
      </c>
      <c r="F365" s="16" t="s">
        <v>6159</v>
      </c>
      <c r="G365" s="22" t="s">
        <v>6159</v>
      </c>
      <c r="H365" s="22">
        <v>2890.0</v>
      </c>
      <c r="I365" s="84">
        <v>0.3</v>
      </c>
      <c r="J365" s="96">
        <v>1222.0</v>
      </c>
      <c r="K365" s="22">
        <v>11990.0</v>
      </c>
      <c r="L365" s="22">
        <v>6990.0</v>
      </c>
      <c r="M365" s="96">
        <v>7053.0</v>
      </c>
      <c r="N365" s="96">
        <v>4112.0</v>
      </c>
      <c r="O365" s="84">
        <v>0.3</v>
      </c>
      <c r="P365" s="84">
        <v>0.3</v>
      </c>
      <c r="Q365" s="133" t="s">
        <v>134</v>
      </c>
      <c r="R365" s="84">
        <v>0.51</v>
      </c>
      <c r="S365" s="84">
        <v>0.28</v>
      </c>
    </row>
    <row r="366">
      <c r="A366" s="136" t="s">
        <v>6138</v>
      </c>
      <c r="B366" s="16" t="s">
        <v>5777</v>
      </c>
      <c r="C366" s="89">
        <v>72384.0</v>
      </c>
      <c r="D366" s="16" t="s">
        <v>5871</v>
      </c>
      <c r="E366" s="16" t="s">
        <v>5871</v>
      </c>
      <c r="F366" s="16" t="s">
        <v>6160</v>
      </c>
      <c r="G366" s="22" t="s">
        <v>6160</v>
      </c>
      <c r="H366" s="22">
        <v>1765.0</v>
      </c>
      <c r="I366" s="84">
        <v>0.4</v>
      </c>
      <c r="J366" s="96">
        <v>1171.0</v>
      </c>
      <c r="K366" s="22">
        <v>8990.0</v>
      </c>
      <c r="L366" s="22">
        <v>4990.0</v>
      </c>
      <c r="M366" s="96">
        <v>5288.0</v>
      </c>
      <c r="N366" s="96">
        <v>2935.0</v>
      </c>
      <c r="O366" s="84">
        <v>0.3</v>
      </c>
      <c r="P366" s="84">
        <v>0.3</v>
      </c>
      <c r="Q366" s="133" t="s">
        <v>134</v>
      </c>
      <c r="R366" s="84">
        <v>0.58</v>
      </c>
      <c r="S366" s="84">
        <v>0.35</v>
      </c>
    </row>
    <row r="367">
      <c r="A367" s="136" t="s">
        <v>6138</v>
      </c>
      <c r="B367" s="16" t="s">
        <v>5777</v>
      </c>
      <c r="C367" s="89">
        <v>72743.0</v>
      </c>
      <c r="D367" s="16" t="s">
        <v>5846</v>
      </c>
      <c r="E367" s="16" t="s">
        <v>5846</v>
      </c>
      <c r="F367" s="16" t="s">
        <v>6161</v>
      </c>
      <c r="G367" s="22" t="s">
        <v>6161</v>
      </c>
      <c r="H367" s="22">
        <v>2496.0</v>
      </c>
      <c r="I367" s="84">
        <v>0.29</v>
      </c>
      <c r="J367" s="96">
        <v>1028.0</v>
      </c>
      <c r="K367" s="22">
        <v>9990.0</v>
      </c>
      <c r="L367" s="22">
        <v>5990.0</v>
      </c>
      <c r="M367" s="96">
        <v>5876.0</v>
      </c>
      <c r="N367" s="96">
        <v>3524.0</v>
      </c>
      <c r="O367" s="84">
        <v>0.3</v>
      </c>
      <c r="P367" s="84">
        <v>0.3</v>
      </c>
      <c r="Q367" s="133" t="s">
        <v>134</v>
      </c>
      <c r="R367" s="84">
        <v>0.5</v>
      </c>
      <c r="S367" s="84">
        <v>0.27</v>
      </c>
    </row>
    <row r="368">
      <c r="A368" s="136" t="s">
        <v>6138</v>
      </c>
      <c r="B368" s="16" t="s">
        <v>5828</v>
      </c>
      <c r="C368" s="89">
        <v>72847.0</v>
      </c>
      <c r="D368" s="16" t="s">
        <v>5871</v>
      </c>
      <c r="E368" s="16" t="s">
        <v>5871</v>
      </c>
      <c r="F368" s="16" t="s">
        <v>6162</v>
      </c>
      <c r="G368" s="22" t="s">
        <v>6162</v>
      </c>
      <c r="H368" s="22">
        <v>6382.0</v>
      </c>
      <c r="I368" s="84">
        <v>0.28</v>
      </c>
      <c r="J368" s="96">
        <v>2436.0</v>
      </c>
      <c r="K368" s="22">
        <v>23990.0</v>
      </c>
      <c r="L368" s="22">
        <v>14990.0</v>
      </c>
      <c r="M368" s="96">
        <v>14112.0</v>
      </c>
      <c r="N368" s="96">
        <v>8818.0</v>
      </c>
      <c r="O368" s="84">
        <v>0.3</v>
      </c>
      <c r="P368" s="84">
        <v>0.3</v>
      </c>
      <c r="Q368" s="133" t="s">
        <v>134</v>
      </c>
      <c r="R368" s="84">
        <v>0.49</v>
      </c>
      <c r="S368" s="84">
        <v>0.26</v>
      </c>
    </row>
    <row r="369">
      <c r="A369" s="136" t="s">
        <v>6138</v>
      </c>
      <c r="B369" s="16" t="s">
        <v>5880</v>
      </c>
      <c r="C369" s="89">
        <v>97754.0</v>
      </c>
      <c r="D369" s="16" t="s">
        <v>5881</v>
      </c>
      <c r="E369" s="16" t="s">
        <v>5881</v>
      </c>
      <c r="F369" s="16" t="s">
        <v>6163</v>
      </c>
      <c r="G369" s="22" t="s">
        <v>6163</v>
      </c>
      <c r="H369" s="22">
        <v>1030.0</v>
      </c>
      <c r="I369" s="84">
        <v>0.41</v>
      </c>
      <c r="J369" s="96">
        <v>729.0</v>
      </c>
      <c r="K369" s="22">
        <v>5990.0</v>
      </c>
      <c r="L369" s="22">
        <v>2990.0</v>
      </c>
      <c r="M369" s="96">
        <v>3524.0</v>
      </c>
      <c r="N369" s="96">
        <v>1759.0</v>
      </c>
      <c r="O369" s="84">
        <v>0.3</v>
      </c>
      <c r="P369" s="84">
        <v>0.3</v>
      </c>
      <c r="Q369" s="133" t="s">
        <v>134</v>
      </c>
      <c r="R369" s="84">
        <v>0.59</v>
      </c>
      <c r="S369" s="84">
        <v>0.36</v>
      </c>
    </row>
    <row r="370">
      <c r="A370" s="136" t="s">
        <v>6138</v>
      </c>
      <c r="B370" s="16" t="s">
        <v>5777</v>
      </c>
      <c r="C370" s="89">
        <v>72220.0</v>
      </c>
      <c r="D370" s="16" t="s">
        <v>5871</v>
      </c>
      <c r="E370" s="16" t="s">
        <v>5871</v>
      </c>
      <c r="F370" s="16" t="s">
        <v>6164</v>
      </c>
      <c r="G370" s="22" t="s">
        <v>6164</v>
      </c>
      <c r="H370" s="22">
        <v>1300.0</v>
      </c>
      <c r="I370" s="84">
        <v>0.45</v>
      </c>
      <c r="J370" s="96">
        <v>1047.0</v>
      </c>
      <c r="K370" s="22">
        <v>6990.0</v>
      </c>
      <c r="L370" s="22">
        <v>3990.0</v>
      </c>
      <c r="M370" s="96">
        <v>4112.0</v>
      </c>
      <c r="N370" s="96">
        <v>2347.0</v>
      </c>
      <c r="O370" s="84">
        <v>0.3</v>
      </c>
      <c r="P370" s="84">
        <v>0.3</v>
      </c>
      <c r="Q370" s="133" t="s">
        <v>134</v>
      </c>
      <c r="R370" s="84">
        <v>0.61</v>
      </c>
      <c r="S370" s="84">
        <v>0.38</v>
      </c>
    </row>
    <row r="371">
      <c r="A371" s="136" t="s">
        <v>6138</v>
      </c>
      <c r="B371" s="16" t="s">
        <v>5738</v>
      </c>
      <c r="C371" s="89">
        <v>136001.0</v>
      </c>
      <c r="D371" s="16" t="s">
        <v>5846</v>
      </c>
      <c r="E371" s="16" t="s">
        <v>5846</v>
      </c>
      <c r="F371" s="16" t="s">
        <v>6165</v>
      </c>
      <c r="G371" s="22" t="s">
        <v>6165</v>
      </c>
      <c r="H371" s="22">
        <v>2013.0</v>
      </c>
      <c r="I371" s="84">
        <v>0.31</v>
      </c>
      <c r="J371" s="96">
        <v>922.0</v>
      </c>
      <c r="K371" s="22">
        <v>8990.0</v>
      </c>
      <c r="L371" s="22">
        <v>4990.0</v>
      </c>
      <c r="M371" s="96">
        <v>5288.0</v>
      </c>
      <c r="N371" s="96">
        <v>2935.0</v>
      </c>
      <c r="O371" s="84">
        <v>0.3</v>
      </c>
      <c r="P371" s="84">
        <v>0.3</v>
      </c>
      <c r="Q371" s="133" t="s">
        <v>134</v>
      </c>
      <c r="R371" s="84">
        <v>0.52</v>
      </c>
      <c r="S371" s="84">
        <v>0.29</v>
      </c>
    </row>
    <row r="372">
      <c r="A372" s="136" t="s">
        <v>6138</v>
      </c>
      <c r="B372" s="16" t="s">
        <v>5777</v>
      </c>
      <c r="C372" s="89">
        <v>77335.0</v>
      </c>
      <c r="D372" s="16" t="s">
        <v>5846</v>
      </c>
      <c r="E372" s="16" t="s">
        <v>5846</v>
      </c>
      <c r="F372" s="16" t="s">
        <v>6166</v>
      </c>
      <c r="G372" s="22" t="s">
        <v>6166</v>
      </c>
      <c r="H372" s="22">
        <v>1245.0</v>
      </c>
      <c r="I372" s="84">
        <v>0.47</v>
      </c>
      <c r="J372" s="96">
        <v>1102.0</v>
      </c>
      <c r="K372" s="22">
        <v>6990.0</v>
      </c>
      <c r="L372" s="22">
        <v>3990.0</v>
      </c>
      <c r="M372" s="96">
        <v>4112.0</v>
      </c>
      <c r="N372" s="96">
        <v>2347.0</v>
      </c>
      <c r="O372" s="84">
        <v>0.3</v>
      </c>
      <c r="P372" s="84">
        <v>0.3</v>
      </c>
      <c r="Q372" s="133" t="s">
        <v>134</v>
      </c>
      <c r="R372" s="84">
        <v>0.63</v>
      </c>
      <c r="S372" s="84">
        <v>0.4</v>
      </c>
    </row>
    <row r="373">
      <c r="A373" s="136" t="s">
        <v>6138</v>
      </c>
      <c r="B373" s="16" t="s">
        <v>5738</v>
      </c>
      <c r="C373" s="16" t="s">
        <v>6167</v>
      </c>
      <c r="D373" s="16" t="s">
        <v>5846</v>
      </c>
      <c r="E373" s="16" t="s">
        <v>5846</v>
      </c>
      <c r="F373" s="16" t="s">
        <v>6168</v>
      </c>
      <c r="G373" s="22" t="s">
        <v>6168</v>
      </c>
      <c r="H373" s="22">
        <v>1998.0</v>
      </c>
      <c r="I373" s="84">
        <v>0.32</v>
      </c>
      <c r="J373" s="96">
        <v>937.0</v>
      </c>
      <c r="K373" s="22">
        <v>8990.0</v>
      </c>
      <c r="L373" s="22">
        <v>4990.0</v>
      </c>
      <c r="M373" s="96">
        <v>5288.0</v>
      </c>
      <c r="N373" s="96">
        <v>2935.0</v>
      </c>
      <c r="O373" s="84">
        <v>0.3</v>
      </c>
      <c r="P373" s="84">
        <v>0.3</v>
      </c>
      <c r="Q373" s="133" t="s">
        <v>134</v>
      </c>
      <c r="R373" s="84">
        <v>0.52</v>
      </c>
      <c r="S373" s="84">
        <v>0.29</v>
      </c>
    </row>
    <row r="374">
      <c r="A374" s="136" t="s">
        <v>6138</v>
      </c>
      <c r="B374" s="16" t="s">
        <v>5777</v>
      </c>
      <c r="C374" s="89">
        <v>701720.0</v>
      </c>
      <c r="D374" s="16" t="s">
        <v>6142</v>
      </c>
      <c r="E374" s="16" t="s">
        <v>6142</v>
      </c>
      <c r="F374" s="16" t="s">
        <v>6169</v>
      </c>
      <c r="G374" s="22" t="s">
        <v>6169</v>
      </c>
      <c r="H374" s="22">
        <v>1100.0</v>
      </c>
      <c r="I374" s="84">
        <v>0.37</v>
      </c>
      <c r="J374" s="96">
        <v>659.0</v>
      </c>
      <c r="K374" s="22">
        <v>5990.0</v>
      </c>
      <c r="L374" s="22">
        <v>2990.0</v>
      </c>
      <c r="M374" s="96">
        <v>3524.0</v>
      </c>
      <c r="N374" s="96">
        <v>1759.0</v>
      </c>
      <c r="O374" s="84">
        <v>0.3</v>
      </c>
      <c r="P374" s="84">
        <v>0.3</v>
      </c>
      <c r="Q374" s="133" t="s">
        <v>134</v>
      </c>
      <c r="R374" s="84">
        <v>0.56</v>
      </c>
      <c r="S374" s="84">
        <v>0.33</v>
      </c>
    </row>
    <row r="375">
      <c r="A375" s="136" t="s">
        <v>6138</v>
      </c>
      <c r="B375" s="16" t="s">
        <v>5777</v>
      </c>
      <c r="C375" s="89">
        <v>71878.0</v>
      </c>
      <c r="D375" s="16" t="s">
        <v>6142</v>
      </c>
      <c r="E375" s="16" t="s">
        <v>6142</v>
      </c>
      <c r="F375" s="16" t="s">
        <v>6170</v>
      </c>
      <c r="G375" s="22" t="s">
        <v>6170</v>
      </c>
      <c r="H375" s="22">
        <v>2107.0</v>
      </c>
      <c r="I375" s="84">
        <v>0.4</v>
      </c>
      <c r="J375" s="96">
        <v>1417.0</v>
      </c>
      <c r="K375" s="22">
        <v>9990.0</v>
      </c>
      <c r="L375" s="22">
        <v>5990.0</v>
      </c>
      <c r="M375" s="96">
        <v>5876.0</v>
      </c>
      <c r="N375" s="96">
        <v>3524.0</v>
      </c>
      <c r="O375" s="84">
        <v>0.3</v>
      </c>
      <c r="P375" s="84">
        <v>0.3</v>
      </c>
      <c r="Q375" s="133" t="s">
        <v>134</v>
      </c>
      <c r="R375" s="84">
        <v>0.58</v>
      </c>
      <c r="S375" s="84">
        <v>0.35</v>
      </c>
    </row>
    <row r="376">
      <c r="A376" s="136" t="s">
        <v>6138</v>
      </c>
      <c r="B376" s="16" t="s">
        <v>5777</v>
      </c>
      <c r="C376" s="89">
        <v>753100.0</v>
      </c>
      <c r="D376" s="16" t="s">
        <v>5846</v>
      </c>
      <c r="E376" s="16" t="s">
        <v>5846</v>
      </c>
      <c r="F376" s="16" t="s">
        <v>6171</v>
      </c>
      <c r="G376" s="22" t="s">
        <v>6171</v>
      </c>
      <c r="H376" s="22">
        <v>1998.0</v>
      </c>
      <c r="I376" s="84">
        <v>0.32</v>
      </c>
      <c r="J376" s="96">
        <v>937.0</v>
      </c>
      <c r="K376" s="22">
        <v>8990.0</v>
      </c>
      <c r="L376" s="22">
        <v>4990.0</v>
      </c>
      <c r="M376" s="96">
        <v>5288.0</v>
      </c>
      <c r="N376" s="96">
        <v>2935.0</v>
      </c>
      <c r="O376" s="84">
        <v>0.3</v>
      </c>
      <c r="P376" s="84">
        <v>0.3</v>
      </c>
      <c r="Q376" s="133" t="s">
        <v>134</v>
      </c>
      <c r="R376" s="84">
        <v>0.52</v>
      </c>
      <c r="S376" s="84">
        <v>0.29</v>
      </c>
    </row>
    <row r="377">
      <c r="A377" s="136" t="s">
        <v>6138</v>
      </c>
      <c r="B377" s="16" t="s">
        <v>5852</v>
      </c>
      <c r="C377" s="89">
        <v>88002.0</v>
      </c>
      <c r="D377" s="16" t="s">
        <v>5853</v>
      </c>
      <c r="E377" s="16" t="s">
        <v>5853</v>
      </c>
      <c r="F377" s="16" t="s">
        <v>6172</v>
      </c>
      <c r="G377" s="22" t="s">
        <v>6172</v>
      </c>
      <c r="H377" s="22">
        <v>3534.0</v>
      </c>
      <c r="I377" s="84">
        <v>0.33</v>
      </c>
      <c r="J377" s="96">
        <v>1754.0</v>
      </c>
      <c r="K377" s="22">
        <v>14990.0</v>
      </c>
      <c r="L377" s="22">
        <v>8990.0</v>
      </c>
      <c r="M377" s="96">
        <v>8818.0</v>
      </c>
      <c r="N377" s="96">
        <v>5288.0</v>
      </c>
      <c r="O377" s="84">
        <v>0.3</v>
      </c>
      <c r="P377" s="84">
        <v>0.3</v>
      </c>
      <c r="Q377" s="133" t="s">
        <v>134</v>
      </c>
      <c r="R377" s="84">
        <v>0.53</v>
      </c>
      <c r="S377" s="84">
        <v>0.3</v>
      </c>
    </row>
    <row r="378">
      <c r="A378" s="136" t="s">
        <v>6138</v>
      </c>
      <c r="B378" s="16" t="s">
        <v>5773</v>
      </c>
      <c r="C378" s="89">
        <v>3950041.0</v>
      </c>
      <c r="D378" s="16" t="s">
        <v>5846</v>
      </c>
      <c r="E378" s="16" t="s">
        <v>5846</v>
      </c>
      <c r="F378" s="16" t="s">
        <v>6173</v>
      </c>
      <c r="G378" s="22" t="s">
        <v>6173</v>
      </c>
      <c r="H378" s="22">
        <v>2649.0</v>
      </c>
      <c r="I378" s="84">
        <v>0.36</v>
      </c>
      <c r="J378" s="96">
        <v>1462.0</v>
      </c>
      <c r="K378" s="22">
        <v>11990.0</v>
      </c>
      <c r="L378" s="22">
        <v>6990.0</v>
      </c>
      <c r="M378" s="96">
        <v>7053.0</v>
      </c>
      <c r="N378" s="96">
        <v>4112.0</v>
      </c>
      <c r="O378" s="84">
        <v>0.3</v>
      </c>
      <c r="P378" s="84">
        <v>0.3</v>
      </c>
      <c r="Q378" s="133" t="s">
        <v>134</v>
      </c>
      <c r="R378" s="84">
        <v>0.55</v>
      </c>
      <c r="S378" s="84">
        <v>0.32</v>
      </c>
    </row>
    <row r="379">
      <c r="A379" s="136" t="s">
        <v>6138</v>
      </c>
      <c r="B379" s="16" t="s">
        <v>5777</v>
      </c>
      <c r="C379" s="89">
        <v>100054.0</v>
      </c>
      <c r="D379" s="16" t="s">
        <v>5858</v>
      </c>
      <c r="E379" s="16" t="s">
        <v>5858</v>
      </c>
      <c r="F379" s="16" t="s">
        <v>6174</v>
      </c>
      <c r="G379" s="22" t="s">
        <v>6174</v>
      </c>
      <c r="H379" s="22">
        <v>3092.0</v>
      </c>
      <c r="I379" s="84">
        <v>0.34</v>
      </c>
      <c r="J379" s="96">
        <v>1608.0</v>
      </c>
      <c r="K379" s="22">
        <v>12990.0</v>
      </c>
      <c r="L379" s="22">
        <v>7990.0</v>
      </c>
      <c r="M379" s="96">
        <v>7641.0</v>
      </c>
      <c r="N379" s="96">
        <v>4700.0</v>
      </c>
      <c r="O379" s="84">
        <v>0.3</v>
      </c>
      <c r="P379" s="84">
        <v>0.3</v>
      </c>
      <c r="Q379" s="133" t="s">
        <v>134</v>
      </c>
      <c r="R379" s="84">
        <v>0.54</v>
      </c>
      <c r="S379" s="84">
        <v>0.31</v>
      </c>
    </row>
    <row r="380">
      <c r="A380" s="136" t="s">
        <v>6138</v>
      </c>
      <c r="B380" s="16" t="s">
        <v>5880</v>
      </c>
      <c r="C380" s="89">
        <v>21217.0</v>
      </c>
      <c r="D380" s="16" t="s">
        <v>5881</v>
      </c>
      <c r="E380" s="16" t="s">
        <v>5881</v>
      </c>
      <c r="F380" s="16" t="s">
        <v>6175</v>
      </c>
      <c r="G380" s="22" t="s">
        <v>6175</v>
      </c>
      <c r="H380" s="16">
        <v>867.0</v>
      </c>
      <c r="I380" s="84">
        <v>0.51</v>
      </c>
      <c r="J380" s="96">
        <v>892.0</v>
      </c>
      <c r="K380" s="22">
        <v>5990.0</v>
      </c>
      <c r="L380" s="22">
        <v>2990.0</v>
      </c>
      <c r="M380" s="96">
        <v>3524.0</v>
      </c>
      <c r="N380" s="96">
        <v>1759.0</v>
      </c>
      <c r="O380" s="84">
        <v>0.3</v>
      </c>
      <c r="P380" s="84">
        <v>0.3</v>
      </c>
      <c r="Q380" s="133" t="s">
        <v>134</v>
      </c>
      <c r="R380" s="84">
        <v>0.65</v>
      </c>
      <c r="S380" s="84">
        <v>0.42</v>
      </c>
    </row>
    <row r="381">
      <c r="A381" s="136" t="s">
        <v>6138</v>
      </c>
      <c r="B381" s="16" t="s">
        <v>5713</v>
      </c>
      <c r="C381" s="16" t="s">
        <v>6176</v>
      </c>
      <c r="D381" s="16" t="s">
        <v>5874</v>
      </c>
      <c r="E381" s="16" t="s">
        <v>5874</v>
      </c>
      <c r="F381" s="16" t="s">
        <v>6177</v>
      </c>
      <c r="G381" s="22" t="s">
        <v>6177</v>
      </c>
      <c r="H381" s="22">
        <v>3976.0</v>
      </c>
      <c r="I381" s="84">
        <v>0.32</v>
      </c>
      <c r="J381" s="96">
        <v>1900.0</v>
      </c>
      <c r="K381" s="22">
        <v>15990.0</v>
      </c>
      <c r="L381" s="22">
        <v>9990.0</v>
      </c>
      <c r="M381" s="96">
        <v>9406.0</v>
      </c>
      <c r="N381" s="96">
        <v>5876.0</v>
      </c>
      <c r="O381" s="84">
        <v>0.3</v>
      </c>
      <c r="P381" s="84">
        <v>0.3</v>
      </c>
      <c r="Q381" s="133" t="s">
        <v>134</v>
      </c>
      <c r="R381" s="84">
        <v>0.53</v>
      </c>
      <c r="S381" s="84">
        <v>0.3</v>
      </c>
    </row>
    <row r="382">
      <c r="A382" s="136" t="s">
        <v>6138</v>
      </c>
      <c r="B382" s="16" t="s">
        <v>5828</v>
      </c>
      <c r="C382" s="89">
        <v>701717.0</v>
      </c>
      <c r="D382" s="16" t="s">
        <v>6142</v>
      </c>
      <c r="E382" s="16" t="s">
        <v>6142</v>
      </c>
      <c r="F382" s="16" t="s">
        <v>6143</v>
      </c>
      <c r="G382" s="22" t="s">
        <v>6143</v>
      </c>
      <c r="H382" s="16">
        <v>823.0</v>
      </c>
      <c r="I382" s="84">
        <v>0.53</v>
      </c>
      <c r="J382" s="96">
        <v>936.0</v>
      </c>
      <c r="K382" s="22">
        <v>5990.0</v>
      </c>
      <c r="L382" s="22">
        <v>2990.0</v>
      </c>
      <c r="M382" s="96">
        <v>3524.0</v>
      </c>
      <c r="N382" s="96">
        <v>1759.0</v>
      </c>
      <c r="O382" s="84">
        <v>0.3</v>
      </c>
      <c r="P382" s="84">
        <v>0.3</v>
      </c>
      <c r="Q382" s="133" t="s">
        <v>134</v>
      </c>
      <c r="R382" s="84">
        <v>0.67</v>
      </c>
      <c r="S382" s="84">
        <v>0.44</v>
      </c>
    </row>
    <row r="383">
      <c r="A383" s="136" t="s">
        <v>6138</v>
      </c>
      <c r="B383" s="16" t="s">
        <v>5777</v>
      </c>
      <c r="C383" s="89">
        <v>100027.0</v>
      </c>
      <c r="D383" s="16" t="s">
        <v>5846</v>
      </c>
      <c r="E383" s="16" t="s">
        <v>5846</v>
      </c>
      <c r="F383" s="16" t="s">
        <v>6178</v>
      </c>
      <c r="G383" s="22" t="s">
        <v>6178</v>
      </c>
      <c r="H383" s="22">
        <v>1322.0</v>
      </c>
      <c r="I383" s="84">
        <v>0.44</v>
      </c>
      <c r="J383" s="96">
        <v>1025.0</v>
      </c>
      <c r="K383" s="22">
        <v>6990.0</v>
      </c>
      <c r="L383" s="22">
        <v>3990.0</v>
      </c>
      <c r="M383" s="96">
        <v>4112.0</v>
      </c>
      <c r="N383" s="96">
        <v>2347.0</v>
      </c>
      <c r="O383" s="84">
        <v>0.3</v>
      </c>
      <c r="P383" s="84">
        <v>0.3</v>
      </c>
      <c r="Q383" s="133" t="s">
        <v>134</v>
      </c>
      <c r="R383" s="84">
        <v>0.61</v>
      </c>
      <c r="S383" s="84">
        <v>0.38</v>
      </c>
    </row>
    <row r="384">
      <c r="A384" s="136" t="s">
        <v>6138</v>
      </c>
      <c r="B384" s="16" t="s">
        <v>5773</v>
      </c>
      <c r="C384" s="89">
        <v>3950403.0</v>
      </c>
      <c r="D384" s="16" t="s">
        <v>5846</v>
      </c>
      <c r="E384" s="16" t="s">
        <v>5846</v>
      </c>
      <c r="F384" s="16" t="s">
        <v>6179</v>
      </c>
      <c r="G384" s="22" t="s">
        <v>6179</v>
      </c>
      <c r="H384" s="22">
        <v>4861.0</v>
      </c>
      <c r="I384" s="84">
        <v>0.31</v>
      </c>
      <c r="J384" s="96">
        <v>2192.0</v>
      </c>
      <c r="K384" s="22">
        <v>18990.0</v>
      </c>
      <c r="L384" s="22">
        <v>11990.0</v>
      </c>
      <c r="M384" s="96">
        <v>11171.0</v>
      </c>
      <c r="N384" s="96">
        <v>7053.0</v>
      </c>
      <c r="O384" s="84">
        <v>0.3</v>
      </c>
      <c r="P384" s="84">
        <v>0.3</v>
      </c>
      <c r="Q384" s="133" t="s">
        <v>134</v>
      </c>
      <c r="R384" s="84">
        <v>0.52</v>
      </c>
      <c r="S384" s="84">
        <v>0.29</v>
      </c>
    </row>
    <row r="385">
      <c r="A385" s="136" t="s">
        <v>6138</v>
      </c>
      <c r="B385" s="16" t="s">
        <v>5777</v>
      </c>
      <c r="C385" s="89">
        <v>72307.0</v>
      </c>
      <c r="D385" s="16" t="s">
        <v>5871</v>
      </c>
      <c r="E385" s="16" t="s">
        <v>5871</v>
      </c>
      <c r="F385" s="16" t="s">
        <v>6180</v>
      </c>
      <c r="G385" s="22" t="s">
        <v>6180</v>
      </c>
      <c r="H385" s="22">
        <v>4861.0</v>
      </c>
      <c r="I385" s="84">
        <v>0.31</v>
      </c>
      <c r="J385" s="96">
        <v>2192.0</v>
      </c>
      <c r="K385" s="22">
        <v>18990.0</v>
      </c>
      <c r="L385" s="22">
        <v>11990.0</v>
      </c>
      <c r="M385" s="96">
        <v>11171.0</v>
      </c>
      <c r="N385" s="96">
        <v>7053.0</v>
      </c>
      <c r="O385" s="84">
        <v>0.3</v>
      </c>
      <c r="P385" s="84">
        <v>0.3</v>
      </c>
      <c r="Q385" s="133" t="s">
        <v>134</v>
      </c>
      <c r="R385" s="84">
        <v>0.52</v>
      </c>
      <c r="S385" s="84">
        <v>0.29</v>
      </c>
    </row>
    <row r="386">
      <c r="A386" s="136" t="s">
        <v>6138</v>
      </c>
      <c r="B386" s="16" t="s">
        <v>5777</v>
      </c>
      <c r="C386" s="89">
        <v>761500.0</v>
      </c>
      <c r="D386" s="16" t="s">
        <v>5846</v>
      </c>
      <c r="E386" s="16" t="s">
        <v>5846</v>
      </c>
      <c r="F386" s="16" t="s">
        <v>6181</v>
      </c>
      <c r="G386" s="22" t="s">
        <v>6181</v>
      </c>
      <c r="H386" s="22">
        <v>3092.0</v>
      </c>
      <c r="I386" s="84">
        <v>0.34</v>
      </c>
      <c r="J386" s="96">
        <v>1608.0</v>
      </c>
      <c r="K386" s="22">
        <v>12990.0</v>
      </c>
      <c r="L386" s="22">
        <v>7990.0</v>
      </c>
      <c r="M386" s="96">
        <v>7641.0</v>
      </c>
      <c r="N386" s="96">
        <v>4700.0</v>
      </c>
      <c r="O386" s="84">
        <v>0.3</v>
      </c>
      <c r="P386" s="84">
        <v>0.3</v>
      </c>
      <c r="Q386" s="133" t="s">
        <v>134</v>
      </c>
      <c r="R386" s="84">
        <v>0.54</v>
      </c>
      <c r="S386" s="84">
        <v>0.31</v>
      </c>
    </row>
    <row r="387">
      <c r="A387" s="136" t="s">
        <v>6138</v>
      </c>
      <c r="B387" s="16" t="s">
        <v>5777</v>
      </c>
      <c r="C387" s="89">
        <v>701749.0</v>
      </c>
      <c r="D387" s="16" t="s">
        <v>6142</v>
      </c>
      <c r="E387" s="16" t="s">
        <v>6142</v>
      </c>
      <c r="F387" s="16" t="s">
        <v>6182</v>
      </c>
      <c r="G387" s="22" t="s">
        <v>6182</v>
      </c>
      <c r="H387" s="22">
        <v>1100.0</v>
      </c>
      <c r="I387" s="84">
        <v>0.37</v>
      </c>
      <c r="J387" s="96">
        <v>659.0</v>
      </c>
      <c r="K387" s="22">
        <v>5990.0</v>
      </c>
      <c r="L387" s="22">
        <v>2990.0</v>
      </c>
      <c r="M387" s="96">
        <v>3524.0</v>
      </c>
      <c r="N387" s="96">
        <v>1759.0</v>
      </c>
      <c r="O387" s="84">
        <v>0.3</v>
      </c>
      <c r="P387" s="84">
        <v>0.3</v>
      </c>
      <c r="Q387" s="133" t="s">
        <v>134</v>
      </c>
      <c r="R387" s="84">
        <v>0.56</v>
      </c>
      <c r="S387" s="84">
        <v>0.33</v>
      </c>
    </row>
    <row r="388">
      <c r="A388" s="136" t="s">
        <v>6138</v>
      </c>
      <c r="B388" s="16" t="s">
        <v>5773</v>
      </c>
      <c r="C388" s="89">
        <v>1697005.0</v>
      </c>
      <c r="D388" s="16" t="s">
        <v>5858</v>
      </c>
      <c r="E388" s="16" t="s">
        <v>5858</v>
      </c>
      <c r="F388" s="16" t="s">
        <v>6183</v>
      </c>
      <c r="G388" s="22" t="s">
        <v>6183</v>
      </c>
      <c r="H388" s="22">
        <v>3092.0</v>
      </c>
      <c r="I388" s="84">
        <v>0.34</v>
      </c>
      <c r="J388" s="96">
        <v>1608.0</v>
      </c>
      <c r="K388" s="22">
        <v>12990.0</v>
      </c>
      <c r="L388" s="22">
        <v>7990.0</v>
      </c>
      <c r="M388" s="96">
        <v>7641.0</v>
      </c>
      <c r="N388" s="96">
        <v>4700.0</v>
      </c>
      <c r="O388" s="84">
        <v>0.3</v>
      </c>
      <c r="P388" s="84">
        <v>0.3</v>
      </c>
      <c r="Q388" s="133" t="s">
        <v>134</v>
      </c>
      <c r="R388" s="84">
        <v>0.54</v>
      </c>
      <c r="S388" s="84">
        <v>0.31</v>
      </c>
    </row>
    <row r="389">
      <c r="A389" s="136" t="s">
        <v>6138</v>
      </c>
      <c r="B389" s="16" t="s">
        <v>5738</v>
      </c>
      <c r="C389" s="89">
        <v>120054.0</v>
      </c>
      <c r="D389" s="16" t="s">
        <v>5858</v>
      </c>
      <c r="E389" s="16" t="s">
        <v>5858</v>
      </c>
      <c r="F389" s="16" t="s">
        <v>6184</v>
      </c>
      <c r="G389" s="22" t="s">
        <v>6184</v>
      </c>
      <c r="H389" s="22">
        <v>1000.0</v>
      </c>
      <c r="I389" s="84">
        <v>0.43</v>
      </c>
      <c r="J389" s="96">
        <v>759.0</v>
      </c>
      <c r="K389" s="22">
        <v>5990.0</v>
      </c>
      <c r="L389" s="22">
        <v>2990.0</v>
      </c>
      <c r="M389" s="96">
        <v>3524.0</v>
      </c>
      <c r="N389" s="96">
        <v>1759.0</v>
      </c>
      <c r="O389" s="84">
        <v>0.3</v>
      </c>
      <c r="P389" s="84">
        <v>0.3</v>
      </c>
      <c r="Q389" s="133" t="s">
        <v>134</v>
      </c>
      <c r="R389" s="84">
        <v>0.6</v>
      </c>
      <c r="S389" s="84">
        <v>0.37</v>
      </c>
    </row>
    <row r="390">
      <c r="A390" s="136" t="s">
        <v>6138</v>
      </c>
      <c r="B390" s="16" t="s">
        <v>5852</v>
      </c>
      <c r="C390" s="89">
        <v>88186.0</v>
      </c>
      <c r="D390" s="16" t="s">
        <v>5853</v>
      </c>
      <c r="E390" s="16" t="s">
        <v>5853</v>
      </c>
      <c r="F390" s="16" t="s">
        <v>6185</v>
      </c>
      <c r="G390" s="22" t="s">
        <v>6185</v>
      </c>
      <c r="H390" s="22">
        <v>1017.0</v>
      </c>
      <c r="I390" s="84">
        <v>0.42</v>
      </c>
      <c r="J390" s="96">
        <v>742.0</v>
      </c>
      <c r="K390" s="22">
        <v>5990.0</v>
      </c>
      <c r="L390" s="22">
        <v>2990.0</v>
      </c>
      <c r="M390" s="96">
        <v>3524.0</v>
      </c>
      <c r="N390" s="96">
        <v>1759.0</v>
      </c>
      <c r="O390" s="84">
        <v>0.3</v>
      </c>
      <c r="P390" s="84">
        <v>0.3</v>
      </c>
      <c r="Q390" s="133" t="s">
        <v>134</v>
      </c>
      <c r="R390" s="84">
        <v>0.6</v>
      </c>
      <c r="S390" s="84">
        <v>0.37</v>
      </c>
    </row>
    <row r="391">
      <c r="A391" s="136" t="s">
        <v>6138</v>
      </c>
      <c r="B391" s="16" t="s">
        <v>5738</v>
      </c>
      <c r="C391" s="89">
        <v>120395.0</v>
      </c>
      <c r="D391" s="16" t="s">
        <v>5846</v>
      </c>
      <c r="E391" s="16" t="s">
        <v>5846</v>
      </c>
      <c r="F391" s="16" t="s">
        <v>6186</v>
      </c>
      <c r="G391" s="22" t="s">
        <v>6186</v>
      </c>
      <c r="H391" s="22">
        <v>1300.0</v>
      </c>
      <c r="I391" s="84">
        <v>0.45</v>
      </c>
      <c r="J391" s="96">
        <v>1047.0</v>
      </c>
      <c r="K391" s="22">
        <v>6990.0</v>
      </c>
      <c r="L391" s="22">
        <v>3990.0</v>
      </c>
      <c r="M391" s="96">
        <v>4112.0</v>
      </c>
      <c r="N391" s="96">
        <v>2347.0</v>
      </c>
      <c r="O391" s="84">
        <v>0.3</v>
      </c>
      <c r="P391" s="84">
        <v>0.3</v>
      </c>
      <c r="Q391" s="133" t="s">
        <v>134</v>
      </c>
      <c r="R391" s="84">
        <v>0.61</v>
      </c>
      <c r="S391" s="84">
        <v>0.38</v>
      </c>
    </row>
    <row r="392">
      <c r="A392" s="136" t="s">
        <v>6138</v>
      </c>
      <c r="B392" s="16" t="s">
        <v>5777</v>
      </c>
      <c r="C392" s="89">
        <v>72306.0</v>
      </c>
      <c r="D392" s="16" t="s">
        <v>5871</v>
      </c>
      <c r="E392" s="16" t="s">
        <v>5871</v>
      </c>
      <c r="F392" s="16" t="s">
        <v>6187</v>
      </c>
      <c r="G392" s="22" t="s">
        <v>6187</v>
      </c>
      <c r="H392" s="22">
        <v>4861.0</v>
      </c>
      <c r="I392" s="84">
        <v>0.31</v>
      </c>
      <c r="J392" s="96">
        <v>2192.0</v>
      </c>
      <c r="K392" s="22">
        <v>18990.0</v>
      </c>
      <c r="L392" s="22">
        <v>11990.0</v>
      </c>
      <c r="M392" s="96">
        <v>11171.0</v>
      </c>
      <c r="N392" s="96">
        <v>7053.0</v>
      </c>
      <c r="O392" s="84">
        <v>0.3</v>
      </c>
      <c r="P392" s="84">
        <v>0.3</v>
      </c>
      <c r="Q392" s="133" t="s">
        <v>134</v>
      </c>
      <c r="R392" s="84">
        <v>0.52</v>
      </c>
      <c r="S392" s="84">
        <v>0.29</v>
      </c>
    </row>
    <row r="393">
      <c r="A393" s="136" t="s">
        <v>6138</v>
      </c>
      <c r="B393" s="16" t="s">
        <v>5773</v>
      </c>
      <c r="C393" s="89">
        <v>1100007.0</v>
      </c>
      <c r="D393" s="16" t="s">
        <v>5846</v>
      </c>
      <c r="E393" s="16" t="s">
        <v>5846</v>
      </c>
      <c r="F393" s="16" t="s">
        <v>6188</v>
      </c>
      <c r="G393" s="22" t="s">
        <v>6188</v>
      </c>
      <c r="H393" s="22">
        <v>1322.0</v>
      </c>
      <c r="I393" s="84">
        <v>0.44</v>
      </c>
      <c r="J393" s="96">
        <v>1025.0</v>
      </c>
      <c r="K393" s="22">
        <v>6990.0</v>
      </c>
      <c r="L393" s="22">
        <v>3990.0</v>
      </c>
      <c r="M393" s="96">
        <v>4112.0</v>
      </c>
      <c r="N393" s="96">
        <v>2347.0</v>
      </c>
      <c r="O393" s="84">
        <v>0.3</v>
      </c>
      <c r="P393" s="84">
        <v>0.3</v>
      </c>
      <c r="Q393" s="133" t="s">
        <v>134</v>
      </c>
      <c r="R393" s="84">
        <v>0.61</v>
      </c>
      <c r="S393" s="84">
        <v>0.38</v>
      </c>
    </row>
    <row r="394">
      <c r="A394" s="136" t="s">
        <v>6138</v>
      </c>
      <c r="B394" s="16" t="s">
        <v>5777</v>
      </c>
      <c r="C394" s="89">
        <v>10624.0</v>
      </c>
      <c r="D394" s="16" t="s">
        <v>5846</v>
      </c>
      <c r="E394" s="16" t="s">
        <v>5846</v>
      </c>
      <c r="F394" s="16" t="s">
        <v>6189</v>
      </c>
      <c r="G394" s="22" t="s">
        <v>6189</v>
      </c>
      <c r="H394" s="16">
        <v>800.0</v>
      </c>
      <c r="I394" s="84">
        <v>0.55</v>
      </c>
      <c r="J394" s="96">
        <v>959.0</v>
      </c>
      <c r="K394" s="22">
        <v>5990.0</v>
      </c>
      <c r="L394" s="22">
        <v>2990.0</v>
      </c>
      <c r="M394" s="96">
        <v>3524.0</v>
      </c>
      <c r="N394" s="96">
        <v>1759.0</v>
      </c>
      <c r="O394" s="84">
        <v>0.3</v>
      </c>
      <c r="P394" s="84">
        <v>0.3</v>
      </c>
      <c r="Q394" s="133" t="s">
        <v>134</v>
      </c>
      <c r="R394" s="84">
        <v>0.68</v>
      </c>
      <c r="S394" s="84">
        <v>0.45</v>
      </c>
    </row>
    <row r="395">
      <c r="A395" s="136" t="s">
        <v>6138</v>
      </c>
      <c r="B395" s="16" t="s">
        <v>5777</v>
      </c>
      <c r="C395" s="19" t="s">
        <v>6190</v>
      </c>
      <c r="D395" s="16" t="s">
        <v>5846</v>
      </c>
      <c r="E395" s="16" t="s">
        <v>5846</v>
      </c>
      <c r="F395" s="16" t="s">
        <v>6191</v>
      </c>
      <c r="G395" s="22" t="s">
        <v>6191</v>
      </c>
      <c r="H395" s="22">
        <v>3976.0</v>
      </c>
      <c r="I395" s="84">
        <v>0.32</v>
      </c>
      <c r="J395" s="96">
        <v>1900.0</v>
      </c>
      <c r="K395" s="22">
        <v>15990.0</v>
      </c>
      <c r="L395" s="22">
        <v>9990.0</v>
      </c>
      <c r="M395" s="96">
        <v>9406.0</v>
      </c>
      <c r="N395" s="96">
        <v>5876.0</v>
      </c>
      <c r="O395" s="84">
        <v>0.3</v>
      </c>
      <c r="P395" s="84">
        <v>0.3</v>
      </c>
      <c r="Q395" s="133" t="s">
        <v>134</v>
      </c>
      <c r="R395" s="84">
        <v>0.53</v>
      </c>
      <c r="S395" s="84">
        <v>0.3</v>
      </c>
    </row>
    <row r="396">
      <c r="A396" s="136" t="s">
        <v>6138</v>
      </c>
      <c r="B396" s="16" t="s">
        <v>5777</v>
      </c>
      <c r="C396" s="19" t="s">
        <v>6192</v>
      </c>
      <c r="D396" s="16" t="s">
        <v>5846</v>
      </c>
      <c r="E396" s="16" t="s">
        <v>5846</v>
      </c>
      <c r="F396" s="16" t="s">
        <v>6191</v>
      </c>
      <c r="G396" s="22" t="s">
        <v>6191</v>
      </c>
      <c r="H396" s="22">
        <v>3976.0</v>
      </c>
      <c r="I396" s="84">
        <v>0.32</v>
      </c>
      <c r="J396" s="96">
        <v>1900.0</v>
      </c>
      <c r="K396" s="22">
        <v>15990.0</v>
      </c>
      <c r="L396" s="22">
        <v>9990.0</v>
      </c>
      <c r="M396" s="96">
        <v>9406.0</v>
      </c>
      <c r="N396" s="96">
        <v>5876.0</v>
      </c>
      <c r="O396" s="84">
        <v>0.3</v>
      </c>
      <c r="P396" s="84">
        <v>0.3</v>
      </c>
      <c r="Q396" s="133" t="s">
        <v>134</v>
      </c>
      <c r="R396" s="84">
        <v>0.53</v>
      </c>
      <c r="S396" s="84">
        <v>0.3</v>
      </c>
    </row>
    <row r="397">
      <c r="A397" s="136" t="s">
        <v>6138</v>
      </c>
      <c r="B397" s="16" t="s">
        <v>5777</v>
      </c>
      <c r="C397" s="19" t="s">
        <v>6193</v>
      </c>
      <c r="D397" s="16" t="s">
        <v>5846</v>
      </c>
      <c r="E397" s="16" t="s">
        <v>5846</v>
      </c>
      <c r="F397" s="16" t="s">
        <v>6191</v>
      </c>
      <c r="G397" s="22" t="s">
        <v>6191</v>
      </c>
      <c r="H397" s="22">
        <v>3976.0</v>
      </c>
      <c r="I397" s="84">
        <v>0.32</v>
      </c>
      <c r="J397" s="96">
        <v>1900.0</v>
      </c>
      <c r="K397" s="22">
        <v>15990.0</v>
      </c>
      <c r="L397" s="22">
        <v>9990.0</v>
      </c>
      <c r="M397" s="96">
        <v>9406.0</v>
      </c>
      <c r="N397" s="96">
        <v>5876.0</v>
      </c>
      <c r="O397" s="84">
        <v>0.3</v>
      </c>
      <c r="P397" s="84">
        <v>0.3</v>
      </c>
      <c r="Q397" s="133" t="s">
        <v>134</v>
      </c>
      <c r="R397" s="84">
        <v>0.53</v>
      </c>
      <c r="S397" s="84">
        <v>0.3</v>
      </c>
    </row>
    <row r="398">
      <c r="A398" s="136" t="s">
        <v>6138</v>
      </c>
      <c r="B398" s="16" t="s">
        <v>5777</v>
      </c>
      <c r="C398" s="89">
        <v>82157.0</v>
      </c>
      <c r="D398" s="16" t="s">
        <v>5858</v>
      </c>
      <c r="E398" s="16" t="s">
        <v>5858</v>
      </c>
      <c r="F398" s="16" t="s">
        <v>6194</v>
      </c>
      <c r="G398" s="22" t="s">
        <v>6194</v>
      </c>
      <c r="H398" s="22">
        <v>4861.0</v>
      </c>
      <c r="I398" s="84">
        <v>0.31</v>
      </c>
      <c r="J398" s="96">
        <v>2192.0</v>
      </c>
      <c r="K398" s="22">
        <v>18990.0</v>
      </c>
      <c r="L398" s="22">
        <v>11990.0</v>
      </c>
      <c r="M398" s="96">
        <v>11171.0</v>
      </c>
      <c r="N398" s="96">
        <v>7053.0</v>
      </c>
      <c r="O398" s="84">
        <v>0.3</v>
      </c>
      <c r="P398" s="84">
        <v>0.3</v>
      </c>
      <c r="Q398" s="133" t="s">
        <v>134</v>
      </c>
      <c r="R398" s="84">
        <v>0.52</v>
      </c>
      <c r="S398" s="84">
        <v>0.29</v>
      </c>
    </row>
    <row r="399">
      <c r="A399" s="136" t="s">
        <v>6138</v>
      </c>
      <c r="B399" s="16" t="s">
        <v>5773</v>
      </c>
      <c r="C399" s="89">
        <v>3950133.0</v>
      </c>
      <c r="D399" s="16" t="s">
        <v>5846</v>
      </c>
      <c r="E399" s="16" t="s">
        <v>5846</v>
      </c>
      <c r="F399" s="16" t="s">
        <v>6195</v>
      </c>
      <c r="G399" s="22" t="s">
        <v>6195</v>
      </c>
      <c r="H399" s="22">
        <v>4861.0</v>
      </c>
      <c r="I399" s="84">
        <v>0.31</v>
      </c>
      <c r="J399" s="96">
        <v>2192.0</v>
      </c>
      <c r="K399" s="22">
        <v>18990.0</v>
      </c>
      <c r="L399" s="22">
        <v>11990.0</v>
      </c>
      <c r="M399" s="96">
        <v>11171.0</v>
      </c>
      <c r="N399" s="96">
        <v>7053.0</v>
      </c>
      <c r="O399" s="84">
        <v>0.3</v>
      </c>
      <c r="P399" s="84">
        <v>0.3</v>
      </c>
      <c r="Q399" s="133" t="s">
        <v>134</v>
      </c>
      <c r="R399" s="84">
        <v>0.52</v>
      </c>
      <c r="S399" s="84">
        <v>0.29</v>
      </c>
    </row>
    <row r="400">
      <c r="A400" s="136" t="s">
        <v>6138</v>
      </c>
      <c r="B400" s="16" t="s">
        <v>5773</v>
      </c>
      <c r="C400" s="89">
        <v>3950038.0</v>
      </c>
      <c r="D400" s="16" t="s">
        <v>5846</v>
      </c>
      <c r="E400" s="16" t="s">
        <v>5846</v>
      </c>
      <c r="F400" s="16" t="s">
        <v>6196</v>
      </c>
      <c r="G400" s="22" t="s">
        <v>6196</v>
      </c>
      <c r="H400" s="22">
        <v>2013.0</v>
      </c>
      <c r="I400" s="84">
        <v>0.31</v>
      </c>
      <c r="J400" s="96">
        <v>922.0</v>
      </c>
      <c r="K400" s="22">
        <v>8990.0</v>
      </c>
      <c r="L400" s="22">
        <v>4990.0</v>
      </c>
      <c r="M400" s="96">
        <v>5288.0</v>
      </c>
      <c r="N400" s="96">
        <v>2935.0</v>
      </c>
      <c r="O400" s="84">
        <v>0.3</v>
      </c>
      <c r="P400" s="84">
        <v>0.3</v>
      </c>
      <c r="Q400" s="133" t="s">
        <v>134</v>
      </c>
      <c r="R400" s="84">
        <v>0.52</v>
      </c>
      <c r="S400" s="84">
        <v>0.29</v>
      </c>
    </row>
    <row r="401">
      <c r="A401" s="136" t="s">
        <v>6138</v>
      </c>
      <c r="B401" s="16" t="s">
        <v>5773</v>
      </c>
      <c r="C401" s="89">
        <v>3950100.0</v>
      </c>
      <c r="D401" s="16" t="s">
        <v>5846</v>
      </c>
      <c r="E401" s="16" t="s">
        <v>5846</v>
      </c>
      <c r="F401" s="16" t="s">
        <v>6197</v>
      </c>
      <c r="G401" s="22" t="s">
        <v>6197</v>
      </c>
      <c r="H401" s="22">
        <v>1998.0</v>
      </c>
      <c r="I401" s="84">
        <v>0.32</v>
      </c>
      <c r="J401" s="96">
        <v>937.0</v>
      </c>
      <c r="K401" s="22">
        <v>8990.0</v>
      </c>
      <c r="L401" s="22">
        <v>4990.0</v>
      </c>
      <c r="M401" s="96">
        <v>5288.0</v>
      </c>
      <c r="N401" s="96">
        <v>2935.0</v>
      </c>
      <c r="O401" s="84">
        <v>0.3</v>
      </c>
      <c r="P401" s="84">
        <v>0.3</v>
      </c>
      <c r="Q401" s="133" t="s">
        <v>134</v>
      </c>
      <c r="R401" s="84">
        <v>0.52</v>
      </c>
      <c r="S401" s="84">
        <v>0.29</v>
      </c>
    </row>
    <row r="402">
      <c r="A402" s="136" t="s">
        <v>6138</v>
      </c>
      <c r="B402" s="16" t="s">
        <v>5777</v>
      </c>
      <c r="C402" s="89">
        <v>74017.0</v>
      </c>
      <c r="D402" s="16" t="s">
        <v>5846</v>
      </c>
      <c r="E402" s="16" t="s">
        <v>5846</v>
      </c>
      <c r="F402" s="16" t="s">
        <v>6198</v>
      </c>
      <c r="G402" s="22" t="s">
        <v>6198</v>
      </c>
      <c r="H402" s="22">
        <v>1322.0</v>
      </c>
      <c r="I402" s="84">
        <v>0.44</v>
      </c>
      <c r="J402" s="96">
        <v>1025.0</v>
      </c>
      <c r="K402" s="22">
        <v>6990.0</v>
      </c>
      <c r="L402" s="22">
        <v>3990.0</v>
      </c>
      <c r="M402" s="96">
        <v>4112.0</v>
      </c>
      <c r="N402" s="96">
        <v>2347.0</v>
      </c>
      <c r="O402" s="84">
        <v>0.3</v>
      </c>
      <c r="P402" s="84">
        <v>0.3</v>
      </c>
      <c r="Q402" s="133" t="s">
        <v>134</v>
      </c>
      <c r="R402" s="84">
        <v>0.61</v>
      </c>
      <c r="S402" s="84">
        <v>0.38</v>
      </c>
    </row>
    <row r="403">
      <c r="A403" s="136" t="s">
        <v>6138</v>
      </c>
      <c r="B403" s="16" t="s">
        <v>5773</v>
      </c>
      <c r="C403" s="89">
        <v>1100009.0</v>
      </c>
      <c r="D403" s="16" t="s">
        <v>5846</v>
      </c>
      <c r="E403" s="16" t="s">
        <v>5846</v>
      </c>
      <c r="F403" s="16" t="s">
        <v>6199</v>
      </c>
      <c r="G403" s="22" t="s">
        <v>6199</v>
      </c>
      <c r="H403" s="22">
        <v>1322.0</v>
      </c>
      <c r="I403" s="84">
        <v>0.44</v>
      </c>
      <c r="J403" s="96">
        <v>1025.0</v>
      </c>
      <c r="K403" s="22">
        <v>6990.0</v>
      </c>
      <c r="L403" s="22">
        <v>3990.0</v>
      </c>
      <c r="M403" s="96">
        <v>4112.0</v>
      </c>
      <c r="N403" s="96">
        <v>2347.0</v>
      </c>
      <c r="O403" s="84">
        <v>0.3</v>
      </c>
      <c r="P403" s="84">
        <v>0.3</v>
      </c>
      <c r="Q403" s="133" t="s">
        <v>134</v>
      </c>
      <c r="R403" s="84">
        <v>0.61</v>
      </c>
      <c r="S403" s="84">
        <v>0.38</v>
      </c>
    </row>
    <row r="404">
      <c r="A404" s="136" t="s">
        <v>6138</v>
      </c>
      <c r="B404" s="16" t="s">
        <v>5738</v>
      </c>
      <c r="C404" s="89">
        <v>120392.0</v>
      </c>
      <c r="D404" s="16" t="s">
        <v>5846</v>
      </c>
      <c r="E404" s="16" t="s">
        <v>5846</v>
      </c>
      <c r="F404" s="16" t="s">
        <v>6200</v>
      </c>
      <c r="G404" s="22" t="s">
        <v>6200</v>
      </c>
      <c r="H404" s="22">
        <v>1595.0</v>
      </c>
      <c r="I404" s="84">
        <v>0.46</v>
      </c>
      <c r="J404" s="96">
        <v>1341.0</v>
      </c>
      <c r="K404" s="22">
        <v>8990.0</v>
      </c>
      <c r="L404" s="22">
        <v>4990.0</v>
      </c>
      <c r="M404" s="96">
        <v>5288.0</v>
      </c>
      <c r="N404" s="96">
        <v>2935.0</v>
      </c>
      <c r="O404" s="84">
        <v>0.3</v>
      </c>
      <c r="P404" s="84">
        <v>0.3</v>
      </c>
      <c r="Q404" s="133" t="s">
        <v>134</v>
      </c>
      <c r="R404" s="84">
        <v>0.62</v>
      </c>
      <c r="S404" s="84">
        <v>0.39</v>
      </c>
    </row>
    <row r="405">
      <c r="A405" s="136" t="s">
        <v>6138</v>
      </c>
      <c r="B405" s="16" t="s">
        <v>5821</v>
      </c>
      <c r="C405" s="89">
        <v>134802.0</v>
      </c>
      <c r="D405" s="16" t="s">
        <v>5858</v>
      </c>
      <c r="E405" s="16" t="s">
        <v>5858</v>
      </c>
      <c r="F405" s="16" t="s">
        <v>6201</v>
      </c>
      <c r="G405" s="22" t="s">
        <v>6201</v>
      </c>
      <c r="H405" s="22">
        <v>3092.0</v>
      </c>
      <c r="I405" s="84">
        <v>0.34</v>
      </c>
      <c r="J405" s="96">
        <v>1608.0</v>
      </c>
      <c r="K405" s="22">
        <v>12990.0</v>
      </c>
      <c r="L405" s="22">
        <v>7990.0</v>
      </c>
      <c r="M405" s="96">
        <v>7641.0</v>
      </c>
      <c r="N405" s="96">
        <v>4700.0</v>
      </c>
      <c r="O405" s="84">
        <v>0.3</v>
      </c>
      <c r="P405" s="84">
        <v>0.3</v>
      </c>
      <c r="Q405" s="133" t="s">
        <v>134</v>
      </c>
      <c r="R405" s="84">
        <v>0.54</v>
      </c>
      <c r="S405" s="84">
        <v>0.31</v>
      </c>
      <c r="T405" s="37"/>
      <c r="U405" s="37"/>
    </row>
    <row r="406">
      <c r="A406" s="136" t="s">
        <v>6138</v>
      </c>
      <c r="B406" s="16" t="s">
        <v>5777</v>
      </c>
      <c r="C406" s="89">
        <v>74975.0</v>
      </c>
      <c r="D406" s="16" t="s">
        <v>5846</v>
      </c>
      <c r="E406" s="16" t="s">
        <v>5846</v>
      </c>
      <c r="F406" s="16" t="s">
        <v>6146</v>
      </c>
      <c r="G406" s="22" t="s">
        <v>6146</v>
      </c>
      <c r="H406" s="22">
        <v>2400.0</v>
      </c>
      <c r="I406" s="84">
        <v>0.32</v>
      </c>
      <c r="J406" s="96">
        <v>1124.0</v>
      </c>
      <c r="K406" s="22">
        <v>9990.0</v>
      </c>
      <c r="L406" s="22">
        <v>5990.0</v>
      </c>
      <c r="M406" s="96">
        <v>5876.0</v>
      </c>
      <c r="N406" s="96">
        <v>3524.0</v>
      </c>
      <c r="O406" s="84">
        <v>0.3</v>
      </c>
      <c r="P406" s="84">
        <v>0.3</v>
      </c>
      <c r="Q406" s="133" t="s">
        <v>134</v>
      </c>
      <c r="R406" s="84">
        <v>0.52</v>
      </c>
      <c r="S406" s="84">
        <v>0.29</v>
      </c>
      <c r="T406" s="37"/>
      <c r="U406" s="37"/>
    </row>
    <row r="407">
      <c r="A407" s="136" t="s">
        <v>6138</v>
      </c>
      <c r="B407" s="16" t="s">
        <v>5777</v>
      </c>
      <c r="C407" s="89">
        <v>75341.0</v>
      </c>
      <c r="D407" s="16" t="s">
        <v>5846</v>
      </c>
      <c r="E407" s="16" t="s">
        <v>5846</v>
      </c>
      <c r="F407" s="16" t="s">
        <v>6202</v>
      </c>
      <c r="G407" s="22" t="s">
        <v>6202</v>
      </c>
      <c r="H407" s="22">
        <v>2649.0</v>
      </c>
      <c r="I407" s="84">
        <v>0.36</v>
      </c>
      <c r="J407" s="96">
        <v>1462.0</v>
      </c>
      <c r="K407" s="22">
        <v>11990.0</v>
      </c>
      <c r="L407" s="22">
        <v>6990.0</v>
      </c>
      <c r="M407" s="96">
        <v>7053.0</v>
      </c>
      <c r="N407" s="96">
        <v>4112.0</v>
      </c>
      <c r="O407" s="84">
        <v>0.3</v>
      </c>
      <c r="P407" s="84">
        <v>0.3</v>
      </c>
      <c r="Q407" s="133" t="s">
        <v>134</v>
      </c>
      <c r="R407" s="84">
        <v>0.55</v>
      </c>
      <c r="S407" s="84">
        <v>0.32</v>
      </c>
      <c r="T407" s="37"/>
      <c r="U407" s="37"/>
    </row>
    <row r="408">
      <c r="A408" s="136" t="s">
        <v>6138</v>
      </c>
      <c r="B408" s="16" t="s">
        <v>5773</v>
      </c>
      <c r="C408" s="89">
        <v>1301065.0</v>
      </c>
      <c r="D408" s="16" t="s">
        <v>5846</v>
      </c>
      <c r="E408" s="16" t="s">
        <v>5846</v>
      </c>
      <c r="F408" s="16" t="s">
        <v>6203</v>
      </c>
      <c r="G408" s="22" t="s">
        <v>6203</v>
      </c>
      <c r="H408" s="22">
        <v>2649.0</v>
      </c>
      <c r="I408" s="84">
        <v>0.36</v>
      </c>
      <c r="J408" s="96">
        <v>1462.0</v>
      </c>
      <c r="K408" s="22">
        <v>11990.0</v>
      </c>
      <c r="L408" s="22">
        <v>6990.0</v>
      </c>
      <c r="M408" s="96">
        <v>7053.0</v>
      </c>
      <c r="N408" s="96">
        <v>4112.0</v>
      </c>
      <c r="O408" s="84">
        <v>0.3</v>
      </c>
      <c r="P408" s="84">
        <v>0.3</v>
      </c>
      <c r="Q408" s="133" t="s">
        <v>134</v>
      </c>
      <c r="R408" s="84">
        <v>0.55</v>
      </c>
      <c r="S408" s="84">
        <v>0.32</v>
      </c>
    </row>
    <row r="409">
      <c r="A409" s="136" t="s">
        <v>6138</v>
      </c>
      <c r="B409" s="16" t="s">
        <v>5777</v>
      </c>
      <c r="C409" s="89">
        <v>74011.0</v>
      </c>
      <c r="D409" s="16" t="s">
        <v>5846</v>
      </c>
      <c r="E409" s="16" t="s">
        <v>5846</v>
      </c>
      <c r="F409" s="16" t="s">
        <v>6204</v>
      </c>
      <c r="G409" s="22" t="s">
        <v>6204</v>
      </c>
      <c r="H409" s="22">
        <v>2989.0</v>
      </c>
      <c r="I409" s="84">
        <v>0.36</v>
      </c>
      <c r="J409" s="96">
        <v>1711.0</v>
      </c>
      <c r="K409" s="22">
        <v>12990.0</v>
      </c>
      <c r="L409" s="22">
        <v>7990.0</v>
      </c>
      <c r="M409" s="96">
        <v>7641.0</v>
      </c>
      <c r="N409" s="96">
        <v>4700.0</v>
      </c>
      <c r="O409" s="84">
        <v>0.3</v>
      </c>
      <c r="P409" s="84">
        <v>0.3</v>
      </c>
      <c r="Q409" s="133" t="s">
        <v>134</v>
      </c>
      <c r="R409" s="84">
        <v>0.55</v>
      </c>
      <c r="S409" s="84">
        <v>0.32</v>
      </c>
    </row>
    <row r="410">
      <c r="A410" s="136" t="s">
        <v>6138</v>
      </c>
      <c r="B410" s="16" t="s">
        <v>5777</v>
      </c>
      <c r="C410" s="89">
        <v>72643.0</v>
      </c>
      <c r="D410" s="16" t="s">
        <v>5871</v>
      </c>
      <c r="E410" s="16" t="s">
        <v>5871</v>
      </c>
      <c r="F410" s="16" t="s">
        <v>6205</v>
      </c>
      <c r="G410" s="22" t="s">
        <v>6205</v>
      </c>
      <c r="H410" s="22">
        <v>4861.0</v>
      </c>
      <c r="I410" s="84">
        <v>0.31</v>
      </c>
      <c r="J410" s="96">
        <v>2192.0</v>
      </c>
      <c r="K410" s="22">
        <v>18990.0</v>
      </c>
      <c r="L410" s="22">
        <v>11990.0</v>
      </c>
      <c r="M410" s="96">
        <v>11171.0</v>
      </c>
      <c r="N410" s="96">
        <v>7053.0</v>
      </c>
      <c r="O410" s="84">
        <v>0.3</v>
      </c>
      <c r="P410" s="84">
        <v>0.3</v>
      </c>
      <c r="Q410" s="133" t="s">
        <v>134</v>
      </c>
      <c r="R410" s="84">
        <v>0.52</v>
      </c>
      <c r="S410" s="84">
        <v>0.29</v>
      </c>
    </row>
    <row r="411">
      <c r="A411" s="136" t="s">
        <v>6138</v>
      </c>
      <c r="B411" s="16" t="s">
        <v>5821</v>
      </c>
      <c r="C411" s="89">
        <v>134801.0</v>
      </c>
      <c r="D411" s="16" t="s">
        <v>5858</v>
      </c>
      <c r="E411" s="16" t="s">
        <v>5858</v>
      </c>
      <c r="F411" s="16" t="s">
        <v>6206</v>
      </c>
      <c r="G411" s="22" t="s">
        <v>6206</v>
      </c>
      <c r="H411" s="22">
        <v>3976.0</v>
      </c>
      <c r="I411" s="84">
        <v>0.32</v>
      </c>
      <c r="J411" s="96">
        <v>1900.0</v>
      </c>
      <c r="K411" s="22">
        <v>15990.0</v>
      </c>
      <c r="L411" s="22">
        <v>9990.0</v>
      </c>
      <c r="M411" s="96">
        <v>9406.0</v>
      </c>
      <c r="N411" s="96">
        <v>5876.0</v>
      </c>
      <c r="O411" s="84">
        <v>0.3</v>
      </c>
      <c r="P411" s="84">
        <v>0.3</v>
      </c>
      <c r="Q411" s="133" t="s">
        <v>134</v>
      </c>
      <c r="R411" s="84">
        <v>0.53</v>
      </c>
      <c r="S411" s="84">
        <v>0.3</v>
      </c>
    </row>
    <row r="412">
      <c r="A412" s="136" t="s">
        <v>6138</v>
      </c>
      <c r="B412" s="16" t="s">
        <v>5773</v>
      </c>
      <c r="C412" s="89">
        <v>1301058.0</v>
      </c>
      <c r="D412" s="16" t="s">
        <v>5846</v>
      </c>
      <c r="E412" s="16" t="s">
        <v>5846</v>
      </c>
      <c r="F412" s="16" t="s">
        <v>6207</v>
      </c>
      <c r="G412" s="22" t="s">
        <v>6207</v>
      </c>
      <c r="H412" s="22">
        <v>1895.0</v>
      </c>
      <c r="I412" s="84">
        <v>0.35</v>
      </c>
      <c r="J412" s="96">
        <v>1040.0</v>
      </c>
      <c r="K412" s="22">
        <v>8990.0</v>
      </c>
      <c r="L412" s="22">
        <v>4990.0</v>
      </c>
      <c r="M412" s="96">
        <v>5288.0</v>
      </c>
      <c r="N412" s="96">
        <v>2935.0</v>
      </c>
      <c r="O412" s="84">
        <v>0.3</v>
      </c>
      <c r="P412" s="84">
        <v>0.3</v>
      </c>
      <c r="Q412" s="133" t="s">
        <v>134</v>
      </c>
      <c r="R412" s="84">
        <v>0.55</v>
      </c>
      <c r="S412" s="84">
        <v>0.32</v>
      </c>
    </row>
    <row r="413">
      <c r="A413" s="136" t="s">
        <v>6138</v>
      </c>
      <c r="B413" s="16" t="s">
        <v>5777</v>
      </c>
      <c r="C413" s="89">
        <v>731233.0</v>
      </c>
      <c r="D413" s="16" t="s">
        <v>5871</v>
      </c>
      <c r="E413" s="16" t="s">
        <v>5871</v>
      </c>
      <c r="F413" s="16" t="s">
        <v>6208</v>
      </c>
      <c r="G413" s="22" t="s">
        <v>6208</v>
      </c>
      <c r="H413" s="22">
        <v>6188.0</v>
      </c>
      <c r="I413" s="84">
        <v>0.3</v>
      </c>
      <c r="J413" s="96">
        <v>2630.0</v>
      </c>
      <c r="K413" s="22">
        <v>23990.0</v>
      </c>
      <c r="L413" s="22">
        <v>14990.0</v>
      </c>
      <c r="M413" s="96">
        <v>14112.0</v>
      </c>
      <c r="N413" s="96">
        <v>8818.0</v>
      </c>
      <c r="O413" s="84">
        <v>0.3</v>
      </c>
      <c r="P413" s="84">
        <v>0.3</v>
      </c>
      <c r="Q413" s="133" t="s">
        <v>134</v>
      </c>
      <c r="R413" s="84">
        <v>0.51</v>
      </c>
      <c r="S413" s="84">
        <v>0.28</v>
      </c>
    </row>
    <row r="414">
      <c r="A414" s="136" t="s">
        <v>6138</v>
      </c>
      <c r="B414" s="16" t="s">
        <v>5773</v>
      </c>
      <c r="C414" s="89">
        <v>3950362.0</v>
      </c>
      <c r="D414" s="16" t="s">
        <v>5846</v>
      </c>
      <c r="E414" s="16" t="s">
        <v>5846</v>
      </c>
      <c r="F414" s="16" t="s">
        <v>6209</v>
      </c>
      <c r="G414" s="22" t="s">
        <v>6209</v>
      </c>
      <c r="H414" s="22">
        <v>3534.0</v>
      </c>
      <c r="I414" s="84">
        <v>0.33</v>
      </c>
      <c r="J414" s="96">
        <v>1754.0</v>
      </c>
      <c r="K414" s="22">
        <v>14990.0</v>
      </c>
      <c r="L414" s="22">
        <v>8990.0</v>
      </c>
      <c r="M414" s="96">
        <v>8818.0</v>
      </c>
      <c r="N414" s="96">
        <v>5288.0</v>
      </c>
      <c r="O414" s="84">
        <v>0.3</v>
      </c>
      <c r="P414" s="84">
        <v>0.3</v>
      </c>
      <c r="Q414" s="133" t="s">
        <v>134</v>
      </c>
      <c r="R414" s="84">
        <v>0.53</v>
      </c>
      <c r="S414" s="84">
        <v>0.3</v>
      </c>
    </row>
    <row r="415">
      <c r="A415" s="136" t="s">
        <v>6138</v>
      </c>
      <c r="B415" s="16" t="s">
        <v>5773</v>
      </c>
      <c r="C415" s="89">
        <v>1697004.0</v>
      </c>
      <c r="D415" s="16" t="s">
        <v>5858</v>
      </c>
      <c r="E415" s="16" t="s">
        <v>5858</v>
      </c>
      <c r="F415" s="16" t="s">
        <v>6210</v>
      </c>
      <c r="G415" s="22" t="s">
        <v>6210</v>
      </c>
      <c r="H415" s="22">
        <v>4861.0</v>
      </c>
      <c r="I415" s="84">
        <v>0.31</v>
      </c>
      <c r="J415" s="96">
        <v>2192.0</v>
      </c>
      <c r="K415" s="22">
        <v>18990.0</v>
      </c>
      <c r="L415" s="22">
        <v>11990.0</v>
      </c>
      <c r="M415" s="96">
        <v>11171.0</v>
      </c>
      <c r="N415" s="96">
        <v>7053.0</v>
      </c>
      <c r="O415" s="84">
        <v>0.3</v>
      </c>
      <c r="P415" s="84">
        <v>0.3</v>
      </c>
      <c r="Q415" s="133" t="s">
        <v>134</v>
      </c>
      <c r="R415" s="84">
        <v>0.52</v>
      </c>
      <c r="S415" s="84">
        <v>0.29</v>
      </c>
    </row>
    <row r="416">
      <c r="A416" s="136" t="s">
        <v>6138</v>
      </c>
      <c r="B416" s="16" t="s">
        <v>5777</v>
      </c>
      <c r="C416" s="89">
        <v>73678.0</v>
      </c>
      <c r="D416" s="16" t="s">
        <v>5893</v>
      </c>
      <c r="E416" s="16" t="s">
        <v>5893</v>
      </c>
      <c r="F416" s="16" t="s">
        <v>6211</v>
      </c>
      <c r="G416" s="22" t="s">
        <v>6211</v>
      </c>
      <c r="H416" s="22">
        <v>7072.0</v>
      </c>
      <c r="I416" s="84">
        <v>0.29</v>
      </c>
      <c r="J416" s="96">
        <v>2922.0</v>
      </c>
      <c r="K416" s="22">
        <v>26990.0</v>
      </c>
      <c r="L416" s="22">
        <v>16990.0</v>
      </c>
      <c r="M416" s="96">
        <v>15876.0</v>
      </c>
      <c r="N416" s="96">
        <v>9994.0</v>
      </c>
      <c r="O416" s="84">
        <v>0.3</v>
      </c>
      <c r="P416" s="84">
        <v>0.3</v>
      </c>
      <c r="Q416" s="133" t="s">
        <v>134</v>
      </c>
      <c r="R416" s="84">
        <v>0.5</v>
      </c>
      <c r="S416" s="84">
        <v>0.27</v>
      </c>
    </row>
    <row r="417">
      <c r="A417" s="136" t="s">
        <v>6138</v>
      </c>
      <c r="B417" s="16" t="s">
        <v>5773</v>
      </c>
      <c r="C417" s="89">
        <v>3950153.0</v>
      </c>
      <c r="D417" s="16" t="s">
        <v>5846</v>
      </c>
      <c r="E417" s="16" t="s">
        <v>5846</v>
      </c>
      <c r="F417" s="16" t="s">
        <v>6212</v>
      </c>
      <c r="G417" s="22" t="s">
        <v>6212</v>
      </c>
      <c r="H417" s="22">
        <v>1345.0</v>
      </c>
      <c r="I417" s="84">
        <v>0.43</v>
      </c>
      <c r="J417" s="96">
        <v>1002.0</v>
      </c>
      <c r="K417" s="22">
        <v>6990.0</v>
      </c>
      <c r="L417" s="22">
        <v>3990.0</v>
      </c>
      <c r="M417" s="96">
        <v>4112.0</v>
      </c>
      <c r="N417" s="96">
        <v>2347.0</v>
      </c>
      <c r="O417" s="84">
        <v>0.3</v>
      </c>
      <c r="P417" s="84">
        <v>0.3</v>
      </c>
      <c r="Q417" s="133" t="s">
        <v>134</v>
      </c>
      <c r="R417" s="84">
        <v>0.6</v>
      </c>
      <c r="S417" s="84">
        <v>0.37</v>
      </c>
    </row>
    <row r="418">
      <c r="A418" s="136" t="s">
        <v>6138</v>
      </c>
      <c r="B418" s="16" t="s">
        <v>5777</v>
      </c>
      <c r="C418" s="89">
        <v>73676.0</v>
      </c>
      <c r="D418" s="16" t="s">
        <v>5871</v>
      </c>
      <c r="E418" s="16" t="s">
        <v>5871</v>
      </c>
      <c r="F418" s="16" t="s">
        <v>6213</v>
      </c>
      <c r="G418" s="22" t="s">
        <v>6213</v>
      </c>
      <c r="H418" s="22">
        <v>7072.0</v>
      </c>
      <c r="I418" s="84">
        <v>0.29</v>
      </c>
      <c r="J418" s="96">
        <v>2922.0</v>
      </c>
      <c r="K418" s="22">
        <v>26990.0</v>
      </c>
      <c r="L418" s="22">
        <v>16990.0</v>
      </c>
      <c r="M418" s="96">
        <v>15876.0</v>
      </c>
      <c r="N418" s="96">
        <v>9994.0</v>
      </c>
      <c r="O418" s="84">
        <v>0.3</v>
      </c>
      <c r="P418" s="84">
        <v>0.3</v>
      </c>
      <c r="Q418" s="133" t="s">
        <v>134</v>
      </c>
      <c r="R418" s="84">
        <v>0.5</v>
      </c>
      <c r="S418" s="84">
        <v>0.27</v>
      </c>
    </row>
    <row r="419">
      <c r="A419" s="136" t="s">
        <v>6138</v>
      </c>
      <c r="B419" s="16" t="s">
        <v>5773</v>
      </c>
      <c r="C419" s="89">
        <v>3950137.0</v>
      </c>
      <c r="D419" s="16" t="s">
        <v>5846</v>
      </c>
      <c r="E419" s="16" t="s">
        <v>5846</v>
      </c>
      <c r="F419" s="16" t="s">
        <v>6214</v>
      </c>
      <c r="G419" s="22" t="s">
        <v>6214</v>
      </c>
      <c r="H419" s="22">
        <v>3534.0</v>
      </c>
      <c r="I419" s="84">
        <v>0.33</v>
      </c>
      <c r="J419" s="96">
        <v>1754.0</v>
      </c>
      <c r="K419" s="22">
        <v>14990.0</v>
      </c>
      <c r="L419" s="22">
        <v>8990.0</v>
      </c>
      <c r="M419" s="96">
        <v>8818.0</v>
      </c>
      <c r="N419" s="96">
        <v>5288.0</v>
      </c>
      <c r="O419" s="84">
        <v>0.3</v>
      </c>
      <c r="P419" s="84">
        <v>0.3</v>
      </c>
      <c r="Q419" s="133" t="s">
        <v>134</v>
      </c>
      <c r="R419" s="84">
        <v>0.53</v>
      </c>
      <c r="S419" s="84">
        <v>0.3</v>
      </c>
    </row>
    <row r="420">
      <c r="A420" s="136" t="s">
        <v>6138</v>
      </c>
      <c r="B420" s="16" t="s">
        <v>5777</v>
      </c>
      <c r="C420" s="89">
        <v>74067.0</v>
      </c>
      <c r="D420" s="16" t="s">
        <v>5846</v>
      </c>
      <c r="E420" s="16" t="s">
        <v>5846</v>
      </c>
      <c r="F420" s="16" t="s">
        <v>6215</v>
      </c>
      <c r="G420" s="22" t="s">
        <v>6215</v>
      </c>
      <c r="H420" s="22">
        <v>4861.0</v>
      </c>
      <c r="I420" s="84">
        <v>0.31</v>
      </c>
      <c r="J420" s="96">
        <v>2192.0</v>
      </c>
      <c r="K420" s="22">
        <v>18990.0</v>
      </c>
      <c r="L420" s="22">
        <v>11990.0</v>
      </c>
      <c r="M420" s="96">
        <v>11171.0</v>
      </c>
      <c r="N420" s="96">
        <v>7053.0</v>
      </c>
      <c r="O420" s="84">
        <v>0.3</v>
      </c>
      <c r="P420" s="84">
        <v>0.3</v>
      </c>
      <c r="Q420" s="133" t="s">
        <v>134</v>
      </c>
      <c r="R420" s="84">
        <v>0.52</v>
      </c>
      <c r="S420" s="84">
        <v>0.29</v>
      </c>
    </row>
    <row r="421">
      <c r="A421" s="136" t="s">
        <v>6138</v>
      </c>
      <c r="B421" s="16" t="s">
        <v>5773</v>
      </c>
      <c r="C421" s="89">
        <v>3990010.0</v>
      </c>
      <c r="D421" s="16" t="s">
        <v>5846</v>
      </c>
      <c r="E421" s="16" t="s">
        <v>5846</v>
      </c>
      <c r="F421" s="16" t="s">
        <v>6216</v>
      </c>
      <c r="G421" s="22" t="s">
        <v>6216</v>
      </c>
      <c r="H421" s="22">
        <v>2014.0</v>
      </c>
      <c r="I421" s="84">
        <v>0.31</v>
      </c>
      <c r="J421" s="96">
        <v>921.0</v>
      </c>
      <c r="K421" s="22">
        <v>8990.0</v>
      </c>
      <c r="L421" s="22">
        <v>4990.0</v>
      </c>
      <c r="M421" s="96">
        <v>5288.0</v>
      </c>
      <c r="N421" s="96">
        <v>2935.0</v>
      </c>
      <c r="O421" s="84">
        <v>0.3</v>
      </c>
      <c r="P421" s="84">
        <v>0.3</v>
      </c>
      <c r="Q421" s="133" t="s">
        <v>134</v>
      </c>
      <c r="R421" s="84">
        <v>0.52</v>
      </c>
      <c r="S421" s="84">
        <v>0.29</v>
      </c>
    </row>
    <row r="422">
      <c r="A422" s="136" t="s">
        <v>6138</v>
      </c>
      <c r="B422" s="16" t="s">
        <v>5777</v>
      </c>
      <c r="C422" s="89">
        <v>75408.0</v>
      </c>
      <c r="D422" s="16" t="s">
        <v>5846</v>
      </c>
      <c r="E422" s="16" t="s">
        <v>5846</v>
      </c>
      <c r="F422" s="16" t="s">
        <v>6159</v>
      </c>
      <c r="G422" s="22" t="s">
        <v>6159</v>
      </c>
      <c r="H422" s="22">
        <v>2890.0</v>
      </c>
      <c r="I422" s="84">
        <v>0.3</v>
      </c>
      <c r="J422" s="96">
        <v>1222.0</v>
      </c>
      <c r="K422" s="22">
        <v>11990.0</v>
      </c>
      <c r="L422" s="22">
        <v>6990.0</v>
      </c>
      <c r="M422" s="96">
        <v>7053.0</v>
      </c>
      <c r="N422" s="96">
        <v>4112.0</v>
      </c>
      <c r="O422" s="84">
        <v>0.3</v>
      </c>
      <c r="P422" s="84">
        <v>0.3</v>
      </c>
      <c r="Q422" s="133" t="s">
        <v>134</v>
      </c>
      <c r="R422" s="84">
        <v>0.51</v>
      </c>
      <c r="S422" s="84">
        <v>0.28</v>
      </c>
    </row>
    <row r="423">
      <c r="A423" s="136" t="s">
        <v>6138</v>
      </c>
      <c r="B423" s="16" t="s">
        <v>5777</v>
      </c>
      <c r="C423" s="89">
        <v>75498.0</v>
      </c>
      <c r="D423" s="16" t="s">
        <v>5871</v>
      </c>
      <c r="E423" s="16" t="s">
        <v>5871</v>
      </c>
      <c r="F423" s="16" t="s">
        <v>6217</v>
      </c>
      <c r="G423" s="22" t="s">
        <v>6217</v>
      </c>
      <c r="H423" s="22">
        <v>1675.0</v>
      </c>
      <c r="I423" s="84">
        <v>0.43</v>
      </c>
      <c r="J423" s="96">
        <v>1261.0</v>
      </c>
      <c r="K423" s="22">
        <v>8990.0</v>
      </c>
      <c r="L423" s="22">
        <v>4990.0</v>
      </c>
      <c r="M423" s="96">
        <v>5288.0</v>
      </c>
      <c r="N423" s="96">
        <v>2935.0</v>
      </c>
      <c r="O423" s="84">
        <v>0.3</v>
      </c>
      <c r="P423" s="84">
        <v>0.3</v>
      </c>
      <c r="Q423" s="133" t="s">
        <v>134</v>
      </c>
      <c r="R423" s="84">
        <v>0.6</v>
      </c>
      <c r="S423" s="84">
        <v>0.37</v>
      </c>
    </row>
    <row r="424">
      <c r="A424" s="136" t="s">
        <v>6138</v>
      </c>
      <c r="B424" s="16" t="s">
        <v>5777</v>
      </c>
      <c r="C424" s="89">
        <v>72630.0</v>
      </c>
      <c r="D424" s="16" t="s">
        <v>5871</v>
      </c>
      <c r="E424" s="16" t="s">
        <v>5871</v>
      </c>
      <c r="F424" s="16" t="s">
        <v>6218</v>
      </c>
      <c r="G424" s="22" t="s">
        <v>6218</v>
      </c>
      <c r="H424" s="22">
        <v>1989.0</v>
      </c>
      <c r="I424" s="84">
        <v>0.32</v>
      </c>
      <c r="J424" s="96">
        <v>946.0</v>
      </c>
      <c r="K424" s="22">
        <v>8990.0</v>
      </c>
      <c r="L424" s="22">
        <v>4990.0</v>
      </c>
      <c r="M424" s="96">
        <v>5288.0</v>
      </c>
      <c r="N424" s="96">
        <v>2935.0</v>
      </c>
      <c r="O424" s="84">
        <v>0.3</v>
      </c>
      <c r="P424" s="84">
        <v>0.3</v>
      </c>
      <c r="Q424" s="133" t="s">
        <v>134</v>
      </c>
      <c r="R424" s="84">
        <v>0.53</v>
      </c>
      <c r="S424" s="84">
        <v>0.3</v>
      </c>
    </row>
    <row r="425">
      <c r="A425" s="136" t="s">
        <v>6138</v>
      </c>
      <c r="B425" s="16" t="s">
        <v>5777</v>
      </c>
      <c r="C425" s="89">
        <v>731234.0</v>
      </c>
      <c r="D425" s="16" t="s">
        <v>5871</v>
      </c>
      <c r="E425" s="16" t="s">
        <v>5871</v>
      </c>
      <c r="F425" s="16" t="s">
        <v>6219</v>
      </c>
      <c r="G425" s="22" t="s">
        <v>6219</v>
      </c>
      <c r="H425" s="22">
        <v>4861.0</v>
      </c>
      <c r="I425" s="84">
        <v>0.31</v>
      </c>
      <c r="J425" s="96">
        <v>2192.0</v>
      </c>
      <c r="K425" s="22">
        <v>18990.0</v>
      </c>
      <c r="L425" s="22">
        <v>11990.0</v>
      </c>
      <c r="M425" s="96">
        <v>11171.0</v>
      </c>
      <c r="N425" s="96">
        <v>7053.0</v>
      </c>
      <c r="O425" s="84">
        <v>0.3</v>
      </c>
      <c r="P425" s="84">
        <v>0.3</v>
      </c>
      <c r="Q425" s="133" t="s">
        <v>134</v>
      </c>
      <c r="R425" s="84">
        <v>0.52</v>
      </c>
      <c r="S425" s="84">
        <v>0.29</v>
      </c>
    </row>
    <row r="426">
      <c r="A426" s="136" t="s">
        <v>6138</v>
      </c>
      <c r="B426" s="16" t="s">
        <v>5773</v>
      </c>
      <c r="C426" s="89">
        <v>1100084.0</v>
      </c>
      <c r="D426" s="16" t="s">
        <v>5805</v>
      </c>
      <c r="E426" s="16" t="s">
        <v>5805</v>
      </c>
      <c r="F426" s="16" t="s">
        <v>6220</v>
      </c>
      <c r="G426" s="22" t="s">
        <v>6220</v>
      </c>
      <c r="H426" s="22">
        <v>7072.0</v>
      </c>
      <c r="I426" s="84">
        <v>0.29</v>
      </c>
      <c r="J426" s="96">
        <v>2922.0</v>
      </c>
      <c r="K426" s="22">
        <v>26990.0</v>
      </c>
      <c r="L426" s="22">
        <v>16990.0</v>
      </c>
      <c r="M426" s="96">
        <v>15876.0</v>
      </c>
      <c r="N426" s="96">
        <v>9994.0</v>
      </c>
      <c r="O426" s="84">
        <v>0.3</v>
      </c>
      <c r="P426" s="84">
        <v>0.3</v>
      </c>
      <c r="Q426" s="133" t="s">
        <v>134</v>
      </c>
      <c r="R426" s="84">
        <v>0.5</v>
      </c>
      <c r="S426" s="84">
        <v>0.27</v>
      </c>
    </row>
    <row r="427">
      <c r="A427" s="136" t="s">
        <v>6138</v>
      </c>
      <c r="B427" s="16" t="s">
        <v>5777</v>
      </c>
      <c r="C427" s="89">
        <v>82182.0</v>
      </c>
      <c r="D427" s="16" t="s">
        <v>5858</v>
      </c>
      <c r="E427" s="16" t="s">
        <v>5858</v>
      </c>
      <c r="F427" s="16" t="s">
        <v>6221</v>
      </c>
      <c r="G427" s="22" t="s">
        <v>6221</v>
      </c>
      <c r="H427" s="22">
        <v>4861.0</v>
      </c>
      <c r="I427" s="84">
        <v>0.31</v>
      </c>
      <c r="J427" s="96">
        <v>2192.0</v>
      </c>
      <c r="K427" s="22">
        <v>18990.0</v>
      </c>
      <c r="L427" s="22">
        <v>11990.0</v>
      </c>
      <c r="M427" s="96">
        <v>11171.0</v>
      </c>
      <c r="N427" s="96">
        <v>7053.0</v>
      </c>
      <c r="O427" s="84">
        <v>0.3</v>
      </c>
      <c r="P427" s="84">
        <v>0.3</v>
      </c>
      <c r="Q427" s="133" t="s">
        <v>134</v>
      </c>
      <c r="R427" s="84">
        <v>0.52</v>
      </c>
      <c r="S427" s="84">
        <v>0.29</v>
      </c>
    </row>
    <row r="428">
      <c r="A428" s="136" t="s">
        <v>6138</v>
      </c>
      <c r="B428" s="16" t="s">
        <v>5777</v>
      </c>
      <c r="C428" s="89">
        <v>71940.0</v>
      </c>
      <c r="D428" s="16" t="s">
        <v>6142</v>
      </c>
      <c r="E428" s="16" t="s">
        <v>6142</v>
      </c>
      <c r="F428" s="16" t="s">
        <v>6222</v>
      </c>
      <c r="G428" s="22" t="s">
        <v>6222</v>
      </c>
      <c r="H428" s="22">
        <v>4861.0</v>
      </c>
      <c r="I428" s="84">
        <v>0.31</v>
      </c>
      <c r="J428" s="96">
        <v>2192.0</v>
      </c>
      <c r="K428" s="22">
        <v>18990.0</v>
      </c>
      <c r="L428" s="22">
        <v>11990.0</v>
      </c>
      <c r="M428" s="96">
        <v>11171.0</v>
      </c>
      <c r="N428" s="96">
        <v>7053.0</v>
      </c>
      <c r="O428" s="84">
        <v>0.3</v>
      </c>
      <c r="P428" s="84">
        <v>0.3</v>
      </c>
      <c r="Q428" s="133" t="s">
        <v>134</v>
      </c>
      <c r="R428" s="84">
        <v>0.52</v>
      </c>
      <c r="S428" s="84">
        <v>0.29</v>
      </c>
    </row>
    <row r="429">
      <c r="A429" s="136" t="s">
        <v>6138</v>
      </c>
      <c r="B429" s="16" t="s">
        <v>5880</v>
      </c>
      <c r="C429" s="89">
        <v>97373.0</v>
      </c>
      <c r="D429" s="16" t="s">
        <v>5881</v>
      </c>
      <c r="E429" s="16" t="s">
        <v>5881</v>
      </c>
      <c r="F429" s="16" t="s">
        <v>6223</v>
      </c>
      <c r="G429" s="22" t="s">
        <v>6223</v>
      </c>
      <c r="H429" s="22">
        <v>3976.0</v>
      </c>
      <c r="I429" s="84">
        <v>0.32</v>
      </c>
      <c r="J429" s="96">
        <v>1900.0</v>
      </c>
      <c r="K429" s="22">
        <v>15990.0</v>
      </c>
      <c r="L429" s="22">
        <v>9990.0</v>
      </c>
      <c r="M429" s="96">
        <v>9406.0</v>
      </c>
      <c r="N429" s="96">
        <v>5876.0</v>
      </c>
      <c r="O429" s="84">
        <v>0.3</v>
      </c>
      <c r="P429" s="84">
        <v>0.3</v>
      </c>
      <c r="Q429" s="133" t="s">
        <v>134</v>
      </c>
      <c r="R429" s="84">
        <v>0.53</v>
      </c>
      <c r="S429" s="84">
        <v>0.3</v>
      </c>
    </row>
    <row r="430">
      <c r="A430" s="136" t="s">
        <v>6138</v>
      </c>
      <c r="B430" s="16" t="s">
        <v>5773</v>
      </c>
      <c r="C430" s="89">
        <v>3990011.0</v>
      </c>
      <c r="D430" s="16" t="s">
        <v>5846</v>
      </c>
      <c r="E430" s="16" t="s">
        <v>5846</v>
      </c>
      <c r="F430" s="16" t="s">
        <v>6224</v>
      </c>
      <c r="G430" s="22" t="s">
        <v>6224</v>
      </c>
      <c r="H430" s="22">
        <v>3976.0</v>
      </c>
      <c r="I430" s="84">
        <v>0.32</v>
      </c>
      <c r="J430" s="96">
        <v>1900.0</v>
      </c>
      <c r="K430" s="22">
        <v>15990.0</v>
      </c>
      <c r="L430" s="22">
        <v>9990.0</v>
      </c>
      <c r="M430" s="96">
        <v>9406.0</v>
      </c>
      <c r="N430" s="96">
        <v>5876.0</v>
      </c>
      <c r="O430" s="84">
        <v>0.3</v>
      </c>
      <c r="P430" s="84">
        <v>0.3</v>
      </c>
      <c r="Q430" s="133" t="s">
        <v>134</v>
      </c>
      <c r="R430" s="84">
        <v>0.53</v>
      </c>
      <c r="S430" s="84">
        <v>0.3</v>
      </c>
    </row>
    <row r="431">
      <c r="A431" s="136" t="s">
        <v>6138</v>
      </c>
      <c r="B431" s="16" t="s">
        <v>5773</v>
      </c>
      <c r="C431" s="89">
        <v>3950173.0</v>
      </c>
      <c r="D431" s="16" t="s">
        <v>5846</v>
      </c>
      <c r="E431" s="16" t="s">
        <v>5846</v>
      </c>
      <c r="F431" s="16" t="s">
        <v>6225</v>
      </c>
      <c r="G431" s="22" t="s">
        <v>6225</v>
      </c>
      <c r="H431" s="22">
        <v>10495.0</v>
      </c>
      <c r="I431" s="84">
        <v>0.26</v>
      </c>
      <c r="J431" s="96">
        <v>3617.0</v>
      </c>
      <c r="K431" s="22">
        <v>36990.0</v>
      </c>
      <c r="L431" s="22">
        <v>23990.0</v>
      </c>
      <c r="M431" s="96">
        <v>21759.0</v>
      </c>
      <c r="N431" s="96">
        <v>14112.0</v>
      </c>
      <c r="O431" s="84">
        <v>0.3</v>
      </c>
      <c r="P431" s="84">
        <v>0.3</v>
      </c>
      <c r="Q431" s="133" t="s">
        <v>134</v>
      </c>
      <c r="R431" s="84">
        <v>0.48</v>
      </c>
      <c r="S431" s="84">
        <v>0.25</v>
      </c>
    </row>
    <row r="432">
      <c r="A432" s="136" t="s">
        <v>6138</v>
      </c>
      <c r="B432" s="16" t="s">
        <v>5773</v>
      </c>
      <c r="C432" s="89">
        <v>3950424.0</v>
      </c>
      <c r="D432" s="16" t="s">
        <v>5846</v>
      </c>
      <c r="E432" s="16" t="s">
        <v>5846</v>
      </c>
      <c r="F432" s="16" t="s">
        <v>6226</v>
      </c>
      <c r="G432" s="22" t="s">
        <v>6226</v>
      </c>
      <c r="H432" s="22">
        <v>8841.0</v>
      </c>
      <c r="I432" s="84">
        <v>0.25</v>
      </c>
      <c r="J432" s="96">
        <v>2918.0</v>
      </c>
      <c r="K432" s="22">
        <v>30990.0</v>
      </c>
      <c r="L432" s="22">
        <v>19990.0</v>
      </c>
      <c r="M432" s="96">
        <v>18229.0</v>
      </c>
      <c r="N432" s="96">
        <v>11759.0</v>
      </c>
      <c r="O432" s="84">
        <v>0.3</v>
      </c>
      <c r="P432" s="84">
        <v>0.3</v>
      </c>
      <c r="Q432" s="133" t="s">
        <v>134</v>
      </c>
      <c r="R432" s="84">
        <v>0.47</v>
      </c>
      <c r="S432" s="84">
        <v>0.24</v>
      </c>
    </row>
    <row r="433">
      <c r="A433" s="136" t="s">
        <v>6138</v>
      </c>
      <c r="B433" s="16" t="s">
        <v>5777</v>
      </c>
      <c r="C433" s="89">
        <v>72637.0</v>
      </c>
      <c r="D433" s="16" t="s">
        <v>5871</v>
      </c>
      <c r="E433" s="16" t="s">
        <v>5871</v>
      </c>
      <c r="F433" s="16" t="s">
        <v>6227</v>
      </c>
      <c r="G433" s="22" t="s">
        <v>6227</v>
      </c>
      <c r="H433" s="22">
        <v>7514.0</v>
      </c>
      <c r="I433" s="84">
        <v>0.29</v>
      </c>
      <c r="J433" s="96">
        <v>3068.0</v>
      </c>
      <c r="K433" s="22">
        <v>27990.0</v>
      </c>
      <c r="L433" s="22">
        <v>17990.0</v>
      </c>
      <c r="M433" s="96">
        <v>16465.0</v>
      </c>
      <c r="N433" s="96">
        <v>10582.0</v>
      </c>
      <c r="O433" s="84">
        <v>0.3</v>
      </c>
      <c r="P433" s="84">
        <v>0.3</v>
      </c>
      <c r="Q433" s="133" t="s">
        <v>134</v>
      </c>
      <c r="R433" s="84">
        <v>0.5</v>
      </c>
      <c r="S433" s="84">
        <v>0.27</v>
      </c>
    </row>
    <row r="434">
      <c r="A434" s="136" t="s">
        <v>6138</v>
      </c>
      <c r="B434" s="16" t="s">
        <v>5777</v>
      </c>
      <c r="C434" s="89">
        <v>77918.0</v>
      </c>
      <c r="D434" s="16" t="s">
        <v>5871</v>
      </c>
      <c r="E434" s="16" t="s">
        <v>5871</v>
      </c>
      <c r="F434" s="16" t="s">
        <v>6228</v>
      </c>
      <c r="G434" s="22" t="s">
        <v>6228</v>
      </c>
      <c r="H434" s="22">
        <v>3534.0</v>
      </c>
      <c r="I434" s="84">
        <v>0.33</v>
      </c>
      <c r="J434" s="96">
        <v>1754.0</v>
      </c>
      <c r="K434" s="22">
        <v>14990.0</v>
      </c>
      <c r="L434" s="22">
        <v>8990.0</v>
      </c>
      <c r="M434" s="96">
        <v>8818.0</v>
      </c>
      <c r="N434" s="96">
        <v>5288.0</v>
      </c>
      <c r="O434" s="84">
        <v>0.3</v>
      </c>
      <c r="P434" s="84">
        <v>0.3</v>
      </c>
      <c r="Q434" s="133" t="s">
        <v>134</v>
      </c>
      <c r="R434" s="84">
        <v>0.53</v>
      </c>
      <c r="S434" s="84">
        <v>0.3</v>
      </c>
    </row>
    <row r="435">
      <c r="A435" s="136" t="s">
        <v>6138</v>
      </c>
      <c r="B435" s="16" t="s">
        <v>5773</v>
      </c>
      <c r="C435" s="89">
        <v>3990009.0</v>
      </c>
      <c r="D435" s="16" t="s">
        <v>5846</v>
      </c>
      <c r="E435" s="16" t="s">
        <v>5846</v>
      </c>
      <c r="F435" s="16" t="s">
        <v>6229</v>
      </c>
      <c r="G435" s="22" t="s">
        <v>6229</v>
      </c>
      <c r="H435" s="22">
        <v>1017.0</v>
      </c>
      <c r="I435" s="84">
        <v>0.42</v>
      </c>
      <c r="J435" s="96">
        <v>742.0</v>
      </c>
      <c r="K435" s="22">
        <v>5990.0</v>
      </c>
      <c r="L435" s="22">
        <v>2990.0</v>
      </c>
      <c r="M435" s="96">
        <v>3524.0</v>
      </c>
      <c r="N435" s="96">
        <v>1759.0</v>
      </c>
      <c r="O435" s="84">
        <v>0.3</v>
      </c>
      <c r="P435" s="84">
        <v>0.3</v>
      </c>
      <c r="Q435" s="133" t="s">
        <v>134</v>
      </c>
      <c r="R435" s="84">
        <v>0.6</v>
      </c>
      <c r="S435" s="84">
        <v>0.37</v>
      </c>
    </row>
    <row r="436">
      <c r="A436" s="136" t="s">
        <v>6138</v>
      </c>
      <c r="B436" s="16" t="s">
        <v>5777</v>
      </c>
      <c r="C436" s="89">
        <v>72463.0</v>
      </c>
      <c r="D436" s="16" t="s">
        <v>5871</v>
      </c>
      <c r="E436" s="16" t="s">
        <v>5871</v>
      </c>
      <c r="F436" s="16" t="s">
        <v>6230</v>
      </c>
      <c r="G436" s="22" t="s">
        <v>6230</v>
      </c>
      <c r="H436" s="22">
        <v>8284.0</v>
      </c>
      <c r="I436" s="84">
        <v>0.26</v>
      </c>
      <c r="J436" s="96">
        <v>2887.0</v>
      </c>
      <c r="K436" s="22">
        <v>29990.0</v>
      </c>
      <c r="L436" s="22">
        <v>18990.0</v>
      </c>
      <c r="M436" s="96">
        <v>17641.0</v>
      </c>
      <c r="N436" s="96">
        <v>11171.0</v>
      </c>
      <c r="O436" s="84">
        <v>0.3</v>
      </c>
      <c r="P436" s="84">
        <v>0.3</v>
      </c>
      <c r="Q436" s="133" t="s">
        <v>134</v>
      </c>
      <c r="R436" s="84">
        <v>0.48</v>
      </c>
      <c r="S436" s="84">
        <v>0.25</v>
      </c>
    </row>
    <row r="437">
      <c r="A437" s="136" t="s">
        <v>6138</v>
      </c>
      <c r="B437" s="16" t="s">
        <v>5773</v>
      </c>
      <c r="C437" s="89">
        <v>3950435.0</v>
      </c>
      <c r="D437" s="16" t="s">
        <v>5846</v>
      </c>
      <c r="E437" s="16" t="s">
        <v>5846</v>
      </c>
      <c r="F437" s="16" t="s">
        <v>6231</v>
      </c>
      <c r="G437" s="22" t="s">
        <v>6231</v>
      </c>
      <c r="H437" s="22">
        <v>8841.0</v>
      </c>
      <c r="I437" s="84">
        <v>0.25</v>
      </c>
      <c r="J437" s="96">
        <v>2918.0</v>
      </c>
      <c r="K437" s="22">
        <v>30990.0</v>
      </c>
      <c r="L437" s="22">
        <v>19990.0</v>
      </c>
      <c r="M437" s="96">
        <v>18229.0</v>
      </c>
      <c r="N437" s="96">
        <v>11759.0</v>
      </c>
      <c r="O437" s="84">
        <v>0.3</v>
      </c>
      <c r="P437" s="84">
        <v>0.3</v>
      </c>
      <c r="Q437" s="133" t="s">
        <v>134</v>
      </c>
      <c r="R437" s="84">
        <v>0.47</v>
      </c>
      <c r="S437" s="84">
        <v>0.24</v>
      </c>
    </row>
    <row r="438">
      <c r="A438" s="136" t="s">
        <v>6138</v>
      </c>
      <c r="B438" s="16" t="s">
        <v>5773</v>
      </c>
      <c r="C438" s="89">
        <v>1301085.0</v>
      </c>
      <c r="D438" s="16" t="s">
        <v>5846</v>
      </c>
      <c r="E438" s="16" t="s">
        <v>5846</v>
      </c>
      <c r="F438" s="16" t="s">
        <v>6232</v>
      </c>
      <c r="G438" s="22" t="s">
        <v>6232</v>
      </c>
      <c r="H438" s="22">
        <v>3092.0</v>
      </c>
      <c r="I438" s="84">
        <v>0.34</v>
      </c>
      <c r="J438" s="96">
        <v>1608.0</v>
      </c>
      <c r="K438" s="22">
        <v>12990.0</v>
      </c>
      <c r="L438" s="22">
        <v>7990.0</v>
      </c>
      <c r="M438" s="96">
        <v>7641.0</v>
      </c>
      <c r="N438" s="96">
        <v>4700.0</v>
      </c>
      <c r="O438" s="84">
        <v>0.3</v>
      </c>
      <c r="P438" s="84">
        <v>0.3</v>
      </c>
      <c r="Q438" s="133" t="s">
        <v>134</v>
      </c>
      <c r="R438" s="84">
        <v>0.54</v>
      </c>
      <c r="S438" s="84">
        <v>0.31</v>
      </c>
    </row>
    <row r="439">
      <c r="A439" s="136" t="s">
        <v>6138</v>
      </c>
      <c r="B439" s="16" t="s">
        <v>5777</v>
      </c>
      <c r="C439" s="89">
        <v>73550.0</v>
      </c>
      <c r="D439" s="16" t="s">
        <v>5893</v>
      </c>
      <c r="E439" s="16" t="s">
        <v>5893</v>
      </c>
      <c r="F439" s="16" t="s">
        <v>6233</v>
      </c>
      <c r="G439" s="22" t="s">
        <v>6233</v>
      </c>
      <c r="H439" s="22">
        <v>5745.0</v>
      </c>
      <c r="I439" s="84">
        <v>0.3</v>
      </c>
      <c r="J439" s="96">
        <v>2484.0</v>
      </c>
      <c r="K439" s="22">
        <v>21990.0</v>
      </c>
      <c r="L439" s="22">
        <v>13990.0</v>
      </c>
      <c r="M439" s="96">
        <v>12935.0</v>
      </c>
      <c r="N439" s="96">
        <v>8229.0</v>
      </c>
      <c r="O439" s="84">
        <v>0.3</v>
      </c>
      <c r="P439" s="84">
        <v>0.3</v>
      </c>
      <c r="Q439" s="133" t="s">
        <v>134</v>
      </c>
      <c r="R439" s="84">
        <v>0.51</v>
      </c>
      <c r="S439" s="84">
        <v>0.28</v>
      </c>
      <c r="T439" s="94"/>
      <c r="U439" s="94"/>
    </row>
    <row r="440">
      <c r="A440" s="136" t="s">
        <v>6138</v>
      </c>
      <c r="B440" s="16" t="s">
        <v>5828</v>
      </c>
      <c r="C440" s="19">
        <v>11755.0</v>
      </c>
      <c r="D440" s="16" t="s">
        <v>5871</v>
      </c>
      <c r="E440" s="16" t="s">
        <v>5871</v>
      </c>
      <c r="F440" s="16" t="s">
        <v>6234</v>
      </c>
      <c r="G440" s="22" t="s">
        <v>6234</v>
      </c>
      <c r="H440" s="22">
        <v>4066.0</v>
      </c>
      <c r="I440" s="84">
        <v>0.31</v>
      </c>
      <c r="J440" s="96">
        <v>1810.0</v>
      </c>
      <c r="K440" s="22">
        <v>15990.0</v>
      </c>
      <c r="L440" s="22">
        <v>9990.0</v>
      </c>
      <c r="M440" s="96">
        <v>9406.0</v>
      </c>
      <c r="N440" s="96">
        <v>5876.0</v>
      </c>
      <c r="O440" s="84">
        <v>0.3</v>
      </c>
      <c r="P440" s="84">
        <v>0.3</v>
      </c>
      <c r="Q440" s="133" t="s">
        <v>134</v>
      </c>
      <c r="R440" s="84">
        <v>0.52</v>
      </c>
      <c r="S440" s="84">
        <v>0.29</v>
      </c>
      <c r="T440" s="37"/>
      <c r="U440" s="37"/>
    </row>
    <row r="441">
      <c r="A441" s="136" t="s">
        <v>6138</v>
      </c>
      <c r="B441" s="16" t="s">
        <v>5773</v>
      </c>
      <c r="C441" s="19">
        <v>1306210.0</v>
      </c>
      <c r="D441" s="16" t="s">
        <v>5846</v>
      </c>
      <c r="E441" s="16" t="s">
        <v>5846</v>
      </c>
      <c r="F441" s="16" t="s">
        <v>6235</v>
      </c>
      <c r="G441" s="22" t="s">
        <v>6235</v>
      </c>
      <c r="H441" s="22">
        <v>15918.0</v>
      </c>
      <c r="I441" s="84">
        <v>0.25</v>
      </c>
      <c r="J441" s="96">
        <v>5253.0</v>
      </c>
      <c r="K441" s="22">
        <v>54990.0</v>
      </c>
      <c r="L441" s="22">
        <v>35990.0</v>
      </c>
      <c r="M441" s="96">
        <v>32347.0</v>
      </c>
      <c r="N441" s="96">
        <v>21171.0</v>
      </c>
      <c r="O441" s="84">
        <v>0.3</v>
      </c>
      <c r="P441" s="84">
        <v>0.3</v>
      </c>
      <c r="Q441" s="133" t="s">
        <v>134</v>
      </c>
      <c r="R441" s="84">
        <v>0.47</v>
      </c>
      <c r="S441" s="84">
        <v>0.24</v>
      </c>
      <c r="T441" s="37"/>
      <c r="U441" s="37"/>
    </row>
    <row r="442">
      <c r="A442" s="136" t="s">
        <v>6138</v>
      </c>
      <c r="B442" s="16" t="s">
        <v>5773</v>
      </c>
      <c r="C442" s="19">
        <v>3950421.0</v>
      </c>
      <c r="D442" s="16" t="s">
        <v>5846</v>
      </c>
      <c r="E442" s="16" t="s">
        <v>5846</v>
      </c>
      <c r="F442" s="16" t="s">
        <v>6236</v>
      </c>
      <c r="G442" s="22" t="s">
        <v>6236</v>
      </c>
      <c r="H442" s="22">
        <v>8284.0</v>
      </c>
      <c r="I442" s="84">
        <v>0.26</v>
      </c>
      <c r="J442" s="96">
        <v>2887.0</v>
      </c>
      <c r="K442" s="22">
        <v>29990.0</v>
      </c>
      <c r="L442" s="22">
        <v>18990.0</v>
      </c>
      <c r="M442" s="96">
        <v>17641.0</v>
      </c>
      <c r="N442" s="96">
        <v>11171.0</v>
      </c>
      <c r="O442" s="84">
        <v>0.3</v>
      </c>
      <c r="P442" s="84">
        <v>0.3</v>
      </c>
      <c r="Q442" s="133" t="s">
        <v>134</v>
      </c>
      <c r="R442" s="84">
        <v>0.48</v>
      </c>
      <c r="S442" s="84">
        <v>0.25</v>
      </c>
      <c r="T442" s="37"/>
      <c r="U442" s="37"/>
    </row>
    <row r="443">
      <c r="A443" s="136" t="s">
        <v>6138</v>
      </c>
      <c r="B443" s="16" t="s">
        <v>5773</v>
      </c>
      <c r="C443" s="19">
        <v>1307143.0</v>
      </c>
      <c r="D443" s="16" t="s">
        <v>5846</v>
      </c>
      <c r="E443" s="16" t="s">
        <v>5846</v>
      </c>
      <c r="F443" s="16" t="s">
        <v>6237</v>
      </c>
      <c r="G443" s="22" t="s">
        <v>6237</v>
      </c>
      <c r="H443" s="22">
        <v>16129.0</v>
      </c>
      <c r="I443" s="84">
        <v>0.24</v>
      </c>
      <c r="J443" s="96">
        <v>5041.0</v>
      </c>
      <c r="K443" s="22">
        <v>54990.0</v>
      </c>
      <c r="L443" s="22">
        <v>35990.0</v>
      </c>
      <c r="M443" s="96">
        <v>32347.0</v>
      </c>
      <c r="N443" s="96">
        <v>21171.0</v>
      </c>
      <c r="O443" s="84">
        <v>0.3</v>
      </c>
      <c r="P443" s="84">
        <v>0.3</v>
      </c>
      <c r="Q443" s="133" t="s">
        <v>134</v>
      </c>
      <c r="R443" s="84">
        <v>0.47</v>
      </c>
      <c r="S443" s="84">
        <v>0.24</v>
      </c>
      <c r="T443" s="37"/>
      <c r="U443" s="37"/>
    </row>
    <row r="444">
      <c r="A444" s="136" t="s">
        <v>6138</v>
      </c>
      <c r="B444" s="16" t="s">
        <v>5773</v>
      </c>
      <c r="C444" s="19">
        <v>3950120.0</v>
      </c>
      <c r="D444" s="16" t="s">
        <v>5846</v>
      </c>
      <c r="E444" s="16" t="s">
        <v>5846</v>
      </c>
      <c r="F444" s="16" t="s">
        <v>6238</v>
      </c>
      <c r="G444" s="22" t="s">
        <v>6238</v>
      </c>
      <c r="H444" s="22">
        <v>2207.0</v>
      </c>
      <c r="I444" s="84">
        <v>0.37</v>
      </c>
      <c r="J444" s="96">
        <v>1317.0</v>
      </c>
      <c r="K444" s="22">
        <v>9990.0</v>
      </c>
      <c r="L444" s="22">
        <v>5990.0</v>
      </c>
      <c r="M444" s="96">
        <v>5876.0</v>
      </c>
      <c r="N444" s="96">
        <v>3524.0</v>
      </c>
      <c r="O444" s="84">
        <v>0.3</v>
      </c>
      <c r="P444" s="84">
        <v>0.3</v>
      </c>
      <c r="Q444" s="133" t="s">
        <v>134</v>
      </c>
      <c r="R444" s="84">
        <v>0.56</v>
      </c>
      <c r="S444" s="84">
        <v>0.33</v>
      </c>
      <c r="T444" s="37"/>
      <c r="U444" s="37"/>
    </row>
    <row r="445">
      <c r="A445" s="136" t="s">
        <v>6138</v>
      </c>
      <c r="B445" s="16" t="s">
        <v>5773</v>
      </c>
      <c r="C445" s="19">
        <v>3950042.0</v>
      </c>
      <c r="D445" s="16" t="s">
        <v>5846</v>
      </c>
      <c r="E445" s="16" t="s">
        <v>5846</v>
      </c>
      <c r="F445" s="16" t="s">
        <v>6239</v>
      </c>
      <c r="G445" s="22" t="s">
        <v>6239</v>
      </c>
      <c r="H445" s="22">
        <v>2011.0</v>
      </c>
      <c r="I445" s="84">
        <v>0.31</v>
      </c>
      <c r="J445" s="96">
        <v>924.0</v>
      </c>
      <c r="K445" s="22">
        <v>8990.0</v>
      </c>
      <c r="L445" s="22">
        <v>4990.0</v>
      </c>
      <c r="M445" s="96">
        <v>5288.0</v>
      </c>
      <c r="N445" s="96">
        <v>2935.0</v>
      </c>
      <c r="O445" s="84">
        <v>0.3</v>
      </c>
      <c r="P445" s="84">
        <v>0.3</v>
      </c>
      <c r="Q445" s="133" t="s">
        <v>134</v>
      </c>
      <c r="R445" s="84">
        <v>0.52</v>
      </c>
      <c r="S445" s="84">
        <v>0.29</v>
      </c>
      <c r="T445" s="37"/>
      <c r="U445" s="37"/>
    </row>
    <row r="446">
      <c r="A446" s="136" t="s">
        <v>6138</v>
      </c>
      <c r="B446" s="16" t="s">
        <v>5773</v>
      </c>
      <c r="C446" s="19">
        <v>3950420.0</v>
      </c>
      <c r="D446" s="16" t="s">
        <v>5846</v>
      </c>
      <c r="E446" s="16" t="s">
        <v>5846</v>
      </c>
      <c r="F446" s="16" t="s">
        <v>6240</v>
      </c>
      <c r="G446" s="22" t="s">
        <v>6240</v>
      </c>
      <c r="H446" s="22">
        <v>5745.0</v>
      </c>
      <c r="I446" s="84">
        <v>0.3</v>
      </c>
      <c r="J446" s="96">
        <v>2484.0</v>
      </c>
      <c r="K446" s="22">
        <v>21990.0</v>
      </c>
      <c r="L446" s="22">
        <v>13990.0</v>
      </c>
      <c r="M446" s="96">
        <v>12935.0</v>
      </c>
      <c r="N446" s="96">
        <v>8229.0</v>
      </c>
      <c r="O446" s="84">
        <v>0.3</v>
      </c>
      <c r="P446" s="84">
        <v>0.3</v>
      </c>
      <c r="Q446" s="133" t="s">
        <v>134</v>
      </c>
      <c r="R446" s="84">
        <v>0.51</v>
      </c>
      <c r="S446" s="84">
        <v>0.28</v>
      </c>
      <c r="T446" s="37"/>
      <c r="U446" s="37"/>
    </row>
    <row r="447">
      <c r="A447" s="136" t="s">
        <v>6138</v>
      </c>
      <c r="B447" s="16" t="s">
        <v>5773</v>
      </c>
      <c r="C447" s="19">
        <v>1107060.0</v>
      </c>
      <c r="D447" s="16" t="s">
        <v>5805</v>
      </c>
      <c r="E447" s="16" t="s">
        <v>5805</v>
      </c>
      <c r="F447" s="16" t="s">
        <v>6241</v>
      </c>
      <c r="G447" s="22" t="s">
        <v>6241</v>
      </c>
      <c r="H447" s="22">
        <v>8841.0</v>
      </c>
      <c r="I447" s="84">
        <v>0.25</v>
      </c>
      <c r="J447" s="96">
        <v>2918.0</v>
      </c>
      <c r="K447" s="22">
        <v>30990.0</v>
      </c>
      <c r="L447" s="22">
        <v>19990.0</v>
      </c>
      <c r="M447" s="96">
        <v>18229.0</v>
      </c>
      <c r="N447" s="96">
        <v>11759.0</v>
      </c>
      <c r="O447" s="84">
        <v>0.3</v>
      </c>
      <c r="P447" s="84">
        <v>0.3</v>
      </c>
      <c r="Q447" s="133" t="s">
        <v>134</v>
      </c>
      <c r="R447" s="84">
        <v>0.47</v>
      </c>
      <c r="S447" s="84">
        <v>0.24</v>
      </c>
      <c r="T447" s="37"/>
      <c r="U447" s="37"/>
    </row>
    <row r="448">
      <c r="A448" s="136" t="s">
        <v>6138</v>
      </c>
      <c r="B448" s="16" t="s">
        <v>5773</v>
      </c>
      <c r="C448" s="19">
        <v>3990003.0</v>
      </c>
      <c r="D448" s="16" t="s">
        <v>5846</v>
      </c>
      <c r="E448" s="16" t="s">
        <v>5846</v>
      </c>
      <c r="F448" s="16" t="s">
        <v>6242</v>
      </c>
      <c r="G448" s="22" t="s">
        <v>6242</v>
      </c>
      <c r="H448" s="22">
        <v>3534.0</v>
      </c>
      <c r="I448" s="84">
        <v>0.33</v>
      </c>
      <c r="J448" s="96">
        <v>1754.0</v>
      </c>
      <c r="K448" s="22">
        <v>14990.0</v>
      </c>
      <c r="L448" s="22">
        <v>8990.0</v>
      </c>
      <c r="M448" s="96">
        <v>8818.0</v>
      </c>
      <c r="N448" s="96">
        <v>5288.0</v>
      </c>
      <c r="O448" s="84">
        <v>0.3</v>
      </c>
      <c r="P448" s="84">
        <v>0.3</v>
      </c>
      <c r="Q448" s="133" t="s">
        <v>134</v>
      </c>
      <c r="R448" s="84">
        <v>0.53</v>
      </c>
      <c r="S448" s="84">
        <v>0.3</v>
      </c>
      <c r="T448" s="37"/>
      <c r="U448" s="37"/>
    </row>
    <row r="449">
      <c r="A449" s="136" t="s">
        <v>6138</v>
      </c>
      <c r="B449" s="16" t="s">
        <v>5773</v>
      </c>
      <c r="C449" s="19">
        <v>3950422.0</v>
      </c>
      <c r="D449" s="16" t="s">
        <v>5846</v>
      </c>
      <c r="E449" s="16" t="s">
        <v>5846</v>
      </c>
      <c r="F449" s="16" t="s">
        <v>6243</v>
      </c>
      <c r="G449" s="22" t="s">
        <v>6243</v>
      </c>
      <c r="H449" s="22">
        <v>7072.0</v>
      </c>
      <c r="I449" s="84">
        <v>0.29</v>
      </c>
      <c r="J449" s="96">
        <v>2922.0</v>
      </c>
      <c r="K449" s="22">
        <v>26990.0</v>
      </c>
      <c r="L449" s="22">
        <v>16990.0</v>
      </c>
      <c r="M449" s="96">
        <v>15876.0</v>
      </c>
      <c r="N449" s="96">
        <v>9994.0</v>
      </c>
      <c r="O449" s="84">
        <v>0.3</v>
      </c>
      <c r="P449" s="84">
        <v>0.3</v>
      </c>
      <c r="Q449" s="133" t="s">
        <v>134</v>
      </c>
      <c r="R449" s="84">
        <v>0.5</v>
      </c>
      <c r="S449" s="84">
        <v>0.27</v>
      </c>
      <c r="T449" s="37"/>
      <c r="U449" s="37"/>
    </row>
    <row r="450">
      <c r="A450" s="136" t="s">
        <v>6138</v>
      </c>
      <c r="B450" s="16" t="s">
        <v>5773</v>
      </c>
      <c r="C450" s="19">
        <v>3950118.0</v>
      </c>
      <c r="D450" s="16" t="s">
        <v>5846</v>
      </c>
      <c r="E450" s="16" t="s">
        <v>5846</v>
      </c>
      <c r="F450" s="16" t="s">
        <v>6244</v>
      </c>
      <c r="G450" s="22" t="s">
        <v>6244</v>
      </c>
      <c r="H450" s="22">
        <v>4861.0</v>
      </c>
      <c r="I450" s="84">
        <v>0.31</v>
      </c>
      <c r="J450" s="96">
        <v>2192.0</v>
      </c>
      <c r="K450" s="22">
        <v>18990.0</v>
      </c>
      <c r="L450" s="22">
        <v>11990.0</v>
      </c>
      <c r="M450" s="96">
        <v>11171.0</v>
      </c>
      <c r="N450" s="96">
        <v>7053.0</v>
      </c>
      <c r="O450" s="84">
        <v>0.3</v>
      </c>
      <c r="P450" s="84">
        <v>0.3</v>
      </c>
      <c r="Q450" s="133" t="s">
        <v>134</v>
      </c>
      <c r="R450" s="84">
        <v>0.52</v>
      </c>
      <c r="S450" s="84">
        <v>0.29</v>
      </c>
      <c r="T450" s="37"/>
      <c r="U450" s="37"/>
    </row>
    <row r="451">
      <c r="A451" s="136" t="s">
        <v>6138</v>
      </c>
      <c r="B451" s="16" t="s">
        <v>5738</v>
      </c>
      <c r="C451" s="19">
        <v>169228.0</v>
      </c>
      <c r="D451" s="16" t="s">
        <v>5871</v>
      </c>
      <c r="E451" s="16" t="s">
        <v>5871</v>
      </c>
      <c r="F451" s="16" t="s">
        <v>6245</v>
      </c>
      <c r="G451" s="22" t="s">
        <v>6245</v>
      </c>
      <c r="H451" s="22">
        <v>3976.0</v>
      </c>
      <c r="I451" s="84">
        <v>0.32</v>
      </c>
      <c r="J451" s="96">
        <v>1900.0</v>
      </c>
      <c r="K451" s="22">
        <v>15990.0</v>
      </c>
      <c r="L451" s="22">
        <v>9990.0</v>
      </c>
      <c r="M451" s="96">
        <v>9406.0</v>
      </c>
      <c r="N451" s="96">
        <v>5876.0</v>
      </c>
      <c r="O451" s="84">
        <v>0.3</v>
      </c>
      <c r="P451" s="84">
        <v>0.3</v>
      </c>
      <c r="Q451" s="133" t="s">
        <v>134</v>
      </c>
      <c r="R451" s="84">
        <v>0.53</v>
      </c>
      <c r="S451" s="84">
        <v>0.3</v>
      </c>
    </row>
    <row r="452">
      <c r="A452" s="136" t="s">
        <v>6138</v>
      </c>
      <c r="B452" s="16" t="s">
        <v>5777</v>
      </c>
      <c r="C452" s="19">
        <v>73682.0</v>
      </c>
      <c r="D452" s="16" t="s">
        <v>5893</v>
      </c>
      <c r="E452" s="16" t="s">
        <v>5893</v>
      </c>
      <c r="F452" s="16" t="s">
        <v>6246</v>
      </c>
      <c r="G452" s="22" t="s">
        <v>6246</v>
      </c>
      <c r="H452" s="22">
        <v>10610.0</v>
      </c>
      <c r="I452" s="84">
        <v>0.25</v>
      </c>
      <c r="J452" s="96">
        <v>3501.0</v>
      </c>
      <c r="K452" s="22">
        <v>36990.0</v>
      </c>
      <c r="L452" s="22">
        <v>23990.0</v>
      </c>
      <c r="M452" s="96">
        <v>21759.0</v>
      </c>
      <c r="N452" s="96">
        <v>14112.0</v>
      </c>
      <c r="O452" s="84">
        <v>0.3</v>
      </c>
      <c r="P452" s="84">
        <v>0.3</v>
      </c>
      <c r="Q452" s="133" t="s">
        <v>134</v>
      </c>
      <c r="R452" s="84">
        <v>0.47</v>
      </c>
      <c r="S452" s="84">
        <v>0.24</v>
      </c>
    </row>
    <row r="453">
      <c r="A453" s="136" t="s">
        <v>6138</v>
      </c>
      <c r="B453" s="16" t="s">
        <v>5773</v>
      </c>
      <c r="C453" s="19">
        <v>1100147.0</v>
      </c>
      <c r="D453" s="16" t="s">
        <v>5805</v>
      </c>
      <c r="E453" s="16" t="s">
        <v>5805</v>
      </c>
      <c r="F453" s="16" t="s">
        <v>6247</v>
      </c>
      <c r="G453" s="22" t="s">
        <v>6247</v>
      </c>
      <c r="H453" s="22">
        <v>6630.0</v>
      </c>
      <c r="I453" s="84">
        <v>0.3</v>
      </c>
      <c r="J453" s="96">
        <v>2776.0</v>
      </c>
      <c r="K453" s="22">
        <v>24990.0</v>
      </c>
      <c r="L453" s="22">
        <v>15990.0</v>
      </c>
      <c r="M453" s="96">
        <v>14700.0</v>
      </c>
      <c r="N453" s="96">
        <v>9406.0</v>
      </c>
      <c r="O453" s="84">
        <v>0.3</v>
      </c>
      <c r="P453" s="84">
        <v>0.3</v>
      </c>
      <c r="Q453" s="133" t="s">
        <v>134</v>
      </c>
      <c r="R453" s="84">
        <v>0.51</v>
      </c>
      <c r="S453" s="84">
        <v>0.28</v>
      </c>
    </row>
    <row r="454">
      <c r="A454" s="136" t="s">
        <v>6138</v>
      </c>
      <c r="B454" s="16" t="s">
        <v>5777</v>
      </c>
      <c r="C454" s="19">
        <v>83222.0</v>
      </c>
      <c r="D454" s="16" t="s">
        <v>5842</v>
      </c>
      <c r="E454" s="16" t="s">
        <v>5842</v>
      </c>
      <c r="F454" s="16" t="s">
        <v>6248</v>
      </c>
      <c r="G454" s="22" t="s">
        <v>6248</v>
      </c>
      <c r="H454" s="22">
        <v>4861.0</v>
      </c>
      <c r="I454" s="84">
        <v>0.31</v>
      </c>
      <c r="J454" s="96">
        <v>2192.0</v>
      </c>
      <c r="K454" s="22">
        <v>18990.0</v>
      </c>
      <c r="L454" s="22">
        <v>11990.0</v>
      </c>
      <c r="M454" s="96">
        <v>11171.0</v>
      </c>
      <c r="N454" s="96">
        <v>7053.0</v>
      </c>
      <c r="O454" s="84">
        <v>0.3</v>
      </c>
      <c r="P454" s="84">
        <v>0.3</v>
      </c>
      <c r="Q454" s="133" t="s">
        <v>134</v>
      </c>
      <c r="R454" s="84">
        <v>0.52</v>
      </c>
      <c r="S454" s="84">
        <v>0.29</v>
      </c>
    </row>
    <row r="455">
      <c r="A455" s="136" t="s">
        <v>6138</v>
      </c>
      <c r="B455" s="16" t="s">
        <v>5777</v>
      </c>
      <c r="C455" s="19">
        <v>83138.0</v>
      </c>
      <c r="D455" s="16" t="s">
        <v>5842</v>
      </c>
      <c r="E455" s="16" t="s">
        <v>5842</v>
      </c>
      <c r="F455" s="16" t="s">
        <v>6249</v>
      </c>
      <c r="G455" s="22" t="s">
        <v>6249</v>
      </c>
      <c r="H455" s="22">
        <v>4861.0</v>
      </c>
      <c r="I455" s="84">
        <v>0.31</v>
      </c>
      <c r="J455" s="96">
        <v>2192.0</v>
      </c>
      <c r="K455" s="22">
        <v>18990.0</v>
      </c>
      <c r="L455" s="22">
        <v>11990.0</v>
      </c>
      <c r="M455" s="96">
        <v>11171.0</v>
      </c>
      <c r="N455" s="96">
        <v>7053.0</v>
      </c>
      <c r="O455" s="84">
        <v>0.3</v>
      </c>
      <c r="P455" s="84">
        <v>0.3</v>
      </c>
      <c r="Q455" s="133" t="s">
        <v>134</v>
      </c>
      <c r="R455" s="84">
        <v>0.52</v>
      </c>
      <c r="S455" s="84">
        <v>0.29</v>
      </c>
    </row>
    <row r="456">
      <c r="A456" s="136" t="s">
        <v>6138</v>
      </c>
      <c r="B456" s="16" t="s">
        <v>5777</v>
      </c>
      <c r="C456" s="19">
        <v>74148.0</v>
      </c>
      <c r="D456" s="16" t="s">
        <v>5846</v>
      </c>
      <c r="E456" s="16" t="s">
        <v>5846</v>
      </c>
      <c r="F456" s="16" t="s">
        <v>6250</v>
      </c>
      <c r="G456" s="22" t="s">
        <v>6250</v>
      </c>
      <c r="H456" s="22">
        <v>4861.0</v>
      </c>
      <c r="I456" s="84">
        <v>0.31</v>
      </c>
      <c r="J456" s="96">
        <v>2192.0</v>
      </c>
      <c r="K456" s="22">
        <v>18990.0</v>
      </c>
      <c r="L456" s="22">
        <v>11990.0</v>
      </c>
      <c r="M456" s="96">
        <v>11171.0</v>
      </c>
      <c r="N456" s="96">
        <v>7053.0</v>
      </c>
      <c r="O456" s="84">
        <v>0.3</v>
      </c>
      <c r="P456" s="84">
        <v>0.3</v>
      </c>
      <c r="Q456" s="133" t="s">
        <v>134</v>
      </c>
      <c r="R456" s="84">
        <v>0.52</v>
      </c>
      <c r="S456" s="84">
        <v>0.29</v>
      </c>
    </row>
    <row r="457">
      <c r="A457" s="136" t="s">
        <v>6138</v>
      </c>
      <c r="B457" s="16" t="s">
        <v>5773</v>
      </c>
      <c r="C457" s="19">
        <v>3990012.0</v>
      </c>
      <c r="D457" s="16" t="s">
        <v>5846</v>
      </c>
      <c r="E457" s="16" t="s">
        <v>5846</v>
      </c>
      <c r="F457" s="16" t="s">
        <v>6251</v>
      </c>
      <c r="G457" s="22" t="s">
        <v>6251</v>
      </c>
      <c r="H457" s="22">
        <v>3534.0</v>
      </c>
      <c r="I457" s="84">
        <v>0.33</v>
      </c>
      <c r="J457" s="96">
        <v>1754.0</v>
      </c>
      <c r="K457" s="22">
        <v>14990.0</v>
      </c>
      <c r="L457" s="22">
        <v>8990.0</v>
      </c>
      <c r="M457" s="96">
        <v>8818.0</v>
      </c>
      <c r="N457" s="96">
        <v>5288.0</v>
      </c>
      <c r="O457" s="84">
        <v>0.3</v>
      </c>
      <c r="P457" s="84">
        <v>0.3</v>
      </c>
      <c r="Q457" s="133" t="s">
        <v>134</v>
      </c>
      <c r="R457" s="84">
        <v>0.53</v>
      </c>
      <c r="S457" s="84">
        <v>0.3</v>
      </c>
    </row>
    <row r="458">
      <c r="A458" s="136" t="s">
        <v>6138</v>
      </c>
      <c r="B458" s="16" t="s">
        <v>5777</v>
      </c>
      <c r="C458" s="19">
        <v>74066.0</v>
      </c>
      <c r="D458" s="16" t="s">
        <v>5846</v>
      </c>
      <c r="E458" s="16" t="s">
        <v>5846</v>
      </c>
      <c r="F458" s="16" t="s">
        <v>6252</v>
      </c>
      <c r="G458" s="22" t="s">
        <v>6252</v>
      </c>
      <c r="H458" s="22">
        <v>4861.0</v>
      </c>
      <c r="I458" s="84">
        <v>0.31</v>
      </c>
      <c r="J458" s="96">
        <v>2192.0</v>
      </c>
      <c r="K458" s="22">
        <v>18990.0</v>
      </c>
      <c r="L458" s="22">
        <v>11990.0</v>
      </c>
      <c r="M458" s="96">
        <v>11171.0</v>
      </c>
      <c r="N458" s="96">
        <v>7053.0</v>
      </c>
      <c r="O458" s="84">
        <v>0.3</v>
      </c>
      <c r="P458" s="84">
        <v>0.3</v>
      </c>
      <c r="Q458" s="133" t="s">
        <v>134</v>
      </c>
      <c r="R458" s="84">
        <v>0.52</v>
      </c>
      <c r="S458" s="84">
        <v>0.29</v>
      </c>
    </row>
    <row r="459">
      <c r="A459" s="136" t="s">
        <v>6138</v>
      </c>
      <c r="B459" s="16" t="s">
        <v>5773</v>
      </c>
      <c r="C459" s="19">
        <v>1100192.0</v>
      </c>
      <c r="D459" s="16" t="s">
        <v>5846</v>
      </c>
      <c r="E459" s="16" t="s">
        <v>5846</v>
      </c>
      <c r="F459" s="16" t="s">
        <v>6253</v>
      </c>
      <c r="G459" s="22" t="s">
        <v>6253</v>
      </c>
      <c r="H459" s="22">
        <v>3092.0</v>
      </c>
      <c r="I459" s="84">
        <v>0.34</v>
      </c>
      <c r="J459" s="96">
        <v>1608.0</v>
      </c>
      <c r="K459" s="22">
        <v>12990.0</v>
      </c>
      <c r="L459" s="22">
        <v>7990.0</v>
      </c>
      <c r="M459" s="96">
        <v>7641.0</v>
      </c>
      <c r="N459" s="96">
        <v>4700.0</v>
      </c>
      <c r="O459" s="84">
        <v>0.3</v>
      </c>
      <c r="P459" s="84">
        <v>0.3</v>
      </c>
      <c r="Q459" s="133" t="s">
        <v>134</v>
      </c>
      <c r="R459" s="84">
        <v>0.54</v>
      </c>
      <c r="S459" s="84">
        <v>0.31</v>
      </c>
    </row>
    <row r="460">
      <c r="A460" s="136" t="s">
        <v>6138</v>
      </c>
      <c r="B460" s="16" t="s">
        <v>5773</v>
      </c>
      <c r="C460" s="19">
        <v>1315090.0</v>
      </c>
      <c r="D460" s="16" t="s">
        <v>5846</v>
      </c>
      <c r="E460" s="16" t="s">
        <v>5846</v>
      </c>
      <c r="F460" s="16" t="s">
        <v>6254</v>
      </c>
      <c r="G460" s="22" t="s">
        <v>6254</v>
      </c>
      <c r="H460" s="22">
        <v>24975.0</v>
      </c>
      <c r="I460" s="84">
        <v>0.24</v>
      </c>
      <c r="J460" s="96">
        <v>7961.0</v>
      </c>
      <c r="K460" s="22">
        <v>84990.0</v>
      </c>
      <c r="L460" s="22">
        <v>55990.0</v>
      </c>
      <c r="M460" s="96">
        <v>49994.0</v>
      </c>
      <c r="N460" s="96">
        <v>32935.0</v>
      </c>
      <c r="O460" s="84">
        <v>0.3</v>
      </c>
      <c r="P460" s="84">
        <v>0.3</v>
      </c>
      <c r="Q460" s="133" t="s">
        <v>134</v>
      </c>
      <c r="R460" s="84">
        <v>0.47</v>
      </c>
      <c r="S460" s="84">
        <v>0.24</v>
      </c>
    </row>
    <row r="461">
      <c r="A461" s="136" t="s">
        <v>6138</v>
      </c>
      <c r="B461" s="16" t="s">
        <v>5777</v>
      </c>
      <c r="C461" s="19">
        <v>73674.0</v>
      </c>
      <c r="D461" s="16" t="s">
        <v>5893</v>
      </c>
      <c r="E461" s="16" t="s">
        <v>5893</v>
      </c>
      <c r="F461" s="16" t="s">
        <v>6255</v>
      </c>
      <c r="G461" s="22" t="s">
        <v>6255</v>
      </c>
      <c r="H461" s="22">
        <v>10610.0</v>
      </c>
      <c r="I461" s="84">
        <v>0.25</v>
      </c>
      <c r="J461" s="96">
        <v>3501.0</v>
      </c>
      <c r="K461" s="22">
        <v>36990.0</v>
      </c>
      <c r="L461" s="22">
        <v>23990.0</v>
      </c>
      <c r="M461" s="96">
        <v>21759.0</v>
      </c>
      <c r="N461" s="96">
        <v>14112.0</v>
      </c>
      <c r="O461" s="84">
        <v>0.3</v>
      </c>
      <c r="P461" s="84">
        <v>0.3</v>
      </c>
      <c r="Q461" s="133" t="s">
        <v>134</v>
      </c>
      <c r="R461" s="84">
        <v>0.47</v>
      </c>
      <c r="S461" s="84">
        <v>0.24</v>
      </c>
    </row>
    <row r="462">
      <c r="A462" s="136" t="s">
        <v>6138</v>
      </c>
      <c r="B462" s="16" t="s">
        <v>5773</v>
      </c>
      <c r="C462" s="19">
        <v>3950176.0</v>
      </c>
      <c r="D462" s="16" t="s">
        <v>5846</v>
      </c>
      <c r="E462" s="16" t="s">
        <v>5846</v>
      </c>
      <c r="F462" s="16" t="s">
        <v>6256</v>
      </c>
      <c r="G462" s="22" t="s">
        <v>6256</v>
      </c>
      <c r="H462" s="22">
        <v>7072.0</v>
      </c>
      <c r="I462" s="84">
        <v>0.29</v>
      </c>
      <c r="J462" s="96">
        <v>2922.0</v>
      </c>
      <c r="K462" s="22">
        <v>26990.0</v>
      </c>
      <c r="L462" s="22">
        <v>16990.0</v>
      </c>
      <c r="M462" s="96">
        <v>15876.0</v>
      </c>
      <c r="N462" s="96">
        <v>9994.0</v>
      </c>
      <c r="O462" s="84">
        <v>0.3</v>
      </c>
      <c r="P462" s="84">
        <v>0.3</v>
      </c>
      <c r="Q462" s="133" t="s">
        <v>134</v>
      </c>
      <c r="R462" s="84">
        <v>0.5</v>
      </c>
      <c r="S462" s="84">
        <v>0.27</v>
      </c>
    </row>
    <row r="463">
      <c r="A463" s="136" t="s">
        <v>6138</v>
      </c>
      <c r="B463" s="16" t="s">
        <v>5738</v>
      </c>
      <c r="C463" s="19" t="s">
        <v>6257</v>
      </c>
      <c r="D463" s="16" t="s">
        <v>5846</v>
      </c>
      <c r="E463" s="16" t="s">
        <v>5846</v>
      </c>
      <c r="F463" s="16" t="s">
        <v>6258</v>
      </c>
      <c r="G463" s="22" t="s">
        <v>6258</v>
      </c>
      <c r="H463" s="22">
        <v>4861.0</v>
      </c>
      <c r="I463" s="84">
        <v>0.31</v>
      </c>
      <c r="J463" s="96">
        <v>2192.0</v>
      </c>
      <c r="K463" s="22">
        <v>18990.0</v>
      </c>
      <c r="L463" s="22">
        <v>11990.0</v>
      </c>
      <c r="M463" s="96">
        <v>11171.0</v>
      </c>
      <c r="N463" s="96">
        <v>7053.0</v>
      </c>
      <c r="O463" s="84">
        <v>0.3</v>
      </c>
      <c r="P463" s="84">
        <v>0.3</v>
      </c>
      <c r="Q463" s="133" t="s">
        <v>134</v>
      </c>
      <c r="R463" s="84">
        <v>0.52</v>
      </c>
      <c r="S463" s="84">
        <v>0.29</v>
      </c>
    </row>
    <row r="464">
      <c r="A464" s="136" t="s">
        <v>6138</v>
      </c>
      <c r="B464" s="16" t="s">
        <v>5773</v>
      </c>
      <c r="C464" s="19">
        <v>3950103.0</v>
      </c>
      <c r="D464" s="16" t="s">
        <v>5846</v>
      </c>
      <c r="E464" s="16" t="s">
        <v>5846</v>
      </c>
      <c r="F464" s="16" t="s">
        <v>6259</v>
      </c>
      <c r="G464" s="22" t="s">
        <v>6259</v>
      </c>
      <c r="H464" s="22">
        <v>2107.0</v>
      </c>
      <c r="I464" s="84">
        <v>0.4</v>
      </c>
      <c r="J464" s="96">
        <v>1417.0</v>
      </c>
      <c r="K464" s="22">
        <v>9990.0</v>
      </c>
      <c r="L464" s="22">
        <v>5990.0</v>
      </c>
      <c r="M464" s="96">
        <v>5876.0</v>
      </c>
      <c r="N464" s="96">
        <v>3524.0</v>
      </c>
      <c r="O464" s="84">
        <v>0.3</v>
      </c>
      <c r="P464" s="84">
        <v>0.3</v>
      </c>
      <c r="Q464" s="133" t="s">
        <v>134</v>
      </c>
      <c r="R464" s="84">
        <v>0.58</v>
      </c>
      <c r="S464" s="84">
        <v>0.35</v>
      </c>
    </row>
    <row r="465">
      <c r="A465" s="136" t="s">
        <v>6138</v>
      </c>
      <c r="B465" s="16" t="s">
        <v>5773</v>
      </c>
      <c r="C465" s="19">
        <v>4490120.0</v>
      </c>
      <c r="D465" s="16" t="s">
        <v>5846</v>
      </c>
      <c r="E465" s="16" t="s">
        <v>5846</v>
      </c>
      <c r="F465" s="16" t="s">
        <v>6260</v>
      </c>
      <c r="G465" s="22" t="s">
        <v>6260</v>
      </c>
      <c r="H465" s="22">
        <v>1976.0</v>
      </c>
      <c r="I465" s="84">
        <v>0.33</v>
      </c>
      <c r="J465" s="96">
        <v>959.0</v>
      </c>
      <c r="K465" s="22">
        <v>8990.0</v>
      </c>
      <c r="L465" s="22">
        <v>4990.0</v>
      </c>
      <c r="M465" s="96">
        <v>5288.0</v>
      </c>
      <c r="N465" s="96">
        <v>2935.0</v>
      </c>
      <c r="O465" s="84">
        <v>0.3</v>
      </c>
      <c r="P465" s="84">
        <v>0.3</v>
      </c>
      <c r="Q465" s="133" t="s">
        <v>134</v>
      </c>
      <c r="R465" s="84">
        <v>0.53</v>
      </c>
      <c r="S465" s="84">
        <v>0.3</v>
      </c>
    </row>
    <row r="466">
      <c r="A466" s="136" t="s">
        <v>6138</v>
      </c>
      <c r="B466" s="16" t="s">
        <v>5773</v>
      </c>
      <c r="C466" s="19">
        <v>3950302.0</v>
      </c>
      <c r="D466" s="16" t="s">
        <v>5846</v>
      </c>
      <c r="E466" s="16" t="s">
        <v>5846</v>
      </c>
      <c r="F466" s="16" t="s">
        <v>6261</v>
      </c>
      <c r="G466" s="22" t="s">
        <v>6261</v>
      </c>
      <c r="H466" s="22">
        <v>15918.0</v>
      </c>
      <c r="I466" s="84">
        <v>0.25</v>
      </c>
      <c r="J466" s="96">
        <v>5253.0</v>
      </c>
      <c r="K466" s="22">
        <v>54990.0</v>
      </c>
      <c r="L466" s="22">
        <v>35990.0</v>
      </c>
      <c r="M466" s="96">
        <v>32347.0</v>
      </c>
      <c r="N466" s="96">
        <v>21171.0</v>
      </c>
      <c r="O466" s="84">
        <v>0.3</v>
      </c>
      <c r="P466" s="84">
        <v>0.3</v>
      </c>
      <c r="Q466" s="133" t="s">
        <v>134</v>
      </c>
      <c r="R466" s="84">
        <v>0.47</v>
      </c>
      <c r="S466" s="84">
        <v>0.24</v>
      </c>
    </row>
    <row r="467">
      <c r="A467" s="136" t="s">
        <v>6138</v>
      </c>
      <c r="B467" s="16" t="s">
        <v>5773</v>
      </c>
      <c r="C467" s="19">
        <v>3950593.0</v>
      </c>
      <c r="D467" s="16" t="s">
        <v>5846</v>
      </c>
      <c r="E467" s="16" t="s">
        <v>5846</v>
      </c>
      <c r="F467" s="16" t="s">
        <v>6262</v>
      </c>
      <c r="G467" s="22" t="s">
        <v>6262</v>
      </c>
      <c r="H467" s="22">
        <v>15918.0</v>
      </c>
      <c r="I467" s="84">
        <v>0.25</v>
      </c>
      <c r="J467" s="96">
        <v>5253.0</v>
      </c>
      <c r="K467" s="22">
        <v>54990.0</v>
      </c>
      <c r="L467" s="22">
        <v>35990.0</v>
      </c>
      <c r="M467" s="96">
        <v>32347.0</v>
      </c>
      <c r="N467" s="96">
        <v>21171.0</v>
      </c>
      <c r="O467" s="84">
        <v>0.3</v>
      </c>
      <c r="P467" s="84">
        <v>0.3</v>
      </c>
      <c r="Q467" s="133" t="s">
        <v>134</v>
      </c>
      <c r="R467" s="84">
        <v>0.47</v>
      </c>
      <c r="S467" s="84">
        <v>0.24</v>
      </c>
    </row>
    <row r="468">
      <c r="A468" s="136" t="s">
        <v>6138</v>
      </c>
      <c r="B468" s="16" t="s">
        <v>5777</v>
      </c>
      <c r="C468" s="19">
        <v>71876.0</v>
      </c>
      <c r="D468" s="16" t="s">
        <v>5893</v>
      </c>
      <c r="E468" s="16" t="s">
        <v>5893</v>
      </c>
      <c r="F468" s="16" t="s">
        <v>6263</v>
      </c>
      <c r="G468" s="22" t="s">
        <v>6263</v>
      </c>
      <c r="H468" s="22">
        <v>16360.0</v>
      </c>
      <c r="I468" s="84">
        <v>0.25</v>
      </c>
      <c r="J468" s="96">
        <v>5399.0</v>
      </c>
      <c r="K468" s="22">
        <v>56990.0</v>
      </c>
      <c r="L468" s="22">
        <v>36990.0</v>
      </c>
      <c r="M468" s="96">
        <v>33524.0</v>
      </c>
      <c r="N468" s="96">
        <v>21759.0</v>
      </c>
      <c r="O468" s="84">
        <v>0.3</v>
      </c>
      <c r="P468" s="84">
        <v>0.3</v>
      </c>
      <c r="Q468" s="133" t="s">
        <v>134</v>
      </c>
      <c r="R468" s="84">
        <v>0.47</v>
      </c>
      <c r="S468" s="84">
        <v>0.24</v>
      </c>
    </row>
    <row r="469">
      <c r="A469" s="136" t="s">
        <v>6138</v>
      </c>
      <c r="B469" s="16" t="s">
        <v>5773</v>
      </c>
      <c r="C469" s="19">
        <v>3950033.0</v>
      </c>
      <c r="D469" s="16" t="s">
        <v>5846</v>
      </c>
      <c r="E469" s="16" t="s">
        <v>5846</v>
      </c>
      <c r="F469" s="16" t="s">
        <v>6264</v>
      </c>
      <c r="G469" s="22" t="s">
        <v>6264</v>
      </c>
      <c r="H469" s="22">
        <v>4861.0</v>
      </c>
      <c r="I469" s="84">
        <v>0.31</v>
      </c>
      <c r="J469" s="96">
        <v>2192.0</v>
      </c>
      <c r="K469" s="22">
        <v>18990.0</v>
      </c>
      <c r="L469" s="22">
        <v>11990.0</v>
      </c>
      <c r="M469" s="96">
        <v>11171.0</v>
      </c>
      <c r="N469" s="96">
        <v>7053.0</v>
      </c>
      <c r="O469" s="84">
        <v>0.3</v>
      </c>
      <c r="P469" s="84">
        <v>0.3</v>
      </c>
      <c r="Q469" s="133" t="s">
        <v>134</v>
      </c>
      <c r="R469" s="84">
        <v>0.52</v>
      </c>
      <c r="S469" s="84">
        <v>0.29</v>
      </c>
    </row>
    <row r="470">
      <c r="A470" s="136" t="s">
        <v>6138</v>
      </c>
      <c r="B470" s="16" t="s">
        <v>5777</v>
      </c>
      <c r="C470" s="19">
        <v>731193.0</v>
      </c>
      <c r="D470" s="16" t="s">
        <v>5871</v>
      </c>
      <c r="E470" s="16" t="s">
        <v>5871</v>
      </c>
      <c r="F470" s="16" t="s">
        <v>6265</v>
      </c>
      <c r="G470" s="22" t="s">
        <v>6265</v>
      </c>
      <c r="H470" s="22">
        <v>6188.0</v>
      </c>
      <c r="I470" s="84">
        <v>0.3</v>
      </c>
      <c r="J470" s="96">
        <v>2630.0</v>
      </c>
      <c r="K470" s="22">
        <v>23990.0</v>
      </c>
      <c r="L470" s="22">
        <v>14990.0</v>
      </c>
      <c r="M470" s="96">
        <v>14112.0</v>
      </c>
      <c r="N470" s="96">
        <v>8818.0</v>
      </c>
      <c r="O470" s="84">
        <v>0.3</v>
      </c>
      <c r="P470" s="84">
        <v>0.3</v>
      </c>
      <c r="Q470" s="133" t="s">
        <v>134</v>
      </c>
      <c r="R470" s="84">
        <v>0.51</v>
      </c>
      <c r="S470" s="84">
        <v>0.28</v>
      </c>
    </row>
    <row r="471">
      <c r="A471" s="136" t="s">
        <v>6138</v>
      </c>
      <c r="B471" s="16" t="s">
        <v>5713</v>
      </c>
      <c r="C471" s="19" t="s">
        <v>6266</v>
      </c>
      <c r="D471" s="16" t="s">
        <v>5874</v>
      </c>
      <c r="E471" s="16" t="s">
        <v>5874</v>
      </c>
      <c r="F471" s="16" t="s">
        <v>6267</v>
      </c>
      <c r="G471" s="22" t="s">
        <v>6267</v>
      </c>
      <c r="H471" s="22">
        <v>24820.0</v>
      </c>
      <c r="I471" s="84">
        <v>0.25</v>
      </c>
      <c r="J471" s="96">
        <v>8115.0</v>
      </c>
      <c r="K471" s="22">
        <v>84990.0</v>
      </c>
      <c r="L471" s="22">
        <v>55990.0</v>
      </c>
      <c r="M471" s="96">
        <v>49994.0</v>
      </c>
      <c r="N471" s="96">
        <v>32935.0</v>
      </c>
      <c r="O471" s="84">
        <v>0.3</v>
      </c>
      <c r="P471" s="84">
        <v>0.3</v>
      </c>
      <c r="Q471" s="133" t="s">
        <v>134</v>
      </c>
      <c r="R471" s="84">
        <v>0.47</v>
      </c>
      <c r="S471" s="84">
        <v>0.24</v>
      </c>
    </row>
    <row r="472">
      <c r="A472" s="136" t="s">
        <v>6138</v>
      </c>
      <c r="B472" s="16" t="s">
        <v>5773</v>
      </c>
      <c r="C472" s="19">
        <v>1315155.0</v>
      </c>
      <c r="D472" s="16" t="s">
        <v>5846</v>
      </c>
      <c r="E472" s="16" t="s">
        <v>5846</v>
      </c>
      <c r="F472" s="16" t="s">
        <v>6268</v>
      </c>
      <c r="G472" s="22" t="s">
        <v>6268</v>
      </c>
      <c r="H472" s="22">
        <v>88452.0</v>
      </c>
      <c r="I472" s="84">
        <v>0.23</v>
      </c>
      <c r="J472" s="96">
        <v>26836.0</v>
      </c>
      <c r="K472" s="22">
        <v>294990.0</v>
      </c>
      <c r="L472" s="22">
        <v>195990.0</v>
      </c>
      <c r="M472" s="96">
        <v>173524.0</v>
      </c>
      <c r="N472" s="96">
        <v>115288.0</v>
      </c>
      <c r="O472" s="84">
        <v>0.3</v>
      </c>
      <c r="P472" s="84">
        <v>0.3</v>
      </c>
      <c r="Q472" s="133" t="s">
        <v>134</v>
      </c>
      <c r="R472" s="84">
        <v>0.46</v>
      </c>
      <c r="S472" s="84">
        <v>0.23</v>
      </c>
    </row>
    <row r="473">
      <c r="A473" s="136" t="s">
        <v>6138</v>
      </c>
      <c r="B473" s="16" t="s">
        <v>5773</v>
      </c>
      <c r="C473" s="19">
        <v>1101870.0</v>
      </c>
      <c r="D473" s="16" t="s">
        <v>5846</v>
      </c>
      <c r="E473" s="16" t="s">
        <v>5846</v>
      </c>
      <c r="F473" s="16" t="s">
        <v>6269</v>
      </c>
      <c r="G473" s="22" t="s">
        <v>6269</v>
      </c>
      <c r="H473" s="22">
        <v>40243.0</v>
      </c>
      <c r="I473" s="84">
        <v>0.24</v>
      </c>
      <c r="J473" s="96">
        <v>12692.0</v>
      </c>
      <c r="K473" s="22">
        <v>135990.0</v>
      </c>
      <c r="L473" s="22">
        <v>89990.0</v>
      </c>
      <c r="M473" s="96">
        <v>79994.0</v>
      </c>
      <c r="N473" s="96">
        <v>52935.0</v>
      </c>
      <c r="O473" s="84">
        <v>0.3</v>
      </c>
      <c r="P473" s="84">
        <v>0.3</v>
      </c>
      <c r="Q473" s="133" t="s">
        <v>134</v>
      </c>
      <c r="R473" s="84">
        <v>0.47</v>
      </c>
      <c r="S473" s="84">
        <v>0.24</v>
      </c>
    </row>
    <row r="474">
      <c r="A474" s="136" t="s">
        <v>6138</v>
      </c>
      <c r="B474" s="16" t="s">
        <v>5773</v>
      </c>
      <c r="C474" s="19">
        <v>3950175.0</v>
      </c>
      <c r="D474" s="16" t="s">
        <v>5846</v>
      </c>
      <c r="E474" s="16" t="s">
        <v>5846</v>
      </c>
      <c r="F474" s="16" t="s">
        <v>6270</v>
      </c>
      <c r="G474" s="22" t="s">
        <v>6270</v>
      </c>
      <c r="H474" s="22">
        <v>7072.0</v>
      </c>
      <c r="I474" s="84">
        <v>0.29</v>
      </c>
      <c r="J474" s="96">
        <v>2922.0</v>
      </c>
      <c r="K474" s="22">
        <v>26990.0</v>
      </c>
      <c r="L474" s="22">
        <v>16990.0</v>
      </c>
      <c r="M474" s="96">
        <v>15876.0</v>
      </c>
      <c r="N474" s="96">
        <v>9994.0</v>
      </c>
      <c r="O474" s="84">
        <v>0.3</v>
      </c>
      <c r="P474" s="84">
        <v>0.3</v>
      </c>
      <c r="Q474" s="133" t="s">
        <v>134</v>
      </c>
      <c r="R474" s="84">
        <v>0.5</v>
      </c>
      <c r="S474" s="84">
        <v>0.27</v>
      </c>
      <c r="T474" s="37"/>
      <c r="U474" s="37"/>
    </row>
    <row r="475">
      <c r="A475" s="136" t="s">
        <v>6138</v>
      </c>
      <c r="B475" s="16" t="s">
        <v>5773</v>
      </c>
      <c r="C475" s="19">
        <v>3950039.0</v>
      </c>
      <c r="D475" s="16" t="s">
        <v>5846</v>
      </c>
      <c r="E475" s="16" t="s">
        <v>5846</v>
      </c>
      <c r="F475" s="16" t="s">
        <v>6271</v>
      </c>
      <c r="G475" s="22" t="s">
        <v>6271</v>
      </c>
      <c r="H475" s="22">
        <v>3092.0</v>
      </c>
      <c r="I475" s="84">
        <v>0.34</v>
      </c>
      <c r="J475" s="96">
        <v>1608.0</v>
      </c>
      <c r="K475" s="22">
        <v>12990.0</v>
      </c>
      <c r="L475" s="22">
        <v>7990.0</v>
      </c>
      <c r="M475" s="96">
        <v>7641.0</v>
      </c>
      <c r="N475" s="96">
        <v>4700.0</v>
      </c>
      <c r="O475" s="84">
        <v>0.3</v>
      </c>
      <c r="P475" s="84">
        <v>0.3</v>
      </c>
      <c r="Q475" s="133" t="s">
        <v>134</v>
      </c>
      <c r="R475" s="84">
        <v>0.54</v>
      </c>
      <c r="S475" s="84">
        <v>0.31</v>
      </c>
      <c r="T475" s="37"/>
      <c r="U475" s="37"/>
    </row>
    <row r="476">
      <c r="A476" s="136" t="s">
        <v>6138</v>
      </c>
      <c r="B476" s="16" t="s">
        <v>5773</v>
      </c>
      <c r="C476" s="19">
        <v>1132008.0</v>
      </c>
      <c r="D476" s="16" t="s">
        <v>5846</v>
      </c>
      <c r="E476" s="16" t="s">
        <v>5846</v>
      </c>
      <c r="F476" s="16" t="s">
        <v>6272</v>
      </c>
      <c r="G476" s="22" t="s">
        <v>6272</v>
      </c>
      <c r="H476" s="22">
        <v>107200.0</v>
      </c>
      <c r="I476" s="84">
        <v>0.23</v>
      </c>
      <c r="J476" s="96">
        <v>32206.0</v>
      </c>
      <c r="K476" s="22">
        <v>356990.0</v>
      </c>
      <c r="L476" s="22">
        <v>236990.0</v>
      </c>
      <c r="M476" s="96">
        <v>209994.0</v>
      </c>
      <c r="N476" s="96">
        <v>139406.0</v>
      </c>
      <c r="O476" s="84">
        <v>0.3</v>
      </c>
      <c r="P476" s="84">
        <v>0.3</v>
      </c>
      <c r="Q476" s="133" t="s">
        <v>134</v>
      </c>
      <c r="R476" s="84">
        <v>0.46</v>
      </c>
      <c r="S476" s="84">
        <v>0.23</v>
      </c>
      <c r="T476" s="37"/>
      <c r="U476" s="37"/>
    </row>
    <row r="477">
      <c r="A477" s="136" t="s">
        <v>6138</v>
      </c>
      <c r="B477" s="16" t="s">
        <v>5773</v>
      </c>
      <c r="C477" s="19">
        <v>1106244.0</v>
      </c>
      <c r="D477" s="16" t="s">
        <v>5846</v>
      </c>
      <c r="E477" s="16" t="s">
        <v>5846</v>
      </c>
      <c r="F477" s="16" t="s">
        <v>6273</v>
      </c>
      <c r="G477" s="22" t="s">
        <v>6273</v>
      </c>
      <c r="H477" s="22">
        <v>4861.0</v>
      </c>
      <c r="I477" s="84">
        <v>0.31</v>
      </c>
      <c r="J477" s="96">
        <v>2192.0</v>
      </c>
      <c r="K477" s="22">
        <v>18990.0</v>
      </c>
      <c r="L477" s="22">
        <v>11990.0</v>
      </c>
      <c r="M477" s="96">
        <v>11171.0</v>
      </c>
      <c r="N477" s="96">
        <v>7053.0</v>
      </c>
      <c r="O477" s="84">
        <v>0.3</v>
      </c>
      <c r="P477" s="84">
        <v>0.3</v>
      </c>
      <c r="Q477" s="133" t="s">
        <v>134</v>
      </c>
      <c r="R477" s="84">
        <v>0.52</v>
      </c>
      <c r="S477" s="84">
        <v>0.29</v>
      </c>
      <c r="T477" s="37"/>
      <c r="U477" s="37"/>
    </row>
    <row r="478">
      <c r="A478" s="136" t="s">
        <v>6138</v>
      </c>
      <c r="B478" s="16" t="s">
        <v>5773</v>
      </c>
      <c r="C478" s="19">
        <v>1301077.0</v>
      </c>
      <c r="D478" s="16" t="s">
        <v>5846</v>
      </c>
      <c r="E478" s="16" t="s">
        <v>5846</v>
      </c>
      <c r="F478" s="16" t="s">
        <v>6274</v>
      </c>
      <c r="G478" s="22" t="s">
        <v>6274</v>
      </c>
      <c r="H478" s="22">
        <v>3092.0</v>
      </c>
      <c r="I478" s="84">
        <v>0.34</v>
      </c>
      <c r="J478" s="96">
        <v>1608.0</v>
      </c>
      <c r="K478" s="22">
        <v>12990.0</v>
      </c>
      <c r="L478" s="22">
        <v>7990.0</v>
      </c>
      <c r="M478" s="96">
        <v>7641.0</v>
      </c>
      <c r="N478" s="96">
        <v>4700.0</v>
      </c>
      <c r="O478" s="84">
        <v>0.3</v>
      </c>
      <c r="P478" s="84">
        <v>0.3</v>
      </c>
      <c r="Q478" s="133" t="s">
        <v>134</v>
      </c>
      <c r="R478" s="84">
        <v>0.54</v>
      </c>
      <c r="S478" s="84">
        <v>0.31</v>
      </c>
      <c r="T478" s="37"/>
      <c r="U478" s="37"/>
    </row>
    <row r="479">
      <c r="A479" s="136" t="s">
        <v>6138</v>
      </c>
      <c r="B479" s="16" t="s">
        <v>5773</v>
      </c>
      <c r="C479" s="19">
        <v>3950318.0</v>
      </c>
      <c r="D479" s="16" t="s">
        <v>5846</v>
      </c>
      <c r="E479" s="16" t="s">
        <v>5846</v>
      </c>
      <c r="F479" s="16" t="s">
        <v>6275</v>
      </c>
      <c r="G479" s="22" t="s">
        <v>6275</v>
      </c>
      <c r="H479" s="22">
        <v>7072.0</v>
      </c>
      <c r="I479" s="84">
        <v>0.29</v>
      </c>
      <c r="J479" s="96">
        <v>2922.0</v>
      </c>
      <c r="K479" s="22">
        <v>26990.0</v>
      </c>
      <c r="L479" s="22">
        <v>16990.0</v>
      </c>
      <c r="M479" s="96">
        <v>15876.0</v>
      </c>
      <c r="N479" s="96">
        <v>9994.0</v>
      </c>
      <c r="O479" s="84">
        <v>0.3</v>
      </c>
      <c r="P479" s="84">
        <v>0.3</v>
      </c>
      <c r="Q479" s="133" t="s">
        <v>134</v>
      </c>
      <c r="R479" s="84">
        <v>0.5</v>
      </c>
      <c r="S479" s="84">
        <v>0.27</v>
      </c>
      <c r="T479" s="37"/>
      <c r="U479" s="37"/>
    </row>
    <row r="480">
      <c r="A480" s="136" t="s">
        <v>6138</v>
      </c>
      <c r="B480" s="16" t="s">
        <v>5773</v>
      </c>
      <c r="C480" s="19">
        <v>3950594.0</v>
      </c>
      <c r="D480" s="16" t="s">
        <v>5846</v>
      </c>
      <c r="E480" s="16" t="s">
        <v>5846</v>
      </c>
      <c r="F480" s="16" t="s">
        <v>6276</v>
      </c>
      <c r="G480" s="22" t="s">
        <v>6276</v>
      </c>
      <c r="H480" s="22">
        <v>15918.0</v>
      </c>
      <c r="I480" s="84">
        <v>0.25</v>
      </c>
      <c r="J480" s="96">
        <v>5253.0</v>
      </c>
      <c r="K480" s="22">
        <v>54990.0</v>
      </c>
      <c r="L480" s="22">
        <v>35990.0</v>
      </c>
      <c r="M480" s="96">
        <v>32347.0</v>
      </c>
      <c r="N480" s="96">
        <v>21171.0</v>
      </c>
      <c r="O480" s="84">
        <v>0.3</v>
      </c>
      <c r="P480" s="84">
        <v>0.3</v>
      </c>
      <c r="Q480" s="133" t="s">
        <v>134</v>
      </c>
      <c r="R480" s="84">
        <v>0.47</v>
      </c>
      <c r="S480" s="84">
        <v>0.24</v>
      </c>
      <c r="T480" s="37"/>
      <c r="U480" s="37"/>
    </row>
    <row r="481">
      <c r="A481" s="136" t="s">
        <v>6138</v>
      </c>
      <c r="B481" s="16" t="s">
        <v>5773</v>
      </c>
      <c r="C481" s="19">
        <v>3950592.0</v>
      </c>
      <c r="D481" s="16" t="s">
        <v>5846</v>
      </c>
      <c r="E481" s="16" t="s">
        <v>5846</v>
      </c>
      <c r="F481" s="16" t="s">
        <v>6277</v>
      </c>
      <c r="G481" s="22" t="s">
        <v>6277</v>
      </c>
      <c r="H481" s="22">
        <v>13264.0</v>
      </c>
      <c r="I481" s="84">
        <v>0.25</v>
      </c>
      <c r="J481" s="96">
        <v>4377.0</v>
      </c>
      <c r="K481" s="22">
        <v>45990.0</v>
      </c>
      <c r="L481" s="22">
        <v>29990.0</v>
      </c>
      <c r="M481" s="96">
        <v>27053.0</v>
      </c>
      <c r="N481" s="96">
        <v>17641.0</v>
      </c>
      <c r="O481" s="84">
        <v>0.3</v>
      </c>
      <c r="P481" s="84">
        <v>0.3</v>
      </c>
      <c r="Q481" s="133" t="s">
        <v>134</v>
      </c>
      <c r="R481" s="84">
        <v>0.47</v>
      </c>
      <c r="S481" s="84">
        <v>0.24</v>
      </c>
    </row>
    <row r="482">
      <c r="A482" s="136" t="s">
        <v>6138</v>
      </c>
      <c r="B482" s="16" t="s">
        <v>5773</v>
      </c>
      <c r="C482" s="19">
        <v>1108003.0</v>
      </c>
      <c r="D482" s="16" t="s">
        <v>5853</v>
      </c>
      <c r="E482" s="16" t="s">
        <v>5853</v>
      </c>
      <c r="F482" s="16" t="s">
        <v>6278</v>
      </c>
      <c r="G482" s="22" t="s">
        <v>6278</v>
      </c>
      <c r="H482" s="22">
        <v>3534.0</v>
      </c>
      <c r="I482" s="84">
        <v>0.33</v>
      </c>
      <c r="J482" s="96">
        <v>1754.0</v>
      </c>
      <c r="K482" s="22">
        <v>14990.0</v>
      </c>
      <c r="L482" s="22">
        <v>8990.0</v>
      </c>
      <c r="M482" s="96">
        <v>8818.0</v>
      </c>
      <c r="N482" s="96">
        <v>5288.0</v>
      </c>
      <c r="O482" s="84">
        <v>0.3</v>
      </c>
      <c r="P482" s="84">
        <v>0.3</v>
      </c>
      <c r="Q482" s="133" t="s">
        <v>134</v>
      </c>
      <c r="R482" s="84">
        <v>0.53</v>
      </c>
      <c r="S482" s="84">
        <v>0.3</v>
      </c>
    </row>
    <row r="483">
      <c r="A483" s="136" t="s">
        <v>6138</v>
      </c>
      <c r="B483" s="16" t="s">
        <v>5773</v>
      </c>
      <c r="C483" s="19">
        <v>3950637.0</v>
      </c>
      <c r="D483" s="16" t="s">
        <v>5846</v>
      </c>
      <c r="E483" s="16" t="s">
        <v>5846</v>
      </c>
      <c r="F483" s="16" t="s">
        <v>6279</v>
      </c>
      <c r="G483" s="16" t="s">
        <v>6279</v>
      </c>
      <c r="H483" s="22">
        <v>57935.0</v>
      </c>
      <c r="I483" s="84">
        <v>0.23</v>
      </c>
      <c r="J483" s="96">
        <v>17354.0</v>
      </c>
      <c r="K483" s="22">
        <v>192990.0</v>
      </c>
      <c r="L483" s="22">
        <v>127990.0</v>
      </c>
      <c r="M483" s="96">
        <v>113524.0</v>
      </c>
      <c r="N483" s="96">
        <v>75288.0</v>
      </c>
      <c r="O483" s="84">
        <v>0.3</v>
      </c>
      <c r="P483" s="84">
        <v>0.3</v>
      </c>
      <c r="Q483" s="133" t="s">
        <v>134</v>
      </c>
      <c r="R483" s="84">
        <v>0.46</v>
      </c>
      <c r="S483" s="84">
        <v>0.23</v>
      </c>
    </row>
    <row r="484">
      <c r="A484" s="136" t="s">
        <v>6138</v>
      </c>
      <c r="B484" s="16" t="s">
        <v>5773</v>
      </c>
      <c r="C484" s="19">
        <v>3950316.0</v>
      </c>
      <c r="D484" s="16" t="s">
        <v>5846</v>
      </c>
      <c r="E484" s="16" t="s">
        <v>5846</v>
      </c>
      <c r="F484" s="16" t="s">
        <v>6280</v>
      </c>
      <c r="G484" s="16" t="s">
        <v>6280</v>
      </c>
      <c r="H484" s="22">
        <v>7072.0</v>
      </c>
      <c r="I484" s="84">
        <v>0.29</v>
      </c>
      <c r="J484" s="96">
        <v>2922.0</v>
      </c>
      <c r="K484" s="22">
        <v>26990.0</v>
      </c>
      <c r="L484" s="22">
        <v>16990.0</v>
      </c>
      <c r="M484" s="96">
        <v>15876.0</v>
      </c>
      <c r="N484" s="96">
        <v>9994.0</v>
      </c>
      <c r="O484" s="84">
        <v>0.3</v>
      </c>
      <c r="P484" s="84">
        <v>0.3</v>
      </c>
      <c r="Q484" s="133" t="s">
        <v>134</v>
      </c>
      <c r="R484" s="84">
        <v>0.5</v>
      </c>
      <c r="S484" s="84">
        <v>0.27</v>
      </c>
    </row>
    <row r="485">
      <c r="A485" s="136" t="s">
        <v>6138</v>
      </c>
      <c r="B485" s="16" t="s">
        <v>5773</v>
      </c>
      <c r="C485" s="19">
        <v>3950315.0</v>
      </c>
      <c r="D485" s="16" t="s">
        <v>5846</v>
      </c>
      <c r="E485" s="16" t="s">
        <v>5846</v>
      </c>
      <c r="F485" s="16" t="s">
        <v>6281</v>
      </c>
      <c r="G485" s="16" t="s">
        <v>6281</v>
      </c>
      <c r="H485" s="22">
        <v>4861.0</v>
      </c>
      <c r="I485" s="84">
        <v>0.31</v>
      </c>
      <c r="J485" s="96">
        <v>2192.0</v>
      </c>
      <c r="K485" s="22">
        <v>18990.0</v>
      </c>
      <c r="L485" s="22">
        <v>11990.0</v>
      </c>
      <c r="M485" s="96">
        <v>11171.0</v>
      </c>
      <c r="N485" s="96">
        <v>7053.0</v>
      </c>
      <c r="O485" s="84">
        <v>0.3</v>
      </c>
      <c r="P485" s="84">
        <v>0.3</v>
      </c>
      <c r="Q485" s="133" t="s">
        <v>134</v>
      </c>
      <c r="R485" s="84">
        <v>0.52</v>
      </c>
      <c r="S485" s="84">
        <v>0.29</v>
      </c>
    </row>
    <row r="486">
      <c r="A486" s="136" t="s">
        <v>6138</v>
      </c>
      <c r="B486" s="16" t="s">
        <v>5773</v>
      </c>
      <c r="C486" s="19">
        <v>3900015.0</v>
      </c>
      <c r="D486" s="16" t="s">
        <v>5853</v>
      </c>
      <c r="E486" s="16" t="s">
        <v>5853</v>
      </c>
      <c r="F486" s="16" t="s">
        <v>6282</v>
      </c>
      <c r="G486" s="16" t="s">
        <v>6282</v>
      </c>
      <c r="H486" s="22">
        <v>8846.0</v>
      </c>
      <c r="I486" s="84">
        <v>0.25</v>
      </c>
      <c r="J486" s="96">
        <v>2913.0</v>
      </c>
      <c r="K486" s="22">
        <v>30990.0</v>
      </c>
      <c r="L486" s="22">
        <v>19990.0</v>
      </c>
      <c r="M486" s="96">
        <v>18229.0</v>
      </c>
      <c r="N486" s="96">
        <v>11759.0</v>
      </c>
      <c r="O486" s="84">
        <v>0.3</v>
      </c>
      <c r="P486" s="84">
        <v>0.3</v>
      </c>
      <c r="Q486" s="133" t="s">
        <v>134</v>
      </c>
      <c r="R486" s="84">
        <v>0.47</v>
      </c>
      <c r="S486" s="84">
        <v>0.24</v>
      </c>
    </row>
    <row r="487">
      <c r="A487" s="136" t="s">
        <v>6138</v>
      </c>
      <c r="B487" s="16" t="s">
        <v>5777</v>
      </c>
      <c r="C487" s="19">
        <v>72247.0</v>
      </c>
      <c r="D487" s="16" t="s">
        <v>5893</v>
      </c>
      <c r="E487" s="16" t="s">
        <v>5893</v>
      </c>
      <c r="F487" s="16" t="s">
        <v>6283</v>
      </c>
      <c r="G487" s="16" t="s">
        <v>6283</v>
      </c>
      <c r="H487" s="22">
        <v>21552.0</v>
      </c>
      <c r="I487" s="84">
        <v>0.24</v>
      </c>
      <c r="J487" s="96">
        <v>6677.0</v>
      </c>
      <c r="K487" s="22">
        <v>72990.0</v>
      </c>
      <c r="L487" s="22">
        <v>47990.0</v>
      </c>
      <c r="M487" s="96">
        <v>42935.0</v>
      </c>
      <c r="N487" s="96">
        <v>28229.0</v>
      </c>
      <c r="O487" s="84">
        <v>0.3</v>
      </c>
      <c r="P487" s="84">
        <v>0.3</v>
      </c>
      <c r="Q487" s="133" t="s">
        <v>134</v>
      </c>
      <c r="R487" s="84">
        <v>0.47</v>
      </c>
      <c r="S487" s="84">
        <v>0.24</v>
      </c>
    </row>
    <row r="488">
      <c r="A488" s="136" t="s">
        <v>6138</v>
      </c>
      <c r="B488" s="16" t="s">
        <v>5773</v>
      </c>
      <c r="C488" s="19">
        <v>3950591.0</v>
      </c>
      <c r="D488" s="16" t="s">
        <v>5846</v>
      </c>
      <c r="E488" s="16" t="s">
        <v>5846</v>
      </c>
      <c r="F488" s="16" t="s">
        <v>6284</v>
      </c>
      <c r="G488" s="16" t="s">
        <v>6284</v>
      </c>
      <c r="H488" s="22">
        <v>8284.0</v>
      </c>
      <c r="I488" s="84">
        <v>0.26</v>
      </c>
      <c r="J488" s="96">
        <v>2887.0</v>
      </c>
      <c r="K488" s="22">
        <v>29990.0</v>
      </c>
      <c r="L488" s="22">
        <v>18990.0</v>
      </c>
      <c r="M488" s="96">
        <v>17641.0</v>
      </c>
      <c r="N488" s="96">
        <v>11171.0</v>
      </c>
      <c r="O488" s="84">
        <v>0.3</v>
      </c>
      <c r="P488" s="84">
        <v>0.3</v>
      </c>
      <c r="Q488" s="133" t="s">
        <v>134</v>
      </c>
      <c r="R488" s="84">
        <v>0.48</v>
      </c>
      <c r="S488" s="84">
        <v>0.25</v>
      </c>
    </row>
    <row r="489">
      <c r="A489" s="136" t="s">
        <v>6138</v>
      </c>
      <c r="B489" s="16" t="s">
        <v>5773</v>
      </c>
      <c r="C489" s="19">
        <v>1108006.0</v>
      </c>
      <c r="D489" s="16" t="s">
        <v>5846</v>
      </c>
      <c r="E489" s="16" t="s">
        <v>5846</v>
      </c>
      <c r="F489" s="16" t="s">
        <v>6285</v>
      </c>
      <c r="G489" s="16" t="s">
        <v>6285</v>
      </c>
      <c r="H489" s="22">
        <v>3534.0</v>
      </c>
      <c r="I489" s="84">
        <v>0.33</v>
      </c>
      <c r="J489" s="96">
        <v>1754.0</v>
      </c>
      <c r="K489" s="22">
        <v>14990.0</v>
      </c>
      <c r="L489" s="22">
        <v>8990.0</v>
      </c>
      <c r="M489" s="96">
        <v>8818.0</v>
      </c>
      <c r="N489" s="96">
        <v>5288.0</v>
      </c>
      <c r="O489" s="84">
        <v>0.3</v>
      </c>
      <c r="P489" s="84">
        <v>0.3</v>
      </c>
      <c r="Q489" s="133" t="s">
        <v>134</v>
      </c>
      <c r="R489" s="84">
        <v>0.53</v>
      </c>
      <c r="S489" s="84">
        <v>0.3</v>
      </c>
    </row>
    <row r="490">
      <c r="A490" s="136" t="s">
        <v>6138</v>
      </c>
      <c r="B490" s="16" t="s">
        <v>5773</v>
      </c>
      <c r="C490" s="19">
        <v>1111049.0</v>
      </c>
      <c r="D490" s="16" t="s">
        <v>5846</v>
      </c>
      <c r="E490" s="16" t="s">
        <v>5846</v>
      </c>
      <c r="F490" s="16" t="s">
        <v>6286</v>
      </c>
      <c r="G490" s="16" t="s">
        <v>6286</v>
      </c>
      <c r="H490" s="22">
        <v>53512.0</v>
      </c>
      <c r="I490" s="84">
        <v>0.24</v>
      </c>
      <c r="J490" s="96">
        <v>16482.0</v>
      </c>
      <c r="K490" s="22">
        <v>179990.0</v>
      </c>
      <c r="L490" s="22">
        <v>118990.0</v>
      </c>
      <c r="M490" s="96">
        <v>105876.0</v>
      </c>
      <c r="N490" s="96">
        <v>69994.0</v>
      </c>
      <c r="O490" s="84">
        <v>0.3</v>
      </c>
      <c r="P490" s="84">
        <v>0.3</v>
      </c>
      <c r="Q490" s="133" t="s">
        <v>134</v>
      </c>
      <c r="R490" s="84">
        <v>0.46</v>
      </c>
      <c r="S490" s="84">
        <v>0.23</v>
      </c>
    </row>
    <row r="491">
      <c r="A491" s="136" t="s">
        <v>6138</v>
      </c>
      <c r="B491" s="16" t="s">
        <v>5773</v>
      </c>
      <c r="C491" s="19">
        <v>1100227.0</v>
      </c>
      <c r="D491" s="16" t="s">
        <v>5846</v>
      </c>
      <c r="E491" s="16" t="s">
        <v>5846</v>
      </c>
      <c r="F491" s="16" t="s">
        <v>6287</v>
      </c>
      <c r="G491" s="16" t="s">
        <v>6287</v>
      </c>
      <c r="H491" s="22">
        <v>8399.0</v>
      </c>
      <c r="I491" s="84">
        <v>0.25</v>
      </c>
      <c r="J491" s="96">
        <v>2772.0</v>
      </c>
      <c r="K491" s="22">
        <v>29990.0</v>
      </c>
      <c r="L491" s="22">
        <v>18990.0</v>
      </c>
      <c r="M491" s="96">
        <v>17641.0</v>
      </c>
      <c r="N491" s="96">
        <v>11171.0</v>
      </c>
      <c r="O491" s="84">
        <v>0.3</v>
      </c>
      <c r="P491" s="84">
        <v>0.3</v>
      </c>
      <c r="Q491" s="133" t="s">
        <v>134</v>
      </c>
      <c r="R491" s="84">
        <v>0.47</v>
      </c>
      <c r="S491" s="84">
        <v>0.24</v>
      </c>
    </row>
    <row r="492">
      <c r="A492" s="136" t="s">
        <v>6138</v>
      </c>
      <c r="B492" s="16" t="s">
        <v>5773</v>
      </c>
      <c r="C492" s="19">
        <v>3950319.0</v>
      </c>
      <c r="D492" s="16" t="s">
        <v>5846</v>
      </c>
      <c r="E492" s="16" t="s">
        <v>5846</v>
      </c>
      <c r="F492" s="16" t="s">
        <v>6288</v>
      </c>
      <c r="G492" s="16" t="s">
        <v>6288</v>
      </c>
      <c r="H492" s="22">
        <v>7072.0</v>
      </c>
      <c r="I492" s="84">
        <v>0.29</v>
      </c>
      <c r="J492" s="96">
        <v>2922.0</v>
      </c>
      <c r="K492" s="22">
        <v>26990.0</v>
      </c>
      <c r="L492" s="22">
        <v>16990.0</v>
      </c>
      <c r="M492" s="96">
        <v>15876.0</v>
      </c>
      <c r="N492" s="96">
        <v>9994.0</v>
      </c>
      <c r="O492" s="84">
        <v>0.3</v>
      </c>
      <c r="P492" s="84">
        <v>0.3</v>
      </c>
      <c r="Q492" s="133" t="s">
        <v>134</v>
      </c>
      <c r="R492" s="84">
        <v>0.5</v>
      </c>
      <c r="S492" s="84">
        <v>0.27</v>
      </c>
    </row>
    <row r="493">
      <c r="A493" s="136" t="s">
        <v>6138</v>
      </c>
      <c r="B493" s="16" t="s">
        <v>5773</v>
      </c>
      <c r="C493" s="19">
        <v>3950314.0</v>
      </c>
      <c r="D493" s="16" t="s">
        <v>5846</v>
      </c>
      <c r="E493" s="16" t="s">
        <v>5846</v>
      </c>
      <c r="F493" s="16" t="s">
        <v>6289</v>
      </c>
      <c r="G493" s="16" t="s">
        <v>6289</v>
      </c>
      <c r="H493" s="22">
        <v>4861.0</v>
      </c>
      <c r="I493" s="84">
        <v>0.31</v>
      </c>
      <c r="J493" s="96">
        <v>2192.0</v>
      </c>
      <c r="K493" s="22">
        <v>18990.0</v>
      </c>
      <c r="L493" s="22">
        <v>11990.0</v>
      </c>
      <c r="M493" s="96">
        <v>11171.0</v>
      </c>
      <c r="N493" s="96">
        <v>7053.0</v>
      </c>
      <c r="O493" s="84">
        <v>0.3</v>
      </c>
      <c r="P493" s="84">
        <v>0.3</v>
      </c>
      <c r="Q493" s="133" t="s">
        <v>134</v>
      </c>
      <c r="R493" s="84">
        <v>0.52</v>
      </c>
      <c r="S493" s="84">
        <v>0.29</v>
      </c>
    </row>
    <row r="494">
      <c r="A494" s="136" t="s">
        <v>6138</v>
      </c>
      <c r="B494" s="16" t="s">
        <v>5713</v>
      </c>
      <c r="C494" s="19">
        <v>166689.0</v>
      </c>
      <c r="D494" s="16" t="s">
        <v>5893</v>
      </c>
      <c r="E494" s="16" t="s">
        <v>5893</v>
      </c>
      <c r="F494" s="16" t="s">
        <v>6290</v>
      </c>
      <c r="G494" s="16" t="s">
        <v>6290</v>
      </c>
      <c r="H494" s="22">
        <v>132680.0</v>
      </c>
      <c r="I494" s="84">
        <v>0.23</v>
      </c>
      <c r="J494" s="96">
        <v>39667.0</v>
      </c>
      <c r="K494" s="22">
        <v>440990.0</v>
      </c>
      <c r="L494" s="22">
        <v>292990.0</v>
      </c>
      <c r="M494" s="96">
        <v>259406.0</v>
      </c>
      <c r="N494" s="96">
        <v>172347.0</v>
      </c>
      <c r="O494" s="84">
        <v>0.3</v>
      </c>
      <c r="P494" s="84">
        <v>0.3</v>
      </c>
      <c r="Q494" s="133" t="s">
        <v>134</v>
      </c>
      <c r="R494" s="84">
        <v>0.46</v>
      </c>
      <c r="S494" s="84">
        <v>0.23</v>
      </c>
    </row>
    <row r="495">
      <c r="A495" s="136" t="s">
        <v>6138</v>
      </c>
      <c r="B495" s="16" t="s">
        <v>5773</v>
      </c>
      <c r="C495" s="19">
        <v>1108004.0</v>
      </c>
      <c r="D495" s="16" t="s">
        <v>5853</v>
      </c>
      <c r="E495" s="16" t="s">
        <v>5853</v>
      </c>
      <c r="F495" s="16" t="s">
        <v>6291</v>
      </c>
      <c r="G495" s="16" t="s">
        <v>6291</v>
      </c>
      <c r="H495" s="22">
        <v>2011.0</v>
      </c>
      <c r="I495" s="84">
        <v>0.31</v>
      </c>
      <c r="J495" s="97">
        <v>924.0</v>
      </c>
      <c r="K495" s="22">
        <v>8990.0</v>
      </c>
      <c r="L495" s="22">
        <v>4990.0</v>
      </c>
      <c r="M495" s="96">
        <v>5288.0</v>
      </c>
      <c r="N495" s="96">
        <v>2935.0</v>
      </c>
      <c r="O495" s="84">
        <v>0.3</v>
      </c>
      <c r="P495" s="84">
        <v>0.3</v>
      </c>
      <c r="Q495" s="133" t="s">
        <v>134</v>
      </c>
      <c r="R495" s="84">
        <v>0.52</v>
      </c>
      <c r="S495" s="84">
        <v>0.29</v>
      </c>
    </row>
    <row r="496">
      <c r="A496" s="136" t="s">
        <v>6138</v>
      </c>
      <c r="B496" s="16" t="s">
        <v>5773</v>
      </c>
      <c r="C496" s="19">
        <v>3950003.0</v>
      </c>
      <c r="D496" s="16" t="s">
        <v>5846</v>
      </c>
      <c r="E496" s="16" t="s">
        <v>5846</v>
      </c>
      <c r="F496" s="16" t="s">
        <v>6292</v>
      </c>
      <c r="G496" s="16" t="s">
        <v>6292</v>
      </c>
      <c r="H496" s="22">
        <v>1435.0</v>
      </c>
      <c r="I496" s="84">
        <v>0.39</v>
      </c>
      <c r="J496" s="97">
        <v>912.0</v>
      </c>
      <c r="K496" s="22">
        <v>6990.0</v>
      </c>
      <c r="L496" s="22">
        <v>3990.0</v>
      </c>
      <c r="M496" s="96">
        <v>4112.0</v>
      </c>
      <c r="N496" s="96">
        <v>2347.0</v>
      </c>
      <c r="O496" s="84">
        <v>0.3</v>
      </c>
      <c r="P496" s="84">
        <v>0.3</v>
      </c>
      <c r="Q496" s="133" t="s">
        <v>134</v>
      </c>
      <c r="R496" s="84">
        <v>0.57</v>
      </c>
      <c r="S496" s="84">
        <v>0.34</v>
      </c>
    </row>
    <row r="497">
      <c r="A497" s="136" t="s">
        <v>6138</v>
      </c>
      <c r="B497" s="16" t="s">
        <v>5773</v>
      </c>
      <c r="C497" s="19">
        <v>3950370.0</v>
      </c>
      <c r="D497" s="16" t="s">
        <v>5846</v>
      </c>
      <c r="E497" s="16" t="s">
        <v>5846</v>
      </c>
      <c r="F497" s="16" t="s">
        <v>6293</v>
      </c>
      <c r="G497" s="16" t="s">
        <v>6293</v>
      </c>
      <c r="H497" s="22">
        <v>40243.0</v>
      </c>
      <c r="I497" s="84">
        <v>0.24</v>
      </c>
      <c r="J497" s="96">
        <v>12692.0</v>
      </c>
      <c r="K497" s="22">
        <v>135990.0</v>
      </c>
      <c r="L497" s="22">
        <v>89990.0</v>
      </c>
      <c r="M497" s="96">
        <v>79994.0</v>
      </c>
      <c r="N497" s="96">
        <v>52935.0</v>
      </c>
      <c r="O497" s="84">
        <v>0.3</v>
      </c>
      <c r="P497" s="84">
        <v>0.3</v>
      </c>
      <c r="Q497" s="133" t="s">
        <v>134</v>
      </c>
      <c r="R497" s="84">
        <v>0.47</v>
      </c>
      <c r="S497" s="84">
        <v>0.24</v>
      </c>
    </row>
    <row r="498">
      <c r="A498" s="136" t="s">
        <v>6138</v>
      </c>
      <c r="B498" s="16" t="s">
        <v>5773</v>
      </c>
      <c r="C498" s="19">
        <v>1100228.0</v>
      </c>
      <c r="D498" s="16" t="s">
        <v>5846</v>
      </c>
      <c r="E498" s="16" t="s">
        <v>5846</v>
      </c>
      <c r="F498" s="16" t="s">
        <v>6294</v>
      </c>
      <c r="G498" s="16" t="s">
        <v>6294</v>
      </c>
      <c r="H498" s="22">
        <v>8841.0</v>
      </c>
      <c r="I498" s="84">
        <v>0.25</v>
      </c>
      <c r="J498" s="96">
        <v>2918.0</v>
      </c>
      <c r="K498" s="22">
        <v>30990.0</v>
      </c>
      <c r="L498" s="22">
        <v>19990.0</v>
      </c>
      <c r="M498" s="96">
        <v>18229.0</v>
      </c>
      <c r="N498" s="96">
        <v>11759.0</v>
      </c>
      <c r="O498" s="84">
        <v>0.3</v>
      </c>
      <c r="P498" s="84">
        <v>0.3</v>
      </c>
      <c r="Q498" s="133" t="s">
        <v>134</v>
      </c>
      <c r="R498" s="84">
        <v>0.47</v>
      </c>
      <c r="S498" s="84">
        <v>0.24</v>
      </c>
    </row>
    <row r="499">
      <c r="A499" s="136" t="s">
        <v>6138</v>
      </c>
      <c r="B499" s="16" t="s">
        <v>5773</v>
      </c>
      <c r="C499" s="19">
        <v>1106245.0</v>
      </c>
      <c r="D499" s="16" t="s">
        <v>5846</v>
      </c>
      <c r="E499" s="16" t="s">
        <v>5846</v>
      </c>
      <c r="F499" s="16" t="s">
        <v>6295</v>
      </c>
      <c r="G499" s="16" t="s">
        <v>6295</v>
      </c>
      <c r="H499" s="22">
        <v>4418.0</v>
      </c>
      <c r="I499" s="84">
        <v>0.32</v>
      </c>
      <c r="J499" s="96">
        <v>2046.0</v>
      </c>
      <c r="K499" s="22">
        <v>17990.0</v>
      </c>
      <c r="L499" s="22">
        <v>10990.0</v>
      </c>
      <c r="M499" s="96">
        <v>10582.0</v>
      </c>
      <c r="N499" s="96">
        <v>6465.0</v>
      </c>
      <c r="O499" s="84">
        <v>0.3</v>
      </c>
      <c r="P499" s="84">
        <v>0.3</v>
      </c>
      <c r="Q499" s="133" t="s">
        <v>134</v>
      </c>
      <c r="R499" s="84">
        <v>0.52</v>
      </c>
      <c r="S499" s="84">
        <v>0.29</v>
      </c>
    </row>
    <row r="500">
      <c r="A500" s="136" t="s">
        <v>6138</v>
      </c>
      <c r="B500" s="16" t="s">
        <v>5773</v>
      </c>
      <c r="C500" s="19">
        <v>3950013.0</v>
      </c>
      <c r="D500" s="16" t="s">
        <v>5846</v>
      </c>
      <c r="E500" s="16" t="s">
        <v>5846</v>
      </c>
      <c r="F500" s="16" t="s">
        <v>6296</v>
      </c>
      <c r="G500" s="16" t="s">
        <v>6296</v>
      </c>
      <c r="H500" s="22">
        <v>2014.0</v>
      </c>
      <c r="I500" s="84">
        <v>0.31</v>
      </c>
      <c r="J500" s="97">
        <v>921.0</v>
      </c>
      <c r="K500" s="22">
        <v>8990.0</v>
      </c>
      <c r="L500" s="22">
        <v>4990.0</v>
      </c>
      <c r="M500" s="96">
        <v>5288.0</v>
      </c>
      <c r="N500" s="96">
        <v>2935.0</v>
      </c>
      <c r="O500" s="84">
        <v>0.3</v>
      </c>
      <c r="P500" s="84">
        <v>0.3</v>
      </c>
      <c r="Q500" s="133" t="s">
        <v>134</v>
      </c>
      <c r="R500" s="84">
        <v>0.52</v>
      </c>
      <c r="S500" s="84">
        <v>0.29</v>
      </c>
    </row>
    <row r="501">
      <c r="A501" s="136" t="s">
        <v>6138</v>
      </c>
      <c r="B501" s="16" t="s">
        <v>5773</v>
      </c>
      <c r="C501" s="19">
        <v>1100008.0</v>
      </c>
      <c r="D501" s="16" t="s">
        <v>5846</v>
      </c>
      <c r="E501" s="16" t="s">
        <v>5846</v>
      </c>
      <c r="F501" s="16" t="s">
        <v>6297</v>
      </c>
      <c r="G501" s="16" t="s">
        <v>6297</v>
      </c>
      <c r="H501" s="22">
        <v>1675.0</v>
      </c>
      <c r="I501" s="84">
        <v>0.43</v>
      </c>
      <c r="J501" s="96">
        <v>1261.0</v>
      </c>
      <c r="K501" s="22">
        <v>8990.0</v>
      </c>
      <c r="L501" s="22">
        <v>4990.0</v>
      </c>
      <c r="M501" s="96">
        <v>5288.0</v>
      </c>
      <c r="N501" s="96">
        <v>2935.0</v>
      </c>
      <c r="O501" s="84">
        <v>0.3</v>
      </c>
      <c r="P501" s="84">
        <v>0.3</v>
      </c>
      <c r="Q501" s="133" t="s">
        <v>134</v>
      </c>
      <c r="R501" s="84">
        <v>0.6</v>
      </c>
      <c r="S501" s="84">
        <v>0.37</v>
      </c>
    </row>
  </sheetData>
  <autoFilter ref="$B$4:$Z$482">
    <sortState ref="B4:Z482">
      <sortCondition ref="C4:C482"/>
    </sortState>
  </autoFilter>
  <mergeCells count="3">
    <mergeCell ref="H2:J2"/>
    <mergeCell ref="K2:L2"/>
    <mergeCell ref="M3:N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7.63"/>
    <col customWidth="1" min="3" max="3" width="50.13"/>
    <col customWidth="1" min="4" max="4" width="13.63"/>
    <col customWidth="1" min="5" max="5" width="20.13"/>
    <col customWidth="1" min="6" max="6" width="19.63"/>
    <col customWidth="1" min="7" max="7" width="15.75"/>
    <col customWidth="1" min="8" max="8" width="7.5"/>
    <col customWidth="1" min="9" max="9" width="6.38"/>
    <col customWidth="1" min="10" max="10" width="11.88"/>
    <col customWidth="1" min="11" max="11" width="10.63"/>
  </cols>
  <sheetData>
    <row r="1">
      <c r="A1" s="137" t="s">
        <v>4</v>
      </c>
      <c r="B1" s="138" t="s">
        <v>2356</v>
      </c>
      <c r="C1" s="138" t="s">
        <v>6298</v>
      </c>
      <c r="D1" s="138" t="s">
        <v>6299</v>
      </c>
      <c r="E1" s="137" t="s">
        <v>6300</v>
      </c>
      <c r="F1" s="138" t="s">
        <v>6301</v>
      </c>
      <c r="G1" s="139" t="s">
        <v>6302</v>
      </c>
      <c r="H1" s="138" t="s">
        <v>6303</v>
      </c>
      <c r="I1" s="138" t="s">
        <v>6304</v>
      </c>
      <c r="J1" s="138" t="s">
        <v>6305</v>
      </c>
      <c r="K1" s="138" t="s">
        <v>6306</v>
      </c>
    </row>
    <row r="2">
      <c r="A2" s="140" t="s">
        <v>6307</v>
      </c>
      <c r="B2" s="140">
        <v>32935.0</v>
      </c>
      <c r="C2" s="140" t="s">
        <v>6308</v>
      </c>
      <c r="D2" s="140" t="s">
        <v>6309</v>
      </c>
      <c r="E2" s="140" t="s">
        <v>6310</v>
      </c>
      <c r="F2" s="140" t="s">
        <v>6310</v>
      </c>
      <c r="G2" s="141" t="s">
        <v>6311</v>
      </c>
      <c r="H2" s="140" t="s">
        <v>6312</v>
      </c>
      <c r="I2" s="140" t="s">
        <v>6313</v>
      </c>
      <c r="J2" s="140" t="s">
        <v>6314</v>
      </c>
      <c r="K2" s="140" t="s">
        <v>6315</v>
      </c>
    </row>
    <row r="3">
      <c r="A3" s="140" t="s">
        <v>5738</v>
      </c>
      <c r="B3" s="140" t="s">
        <v>6316</v>
      </c>
      <c r="C3" s="140" t="s">
        <v>6317</v>
      </c>
      <c r="D3" s="140" t="s">
        <v>6318</v>
      </c>
      <c r="E3" s="140" t="s">
        <v>1301</v>
      </c>
      <c r="F3" s="140" t="s">
        <v>735</v>
      </c>
      <c r="G3" s="141" t="s">
        <v>6311</v>
      </c>
      <c r="H3" s="140" t="s">
        <v>6312</v>
      </c>
      <c r="I3" s="140" t="s">
        <v>6313</v>
      </c>
      <c r="J3" s="140" t="s">
        <v>6319</v>
      </c>
      <c r="K3" s="140" t="s">
        <v>6320</v>
      </c>
    </row>
    <row r="4">
      <c r="A4" s="140" t="s">
        <v>5738</v>
      </c>
      <c r="B4" s="140" t="s">
        <v>6167</v>
      </c>
      <c r="C4" s="140" t="s">
        <v>6321</v>
      </c>
      <c r="D4" s="140" t="s">
        <v>6318</v>
      </c>
      <c r="E4" s="140" t="s">
        <v>1301</v>
      </c>
      <c r="F4" s="140" t="s">
        <v>735</v>
      </c>
      <c r="G4" s="141" t="s">
        <v>6311</v>
      </c>
      <c r="H4" s="140" t="s">
        <v>6312</v>
      </c>
      <c r="I4" s="140" t="s">
        <v>6313</v>
      </c>
      <c r="J4" s="140" t="s">
        <v>6319</v>
      </c>
      <c r="K4" s="140" t="s">
        <v>6320</v>
      </c>
    </row>
    <row r="5">
      <c r="A5" s="140" t="s">
        <v>5738</v>
      </c>
      <c r="B5" s="140">
        <v>174713.0</v>
      </c>
      <c r="C5" s="140" t="s">
        <v>6322</v>
      </c>
      <c r="D5" s="140" t="s">
        <v>6318</v>
      </c>
      <c r="E5" s="140" t="s">
        <v>6323</v>
      </c>
      <c r="F5" s="140" t="s">
        <v>6324</v>
      </c>
      <c r="G5" s="141" t="s">
        <v>6311</v>
      </c>
      <c r="H5" s="140" t="s">
        <v>6312</v>
      </c>
      <c r="I5" s="140" t="s">
        <v>6313</v>
      </c>
      <c r="J5" s="140" t="s">
        <v>6319</v>
      </c>
      <c r="K5" s="140" t="s">
        <v>6320</v>
      </c>
    </row>
    <row r="6">
      <c r="A6" s="140" t="s">
        <v>5738</v>
      </c>
      <c r="B6" s="140">
        <v>179742.0</v>
      </c>
      <c r="C6" s="140" t="s">
        <v>6325</v>
      </c>
      <c r="D6" s="140" t="s">
        <v>6318</v>
      </c>
      <c r="E6" s="140" t="s">
        <v>1180</v>
      </c>
      <c r="F6" s="140" t="s">
        <v>1181</v>
      </c>
      <c r="G6" s="141" t="s">
        <v>6311</v>
      </c>
      <c r="H6" s="140" t="s">
        <v>6312</v>
      </c>
      <c r="I6" s="140" t="s">
        <v>6313</v>
      </c>
      <c r="J6" s="140" t="s">
        <v>6319</v>
      </c>
      <c r="K6" s="140" t="s">
        <v>6320</v>
      </c>
    </row>
    <row r="7">
      <c r="A7" s="140" t="s">
        <v>5738</v>
      </c>
      <c r="B7" s="140">
        <v>120040.0</v>
      </c>
      <c r="C7" s="140" t="s">
        <v>6326</v>
      </c>
      <c r="D7" s="140" t="s">
        <v>6309</v>
      </c>
      <c r="E7" s="140" t="s">
        <v>6323</v>
      </c>
      <c r="F7" s="140" t="s">
        <v>5739</v>
      </c>
      <c r="G7" s="141" t="s">
        <v>6311</v>
      </c>
      <c r="H7" s="140" t="s">
        <v>6312</v>
      </c>
      <c r="I7" s="140" t="s">
        <v>6313</v>
      </c>
      <c r="J7" s="140" t="s">
        <v>6319</v>
      </c>
      <c r="K7" s="140" t="s">
        <v>6320</v>
      </c>
    </row>
    <row r="8">
      <c r="A8" s="140" t="s">
        <v>5738</v>
      </c>
      <c r="B8" s="140">
        <v>189720.0</v>
      </c>
      <c r="C8" s="140" t="s">
        <v>6327</v>
      </c>
      <c r="D8" s="140" t="s">
        <v>6318</v>
      </c>
      <c r="E8" s="140" t="s">
        <v>6323</v>
      </c>
      <c r="F8" s="140" t="s">
        <v>5739</v>
      </c>
      <c r="G8" s="141" t="s">
        <v>6311</v>
      </c>
      <c r="H8" s="140" t="s">
        <v>6312</v>
      </c>
      <c r="I8" s="140" t="s">
        <v>6313</v>
      </c>
      <c r="J8" s="140" t="s">
        <v>6319</v>
      </c>
      <c r="K8" s="140" t="s">
        <v>6320</v>
      </c>
    </row>
    <row r="9">
      <c r="A9" s="140" t="s">
        <v>5738</v>
      </c>
      <c r="B9" s="140">
        <v>169228.0</v>
      </c>
      <c r="C9" s="140" t="s">
        <v>6328</v>
      </c>
      <c r="D9" s="140" t="s">
        <v>6318</v>
      </c>
      <c r="E9" s="140" t="s">
        <v>6323</v>
      </c>
      <c r="F9" s="140" t="s">
        <v>5739</v>
      </c>
      <c r="G9" s="141" t="s">
        <v>6311</v>
      </c>
      <c r="H9" s="140" t="s">
        <v>6312</v>
      </c>
      <c r="I9" s="140" t="s">
        <v>6313</v>
      </c>
      <c r="J9" s="140" t="s">
        <v>6319</v>
      </c>
      <c r="K9" s="140" t="s">
        <v>6320</v>
      </c>
    </row>
    <row r="10">
      <c r="A10" s="140" t="s">
        <v>5738</v>
      </c>
      <c r="B10" s="140" t="s">
        <v>3758</v>
      </c>
      <c r="C10" s="140" t="s">
        <v>6329</v>
      </c>
      <c r="D10" s="140" t="s">
        <v>6318</v>
      </c>
      <c r="E10" s="140" t="s">
        <v>6323</v>
      </c>
      <c r="F10" s="140" t="s">
        <v>5739</v>
      </c>
      <c r="G10" s="141" t="s">
        <v>6311</v>
      </c>
      <c r="H10" s="140" t="s">
        <v>6330</v>
      </c>
      <c r="I10" s="140" t="s">
        <v>6313</v>
      </c>
      <c r="J10" s="140" t="s">
        <v>6319</v>
      </c>
      <c r="K10" s="140" t="s">
        <v>6320</v>
      </c>
    </row>
    <row r="11">
      <c r="A11" s="140" t="s">
        <v>5738</v>
      </c>
      <c r="B11" s="140">
        <v>162085.0</v>
      </c>
      <c r="C11" s="140" t="s">
        <v>6331</v>
      </c>
      <c r="D11" s="140" t="s">
        <v>6318</v>
      </c>
      <c r="E11" s="140" t="s">
        <v>6323</v>
      </c>
      <c r="F11" s="140" t="s">
        <v>5739</v>
      </c>
      <c r="G11" s="141" t="s">
        <v>6311</v>
      </c>
      <c r="H11" s="140" t="s">
        <v>6330</v>
      </c>
      <c r="I11" s="140" t="s">
        <v>6313</v>
      </c>
      <c r="J11" s="140" t="s">
        <v>6319</v>
      </c>
      <c r="K11" s="140" t="s">
        <v>6320</v>
      </c>
    </row>
    <row r="12">
      <c r="A12" s="140" t="s">
        <v>5738</v>
      </c>
      <c r="B12" s="140">
        <v>189717.0</v>
      </c>
      <c r="C12" s="140" t="s">
        <v>6332</v>
      </c>
      <c r="D12" s="140" t="s">
        <v>6318</v>
      </c>
      <c r="E12" s="140" t="s">
        <v>6323</v>
      </c>
      <c r="F12" s="140" t="s">
        <v>5739</v>
      </c>
      <c r="G12" s="141" t="s">
        <v>6311</v>
      </c>
      <c r="H12" s="140" t="s">
        <v>6330</v>
      </c>
      <c r="I12" s="140" t="s">
        <v>6313</v>
      </c>
      <c r="J12" s="140" t="s">
        <v>6319</v>
      </c>
      <c r="K12" s="140" t="s">
        <v>6320</v>
      </c>
    </row>
    <row r="13">
      <c r="A13" s="140" t="s">
        <v>5738</v>
      </c>
      <c r="B13" s="140">
        <v>161016.0</v>
      </c>
      <c r="C13" s="140" t="s">
        <v>6333</v>
      </c>
      <c r="D13" s="140" t="s">
        <v>6318</v>
      </c>
      <c r="E13" s="140" t="s">
        <v>6323</v>
      </c>
      <c r="F13" s="140" t="s">
        <v>6334</v>
      </c>
      <c r="G13" s="141" t="s">
        <v>6311</v>
      </c>
      <c r="H13" s="140" t="s">
        <v>6312</v>
      </c>
      <c r="I13" s="140" t="s">
        <v>6313</v>
      </c>
      <c r="J13" s="140" t="s">
        <v>6319</v>
      </c>
      <c r="K13" s="140" t="s">
        <v>6320</v>
      </c>
    </row>
    <row r="14">
      <c r="A14" s="140" t="s">
        <v>5738</v>
      </c>
      <c r="B14" s="140">
        <v>189699.0</v>
      </c>
      <c r="C14" s="140" t="s">
        <v>6335</v>
      </c>
      <c r="D14" s="140" t="s">
        <v>6318</v>
      </c>
      <c r="E14" s="140" t="s">
        <v>6323</v>
      </c>
      <c r="F14" s="140" t="s">
        <v>5774</v>
      </c>
      <c r="G14" s="141" t="s">
        <v>6311</v>
      </c>
      <c r="H14" s="140" t="s">
        <v>6312</v>
      </c>
      <c r="I14" s="140" t="s">
        <v>6313</v>
      </c>
      <c r="J14" s="140" t="s">
        <v>6319</v>
      </c>
      <c r="K14" s="140" t="s">
        <v>6320</v>
      </c>
    </row>
    <row r="15">
      <c r="A15" s="140" t="s">
        <v>5738</v>
      </c>
      <c r="B15" s="140">
        <v>5.40724263E8</v>
      </c>
      <c r="C15" s="140" t="s">
        <v>6336</v>
      </c>
      <c r="D15" s="140" t="s">
        <v>6318</v>
      </c>
      <c r="E15" s="140" t="s">
        <v>6323</v>
      </c>
      <c r="F15" s="140" t="s">
        <v>5774</v>
      </c>
      <c r="G15" s="141" t="s">
        <v>6311</v>
      </c>
      <c r="H15" s="140" t="s">
        <v>6312</v>
      </c>
      <c r="I15" s="140" t="s">
        <v>6313</v>
      </c>
      <c r="J15" s="140" t="s">
        <v>6319</v>
      </c>
      <c r="K15" s="140" t="s">
        <v>6320</v>
      </c>
    </row>
    <row r="16">
      <c r="A16" s="140" t="s">
        <v>5738</v>
      </c>
      <c r="B16" s="140">
        <v>154350.0</v>
      </c>
      <c r="C16" s="140" t="s">
        <v>6337</v>
      </c>
      <c r="D16" s="140" t="s">
        <v>6318</v>
      </c>
      <c r="E16" s="140" t="s">
        <v>598</v>
      </c>
      <c r="F16" s="140" t="s">
        <v>6338</v>
      </c>
      <c r="G16" s="141" t="s">
        <v>6311</v>
      </c>
      <c r="H16" s="140" t="s">
        <v>6312</v>
      </c>
      <c r="I16" s="140" t="s">
        <v>6313</v>
      </c>
      <c r="J16" s="140" t="s">
        <v>6319</v>
      </c>
      <c r="K16" s="140" t="s">
        <v>6320</v>
      </c>
    </row>
    <row r="17">
      <c r="A17" s="140" t="s">
        <v>5738</v>
      </c>
      <c r="B17" s="140">
        <v>146604.0</v>
      </c>
      <c r="C17" s="140" t="s">
        <v>6339</v>
      </c>
      <c r="D17" s="140" t="s">
        <v>6318</v>
      </c>
      <c r="E17" s="140" t="s">
        <v>1225</v>
      </c>
      <c r="F17" s="140" t="s">
        <v>1243</v>
      </c>
      <c r="G17" s="141" t="s">
        <v>6311</v>
      </c>
      <c r="H17" s="140" t="s">
        <v>6312</v>
      </c>
      <c r="I17" s="140" t="s">
        <v>6313</v>
      </c>
      <c r="J17" s="140" t="s">
        <v>6319</v>
      </c>
      <c r="K17" s="140" t="s">
        <v>6320</v>
      </c>
    </row>
    <row r="18">
      <c r="A18" s="140" t="s">
        <v>5738</v>
      </c>
      <c r="B18" s="140">
        <v>146607.0</v>
      </c>
      <c r="C18" s="140" t="s">
        <v>6340</v>
      </c>
      <c r="D18" s="140" t="s">
        <v>6318</v>
      </c>
      <c r="E18" s="140" t="s">
        <v>1225</v>
      </c>
      <c r="F18" s="140" t="s">
        <v>1243</v>
      </c>
      <c r="G18" s="141" t="s">
        <v>6311</v>
      </c>
      <c r="H18" s="140" t="s">
        <v>6312</v>
      </c>
      <c r="I18" s="140" t="s">
        <v>6313</v>
      </c>
      <c r="J18" s="140" t="s">
        <v>6319</v>
      </c>
      <c r="K18" s="140" t="s">
        <v>6320</v>
      </c>
    </row>
    <row r="19">
      <c r="A19" s="140" t="s">
        <v>5738</v>
      </c>
      <c r="B19" s="140">
        <v>120307.0</v>
      </c>
      <c r="C19" s="140" t="s">
        <v>6341</v>
      </c>
      <c r="D19" s="140" t="s">
        <v>6318</v>
      </c>
      <c r="E19" s="140" t="s">
        <v>1225</v>
      </c>
      <c r="F19" s="140" t="s">
        <v>1243</v>
      </c>
      <c r="G19" s="141" t="s">
        <v>6311</v>
      </c>
      <c r="H19" s="140" t="s">
        <v>6312</v>
      </c>
      <c r="I19" s="140" t="s">
        <v>6313</v>
      </c>
      <c r="J19" s="140" t="s">
        <v>6319</v>
      </c>
      <c r="K19" s="140" t="s">
        <v>6320</v>
      </c>
    </row>
    <row r="20">
      <c r="A20" s="140" t="s">
        <v>5738</v>
      </c>
      <c r="B20" s="140">
        <v>120306.0</v>
      </c>
      <c r="C20" s="140" t="s">
        <v>6342</v>
      </c>
      <c r="D20" s="140" t="s">
        <v>6318</v>
      </c>
      <c r="E20" s="140" t="s">
        <v>1225</v>
      </c>
      <c r="F20" s="140" t="s">
        <v>1243</v>
      </c>
      <c r="G20" s="141" t="s">
        <v>6311</v>
      </c>
      <c r="H20" s="140" t="s">
        <v>6312</v>
      </c>
      <c r="I20" s="140" t="s">
        <v>6313</v>
      </c>
      <c r="J20" s="140" t="s">
        <v>6319</v>
      </c>
      <c r="K20" s="140" t="s">
        <v>6320</v>
      </c>
    </row>
    <row r="21">
      <c r="A21" s="140" t="s">
        <v>5738</v>
      </c>
      <c r="B21" s="140">
        <v>151268.0</v>
      </c>
      <c r="C21" s="140" t="s">
        <v>6343</v>
      </c>
      <c r="D21" s="140" t="s">
        <v>6318</v>
      </c>
      <c r="E21" s="140" t="s">
        <v>1225</v>
      </c>
      <c r="F21" s="140" t="s">
        <v>1243</v>
      </c>
      <c r="G21" s="141" t="s">
        <v>6311</v>
      </c>
      <c r="H21" s="140" t="s">
        <v>6312</v>
      </c>
      <c r="I21" s="140" t="s">
        <v>6313</v>
      </c>
      <c r="J21" s="140" t="s">
        <v>6319</v>
      </c>
      <c r="K21" s="140" t="s">
        <v>6320</v>
      </c>
    </row>
    <row r="22">
      <c r="A22" s="140" t="s">
        <v>5738</v>
      </c>
      <c r="B22" s="140">
        <v>151170.0</v>
      </c>
      <c r="C22" s="140" t="s">
        <v>6344</v>
      </c>
      <c r="D22" s="140" t="s">
        <v>6318</v>
      </c>
      <c r="E22" s="140" t="s">
        <v>1225</v>
      </c>
      <c r="F22" s="140" t="s">
        <v>1243</v>
      </c>
      <c r="G22" s="141" t="s">
        <v>6311</v>
      </c>
      <c r="H22" s="140" t="s">
        <v>6312</v>
      </c>
      <c r="I22" s="140" t="s">
        <v>6313</v>
      </c>
      <c r="J22" s="140" t="s">
        <v>6319</v>
      </c>
      <c r="K22" s="140" t="s">
        <v>6320</v>
      </c>
    </row>
    <row r="23">
      <c r="A23" s="140" t="s">
        <v>5738</v>
      </c>
      <c r="B23" s="140">
        <v>119666.0</v>
      </c>
      <c r="C23" s="140" t="s">
        <v>6345</v>
      </c>
      <c r="D23" s="140" t="s">
        <v>6318</v>
      </c>
      <c r="E23" s="140" t="s">
        <v>1225</v>
      </c>
      <c r="F23" s="140" t="s">
        <v>1293</v>
      </c>
      <c r="G23" s="141" t="s">
        <v>6311</v>
      </c>
      <c r="H23" s="140" t="s">
        <v>6312</v>
      </c>
      <c r="I23" s="140" t="s">
        <v>6313</v>
      </c>
      <c r="J23" s="140" t="s">
        <v>6319</v>
      </c>
      <c r="K23" s="140" t="s">
        <v>6320</v>
      </c>
    </row>
    <row r="24">
      <c r="A24" s="140" t="s">
        <v>5738</v>
      </c>
      <c r="B24" s="140">
        <v>146534.0</v>
      </c>
      <c r="C24" s="140" t="s">
        <v>6346</v>
      </c>
      <c r="D24" s="140" t="s">
        <v>6318</v>
      </c>
      <c r="E24" s="140" t="s">
        <v>1225</v>
      </c>
      <c r="F24" s="140" t="s">
        <v>1293</v>
      </c>
      <c r="G24" s="141" t="s">
        <v>6311</v>
      </c>
      <c r="H24" s="140" t="s">
        <v>6312</v>
      </c>
      <c r="I24" s="140" t="s">
        <v>6313</v>
      </c>
      <c r="J24" s="140" t="s">
        <v>6319</v>
      </c>
      <c r="K24" s="140" t="s">
        <v>6320</v>
      </c>
    </row>
    <row r="25">
      <c r="A25" s="140" t="s">
        <v>5738</v>
      </c>
      <c r="B25" s="140">
        <v>179740.0</v>
      </c>
      <c r="C25" s="140" t="s">
        <v>6347</v>
      </c>
      <c r="D25" s="140" t="s">
        <v>6318</v>
      </c>
      <c r="E25" s="140" t="s">
        <v>1225</v>
      </c>
      <c r="F25" s="140" t="s">
        <v>1293</v>
      </c>
      <c r="G25" s="141" t="s">
        <v>6311</v>
      </c>
      <c r="H25" s="140" t="s">
        <v>6312</v>
      </c>
      <c r="I25" s="140" t="s">
        <v>6313</v>
      </c>
      <c r="J25" s="140" t="s">
        <v>6319</v>
      </c>
      <c r="K25" s="140" t="s">
        <v>6320</v>
      </c>
    </row>
    <row r="26">
      <c r="A26" s="140" t="s">
        <v>5738</v>
      </c>
      <c r="B26" s="140">
        <v>128651.0</v>
      </c>
      <c r="C26" s="140" t="s">
        <v>6348</v>
      </c>
      <c r="D26" s="140" t="s">
        <v>6318</v>
      </c>
      <c r="E26" s="140" t="s">
        <v>1225</v>
      </c>
      <c r="F26" s="140" t="s">
        <v>1293</v>
      </c>
      <c r="G26" s="141" t="s">
        <v>6311</v>
      </c>
      <c r="H26" s="140" t="s">
        <v>6312</v>
      </c>
      <c r="I26" s="140" t="s">
        <v>6313</v>
      </c>
      <c r="J26" s="140" t="s">
        <v>6319</v>
      </c>
      <c r="K26" s="140" t="s">
        <v>6320</v>
      </c>
    </row>
    <row r="27">
      <c r="A27" s="140" t="s">
        <v>5738</v>
      </c>
      <c r="B27" s="140">
        <v>119673.0</v>
      </c>
      <c r="C27" s="140" t="s">
        <v>6349</v>
      </c>
      <c r="D27" s="140" t="s">
        <v>6318</v>
      </c>
      <c r="E27" s="140" t="s">
        <v>1225</v>
      </c>
      <c r="F27" s="140" t="s">
        <v>1293</v>
      </c>
      <c r="G27" s="141" t="s">
        <v>6311</v>
      </c>
      <c r="H27" s="140" t="s">
        <v>6312</v>
      </c>
      <c r="I27" s="140" t="s">
        <v>6313</v>
      </c>
      <c r="J27" s="140" t="s">
        <v>6319</v>
      </c>
      <c r="K27" s="140" t="s">
        <v>6320</v>
      </c>
    </row>
    <row r="28">
      <c r="A28" s="140" t="s">
        <v>5738</v>
      </c>
      <c r="B28" s="140">
        <v>151078.0</v>
      </c>
      <c r="C28" s="140" t="s">
        <v>6350</v>
      </c>
      <c r="D28" s="140" t="s">
        <v>6318</v>
      </c>
      <c r="E28" s="140" t="s">
        <v>1225</v>
      </c>
      <c r="F28" s="140" t="s">
        <v>1293</v>
      </c>
      <c r="G28" s="141" t="s">
        <v>6311</v>
      </c>
      <c r="H28" s="140" t="s">
        <v>6312</v>
      </c>
      <c r="I28" s="140" t="s">
        <v>6313</v>
      </c>
      <c r="J28" s="140" t="s">
        <v>6319</v>
      </c>
      <c r="K28" s="140" t="s">
        <v>6320</v>
      </c>
    </row>
    <row r="29">
      <c r="A29" s="140" t="s">
        <v>5738</v>
      </c>
      <c r="B29" s="140">
        <v>151077.0</v>
      </c>
      <c r="C29" s="140" t="s">
        <v>6351</v>
      </c>
      <c r="D29" s="140" t="s">
        <v>6318</v>
      </c>
      <c r="E29" s="140" t="s">
        <v>1225</v>
      </c>
      <c r="F29" s="140" t="s">
        <v>1293</v>
      </c>
      <c r="G29" s="141" t="s">
        <v>6311</v>
      </c>
      <c r="H29" s="140" t="s">
        <v>6312</v>
      </c>
      <c r="I29" s="140" t="s">
        <v>6313</v>
      </c>
      <c r="J29" s="140" t="s">
        <v>6319</v>
      </c>
      <c r="K29" s="140" t="s">
        <v>6320</v>
      </c>
    </row>
    <row r="30">
      <c r="A30" s="140" t="s">
        <v>5738</v>
      </c>
      <c r="B30" s="140">
        <v>111501.0</v>
      </c>
      <c r="C30" s="140" t="s">
        <v>6352</v>
      </c>
      <c r="D30" s="140" t="s">
        <v>6318</v>
      </c>
      <c r="E30" s="140" t="s">
        <v>1225</v>
      </c>
      <c r="F30" s="140" t="s">
        <v>1293</v>
      </c>
      <c r="G30" s="141" t="s">
        <v>6311</v>
      </c>
      <c r="H30" s="140" t="s">
        <v>6312</v>
      </c>
      <c r="I30" s="140" t="s">
        <v>6313</v>
      </c>
      <c r="J30" s="140" t="s">
        <v>6319</v>
      </c>
      <c r="K30" s="140" t="s">
        <v>6320</v>
      </c>
    </row>
    <row r="31">
      <c r="A31" s="140" t="s">
        <v>5738</v>
      </c>
      <c r="B31" s="140">
        <v>120057.0</v>
      </c>
      <c r="C31" s="140" t="s">
        <v>6353</v>
      </c>
      <c r="D31" s="140" t="s">
        <v>6318</v>
      </c>
      <c r="E31" s="140" t="s">
        <v>1225</v>
      </c>
      <c r="F31" s="140" t="s">
        <v>1293</v>
      </c>
      <c r="G31" s="141" t="s">
        <v>6311</v>
      </c>
      <c r="H31" s="140" t="s">
        <v>6312</v>
      </c>
      <c r="I31" s="140" t="s">
        <v>6313</v>
      </c>
      <c r="J31" s="140" t="s">
        <v>6319</v>
      </c>
      <c r="K31" s="140" t="s">
        <v>6320</v>
      </c>
    </row>
    <row r="32">
      <c r="A32" s="140" t="s">
        <v>5738</v>
      </c>
      <c r="B32" s="140">
        <v>115189.0</v>
      </c>
      <c r="C32" s="140" t="s">
        <v>6354</v>
      </c>
      <c r="D32" s="140" t="s">
        <v>6318</v>
      </c>
      <c r="E32" s="140" t="s">
        <v>1225</v>
      </c>
      <c r="F32" s="140" t="s">
        <v>1293</v>
      </c>
      <c r="G32" s="141" t="s">
        <v>6311</v>
      </c>
      <c r="H32" s="140" t="s">
        <v>6312</v>
      </c>
      <c r="I32" s="140" t="s">
        <v>6313</v>
      </c>
      <c r="J32" s="140" t="s">
        <v>6319</v>
      </c>
      <c r="K32" s="140" t="s">
        <v>6320</v>
      </c>
    </row>
    <row r="33">
      <c r="A33" s="140" t="s">
        <v>5738</v>
      </c>
      <c r="B33" s="140">
        <v>119667.0</v>
      </c>
      <c r="C33" s="140" t="s">
        <v>6355</v>
      </c>
      <c r="D33" s="140" t="s">
        <v>6318</v>
      </c>
      <c r="E33" s="140" t="s">
        <v>1225</v>
      </c>
      <c r="F33" s="140" t="s">
        <v>1293</v>
      </c>
      <c r="G33" s="141" t="s">
        <v>6311</v>
      </c>
      <c r="H33" s="140" t="s">
        <v>6312</v>
      </c>
      <c r="I33" s="140" t="s">
        <v>6313</v>
      </c>
      <c r="J33" s="140" t="s">
        <v>6319</v>
      </c>
      <c r="K33" s="140" t="s">
        <v>6320</v>
      </c>
    </row>
    <row r="34">
      <c r="A34" s="140" t="s">
        <v>5738</v>
      </c>
      <c r="B34" s="140">
        <v>1.54748003E8</v>
      </c>
      <c r="C34" s="140" t="s">
        <v>6356</v>
      </c>
      <c r="D34" s="140" t="s">
        <v>6318</v>
      </c>
      <c r="E34" s="140" t="s">
        <v>1225</v>
      </c>
      <c r="F34" s="140" t="s">
        <v>1293</v>
      </c>
      <c r="G34" s="141" t="s">
        <v>6311</v>
      </c>
      <c r="H34" s="140" t="s">
        <v>6312</v>
      </c>
      <c r="I34" s="140" t="s">
        <v>6313</v>
      </c>
      <c r="J34" s="140" t="s">
        <v>6319</v>
      </c>
      <c r="K34" s="140" t="s">
        <v>6320</v>
      </c>
    </row>
    <row r="35">
      <c r="A35" s="140" t="s">
        <v>5738</v>
      </c>
      <c r="B35" s="140">
        <v>146589.0</v>
      </c>
      <c r="C35" s="140" t="s">
        <v>6357</v>
      </c>
      <c r="D35" s="140" t="s">
        <v>6318</v>
      </c>
      <c r="E35" s="140" t="s">
        <v>1225</v>
      </c>
      <c r="F35" s="140" t="s">
        <v>1293</v>
      </c>
      <c r="G35" s="141" t="s">
        <v>6311</v>
      </c>
      <c r="H35" s="140" t="s">
        <v>6312</v>
      </c>
      <c r="I35" s="140" t="s">
        <v>6313</v>
      </c>
      <c r="J35" s="140" t="s">
        <v>6319</v>
      </c>
      <c r="K35" s="140" t="s">
        <v>6320</v>
      </c>
    </row>
    <row r="36">
      <c r="A36" s="140" t="s">
        <v>5738</v>
      </c>
      <c r="B36" s="140" t="s">
        <v>5927</v>
      </c>
      <c r="C36" s="140" t="s">
        <v>6358</v>
      </c>
      <c r="D36" s="140" t="s">
        <v>6318</v>
      </c>
      <c r="E36" s="140" t="s">
        <v>1225</v>
      </c>
      <c r="F36" s="140" t="s">
        <v>1293</v>
      </c>
      <c r="G36" s="141" t="s">
        <v>6311</v>
      </c>
      <c r="H36" s="140" t="s">
        <v>6312</v>
      </c>
      <c r="I36" s="140" t="s">
        <v>6313</v>
      </c>
      <c r="J36" s="140" t="s">
        <v>6319</v>
      </c>
      <c r="K36" s="140" t="s">
        <v>6320</v>
      </c>
    </row>
    <row r="37">
      <c r="A37" s="140" t="s">
        <v>5738</v>
      </c>
      <c r="B37" s="140">
        <v>103700.0</v>
      </c>
      <c r="C37" s="140" t="s">
        <v>6359</v>
      </c>
      <c r="D37" s="140" t="s">
        <v>6318</v>
      </c>
      <c r="E37" s="140" t="s">
        <v>1225</v>
      </c>
      <c r="F37" s="140" t="s">
        <v>1293</v>
      </c>
      <c r="G37" s="141" t="s">
        <v>6311</v>
      </c>
      <c r="H37" s="140" t="s">
        <v>6312</v>
      </c>
      <c r="I37" s="140" t="s">
        <v>6313</v>
      </c>
      <c r="J37" s="140" t="s">
        <v>6319</v>
      </c>
      <c r="K37" s="140" t="s">
        <v>6320</v>
      </c>
    </row>
    <row r="38">
      <c r="A38" s="140" t="s">
        <v>5738</v>
      </c>
      <c r="B38" s="140">
        <v>119695.0</v>
      </c>
      <c r="C38" s="140" t="s">
        <v>6360</v>
      </c>
      <c r="D38" s="140" t="s">
        <v>6318</v>
      </c>
      <c r="E38" s="140" t="s">
        <v>1225</v>
      </c>
      <c r="F38" s="140" t="s">
        <v>1293</v>
      </c>
      <c r="G38" s="141" t="s">
        <v>6311</v>
      </c>
      <c r="H38" s="140" t="s">
        <v>6312</v>
      </c>
      <c r="I38" s="140" t="s">
        <v>6313</v>
      </c>
      <c r="J38" s="140" t="s">
        <v>6319</v>
      </c>
      <c r="K38" s="140" t="s">
        <v>6320</v>
      </c>
    </row>
    <row r="39">
      <c r="A39" s="140" t="s">
        <v>5738</v>
      </c>
      <c r="B39" s="140">
        <v>124599.0</v>
      </c>
      <c r="C39" s="140" t="s">
        <v>6361</v>
      </c>
      <c r="D39" s="140" t="s">
        <v>6318</v>
      </c>
      <c r="E39" s="140" t="s">
        <v>1225</v>
      </c>
      <c r="F39" s="140" t="s">
        <v>6362</v>
      </c>
      <c r="G39" s="141" t="s">
        <v>6311</v>
      </c>
      <c r="H39" s="140" t="s">
        <v>6312</v>
      </c>
      <c r="I39" s="140" t="s">
        <v>6313</v>
      </c>
      <c r="J39" s="140" t="s">
        <v>6319</v>
      </c>
      <c r="K39" s="140" t="s">
        <v>6320</v>
      </c>
    </row>
    <row r="40">
      <c r="A40" s="140" t="s">
        <v>5738</v>
      </c>
      <c r="B40" s="140">
        <v>151190.0</v>
      </c>
      <c r="C40" s="140" t="s">
        <v>6363</v>
      </c>
      <c r="D40" s="140" t="s">
        <v>6318</v>
      </c>
      <c r="E40" s="140" t="s">
        <v>1225</v>
      </c>
      <c r="F40" s="140" t="s">
        <v>6362</v>
      </c>
      <c r="G40" s="141" t="s">
        <v>6311</v>
      </c>
      <c r="H40" s="140" t="s">
        <v>6312</v>
      </c>
      <c r="I40" s="140" t="s">
        <v>6313</v>
      </c>
      <c r="J40" s="140" t="s">
        <v>6319</v>
      </c>
      <c r="K40" s="140" t="s">
        <v>6320</v>
      </c>
    </row>
    <row r="41">
      <c r="A41" s="140" t="s">
        <v>5738</v>
      </c>
      <c r="B41" s="140">
        <v>124576.0</v>
      </c>
      <c r="C41" s="140" t="s">
        <v>6364</v>
      </c>
      <c r="D41" s="140" t="s">
        <v>6318</v>
      </c>
      <c r="E41" s="140" t="s">
        <v>1225</v>
      </c>
      <c r="F41" s="140" t="s">
        <v>6362</v>
      </c>
      <c r="G41" s="141" t="s">
        <v>6311</v>
      </c>
      <c r="H41" s="140" t="s">
        <v>6312</v>
      </c>
      <c r="I41" s="140" t="s">
        <v>6313</v>
      </c>
      <c r="J41" s="140" t="s">
        <v>6319</v>
      </c>
      <c r="K41" s="140" t="s">
        <v>6320</v>
      </c>
    </row>
    <row r="42">
      <c r="A42" s="140" t="s">
        <v>5738</v>
      </c>
      <c r="B42" s="140">
        <v>160479.0</v>
      </c>
      <c r="C42" s="140" t="s">
        <v>5743</v>
      </c>
      <c r="D42" s="140" t="s">
        <v>6318</v>
      </c>
      <c r="E42" s="140" t="s">
        <v>5721</v>
      </c>
      <c r="F42" s="140" t="s">
        <v>6365</v>
      </c>
      <c r="G42" s="141" t="s">
        <v>6311</v>
      </c>
      <c r="H42" s="140" t="s">
        <v>6330</v>
      </c>
      <c r="I42" s="140" t="s">
        <v>6313</v>
      </c>
      <c r="J42" s="140" t="s">
        <v>6319</v>
      </c>
      <c r="K42" s="140" t="s">
        <v>6320</v>
      </c>
    </row>
    <row r="43">
      <c r="A43" s="140" t="s">
        <v>5738</v>
      </c>
      <c r="B43" s="140" t="s">
        <v>6011</v>
      </c>
      <c r="C43" s="140" t="s">
        <v>6366</v>
      </c>
      <c r="D43" s="140" t="s">
        <v>6318</v>
      </c>
      <c r="E43" s="140" t="s">
        <v>5721</v>
      </c>
      <c r="F43" s="140" t="s">
        <v>6365</v>
      </c>
      <c r="G43" s="141" t="s">
        <v>6311</v>
      </c>
      <c r="H43" s="140" t="s">
        <v>6312</v>
      </c>
      <c r="I43" s="140" t="s">
        <v>6313</v>
      </c>
      <c r="J43" s="140" t="s">
        <v>6319</v>
      </c>
      <c r="K43" s="140" t="s">
        <v>6320</v>
      </c>
    </row>
    <row r="44">
      <c r="A44" s="140" t="s">
        <v>5738</v>
      </c>
      <c r="B44" s="140">
        <v>189646.0</v>
      </c>
      <c r="C44" s="140" t="s">
        <v>5826</v>
      </c>
      <c r="D44" s="140" t="s">
        <v>6318</v>
      </c>
      <c r="E44" s="140" t="s">
        <v>5721</v>
      </c>
      <c r="F44" s="140" t="s">
        <v>6367</v>
      </c>
      <c r="G44" s="141" t="s">
        <v>6311</v>
      </c>
      <c r="H44" s="140" t="s">
        <v>6330</v>
      </c>
      <c r="I44" s="140" t="s">
        <v>6313</v>
      </c>
      <c r="J44" s="140" t="s">
        <v>6319</v>
      </c>
      <c r="K44" s="140" t="s">
        <v>6320</v>
      </c>
    </row>
    <row r="45">
      <c r="A45" s="140" t="s">
        <v>5738</v>
      </c>
      <c r="B45" s="140">
        <v>185017.0</v>
      </c>
      <c r="C45" s="140" t="s">
        <v>6368</v>
      </c>
      <c r="D45" s="140" t="s">
        <v>6318</v>
      </c>
      <c r="E45" s="140" t="s">
        <v>5721</v>
      </c>
      <c r="F45" s="140" t="s">
        <v>6369</v>
      </c>
      <c r="G45" s="141" t="s">
        <v>6311</v>
      </c>
      <c r="H45" s="140" t="s">
        <v>6312</v>
      </c>
      <c r="I45" s="140" t="s">
        <v>6313</v>
      </c>
      <c r="J45" s="140" t="s">
        <v>6319</v>
      </c>
      <c r="K45" s="140" t="s">
        <v>6320</v>
      </c>
    </row>
    <row r="46">
      <c r="A46" s="140" t="s">
        <v>5738</v>
      </c>
      <c r="B46" s="140">
        <v>181327.0</v>
      </c>
      <c r="C46" s="140" t="s">
        <v>6370</v>
      </c>
      <c r="D46" s="140" t="s">
        <v>6318</v>
      </c>
      <c r="E46" s="140" t="s">
        <v>5721</v>
      </c>
      <c r="F46" s="140" t="s">
        <v>6369</v>
      </c>
      <c r="G46" s="141" t="s">
        <v>6311</v>
      </c>
      <c r="H46" s="140" t="s">
        <v>6312</v>
      </c>
      <c r="I46" s="140" t="s">
        <v>6313</v>
      </c>
      <c r="J46" s="140" t="s">
        <v>6319</v>
      </c>
      <c r="K46" s="140" t="s">
        <v>6320</v>
      </c>
    </row>
    <row r="47">
      <c r="A47" s="140" t="s">
        <v>5738</v>
      </c>
      <c r="B47" s="140">
        <v>189634.0</v>
      </c>
      <c r="C47" s="140" t="s">
        <v>6371</v>
      </c>
      <c r="D47" s="140" t="s">
        <v>6318</v>
      </c>
      <c r="E47" s="140" t="s">
        <v>5721</v>
      </c>
      <c r="F47" s="140" t="s">
        <v>6372</v>
      </c>
      <c r="G47" s="141" t="s">
        <v>6311</v>
      </c>
      <c r="H47" s="140" t="s">
        <v>6312</v>
      </c>
      <c r="I47" s="140" t="s">
        <v>6313</v>
      </c>
      <c r="J47" s="140" t="s">
        <v>6319</v>
      </c>
      <c r="K47" s="140" t="s">
        <v>6320</v>
      </c>
    </row>
    <row r="48">
      <c r="A48" s="140" t="s">
        <v>5738</v>
      </c>
      <c r="B48" s="140" t="s">
        <v>6073</v>
      </c>
      <c r="C48" s="140" t="s">
        <v>6373</v>
      </c>
      <c r="D48" s="140" t="s">
        <v>6318</v>
      </c>
      <c r="E48" s="140" t="s">
        <v>1301</v>
      </c>
      <c r="F48" s="140" t="s">
        <v>1302</v>
      </c>
      <c r="G48" s="141" t="s">
        <v>6311</v>
      </c>
      <c r="H48" s="140" t="s">
        <v>6330</v>
      </c>
      <c r="I48" s="140" t="s">
        <v>6313</v>
      </c>
      <c r="J48" s="140" t="s">
        <v>6319</v>
      </c>
      <c r="K48" s="140" t="s">
        <v>6320</v>
      </c>
    </row>
    <row r="49">
      <c r="A49" s="140" t="s">
        <v>5738</v>
      </c>
      <c r="B49" s="140" t="s">
        <v>6075</v>
      </c>
      <c r="C49" s="140" t="s">
        <v>6373</v>
      </c>
      <c r="D49" s="140" t="s">
        <v>6318</v>
      </c>
      <c r="E49" s="140" t="s">
        <v>1301</v>
      </c>
      <c r="F49" s="140" t="s">
        <v>1302</v>
      </c>
      <c r="G49" s="141" t="s">
        <v>6311</v>
      </c>
      <c r="H49" s="140" t="s">
        <v>6330</v>
      </c>
      <c r="I49" s="140" t="s">
        <v>6313</v>
      </c>
      <c r="J49" s="140" t="s">
        <v>6319</v>
      </c>
      <c r="K49" s="140" t="s">
        <v>6320</v>
      </c>
    </row>
    <row r="50">
      <c r="A50" s="140" t="s">
        <v>5738</v>
      </c>
      <c r="B50" s="140" t="s">
        <v>6070</v>
      </c>
      <c r="C50" s="140" t="s">
        <v>6373</v>
      </c>
      <c r="D50" s="140" t="s">
        <v>6318</v>
      </c>
      <c r="E50" s="140" t="s">
        <v>1301</v>
      </c>
      <c r="F50" s="140" t="s">
        <v>1302</v>
      </c>
      <c r="G50" s="141" t="s">
        <v>6311</v>
      </c>
      <c r="H50" s="140" t="s">
        <v>6312</v>
      </c>
      <c r="I50" s="140" t="s">
        <v>6313</v>
      </c>
      <c r="J50" s="140" t="s">
        <v>6319</v>
      </c>
      <c r="K50" s="140" t="s">
        <v>6320</v>
      </c>
    </row>
    <row r="51">
      <c r="A51" s="140" t="s">
        <v>5738</v>
      </c>
      <c r="B51" s="140">
        <v>120075.0</v>
      </c>
      <c r="C51" s="140" t="s">
        <v>6374</v>
      </c>
      <c r="D51" s="140" t="s">
        <v>6318</v>
      </c>
      <c r="E51" s="140" t="s">
        <v>1301</v>
      </c>
      <c r="F51" s="140" t="s">
        <v>1302</v>
      </c>
      <c r="G51" s="141" t="s">
        <v>6311</v>
      </c>
      <c r="H51" s="140" t="s">
        <v>6312</v>
      </c>
      <c r="I51" s="140" t="s">
        <v>6313</v>
      </c>
      <c r="J51" s="140" t="s">
        <v>6319</v>
      </c>
      <c r="K51" s="140" t="s">
        <v>6320</v>
      </c>
    </row>
    <row r="52">
      <c r="A52" s="140" t="s">
        <v>5738</v>
      </c>
      <c r="B52" s="140">
        <v>188441.0</v>
      </c>
      <c r="C52" s="140" t="s">
        <v>6375</v>
      </c>
      <c r="D52" s="140" t="s">
        <v>6318</v>
      </c>
      <c r="E52" s="140" t="s">
        <v>1301</v>
      </c>
      <c r="F52" s="140" t="s">
        <v>1308</v>
      </c>
      <c r="G52" s="141" t="s">
        <v>6311</v>
      </c>
      <c r="H52" s="140" t="s">
        <v>6312</v>
      </c>
      <c r="I52" s="140" t="s">
        <v>6313</v>
      </c>
      <c r="J52" s="140" t="s">
        <v>6319</v>
      </c>
      <c r="K52" s="140" t="s">
        <v>6320</v>
      </c>
    </row>
    <row r="53">
      <c r="A53" s="140" t="s">
        <v>5738</v>
      </c>
      <c r="B53" s="140" t="s">
        <v>6257</v>
      </c>
      <c r="C53" s="140" t="s">
        <v>6376</v>
      </c>
      <c r="D53" s="140" t="s">
        <v>6318</v>
      </c>
      <c r="E53" s="140" t="s">
        <v>1301</v>
      </c>
      <c r="F53" s="140" t="s">
        <v>735</v>
      </c>
      <c r="G53" s="141" t="s">
        <v>6311</v>
      </c>
      <c r="H53" s="140" t="s">
        <v>6312</v>
      </c>
      <c r="I53" s="140" t="s">
        <v>6313</v>
      </c>
      <c r="J53" s="140" t="s">
        <v>6319</v>
      </c>
      <c r="K53" s="140" t="s">
        <v>6320</v>
      </c>
    </row>
    <row r="54">
      <c r="A54" s="140" t="s">
        <v>5738</v>
      </c>
      <c r="B54" s="140">
        <v>136001.0</v>
      </c>
      <c r="C54" s="140" t="s">
        <v>6377</v>
      </c>
      <c r="D54" s="140" t="s">
        <v>6318</v>
      </c>
      <c r="E54" s="140" t="s">
        <v>1301</v>
      </c>
      <c r="F54" s="140" t="s">
        <v>735</v>
      </c>
      <c r="G54" s="141" t="s">
        <v>6311</v>
      </c>
      <c r="H54" s="140" t="s">
        <v>6312</v>
      </c>
      <c r="I54" s="140" t="s">
        <v>6313</v>
      </c>
      <c r="J54" s="140" t="s">
        <v>6319</v>
      </c>
      <c r="K54" s="140" t="s">
        <v>6320</v>
      </c>
    </row>
    <row r="55">
      <c r="A55" s="140" t="s">
        <v>5738</v>
      </c>
      <c r="B55" s="140" t="s">
        <v>6068</v>
      </c>
      <c r="C55" s="140" t="s">
        <v>6378</v>
      </c>
      <c r="D55" s="140" t="s">
        <v>6318</v>
      </c>
      <c r="E55" s="140" t="s">
        <v>1323</v>
      </c>
      <c r="F55" s="140" t="s">
        <v>1324</v>
      </c>
      <c r="G55" s="141" t="s">
        <v>6311</v>
      </c>
      <c r="H55" s="140" t="s">
        <v>6312</v>
      </c>
      <c r="I55" s="140" t="s">
        <v>6313</v>
      </c>
      <c r="J55" s="140" t="s">
        <v>6319</v>
      </c>
      <c r="K55" s="140" t="s">
        <v>6320</v>
      </c>
    </row>
    <row r="56">
      <c r="A56" s="140" t="s">
        <v>5738</v>
      </c>
      <c r="B56" s="140" t="s">
        <v>6053</v>
      </c>
      <c r="C56" s="140" t="s">
        <v>6379</v>
      </c>
      <c r="D56" s="140" t="s">
        <v>6318</v>
      </c>
      <c r="E56" s="140" t="s">
        <v>1323</v>
      </c>
      <c r="F56" s="140" t="s">
        <v>1324</v>
      </c>
      <c r="G56" s="141" t="s">
        <v>6311</v>
      </c>
      <c r="H56" s="140" t="s">
        <v>6312</v>
      </c>
      <c r="I56" s="140" t="s">
        <v>6313</v>
      </c>
      <c r="J56" s="140" t="s">
        <v>6319</v>
      </c>
      <c r="K56" s="140" t="s">
        <v>6320</v>
      </c>
    </row>
    <row r="57">
      <c r="A57" s="140" t="s">
        <v>5738</v>
      </c>
      <c r="B57" s="140" t="s">
        <v>6380</v>
      </c>
      <c r="C57" s="140" t="s">
        <v>6381</v>
      </c>
      <c r="D57" s="140" t="s">
        <v>6318</v>
      </c>
      <c r="E57" s="140" t="s">
        <v>1323</v>
      </c>
      <c r="F57" s="140" t="s">
        <v>1324</v>
      </c>
      <c r="G57" s="141" t="s">
        <v>6311</v>
      </c>
      <c r="H57" s="140" t="s">
        <v>6312</v>
      </c>
      <c r="I57" s="140" t="s">
        <v>6313</v>
      </c>
      <c r="J57" s="140" t="s">
        <v>6319</v>
      </c>
      <c r="K57" s="140" t="s">
        <v>6320</v>
      </c>
    </row>
    <row r="58">
      <c r="A58" s="140" t="s">
        <v>5738</v>
      </c>
      <c r="B58" s="140">
        <v>174550.0</v>
      </c>
      <c r="C58" s="140" t="s">
        <v>6382</v>
      </c>
      <c r="D58" s="140" t="s">
        <v>6318</v>
      </c>
      <c r="E58" s="140" t="s">
        <v>1323</v>
      </c>
      <c r="F58" s="140" t="s">
        <v>1324</v>
      </c>
      <c r="G58" s="141" t="s">
        <v>6311</v>
      </c>
      <c r="H58" s="140" t="s">
        <v>6312</v>
      </c>
      <c r="I58" s="140" t="s">
        <v>6313</v>
      </c>
      <c r="J58" s="140" t="s">
        <v>6319</v>
      </c>
      <c r="K58" s="140" t="s">
        <v>6320</v>
      </c>
    </row>
    <row r="59">
      <c r="A59" s="140" t="s">
        <v>5738</v>
      </c>
      <c r="B59" s="140" t="s">
        <v>5920</v>
      </c>
      <c r="C59" s="140" t="s">
        <v>6383</v>
      </c>
      <c r="D59" s="140" t="s">
        <v>6318</v>
      </c>
      <c r="E59" s="140" t="s">
        <v>1323</v>
      </c>
      <c r="F59" s="140" t="s">
        <v>1324</v>
      </c>
      <c r="G59" s="141" t="s">
        <v>6311</v>
      </c>
      <c r="H59" s="140" t="s">
        <v>6312</v>
      </c>
      <c r="I59" s="140" t="s">
        <v>6313</v>
      </c>
      <c r="J59" s="140" t="s">
        <v>6319</v>
      </c>
      <c r="K59" s="140" t="s">
        <v>6320</v>
      </c>
    </row>
    <row r="60">
      <c r="A60" s="140" t="s">
        <v>5738</v>
      </c>
      <c r="B60" s="140" t="s">
        <v>5922</v>
      </c>
      <c r="C60" s="140" t="s">
        <v>6383</v>
      </c>
      <c r="D60" s="140" t="s">
        <v>6318</v>
      </c>
      <c r="E60" s="140" t="s">
        <v>1323</v>
      </c>
      <c r="F60" s="140" t="s">
        <v>1324</v>
      </c>
      <c r="G60" s="141" t="s">
        <v>6311</v>
      </c>
      <c r="H60" s="140" t="s">
        <v>6312</v>
      </c>
      <c r="I60" s="140" t="s">
        <v>6313</v>
      </c>
      <c r="J60" s="140" t="s">
        <v>6319</v>
      </c>
      <c r="K60" s="140" t="s">
        <v>6320</v>
      </c>
    </row>
    <row r="61">
      <c r="A61" s="140" t="s">
        <v>5738</v>
      </c>
      <c r="B61" s="140" t="s">
        <v>6078</v>
      </c>
      <c r="C61" s="140" t="s">
        <v>6384</v>
      </c>
      <c r="D61" s="140" t="s">
        <v>6318</v>
      </c>
      <c r="E61" s="140" t="s">
        <v>1323</v>
      </c>
      <c r="F61" s="140" t="s">
        <v>1333</v>
      </c>
      <c r="G61" s="141" t="s">
        <v>6311</v>
      </c>
      <c r="H61" s="140" t="s">
        <v>6312</v>
      </c>
      <c r="I61" s="140" t="s">
        <v>6313</v>
      </c>
      <c r="J61" s="140" t="s">
        <v>6319</v>
      </c>
      <c r="K61" s="140" t="s">
        <v>6320</v>
      </c>
    </row>
    <row r="62">
      <c r="A62" s="140" t="s">
        <v>5738</v>
      </c>
      <c r="B62" s="140">
        <v>174528.0</v>
      </c>
      <c r="C62" s="140" t="s">
        <v>6385</v>
      </c>
      <c r="D62" s="140" t="s">
        <v>6318</v>
      </c>
      <c r="E62" s="140" t="s">
        <v>1323</v>
      </c>
      <c r="F62" s="140" t="s">
        <v>1333</v>
      </c>
      <c r="G62" s="141" t="s">
        <v>6311</v>
      </c>
      <c r="H62" s="140" t="s">
        <v>6312</v>
      </c>
      <c r="I62" s="140" t="s">
        <v>6313</v>
      </c>
      <c r="J62" s="140" t="s">
        <v>6319</v>
      </c>
      <c r="K62" s="140" t="s">
        <v>6320</v>
      </c>
    </row>
    <row r="63">
      <c r="A63" s="140" t="s">
        <v>5738</v>
      </c>
      <c r="B63" s="140" t="s">
        <v>6386</v>
      </c>
      <c r="C63" s="140" t="s">
        <v>6387</v>
      </c>
      <c r="D63" s="140" t="s">
        <v>6318</v>
      </c>
      <c r="E63" s="140" t="s">
        <v>1323</v>
      </c>
      <c r="F63" s="140" t="s">
        <v>1333</v>
      </c>
      <c r="G63" s="141" t="s">
        <v>6311</v>
      </c>
      <c r="H63" s="140" t="s">
        <v>6312</v>
      </c>
      <c r="I63" s="140" t="s">
        <v>6313</v>
      </c>
      <c r="J63" s="140" t="s">
        <v>6319</v>
      </c>
      <c r="K63" s="140" t="s">
        <v>6320</v>
      </c>
    </row>
    <row r="64">
      <c r="A64" s="140" t="s">
        <v>5738</v>
      </c>
      <c r="B64" s="140">
        <v>189702.0</v>
      </c>
      <c r="C64" s="140" t="s">
        <v>6388</v>
      </c>
      <c r="D64" s="140" t="s">
        <v>6318</v>
      </c>
      <c r="E64" s="140" t="s">
        <v>1323</v>
      </c>
      <c r="F64" s="140" t="s">
        <v>1340</v>
      </c>
      <c r="G64" s="141" t="s">
        <v>6311</v>
      </c>
      <c r="H64" s="140" t="s">
        <v>6312</v>
      </c>
      <c r="I64" s="140" t="s">
        <v>6313</v>
      </c>
      <c r="J64" s="140" t="s">
        <v>6319</v>
      </c>
      <c r="K64" s="140" t="s">
        <v>6320</v>
      </c>
    </row>
    <row r="65">
      <c r="A65" s="140" t="s">
        <v>5738</v>
      </c>
      <c r="B65" s="140">
        <v>189703.0</v>
      </c>
      <c r="C65" s="140" t="s">
        <v>6389</v>
      </c>
      <c r="D65" s="140" t="s">
        <v>6318</v>
      </c>
      <c r="E65" s="140" t="s">
        <v>1323</v>
      </c>
      <c r="F65" s="140" t="s">
        <v>1340</v>
      </c>
      <c r="G65" s="141" t="s">
        <v>6311</v>
      </c>
      <c r="H65" s="140" t="s">
        <v>6330</v>
      </c>
      <c r="I65" s="140" t="s">
        <v>6313</v>
      </c>
      <c r="J65" s="140" t="s">
        <v>6319</v>
      </c>
      <c r="K65" s="140" t="s">
        <v>6320</v>
      </c>
    </row>
    <row r="66">
      <c r="A66" s="140" t="s">
        <v>5738</v>
      </c>
      <c r="B66" s="140">
        <v>120395.0</v>
      </c>
      <c r="C66" s="140" t="s">
        <v>6390</v>
      </c>
      <c r="D66" s="140" t="s">
        <v>6318</v>
      </c>
      <c r="E66" s="140" t="s">
        <v>1323</v>
      </c>
      <c r="F66" s="140" t="s">
        <v>1340</v>
      </c>
      <c r="G66" s="141" t="s">
        <v>6311</v>
      </c>
      <c r="H66" s="140" t="s">
        <v>6312</v>
      </c>
      <c r="I66" s="140" t="s">
        <v>6313</v>
      </c>
      <c r="J66" s="140" t="s">
        <v>6319</v>
      </c>
      <c r="K66" s="140" t="s">
        <v>6320</v>
      </c>
    </row>
    <row r="67">
      <c r="A67" s="140" t="s">
        <v>5738</v>
      </c>
      <c r="B67" s="140">
        <v>120392.0</v>
      </c>
      <c r="C67" s="140" t="s">
        <v>6391</v>
      </c>
      <c r="D67" s="140" t="s">
        <v>6318</v>
      </c>
      <c r="E67" s="140" t="s">
        <v>1323</v>
      </c>
      <c r="F67" s="140" t="s">
        <v>1340</v>
      </c>
      <c r="G67" s="141" t="s">
        <v>6311</v>
      </c>
      <c r="H67" s="140" t="s">
        <v>6312</v>
      </c>
      <c r="I67" s="140" t="s">
        <v>6313</v>
      </c>
      <c r="J67" s="140" t="s">
        <v>6319</v>
      </c>
      <c r="K67" s="140" t="s">
        <v>6320</v>
      </c>
    </row>
    <row r="68">
      <c r="A68" s="140" t="s">
        <v>5738</v>
      </c>
      <c r="B68" s="140">
        <v>120054.0</v>
      </c>
      <c r="C68" s="140" t="s">
        <v>6392</v>
      </c>
      <c r="D68" s="140" t="s">
        <v>6318</v>
      </c>
      <c r="E68" s="140" t="s">
        <v>1323</v>
      </c>
      <c r="F68" s="140" t="s">
        <v>1340</v>
      </c>
      <c r="G68" s="141" t="s">
        <v>6311</v>
      </c>
      <c r="H68" s="140" t="s">
        <v>6312</v>
      </c>
      <c r="I68" s="140" t="s">
        <v>6313</v>
      </c>
      <c r="J68" s="140" t="s">
        <v>6319</v>
      </c>
      <c r="K68" s="140" t="s">
        <v>6320</v>
      </c>
    </row>
    <row r="69">
      <c r="A69" s="140" t="s">
        <v>5738</v>
      </c>
      <c r="B69" s="140">
        <v>146512.0</v>
      </c>
      <c r="C69" s="140" t="s">
        <v>6393</v>
      </c>
      <c r="D69" s="140" t="s">
        <v>6318</v>
      </c>
      <c r="E69" s="140" t="s">
        <v>1323</v>
      </c>
      <c r="F69" s="140" t="s">
        <v>1340</v>
      </c>
      <c r="G69" s="141" t="s">
        <v>6311</v>
      </c>
      <c r="H69" s="140" t="s">
        <v>6312</v>
      </c>
      <c r="I69" s="140" t="s">
        <v>6313</v>
      </c>
      <c r="J69" s="140" t="s">
        <v>6319</v>
      </c>
      <c r="K69" s="140" t="s">
        <v>6320</v>
      </c>
    </row>
    <row r="70">
      <c r="A70" s="140" t="s">
        <v>5738</v>
      </c>
      <c r="B70" s="140">
        <v>179626.0</v>
      </c>
      <c r="C70" s="140" t="s">
        <v>6394</v>
      </c>
      <c r="D70" s="140" t="s">
        <v>6318</v>
      </c>
      <c r="E70" s="140" t="s">
        <v>1323</v>
      </c>
      <c r="F70" s="140" t="s">
        <v>1371</v>
      </c>
      <c r="G70" s="141" t="s">
        <v>6311</v>
      </c>
      <c r="H70" s="140" t="s">
        <v>6312</v>
      </c>
      <c r="I70" s="140" t="s">
        <v>6313</v>
      </c>
      <c r="J70" s="140" t="s">
        <v>6319</v>
      </c>
      <c r="K70" s="140" t="s">
        <v>6320</v>
      </c>
    </row>
    <row r="71">
      <c r="A71" s="140" t="s">
        <v>5738</v>
      </c>
      <c r="B71" s="140">
        <v>150164.0</v>
      </c>
      <c r="C71" s="140" t="s">
        <v>6395</v>
      </c>
      <c r="D71" s="140" t="s">
        <v>6318</v>
      </c>
      <c r="E71" s="140" t="s">
        <v>1395</v>
      </c>
      <c r="F71" s="140" t="s">
        <v>1396</v>
      </c>
      <c r="G71" s="141" t="s">
        <v>6311</v>
      </c>
      <c r="H71" s="140" t="s">
        <v>6312</v>
      </c>
      <c r="I71" s="140" t="s">
        <v>6313</v>
      </c>
      <c r="J71" s="140" t="s">
        <v>6319</v>
      </c>
      <c r="K71" s="140" t="s">
        <v>6320</v>
      </c>
    </row>
    <row r="72">
      <c r="A72" s="140" t="s">
        <v>5738</v>
      </c>
      <c r="B72" s="140">
        <v>150166.0</v>
      </c>
      <c r="C72" s="140" t="s">
        <v>6396</v>
      </c>
      <c r="D72" s="140" t="s">
        <v>6318</v>
      </c>
      <c r="E72" s="140" t="s">
        <v>1395</v>
      </c>
      <c r="F72" s="140" t="s">
        <v>1396</v>
      </c>
      <c r="G72" s="141" t="s">
        <v>6311</v>
      </c>
      <c r="H72" s="140" t="s">
        <v>6312</v>
      </c>
      <c r="I72" s="140" t="s">
        <v>6313</v>
      </c>
      <c r="J72" s="140" t="s">
        <v>6319</v>
      </c>
      <c r="K72" s="140" t="s">
        <v>6320</v>
      </c>
    </row>
    <row r="73">
      <c r="A73" s="140" t="s">
        <v>5738</v>
      </c>
      <c r="B73" s="140">
        <v>202590.0</v>
      </c>
      <c r="C73" s="140" t="s">
        <v>6397</v>
      </c>
      <c r="D73" s="140" t="s">
        <v>6318</v>
      </c>
      <c r="E73" s="140" t="s">
        <v>1395</v>
      </c>
      <c r="F73" s="140" t="s">
        <v>1396</v>
      </c>
      <c r="G73" s="141" t="s">
        <v>6311</v>
      </c>
      <c r="H73" s="140" t="s">
        <v>6312</v>
      </c>
      <c r="I73" s="140" t="s">
        <v>6313</v>
      </c>
      <c r="J73" s="140" t="s">
        <v>6319</v>
      </c>
      <c r="K73" s="140" t="s">
        <v>6320</v>
      </c>
    </row>
    <row r="74">
      <c r="A74" s="140" t="s">
        <v>5738</v>
      </c>
      <c r="B74" s="140">
        <v>188452.0</v>
      </c>
      <c r="C74" s="140" t="s">
        <v>6398</v>
      </c>
      <c r="D74" s="140" t="s">
        <v>6318</v>
      </c>
      <c r="E74" s="140" t="s">
        <v>1395</v>
      </c>
      <c r="F74" s="140" t="s">
        <v>1421</v>
      </c>
      <c r="G74" s="141" t="s">
        <v>6311</v>
      </c>
      <c r="H74" s="140" t="s">
        <v>6312</v>
      </c>
      <c r="I74" s="140" t="s">
        <v>6313</v>
      </c>
      <c r="J74" s="140" t="s">
        <v>6319</v>
      </c>
      <c r="K74" s="140" t="s">
        <v>6320</v>
      </c>
    </row>
    <row r="75">
      <c r="A75" s="140" t="s">
        <v>6399</v>
      </c>
      <c r="B75" s="140" t="s">
        <v>4425</v>
      </c>
      <c r="C75" s="140" t="s">
        <v>6400</v>
      </c>
      <c r="D75" s="140" t="s">
        <v>6309</v>
      </c>
      <c r="E75" s="140" t="s">
        <v>21</v>
      </c>
      <c r="F75" s="140" t="s">
        <v>42</v>
      </c>
      <c r="G75" s="141" t="s">
        <v>6401</v>
      </c>
      <c r="H75" s="140" t="s">
        <v>6312</v>
      </c>
      <c r="I75" s="140" t="s">
        <v>6313</v>
      </c>
      <c r="J75" s="140" t="s">
        <v>6314</v>
      </c>
      <c r="K75" s="140" t="s">
        <v>6402</v>
      </c>
    </row>
    <row r="76">
      <c r="A76" s="140" t="s">
        <v>6399</v>
      </c>
      <c r="B76" s="140" t="s">
        <v>4421</v>
      </c>
      <c r="C76" s="140" t="s">
        <v>6403</v>
      </c>
      <c r="D76" s="140" t="s">
        <v>6309</v>
      </c>
      <c r="E76" s="140" t="s">
        <v>21</v>
      </c>
      <c r="F76" s="140" t="s">
        <v>42</v>
      </c>
      <c r="G76" s="141" t="s">
        <v>6401</v>
      </c>
      <c r="H76" s="140" t="s">
        <v>6312</v>
      </c>
      <c r="I76" s="140" t="s">
        <v>6313</v>
      </c>
      <c r="J76" s="140" t="s">
        <v>6314</v>
      </c>
      <c r="K76" s="140" t="s">
        <v>6402</v>
      </c>
    </row>
    <row r="77">
      <c r="A77" s="140" t="s">
        <v>6399</v>
      </c>
      <c r="B77" s="140" t="s">
        <v>6404</v>
      </c>
      <c r="C77" s="140" t="s">
        <v>6405</v>
      </c>
      <c r="D77" s="140" t="s">
        <v>6309</v>
      </c>
      <c r="E77" s="140" t="s">
        <v>21</v>
      </c>
      <c r="F77" s="140" t="s">
        <v>42</v>
      </c>
      <c r="G77" s="141" t="s">
        <v>6401</v>
      </c>
      <c r="H77" s="140" t="s">
        <v>6312</v>
      </c>
      <c r="I77" s="140" t="s">
        <v>6313</v>
      </c>
      <c r="J77" s="140" t="s">
        <v>6314</v>
      </c>
      <c r="K77" s="140" t="s">
        <v>6402</v>
      </c>
    </row>
    <row r="78">
      <c r="A78" s="140" t="s">
        <v>6399</v>
      </c>
      <c r="B78" s="140" t="s">
        <v>6406</v>
      </c>
      <c r="C78" s="140" t="s">
        <v>6407</v>
      </c>
      <c r="D78" s="140" t="s">
        <v>6309</v>
      </c>
      <c r="E78" s="140" t="s">
        <v>21</v>
      </c>
      <c r="F78" s="140" t="s">
        <v>42</v>
      </c>
      <c r="G78" s="141" t="s">
        <v>6401</v>
      </c>
      <c r="H78" s="140" t="s">
        <v>6312</v>
      </c>
      <c r="I78" s="140" t="s">
        <v>6313</v>
      </c>
      <c r="J78" s="140" t="s">
        <v>6314</v>
      </c>
      <c r="K78" s="140" t="s">
        <v>6402</v>
      </c>
    </row>
    <row r="79">
      <c r="A79" s="140" t="s">
        <v>6399</v>
      </c>
      <c r="B79" s="140" t="s">
        <v>4419</v>
      </c>
      <c r="C79" s="140" t="s">
        <v>6408</v>
      </c>
      <c r="D79" s="140" t="s">
        <v>6309</v>
      </c>
      <c r="E79" s="140" t="s">
        <v>56</v>
      </c>
      <c r="F79" s="140" t="s">
        <v>64</v>
      </c>
      <c r="G79" s="141" t="s">
        <v>6401</v>
      </c>
      <c r="H79" s="140" t="s">
        <v>6312</v>
      </c>
      <c r="I79" s="140" t="s">
        <v>6313</v>
      </c>
      <c r="J79" s="140" t="s">
        <v>6314</v>
      </c>
      <c r="K79" s="140" t="s">
        <v>6402</v>
      </c>
    </row>
    <row r="80">
      <c r="A80" s="140" t="s">
        <v>6399</v>
      </c>
      <c r="B80" s="140" t="s">
        <v>4423</v>
      </c>
      <c r="C80" s="140" t="s">
        <v>6409</v>
      </c>
      <c r="D80" s="140" t="s">
        <v>6309</v>
      </c>
      <c r="E80" s="140" t="s">
        <v>6410</v>
      </c>
      <c r="F80" s="140" t="s">
        <v>6411</v>
      </c>
      <c r="G80" s="141" t="s">
        <v>6401</v>
      </c>
      <c r="H80" s="140" t="s">
        <v>6312</v>
      </c>
      <c r="I80" s="140" t="s">
        <v>6313</v>
      </c>
      <c r="J80" s="140" t="s">
        <v>6314</v>
      </c>
      <c r="K80" s="140" t="s">
        <v>6402</v>
      </c>
    </row>
    <row r="81">
      <c r="A81" s="140" t="s">
        <v>6412</v>
      </c>
      <c r="B81" s="140">
        <v>21508.0</v>
      </c>
      <c r="C81" s="140" t="s">
        <v>6413</v>
      </c>
      <c r="D81" s="140" t="s">
        <v>6309</v>
      </c>
      <c r="E81" s="140" t="s">
        <v>1223</v>
      </c>
      <c r="F81" s="140" t="s">
        <v>6414</v>
      </c>
      <c r="G81" s="141" t="s">
        <v>6311</v>
      </c>
      <c r="H81" s="140" t="s">
        <v>6312</v>
      </c>
      <c r="I81" s="140" t="s">
        <v>6313</v>
      </c>
      <c r="J81" s="140" t="s">
        <v>6314</v>
      </c>
      <c r="K81" s="140" t="s">
        <v>6315</v>
      </c>
    </row>
    <row r="82">
      <c r="A82" s="140" t="s">
        <v>6412</v>
      </c>
      <c r="B82" s="140">
        <v>21526.0</v>
      </c>
      <c r="C82" s="140" t="s">
        <v>6415</v>
      </c>
      <c r="D82" s="140" t="s">
        <v>6309</v>
      </c>
      <c r="E82" s="140" t="s">
        <v>1223</v>
      </c>
      <c r="F82" s="140" t="s">
        <v>6416</v>
      </c>
      <c r="G82" s="141" t="s">
        <v>6311</v>
      </c>
      <c r="H82" s="140" t="s">
        <v>6312</v>
      </c>
      <c r="I82" s="140" t="s">
        <v>6313</v>
      </c>
      <c r="J82" s="140" t="s">
        <v>6314</v>
      </c>
      <c r="K82" s="140" t="s">
        <v>6315</v>
      </c>
    </row>
    <row r="83">
      <c r="A83" s="140" t="s">
        <v>5713</v>
      </c>
      <c r="B83" s="140">
        <v>157266.0</v>
      </c>
      <c r="C83" s="140" t="s">
        <v>6417</v>
      </c>
      <c r="D83" s="140" t="s">
        <v>6318</v>
      </c>
      <c r="E83" s="140" t="s">
        <v>6323</v>
      </c>
      <c r="F83" s="140" t="s">
        <v>5752</v>
      </c>
      <c r="G83" s="141" t="s">
        <v>6311</v>
      </c>
      <c r="H83" s="140" t="s">
        <v>6330</v>
      </c>
      <c r="I83" s="140" t="s">
        <v>6313</v>
      </c>
      <c r="J83" s="140" t="s">
        <v>6319</v>
      </c>
      <c r="K83" s="140" t="s">
        <v>6320</v>
      </c>
    </row>
    <row r="84">
      <c r="A84" s="140" t="s">
        <v>5713</v>
      </c>
      <c r="B84" s="140">
        <v>168413.0</v>
      </c>
      <c r="C84" s="140" t="s">
        <v>6418</v>
      </c>
      <c r="D84" s="140" t="s">
        <v>6318</v>
      </c>
      <c r="E84" s="140" t="s">
        <v>6323</v>
      </c>
      <c r="F84" s="140" t="s">
        <v>6419</v>
      </c>
      <c r="G84" s="141" t="s">
        <v>6311</v>
      </c>
      <c r="H84" s="140" t="s">
        <v>6312</v>
      </c>
      <c r="I84" s="140" t="s">
        <v>6313</v>
      </c>
      <c r="J84" s="140" t="s">
        <v>6319</v>
      </c>
      <c r="K84" s="140" t="s">
        <v>6320</v>
      </c>
    </row>
    <row r="85">
      <c r="A85" s="140" t="s">
        <v>5713</v>
      </c>
      <c r="B85" s="140">
        <v>168414.0</v>
      </c>
      <c r="C85" s="140" t="s">
        <v>6418</v>
      </c>
      <c r="D85" s="140" t="s">
        <v>6318</v>
      </c>
      <c r="E85" s="140" t="s">
        <v>6323</v>
      </c>
      <c r="F85" s="140" t="s">
        <v>6419</v>
      </c>
      <c r="G85" s="141" t="s">
        <v>6311</v>
      </c>
      <c r="H85" s="140" t="s">
        <v>6312</v>
      </c>
      <c r="I85" s="140" t="s">
        <v>6313</v>
      </c>
      <c r="J85" s="140" t="s">
        <v>6319</v>
      </c>
      <c r="K85" s="140" t="s">
        <v>6320</v>
      </c>
    </row>
    <row r="86">
      <c r="A86" s="140" t="s">
        <v>5713</v>
      </c>
      <c r="B86" s="140">
        <v>157102.0</v>
      </c>
      <c r="C86" s="140" t="s">
        <v>6420</v>
      </c>
      <c r="D86" s="140" t="s">
        <v>6318</v>
      </c>
      <c r="E86" s="140" t="s">
        <v>6323</v>
      </c>
      <c r="F86" s="140" t="s">
        <v>6419</v>
      </c>
      <c r="G86" s="141" t="s">
        <v>6311</v>
      </c>
      <c r="H86" s="140" t="s">
        <v>6312</v>
      </c>
      <c r="I86" s="140" t="s">
        <v>6313</v>
      </c>
      <c r="J86" s="140" t="s">
        <v>6319</v>
      </c>
      <c r="K86" s="140" t="s">
        <v>6320</v>
      </c>
    </row>
    <row r="87">
      <c r="A87" s="140" t="s">
        <v>5713</v>
      </c>
      <c r="B87" s="140">
        <v>157101.0</v>
      </c>
      <c r="C87" s="140" t="s">
        <v>6421</v>
      </c>
      <c r="D87" s="140" t="s">
        <v>6318</v>
      </c>
      <c r="E87" s="140" t="s">
        <v>6323</v>
      </c>
      <c r="F87" s="140" t="s">
        <v>6419</v>
      </c>
      <c r="G87" s="141" t="s">
        <v>6311</v>
      </c>
      <c r="H87" s="140" t="s">
        <v>6330</v>
      </c>
      <c r="I87" s="140" t="s">
        <v>6313</v>
      </c>
      <c r="J87" s="140" t="s">
        <v>6319</v>
      </c>
      <c r="K87" s="140" t="s">
        <v>6320</v>
      </c>
    </row>
    <row r="88">
      <c r="A88" s="140" t="s">
        <v>5713</v>
      </c>
      <c r="B88" s="140" t="s">
        <v>3841</v>
      </c>
      <c r="C88" s="140" t="s">
        <v>6422</v>
      </c>
      <c r="D88" s="140" t="s">
        <v>6318</v>
      </c>
      <c r="E88" s="140" t="s">
        <v>6323</v>
      </c>
      <c r="F88" s="140" t="s">
        <v>5741</v>
      </c>
      <c r="G88" s="141" t="s">
        <v>6311</v>
      </c>
      <c r="H88" s="140" t="s">
        <v>6312</v>
      </c>
      <c r="I88" s="140" t="s">
        <v>6313</v>
      </c>
      <c r="J88" s="140" t="s">
        <v>6319</v>
      </c>
      <c r="K88" s="140" t="s">
        <v>6320</v>
      </c>
    </row>
    <row r="89">
      <c r="A89" s="140" t="s">
        <v>5713</v>
      </c>
      <c r="B89" s="140" t="s">
        <v>5758</v>
      </c>
      <c r="C89" s="140" t="s">
        <v>6423</v>
      </c>
      <c r="D89" s="140" t="s">
        <v>6318</v>
      </c>
      <c r="E89" s="140" t="s">
        <v>6323</v>
      </c>
      <c r="F89" s="140" t="s">
        <v>5741</v>
      </c>
      <c r="G89" s="141" t="s">
        <v>6311</v>
      </c>
      <c r="H89" s="140" t="s">
        <v>6312</v>
      </c>
      <c r="I89" s="140" t="s">
        <v>6313</v>
      </c>
      <c r="J89" s="140" t="s">
        <v>6319</v>
      </c>
      <c r="K89" s="140" t="s">
        <v>6320</v>
      </c>
    </row>
    <row r="90">
      <c r="A90" s="140" t="s">
        <v>5713</v>
      </c>
      <c r="B90" s="140" t="s">
        <v>3376</v>
      </c>
      <c r="C90" s="140" t="s">
        <v>6424</v>
      </c>
      <c r="D90" s="140" t="s">
        <v>6318</v>
      </c>
      <c r="E90" s="140" t="s">
        <v>6323</v>
      </c>
      <c r="F90" s="140" t="s">
        <v>5741</v>
      </c>
      <c r="G90" s="141" t="s">
        <v>6311</v>
      </c>
      <c r="H90" s="140" t="s">
        <v>6312</v>
      </c>
      <c r="I90" s="140" t="s">
        <v>6313</v>
      </c>
      <c r="J90" s="140" t="s">
        <v>6319</v>
      </c>
      <c r="K90" s="140" t="s">
        <v>6320</v>
      </c>
    </row>
    <row r="91">
      <c r="A91" s="140" t="s">
        <v>5713</v>
      </c>
      <c r="B91" s="140" t="s">
        <v>6108</v>
      </c>
      <c r="C91" s="140" t="s">
        <v>6425</v>
      </c>
      <c r="D91" s="140" t="s">
        <v>6318</v>
      </c>
      <c r="E91" s="140" t="s">
        <v>6323</v>
      </c>
      <c r="F91" s="140" t="s">
        <v>5741</v>
      </c>
      <c r="G91" s="141" t="s">
        <v>6311</v>
      </c>
      <c r="H91" s="140" t="s">
        <v>6312</v>
      </c>
      <c r="I91" s="140" t="s">
        <v>6313</v>
      </c>
      <c r="J91" s="140" t="s">
        <v>6319</v>
      </c>
      <c r="K91" s="140" t="s">
        <v>6320</v>
      </c>
    </row>
    <row r="92">
      <c r="A92" s="140" t="s">
        <v>5713</v>
      </c>
      <c r="B92" s="140">
        <v>141149.0</v>
      </c>
      <c r="C92" s="140" t="s">
        <v>5841</v>
      </c>
      <c r="D92" s="140" t="s">
        <v>6318</v>
      </c>
      <c r="E92" s="140" t="s">
        <v>6323</v>
      </c>
      <c r="F92" s="140" t="s">
        <v>5741</v>
      </c>
      <c r="G92" s="141" t="s">
        <v>6311</v>
      </c>
      <c r="H92" s="140" t="s">
        <v>6312</v>
      </c>
      <c r="I92" s="140" t="s">
        <v>6313</v>
      </c>
      <c r="J92" s="140" t="s">
        <v>6319</v>
      </c>
      <c r="K92" s="140" t="s">
        <v>6320</v>
      </c>
    </row>
    <row r="93">
      <c r="A93" s="140" t="s">
        <v>5713</v>
      </c>
      <c r="B93" s="140">
        <v>158229.0</v>
      </c>
      <c r="C93" s="140" t="s">
        <v>5827</v>
      </c>
      <c r="D93" s="140" t="s">
        <v>6318</v>
      </c>
      <c r="E93" s="140" t="s">
        <v>6323</v>
      </c>
      <c r="F93" s="140" t="s">
        <v>5741</v>
      </c>
      <c r="G93" s="141" t="s">
        <v>6311</v>
      </c>
      <c r="H93" s="140" t="s">
        <v>6312</v>
      </c>
      <c r="I93" s="140" t="s">
        <v>6313</v>
      </c>
      <c r="J93" s="140" t="s">
        <v>6319</v>
      </c>
      <c r="K93" s="140" t="s">
        <v>6320</v>
      </c>
    </row>
    <row r="94">
      <c r="A94" s="140" t="s">
        <v>5713</v>
      </c>
      <c r="B94" s="140">
        <v>137391.0</v>
      </c>
      <c r="C94" s="140" t="s">
        <v>6426</v>
      </c>
      <c r="D94" s="140" t="s">
        <v>6318</v>
      </c>
      <c r="E94" s="140" t="s">
        <v>6323</v>
      </c>
      <c r="F94" s="140" t="s">
        <v>5741</v>
      </c>
      <c r="G94" s="141" t="s">
        <v>6311</v>
      </c>
      <c r="H94" s="140" t="s">
        <v>6312</v>
      </c>
      <c r="I94" s="140" t="s">
        <v>6313</v>
      </c>
      <c r="J94" s="140" t="s">
        <v>6319</v>
      </c>
      <c r="K94" s="140" t="s">
        <v>6320</v>
      </c>
    </row>
    <row r="95">
      <c r="A95" s="140" t="s">
        <v>5713</v>
      </c>
      <c r="B95" s="140" t="s">
        <v>5969</v>
      </c>
      <c r="C95" s="140" t="s">
        <v>6427</v>
      </c>
      <c r="D95" s="140" t="s">
        <v>6318</v>
      </c>
      <c r="E95" s="140" t="s">
        <v>6323</v>
      </c>
      <c r="F95" s="140" t="s">
        <v>5741</v>
      </c>
      <c r="G95" s="141" t="s">
        <v>6311</v>
      </c>
      <c r="H95" s="140" t="s">
        <v>6312</v>
      </c>
      <c r="I95" s="140" t="s">
        <v>6313</v>
      </c>
      <c r="J95" s="140" t="s">
        <v>6319</v>
      </c>
      <c r="K95" s="140" t="s">
        <v>6320</v>
      </c>
    </row>
    <row r="96">
      <c r="A96" s="140" t="s">
        <v>5713</v>
      </c>
      <c r="B96" s="140" t="s">
        <v>5924</v>
      </c>
      <c r="C96" s="140" t="s">
        <v>6428</v>
      </c>
      <c r="D96" s="140" t="s">
        <v>6318</v>
      </c>
      <c r="E96" s="140" t="s">
        <v>6323</v>
      </c>
      <c r="F96" s="140" t="s">
        <v>6429</v>
      </c>
      <c r="G96" s="141" t="s">
        <v>6311</v>
      </c>
      <c r="H96" s="140" t="s">
        <v>6312</v>
      </c>
      <c r="I96" s="140" t="s">
        <v>6313</v>
      </c>
      <c r="J96" s="140" t="s">
        <v>6319</v>
      </c>
      <c r="K96" s="140" t="s">
        <v>6320</v>
      </c>
    </row>
    <row r="97">
      <c r="A97" s="140" t="s">
        <v>5713</v>
      </c>
      <c r="B97" s="140" t="s">
        <v>6130</v>
      </c>
      <c r="C97" s="140" t="s">
        <v>6430</v>
      </c>
      <c r="D97" s="140" t="s">
        <v>6318</v>
      </c>
      <c r="E97" s="140" t="s">
        <v>6323</v>
      </c>
      <c r="F97" s="140" t="s">
        <v>6429</v>
      </c>
      <c r="G97" s="141" t="s">
        <v>6311</v>
      </c>
      <c r="H97" s="140" t="s">
        <v>6312</v>
      </c>
      <c r="I97" s="140" t="s">
        <v>6313</v>
      </c>
      <c r="J97" s="140" t="s">
        <v>6319</v>
      </c>
      <c r="K97" s="140" t="s">
        <v>6320</v>
      </c>
    </row>
    <row r="98">
      <c r="A98" s="140" t="s">
        <v>5713</v>
      </c>
      <c r="B98" s="140">
        <v>155614.0</v>
      </c>
      <c r="C98" s="140" t="s">
        <v>6431</v>
      </c>
      <c r="D98" s="140" t="s">
        <v>6318</v>
      </c>
      <c r="E98" s="140" t="s">
        <v>6323</v>
      </c>
      <c r="F98" s="140" t="s">
        <v>6429</v>
      </c>
      <c r="G98" s="141" t="s">
        <v>6311</v>
      </c>
      <c r="H98" s="140" t="s">
        <v>6312</v>
      </c>
      <c r="I98" s="140" t="s">
        <v>6313</v>
      </c>
      <c r="J98" s="140" t="s">
        <v>6319</v>
      </c>
      <c r="K98" s="140" t="s">
        <v>6320</v>
      </c>
    </row>
    <row r="99">
      <c r="A99" s="140" t="s">
        <v>5713</v>
      </c>
      <c r="B99" s="140">
        <v>155613.0</v>
      </c>
      <c r="C99" s="140" t="s">
        <v>6432</v>
      </c>
      <c r="D99" s="140" t="s">
        <v>6318</v>
      </c>
      <c r="E99" s="140" t="s">
        <v>6323</v>
      </c>
      <c r="F99" s="140" t="s">
        <v>6429</v>
      </c>
      <c r="G99" s="141" t="s">
        <v>6311</v>
      </c>
      <c r="H99" s="140" t="s">
        <v>6312</v>
      </c>
      <c r="I99" s="140" t="s">
        <v>6313</v>
      </c>
      <c r="J99" s="140" t="s">
        <v>6319</v>
      </c>
      <c r="K99" s="140" t="s">
        <v>6320</v>
      </c>
    </row>
    <row r="100">
      <c r="A100" s="140" t="s">
        <v>5713</v>
      </c>
      <c r="B100" s="140" t="s">
        <v>6433</v>
      </c>
      <c r="C100" s="140" t="s">
        <v>6434</v>
      </c>
      <c r="D100" s="140" t="s">
        <v>6318</v>
      </c>
      <c r="E100" s="140" t="s">
        <v>6323</v>
      </c>
      <c r="F100" s="140" t="s">
        <v>6435</v>
      </c>
      <c r="G100" s="141" t="s">
        <v>6311</v>
      </c>
      <c r="H100" s="140" t="s">
        <v>6312</v>
      </c>
      <c r="I100" s="140" t="s">
        <v>6313</v>
      </c>
      <c r="J100" s="140" t="s">
        <v>6319</v>
      </c>
      <c r="K100" s="140" t="s">
        <v>6320</v>
      </c>
    </row>
    <row r="101">
      <c r="A101" s="140" t="s">
        <v>5713</v>
      </c>
      <c r="B101" s="140" t="s">
        <v>6436</v>
      </c>
      <c r="C101" s="140" t="s">
        <v>6437</v>
      </c>
      <c r="D101" s="140" t="s">
        <v>6318</v>
      </c>
      <c r="E101" s="140" t="s">
        <v>6323</v>
      </c>
      <c r="F101" s="140" t="s">
        <v>6435</v>
      </c>
      <c r="G101" s="141" t="s">
        <v>6311</v>
      </c>
      <c r="H101" s="140" t="s">
        <v>6312</v>
      </c>
      <c r="I101" s="140" t="s">
        <v>6313</v>
      </c>
      <c r="J101" s="140" t="s">
        <v>6319</v>
      </c>
      <c r="K101" s="140" t="s">
        <v>6320</v>
      </c>
    </row>
    <row r="102">
      <c r="A102" s="140" t="s">
        <v>5713</v>
      </c>
      <c r="B102" s="140" t="s">
        <v>6438</v>
      </c>
      <c r="C102" s="140" t="s">
        <v>6439</v>
      </c>
      <c r="D102" s="140" t="s">
        <v>6318</v>
      </c>
      <c r="E102" s="140" t="s">
        <v>6323</v>
      </c>
      <c r="F102" s="140" t="s">
        <v>6435</v>
      </c>
      <c r="G102" s="141" t="s">
        <v>6311</v>
      </c>
      <c r="H102" s="140" t="s">
        <v>6312</v>
      </c>
      <c r="I102" s="140" t="s">
        <v>6313</v>
      </c>
      <c r="J102" s="140" t="s">
        <v>6319</v>
      </c>
      <c r="K102" s="140" t="s">
        <v>6320</v>
      </c>
    </row>
    <row r="103">
      <c r="A103" s="140" t="s">
        <v>5713</v>
      </c>
      <c r="B103" s="140" t="s">
        <v>5907</v>
      </c>
      <c r="C103" s="140" t="s">
        <v>6440</v>
      </c>
      <c r="D103" s="140" t="s">
        <v>6318</v>
      </c>
      <c r="E103" s="140" t="s">
        <v>6323</v>
      </c>
      <c r="F103" s="140" t="s">
        <v>6435</v>
      </c>
      <c r="G103" s="141" t="s">
        <v>6311</v>
      </c>
      <c r="H103" s="140" t="s">
        <v>6312</v>
      </c>
      <c r="I103" s="140" t="s">
        <v>6313</v>
      </c>
      <c r="J103" s="140" t="s">
        <v>6319</v>
      </c>
      <c r="K103" s="140" t="s">
        <v>6320</v>
      </c>
    </row>
    <row r="104">
      <c r="A104" s="140" t="s">
        <v>5713</v>
      </c>
      <c r="B104" s="140" t="s">
        <v>5910</v>
      </c>
      <c r="C104" s="140" t="s">
        <v>6441</v>
      </c>
      <c r="D104" s="140" t="s">
        <v>6318</v>
      </c>
      <c r="E104" s="140" t="s">
        <v>6323</v>
      </c>
      <c r="F104" s="140" t="s">
        <v>6435</v>
      </c>
      <c r="G104" s="141" t="s">
        <v>6311</v>
      </c>
      <c r="H104" s="140" t="s">
        <v>6312</v>
      </c>
      <c r="I104" s="140" t="s">
        <v>6313</v>
      </c>
      <c r="J104" s="140" t="s">
        <v>6319</v>
      </c>
      <c r="K104" s="140" t="s">
        <v>6320</v>
      </c>
    </row>
    <row r="105">
      <c r="A105" s="140" t="s">
        <v>5713</v>
      </c>
      <c r="B105" s="140" t="s">
        <v>6442</v>
      </c>
      <c r="C105" s="140" t="s">
        <v>6443</v>
      </c>
      <c r="D105" s="140" t="s">
        <v>6318</v>
      </c>
      <c r="E105" s="140" t="s">
        <v>6323</v>
      </c>
      <c r="F105" s="140" t="s">
        <v>6435</v>
      </c>
      <c r="G105" s="141" t="s">
        <v>6311</v>
      </c>
      <c r="H105" s="140" t="s">
        <v>6312</v>
      </c>
      <c r="I105" s="140" t="s">
        <v>6313</v>
      </c>
      <c r="J105" s="140" t="s">
        <v>6319</v>
      </c>
      <c r="K105" s="140" t="s">
        <v>6320</v>
      </c>
    </row>
    <row r="106">
      <c r="A106" s="140" t="s">
        <v>5713</v>
      </c>
      <c r="B106" s="140" t="s">
        <v>6444</v>
      </c>
      <c r="C106" s="140" t="s">
        <v>6445</v>
      </c>
      <c r="D106" s="140" t="s">
        <v>6318</v>
      </c>
      <c r="E106" s="140" t="s">
        <v>6323</v>
      </c>
      <c r="F106" s="140" t="s">
        <v>6435</v>
      </c>
      <c r="G106" s="141" t="s">
        <v>6311</v>
      </c>
      <c r="H106" s="140" t="s">
        <v>6312</v>
      </c>
      <c r="I106" s="140" t="s">
        <v>6313</v>
      </c>
      <c r="J106" s="140" t="s">
        <v>6319</v>
      </c>
      <c r="K106" s="140" t="s">
        <v>6320</v>
      </c>
    </row>
    <row r="107">
      <c r="A107" s="140" t="s">
        <v>5713</v>
      </c>
      <c r="B107" s="140" t="s">
        <v>6446</v>
      </c>
      <c r="C107" s="140" t="s">
        <v>6447</v>
      </c>
      <c r="D107" s="140" t="s">
        <v>6318</v>
      </c>
      <c r="E107" s="140" t="s">
        <v>6323</v>
      </c>
      <c r="F107" s="140" t="s">
        <v>6435</v>
      </c>
      <c r="G107" s="141" t="s">
        <v>6311</v>
      </c>
      <c r="H107" s="140" t="s">
        <v>6312</v>
      </c>
      <c r="I107" s="140" t="s">
        <v>6313</v>
      </c>
      <c r="J107" s="140" t="s">
        <v>6319</v>
      </c>
      <c r="K107" s="140" t="s">
        <v>6320</v>
      </c>
    </row>
    <row r="108">
      <c r="A108" s="140" t="s">
        <v>5713</v>
      </c>
      <c r="B108" s="140" t="s">
        <v>6448</v>
      </c>
      <c r="C108" s="140" t="s">
        <v>6449</v>
      </c>
      <c r="D108" s="140" t="s">
        <v>6318</v>
      </c>
      <c r="E108" s="140" t="s">
        <v>6323</v>
      </c>
      <c r="F108" s="140" t="s">
        <v>6435</v>
      </c>
      <c r="G108" s="141" t="s">
        <v>6311</v>
      </c>
      <c r="H108" s="140" t="s">
        <v>6312</v>
      </c>
      <c r="I108" s="140" t="s">
        <v>6313</v>
      </c>
      <c r="J108" s="140" t="s">
        <v>6319</v>
      </c>
      <c r="K108" s="140" t="s">
        <v>6320</v>
      </c>
    </row>
    <row r="109">
      <c r="A109" s="140" t="s">
        <v>5713</v>
      </c>
      <c r="B109" s="140" t="s">
        <v>6450</v>
      </c>
      <c r="C109" s="140" t="s">
        <v>6451</v>
      </c>
      <c r="D109" s="140" t="s">
        <v>6318</v>
      </c>
      <c r="E109" s="140" t="s">
        <v>6323</v>
      </c>
      <c r="F109" s="140" t="s">
        <v>6435</v>
      </c>
      <c r="G109" s="141" t="s">
        <v>6311</v>
      </c>
      <c r="H109" s="140" t="s">
        <v>6312</v>
      </c>
      <c r="I109" s="140" t="s">
        <v>6313</v>
      </c>
      <c r="J109" s="140" t="s">
        <v>6319</v>
      </c>
      <c r="K109" s="140" t="s">
        <v>6320</v>
      </c>
    </row>
    <row r="110">
      <c r="A110" s="140" t="s">
        <v>5713</v>
      </c>
      <c r="B110" s="140">
        <v>167884.0</v>
      </c>
      <c r="C110" s="140" t="s">
        <v>6452</v>
      </c>
      <c r="D110" s="140" t="s">
        <v>6318</v>
      </c>
      <c r="E110" s="140" t="s">
        <v>6323</v>
      </c>
      <c r="F110" s="140" t="s">
        <v>6453</v>
      </c>
      <c r="G110" s="141" t="s">
        <v>6311</v>
      </c>
      <c r="H110" s="140" t="s">
        <v>6330</v>
      </c>
      <c r="I110" s="140" t="s">
        <v>6313</v>
      </c>
      <c r="J110" s="140" t="s">
        <v>6319</v>
      </c>
      <c r="K110" s="140" t="s">
        <v>6320</v>
      </c>
    </row>
    <row r="111">
      <c r="A111" s="140" t="s">
        <v>5713</v>
      </c>
      <c r="B111" s="140">
        <v>105490.0</v>
      </c>
      <c r="C111" s="140" t="s">
        <v>6454</v>
      </c>
      <c r="D111" s="140" t="s">
        <v>6318</v>
      </c>
      <c r="E111" s="140" t="s">
        <v>6323</v>
      </c>
      <c r="F111" s="140" t="s">
        <v>6453</v>
      </c>
      <c r="G111" s="141" t="s">
        <v>6311</v>
      </c>
      <c r="H111" s="140" t="s">
        <v>6312</v>
      </c>
      <c r="I111" s="140" t="s">
        <v>6313</v>
      </c>
      <c r="J111" s="140" t="s">
        <v>6319</v>
      </c>
      <c r="K111" s="140" t="s">
        <v>6320</v>
      </c>
    </row>
    <row r="112">
      <c r="A112" s="140" t="s">
        <v>5713</v>
      </c>
      <c r="B112" s="140">
        <v>202312.0</v>
      </c>
      <c r="C112" s="140" t="s">
        <v>6455</v>
      </c>
      <c r="D112" s="140" t="s">
        <v>6318</v>
      </c>
      <c r="E112" s="140" t="s">
        <v>6323</v>
      </c>
      <c r="F112" s="140" t="s">
        <v>6453</v>
      </c>
      <c r="G112" s="141" t="s">
        <v>6311</v>
      </c>
      <c r="H112" s="140" t="s">
        <v>6330</v>
      </c>
      <c r="I112" s="140" t="s">
        <v>6313</v>
      </c>
      <c r="J112" s="140" t="s">
        <v>6319</v>
      </c>
      <c r="K112" s="140" t="s">
        <v>6320</v>
      </c>
    </row>
    <row r="113">
      <c r="A113" s="140" t="s">
        <v>5713</v>
      </c>
      <c r="B113" s="140">
        <v>145026.0</v>
      </c>
      <c r="C113" s="140" t="s">
        <v>6456</v>
      </c>
      <c r="D113" s="140" t="s">
        <v>6318</v>
      </c>
      <c r="E113" s="140" t="s">
        <v>6323</v>
      </c>
      <c r="F113" s="140" t="s">
        <v>6457</v>
      </c>
      <c r="G113" s="141" t="s">
        <v>6311</v>
      </c>
      <c r="H113" s="140" t="s">
        <v>6312</v>
      </c>
      <c r="I113" s="140" t="s">
        <v>6313</v>
      </c>
      <c r="J113" s="140" t="s">
        <v>6319</v>
      </c>
      <c r="K113" s="140" t="s">
        <v>6320</v>
      </c>
    </row>
    <row r="114">
      <c r="A114" s="140" t="s">
        <v>5713</v>
      </c>
      <c r="B114" s="140">
        <v>200294.0</v>
      </c>
      <c r="C114" s="140" t="s">
        <v>6458</v>
      </c>
      <c r="D114" s="140" t="s">
        <v>6318</v>
      </c>
      <c r="E114" s="140" t="s">
        <v>6323</v>
      </c>
      <c r="F114" s="140" t="s">
        <v>6459</v>
      </c>
      <c r="G114" s="141" t="s">
        <v>6311</v>
      </c>
      <c r="H114" s="140" t="s">
        <v>6312</v>
      </c>
      <c r="I114" s="140" t="s">
        <v>6313</v>
      </c>
      <c r="J114" s="140" t="s">
        <v>6319</v>
      </c>
      <c r="K114" s="140" t="s">
        <v>6320</v>
      </c>
    </row>
    <row r="115">
      <c r="A115" s="140" t="s">
        <v>5713</v>
      </c>
      <c r="B115" s="140">
        <v>200293.0</v>
      </c>
      <c r="C115" s="140" t="s">
        <v>6460</v>
      </c>
      <c r="D115" s="140" t="s">
        <v>6318</v>
      </c>
      <c r="E115" s="140" t="s">
        <v>6323</v>
      </c>
      <c r="F115" s="140" t="s">
        <v>6459</v>
      </c>
      <c r="G115" s="141" t="s">
        <v>6311</v>
      </c>
      <c r="H115" s="140" t="s">
        <v>6312</v>
      </c>
      <c r="I115" s="140" t="s">
        <v>6313</v>
      </c>
      <c r="J115" s="140" t="s">
        <v>6319</v>
      </c>
      <c r="K115" s="140" t="s">
        <v>6320</v>
      </c>
    </row>
    <row r="116">
      <c r="A116" s="140" t="s">
        <v>5713</v>
      </c>
      <c r="B116" s="140" t="s">
        <v>6461</v>
      </c>
      <c r="C116" s="140" t="s">
        <v>6462</v>
      </c>
      <c r="D116" s="140" t="s">
        <v>6318</v>
      </c>
      <c r="E116" s="140" t="s">
        <v>6323</v>
      </c>
      <c r="F116" s="140" t="s">
        <v>6463</v>
      </c>
      <c r="G116" s="141" t="s">
        <v>6311</v>
      </c>
      <c r="H116" s="140" t="s">
        <v>6330</v>
      </c>
      <c r="I116" s="140" t="s">
        <v>6313</v>
      </c>
      <c r="J116" s="140" t="s">
        <v>6319</v>
      </c>
      <c r="K116" s="140" t="s">
        <v>6320</v>
      </c>
    </row>
    <row r="117">
      <c r="A117" s="140" t="s">
        <v>5713</v>
      </c>
      <c r="B117" s="140" t="s">
        <v>6464</v>
      </c>
      <c r="C117" s="140" t="s">
        <v>6462</v>
      </c>
      <c r="D117" s="140" t="s">
        <v>6318</v>
      </c>
      <c r="E117" s="140" t="s">
        <v>6323</v>
      </c>
      <c r="F117" s="140" t="s">
        <v>6463</v>
      </c>
      <c r="G117" s="141" t="s">
        <v>6311</v>
      </c>
      <c r="H117" s="140" t="s">
        <v>6330</v>
      </c>
      <c r="I117" s="140" t="s">
        <v>6313</v>
      </c>
      <c r="J117" s="140" t="s">
        <v>6319</v>
      </c>
      <c r="K117" s="140" t="s">
        <v>6320</v>
      </c>
    </row>
    <row r="118">
      <c r="A118" s="140" t="s">
        <v>5713</v>
      </c>
      <c r="B118" s="140" t="s">
        <v>6465</v>
      </c>
      <c r="C118" s="140" t="s">
        <v>6462</v>
      </c>
      <c r="D118" s="140" t="s">
        <v>6318</v>
      </c>
      <c r="E118" s="140" t="s">
        <v>6323</v>
      </c>
      <c r="F118" s="140" t="s">
        <v>6463</v>
      </c>
      <c r="G118" s="141" t="s">
        <v>6311</v>
      </c>
      <c r="H118" s="140" t="s">
        <v>6330</v>
      </c>
      <c r="I118" s="140" t="s">
        <v>6313</v>
      </c>
      <c r="J118" s="140" t="s">
        <v>6319</v>
      </c>
      <c r="K118" s="140" t="s">
        <v>6320</v>
      </c>
    </row>
    <row r="119">
      <c r="A119" s="140" t="s">
        <v>5713</v>
      </c>
      <c r="B119" s="140" t="s">
        <v>6466</v>
      </c>
      <c r="C119" s="140" t="s">
        <v>6462</v>
      </c>
      <c r="D119" s="140" t="s">
        <v>6318</v>
      </c>
      <c r="E119" s="140" t="s">
        <v>6323</v>
      </c>
      <c r="F119" s="140" t="s">
        <v>6463</v>
      </c>
      <c r="G119" s="141" t="s">
        <v>6311</v>
      </c>
      <c r="H119" s="140" t="s">
        <v>6330</v>
      </c>
      <c r="I119" s="140" t="s">
        <v>6313</v>
      </c>
      <c r="J119" s="140" t="s">
        <v>6319</v>
      </c>
      <c r="K119" s="140" t="s">
        <v>6320</v>
      </c>
    </row>
    <row r="120">
      <c r="A120" s="140" t="s">
        <v>5713</v>
      </c>
      <c r="B120" s="140">
        <v>158120.0</v>
      </c>
      <c r="C120" s="140" t="s">
        <v>6467</v>
      </c>
      <c r="D120" s="140" t="s">
        <v>6318</v>
      </c>
      <c r="E120" s="140" t="s">
        <v>6323</v>
      </c>
      <c r="F120" s="140" t="s">
        <v>6463</v>
      </c>
      <c r="G120" s="141" t="s">
        <v>6311</v>
      </c>
      <c r="H120" s="140" t="s">
        <v>6312</v>
      </c>
      <c r="I120" s="140" t="s">
        <v>6313</v>
      </c>
      <c r="J120" s="140" t="s">
        <v>6319</v>
      </c>
      <c r="K120" s="140" t="s">
        <v>6320</v>
      </c>
    </row>
    <row r="121">
      <c r="A121" s="140" t="s">
        <v>5713</v>
      </c>
      <c r="B121" s="140">
        <v>126505.0</v>
      </c>
      <c r="C121" s="140" t="s">
        <v>6468</v>
      </c>
      <c r="D121" s="140" t="s">
        <v>6318</v>
      </c>
      <c r="E121" s="140" t="s">
        <v>6323</v>
      </c>
      <c r="F121" s="140" t="s">
        <v>6463</v>
      </c>
      <c r="G121" s="141" t="s">
        <v>6311</v>
      </c>
      <c r="H121" s="140" t="s">
        <v>6312</v>
      </c>
      <c r="I121" s="140" t="s">
        <v>6313</v>
      </c>
      <c r="J121" s="140" t="s">
        <v>6319</v>
      </c>
      <c r="K121" s="140" t="s">
        <v>6320</v>
      </c>
    </row>
    <row r="122">
      <c r="A122" s="140" t="s">
        <v>5713</v>
      </c>
      <c r="B122" s="140" t="s">
        <v>6469</v>
      </c>
      <c r="C122" s="140" t="s">
        <v>6470</v>
      </c>
      <c r="D122" s="140" t="s">
        <v>6318</v>
      </c>
      <c r="E122" s="140" t="s">
        <v>6323</v>
      </c>
      <c r="F122" s="140" t="s">
        <v>6463</v>
      </c>
      <c r="G122" s="141" t="s">
        <v>6311</v>
      </c>
      <c r="H122" s="140" t="s">
        <v>6330</v>
      </c>
      <c r="I122" s="140" t="s">
        <v>6313</v>
      </c>
      <c r="J122" s="140" t="s">
        <v>6319</v>
      </c>
      <c r="K122" s="140" t="s">
        <v>6320</v>
      </c>
    </row>
    <row r="123">
      <c r="A123" s="140" t="s">
        <v>5713</v>
      </c>
      <c r="B123" s="140" t="s">
        <v>6471</v>
      </c>
      <c r="C123" s="140" t="s">
        <v>6470</v>
      </c>
      <c r="D123" s="140" t="s">
        <v>6318</v>
      </c>
      <c r="E123" s="140" t="s">
        <v>6323</v>
      </c>
      <c r="F123" s="140" t="s">
        <v>6463</v>
      </c>
      <c r="G123" s="141" t="s">
        <v>6311</v>
      </c>
      <c r="H123" s="140" t="s">
        <v>6312</v>
      </c>
      <c r="I123" s="140" t="s">
        <v>6313</v>
      </c>
      <c r="J123" s="140" t="s">
        <v>6319</v>
      </c>
      <c r="K123" s="140" t="s">
        <v>6320</v>
      </c>
    </row>
    <row r="124">
      <c r="A124" s="140" t="s">
        <v>5713</v>
      </c>
      <c r="B124" s="140" t="s">
        <v>6472</v>
      </c>
      <c r="C124" s="140" t="s">
        <v>6470</v>
      </c>
      <c r="D124" s="140" t="s">
        <v>6318</v>
      </c>
      <c r="E124" s="140" t="s">
        <v>6323</v>
      </c>
      <c r="F124" s="140" t="s">
        <v>6463</v>
      </c>
      <c r="G124" s="141" t="s">
        <v>6311</v>
      </c>
      <c r="H124" s="140" t="s">
        <v>6312</v>
      </c>
      <c r="I124" s="140" t="s">
        <v>6313</v>
      </c>
      <c r="J124" s="140" t="s">
        <v>6319</v>
      </c>
      <c r="K124" s="140" t="s">
        <v>6320</v>
      </c>
    </row>
    <row r="125">
      <c r="A125" s="140" t="s">
        <v>5713</v>
      </c>
      <c r="B125" s="140" t="s">
        <v>6095</v>
      </c>
      <c r="C125" s="140" t="s">
        <v>6473</v>
      </c>
      <c r="D125" s="140" t="s">
        <v>6318</v>
      </c>
      <c r="E125" s="140" t="s">
        <v>6323</v>
      </c>
      <c r="F125" s="140" t="s">
        <v>6463</v>
      </c>
      <c r="G125" s="141" t="s">
        <v>6311</v>
      </c>
      <c r="H125" s="140" t="s">
        <v>6312</v>
      </c>
      <c r="I125" s="140" t="s">
        <v>6313</v>
      </c>
      <c r="J125" s="140" t="s">
        <v>6319</v>
      </c>
      <c r="K125" s="140" t="s">
        <v>6320</v>
      </c>
    </row>
    <row r="126">
      <c r="A126" s="140" t="s">
        <v>5713</v>
      </c>
      <c r="B126" s="140" t="s">
        <v>5949</v>
      </c>
      <c r="C126" s="140" t="s">
        <v>6474</v>
      </c>
      <c r="D126" s="140" t="s">
        <v>6318</v>
      </c>
      <c r="E126" s="140" t="s">
        <v>6323</v>
      </c>
      <c r="F126" s="140" t="s">
        <v>6463</v>
      </c>
      <c r="G126" s="141" t="s">
        <v>6311</v>
      </c>
      <c r="H126" s="140" t="s">
        <v>6312</v>
      </c>
      <c r="I126" s="140" t="s">
        <v>6313</v>
      </c>
      <c r="J126" s="140" t="s">
        <v>6319</v>
      </c>
      <c r="K126" s="140" t="s">
        <v>6320</v>
      </c>
    </row>
    <row r="127">
      <c r="A127" s="140" t="s">
        <v>5713</v>
      </c>
      <c r="B127" s="140">
        <v>190675.0</v>
      </c>
      <c r="C127" s="140" t="s">
        <v>6475</v>
      </c>
      <c r="D127" s="140" t="s">
        <v>6318</v>
      </c>
      <c r="E127" s="140" t="s">
        <v>6142</v>
      </c>
      <c r="F127" s="140" t="s">
        <v>6476</v>
      </c>
      <c r="G127" s="141" t="s">
        <v>6311</v>
      </c>
      <c r="H127" s="140" t="s">
        <v>6330</v>
      </c>
      <c r="I127" s="140" t="s">
        <v>6313</v>
      </c>
      <c r="J127" s="140" t="s">
        <v>6319</v>
      </c>
      <c r="K127" s="140" t="s">
        <v>6320</v>
      </c>
    </row>
    <row r="128">
      <c r="A128" s="140" t="s">
        <v>5713</v>
      </c>
      <c r="B128" s="140">
        <v>182433.0</v>
      </c>
      <c r="C128" s="140" t="s">
        <v>6477</v>
      </c>
      <c r="D128" s="140" t="s">
        <v>6318</v>
      </c>
      <c r="E128" s="140" t="s">
        <v>6142</v>
      </c>
      <c r="F128" s="140" t="s">
        <v>6476</v>
      </c>
      <c r="G128" s="141" t="s">
        <v>6311</v>
      </c>
      <c r="H128" s="140" t="s">
        <v>6330</v>
      </c>
      <c r="I128" s="140" t="s">
        <v>6313</v>
      </c>
      <c r="J128" s="140" t="s">
        <v>6319</v>
      </c>
      <c r="K128" s="140" t="s">
        <v>6320</v>
      </c>
    </row>
    <row r="129">
      <c r="A129" s="140" t="s">
        <v>5713</v>
      </c>
      <c r="B129" s="140">
        <v>123174.0</v>
      </c>
      <c r="C129" s="140" t="s">
        <v>6478</v>
      </c>
      <c r="D129" s="140" t="s">
        <v>6318</v>
      </c>
      <c r="E129" s="140" t="s">
        <v>6142</v>
      </c>
      <c r="F129" s="140" t="s">
        <v>6476</v>
      </c>
      <c r="G129" s="141" t="s">
        <v>6311</v>
      </c>
      <c r="H129" s="140" t="s">
        <v>6330</v>
      </c>
      <c r="I129" s="140" t="s">
        <v>6313</v>
      </c>
      <c r="J129" s="140" t="s">
        <v>6319</v>
      </c>
      <c r="K129" s="140" t="s">
        <v>6320</v>
      </c>
    </row>
    <row r="130">
      <c r="A130" s="140" t="s">
        <v>5713</v>
      </c>
      <c r="B130" s="140" t="s">
        <v>3760</v>
      </c>
      <c r="C130" s="140" t="s">
        <v>6479</v>
      </c>
      <c r="D130" s="140" t="s">
        <v>6318</v>
      </c>
      <c r="E130" s="140" t="s">
        <v>6142</v>
      </c>
      <c r="F130" s="140" t="s">
        <v>5760</v>
      </c>
      <c r="G130" s="141" t="s">
        <v>6311</v>
      </c>
      <c r="H130" s="140" t="s">
        <v>6312</v>
      </c>
      <c r="I130" s="140" t="s">
        <v>6313</v>
      </c>
      <c r="J130" s="140" t="s">
        <v>6319</v>
      </c>
      <c r="K130" s="140" t="s">
        <v>6320</v>
      </c>
    </row>
    <row r="131">
      <c r="A131" s="140" t="s">
        <v>5713</v>
      </c>
      <c r="B131" s="140">
        <v>140279.0</v>
      </c>
      <c r="C131" s="140" t="s">
        <v>6480</v>
      </c>
      <c r="D131" s="140" t="s">
        <v>6318</v>
      </c>
      <c r="E131" s="140" t="s">
        <v>5721</v>
      </c>
      <c r="F131" s="140" t="s">
        <v>6481</v>
      </c>
      <c r="G131" s="141" t="s">
        <v>6311</v>
      </c>
      <c r="H131" s="140" t="s">
        <v>6312</v>
      </c>
      <c r="I131" s="140" t="s">
        <v>6313</v>
      </c>
      <c r="J131" s="140" t="s">
        <v>6319</v>
      </c>
      <c r="K131" s="140" t="s">
        <v>6320</v>
      </c>
    </row>
    <row r="132">
      <c r="A132" s="140" t="s">
        <v>5713</v>
      </c>
      <c r="B132" s="140">
        <v>179123.0</v>
      </c>
      <c r="C132" s="140" t="s">
        <v>6482</v>
      </c>
      <c r="D132" s="140" t="s">
        <v>6318</v>
      </c>
      <c r="E132" s="140" t="s">
        <v>5721</v>
      </c>
      <c r="F132" s="140" t="s">
        <v>6481</v>
      </c>
      <c r="G132" s="141" t="s">
        <v>6311</v>
      </c>
      <c r="H132" s="140" t="s">
        <v>6312</v>
      </c>
      <c r="I132" s="140" t="s">
        <v>6313</v>
      </c>
      <c r="J132" s="140" t="s">
        <v>6319</v>
      </c>
      <c r="K132" s="140" t="s">
        <v>6320</v>
      </c>
    </row>
    <row r="133">
      <c r="A133" s="140" t="s">
        <v>5713</v>
      </c>
      <c r="B133" s="140" t="s">
        <v>6003</v>
      </c>
      <c r="C133" s="140" t="s">
        <v>6483</v>
      </c>
      <c r="D133" s="140" t="s">
        <v>6318</v>
      </c>
      <c r="E133" s="140" t="s">
        <v>5721</v>
      </c>
      <c r="F133" s="140" t="s">
        <v>6481</v>
      </c>
      <c r="G133" s="141" t="s">
        <v>6311</v>
      </c>
      <c r="H133" s="140" t="s">
        <v>6330</v>
      </c>
      <c r="I133" s="140" t="s">
        <v>6313</v>
      </c>
      <c r="J133" s="140" t="s">
        <v>6319</v>
      </c>
      <c r="K133" s="140" t="s">
        <v>6320</v>
      </c>
    </row>
    <row r="134">
      <c r="A134" s="140" t="s">
        <v>5713</v>
      </c>
      <c r="B134" s="140" t="s">
        <v>6016</v>
      </c>
      <c r="C134" s="140" t="s">
        <v>6484</v>
      </c>
      <c r="D134" s="140" t="s">
        <v>6318</v>
      </c>
      <c r="E134" s="140" t="s">
        <v>5721</v>
      </c>
      <c r="F134" s="140" t="s">
        <v>6481</v>
      </c>
      <c r="G134" s="141" t="s">
        <v>6311</v>
      </c>
      <c r="H134" s="140" t="s">
        <v>6330</v>
      </c>
      <c r="I134" s="140" t="s">
        <v>6313</v>
      </c>
      <c r="J134" s="140" t="s">
        <v>6319</v>
      </c>
      <c r="K134" s="140" t="s">
        <v>6320</v>
      </c>
    </row>
    <row r="135">
      <c r="A135" s="140" t="s">
        <v>5713</v>
      </c>
      <c r="B135" s="140" t="s">
        <v>6029</v>
      </c>
      <c r="C135" s="140" t="s">
        <v>6485</v>
      </c>
      <c r="D135" s="140" t="s">
        <v>6318</v>
      </c>
      <c r="E135" s="140" t="s">
        <v>5721</v>
      </c>
      <c r="F135" s="140" t="s">
        <v>6481</v>
      </c>
      <c r="G135" s="141" t="s">
        <v>6311</v>
      </c>
      <c r="H135" s="140" t="s">
        <v>6330</v>
      </c>
      <c r="I135" s="140" t="s">
        <v>6313</v>
      </c>
      <c r="J135" s="140" t="s">
        <v>6319</v>
      </c>
      <c r="K135" s="140" t="s">
        <v>6320</v>
      </c>
    </row>
    <row r="136">
      <c r="A136" s="140" t="s">
        <v>5713</v>
      </c>
      <c r="B136" s="140">
        <v>131333.0</v>
      </c>
      <c r="C136" s="140" t="s">
        <v>6486</v>
      </c>
      <c r="D136" s="140" t="s">
        <v>6318</v>
      </c>
      <c r="E136" s="140" t="s">
        <v>5721</v>
      </c>
      <c r="F136" s="140" t="s">
        <v>6481</v>
      </c>
      <c r="G136" s="141" t="s">
        <v>6311</v>
      </c>
      <c r="H136" s="140" t="s">
        <v>6312</v>
      </c>
      <c r="I136" s="140" t="s">
        <v>6313</v>
      </c>
      <c r="J136" s="140" t="s">
        <v>6319</v>
      </c>
      <c r="K136" s="140" t="s">
        <v>6320</v>
      </c>
    </row>
    <row r="137">
      <c r="A137" s="140" t="s">
        <v>5713</v>
      </c>
      <c r="B137" s="140">
        <v>157209.0</v>
      </c>
      <c r="C137" s="140" t="s">
        <v>6487</v>
      </c>
      <c r="D137" s="140" t="s">
        <v>6318</v>
      </c>
      <c r="E137" s="140" t="s">
        <v>5721</v>
      </c>
      <c r="F137" s="140" t="s">
        <v>6481</v>
      </c>
      <c r="G137" s="141" t="s">
        <v>6311</v>
      </c>
      <c r="H137" s="140" t="s">
        <v>6312</v>
      </c>
      <c r="I137" s="140" t="s">
        <v>6313</v>
      </c>
      <c r="J137" s="140" t="s">
        <v>6319</v>
      </c>
      <c r="K137" s="140" t="s">
        <v>6320</v>
      </c>
    </row>
    <row r="138">
      <c r="A138" s="140" t="s">
        <v>5713</v>
      </c>
      <c r="B138" s="140">
        <v>179106.0</v>
      </c>
      <c r="C138" s="140" t="s">
        <v>6488</v>
      </c>
      <c r="D138" s="140" t="s">
        <v>6318</v>
      </c>
      <c r="E138" s="140" t="s">
        <v>5721</v>
      </c>
      <c r="F138" s="140" t="s">
        <v>6481</v>
      </c>
      <c r="G138" s="141" t="s">
        <v>6311</v>
      </c>
      <c r="H138" s="140" t="s">
        <v>6330</v>
      </c>
      <c r="I138" s="140" t="s">
        <v>6313</v>
      </c>
      <c r="J138" s="140" t="s">
        <v>6319</v>
      </c>
      <c r="K138" s="140" t="s">
        <v>6320</v>
      </c>
    </row>
    <row r="139">
      <c r="A139" s="140" t="s">
        <v>5713</v>
      </c>
      <c r="B139" s="140">
        <v>166602.0</v>
      </c>
      <c r="C139" s="140" t="s">
        <v>6489</v>
      </c>
      <c r="D139" s="140" t="s">
        <v>6318</v>
      </c>
      <c r="E139" s="140" t="s">
        <v>5721</v>
      </c>
      <c r="F139" s="140" t="s">
        <v>6481</v>
      </c>
      <c r="G139" s="141" t="s">
        <v>6311</v>
      </c>
      <c r="H139" s="140" t="s">
        <v>6330</v>
      </c>
      <c r="I139" s="140" t="s">
        <v>6313</v>
      </c>
      <c r="J139" s="140" t="s">
        <v>6319</v>
      </c>
      <c r="K139" s="140" t="s">
        <v>6320</v>
      </c>
    </row>
    <row r="140">
      <c r="A140" s="140" t="s">
        <v>5713</v>
      </c>
      <c r="B140" s="140">
        <v>202230.0</v>
      </c>
      <c r="C140" s="140" t="s">
        <v>6490</v>
      </c>
      <c r="D140" s="140" t="s">
        <v>6318</v>
      </c>
      <c r="E140" s="140" t="s">
        <v>5721</v>
      </c>
      <c r="F140" s="140" t="s">
        <v>6365</v>
      </c>
      <c r="G140" s="141" t="s">
        <v>6311</v>
      </c>
      <c r="H140" s="140" t="s">
        <v>6330</v>
      </c>
      <c r="I140" s="140" t="s">
        <v>6313</v>
      </c>
      <c r="J140" s="140" t="s">
        <v>6319</v>
      </c>
      <c r="K140" s="140" t="s">
        <v>6320</v>
      </c>
    </row>
    <row r="141">
      <c r="A141" s="140" t="s">
        <v>5713</v>
      </c>
      <c r="B141" s="140">
        <v>166689.0</v>
      </c>
      <c r="C141" s="140" t="s">
        <v>6491</v>
      </c>
      <c r="D141" s="140" t="s">
        <v>6318</v>
      </c>
      <c r="E141" s="140" t="s">
        <v>5721</v>
      </c>
      <c r="F141" s="140" t="s">
        <v>6492</v>
      </c>
      <c r="G141" s="141" t="s">
        <v>6311</v>
      </c>
      <c r="H141" s="140" t="s">
        <v>6312</v>
      </c>
      <c r="I141" s="140" t="s">
        <v>6313</v>
      </c>
      <c r="J141" s="140" t="s">
        <v>6319</v>
      </c>
      <c r="K141" s="140" t="s">
        <v>6320</v>
      </c>
    </row>
    <row r="142">
      <c r="A142" s="140" t="s">
        <v>5713</v>
      </c>
      <c r="B142" s="140">
        <v>179108.0</v>
      </c>
      <c r="C142" s="140" t="s">
        <v>6493</v>
      </c>
      <c r="D142" s="140" t="s">
        <v>6318</v>
      </c>
      <c r="E142" s="140" t="s">
        <v>5721</v>
      </c>
      <c r="F142" s="140" t="s">
        <v>6492</v>
      </c>
      <c r="G142" s="141" t="s">
        <v>6311</v>
      </c>
      <c r="H142" s="140" t="s">
        <v>6312</v>
      </c>
      <c r="I142" s="140" t="s">
        <v>6313</v>
      </c>
      <c r="J142" s="140" t="s">
        <v>6319</v>
      </c>
      <c r="K142" s="140" t="s">
        <v>6320</v>
      </c>
    </row>
    <row r="143">
      <c r="A143" s="140" t="s">
        <v>5713</v>
      </c>
      <c r="B143" s="140">
        <v>157098.0</v>
      </c>
      <c r="C143" s="140" t="s">
        <v>6494</v>
      </c>
      <c r="D143" s="140" t="s">
        <v>6318</v>
      </c>
      <c r="E143" s="140" t="s">
        <v>5721</v>
      </c>
      <c r="F143" s="140" t="s">
        <v>6495</v>
      </c>
      <c r="G143" s="141" t="s">
        <v>6311</v>
      </c>
      <c r="H143" s="140" t="s">
        <v>6330</v>
      </c>
      <c r="I143" s="140" t="s">
        <v>6313</v>
      </c>
      <c r="J143" s="140" t="s">
        <v>6319</v>
      </c>
      <c r="K143" s="140" t="s">
        <v>6320</v>
      </c>
    </row>
    <row r="144">
      <c r="A144" s="140" t="s">
        <v>5713</v>
      </c>
      <c r="B144" s="140">
        <v>184933.0</v>
      </c>
      <c r="C144" s="140" t="s">
        <v>6496</v>
      </c>
      <c r="D144" s="140" t="s">
        <v>6318</v>
      </c>
      <c r="E144" s="140" t="s">
        <v>5721</v>
      </c>
      <c r="F144" s="140" t="s">
        <v>6369</v>
      </c>
      <c r="G144" s="141" t="s">
        <v>6311</v>
      </c>
      <c r="H144" s="140" t="s">
        <v>6330</v>
      </c>
      <c r="I144" s="140" t="s">
        <v>6313</v>
      </c>
      <c r="J144" s="140" t="s">
        <v>6319</v>
      </c>
      <c r="K144" s="140" t="s">
        <v>6320</v>
      </c>
    </row>
    <row r="145">
      <c r="A145" s="140" t="s">
        <v>5713</v>
      </c>
      <c r="B145" s="140">
        <v>157210.0</v>
      </c>
      <c r="C145" s="140" t="s">
        <v>6497</v>
      </c>
      <c r="D145" s="140" t="s">
        <v>6318</v>
      </c>
      <c r="E145" s="140" t="s">
        <v>5721</v>
      </c>
      <c r="F145" s="140" t="s">
        <v>5792</v>
      </c>
      <c r="G145" s="141" t="s">
        <v>6311</v>
      </c>
      <c r="H145" s="140" t="s">
        <v>6312</v>
      </c>
      <c r="I145" s="140" t="s">
        <v>6313</v>
      </c>
      <c r="J145" s="140" t="s">
        <v>6319</v>
      </c>
      <c r="K145" s="140" t="s">
        <v>6320</v>
      </c>
    </row>
    <row r="146">
      <c r="A146" s="140" t="s">
        <v>5713</v>
      </c>
      <c r="B146" s="140">
        <v>179130.0</v>
      </c>
      <c r="C146" s="140" t="s">
        <v>6498</v>
      </c>
      <c r="D146" s="140" t="s">
        <v>6318</v>
      </c>
      <c r="E146" s="140" t="s">
        <v>5721</v>
      </c>
      <c r="F146" s="140" t="s">
        <v>5792</v>
      </c>
      <c r="G146" s="141" t="s">
        <v>6311</v>
      </c>
      <c r="H146" s="140" t="s">
        <v>6312</v>
      </c>
      <c r="I146" s="140" t="s">
        <v>6313</v>
      </c>
      <c r="J146" s="140" t="s">
        <v>6319</v>
      </c>
      <c r="K146" s="140" t="s">
        <v>6320</v>
      </c>
    </row>
    <row r="147">
      <c r="A147" s="140" t="s">
        <v>5713</v>
      </c>
      <c r="B147" s="140">
        <v>102411.0</v>
      </c>
      <c r="C147" s="140" t="s">
        <v>6499</v>
      </c>
      <c r="D147" s="140" t="s">
        <v>6318</v>
      </c>
      <c r="E147" s="140" t="s">
        <v>5721</v>
      </c>
      <c r="F147" s="140" t="s">
        <v>5792</v>
      </c>
      <c r="G147" s="141" t="s">
        <v>6311</v>
      </c>
      <c r="H147" s="140" t="s">
        <v>6330</v>
      </c>
      <c r="I147" s="140" t="s">
        <v>6313</v>
      </c>
      <c r="J147" s="140" t="s">
        <v>6319</v>
      </c>
      <c r="K147" s="140" t="s">
        <v>6320</v>
      </c>
    </row>
    <row r="148">
      <c r="A148" s="140" t="s">
        <v>5713</v>
      </c>
      <c r="B148" s="140">
        <v>185060.0</v>
      </c>
      <c r="C148" s="140" t="s">
        <v>6500</v>
      </c>
      <c r="D148" s="140" t="s">
        <v>6318</v>
      </c>
      <c r="E148" s="140" t="s">
        <v>5721</v>
      </c>
      <c r="F148" s="140" t="s">
        <v>5792</v>
      </c>
      <c r="G148" s="141" t="s">
        <v>6311</v>
      </c>
      <c r="H148" s="140" t="s">
        <v>6312</v>
      </c>
      <c r="I148" s="140" t="s">
        <v>6313</v>
      </c>
      <c r="J148" s="140" t="s">
        <v>6319</v>
      </c>
      <c r="K148" s="140" t="s">
        <v>6320</v>
      </c>
    </row>
    <row r="149">
      <c r="A149" s="140" t="s">
        <v>5713</v>
      </c>
      <c r="B149" s="140" t="s">
        <v>6501</v>
      </c>
      <c r="C149" s="140" t="s">
        <v>6502</v>
      </c>
      <c r="D149" s="140" t="s">
        <v>6318</v>
      </c>
      <c r="E149" s="140" t="s">
        <v>5721</v>
      </c>
      <c r="F149" s="140" t="s">
        <v>5792</v>
      </c>
      <c r="G149" s="141" t="s">
        <v>6311</v>
      </c>
      <c r="H149" s="140" t="s">
        <v>6312</v>
      </c>
      <c r="I149" s="140" t="s">
        <v>6313</v>
      </c>
      <c r="J149" s="140" t="s">
        <v>6319</v>
      </c>
      <c r="K149" s="140" t="s">
        <v>6320</v>
      </c>
    </row>
    <row r="150">
      <c r="A150" s="140" t="s">
        <v>5713</v>
      </c>
      <c r="B150" s="140">
        <v>179087.0</v>
      </c>
      <c r="C150" s="140" t="s">
        <v>6503</v>
      </c>
      <c r="D150" s="140" t="s">
        <v>6318</v>
      </c>
      <c r="E150" s="140" t="s">
        <v>5721</v>
      </c>
      <c r="F150" s="140" t="s">
        <v>5792</v>
      </c>
      <c r="G150" s="141" t="s">
        <v>6311</v>
      </c>
      <c r="H150" s="140" t="s">
        <v>6312</v>
      </c>
      <c r="I150" s="140" t="s">
        <v>6313</v>
      </c>
      <c r="J150" s="140" t="s">
        <v>6319</v>
      </c>
      <c r="K150" s="140" t="s">
        <v>6320</v>
      </c>
    </row>
    <row r="151">
      <c r="A151" s="140" t="s">
        <v>5713</v>
      </c>
      <c r="B151" s="140">
        <v>179073.0</v>
      </c>
      <c r="C151" s="140" t="s">
        <v>6504</v>
      </c>
      <c r="D151" s="140" t="s">
        <v>6318</v>
      </c>
      <c r="E151" s="140" t="s">
        <v>5721</v>
      </c>
      <c r="F151" s="140" t="s">
        <v>5792</v>
      </c>
      <c r="G151" s="141" t="s">
        <v>6311</v>
      </c>
      <c r="H151" s="140" t="s">
        <v>6312</v>
      </c>
      <c r="I151" s="140" t="s">
        <v>6313</v>
      </c>
      <c r="J151" s="140" t="s">
        <v>6319</v>
      </c>
      <c r="K151" s="140" t="s">
        <v>6320</v>
      </c>
    </row>
    <row r="152">
      <c r="A152" s="140" t="s">
        <v>5713</v>
      </c>
      <c r="B152" s="140">
        <v>197767.0</v>
      </c>
      <c r="C152" s="140" t="s">
        <v>6505</v>
      </c>
      <c r="D152" s="140" t="s">
        <v>6318</v>
      </c>
      <c r="E152" s="140" t="s">
        <v>5721</v>
      </c>
      <c r="F152" s="140" t="s">
        <v>5792</v>
      </c>
      <c r="G152" s="141" t="s">
        <v>6311</v>
      </c>
      <c r="H152" s="140" t="s">
        <v>6312</v>
      </c>
      <c r="I152" s="140" t="s">
        <v>6313</v>
      </c>
      <c r="J152" s="140" t="s">
        <v>6319</v>
      </c>
      <c r="K152" s="140" t="s">
        <v>6320</v>
      </c>
    </row>
    <row r="153">
      <c r="A153" s="140" t="s">
        <v>5713</v>
      </c>
      <c r="B153" s="140">
        <v>197722.0</v>
      </c>
      <c r="C153" s="140" t="s">
        <v>6506</v>
      </c>
      <c r="D153" s="140" t="s">
        <v>6318</v>
      </c>
      <c r="E153" s="140" t="s">
        <v>5721</v>
      </c>
      <c r="F153" s="140" t="s">
        <v>5792</v>
      </c>
      <c r="G153" s="141" t="s">
        <v>6311</v>
      </c>
      <c r="H153" s="140" t="s">
        <v>6312</v>
      </c>
      <c r="I153" s="140" t="s">
        <v>6313</v>
      </c>
      <c r="J153" s="140" t="s">
        <v>6319</v>
      </c>
      <c r="K153" s="140" t="s">
        <v>6320</v>
      </c>
    </row>
    <row r="154">
      <c r="A154" s="140" t="s">
        <v>5713</v>
      </c>
      <c r="B154" s="140" t="s">
        <v>5981</v>
      </c>
      <c r="C154" s="140" t="s">
        <v>6507</v>
      </c>
      <c r="D154" s="140" t="s">
        <v>6318</v>
      </c>
      <c r="E154" s="140" t="s">
        <v>5721</v>
      </c>
      <c r="F154" s="140" t="s">
        <v>5792</v>
      </c>
      <c r="G154" s="141" t="s">
        <v>6311</v>
      </c>
      <c r="H154" s="140" t="s">
        <v>6312</v>
      </c>
      <c r="I154" s="140" t="s">
        <v>6313</v>
      </c>
      <c r="J154" s="140" t="s">
        <v>6319</v>
      </c>
      <c r="K154" s="140" t="s">
        <v>6320</v>
      </c>
    </row>
    <row r="155">
      <c r="A155" s="140" t="s">
        <v>5713</v>
      </c>
      <c r="B155" s="140" t="s">
        <v>5975</v>
      </c>
      <c r="C155" s="140" t="s">
        <v>6508</v>
      </c>
      <c r="D155" s="140" t="s">
        <v>6318</v>
      </c>
      <c r="E155" s="140" t="s">
        <v>5721</v>
      </c>
      <c r="F155" s="140" t="s">
        <v>5792</v>
      </c>
      <c r="G155" s="141" t="s">
        <v>6311</v>
      </c>
      <c r="H155" s="140" t="s">
        <v>6312</v>
      </c>
      <c r="I155" s="140" t="s">
        <v>6313</v>
      </c>
      <c r="J155" s="140" t="s">
        <v>6319</v>
      </c>
      <c r="K155" s="140" t="s">
        <v>6320</v>
      </c>
    </row>
    <row r="156">
      <c r="A156" s="140" t="s">
        <v>5713</v>
      </c>
      <c r="B156" s="140" t="s">
        <v>6136</v>
      </c>
      <c r="C156" s="140" t="s">
        <v>6509</v>
      </c>
      <c r="D156" s="140" t="s">
        <v>6318</v>
      </c>
      <c r="E156" s="140" t="s">
        <v>5721</v>
      </c>
      <c r="F156" s="140" t="s">
        <v>5792</v>
      </c>
      <c r="G156" s="141" t="s">
        <v>6311</v>
      </c>
      <c r="H156" s="140" t="s">
        <v>6312</v>
      </c>
      <c r="I156" s="140" t="s">
        <v>6313</v>
      </c>
      <c r="J156" s="140" t="s">
        <v>6319</v>
      </c>
      <c r="K156" s="140" t="s">
        <v>6320</v>
      </c>
    </row>
    <row r="157">
      <c r="A157" s="140" t="s">
        <v>5713</v>
      </c>
      <c r="B157" s="140" t="s">
        <v>6510</v>
      </c>
      <c r="C157" s="140" t="s">
        <v>6511</v>
      </c>
      <c r="D157" s="140" t="s">
        <v>6318</v>
      </c>
      <c r="E157" s="140" t="s">
        <v>5721</v>
      </c>
      <c r="F157" s="140" t="s">
        <v>5792</v>
      </c>
      <c r="G157" s="141" t="s">
        <v>6311</v>
      </c>
      <c r="H157" s="140" t="s">
        <v>6312</v>
      </c>
      <c r="I157" s="140" t="s">
        <v>6313</v>
      </c>
      <c r="J157" s="140" t="s">
        <v>6319</v>
      </c>
      <c r="K157" s="140" t="s">
        <v>6320</v>
      </c>
    </row>
    <row r="158">
      <c r="A158" s="140" t="s">
        <v>5713</v>
      </c>
      <c r="B158" s="140" t="s">
        <v>6512</v>
      </c>
      <c r="C158" s="140" t="s">
        <v>6513</v>
      </c>
      <c r="D158" s="140" t="s">
        <v>6318</v>
      </c>
      <c r="E158" s="140" t="s">
        <v>5721</v>
      </c>
      <c r="F158" s="140" t="s">
        <v>6514</v>
      </c>
      <c r="G158" s="141" t="s">
        <v>6311</v>
      </c>
      <c r="H158" s="140" t="s">
        <v>6312</v>
      </c>
      <c r="I158" s="140" t="s">
        <v>6313</v>
      </c>
      <c r="J158" s="140" t="s">
        <v>6319</v>
      </c>
      <c r="K158" s="140" t="s">
        <v>6320</v>
      </c>
    </row>
    <row r="159">
      <c r="A159" s="140" t="s">
        <v>5713</v>
      </c>
      <c r="B159" s="140">
        <v>140101.0</v>
      </c>
      <c r="C159" s="140" t="s">
        <v>6515</v>
      </c>
      <c r="D159" s="140" t="s">
        <v>6318</v>
      </c>
      <c r="E159" s="140" t="s">
        <v>5721</v>
      </c>
      <c r="F159" s="140" t="s">
        <v>6514</v>
      </c>
      <c r="G159" s="141" t="s">
        <v>6311</v>
      </c>
      <c r="H159" s="140" t="s">
        <v>6330</v>
      </c>
      <c r="I159" s="140" t="s">
        <v>6313</v>
      </c>
      <c r="J159" s="140" t="s">
        <v>6319</v>
      </c>
      <c r="K159" s="140" t="s">
        <v>6320</v>
      </c>
    </row>
    <row r="160">
      <c r="A160" s="140" t="s">
        <v>5713</v>
      </c>
      <c r="B160" s="140">
        <v>166712.0</v>
      </c>
      <c r="C160" s="140" t="s">
        <v>6516</v>
      </c>
      <c r="D160" s="140" t="s">
        <v>6318</v>
      </c>
      <c r="E160" s="140" t="s">
        <v>5721</v>
      </c>
      <c r="F160" s="140" t="s">
        <v>6517</v>
      </c>
      <c r="G160" s="141" t="s">
        <v>6311</v>
      </c>
      <c r="H160" s="140" t="s">
        <v>6312</v>
      </c>
      <c r="I160" s="140" t="s">
        <v>6313</v>
      </c>
      <c r="J160" s="140" t="s">
        <v>6319</v>
      </c>
      <c r="K160" s="140" t="s">
        <v>6320</v>
      </c>
    </row>
    <row r="161">
      <c r="A161" s="140" t="s">
        <v>5713</v>
      </c>
      <c r="B161" s="140">
        <v>185062.0</v>
      </c>
      <c r="C161" s="140" t="s">
        <v>6518</v>
      </c>
      <c r="D161" s="140" t="s">
        <v>6318</v>
      </c>
      <c r="E161" s="140" t="s">
        <v>5721</v>
      </c>
      <c r="F161" s="140" t="s">
        <v>6517</v>
      </c>
      <c r="G161" s="141" t="s">
        <v>6311</v>
      </c>
      <c r="H161" s="140" t="s">
        <v>6330</v>
      </c>
      <c r="I161" s="140" t="s">
        <v>6313</v>
      </c>
      <c r="J161" s="140" t="s">
        <v>6319</v>
      </c>
      <c r="K161" s="140" t="s">
        <v>6320</v>
      </c>
    </row>
    <row r="162">
      <c r="A162" s="140" t="s">
        <v>5713</v>
      </c>
      <c r="B162" s="140">
        <v>179107.0</v>
      </c>
      <c r="C162" s="140" t="s">
        <v>6519</v>
      </c>
      <c r="D162" s="140" t="s">
        <v>6318</v>
      </c>
      <c r="E162" s="140" t="s">
        <v>5721</v>
      </c>
      <c r="F162" s="140" t="s">
        <v>6517</v>
      </c>
      <c r="G162" s="141" t="s">
        <v>6311</v>
      </c>
      <c r="H162" s="140" t="s">
        <v>6330</v>
      </c>
      <c r="I162" s="140" t="s">
        <v>6313</v>
      </c>
      <c r="J162" s="140" t="s">
        <v>6319</v>
      </c>
      <c r="K162" s="140" t="s">
        <v>6320</v>
      </c>
    </row>
    <row r="163">
      <c r="A163" s="140" t="s">
        <v>5713</v>
      </c>
      <c r="B163" s="140">
        <v>184924.0</v>
      </c>
      <c r="C163" s="140" t="s">
        <v>6520</v>
      </c>
      <c r="D163" s="140" t="s">
        <v>6318</v>
      </c>
      <c r="E163" s="140" t="s">
        <v>5721</v>
      </c>
      <c r="F163" s="140" t="s">
        <v>6517</v>
      </c>
      <c r="G163" s="141" t="s">
        <v>6311</v>
      </c>
      <c r="H163" s="140" t="s">
        <v>6330</v>
      </c>
      <c r="I163" s="140" t="s">
        <v>6313</v>
      </c>
      <c r="J163" s="140" t="s">
        <v>6319</v>
      </c>
      <c r="K163" s="140" t="s">
        <v>6320</v>
      </c>
    </row>
    <row r="164">
      <c r="A164" s="140" t="s">
        <v>5713</v>
      </c>
      <c r="B164" s="140">
        <v>179010.0</v>
      </c>
      <c r="C164" s="140" t="s">
        <v>6521</v>
      </c>
      <c r="D164" s="140" t="s">
        <v>6318</v>
      </c>
      <c r="E164" s="140" t="s">
        <v>5721</v>
      </c>
      <c r="F164" s="140" t="s">
        <v>6522</v>
      </c>
      <c r="G164" s="141" t="s">
        <v>6311</v>
      </c>
      <c r="H164" s="140" t="s">
        <v>6330</v>
      </c>
      <c r="I164" s="140" t="s">
        <v>6313</v>
      </c>
      <c r="J164" s="140" t="s">
        <v>6319</v>
      </c>
      <c r="K164" s="140" t="s">
        <v>6320</v>
      </c>
    </row>
    <row r="165">
      <c r="A165" s="140" t="s">
        <v>5713</v>
      </c>
      <c r="B165" s="140">
        <v>192954.0</v>
      </c>
      <c r="C165" s="140" t="s">
        <v>6523</v>
      </c>
      <c r="D165" s="140" t="s">
        <v>6318</v>
      </c>
      <c r="E165" s="140" t="s">
        <v>5721</v>
      </c>
      <c r="F165" s="140" t="s">
        <v>6522</v>
      </c>
      <c r="G165" s="141" t="s">
        <v>6311</v>
      </c>
      <c r="H165" s="140" t="s">
        <v>6330</v>
      </c>
      <c r="I165" s="140" t="s">
        <v>6313</v>
      </c>
      <c r="J165" s="140" t="s">
        <v>6319</v>
      </c>
      <c r="K165" s="140" t="s">
        <v>6320</v>
      </c>
    </row>
    <row r="166">
      <c r="A166" s="140" t="s">
        <v>5713</v>
      </c>
      <c r="B166" s="140" t="s">
        <v>6524</v>
      </c>
      <c r="C166" s="140" t="s">
        <v>6525</v>
      </c>
      <c r="D166" s="140" t="s">
        <v>6318</v>
      </c>
      <c r="E166" s="140" t="s">
        <v>5721</v>
      </c>
      <c r="F166" s="140" t="s">
        <v>6526</v>
      </c>
      <c r="G166" s="141" t="s">
        <v>6311</v>
      </c>
      <c r="H166" s="140" t="s">
        <v>6330</v>
      </c>
      <c r="I166" s="140" t="s">
        <v>6527</v>
      </c>
      <c r="J166" s="140" t="s">
        <v>6319</v>
      </c>
      <c r="K166" s="140" t="s">
        <v>6320</v>
      </c>
    </row>
    <row r="167">
      <c r="A167" s="140" t="s">
        <v>5713</v>
      </c>
      <c r="B167" s="140" t="s">
        <v>6528</v>
      </c>
      <c r="C167" s="140" t="s">
        <v>6529</v>
      </c>
      <c r="D167" s="140" t="s">
        <v>6318</v>
      </c>
      <c r="E167" s="140" t="s">
        <v>5721</v>
      </c>
      <c r="F167" s="140" t="s">
        <v>6526</v>
      </c>
      <c r="G167" s="141" t="s">
        <v>6311</v>
      </c>
      <c r="H167" s="140" t="s">
        <v>6330</v>
      </c>
      <c r="I167" s="140" t="s">
        <v>6527</v>
      </c>
      <c r="J167" s="140" t="s">
        <v>6319</v>
      </c>
      <c r="K167" s="140" t="s">
        <v>6320</v>
      </c>
    </row>
    <row r="168">
      <c r="A168" s="140" t="s">
        <v>5713</v>
      </c>
      <c r="B168" s="140">
        <v>166779.0</v>
      </c>
      <c r="C168" s="140" t="s">
        <v>6530</v>
      </c>
      <c r="D168" s="140" t="s">
        <v>6318</v>
      </c>
      <c r="E168" s="140" t="s">
        <v>5721</v>
      </c>
      <c r="F168" s="140" t="s">
        <v>6531</v>
      </c>
      <c r="G168" s="141" t="s">
        <v>6311</v>
      </c>
      <c r="H168" s="140" t="s">
        <v>6312</v>
      </c>
      <c r="I168" s="140" t="s">
        <v>6313</v>
      </c>
      <c r="J168" s="140" t="s">
        <v>6319</v>
      </c>
      <c r="K168" s="140" t="s">
        <v>6320</v>
      </c>
    </row>
    <row r="169">
      <c r="A169" s="140" t="s">
        <v>5713</v>
      </c>
      <c r="B169" s="140" t="s">
        <v>6532</v>
      </c>
      <c r="C169" s="140" t="s">
        <v>6533</v>
      </c>
      <c r="D169" s="140" t="s">
        <v>6318</v>
      </c>
      <c r="E169" s="140" t="s">
        <v>5721</v>
      </c>
      <c r="F169" s="140" t="s">
        <v>6531</v>
      </c>
      <c r="G169" s="141" t="s">
        <v>6311</v>
      </c>
      <c r="H169" s="140" t="s">
        <v>6312</v>
      </c>
      <c r="I169" s="140" t="s">
        <v>6313</v>
      </c>
      <c r="J169" s="140" t="s">
        <v>6319</v>
      </c>
      <c r="K169" s="140" t="s">
        <v>6320</v>
      </c>
    </row>
    <row r="170">
      <c r="A170" s="140" t="s">
        <v>5713</v>
      </c>
      <c r="B170" s="140" t="s">
        <v>6534</v>
      </c>
      <c r="C170" s="140" t="s">
        <v>6535</v>
      </c>
      <c r="D170" s="140" t="s">
        <v>6318</v>
      </c>
      <c r="E170" s="140" t="s">
        <v>5721</v>
      </c>
      <c r="F170" s="140" t="s">
        <v>6531</v>
      </c>
      <c r="G170" s="141" t="s">
        <v>6311</v>
      </c>
      <c r="H170" s="140" t="s">
        <v>6312</v>
      </c>
      <c r="I170" s="140" t="s">
        <v>6313</v>
      </c>
      <c r="J170" s="140" t="s">
        <v>6319</v>
      </c>
      <c r="K170" s="140" t="s">
        <v>6320</v>
      </c>
    </row>
    <row r="171">
      <c r="A171" s="140" t="s">
        <v>5713</v>
      </c>
      <c r="B171" s="140" t="s">
        <v>6536</v>
      </c>
      <c r="C171" s="140" t="s">
        <v>6537</v>
      </c>
      <c r="D171" s="140" t="s">
        <v>6318</v>
      </c>
      <c r="E171" s="140" t="s">
        <v>5721</v>
      </c>
      <c r="F171" s="140" t="s">
        <v>6531</v>
      </c>
      <c r="G171" s="141" t="s">
        <v>6311</v>
      </c>
      <c r="H171" s="140" t="s">
        <v>6312</v>
      </c>
      <c r="I171" s="140" t="s">
        <v>6313</v>
      </c>
      <c r="J171" s="140" t="s">
        <v>6319</v>
      </c>
      <c r="K171" s="140" t="s">
        <v>6320</v>
      </c>
    </row>
    <row r="172">
      <c r="A172" s="140" t="s">
        <v>5713</v>
      </c>
      <c r="B172" s="140" t="s">
        <v>6538</v>
      </c>
      <c r="C172" s="140" t="s">
        <v>6539</v>
      </c>
      <c r="D172" s="140" t="s">
        <v>6318</v>
      </c>
      <c r="E172" s="140" t="s">
        <v>5721</v>
      </c>
      <c r="F172" s="140" t="s">
        <v>6531</v>
      </c>
      <c r="G172" s="141" t="s">
        <v>6311</v>
      </c>
      <c r="H172" s="140" t="s">
        <v>6312</v>
      </c>
      <c r="I172" s="140" t="s">
        <v>6313</v>
      </c>
      <c r="J172" s="140" t="s">
        <v>6319</v>
      </c>
      <c r="K172" s="140" t="s">
        <v>6320</v>
      </c>
    </row>
    <row r="173">
      <c r="A173" s="140" t="s">
        <v>5713</v>
      </c>
      <c r="B173" s="140" t="s">
        <v>6540</v>
      </c>
      <c r="C173" s="140" t="s">
        <v>6541</v>
      </c>
      <c r="D173" s="140" t="s">
        <v>6318</v>
      </c>
      <c r="E173" s="140" t="s">
        <v>5721</v>
      </c>
      <c r="F173" s="140" t="s">
        <v>6531</v>
      </c>
      <c r="G173" s="141" t="s">
        <v>6311</v>
      </c>
      <c r="H173" s="140" t="s">
        <v>6312</v>
      </c>
      <c r="I173" s="140" t="s">
        <v>6313</v>
      </c>
      <c r="J173" s="140" t="s">
        <v>6319</v>
      </c>
      <c r="K173" s="140" t="s">
        <v>6320</v>
      </c>
    </row>
    <row r="174">
      <c r="A174" s="140" t="s">
        <v>5713</v>
      </c>
      <c r="B174" s="140">
        <v>179098.0</v>
      </c>
      <c r="C174" s="140" t="s">
        <v>6542</v>
      </c>
      <c r="D174" s="140" t="s">
        <v>6318</v>
      </c>
      <c r="E174" s="140" t="s">
        <v>5721</v>
      </c>
      <c r="F174" s="140" t="s">
        <v>6543</v>
      </c>
      <c r="G174" s="141" t="s">
        <v>6311</v>
      </c>
      <c r="H174" s="140" t="s">
        <v>6330</v>
      </c>
      <c r="I174" s="140" t="s">
        <v>6313</v>
      </c>
      <c r="J174" s="140" t="s">
        <v>6319</v>
      </c>
      <c r="K174" s="140" t="s">
        <v>6320</v>
      </c>
    </row>
    <row r="175">
      <c r="A175" s="140" t="s">
        <v>5713</v>
      </c>
      <c r="B175" s="140">
        <v>197703.0</v>
      </c>
      <c r="C175" s="140" t="s">
        <v>6544</v>
      </c>
      <c r="D175" s="140" t="s">
        <v>6318</v>
      </c>
      <c r="E175" s="140" t="s">
        <v>5721</v>
      </c>
      <c r="F175" s="140" t="s">
        <v>6543</v>
      </c>
      <c r="G175" s="141" t="s">
        <v>6311</v>
      </c>
      <c r="H175" s="140" t="s">
        <v>6330</v>
      </c>
      <c r="I175" s="140" t="s">
        <v>6313</v>
      </c>
      <c r="J175" s="140" t="s">
        <v>6319</v>
      </c>
      <c r="K175" s="140" t="s">
        <v>6320</v>
      </c>
    </row>
    <row r="176">
      <c r="A176" s="140" t="s">
        <v>5713</v>
      </c>
      <c r="B176" s="140">
        <v>179012.0</v>
      </c>
      <c r="C176" s="140" t="s">
        <v>6545</v>
      </c>
      <c r="D176" s="140" t="s">
        <v>6318</v>
      </c>
      <c r="E176" s="140" t="s">
        <v>5721</v>
      </c>
      <c r="F176" s="140" t="s">
        <v>6543</v>
      </c>
      <c r="G176" s="141" t="s">
        <v>6311</v>
      </c>
      <c r="H176" s="140" t="s">
        <v>6330</v>
      </c>
      <c r="I176" s="140" t="s">
        <v>6313</v>
      </c>
      <c r="J176" s="140" t="s">
        <v>6319</v>
      </c>
      <c r="K176" s="140" t="s">
        <v>6320</v>
      </c>
    </row>
    <row r="177">
      <c r="A177" s="140" t="s">
        <v>5713</v>
      </c>
      <c r="B177" s="140" t="s">
        <v>5727</v>
      </c>
      <c r="C177" s="140" t="s">
        <v>6546</v>
      </c>
      <c r="D177" s="140" t="s">
        <v>6318</v>
      </c>
      <c r="E177" s="140" t="s">
        <v>5721</v>
      </c>
      <c r="F177" s="140" t="s">
        <v>6543</v>
      </c>
      <c r="G177" s="141" t="s">
        <v>6311</v>
      </c>
      <c r="H177" s="140" t="s">
        <v>6330</v>
      </c>
      <c r="I177" s="140" t="s">
        <v>6313</v>
      </c>
      <c r="J177" s="140" t="s">
        <v>6319</v>
      </c>
      <c r="K177" s="140" t="s">
        <v>6320</v>
      </c>
    </row>
    <row r="178">
      <c r="A178" s="140" t="s">
        <v>5713</v>
      </c>
      <c r="B178" s="140">
        <v>197700.0</v>
      </c>
      <c r="C178" s="140" t="s">
        <v>6547</v>
      </c>
      <c r="D178" s="140" t="s">
        <v>6318</v>
      </c>
      <c r="E178" s="140" t="s">
        <v>5721</v>
      </c>
      <c r="F178" s="140" t="s">
        <v>6543</v>
      </c>
      <c r="G178" s="141" t="s">
        <v>6311</v>
      </c>
      <c r="H178" s="140" t="s">
        <v>6330</v>
      </c>
      <c r="I178" s="140" t="s">
        <v>6313</v>
      </c>
      <c r="J178" s="140" t="s">
        <v>6319</v>
      </c>
      <c r="K178" s="140" t="s">
        <v>6320</v>
      </c>
    </row>
    <row r="179">
      <c r="A179" s="140" t="s">
        <v>5713</v>
      </c>
      <c r="B179" s="140">
        <v>138868.0</v>
      </c>
      <c r="C179" s="140" t="s">
        <v>6548</v>
      </c>
      <c r="D179" s="140" t="s">
        <v>6318</v>
      </c>
      <c r="E179" s="140" t="s">
        <v>1323</v>
      </c>
      <c r="F179" s="140" t="s">
        <v>1340</v>
      </c>
      <c r="G179" s="141" t="s">
        <v>6311</v>
      </c>
      <c r="H179" s="140" t="s">
        <v>6330</v>
      </c>
      <c r="I179" s="140" t="s">
        <v>6313</v>
      </c>
      <c r="J179" s="140" t="s">
        <v>6319</v>
      </c>
      <c r="K179" s="140" t="s">
        <v>6320</v>
      </c>
    </row>
    <row r="180">
      <c r="A180" s="140" t="s">
        <v>5713</v>
      </c>
      <c r="B180" s="140" t="s">
        <v>5716</v>
      </c>
      <c r="C180" s="140" t="s">
        <v>6549</v>
      </c>
      <c r="D180" s="140" t="s">
        <v>6318</v>
      </c>
      <c r="E180" s="140" t="s">
        <v>6550</v>
      </c>
      <c r="F180" s="140" t="s">
        <v>5714</v>
      </c>
      <c r="G180" s="142">
        <v>0.0</v>
      </c>
      <c r="H180" s="140" t="s">
        <v>6330</v>
      </c>
      <c r="I180" s="140" t="s">
        <v>6313</v>
      </c>
      <c r="J180" s="140" t="s">
        <v>6319</v>
      </c>
      <c r="K180" s="140" t="s">
        <v>6320</v>
      </c>
    </row>
    <row r="181">
      <c r="A181" s="140" t="s">
        <v>5713</v>
      </c>
      <c r="B181" s="140">
        <v>201982.0</v>
      </c>
      <c r="C181" s="140" t="s">
        <v>6551</v>
      </c>
      <c r="D181" s="140" t="s">
        <v>6318</v>
      </c>
      <c r="E181" s="140" t="s">
        <v>6550</v>
      </c>
      <c r="F181" s="140" t="s">
        <v>5714</v>
      </c>
      <c r="G181" s="142">
        <v>0.0</v>
      </c>
      <c r="H181" s="140" t="s">
        <v>6330</v>
      </c>
      <c r="I181" s="140" t="s">
        <v>6313</v>
      </c>
      <c r="J181" s="140" t="s">
        <v>6319</v>
      </c>
      <c r="K181" s="140" t="s">
        <v>6320</v>
      </c>
    </row>
    <row r="182">
      <c r="A182" s="140" t="s">
        <v>5713</v>
      </c>
      <c r="B182" s="140">
        <v>209063.0</v>
      </c>
      <c r="C182" s="140" t="s">
        <v>6552</v>
      </c>
      <c r="D182" s="140" t="s">
        <v>6318</v>
      </c>
      <c r="E182" s="140" t="s">
        <v>6550</v>
      </c>
      <c r="F182" s="140" t="s">
        <v>5714</v>
      </c>
      <c r="G182" s="142">
        <v>0.0</v>
      </c>
      <c r="H182" s="140" t="s">
        <v>6330</v>
      </c>
      <c r="I182" s="140" t="s">
        <v>6313</v>
      </c>
      <c r="J182" s="140" t="s">
        <v>6319</v>
      </c>
      <c r="K182" s="140" t="s">
        <v>6320</v>
      </c>
    </row>
    <row r="183">
      <c r="A183" s="140" t="s">
        <v>5713</v>
      </c>
      <c r="B183" s="140" t="s">
        <v>6553</v>
      </c>
      <c r="C183" s="140" t="s">
        <v>6554</v>
      </c>
      <c r="D183" s="140" t="s">
        <v>6318</v>
      </c>
      <c r="E183" s="140" t="s">
        <v>6550</v>
      </c>
      <c r="F183" s="140" t="s">
        <v>5714</v>
      </c>
      <c r="G183" s="141" t="s">
        <v>6311</v>
      </c>
      <c r="H183" s="140" t="s">
        <v>6312</v>
      </c>
      <c r="I183" s="140" t="s">
        <v>6313</v>
      </c>
      <c r="J183" s="140" t="s">
        <v>6319</v>
      </c>
      <c r="K183" s="140" t="s">
        <v>6320</v>
      </c>
    </row>
    <row r="184">
      <c r="A184" s="140" t="s">
        <v>5713</v>
      </c>
      <c r="B184" s="140">
        <v>202016.0</v>
      </c>
      <c r="C184" s="140" t="s">
        <v>6555</v>
      </c>
      <c r="D184" s="140" t="s">
        <v>6318</v>
      </c>
      <c r="E184" s="140" t="s">
        <v>6550</v>
      </c>
      <c r="F184" s="140" t="s">
        <v>5714</v>
      </c>
      <c r="G184" s="142">
        <v>0.0</v>
      </c>
      <c r="H184" s="140" t="s">
        <v>6330</v>
      </c>
      <c r="I184" s="140" t="s">
        <v>6313</v>
      </c>
      <c r="J184" s="140" t="s">
        <v>6319</v>
      </c>
      <c r="K184" s="140" t="s">
        <v>6320</v>
      </c>
    </row>
    <row r="185">
      <c r="A185" s="140" t="s">
        <v>5713</v>
      </c>
      <c r="B185" s="140">
        <v>202017.0</v>
      </c>
      <c r="C185" s="140" t="s">
        <v>6556</v>
      </c>
      <c r="D185" s="140" t="s">
        <v>6318</v>
      </c>
      <c r="E185" s="140" t="s">
        <v>6550</v>
      </c>
      <c r="F185" s="140" t="s">
        <v>5714</v>
      </c>
      <c r="G185" s="142">
        <v>0.0</v>
      </c>
      <c r="H185" s="140" t="s">
        <v>6330</v>
      </c>
      <c r="I185" s="140" t="s">
        <v>6313</v>
      </c>
      <c r="J185" s="140" t="s">
        <v>6319</v>
      </c>
      <c r="K185" s="140" t="s">
        <v>6320</v>
      </c>
    </row>
    <row r="186">
      <c r="A186" s="140" t="s">
        <v>5713</v>
      </c>
      <c r="B186" s="140" t="s">
        <v>5816</v>
      </c>
      <c r="C186" s="140" t="s">
        <v>5817</v>
      </c>
      <c r="D186" s="140" t="s">
        <v>6318</v>
      </c>
      <c r="E186" s="140" t="s">
        <v>6550</v>
      </c>
      <c r="F186" s="140" t="s">
        <v>5714</v>
      </c>
      <c r="G186" s="141" t="s">
        <v>6311</v>
      </c>
      <c r="H186" s="140" t="s">
        <v>6312</v>
      </c>
      <c r="I186" s="140" t="s">
        <v>6313</v>
      </c>
      <c r="J186" s="140" t="s">
        <v>6319</v>
      </c>
      <c r="K186" s="140" t="s">
        <v>6320</v>
      </c>
    </row>
    <row r="187">
      <c r="A187" s="140" t="s">
        <v>5713</v>
      </c>
      <c r="B187" s="140" t="s">
        <v>6557</v>
      </c>
      <c r="C187" s="140" t="s">
        <v>6558</v>
      </c>
      <c r="D187" s="140" t="s">
        <v>6318</v>
      </c>
      <c r="E187" s="140" t="s">
        <v>6550</v>
      </c>
      <c r="F187" s="140" t="s">
        <v>5714</v>
      </c>
      <c r="G187" s="141" t="s">
        <v>6311</v>
      </c>
      <c r="H187" s="140" t="s">
        <v>6312</v>
      </c>
      <c r="I187" s="140" t="s">
        <v>6313</v>
      </c>
      <c r="J187" s="140" t="s">
        <v>6319</v>
      </c>
      <c r="K187" s="140" t="s">
        <v>6320</v>
      </c>
    </row>
    <row r="188">
      <c r="A188" s="140" t="s">
        <v>5713</v>
      </c>
      <c r="B188" s="140">
        <v>172476.0</v>
      </c>
      <c r="C188" s="140" t="s">
        <v>6559</v>
      </c>
      <c r="D188" s="140" t="s">
        <v>6318</v>
      </c>
      <c r="E188" s="140" t="s">
        <v>6550</v>
      </c>
      <c r="F188" s="140" t="s">
        <v>5714</v>
      </c>
      <c r="G188" s="141" t="s">
        <v>6311</v>
      </c>
      <c r="H188" s="140" t="s">
        <v>6330</v>
      </c>
      <c r="I188" s="140" t="s">
        <v>6313</v>
      </c>
      <c r="J188" s="140" t="s">
        <v>6319</v>
      </c>
      <c r="K188" s="140" t="s">
        <v>6320</v>
      </c>
    </row>
    <row r="189">
      <c r="A189" s="140" t="s">
        <v>5713</v>
      </c>
      <c r="B189" s="140" t="s">
        <v>6560</v>
      </c>
      <c r="C189" s="140" t="s">
        <v>6561</v>
      </c>
      <c r="D189" s="140" t="s">
        <v>6318</v>
      </c>
      <c r="E189" s="140" t="s">
        <v>6550</v>
      </c>
      <c r="F189" s="140" t="s">
        <v>5714</v>
      </c>
      <c r="G189" s="141" t="s">
        <v>6311</v>
      </c>
      <c r="H189" s="140" t="s">
        <v>6312</v>
      </c>
      <c r="I189" s="140" t="s">
        <v>6313</v>
      </c>
      <c r="J189" s="140" t="s">
        <v>6319</v>
      </c>
      <c r="K189" s="140" t="s">
        <v>6320</v>
      </c>
    </row>
    <row r="190">
      <c r="A190" s="140" t="s">
        <v>5713</v>
      </c>
      <c r="B190" s="140" t="s">
        <v>6266</v>
      </c>
      <c r="C190" s="140" t="s">
        <v>6562</v>
      </c>
      <c r="D190" s="140" t="s">
        <v>6318</v>
      </c>
      <c r="E190" s="140" t="s">
        <v>6550</v>
      </c>
      <c r="F190" s="140" t="s">
        <v>5714</v>
      </c>
      <c r="G190" s="141" t="s">
        <v>6311</v>
      </c>
      <c r="H190" s="140" t="s">
        <v>6312</v>
      </c>
      <c r="I190" s="140" t="s">
        <v>6313</v>
      </c>
      <c r="J190" s="140" t="s">
        <v>6319</v>
      </c>
      <c r="K190" s="140" t="s">
        <v>6320</v>
      </c>
    </row>
    <row r="191">
      <c r="A191" s="140" t="s">
        <v>5713</v>
      </c>
      <c r="B191" s="140" t="s">
        <v>5748</v>
      </c>
      <c r="C191" s="140" t="s">
        <v>6563</v>
      </c>
      <c r="D191" s="140" t="s">
        <v>6318</v>
      </c>
      <c r="E191" s="140" t="s">
        <v>6550</v>
      </c>
      <c r="F191" s="140" t="s">
        <v>5714</v>
      </c>
      <c r="G191" s="141" t="s">
        <v>6311</v>
      </c>
      <c r="H191" s="140" t="s">
        <v>6330</v>
      </c>
      <c r="I191" s="140" t="s">
        <v>6313</v>
      </c>
      <c r="J191" s="140" t="s">
        <v>6319</v>
      </c>
      <c r="K191" s="140" t="s">
        <v>6320</v>
      </c>
    </row>
    <row r="192">
      <c r="A192" s="140" t="s">
        <v>5713</v>
      </c>
      <c r="B192" s="140">
        <v>156147.0</v>
      </c>
      <c r="C192" s="140" t="s">
        <v>5835</v>
      </c>
      <c r="D192" s="140" t="s">
        <v>6318</v>
      </c>
      <c r="E192" s="140" t="s">
        <v>6550</v>
      </c>
      <c r="F192" s="140" t="s">
        <v>5714</v>
      </c>
      <c r="G192" s="141" t="s">
        <v>6311</v>
      </c>
      <c r="H192" s="140" t="s">
        <v>6330</v>
      </c>
      <c r="I192" s="140" t="s">
        <v>6313</v>
      </c>
      <c r="J192" s="140" t="s">
        <v>6319</v>
      </c>
      <c r="K192" s="140" t="s">
        <v>6320</v>
      </c>
    </row>
    <row r="193">
      <c r="A193" s="140" t="s">
        <v>5713</v>
      </c>
      <c r="B193" s="140" t="s">
        <v>5973</v>
      </c>
      <c r="C193" s="140" t="s">
        <v>5835</v>
      </c>
      <c r="D193" s="140" t="s">
        <v>6318</v>
      </c>
      <c r="E193" s="140" t="s">
        <v>6550</v>
      </c>
      <c r="F193" s="140" t="s">
        <v>5714</v>
      </c>
      <c r="G193" s="141" t="s">
        <v>6311</v>
      </c>
      <c r="H193" s="140" t="s">
        <v>6312</v>
      </c>
      <c r="I193" s="140" t="s">
        <v>6313</v>
      </c>
      <c r="J193" s="140" t="s">
        <v>6319</v>
      </c>
      <c r="K193" s="140" t="s">
        <v>6320</v>
      </c>
    </row>
    <row r="194">
      <c r="A194" s="140" t="s">
        <v>5713</v>
      </c>
      <c r="B194" s="140" t="s">
        <v>3982</v>
      </c>
      <c r="C194" s="140" t="s">
        <v>6564</v>
      </c>
      <c r="D194" s="140" t="s">
        <v>6318</v>
      </c>
      <c r="E194" s="140" t="s">
        <v>6550</v>
      </c>
      <c r="F194" s="140" t="s">
        <v>5714</v>
      </c>
      <c r="G194" s="141" t="s">
        <v>6311</v>
      </c>
      <c r="H194" s="140" t="s">
        <v>6330</v>
      </c>
      <c r="I194" s="140" t="s">
        <v>6313</v>
      </c>
      <c r="J194" s="140" t="s">
        <v>6319</v>
      </c>
      <c r="K194" s="140" t="s">
        <v>6320</v>
      </c>
    </row>
    <row r="195">
      <c r="A195" s="140" t="s">
        <v>5713</v>
      </c>
      <c r="B195" s="140">
        <v>181000.0</v>
      </c>
      <c r="C195" s="140" t="s">
        <v>6565</v>
      </c>
      <c r="D195" s="140" t="s">
        <v>6318</v>
      </c>
      <c r="E195" s="140" t="s">
        <v>6550</v>
      </c>
      <c r="F195" s="140" t="s">
        <v>5714</v>
      </c>
      <c r="G195" s="141" t="s">
        <v>6311</v>
      </c>
      <c r="H195" s="140" t="s">
        <v>6330</v>
      </c>
      <c r="I195" s="140" t="s">
        <v>6313</v>
      </c>
      <c r="J195" s="140" t="s">
        <v>6319</v>
      </c>
      <c r="K195" s="140" t="s">
        <v>6320</v>
      </c>
    </row>
    <row r="196">
      <c r="A196" s="140" t="s">
        <v>5713</v>
      </c>
      <c r="B196" s="140">
        <v>194340.0</v>
      </c>
      <c r="C196" s="140" t="s">
        <v>6566</v>
      </c>
      <c r="D196" s="140" t="s">
        <v>6318</v>
      </c>
      <c r="E196" s="140" t="s">
        <v>6550</v>
      </c>
      <c r="F196" s="140" t="s">
        <v>5714</v>
      </c>
      <c r="G196" s="141" t="s">
        <v>6311</v>
      </c>
      <c r="H196" s="140" t="s">
        <v>6330</v>
      </c>
      <c r="I196" s="140" t="s">
        <v>6313</v>
      </c>
      <c r="J196" s="140" t="s">
        <v>6319</v>
      </c>
      <c r="K196" s="140" t="s">
        <v>6320</v>
      </c>
    </row>
    <row r="197">
      <c r="A197" s="140" t="s">
        <v>5713</v>
      </c>
      <c r="B197" s="140" t="s">
        <v>3766</v>
      </c>
      <c r="C197" s="140" t="s">
        <v>6567</v>
      </c>
      <c r="D197" s="140" t="s">
        <v>6318</v>
      </c>
      <c r="E197" s="140" t="s">
        <v>6550</v>
      </c>
      <c r="F197" s="140" t="s">
        <v>5714</v>
      </c>
      <c r="G197" s="141" t="s">
        <v>6311</v>
      </c>
      <c r="H197" s="140" t="s">
        <v>6330</v>
      </c>
      <c r="I197" s="140" t="s">
        <v>6313</v>
      </c>
      <c r="J197" s="140" t="s">
        <v>6319</v>
      </c>
      <c r="K197" s="140" t="s">
        <v>6320</v>
      </c>
    </row>
    <row r="198">
      <c r="A198" s="140" t="s">
        <v>5713</v>
      </c>
      <c r="B198" s="140" t="s">
        <v>6039</v>
      </c>
      <c r="C198" s="140" t="s">
        <v>6568</v>
      </c>
      <c r="D198" s="140" t="s">
        <v>6318</v>
      </c>
      <c r="E198" s="140" t="s">
        <v>6550</v>
      </c>
      <c r="F198" s="140" t="s">
        <v>5714</v>
      </c>
      <c r="G198" s="141" t="s">
        <v>6311</v>
      </c>
      <c r="H198" s="140" t="s">
        <v>6312</v>
      </c>
      <c r="I198" s="140" t="s">
        <v>6313</v>
      </c>
      <c r="J198" s="140" t="s">
        <v>6319</v>
      </c>
      <c r="K198" s="140" t="s">
        <v>6320</v>
      </c>
    </row>
    <row r="199">
      <c r="A199" s="140" t="s">
        <v>5713</v>
      </c>
      <c r="B199" s="140" t="s">
        <v>6038</v>
      </c>
      <c r="C199" s="140" t="s">
        <v>6568</v>
      </c>
      <c r="D199" s="140" t="s">
        <v>6318</v>
      </c>
      <c r="E199" s="140" t="s">
        <v>6550</v>
      </c>
      <c r="F199" s="140" t="s">
        <v>5714</v>
      </c>
      <c r="G199" s="141" t="s">
        <v>6311</v>
      </c>
      <c r="H199" s="140" t="s">
        <v>6312</v>
      </c>
      <c r="I199" s="140" t="s">
        <v>6313</v>
      </c>
      <c r="J199" s="140" t="s">
        <v>6319</v>
      </c>
      <c r="K199" s="140" t="s">
        <v>6320</v>
      </c>
    </row>
    <row r="200">
      <c r="A200" s="140" t="s">
        <v>5713</v>
      </c>
      <c r="B200" s="140" t="s">
        <v>6037</v>
      </c>
      <c r="C200" s="140" t="s">
        <v>6568</v>
      </c>
      <c r="D200" s="140" t="s">
        <v>6318</v>
      </c>
      <c r="E200" s="140" t="s">
        <v>6550</v>
      </c>
      <c r="F200" s="140" t="s">
        <v>5714</v>
      </c>
      <c r="G200" s="141" t="s">
        <v>6311</v>
      </c>
      <c r="H200" s="140" t="s">
        <v>6312</v>
      </c>
      <c r="I200" s="140" t="s">
        <v>6313</v>
      </c>
      <c r="J200" s="140" t="s">
        <v>6319</v>
      </c>
      <c r="K200" s="140" t="s">
        <v>6320</v>
      </c>
    </row>
    <row r="201">
      <c r="A201" s="140" t="s">
        <v>5713</v>
      </c>
      <c r="B201" s="140" t="s">
        <v>6569</v>
      </c>
      <c r="C201" s="140" t="s">
        <v>6568</v>
      </c>
      <c r="D201" s="140" t="s">
        <v>6318</v>
      </c>
      <c r="E201" s="140" t="s">
        <v>6550</v>
      </c>
      <c r="F201" s="140" t="s">
        <v>5714</v>
      </c>
      <c r="G201" s="141" t="s">
        <v>6311</v>
      </c>
      <c r="H201" s="140" t="s">
        <v>6312</v>
      </c>
      <c r="I201" s="140" t="s">
        <v>6313</v>
      </c>
      <c r="J201" s="140" t="s">
        <v>6319</v>
      </c>
      <c r="K201" s="140" t="s">
        <v>6320</v>
      </c>
    </row>
    <row r="202">
      <c r="A202" s="140" t="s">
        <v>5713</v>
      </c>
      <c r="B202" s="140">
        <v>146294.0</v>
      </c>
      <c r="C202" s="140" t="s">
        <v>6570</v>
      </c>
      <c r="D202" s="140" t="s">
        <v>6318</v>
      </c>
      <c r="E202" s="140" t="s">
        <v>6550</v>
      </c>
      <c r="F202" s="140" t="s">
        <v>5714</v>
      </c>
      <c r="G202" s="141" t="s">
        <v>6311</v>
      </c>
      <c r="H202" s="140" t="s">
        <v>6312</v>
      </c>
      <c r="I202" s="140" t="s">
        <v>6313</v>
      </c>
      <c r="J202" s="140" t="s">
        <v>6319</v>
      </c>
      <c r="K202" s="140" t="s">
        <v>6320</v>
      </c>
    </row>
    <row r="203">
      <c r="A203" s="140" t="s">
        <v>5713</v>
      </c>
      <c r="B203" s="140" t="s">
        <v>5917</v>
      </c>
      <c r="C203" s="140" t="s">
        <v>6571</v>
      </c>
      <c r="D203" s="140" t="s">
        <v>6318</v>
      </c>
      <c r="E203" s="140" t="s">
        <v>6550</v>
      </c>
      <c r="F203" s="140" t="s">
        <v>6419</v>
      </c>
      <c r="G203" s="141" t="s">
        <v>6311</v>
      </c>
      <c r="H203" s="140" t="s">
        <v>6312</v>
      </c>
      <c r="I203" s="140" t="s">
        <v>6313</v>
      </c>
      <c r="J203" s="140" t="s">
        <v>6319</v>
      </c>
      <c r="K203" s="140" t="s">
        <v>6320</v>
      </c>
    </row>
    <row r="204">
      <c r="A204" s="140" t="s">
        <v>5713</v>
      </c>
      <c r="B204" s="140">
        <v>168415.0</v>
      </c>
      <c r="C204" s="140" t="s">
        <v>6572</v>
      </c>
      <c r="D204" s="140" t="s">
        <v>6318</v>
      </c>
      <c r="E204" s="140" t="s">
        <v>6550</v>
      </c>
      <c r="F204" s="140" t="s">
        <v>6419</v>
      </c>
      <c r="G204" s="141" t="s">
        <v>6311</v>
      </c>
      <c r="H204" s="140" t="s">
        <v>6312</v>
      </c>
      <c r="I204" s="140" t="s">
        <v>6313</v>
      </c>
      <c r="J204" s="140" t="s">
        <v>6319</v>
      </c>
      <c r="K204" s="140" t="s">
        <v>6320</v>
      </c>
    </row>
    <row r="205">
      <c r="A205" s="140" t="s">
        <v>5713</v>
      </c>
      <c r="B205" s="140" t="s">
        <v>6573</v>
      </c>
      <c r="C205" s="140" t="s">
        <v>6574</v>
      </c>
      <c r="D205" s="140" t="s">
        <v>6318</v>
      </c>
      <c r="E205" s="140" t="s">
        <v>6550</v>
      </c>
      <c r="F205" s="140" t="s">
        <v>6419</v>
      </c>
      <c r="G205" s="141" t="s">
        <v>6311</v>
      </c>
      <c r="H205" s="140" t="s">
        <v>6312</v>
      </c>
      <c r="I205" s="140" t="s">
        <v>6313</v>
      </c>
      <c r="J205" s="140" t="s">
        <v>6319</v>
      </c>
      <c r="K205" s="140" t="s">
        <v>6320</v>
      </c>
    </row>
    <row r="206">
      <c r="A206" s="140" t="s">
        <v>5713</v>
      </c>
      <c r="B206" s="140" t="s">
        <v>6575</v>
      </c>
      <c r="C206" s="140" t="s">
        <v>6576</v>
      </c>
      <c r="D206" s="140" t="s">
        <v>6318</v>
      </c>
      <c r="E206" s="140" t="s">
        <v>6550</v>
      </c>
      <c r="F206" s="140" t="s">
        <v>5735</v>
      </c>
      <c r="G206" s="141" t="s">
        <v>6311</v>
      </c>
      <c r="H206" s="140" t="s">
        <v>6312</v>
      </c>
      <c r="I206" s="140" t="s">
        <v>6313</v>
      </c>
      <c r="J206" s="140" t="s">
        <v>6319</v>
      </c>
      <c r="K206" s="140" t="s">
        <v>6320</v>
      </c>
    </row>
    <row r="207">
      <c r="A207" s="140" t="s">
        <v>5713</v>
      </c>
      <c r="B207" s="140">
        <v>172496.0</v>
      </c>
      <c r="C207" s="140" t="s">
        <v>6577</v>
      </c>
      <c r="D207" s="140" t="s">
        <v>6318</v>
      </c>
      <c r="E207" s="140" t="s">
        <v>6550</v>
      </c>
      <c r="F207" s="140" t="s">
        <v>5735</v>
      </c>
      <c r="G207" s="141" t="s">
        <v>6311</v>
      </c>
      <c r="H207" s="140" t="s">
        <v>6330</v>
      </c>
      <c r="I207" s="140" t="s">
        <v>6313</v>
      </c>
      <c r="J207" s="140" t="s">
        <v>6319</v>
      </c>
      <c r="K207" s="140" t="s">
        <v>6320</v>
      </c>
    </row>
    <row r="208">
      <c r="A208" s="140" t="s">
        <v>5713</v>
      </c>
      <c r="B208" s="140">
        <v>185268.0</v>
      </c>
      <c r="C208" s="140" t="s">
        <v>6578</v>
      </c>
      <c r="D208" s="140" t="s">
        <v>6318</v>
      </c>
      <c r="E208" s="140" t="s">
        <v>6550</v>
      </c>
      <c r="F208" s="140" t="s">
        <v>5735</v>
      </c>
      <c r="G208" s="141" t="s">
        <v>6311</v>
      </c>
      <c r="H208" s="140" t="s">
        <v>6330</v>
      </c>
      <c r="I208" s="140" t="s">
        <v>6313</v>
      </c>
      <c r="J208" s="140" t="s">
        <v>6319</v>
      </c>
      <c r="K208" s="140" t="s">
        <v>6320</v>
      </c>
    </row>
    <row r="209">
      <c r="A209" s="140" t="s">
        <v>5713</v>
      </c>
      <c r="B209" s="140" t="s">
        <v>5734</v>
      </c>
      <c r="C209" s="140" t="s">
        <v>6579</v>
      </c>
      <c r="D209" s="140" t="s">
        <v>6318</v>
      </c>
      <c r="E209" s="140" t="s">
        <v>6550</v>
      </c>
      <c r="F209" s="140" t="s">
        <v>5735</v>
      </c>
      <c r="G209" s="141" t="s">
        <v>6311</v>
      </c>
      <c r="H209" s="140" t="s">
        <v>6330</v>
      </c>
      <c r="I209" s="140" t="s">
        <v>6313</v>
      </c>
      <c r="J209" s="140" t="s">
        <v>6319</v>
      </c>
      <c r="K209" s="140" t="s">
        <v>6320</v>
      </c>
    </row>
    <row r="210">
      <c r="A210" s="140" t="s">
        <v>5713</v>
      </c>
      <c r="B210" s="140">
        <v>163957.0</v>
      </c>
      <c r="C210" s="140" t="s">
        <v>6580</v>
      </c>
      <c r="D210" s="140" t="s">
        <v>6318</v>
      </c>
      <c r="E210" s="140" t="s">
        <v>6550</v>
      </c>
      <c r="F210" s="140" t="s">
        <v>5735</v>
      </c>
      <c r="G210" s="141" t="s">
        <v>6311</v>
      </c>
      <c r="H210" s="140" t="s">
        <v>6312</v>
      </c>
      <c r="I210" s="140" t="s">
        <v>6313</v>
      </c>
      <c r="J210" s="140" t="s">
        <v>6319</v>
      </c>
      <c r="K210" s="140" t="s">
        <v>6320</v>
      </c>
    </row>
    <row r="211">
      <c r="A211" s="140" t="s">
        <v>5713</v>
      </c>
      <c r="B211" s="140" t="s">
        <v>6176</v>
      </c>
      <c r="C211" s="140" t="s">
        <v>6581</v>
      </c>
      <c r="D211" s="140" t="s">
        <v>6318</v>
      </c>
      <c r="E211" s="140" t="s">
        <v>6550</v>
      </c>
      <c r="F211" s="140" t="s">
        <v>5735</v>
      </c>
      <c r="G211" s="141" t="s">
        <v>6311</v>
      </c>
      <c r="H211" s="140" t="s">
        <v>6312</v>
      </c>
      <c r="I211" s="140" t="s">
        <v>6313</v>
      </c>
      <c r="J211" s="140" t="s">
        <v>6319</v>
      </c>
      <c r="K211" s="140" t="s">
        <v>6320</v>
      </c>
    </row>
    <row r="212">
      <c r="A212" s="140" t="s">
        <v>5713</v>
      </c>
      <c r="B212" s="140" t="s">
        <v>3985</v>
      </c>
      <c r="C212" s="140" t="s">
        <v>6582</v>
      </c>
      <c r="D212" s="140" t="s">
        <v>6318</v>
      </c>
      <c r="E212" s="140" t="s">
        <v>6550</v>
      </c>
      <c r="F212" s="140" t="s">
        <v>5735</v>
      </c>
      <c r="G212" s="141" t="s">
        <v>6311</v>
      </c>
      <c r="H212" s="140" t="s">
        <v>6330</v>
      </c>
      <c r="I212" s="140" t="s">
        <v>6313</v>
      </c>
      <c r="J212" s="140" t="s">
        <v>6319</v>
      </c>
      <c r="K212" s="140" t="s">
        <v>6320</v>
      </c>
    </row>
    <row r="213">
      <c r="A213" s="140" t="s">
        <v>5713</v>
      </c>
      <c r="B213" s="140" t="s">
        <v>3987</v>
      </c>
      <c r="C213" s="140" t="s">
        <v>6583</v>
      </c>
      <c r="D213" s="140" t="s">
        <v>6318</v>
      </c>
      <c r="E213" s="140" t="s">
        <v>6550</v>
      </c>
      <c r="F213" s="140" t="s">
        <v>5735</v>
      </c>
      <c r="G213" s="141" t="s">
        <v>6311</v>
      </c>
      <c r="H213" s="140" t="s">
        <v>6312</v>
      </c>
      <c r="I213" s="140" t="s">
        <v>6313</v>
      </c>
      <c r="J213" s="140" t="s">
        <v>6319</v>
      </c>
      <c r="K213" s="140" t="s">
        <v>6320</v>
      </c>
    </row>
    <row r="214">
      <c r="A214" s="140" t="s">
        <v>5713</v>
      </c>
      <c r="B214" s="140" t="s">
        <v>5954</v>
      </c>
      <c r="C214" s="140" t="s">
        <v>6584</v>
      </c>
      <c r="D214" s="140" t="s">
        <v>6318</v>
      </c>
      <c r="E214" s="140" t="s">
        <v>6550</v>
      </c>
      <c r="F214" s="140" t="s">
        <v>5735</v>
      </c>
      <c r="G214" s="141" t="s">
        <v>6311</v>
      </c>
      <c r="H214" s="140" t="s">
        <v>6312</v>
      </c>
      <c r="I214" s="140" t="s">
        <v>6313</v>
      </c>
      <c r="J214" s="140" t="s">
        <v>6319</v>
      </c>
      <c r="K214" s="140" t="s">
        <v>6320</v>
      </c>
    </row>
    <row r="215">
      <c r="A215" s="140" t="s">
        <v>5713</v>
      </c>
      <c r="B215" s="140">
        <v>178520.0</v>
      </c>
      <c r="C215" s="140" t="s">
        <v>6585</v>
      </c>
      <c r="D215" s="140" t="s">
        <v>6318</v>
      </c>
      <c r="E215" s="140" t="s">
        <v>6550</v>
      </c>
      <c r="F215" s="140" t="s">
        <v>5735</v>
      </c>
      <c r="G215" s="141" t="s">
        <v>6311</v>
      </c>
      <c r="H215" s="140" t="s">
        <v>6330</v>
      </c>
      <c r="I215" s="140" t="s">
        <v>6313</v>
      </c>
      <c r="J215" s="140" t="s">
        <v>6319</v>
      </c>
      <c r="K215" s="140" t="s">
        <v>6320</v>
      </c>
    </row>
    <row r="216">
      <c r="A216" s="140" t="s">
        <v>5713</v>
      </c>
      <c r="B216" s="140" t="s">
        <v>5951</v>
      </c>
      <c r="C216" s="140" t="s">
        <v>6586</v>
      </c>
      <c r="D216" s="140" t="s">
        <v>6318</v>
      </c>
      <c r="E216" s="140" t="s">
        <v>6550</v>
      </c>
      <c r="F216" s="140" t="s">
        <v>5735</v>
      </c>
      <c r="G216" s="141" t="s">
        <v>6311</v>
      </c>
      <c r="H216" s="140" t="s">
        <v>6312</v>
      </c>
      <c r="I216" s="140" t="s">
        <v>6313</v>
      </c>
      <c r="J216" s="140" t="s">
        <v>6319</v>
      </c>
      <c r="K216" s="140" t="s">
        <v>6320</v>
      </c>
    </row>
    <row r="217">
      <c r="A217" s="140" t="s">
        <v>5713</v>
      </c>
      <c r="B217" s="140">
        <v>178603.0</v>
      </c>
      <c r="C217" s="140" t="s">
        <v>6587</v>
      </c>
      <c r="D217" s="140" t="s">
        <v>6318</v>
      </c>
      <c r="E217" s="140" t="s">
        <v>6550</v>
      </c>
      <c r="F217" s="140" t="s">
        <v>5735</v>
      </c>
      <c r="G217" s="141" t="s">
        <v>6311</v>
      </c>
      <c r="H217" s="140" t="s">
        <v>6312</v>
      </c>
      <c r="I217" s="140" t="s">
        <v>6313</v>
      </c>
      <c r="J217" s="140" t="s">
        <v>6319</v>
      </c>
      <c r="K217" s="140" t="s">
        <v>6320</v>
      </c>
    </row>
    <row r="218">
      <c r="A218" s="140" t="s">
        <v>5713</v>
      </c>
      <c r="B218" s="140" t="s">
        <v>3785</v>
      </c>
      <c r="C218" s="140" t="s">
        <v>6588</v>
      </c>
      <c r="D218" s="140" t="s">
        <v>6318</v>
      </c>
      <c r="E218" s="140" t="s">
        <v>6550</v>
      </c>
      <c r="F218" s="140" t="s">
        <v>5735</v>
      </c>
      <c r="G218" s="141" t="s">
        <v>6311</v>
      </c>
      <c r="H218" s="140" t="s">
        <v>6330</v>
      </c>
      <c r="I218" s="140" t="s">
        <v>6313</v>
      </c>
      <c r="J218" s="140" t="s">
        <v>6319</v>
      </c>
      <c r="K218" s="140" t="s">
        <v>6320</v>
      </c>
    </row>
    <row r="219">
      <c r="A219" s="140" t="s">
        <v>6589</v>
      </c>
      <c r="B219" s="140">
        <v>34182.0</v>
      </c>
      <c r="C219" s="140" t="s">
        <v>6590</v>
      </c>
      <c r="D219" s="140" t="s">
        <v>6309</v>
      </c>
      <c r="E219" s="140" t="s">
        <v>6310</v>
      </c>
      <c r="F219" s="140" t="s">
        <v>6310</v>
      </c>
      <c r="G219" s="141" t="s">
        <v>6311</v>
      </c>
      <c r="H219" s="140" t="s">
        <v>6312</v>
      </c>
      <c r="I219" s="140" t="s">
        <v>6313</v>
      </c>
      <c r="J219" s="140" t="s">
        <v>6314</v>
      </c>
      <c r="K219" s="140" t="s">
        <v>6315</v>
      </c>
    </row>
    <row r="220">
      <c r="A220" s="140" t="s">
        <v>6591</v>
      </c>
      <c r="B220" s="140" t="s">
        <v>6592</v>
      </c>
      <c r="C220" s="140" t="s">
        <v>6593</v>
      </c>
      <c r="D220" s="140" t="s">
        <v>6318</v>
      </c>
      <c r="E220" s="140" t="s">
        <v>6550</v>
      </c>
      <c r="F220" s="140" t="s">
        <v>5714</v>
      </c>
      <c r="G220" s="141" t="s">
        <v>6401</v>
      </c>
      <c r="H220" s="140" t="s">
        <v>6312</v>
      </c>
      <c r="I220" s="140" t="s">
        <v>6313</v>
      </c>
      <c r="J220" s="140" t="s">
        <v>6314</v>
      </c>
      <c r="K220" s="140" t="s">
        <v>6594</v>
      </c>
    </row>
    <row r="221">
      <c r="A221" s="140" t="s">
        <v>6591</v>
      </c>
      <c r="B221" s="140" t="s">
        <v>6595</v>
      </c>
      <c r="C221" s="140" t="s">
        <v>6596</v>
      </c>
      <c r="D221" s="140" t="s">
        <v>6318</v>
      </c>
      <c r="E221" s="140" t="s">
        <v>6550</v>
      </c>
      <c r="F221" s="140" t="s">
        <v>5714</v>
      </c>
      <c r="G221" s="141" t="s">
        <v>6401</v>
      </c>
      <c r="H221" s="140" t="s">
        <v>6312</v>
      </c>
      <c r="I221" s="140" t="s">
        <v>6313</v>
      </c>
      <c r="J221" s="140" t="s">
        <v>6314</v>
      </c>
      <c r="K221" s="140" t="s">
        <v>6594</v>
      </c>
    </row>
    <row r="222">
      <c r="A222" s="140" t="s">
        <v>6591</v>
      </c>
      <c r="B222" s="140" t="s">
        <v>6597</v>
      </c>
      <c r="C222" s="140" t="s">
        <v>6598</v>
      </c>
      <c r="D222" s="140" t="s">
        <v>6318</v>
      </c>
      <c r="E222" s="140" t="s">
        <v>6550</v>
      </c>
      <c r="F222" s="140" t="s">
        <v>5714</v>
      </c>
      <c r="G222" s="141" t="s">
        <v>6401</v>
      </c>
      <c r="H222" s="140" t="s">
        <v>6312</v>
      </c>
      <c r="I222" s="140" t="s">
        <v>6313</v>
      </c>
      <c r="J222" s="140" t="s">
        <v>6314</v>
      </c>
      <c r="K222" s="140" t="s">
        <v>6594</v>
      </c>
    </row>
    <row r="223">
      <c r="A223" s="140" t="s">
        <v>6599</v>
      </c>
      <c r="B223" s="140">
        <v>27420.0</v>
      </c>
      <c r="C223" s="140" t="s">
        <v>6600</v>
      </c>
      <c r="D223" s="140" t="s">
        <v>6601</v>
      </c>
      <c r="E223" s="140">
        <v>0.0</v>
      </c>
      <c r="F223" s="140" t="s">
        <v>6602</v>
      </c>
      <c r="G223" s="141" t="s">
        <v>6401</v>
      </c>
      <c r="H223" s="140" t="s">
        <v>6312</v>
      </c>
      <c r="I223" s="140" t="s">
        <v>6313</v>
      </c>
      <c r="J223" s="140" t="s">
        <v>6314</v>
      </c>
      <c r="K223" s="140" t="s">
        <v>6603</v>
      </c>
    </row>
    <row r="224">
      <c r="A224" s="140" t="s">
        <v>6599</v>
      </c>
      <c r="B224" s="140">
        <v>27419.0</v>
      </c>
      <c r="C224" s="140" t="s">
        <v>6604</v>
      </c>
      <c r="D224" s="140" t="s">
        <v>6601</v>
      </c>
      <c r="E224" s="140">
        <v>0.0</v>
      </c>
      <c r="F224" s="140" t="s">
        <v>6602</v>
      </c>
      <c r="G224" s="141" t="s">
        <v>6401</v>
      </c>
      <c r="H224" s="140" t="s">
        <v>6312</v>
      </c>
      <c r="I224" s="140" t="s">
        <v>6313</v>
      </c>
      <c r="J224" s="140" t="s">
        <v>6314</v>
      </c>
      <c r="K224" s="140" t="s">
        <v>6603</v>
      </c>
    </row>
    <row r="225">
      <c r="A225" s="140" t="s">
        <v>6599</v>
      </c>
      <c r="B225" s="140">
        <v>27045.0</v>
      </c>
      <c r="C225" s="140" t="s">
        <v>6605</v>
      </c>
      <c r="D225" s="140" t="s">
        <v>6318</v>
      </c>
      <c r="E225" s="140">
        <v>0.0</v>
      </c>
      <c r="F225" s="140" t="s">
        <v>1340</v>
      </c>
      <c r="G225" s="141" t="s">
        <v>6401</v>
      </c>
      <c r="H225" s="140" t="s">
        <v>6312</v>
      </c>
      <c r="I225" s="140" t="s">
        <v>6313</v>
      </c>
      <c r="J225" s="140" t="s">
        <v>6314</v>
      </c>
      <c r="K225" s="140" t="s">
        <v>6603</v>
      </c>
    </row>
    <row r="226">
      <c r="A226" s="140" t="s">
        <v>6599</v>
      </c>
      <c r="B226" s="140">
        <v>27046.0</v>
      </c>
      <c r="C226" s="140" t="s">
        <v>6606</v>
      </c>
      <c r="D226" s="140" t="s">
        <v>6318</v>
      </c>
      <c r="E226" s="140">
        <v>0.0</v>
      </c>
      <c r="F226" s="140" t="s">
        <v>1340</v>
      </c>
      <c r="G226" s="141" t="s">
        <v>6401</v>
      </c>
      <c r="H226" s="140" t="s">
        <v>6312</v>
      </c>
      <c r="I226" s="140" t="s">
        <v>6313</v>
      </c>
      <c r="J226" s="140" t="s">
        <v>6314</v>
      </c>
      <c r="K226" s="140" t="s">
        <v>6603</v>
      </c>
    </row>
    <row r="227">
      <c r="A227" s="140" t="s">
        <v>6599</v>
      </c>
      <c r="B227" s="140">
        <v>26948.0</v>
      </c>
      <c r="C227" s="140" t="s">
        <v>6607</v>
      </c>
      <c r="D227" s="140" t="s">
        <v>6318</v>
      </c>
      <c r="E227" s="140">
        <v>0.0</v>
      </c>
      <c r="F227" s="140" t="s">
        <v>1340</v>
      </c>
      <c r="G227" s="141" t="s">
        <v>6401</v>
      </c>
      <c r="H227" s="140" t="s">
        <v>6312</v>
      </c>
      <c r="I227" s="140" t="s">
        <v>6313</v>
      </c>
      <c r="J227" s="140" t="s">
        <v>6314</v>
      </c>
      <c r="K227" s="140" t="s">
        <v>6603</v>
      </c>
    </row>
    <row r="228">
      <c r="A228" s="140" t="s">
        <v>6599</v>
      </c>
      <c r="B228" s="140">
        <v>26404.0</v>
      </c>
      <c r="C228" s="140" t="s">
        <v>6608</v>
      </c>
      <c r="D228" s="140" t="s">
        <v>6601</v>
      </c>
      <c r="E228" s="140">
        <v>0.0</v>
      </c>
      <c r="F228" s="140" t="s">
        <v>6609</v>
      </c>
      <c r="G228" s="141" t="s">
        <v>6401</v>
      </c>
      <c r="H228" s="140" t="s">
        <v>6312</v>
      </c>
      <c r="I228" s="140" t="s">
        <v>6313</v>
      </c>
      <c r="J228" s="140" t="s">
        <v>6314</v>
      </c>
      <c r="K228" s="140" t="s">
        <v>6603</v>
      </c>
    </row>
    <row r="229">
      <c r="A229" s="140" t="s">
        <v>6599</v>
      </c>
      <c r="B229" s="140">
        <v>27239.0</v>
      </c>
      <c r="C229" s="140" t="s">
        <v>6610</v>
      </c>
      <c r="D229" s="140" t="s">
        <v>6601</v>
      </c>
      <c r="E229" s="140">
        <v>0.0</v>
      </c>
      <c r="F229" s="140" t="s">
        <v>6609</v>
      </c>
      <c r="G229" s="141" t="s">
        <v>6401</v>
      </c>
      <c r="H229" s="140" t="s">
        <v>6312</v>
      </c>
      <c r="I229" s="140" t="s">
        <v>6313</v>
      </c>
      <c r="J229" s="140" t="s">
        <v>6314</v>
      </c>
      <c r="K229" s="140" t="s">
        <v>6603</v>
      </c>
    </row>
    <row r="230">
      <c r="A230" s="140" t="s">
        <v>6599</v>
      </c>
      <c r="B230" s="140">
        <v>26773.0</v>
      </c>
      <c r="C230" s="140" t="s">
        <v>6611</v>
      </c>
      <c r="D230" s="140" t="s">
        <v>6601</v>
      </c>
      <c r="E230" s="140">
        <v>0.0</v>
      </c>
      <c r="F230" s="140" t="s">
        <v>6609</v>
      </c>
      <c r="G230" s="141" t="s">
        <v>6401</v>
      </c>
      <c r="H230" s="140" t="s">
        <v>6312</v>
      </c>
      <c r="I230" s="140" t="s">
        <v>6313</v>
      </c>
      <c r="J230" s="140" t="s">
        <v>6314</v>
      </c>
      <c r="K230" s="140" t="s">
        <v>6603</v>
      </c>
    </row>
    <row r="231">
      <c r="A231" s="140" t="s">
        <v>6599</v>
      </c>
      <c r="B231" s="140">
        <v>23669.0</v>
      </c>
      <c r="C231" s="140" t="s">
        <v>6612</v>
      </c>
      <c r="D231" s="140" t="s">
        <v>6318</v>
      </c>
      <c r="E231" s="140">
        <v>0.0</v>
      </c>
      <c r="F231" s="140" t="s">
        <v>1270</v>
      </c>
      <c r="G231" s="141" t="s">
        <v>6401</v>
      </c>
      <c r="H231" s="140" t="s">
        <v>6312</v>
      </c>
      <c r="I231" s="140" t="s">
        <v>6313</v>
      </c>
      <c r="J231" s="140" t="s">
        <v>6314</v>
      </c>
      <c r="K231" s="140" t="s">
        <v>6603</v>
      </c>
    </row>
    <row r="232">
      <c r="A232" s="140" t="s">
        <v>6599</v>
      </c>
      <c r="B232" s="140">
        <v>26018.0</v>
      </c>
      <c r="C232" s="140" t="s">
        <v>6613</v>
      </c>
      <c r="D232" s="140" t="s">
        <v>6318</v>
      </c>
      <c r="E232" s="140">
        <v>0.0</v>
      </c>
      <c r="F232" s="140" t="s">
        <v>6614</v>
      </c>
      <c r="G232" s="141" t="s">
        <v>6401</v>
      </c>
      <c r="H232" s="140" t="s">
        <v>6312</v>
      </c>
      <c r="I232" s="140" t="s">
        <v>6313</v>
      </c>
      <c r="J232" s="140" t="s">
        <v>6314</v>
      </c>
      <c r="K232" s="140" t="s">
        <v>6603</v>
      </c>
    </row>
    <row r="233">
      <c r="A233" s="140" t="s">
        <v>6599</v>
      </c>
      <c r="B233" s="140">
        <v>27418.0</v>
      </c>
      <c r="C233" s="140" t="s">
        <v>6615</v>
      </c>
      <c r="D233" s="140" t="s">
        <v>6601</v>
      </c>
      <c r="E233" s="140" t="s">
        <v>303</v>
      </c>
      <c r="F233" s="140" t="s">
        <v>6602</v>
      </c>
      <c r="G233" s="141" t="s">
        <v>6401</v>
      </c>
      <c r="H233" s="140" t="s">
        <v>6312</v>
      </c>
      <c r="I233" s="140" t="s">
        <v>6313</v>
      </c>
      <c r="J233" s="140" t="s">
        <v>6314</v>
      </c>
      <c r="K233" s="140" t="s">
        <v>6603</v>
      </c>
    </row>
    <row r="234">
      <c r="A234" s="140" t="s">
        <v>6599</v>
      </c>
      <c r="B234" s="140">
        <v>27098.0</v>
      </c>
      <c r="C234" s="140" t="s">
        <v>6616</v>
      </c>
      <c r="D234" s="140" t="s">
        <v>6318</v>
      </c>
      <c r="E234" s="140" t="s">
        <v>1180</v>
      </c>
      <c r="F234" s="140" t="s">
        <v>1181</v>
      </c>
      <c r="G234" s="141" t="s">
        <v>6401</v>
      </c>
      <c r="H234" s="140" t="s">
        <v>6312</v>
      </c>
      <c r="I234" s="140" t="s">
        <v>6313</v>
      </c>
      <c r="J234" s="140" t="s">
        <v>6314</v>
      </c>
      <c r="K234" s="140" t="s">
        <v>6603</v>
      </c>
    </row>
    <row r="235">
      <c r="A235" s="140" t="s">
        <v>6599</v>
      </c>
      <c r="B235" s="140">
        <v>26065.0</v>
      </c>
      <c r="C235" s="140" t="s">
        <v>6617</v>
      </c>
      <c r="D235" s="140" t="s">
        <v>6318</v>
      </c>
      <c r="E235" s="140" t="s">
        <v>1180</v>
      </c>
      <c r="F235" s="140" t="s">
        <v>1181</v>
      </c>
      <c r="G235" s="141" t="s">
        <v>6401</v>
      </c>
      <c r="H235" s="140" t="s">
        <v>6312</v>
      </c>
      <c r="I235" s="140" t="s">
        <v>6313</v>
      </c>
      <c r="J235" s="140" t="s">
        <v>6314</v>
      </c>
      <c r="K235" s="140" t="s">
        <v>6603</v>
      </c>
    </row>
    <row r="236">
      <c r="A236" s="140" t="s">
        <v>6599</v>
      </c>
      <c r="B236" s="140">
        <v>24692.0</v>
      </c>
      <c r="C236" s="140" t="s">
        <v>6618</v>
      </c>
      <c r="D236" s="140" t="s">
        <v>6318</v>
      </c>
      <c r="E236" s="140" t="s">
        <v>1180</v>
      </c>
      <c r="F236" s="140" t="s">
        <v>1181</v>
      </c>
      <c r="G236" s="141" t="s">
        <v>6401</v>
      </c>
      <c r="H236" s="140" t="s">
        <v>6312</v>
      </c>
      <c r="I236" s="140" t="s">
        <v>6313</v>
      </c>
      <c r="J236" s="140" t="s">
        <v>6314</v>
      </c>
      <c r="K236" s="140" t="s">
        <v>6603</v>
      </c>
    </row>
    <row r="237">
      <c r="A237" s="140" t="s">
        <v>6599</v>
      </c>
      <c r="B237" s="140">
        <v>26225.0</v>
      </c>
      <c r="C237" s="140" t="s">
        <v>6619</v>
      </c>
      <c r="D237" s="140" t="s">
        <v>6620</v>
      </c>
      <c r="E237" s="140" t="s">
        <v>6621</v>
      </c>
      <c r="F237" s="140" t="s">
        <v>6622</v>
      </c>
      <c r="G237" s="141" t="s">
        <v>6401</v>
      </c>
      <c r="H237" s="140" t="s">
        <v>6312</v>
      </c>
      <c r="I237" s="140" t="s">
        <v>6313</v>
      </c>
      <c r="J237" s="140" t="s">
        <v>6314</v>
      </c>
      <c r="K237" s="140" t="s">
        <v>6603</v>
      </c>
    </row>
    <row r="238">
      <c r="A238" s="140" t="s">
        <v>6599</v>
      </c>
      <c r="B238" s="140">
        <v>27184.0</v>
      </c>
      <c r="C238" s="140" t="s">
        <v>6623</v>
      </c>
      <c r="D238" s="140" t="s">
        <v>6318</v>
      </c>
      <c r="E238" s="140" t="s">
        <v>6323</v>
      </c>
      <c r="F238" s="140" t="s">
        <v>6624</v>
      </c>
      <c r="G238" s="141" t="s">
        <v>6401</v>
      </c>
      <c r="H238" s="140" t="s">
        <v>6312</v>
      </c>
      <c r="I238" s="140" t="s">
        <v>6313</v>
      </c>
      <c r="J238" s="140" t="s">
        <v>6314</v>
      </c>
      <c r="K238" s="140" t="s">
        <v>6603</v>
      </c>
    </row>
    <row r="239">
      <c r="A239" s="140" t="s">
        <v>6599</v>
      </c>
      <c r="B239" s="140">
        <v>27185.0</v>
      </c>
      <c r="C239" s="140" t="s">
        <v>6625</v>
      </c>
      <c r="D239" s="140" t="s">
        <v>6318</v>
      </c>
      <c r="E239" s="140" t="s">
        <v>6323</v>
      </c>
      <c r="F239" s="140" t="s">
        <v>6624</v>
      </c>
      <c r="G239" s="141" t="s">
        <v>6401</v>
      </c>
      <c r="H239" s="140" t="s">
        <v>6312</v>
      </c>
      <c r="I239" s="140" t="s">
        <v>6313</v>
      </c>
      <c r="J239" s="140" t="s">
        <v>6314</v>
      </c>
      <c r="K239" s="140" t="s">
        <v>6603</v>
      </c>
    </row>
    <row r="240">
      <c r="A240" s="140" t="s">
        <v>6599</v>
      </c>
      <c r="B240" s="140">
        <v>27446.0</v>
      </c>
      <c r="C240" s="140" t="s">
        <v>6626</v>
      </c>
      <c r="D240" s="140" t="s">
        <v>6318</v>
      </c>
      <c r="E240" s="140" t="s">
        <v>6323</v>
      </c>
      <c r="F240" s="140" t="s">
        <v>6624</v>
      </c>
      <c r="G240" s="141" t="s">
        <v>6401</v>
      </c>
      <c r="H240" s="140" t="s">
        <v>6312</v>
      </c>
      <c r="I240" s="140" t="s">
        <v>6313</v>
      </c>
      <c r="J240" s="140" t="s">
        <v>6314</v>
      </c>
      <c r="K240" s="140" t="s">
        <v>6603</v>
      </c>
    </row>
    <row r="241">
      <c r="A241" s="140" t="s">
        <v>6599</v>
      </c>
      <c r="B241" s="140">
        <v>26876.0</v>
      </c>
      <c r="C241" s="140" t="s">
        <v>6627</v>
      </c>
      <c r="D241" s="140" t="s">
        <v>6318</v>
      </c>
      <c r="E241" s="140" t="s">
        <v>6323</v>
      </c>
      <c r="F241" s="140" t="s">
        <v>6624</v>
      </c>
      <c r="G241" s="141" t="s">
        <v>6401</v>
      </c>
      <c r="H241" s="140" t="s">
        <v>6312</v>
      </c>
      <c r="I241" s="140" t="s">
        <v>6313</v>
      </c>
      <c r="J241" s="140" t="s">
        <v>6314</v>
      </c>
      <c r="K241" s="140" t="s">
        <v>6603</v>
      </c>
    </row>
    <row r="242">
      <c r="A242" s="140" t="s">
        <v>6599</v>
      </c>
      <c r="B242" s="140">
        <v>26875.0</v>
      </c>
      <c r="C242" s="140" t="s">
        <v>6628</v>
      </c>
      <c r="D242" s="140" t="s">
        <v>6318</v>
      </c>
      <c r="E242" s="140" t="s">
        <v>6323</v>
      </c>
      <c r="F242" s="140" t="s">
        <v>6624</v>
      </c>
      <c r="G242" s="141" t="s">
        <v>6401</v>
      </c>
      <c r="H242" s="140" t="s">
        <v>6312</v>
      </c>
      <c r="I242" s="140" t="s">
        <v>6313</v>
      </c>
      <c r="J242" s="140" t="s">
        <v>6314</v>
      </c>
      <c r="K242" s="140" t="s">
        <v>6603</v>
      </c>
    </row>
    <row r="243">
      <c r="A243" s="140" t="s">
        <v>6599</v>
      </c>
      <c r="B243" s="140">
        <v>27445.0</v>
      </c>
      <c r="C243" s="140" t="s">
        <v>6629</v>
      </c>
      <c r="D243" s="140" t="s">
        <v>6318</v>
      </c>
      <c r="E243" s="140" t="s">
        <v>6323</v>
      </c>
      <c r="F243" s="140" t="s">
        <v>6624</v>
      </c>
      <c r="G243" s="141" t="s">
        <v>6401</v>
      </c>
      <c r="H243" s="140" t="s">
        <v>6312</v>
      </c>
      <c r="I243" s="140" t="s">
        <v>6313</v>
      </c>
      <c r="J243" s="140" t="s">
        <v>6314</v>
      </c>
      <c r="K243" s="140" t="s">
        <v>6603</v>
      </c>
    </row>
    <row r="244">
      <c r="A244" s="140" t="s">
        <v>6599</v>
      </c>
      <c r="B244" s="140">
        <v>27122.0</v>
      </c>
      <c r="C244" s="140" t="s">
        <v>6630</v>
      </c>
      <c r="D244" s="140" t="s">
        <v>6318</v>
      </c>
      <c r="E244" s="140" t="s">
        <v>6323</v>
      </c>
      <c r="F244" s="140" t="s">
        <v>5741</v>
      </c>
      <c r="G244" s="141" t="s">
        <v>6401</v>
      </c>
      <c r="H244" s="140" t="s">
        <v>6312</v>
      </c>
      <c r="I244" s="140" t="s">
        <v>6313</v>
      </c>
      <c r="J244" s="140" t="s">
        <v>6314</v>
      </c>
      <c r="K244" s="140" t="s">
        <v>6603</v>
      </c>
    </row>
    <row r="245">
      <c r="A245" s="140" t="s">
        <v>6599</v>
      </c>
      <c r="B245" s="140">
        <v>25533.0</v>
      </c>
      <c r="C245" s="140" t="s">
        <v>6631</v>
      </c>
      <c r="D245" s="140" t="s">
        <v>6318</v>
      </c>
      <c r="E245" s="140" t="s">
        <v>6323</v>
      </c>
      <c r="F245" s="140" t="s">
        <v>6632</v>
      </c>
      <c r="G245" s="141" t="s">
        <v>6401</v>
      </c>
      <c r="H245" s="140" t="s">
        <v>6312</v>
      </c>
      <c r="I245" s="140" t="s">
        <v>6313</v>
      </c>
      <c r="J245" s="140" t="s">
        <v>6314</v>
      </c>
      <c r="K245" s="140" t="s">
        <v>6603</v>
      </c>
    </row>
    <row r="246">
      <c r="A246" s="140" t="s">
        <v>6599</v>
      </c>
      <c r="B246" s="140">
        <v>26174.0</v>
      </c>
      <c r="C246" s="140" t="s">
        <v>6633</v>
      </c>
      <c r="D246" s="140" t="s">
        <v>6318</v>
      </c>
      <c r="E246" s="140" t="s">
        <v>6323</v>
      </c>
      <c r="F246" s="140" t="s">
        <v>6632</v>
      </c>
      <c r="G246" s="141" t="s">
        <v>6401</v>
      </c>
      <c r="H246" s="140" t="s">
        <v>6312</v>
      </c>
      <c r="I246" s="140" t="s">
        <v>6313</v>
      </c>
      <c r="J246" s="140" t="s">
        <v>6314</v>
      </c>
      <c r="K246" s="140" t="s">
        <v>6603</v>
      </c>
    </row>
    <row r="247">
      <c r="A247" s="140" t="s">
        <v>6599</v>
      </c>
      <c r="B247" s="140">
        <v>25030.0</v>
      </c>
      <c r="C247" s="140" t="s">
        <v>6634</v>
      </c>
      <c r="D247" s="140" t="s">
        <v>6318</v>
      </c>
      <c r="E247" s="140" t="s">
        <v>6323</v>
      </c>
      <c r="F247" s="140" t="s">
        <v>6635</v>
      </c>
      <c r="G247" s="141" t="s">
        <v>6401</v>
      </c>
      <c r="H247" s="140" t="s">
        <v>6312</v>
      </c>
      <c r="I247" s="140" t="s">
        <v>6313</v>
      </c>
      <c r="J247" s="140" t="s">
        <v>6314</v>
      </c>
      <c r="K247" s="140" t="s">
        <v>6603</v>
      </c>
    </row>
    <row r="248">
      <c r="A248" s="140" t="s">
        <v>6599</v>
      </c>
      <c r="B248" s="140">
        <v>24767.0</v>
      </c>
      <c r="C248" s="140" t="s">
        <v>6636</v>
      </c>
      <c r="D248" s="140" t="s">
        <v>6318</v>
      </c>
      <c r="E248" s="140" t="s">
        <v>6323</v>
      </c>
      <c r="F248" s="140" t="s">
        <v>6635</v>
      </c>
      <c r="G248" s="141" t="s">
        <v>6401</v>
      </c>
      <c r="H248" s="140" t="s">
        <v>6312</v>
      </c>
      <c r="I248" s="140" t="s">
        <v>6313</v>
      </c>
      <c r="J248" s="140" t="s">
        <v>6314</v>
      </c>
      <c r="K248" s="140" t="s">
        <v>6603</v>
      </c>
    </row>
    <row r="249">
      <c r="A249" s="140" t="s">
        <v>6599</v>
      </c>
      <c r="B249" s="140">
        <v>26760.0</v>
      </c>
      <c r="C249" s="140" t="s">
        <v>6637</v>
      </c>
      <c r="D249" s="140" t="s">
        <v>6318</v>
      </c>
      <c r="E249" s="140" t="s">
        <v>6323</v>
      </c>
      <c r="F249" s="140" t="s">
        <v>6635</v>
      </c>
      <c r="G249" s="141" t="s">
        <v>6401</v>
      </c>
      <c r="H249" s="140" t="s">
        <v>6312</v>
      </c>
      <c r="I249" s="140" t="s">
        <v>6313</v>
      </c>
      <c r="J249" s="140" t="s">
        <v>6314</v>
      </c>
      <c r="K249" s="140" t="s">
        <v>6603</v>
      </c>
    </row>
    <row r="250">
      <c r="A250" s="140" t="s">
        <v>6599</v>
      </c>
      <c r="B250" s="140">
        <v>26764.0</v>
      </c>
      <c r="C250" s="140" t="s">
        <v>6638</v>
      </c>
      <c r="D250" s="140" t="s">
        <v>6318</v>
      </c>
      <c r="E250" s="140" t="s">
        <v>6323</v>
      </c>
      <c r="F250" s="140" t="s">
        <v>6635</v>
      </c>
      <c r="G250" s="141" t="s">
        <v>6401</v>
      </c>
      <c r="H250" s="140" t="s">
        <v>6312</v>
      </c>
      <c r="I250" s="140" t="s">
        <v>6313</v>
      </c>
      <c r="J250" s="140" t="s">
        <v>6314</v>
      </c>
      <c r="K250" s="140" t="s">
        <v>6603</v>
      </c>
    </row>
    <row r="251">
      <c r="A251" s="140" t="s">
        <v>6599</v>
      </c>
      <c r="B251" s="140">
        <v>26766.0</v>
      </c>
      <c r="C251" s="140" t="s">
        <v>6639</v>
      </c>
      <c r="D251" s="140" t="s">
        <v>6318</v>
      </c>
      <c r="E251" s="140" t="s">
        <v>6323</v>
      </c>
      <c r="F251" s="140" t="s">
        <v>6635</v>
      </c>
      <c r="G251" s="141" t="s">
        <v>6401</v>
      </c>
      <c r="H251" s="140" t="s">
        <v>6312</v>
      </c>
      <c r="I251" s="140" t="s">
        <v>6313</v>
      </c>
      <c r="J251" s="140" t="s">
        <v>6314</v>
      </c>
      <c r="K251" s="140" t="s">
        <v>6603</v>
      </c>
    </row>
    <row r="252">
      <c r="A252" s="140" t="s">
        <v>6599</v>
      </c>
      <c r="B252" s="140">
        <v>24824.0</v>
      </c>
      <c r="C252" s="140" t="s">
        <v>6640</v>
      </c>
      <c r="D252" s="140" t="s">
        <v>6318</v>
      </c>
      <c r="E252" s="140" t="s">
        <v>6323</v>
      </c>
      <c r="F252" s="140" t="s">
        <v>6635</v>
      </c>
      <c r="G252" s="141" t="s">
        <v>6401</v>
      </c>
      <c r="H252" s="140" t="s">
        <v>6312</v>
      </c>
      <c r="I252" s="140" t="s">
        <v>6313</v>
      </c>
      <c r="J252" s="140" t="s">
        <v>6314</v>
      </c>
      <c r="K252" s="140" t="s">
        <v>6603</v>
      </c>
    </row>
    <row r="253">
      <c r="A253" s="140" t="s">
        <v>6599</v>
      </c>
      <c r="B253" s="140">
        <v>25803.0</v>
      </c>
      <c r="C253" s="140" t="s">
        <v>6641</v>
      </c>
      <c r="D253" s="140" t="s">
        <v>6318</v>
      </c>
      <c r="E253" s="140" t="s">
        <v>6323</v>
      </c>
      <c r="F253" s="140" t="s">
        <v>6635</v>
      </c>
      <c r="G253" s="141" t="s">
        <v>6401</v>
      </c>
      <c r="H253" s="140" t="s">
        <v>6312</v>
      </c>
      <c r="I253" s="140" t="s">
        <v>6313</v>
      </c>
      <c r="J253" s="140" t="s">
        <v>6314</v>
      </c>
      <c r="K253" s="140" t="s">
        <v>6603</v>
      </c>
    </row>
    <row r="254">
      <c r="A254" s="140" t="s">
        <v>6599</v>
      </c>
      <c r="B254" s="140">
        <v>26055.0</v>
      </c>
      <c r="C254" s="140" t="s">
        <v>6642</v>
      </c>
      <c r="D254" s="140" t="s">
        <v>6318</v>
      </c>
      <c r="E254" s="140" t="s">
        <v>6323</v>
      </c>
      <c r="F254" s="140" t="s">
        <v>6635</v>
      </c>
      <c r="G254" s="141" t="s">
        <v>6401</v>
      </c>
      <c r="H254" s="140" t="s">
        <v>6312</v>
      </c>
      <c r="I254" s="140" t="s">
        <v>6313</v>
      </c>
      <c r="J254" s="140" t="s">
        <v>6314</v>
      </c>
      <c r="K254" s="140" t="s">
        <v>6603</v>
      </c>
    </row>
    <row r="255">
      <c r="A255" s="140" t="s">
        <v>6599</v>
      </c>
      <c r="B255" s="140">
        <v>26057.0</v>
      </c>
      <c r="C255" s="140" t="s">
        <v>6643</v>
      </c>
      <c r="D255" s="140" t="s">
        <v>6318</v>
      </c>
      <c r="E255" s="140" t="s">
        <v>6323</v>
      </c>
      <c r="F255" s="140" t="s">
        <v>6635</v>
      </c>
      <c r="G255" s="141" t="s">
        <v>6401</v>
      </c>
      <c r="H255" s="140" t="s">
        <v>6312</v>
      </c>
      <c r="I255" s="140" t="s">
        <v>6313</v>
      </c>
      <c r="J255" s="140" t="s">
        <v>6314</v>
      </c>
      <c r="K255" s="140" t="s">
        <v>6603</v>
      </c>
    </row>
    <row r="256">
      <c r="A256" s="140" t="s">
        <v>6599</v>
      </c>
      <c r="B256" s="140">
        <v>26736.0</v>
      </c>
      <c r="C256" s="140" t="s">
        <v>6644</v>
      </c>
      <c r="D256" s="140" t="s">
        <v>6318</v>
      </c>
      <c r="E256" s="140" t="s">
        <v>6323</v>
      </c>
      <c r="F256" s="140" t="s">
        <v>6635</v>
      </c>
      <c r="G256" s="141" t="s">
        <v>6401</v>
      </c>
      <c r="H256" s="140" t="s">
        <v>6312</v>
      </c>
      <c r="I256" s="140" t="s">
        <v>6313</v>
      </c>
      <c r="J256" s="140" t="s">
        <v>6314</v>
      </c>
      <c r="K256" s="140" t="s">
        <v>6603</v>
      </c>
    </row>
    <row r="257">
      <c r="A257" s="140" t="s">
        <v>6599</v>
      </c>
      <c r="B257" s="140">
        <v>26994.0</v>
      </c>
      <c r="C257" s="140" t="s">
        <v>6645</v>
      </c>
      <c r="D257" s="140" t="s">
        <v>6318</v>
      </c>
      <c r="E257" s="140" t="s">
        <v>6323</v>
      </c>
      <c r="F257" s="140" t="s">
        <v>6646</v>
      </c>
      <c r="G257" s="141" t="s">
        <v>6401</v>
      </c>
      <c r="H257" s="140" t="s">
        <v>6312</v>
      </c>
      <c r="I257" s="140" t="s">
        <v>6313</v>
      </c>
      <c r="J257" s="140" t="s">
        <v>6314</v>
      </c>
      <c r="K257" s="140" t="s">
        <v>6603</v>
      </c>
    </row>
    <row r="258">
      <c r="A258" s="140" t="s">
        <v>6599</v>
      </c>
      <c r="B258" s="140">
        <v>26022.0</v>
      </c>
      <c r="C258" s="140" t="s">
        <v>6647</v>
      </c>
      <c r="D258" s="140" t="s">
        <v>6318</v>
      </c>
      <c r="E258" s="140" t="s">
        <v>6323</v>
      </c>
      <c r="F258" s="140" t="s">
        <v>5771</v>
      </c>
      <c r="G258" s="141" t="s">
        <v>6401</v>
      </c>
      <c r="H258" s="140" t="s">
        <v>6312</v>
      </c>
      <c r="I258" s="140" t="s">
        <v>6313</v>
      </c>
      <c r="J258" s="140" t="s">
        <v>6314</v>
      </c>
      <c r="K258" s="140" t="s">
        <v>6603</v>
      </c>
    </row>
    <row r="259">
      <c r="A259" s="140" t="s">
        <v>6599</v>
      </c>
      <c r="B259" s="140" t="s">
        <v>6648</v>
      </c>
      <c r="C259" s="140" t="s">
        <v>6649</v>
      </c>
      <c r="D259" s="140" t="s">
        <v>6318</v>
      </c>
      <c r="E259" s="140" t="s">
        <v>6323</v>
      </c>
      <c r="F259" s="140" t="s">
        <v>5771</v>
      </c>
      <c r="G259" s="141" t="s">
        <v>6401</v>
      </c>
      <c r="H259" s="140" t="s">
        <v>6312</v>
      </c>
      <c r="I259" s="140" t="s">
        <v>6313</v>
      </c>
      <c r="J259" s="140" t="s">
        <v>6314</v>
      </c>
      <c r="K259" s="140" t="s">
        <v>6603</v>
      </c>
    </row>
    <row r="260">
      <c r="A260" s="140" t="s">
        <v>6599</v>
      </c>
      <c r="B260" s="140" t="s">
        <v>6650</v>
      </c>
      <c r="C260" s="140" t="s">
        <v>6651</v>
      </c>
      <c r="D260" s="140" t="s">
        <v>6318</v>
      </c>
      <c r="E260" s="140" t="s">
        <v>6323</v>
      </c>
      <c r="F260" s="140" t="s">
        <v>5771</v>
      </c>
      <c r="G260" s="141" t="s">
        <v>6401</v>
      </c>
      <c r="H260" s="140" t="s">
        <v>6312</v>
      </c>
      <c r="I260" s="140" t="s">
        <v>6313</v>
      </c>
      <c r="J260" s="140" t="s">
        <v>6314</v>
      </c>
      <c r="K260" s="140" t="s">
        <v>6603</v>
      </c>
    </row>
    <row r="261">
      <c r="A261" s="140" t="s">
        <v>6599</v>
      </c>
      <c r="B261" s="140">
        <v>26409.0</v>
      </c>
      <c r="C261" s="140" t="s">
        <v>6652</v>
      </c>
      <c r="D261" s="140" t="s">
        <v>6318</v>
      </c>
      <c r="E261" s="140" t="s">
        <v>6323</v>
      </c>
      <c r="F261" s="140" t="s">
        <v>6653</v>
      </c>
      <c r="G261" s="141" t="s">
        <v>6401</v>
      </c>
      <c r="H261" s="140" t="s">
        <v>6312</v>
      </c>
      <c r="I261" s="140" t="s">
        <v>6313</v>
      </c>
      <c r="J261" s="140" t="s">
        <v>6314</v>
      </c>
      <c r="K261" s="140" t="s">
        <v>6603</v>
      </c>
    </row>
    <row r="262">
      <c r="A262" s="140" t="s">
        <v>6599</v>
      </c>
      <c r="B262" s="140">
        <v>25566.0</v>
      </c>
      <c r="C262" s="140" t="s">
        <v>6654</v>
      </c>
      <c r="D262" s="140" t="s">
        <v>6318</v>
      </c>
      <c r="E262" s="140" t="s">
        <v>6323</v>
      </c>
      <c r="F262" s="140" t="s">
        <v>6653</v>
      </c>
      <c r="G262" s="141" t="s">
        <v>6401</v>
      </c>
      <c r="H262" s="140" t="s">
        <v>6312</v>
      </c>
      <c r="I262" s="140" t="s">
        <v>6313</v>
      </c>
      <c r="J262" s="140" t="s">
        <v>6314</v>
      </c>
      <c r="K262" s="140" t="s">
        <v>6603</v>
      </c>
    </row>
    <row r="263">
      <c r="A263" s="140" t="s">
        <v>6599</v>
      </c>
      <c r="B263" s="140">
        <v>26883.0</v>
      </c>
      <c r="C263" s="140" t="s">
        <v>6655</v>
      </c>
      <c r="D263" s="140" t="s">
        <v>6318</v>
      </c>
      <c r="E263" s="140" t="s">
        <v>6323</v>
      </c>
      <c r="F263" s="140" t="s">
        <v>6653</v>
      </c>
      <c r="G263" s="141" t="s">
        <v>6401</v>
      </c>
      <c r="H263" s="140" t="s">
        <v>6312</v>
      </c>
      <c r="I263" s="140" t="s">
        <v>6313</v>
      </c>
      <c r="J263" s="140" t="s">
        <v>6314</v>
      </c>
      <c r="K263" s="140" t="s">
        <v>6603</v>
      </c>
    </row>
    <row r="264">
      <c r="A264" s="140" t="s">
        <v>6599</v>
      </c>
      <c r="B264" s="140">
        <v>26885.0</v>
      </c>
      <c r="C264" s="140" t="s">
        <v>6656</v>
      </c>
      <c r="D264" s="140" t="s">
        <v>6318</v>
      </c>
      <c r="E264" s="140" t="s">
        <v>6323</v>
      </c>
      <c r="F264" s="140" t="s">
        <v>6653</v>
      </c>
      <c r="G264" s="141" t="s">
        <v>6401</v>
      </c>
      <c r="H264" s="140" t="s">
        <v>6312</v>
      </c>
      <c r="I264" s="140" t="s">
        <v>6313</v>
      </c>
      <c r="J264" s="140" t="s">
        <v>6314</v>
      </c>
      <c r="K264" s="140" t="s">
        <v>6603</v>
      </c>
    </row>
    <row r="265">
      <c r="A265" s="140" t="s">
        <v>6599</v>
      </c>
      <c r="B265" s="140">
        <v>26884.0</v>
      </c>
      <c r="C265" s="140" t="s">
        <v>6657</v>
      </c>
      <c r="D265" s="140" t="s">
        <v>6318</v>
      </c>
      <c r="E265" s="140" t="s">
        <v>6323</v>
      </c>
      <c r="F265" s="140" t="s">
        <v>6653</v>
      </c>
      <c r="G265" s="141" t="s">
        <v>6401</v>
      </c>
      <c r="H265" s="140" t="s">
        <v>6312</v>
      </c>
      <c r="I265" s="140" t="s">
        <v>6313</v>
      </c>
      <c r="J265" s="140" t="s">
        <v>6314</v>
      </c>
      <c r="K265" s="140" t="s">
        <v>6603</v>
      </c>
    </row>
    <row r="266">
      <c r="A266" s="140" t="s">
        <v>6599</v>
      </c>
      <c r="B266" s="140">
        <v>27409.0</v>
      </c>
      <c r="C266" s="140" t="s">
        <v>6658</v>
      </c>
      <c r="D266" s="140" t="s">
        <v>6318</v>
      </c>
      <c r="E266" s="140" t="s">
        <v>6323</v>
      </c>
      <c r="F266" s="140" t="s">
        <v>6653</v>
      </c>
      <c r="G266" s="141" t="s">
        <v>6401</v>
      </c>
      <c r="H266" s="140" t="s">
        <v>6312</v>
      </c>
      <c r="I266" s="140" t="s">
        <v>6313</v>
      </c>
      <c r="J266" s="140" t="s">
        <v>6314</v>
      </c>
      <c r="K266" s="140" t="s">
        <v>6603</v>
      </c>
    </row>
    <row r="267">
      <c r="A267" s="140" t="s">
        <v>6599</v>
      </c>
      <c r="B267" s="140">
        <v>27261.0</v>
      </c>
      <c r="C267" s="140" t="s">
        <v>6659</v>
      </c>
      <c r="D267" s="140" t="s">
        <v>6318</v>
      </c>
      <c r="E267" s="140" t="s">
        <v>6323</v>
      </c>
      <c r="F267" s="140" t="s">
        <v>6653</v>
      </c>
      <c r="G267" s="141" t="s">
        <v>6401</v>
      </c>
      <c r="H267" s="140" t="s">
        <v>6312</v>
      </c>
      <c r="I267" s="140" t="s">
        <v>6313</v>
      </c>
      <c r="J267" s="140" t="s">
        <v>6314</v>
      </c>
      <c r="K267" s="140" t="s">
        <v>6603</v>
      </c>
    </row>
    <row r="268">
      <c r="A268" s="140" t="s">
        <v>6599</v>
      </c>
      <c r="B268" s="140">
        <v>27413.0</v>
      </c>
      <c r="C268" s="140" t="s">
        <v>6660</v>
      </c>
      <c r="D268" s="140" t="s">
        <v>6318</v>
      </c>
      <c r="E268" s="140" t="s">
        <v>6323</v>
      </c>
      <c r="F268" s="140" t="s">
        <v>6653</v>
      </c>
      <c r="G268" s="141" t="s">
        <v>6401</v>
      </c>
      <c r="H268" s="140" t="s">
        <v>6312</v>
      </c>
      <c r="I268" s="140" t="s">
        <v>6313</v>
      </c>
      <c r="J268" s="140" t="s">
        <v>6314</v>
      </c>
      <c r="K268" s="140" t="s">
        <v>6603</v>
      </c>
    </row>
    <row r="269">
      <c r="A269" s="140" t="s">
        <v>6599</v>
      </c>
      <c r="B269" s="140">
        <v>27411.0</v>
      </c>
      <c r="C269" s="140" t="s">
        <v>6661</v>
      </c>
      <c r="D269" s="140" t="s">
        <v>6318</v>
      </c>
      <c r="E269" s="140" t="s">
        <v>6323</v>
      </c>
      <c r="F269" s="140" t="s">
        <v>6653</v>
      </c>
      <c r="G269" s="141" t="s">
        <v>6401</v>
      </c>
      <c r="H269" s="140" t="s">
        <v>6312</v>
      </c>
      <c r="I269" s="140" t="s">
        <v>6313</v>
      </c>
      <c r="J269" s="140" t="s">
        <v>6314</v>
      </c>
      <c r="K269" s="140" t="s">
        <v>6603</v>
      </c>
    </row>
    <row r="270">
      <c r="A270" s="140" t="s">
        <v>6599</v>
      </c>
      <c r="B270" s="140">
        <v>25163.0</v>
      </c>
      <c r="C270" s="140" t="s">
        <v>6662</v>
      </c>
      <c r="D270" s="140" t="s">
        <v>6318</v>
      </c>
      <c r="E270" s="140" t="s">
        <v>6323</v>
      </c>
      <c r="F270" s="140" t="s">
        <v>6453</v>
      </c>
      <c r="G270" s="141" t="s">
        <v>6401</v>
      </c>
      <c r="H270" s="140" t="s">
        <v>6312</v>
      </c>
      <c r="I270" s="140" t="s">
        <v>6313</v>
      </c>
      <c r="J270" s="140" t="s">
        <v>6314</v>
      </c>
      <c r="K270" s="140" t="s">
        <v>6603</v>
      </c>
    </row>
    <row r="271">
      <c r="A271" s="140" t="s">
        <v>6599</v>
      </c>
      <c r="B271" s="140">
        <v>26925.0</v>
      </c>
      <c r="C271" s="140" t="s">
        <v>6663</v>
      </c>
      <c r="D271" s="140" t="s">
        <v>6318</v>
      </c>
      <c r="E271" s="140" t="s">
        <v>6323</v>
      </c>
      <c r="F271" s="140" t="s">
        <v>6453</v>
      </c>
      <c r="G271" s="141" t="s">
        <v>6664</v>
      </c>
      <c r="H271" s="140" t="s">
        <v>6312</v>
      </c>
      <c r="I271" s="140" t="s">
        <v>6313</v>
      </c>
      <c r="J271" s="140" t="s">
        <v>6314</v>
      </c>
      <c r="K271" s="140" t="s">
        <v>6603</v>
      </c>
    </row>
    <row r="272">
      <c r="A272" s="140" t="s">
        <v>6599</v>
      </c>
      <c r="B272" s="140">
        <v>26524.0</v>
      </c>
      <c r="C272" s="140" t="s">
        <v>6665</v>
      </c>
      <c r="D272" s="140" t="s">
        <v>6318</v>
      </c>
      <c r="E272" s="140" t="s">
        <v>6323</v>
      </c>
      <c r="F272" s="140" t="s">
        <v>6453</v>
      </c>
      <c r="G272" s="141" t="s">
        <v>6401</v>
      </c>
      <c r="H272" s="140" t="s">
        <v>6312</v>
      </c>
      <c r="I272" s="140" t="s">
        <v>6313</v>
      </c>
      <c r="J272" s="140" t="s">
        <v>6314</v>
      </c>
      <c r="K272" s="140" t="s">
        <v>6603</v>
      </c>
    </row>
    <row r="273">
      <c r="A273" s="140" t="s">
        <v>6599</v>
      </c>
      <c r="B273" s="140">
        <v>26525.0</v>
      </c>
      <c r="C273" s="140" t="s">
        <v>6666</v>
      </c>
      <c r="D273" s="140" t="s">
        <v>6318</v>
      </c>
      <c r="E273" s="140" t="s">
        <v>6323</v>
      </c>
      <c r="F273" s="140" t="s">
        <v>6453</v>
      </c>
      <c r="G273" s="141" t="s">
        <v>6401</v>
      </c>
      <c r="H273" s="140" t="s">
        <v>6312</v>
      </c>
      <c r="I273" s="140" t="s">
        <v>6313</v>
      </c>
      <c r="J273" s="140" t="s">
        <v>6314</v>
      </c>
      <c r="K273" s="140" t="s">
        <v>6603</v>
      </c>
    </row>
    <row r="274">
      <c r="A274" s="140" t="s">
        <v>6599</v>
      </c>
      <c r="B274" s="140">
        <v>26667.0</v>
      </c>
      <c r="C274" s="140" t="s">
        <v>6667</v>
      </c>
      <c r="D274" s="140" t="s">
        <v>6318</v>
      </c>
      <c r="E274" s="140" t="s">
        <v>6323</v>
      </c>
      <c r="F274" s="140" t="s">
        <v>6453</v>
      </c>
      <c r="G274" s="141" t="s">
        <v>6668</v>
      </c>
      <c r="H274" s="140" t="s">
        <v>6312</v>
      </c>
      <c r="I274" s="140" t="s">
        <v>6313</v>
      </c>
      <c r="J274" s="140" t="s">
        <v>6314</v>
      </c>
      <c r="K274" s="140" t="s">
        <v>6603</v>
      </c>
    </row>
    <row r="275">
      <c r="A275" s="140" t="s">
        <v>6599</v>
      </c>
      <c r="B275" s="140">
        <v>26669.0</v>
      </c>
      <c r="C275" s="140" t="s">
        <v>6669</v>
      </c>
      <c r="D275" s="140" t="s">
        <v>6318</v>
      </c>
      <c r="E275" s="140" t="s">
        <v>6323</v>
      </c>
      <c r="F275" s="140" t="s">
        <v>6453</v>
      </c>
      <c r="G275" s="141" t="s">
        <v>6664</v>
      </c>
      <c r="H275" s="140" t="s">
        <v>6312</v>
      </c>
      <c r="I275" s="140" t="s">
        <v>6313</v>
      </c>
      <c r="J275" s="140" t="s">
        <v>6314</v>
      </c>
      <c r="K275" s="140" t="s">
        <v>6603</v>
      </c>
    </row>
    <row r="276">
      <c r="A276" s="140" t="s">
        <v>6599</v>
      </c>
      <c r="B276" s="140">
        <v>26668.0</v>
      </c>
      <c r="C276" s="140" t="s">
        <v>6670</v>
      </c>
      <c r="D276" s="140" t="s">
        <v>6318</v>
      </c>
      <c r="E276" s="140" t="s">
        <v>6323</v>
      </c>
      <c r="F276" s="140" t="s">
        <v>6453</v>
      </c>
      <c r="G276" s="141" t="s">
        <v>6664</v>
      </c>
      <c r="H276" s="140" t="s">
        <v>6312</v>
      </c>
      <c r="I276" s="140" t="s">
        <v>6313</v>
      </c>
      <c r="J276" s="140" t="s">
        <v>6314</v>
      </c>
      <c r="K276" s="140" t="s">
        <v>6603</v>
      </c>
    </row>
    <row r="277">
      <c r="A277" s="140" t="s">
        <v>6599</v>
      </c>
      <c r="B277" s="140">
        <v>26670.0</v>
      </c>
      <c r="C277" s="140" t="s">
        <v>6671</v>
      </c>
      <c r="D277" s="140" t="s">
        <v>6318</v>
      </c>
      <c r="E277" s="140" t="s">
        <v>6323</v>
      </c>
      <c r="F277" s="140" t="s">
        <v>6453</v>
      </c>
      <c r="G277" s="141" t="s">
        <v>6401</v>
      </c>
      <c r="H277" s="140" t="s">
        <v>6312</v>
      </c>
      <c r="I277" s="140" t="s">
        <v>6313</v>
      </c>
      <c r="J277" s="140" t="s">
        <v>6314</v>
      </c>
      <c r="K277" s="140" t="s">
        <v>6603</v>
      </c>
    </row>
    <row r="278">
      <c r="A278" s="140" t="s">
        <v>6599</v>
      </c>
      <c r="B278" s="140">
        <v>26919.0</v>
      </c>
      <c r="C278" s="140" t="s">
        <v>6672</v>
      </c>
      <c r="D278" s="140" t="s">
        <v>6318</v>
      </c>
      <c r="E278" s="140" t="s">
        <v>6323</v>
      </c>
      <c r="F278" s="140" t="s">
        <v>6673</v>
      </c>
      <c r="G278" s="141" t="s">
        <v>6401</v>
      </c>
      <c r="H278" s="140" t="s">
        <v>6312</v>
      </c>
      <c r="I278" s="140" t="s">
        <v>6313</v>
      </c>
      <c r="J278" s="140" t="s">
        <v>6314</v>
      </c>
      <c r="K278" s="140" t="s">
        <v>6603</v>
      </c>
    </row>
    <row r="279">
      <c r="A279" s="140" t="s">
        <v>6599</v>
      </c>
      <c r="B279" s="140">
        <v>26778.0</v>
      </c>
      <c r="C279" s="140" t="s">
        <v>6674</v>
      </c>
      <c r="D279" s="140" t="s">
        <v>6318</v>
      </c>
      <c r="E279" s="140" t="s">
        <v>6323</v>
      </c>
      <c r="F279" s="140" t="s">
        <v>6673</v>
      </c>
      <c r="G279" s="141" t="s">
        <v>6401</v>
      </c>
      <c r="H279" s="140" t="s">
        <v>6312</v>
      </c>
      <c r="I279" s="140" t="s">
        <v>6313</v>
      </c>
      <c r="J279" s="140" t="s">
        <v>6314</v>
      </c>
      <c r="K279" s="140" t="s">
        <v>6603</v>
      </c>
    </row>
    <row r="280">
      <c r="A280" s="140" t="s">
        <v>6599</v>
      </c>
      <c r="B280" s="140">
        <v>26918.0</v>
      </c>
      <c r="C280" s="140" t="s">
        <v>6675</v>
      </c>
      <c r="D280" s="140" t="s">
        <v>6318</v>
      </c>
      <c r="E280" s="140" t="s">
        <v>6323</v>
      </c>
      <c r="F280" s="140" t="s">
        <v>6673</v>
      </c>
      <c r="G280" s="141" t="s">
        <v>6401</v>
      </c>
      <c r="H280" s="140" t="s">
        <v>6312</v>
      </c>
      <c r="I280" s="140" t="s">
        <v>6313</v>
      </c>
      <c r="J280" s="140" t="s">
        <v>6314</v>
      </c>
      <c r="K280" s="140" t="s">
        <v>6603</v>
      </c>
    </row>
    <row r="281">
      <c r="A281" s="140" t="s">
        <v>6599</v>
      </c>
      <c r="B281" s="140">
        <v>26502.0</v>
      </c>
      <c r="C281" s="140" t="s">
        <v>6676</v>
      </c>
      <c r="D281" s="140" t="s">
        <v>6318</v>
      </c>
      <c r="E281" s="140" t="s">
        <v>6323</v>
      </c>
      <c r="F281" s="140" t="s">
        <v>6677</v>
      </c>
      <c r="G281" s="141" t="s">
        <v>6401</v>
      </c>
      <c r="H281" s="140" t="s">
        <v>6312</v>
      </c>
      <c r="I281" s="140" t="s">
        <v>6313</v>
      </c>
      <c r="J281" s="140" t="s">
        <v>6314</v>
      </c>
      <c r="K281" s="140" t="s">
        <v>6603</v>
      </c>
    </row>
    <row r="282">
      <c r="A282" s="140" t="s">
        <v>6599</v>
      </c>
      <c r="B282" s="140">
        <v>27163.0</v>
      </c>
      <c r="C282" s="140" t="s">
        <v>6678</v>
      </c>
      <c r="D282" s="140" t="s">
        <v>6318</v>
      </c>
      <c r="E282" s="140" t="s">
        <v>6323</v>
      </c>
      <c r="F282" s="140" t="s">
        <v>6679</v>
      </c>
      <c r="G282" s="141" t="s">
        <v>6401</v>
      </c>
      <c r="H282" s="140" t="s">
        <v>6312</v>
      </c>
      <c r="I282" s="140" t="s">
        <v>6313</v>
      </c>
      <c r="J282" s="140" t="s">
        <v>6314</v>
      </c>
      <c r="K282" s="140" t="s">
        <v>6603</v>
      </c>
    </row>
    <row r="283">
      <c r="A283" s="140" t="s">
        <v>6599</v>
      </c>
      <c r="B283" s="140">
        <v>26935.0</v>
      </c>
      <c r="C283" s="140" t="s">
        <v>6680</v>
      </c>
      <c r="D283" s="140" t="s">
        <v>6318</v>
      </c>
      <c r="E283" s="140" t="s">
        <v>6323</v>
      </c>
      <c r="F283" s="140" t="s">
        <v>6679</v>
      </c>
      <c r="G283" s="141" t="s">
        <v>6401</v>
      </c>
      <c r="H283" s="140" t="s">
        <v>6312</v>
      </c>
      <c r="I283" s="140" t="s">
        <v>6313</v>
      </c>
      <c r="J283" s="140" t="s">
        <v>6314</v>
      </c>
      <c r="K283" s="140" t="s">
        <v>6603</v>
      </c>
    </row>
    <row r="284">
      <c r="A284" s="140" t="s">
        <v>6599</v>
      </c>
      <c r="B284" s="140">
        <v>27106.0</v>
      </c>
      <c r="C284" s="140" t="s">
        <v>6681</v>
      </c>
      <c r="D284" s="140" t="s">
        <v>6318</v>
      </c>
      <c r="E284" s="140" t="s">
        <v>6323</v>
      </c>
      <c r="F284" s="140" t="s">
        <v>6679</v>
      </c>
      <c r="G284" s="141" t="s">
        <v>6401</v>
      </c>
      <c r="H284" s="140" t="s">
        <v>6312</v>
      </c>
      <c r="I284" s="140" t="s">
        <v>6313</v>
      </c>
      <c r="J284" s="140" t="s">
        <v>6314</v>
      </c>
      <c r="K284" s="140" t="s">
        <v>6603</v>
      </c>
    </row>
    <row r="285">
      <c r="A285" s="140" t="s">
        <v>6599</v>
      </c>
      <c r="B285" s="140">
        <v>27174.0</v>
      </c>
      <c r="C285" s="140" t="s">
        <v>6682</v>
      </c>
      <c r="D285" s="140" t="s">
        <v>6318</v>
      </c>
      <c r="E285" s="140" t="s">
        <v>6323</v>
      </c>
      <c r="F285" s="140" t="s">
        <v>6679</v>
      </c>
      <c r="G285" s="141" t="s">
        <v>6401</v>
      </c>
      <c r="H285" s="140" t="s">
        <v>6312</v>
      </c>
      <c r="I285" s="140" t="s">
        <v>6313</v>
      </c>
      <c r="J285" s="140" t="s">
        <v>6314</v>
      </c>
      <c r="K285" s="140" t="s">
        <v>6603</v>
      </c>
    </row>
    <row r="286">
      <c r="A286" s="140" t="s">
        <v>6599</v>
      </c>
      <c r="B286" s="140">
        <v>27489.0</v>
      </c>
      <c r="C286" s="140" t="s">
        <v>6683</v>
      </c>
      <c r="D286" s="140" t="s">
        <v>6318</v>
      </c>
      <c r="E286" s="140" t="s">
        <v>6323</v>
      </c>
      <c r="F286" s="140" t="s">
        <v>6679</v>
      </c>
      <c r="G286" s="141" t="s">
        <v>6401</v>
      </c>
      <c r="H286" s="140" t="s">
        <v>6312</v>
      </c>
      <c r="I286" s="140" t="s">
        <v>6313</v>
      </c>
      <c r="J286" s="140" t="s">
        <v>6314</v>
      </c>
      <c r="K286" s="140" t="s">
        <v>6603</v>
      </c>
    </row>
    <row r="287">
      <c r="A287" s="140" t="s">
        <v>6599</v>
      </c>
      <c r="B287" s="140">
        <v>27487.0</v>
      </c>
      <c r="C287" s="140" t="s">
        <v>6684</v>
      </c>
      <c r="D287" s="140" t="s">
        <v>6318</v>
      </c>
      <c r="E287" s="140" t="s">
        <v>6323</v>
      </c>
      <c r="F287" s="140" t="s">
        <v>6679</v>
      </c>
      <c r="G287" s="141" t="s">
        <v>6664</v>
      </c>
      <c r="H287" s="140" t="s">
        <v>6312</v>
      </c>
      <c r="I287" s="140" t="s">
        <v>6313</v>
      </c>
      <c r="J287" s="140" t="s">
        <v>6314</v>
      </c>
      <c r="K287" s="140" t="s">
        <v>6603</v>
      </c>
    </row>
    <row r="288">
      <c r="A288" s="140" t="s">
        <v>6599</v>
      </c>
      <c r="B288" s="140">
        <v>27488.0</v>
      </c>
      <c r="C288" s="140" t="s">
        <v>6685</v>
      </c>
      <c r="D288" s="140" t="s">
        <v>6318</v>
      </c>
      <c r="E288" s="140" t="s">
        <v>6323</v>
      </c>
      <c r="F288" s="140" t="s">
        <v>6679</v>
      </c>
      <c r="G288" s="141" t="s">
        <v>6401</v>
      </c>
      <c r="H288" s="140" t="s">
        <v>6312</v>
      </c>
      <c r="I288" s="140" t="s">
        <v>6313</v>
      </c>
      <c r="J288" s="140" t="s">
        <v>6314</v>
      </c>
      <c r="K288" s="140" t="s">
        <v>6603</v>
      </c>
    </row>
    <row r="289">
      <c r="A289" s="140" t="s">
        <v>6599</v>
      </c>
      <c r="B289" s="140">
        <v>25835.0</v>
      </c>
      <c r="C289" s="140" t="s">
        <v>6686</v>
      </c>
      <c r="D289" s="140" t="s">
        <v>6318</v>
      </c>
      <c r="E289" s="140" t="s">
        <v>6323</v>
      </c>
      <c r="F289" s="140" t="s">
        <v>6463</v>
      </c>
      <c r="G289" s="141" t="s">
        <v>6401</v>
      </c>
      <c r="H289" s="140" t="s">
        <v>6312</v>
      </c>
      <c r="I289" s="140" t="s">
        <v>6313</v>
      </c>
      <c r="J289" s="140" t="s">
        <v>6314</v>
      </c>
      <c r="K289" s="140" t="s">
        <v>6603</v>
      </c>
    </row>
    <row r="290">
      <c r="A290" s="140" t="s">
        <v>6599</v>
      </c>
      <c r="B290" s="140">
        <v>26233.0</v>
      </c>
      <c r="C290" s="140" t="s">
        <v>6687</v>
      </c>
      <c r="D290" s="140" t="s">
        <v>6318</v>
      </c>
      <c r="E290" s="140" t="s">
        <v>6323</v>
      </c>
      <c r="F290" s="140" t="s">
        <v>6463</v>
      </c>
      <c r="G290" s="141" t="s">
        <v>6401</v>
      </c>
      <c r="H290" s="140" t="s">
        <v>6312</v>
      </c>
      <c r="I290" s="140" t="s">
        <v>6313</v>
      </c>
      <c r="J290" s="140" t="s">
        <v>6314</v>
      </c>
      <c r="K290" s="140" t="s">
        <v>6603</v>
      </c>
    </row>
    <row r="291">
      <c r="A291" s="140" t="s">
        <v>6599</v>
      </c>
      <c r="B291" s="140">
        <v>27125.0</v>
      </c>
      <c r="C291" s="140" t="s">
        <v>6688</v>
      </c>
      <c r="D291" s="140" t="s">
        <v>6318</v>
      </c>
      <c r="E291" s="140" t="s">
        <v>6323</v>
      </c>
      <c r="F291" s="140" t="s">
        <v>6689</v>
      </c>
      <c r="G291" s="141" t="s">
        <v>6401</v>
      </c>
      <c r="H291" s="140" t="s">
        <v>6312</v>
      </c>
      <c r="I291" s="140" t="s">
        <v>6313</v>
      </c>
      <c r="J291" s="140" t="s">
        <v>6314</v>
      </c>
      <c r="K291" s="140" t="s">
        <v>6603</v>
      </c>
    </row>
    <row r="292">
      <c r="A292" s="140" t="s">
        <v>6599</v>
      </c>
      <c r="B292" s="140">
        <v>27123.0</v>
      </c>
      <c r="C292" s="140" t="s">
        <v>6690</v>
      </c>
      <c r="D292" s="140" t="s">
        <v>6318</v>
      </c>
      <c r="E292" s="140" t="s">
        <v>6323</v>
      </c>
      <c r="F292" s="140" t="s">
        <v>6689</v>
      </c>
      <c r="G292" s="141" t="s">
        <v>6401</v>
      </c>
      <c r="H292" s="140" t="s">
        <v>6312</v>
      </c>
      <c r="I292" s="140" t="s">
        <v>6313</v>
      </c>
      <c r="J292" s="140" t="s">
        <v>6314</v>
      </c>
      <c r="K292" s="140" t="s">
        <v>6603</v>
      </c>
    </row>
    <row r="293">
      <c r="A293" s="140" t="s">
        <v>6599</v>
      </c>
      <c r="B293" s="140">
        <v>27124.0</v>
      </c>
      <c r="C293" s="140" t="s">
        <v>6691</v>
      </c>
      <c r="D293" s="140" t="s">
        <v>6318</v>
      </c>
      <c r="E293" s="140" t="s">
        <v>6323</v>
      </c>
      <c r="F293" s="140" t="s">
        <v>6689</v>
      </c>
      <c r="G293" s="141" t="s">
        <v>6401</v>
      </c>
      <c r="H293" s="140" t="s">
        <v>6312</v>
      </c>
      <c r="I293" s="140" t="s">
        <v>6313</v>
      </c>
      <c r="J293" s="140" t="s">
        <v>6314</v>
      </c>
      <c r="K293" s="140" t="s">
        <v>6603</v>
      </c>
    </row>
    <row r="294">
      <c r="A294" s="140" t="s">
        <v>6599</v>
      </c>
      <c r="B294" s="140">
        <v>26968.0</v>
      </c>
      <c r="C294" s="140" t="s">
        <v>6692</v>
      </c>
      <c r="D294" s="140" t="s">
        <v>6318</v>
      </c>
      <c r="E294" s="140" t="s">
        <v>6323</v>
      </c>
      <c r="F294" s="140" t="s">
        <v>6689</v>
      </c>
      <c r="G294" s="141" t="s">
        <v>6401</v>
      </c>
      <c r="H294" s="140" t="s">
        <v>6312</v>
      </c>
      <c r="I294" s="140" t="s">
        <v>6313</v>
      </c>
      <c r="J294" s="140" t="s">
        <v>6314</v>
      </c>
      <c r="K294" s="140" t="s">
        <v>6603</v>
      </c>
    </row>
    <row r="295">
      <c r="A295" s="140" t="s">
        <v>6599</v>
      </c>
      <c r="B295" s="140">
        <v>26967.0</v>
      </c>
      <c r="C295" s="140" t="s">
        <v>6693</v>
      </c>
      <c r="D295" s="140" t="s">
        <v>6318</v>
      </c>
      <c r="E295" s="140" t="s">
        <v>6323</v>
      </c>
      <c r="F295" s="140" t="s">
        <v>6689</v>
      </c>
      <c r="G295" s="141" t="s">
        <v>6401</v>
      </c>
      <c r="H295" s="140" t="s">
        <v>6312</v>
      </c>
      <c r="I295" s="140" t="s">
        <v>6313</v>
      </c>
      <c r="J295" s="140" t="s">
        <v>6314</v>
      </c>
      <c r="K295" s="140" t="s">
        <v>6603</v>
      </c>
    </row>
    <row r="296">
      <c r="A296" s="140" t="s">
        <v>6599</v>
      </c>
      <c r="B296" s="140">
        <v>27016.0</v>
      </c>
      <c r="C296" s="140" t="s">
        <v>6694</v>
      </c>
      <c r="D296" s="140" t="s">
        <v>6318</v>
      </c>
      <c r="E296" s="140" t="s">
        <v>6323</v>
      </c>
      <c r="F296" s="140" t="s">
        <v>6695</v>
      </c>
      <c r="G296" s="141" t="s">
        <v>6401</v>
      </c>
      <c r="H296" s="140" t="s">
        <v>6312</v>
      </c>
      <c r="I296" s="140" t="s">
        <v>6313</v>
      </c>
      <c r="J296" s="140" t="s">
        <v>6314</v>
      </c>
      <c r="K296" s="140" t="s">
        <v>6603</v>
      </c>
    </row>
    <row r="297">
      <c r="A297" s="140" t="s">
        <v>6599</v>
      </c>
      <c r="B297" s="140">
        <v>25782.0</v>
      </c>
      <c r="C297" s="140" t="s">
        <v>6696</v>
      </c>
      <c r="D297" s="140" t="s">
        <v>6318</v>
      </c>
      <c r="E297" s="140" t="s">
        <v>6323</v>
      </c>
      <c r="F297" s="140" t="s">
        <v>6695</v>
      </c>
      <c r="G297" s="141" t="s">
        <v>6401</v>
      </c>
      <c r="H297" s="140" t="s">
        <v>6312</v>
      </c>
      <c r="I297" s="140" t="s">
        <v>6313</v>
      </c>
      <c r="J297" s="140" t="s">
        <v>6314</v>
      </c>
      <c r="K297" s="140" t="s">
        <v>6603</v>
      </c>
    </row>
    <row r="298">
      <c r="A298" s="140" t="s">
        <v>6599</v>
      </c>
      <c r="B298" s="140">
        <v>26966.0</v>
      </c>
      <c r="C298" s="140" t="s">
        <v>6697</v>
      </c>
      <c r="D298" s="140" t="s">
        <v>6318</v>
      </c>
      <c r="E298" s="140" t="s">
        <v>6323</v>
      </c>
      <c r="F298" s="140" t="s">
        <v>6695</v>
      </c>
      <c r="G298" s="141" t="s">
        <v>6401</v>
      </c>
      <c r="H298" s="140" t="s">
        <v>6312</v>
      </c>
      <c r="I298" s="140" t="s">
        <v>6313</v>
      </c>
      <c r="J298" s="140" t="s">
        <v>6314</v>
      </c>
      <c r="K298" s="140" t="s">
        <v>6603</v>
      </c>
    </row>
    <row r="299">
      <c r="A299" s="140" t="s">
        <v>6599</v>
      </c>
      <c r="B299" s="140">
        <v>26026.0</v>
      </c>
      <c r="C299" s="140" t="s">
        <v>6698</v>
      </c>
      <c r="D299" s="140" t="s">
        <v>6601</v>
      </c>
      <c r="E299" s="140" t="s">
        <v>526</v>
      </c>
      <c r="F299" s="140" t="s">
        <v>527</v>
      </c>
      <c r="G299" s="141" t="s">
        <v>6401</v>
      </c>
      <c r="H299" s="140" t="s">
        <v>6312</v>
      </c>
      <c r="I299" s="140" t="s">
        <v>6313</v>
      </c>
      <c r="J299" s="140" t="s">
        <v>6314</v>
      </c>
      <c r="K299" s="140" t="s">
        <v>6603</v>
      </c>
    </row>
    <row r="300">
      <c r="A300" s="140" t="s">
        <v>6599</v>
      </c>
      <c r="B300" s="140">
        <v>26025.0</v>
      </c>
      <c r="C300" s="140" t="s">
        <v>6699</v>
      </c>
      <c r="D300" s="140" t="s">
        <v>6601</v>
      </c>
      <c r="E300" s="140" t="s">
        <v>526</v>
      </c>
      <c r="F300" s="140" t="s">
        <v>527</v>
      </c>
      <c r="G300" s="141" t="s">
        <v>6401</v>
      </c>
      <c r="H300" s="140" t="s">
        <v>6312</v>
      </c>
      <c r="I300" s="140" t="s">
        <v>6313</v>
      </c>
      <c r="J300" s="140" t="s">
        <v>6314</v>
      </c>
      <c r="K300" s="140" t="s">
        <v>6603</v>
      </c>
    </row>
    <row r="301">
      <c r="A301" s="140" t="s">
        <v>6599</v>
      </c>
      <c r="B301" s="140">
        <v>27353.0</v>
      </c>
      <c r="C301" s="140" t="s">
        <v>6700</v>
      </c>
      <c r="D301" s="140" t="s">
        <v>6318</v>
      </c>
      <c r="E301" s="140" t="s">
        <v>6142</v>
      </c>
      <c r="F301" s="140" t="s">
        <v>6476</v>
      </c>
      <c r="G301" s="141" t="s">
        <v>6401</v>
      </c>
      <c r="H301" s="140" t="s">
        <v>6312</v>
      </c>
      <c r="I301" s="140" t="s">
        <v>6313</v>
      </c>
      <c r="J301" s="140" t="s">
        <v>6314</v>
      </c>
      <c r="K301" s="140" t="s">
        <v>6603</v>
      </c>
    </row>
    <row r="302">
      <c r="A302" s="140" t="s">
        <v>6599</v>
      </c>
      <c r="B302" s="140">
        <v>27433.0</v>
      </c>
      <c r="C302" s="140" t="s">
        <v>6701</v>
      </c>
      <c r="D302" s="140" t="s">
        <v>6318</v>
      </c>
      <c r="E302" s="140" t="s">
        <v>6142</v>
      </c>
      <c r="F302" s="140" t="s">
        <v>6476</v>
      </c>
      <c r="G302" s="141" t="s">
        <v>6401</v>
      </c>
      <c r="H302" s="140" t="s">
        <v>6312</v>
      </c>
      <c r="I302" s="140" t="s">
        <v>6313</v>
      </c>
      <c r="J302" s="140" t="s">
        <v>6314</v>
      </c>
      <c r="K302" s="140" t="s">
        <v>6603</v>
      </c>
    </row>
    <row r="303">
      <c r="A303" s="140" t="s">
        <v>6599</v>
      </c>
      <c r="B303" s="140">
        <v>27434.0</v>
      </c>
      <c r="C303" s="140" t="s">
        <v>6702</v>
      </c>
      <c r="D303" s="140" t="s">
        <v>6318</v>
      </c>
      <c r="E303" s="140" t="s">
        <v>6142</v>
      </c>
      <c r="F303" s="140" t="s">
        <v>6476</v>
      </c>
      <c r="G303" s="141" t="s">
        <v>6401</v>
      </c>
      <c r="H303" s="140" t="s">
        <v>6312</v>
      </c>
      <c r="I303" s="140" t="s">
        <v>6313</v>
      </c>
      <c r="J303" s="140" t="s">
        <v>6314</v>
      </c>
      <c r="K303" s="140" t="s">
        <v>6603</v>
      </c>
    </row>
    <row r="304">
      <c r="A304" s="140" t="s">
        <v>6599</v>
      </c>
      <c r="B304" s="140">
        <v>27246.0</v>
      </c>
      <c r="C304" s="140" t="s">
        <v>6703</v>
      </c>
      <c r="D304" s="140" t="s">
        <v>6318</v>
      </c>
      <c r="E304" s="140" t="s">
        <v>6142</v>
      </c>
      <c r="F304" s="140" t="s">
        <v>6476</v>
      </c>
      <c r="G304" s="141" t="s">
        <v>6401</v>
      </c>
      <c r="H304" s="140" t="s">
        <v>6312</v>
      </c>
      <c r="I304" s="140" t="s">
        <v>6313</v>
      </c>
      <c r="J304" s="140" t="s">
        <v>6314</v>
      </c>
      <c r="K304" s="140" t="s">
        <v>6603</v>
      </c>
    </row>
    <row r="305">
      <c r="A305" s="140" t="s">
        <v>6599</v>
      </c>
      <c r="B305" s="140">
        <v>26575.0</v>
      </c>
      <c r="C305" s="140" t="s">
        <v>6704</v>
      </c>
      <c r="D305" s="140" t="s">
        <v>6318</v>
      </c>
      <c r="E305" s="140" t="s">
        <v>6142</v>
      </c>
      <c r="F305" s="140" t="s">
        <v>6476</v>
      </c>
      <c r="G305" s="141" t="s">
        <v>6401</v>
      </c>
      <c r="H305" s="140" t="s">
        <v>6312</v>
      </c>
      <c r="I305" s="140" t="s">
        <v>6313</v>
      </c>
      <c r="J305" s="140" t="s">
        <v>6314</v>
      </c>
      <c r="K305" s="140" t="s">
        <v>6603</v>
      </c>
    </row>
    <row r="306">
      <c r="A306" s="140" t="s">
        <v>6599</v>
      </c>
      <c r="B306" s="140">
        <v>26596.0</v>
      </c>
      <c r="C306" s="140" t="s">
        <v>6705</v>
      </c>
      <c r="D306" s="140" t="s">
        <v>6318</v>
      </c>
      <c r="E306" s="140" t="s">
        <v>6142</v>
      </c>
      <c r="F306" s="140" t="s">
        <v>6476</v>
      </c>
      <c r="G306" s="141" t="s">
        <v>6401</v>
      </c>
      <c r="H306" s="140" t="s">
        <v>6312</v>
      </c>
      <c r="I306" s="140" t="s">
        <v>6313</v>
      </c>
      <c r="J306" s="140" t="s">
        <v>6314</v>
      </c>
      <c r="K306" s="140" t="s">
        <v>6603</v>
      </c>
    </row>
    <row r="307">
      <c r="A307" s="140" t="s">
        <v>6599</v>
      </c>
      <c r="B307" s="140">
        <v>27249.0</v>
      </c>
      <c r="C307" s="140" t="s">
        <v>6706</v>
      </c>
      <c r="D307" s="140" t="s">
        <v>6318</v>
      </c>
      <c r="E307" s="140" t="s">
        <v>6142</v>
      </c>
      <c r="F307" s="140" t="s">
        <v>6476</v>
      </c>
      <c r="G307" s="141" t="s">
        <v>6401</v>
      </c>
      <c r="H307" s="140" t="s">
        <v>6312</v>
      </c>
      <c r="I307" s="140" t="s">
        <v>6313</v>
      </c>
      <c r="J307" s="140" t="s">
        <v>6314</v>
      </c>
      <c r="K307" s="140" t="s">
        <v>6603</v>
      </c>
    </row>
    <row r="308">
      <c r="A308" s="140" t="s">
        <v>6599</v>
      </c>
      <c r="B308" s="140">
        <v>27245.0</v>
      </c>
      <c r="C308" s="140" t="s">
        <v>6707</v>
      </c>
      <c r="D308" s="140" t="s">
        <v>6318</v>
      </c>
      <c r="E308" s="140" t="s">
        <v>6142</v>
      </c>
      <c r="F308" s="140" t="s">
        <v>6476</v>
      </c>
      <c r="G308" s="141" t="s">
        <v>6401</v>
      </c>
      <c r="H308" s="140" t="s">
        <v>6312</v>
      </c>
      <c r="I308" s="140" t="s">
        <v>6313</v>
      </c>
      <c r="J308" s="140" t="s">
        <v>6314</v>
      </c>
      <c r="K308" s="140" t="s">
        <v>6603</v>
      </c>
    </row>
    <row r="309">
      <c r="A309" s="140" t="s">
        <v>6599</v>
      </c>
      <c r="B309" s="140">
        <v>26070.0</v>
      </c>
      <c r="C309" s="140" t="s">
        <v>6708</v>
      </c>
      <c r="D309" s="140" t="s">
        <v>6318</v>
      </c>
      <c r="E309" s="140" t="s">
        <v>6142</v>
      </c>
      <c r="F309" s="140" t="s">
        <v>6476</v>
      </c>
      <c r="G309" s="141" t="s">
        <v>6401</v>
      </c>
      <c r="H309" s="140" t="s">
        <v>6312</v>
      </c>
      <c r="I309" s="140" t="s">
        <v>6313</v>
      </c>
      <c r="J309" s="140" t="s">
        <v>6314</v>
      </c>
      <c r="K309" s="140" t="s">
        <v>6603</v>
      </c>
    </row>
    <row r="310">
      <c r="A310" s="140" t="s">
        <v>6599</v>
      </c>
      <c r="B310" s="140">
        <v>27496.0</v>
      </c>
      <c r="C310" s="140" t="s">
        <v>6709</v>
      </c>
      <c r="D310" s="140" t="s">
        <v>6318</v>
      </c>
      <c r="E310" s="140" t="s">
        <v>5721</v>
      </c>
      <c r="F310" s="140" t="s">
        <v>5792</v>
      </c>
      <c r="G310" s="141" t="s">
        <v>6401</v>
      </c>
      <c r="H310" s="140" t="s">
        <v>6312</v>
      </c>
      <c r="I310" s="140" t="s">
        <v>6313</v>
      </c>
      <c r="J310" s="140" t="s">
        <v>6314</v>
      </c>
      <c r="K310" s="140" t="s">
        <v>6603</v>
      </c>
    </row>
    <row r="311">
      <c r="A311" s="140" t="s">
        <v>6599</v>
      </c>
      <c r="B311" s="140">
        <v>27495.0</v>
      </c>
      <c r="C311" s="140" t="s">
        <v>6710</v>
      </c>
      <c r="D311" s="140" t="s">
        <v>6318</v>
      </c>
      <c r="E311" s="140" t="s">
        <v>5721</v>
      </c>
      <c r="F311" s="140" t="s">
        <v>5792</v>
      </c>
      <c r="G311" s="141" t="s">
        <v>6401</v>
      </c>
      <c r="H311" s="140" t="s">
        <v>6312</v>
      </c>
      <c r="I311" s="140" t="s">
        <v>6313</v>
      </c>
      <c r="J311" s="140" t="s">
        <v>6314</v>
      </c>
      <c r="K311" s="140" t="s">
        <v>6603</v>
      </c>
    </row>
    <row r="312">
      <c r="A312" s="140" t="s">
        <v>6599</v>
      </c>
      <c r="B312" s="140">
        <v>27198.0</v>
      </c>
      <c r="C312" s="140" t="s">
        <v>6711</v>
      </c>
      <c r="D312" s="140" t="s">
        <v>6318</v>
      </c>
      <c r="E312" s="140" t="s">
        <v>1301</v>
      </c>
      <c r="F312" s="140" t="s">
        <v>735</v>
      </c>
      <c r="G312" s="141" t="s">
        <v>6401</v>
      </c>
      <c r="H312" s="140" t="s">
        <v>6312</v>
      </c>
      <c r="I312" s="140" t="s">
        <v>6313</v>
      </c>
      <c r="J312" s="140" t="s">
        <v>6314</v>
      </c>
      <c r="K312" s="140" t="s">
        <v>6603</v>
      </c>
    </row>
    <row r="313">
      <c r="A313" s="140" t="s">
        <v>6599</v>
      </c>
      <c r="B313" s="140">
        <v>26250.0</v>
      </c>
      <c r="C313" s="140" t="s">
        <v>6712</v>
      </c>
      <c r="D313" s="140" t="s">
        <v>6318</v>
      </c>
      <c r="E313" s="140" t="s">
        <v>1323</v>
      </c>
      <c r="F313" s="140" t="s">
        <v>5780</v>
      </c>
      <c r="G313" s="141" t="s">
        <v>6401</v>
      </c>
      <c r="H313" s="140" t="s">
        <v>6312</v>
      </c>
      <c r="I313" s="140" t="s">
        <v>6313</v>
      </c>
      <c r="J313" s="140" t="s">
        <v>6314</v>
      </c>
      <c r="K313" s="140" t="s">
        <v>6603</v>
      </c>
    </row>
    <row r="314">
      <c r="A314" s="140" t="s">
        <v>6599</v>
      </c>
      <c r="B314" s="140">
        <v>26882.0</v>
      </c>
      <c r="C314" s="140" t="s">
        <v>6713</v>
      </c>
      <c r="D314" s="140" t="s">
        <v>6318</v>
      </c>
      <c r="E314" s="140" t="s">
        <v>1323</v>
      </c>
      <c r="F314" s="140" t="s">
        <v>5780</v>
      </c>
      <c r="G314" s="141" t="s">
        <v>6401</v>
      </c>
      <c r="H314" s="140" t="s">
        <v>6312</v>
      </c>
      <c r="I314" s="140" t="s">
        <v>6313</v>
      </c>
      <c r="J314" s="140" t="s">
        <v>6314</v>
      </c>
      <c r="K314" s="140" t="s">
        <v>6603</v>
      </c>
    </row>
    <row r="315">
      <c r="A315" s="140" t="s">
        <v>6599</v>
      </c>
      <c r="B315" s="140">
        <v>26879.0</v>
      </c>
      <c r="C315" s="140" t="s">
        <v>6714</v>
      </c>
      <c r="D315" s="140" t="s">
        <v>6318</v>
      </c>
      <c r="E315" s="140" t="s">
        <v>1323</v>
      </c>
      <c r="F315" s="140" t="s">
        <v>5780</v>
      </c>
      <c r="G315" s="141" t="s">
        <v>6401</v>
      </c>
      <c r="H315" s="140" t="s">
        <v>6312</v>
      </c>
      <c r="I315" s="140" t="s">
        <v>6313</v>
      </c>
      <c r="J315" s="140" t="s">
        <v>6314</v>
      </c>
      <c r="K315" s="140" t="s">
        <v>6603</v>
      </c>
    </row>
    <row r="316">
      <c r="A316" s="140" t="s">
        <v>6599</v>
      </c>
      <c r="B316" s="140">
        <v>26021.0</v>
      </c>
      <c r="C316" s="140" t="s">
        <v>6715</v>
      </c>
      <c r="D316" s="140" t="s">
        <v>6318</v>
      </c>
      <c r="E316" s="140" t="s">
        <v>1323</v>
      </c>
      <c r="F316" s="140" t="s">
        <v>1340</v>
      </c>
      <c r="G316" s="141" t="s">
        <v>6401</v>
      </c>
      <c r="H316" s="140" t="s">
        <v>6312</v>
      </c>
      <c r="I316" s="140" t="s">
        <v>6313</v>
      </c>
      <c r="J316" s="140" t="s">
        <v>6314</v>
      </c>
      <c r="K316" s="140" t="s">
        <v>6603</v>
      </c>
    </row>
    <row r="317">
      <c r="A317" s="140" t="s">
        <v>6599</v>
      </c>
      <c r="B317" s="140">
        <v>27585.0</v>
      </c>
      <c r="C317" s="140" t="s">
        <v>6716</v>
      </c>
      <c r="D317" s="140" t="s">
        <v>6318</v>
      </c>
      <c r="E317" s="140" t="s">
        <v>1323</v>
      </c>
      <c r="F317" s="140" t="s">
        <v>1371</v>
      </c>
      <c r="G317" s="141" t="s">
        <v>6401</v>
      </c>
      <c r="H317" s="140" t="s">
        <v>6312</v>
      </c>
      <c r="I317" s="140" t="s">
        <v>6313</v>
      </c>
      <c r="J317" s="140" t="s">
        <v>6314</v>
      </c>
      <c r="K317" s="140" t="s">
        <v>6603</v>
      </c>
    </row>
    <row r="318">
      <c r="A318" s="140" t="s">
        <v>6599</v>
      </c>
      <c r="B318" s="140">
        <v>26969.0</v>
      </c>
      <c r="C318" s="140" t="s">
        <v>6717</v>
      </c>
      <c r="D318" s="140" t="s">
        <v>6718</v>
      </c>
      <c r="E318" s="140" t="s">
        <v>6719</v>
      </c>
      <c r="F318" s="140" t="s">
        <v>6720</v>
      </c>
      <c r="G318" s="141" t="s">
        <v>6401</v>
      </c>
      <c r="H318" s="140" t="s">
        <v>6312</v>
      </c>
      <c r="I318" s="140" t="s">
        <v>6313</v>
      </c>
      <c r="J318" s="140" t="s">
        <v>6314</v>
      </c>
      <c r="K318" s="140" t="s">
        <v>6603</v>
      </c>
    </row>
    <row r="319">
      <c r="A319" s="140" t="s">
        <v>6599</v>
      </c>
      <c r="B319" s="140">
        <v>27534.0</v>
      </c>
      <c r="C319" s="140" t="s">
        <v>6721</v>
      </c>
      <c r="D319" s="140" t="s">
        <v>6718</v>
      </c>
      <c r="E319" s="140" t="s">
        <v>6719</v>
      </c>
      <c r="F319" s="140" t="s">
        <v>6720</v>
      </c>
      <c r="G319" s="141" t="s">
        <v>6401</v>
      </c>
      <c r="H319" s="140" t="s">
        <v>6312</v>
      </c>
      <c r="I319" s="140" t="s">
        <v>6313</v>
      </c>
      <c r="J319" s="140" t="s">
        <v>6314</v>
      </c>
      <c r="K319" s="140" t="s">
        <v>6603</v>
      </c>
    </row>
    <row r="320">
      <c r="A320" s="140" t="s">
        <v>6599</v>
      </c>
      <c r="B320" s="140">
        <v>26970.0</v>
      </c>
      <c r="C320" s="140" t="s">
        <v>6722</v>
      </c>
      <c r="D320" s="140" t="s">
        <v>6718</v>
      </c>
      <c r="E320" s="140" t="s">
        <v>6719</v>
      </c>
      <c r="F320" s="140" t="s">
        <v>6720</v>
      </c>
      <c r="G320" s="141" t="s">
        <v>6401</v>
      </c>
      <c r="H320" s="140" t="s">
        <v>6312</v>
      </c>
      <c r="I320" s="140" t="s">
        <v>6313</v>
      </c>
      <c r="J320" s="140" t="s">
        <v>6314</v>
      </c>
      <c r="K320" s="140" t="s">
        <v>6603</v>
      </c>
    </row>
    <row r="321">
      <c r="A321" s="140" t="s">
        <v>6599</v>
      </c>
      <c r="B321" s="140">
        <v>27535.0</v>
      </c>
      <c r="C321" s="140" t="s">
        <v>6723</v>
      </c>
      <c r="D321" s="140" t="s">
        <v>6718</v>
      </c>
      <c r="E321" s="140" t="s">
        <v>6719</v>
      </c>
      <c r="F321" s="140" t="s">
        <v>6720</v>
      </c>
      <c r="G321" s="141" t="s">
        <v>6401</v>
      </c>
      <c r="H321" s="140" t="s">
        <v>6312</v>
      </c>
      <c r="I321" s="140" t="s">
        <v>6313</v>
      </c>
      <c r="J321" s="140" t="s">
        <v>6314</v>
      </c>
      <c r="K321" s="140" t="s">
        <v>6603</v>
      </c>
    </row>
    <row r="322">
      <c r="A322" s="140" t="s">
        <v>6599</v>
      </c>
      <c r="B322" s="140">
        <v>26029.0</v>
      </c>
      <c r="C322" s="140" t="s">
        <v>6724</v>
      </c>
      <c r="D322" s="140" t="s">
        <v>6318</v>
      </c>
      <c r="E322" s="140" t="s">
        <v>6550</v>
      </c>
      <c r="F322" s="140" t="s">
        <v>5714</v>
      </c>
      <c r="G322" s="141" t="s">
        <v>6401</v>
      </c>
      <c r="H322" s="140" t="s">
        <v>6312</v>
      </c>
      <c r="I322" s="140" t="s">
        <v>6313</v>
      </c>
      <c r="J322" s="140" t="s">
        <v>6314</v>
      </c>
      <c r="K322" s="140" t="s">
        <v>6603</v>
      </c>
    </row>
    <row r="323">
      <c r="A323" s="140" t="s">
        <v>6599</v>
      </c>
      <c r="B323" s="140">
        <v>27183.0</v>
      </c>
      <c r="C323" s="140" t="s">
        <v>6725</v>
      </c>
      <c r="D323" s="140" t="s">
        <v>6318</v>
      </c>
      <c r="E323" s="140" t="s">
        <v>6550</v>
      </c>
      <c r="F323" s="140" t="s">
        <v>5714</v>
      </c>
      <c r="G323" s="141" t="s">
        <v>6401</v>
      </c>
      <c r="H323" s="140" t="s">
        <v>6312</v>
      </c>
      <c r="I323" s="140" t="s">
        <v>6313</v>
      </c>
      <c r="J323" s="140" t="s">
        <v>6314</v>
      </c>
      <c r="K323" s="140" t="s">
        <v>6603</v>
      </c>
    </row>
    <row r="324">
      <c r="A324" s="140" t="s">
        <v>6599</v>
      </c>
      <c r="B324" s="140">
        <v>27027.0</v>
      </c>
      <c r="C324" s="140" t="s">
        <v>6726</v>
      </c>
      <c r="D324" s="140" t="s">
        <v>6318</v>
      </c>
      <c r="E324" s="140" t="s">
        <v>6550</v>
      </c>
      <c r="F324" s="140" t="s">
        <v>5735</v>
      </c>
      <c r="G324" s="141" t="s">
        <v>6401</v>
      </c>
      <c r="H324" s="140" t="s">
        <v>6312</v>
      </c>
      <c r="I324" s="140" t="s">
        <v>6313</v>
      </c>
      <c r="J324" s="140" t="s">
        <v>6314</v>
      </c>
      <c r="K324" s="140" t="s">
        <v>6603</v>
      </c>
    </row>
    <row r="325">
      <c r="A325" s="140" t="s">
        <v>6599</v>
      </c>
      <c r="B325" s="140">
        <v>26807.0</v>
      </c>
      <c r="C325" s="140" t="s">
        <v>6727</v>
      </c>
      <c r="D325" s="140" t="s">
        <v>6318</v>
      </c>
      <c r="E325" s="140" t="s">
        <v>6550</v>
      </c>
      <c r="F325" s="140" t="s">
        <v>5735</v>
      </c>
      <c r="G325" s="141" t="s">
        <v>6401</v>
      </c>
      <c r="H325" s="140" t="s">
        <v>6312</v>
      </c>
      <c r="I325" s="140" t="s">
        <v>6313</v>
      </c>
      <c r="J325" s="140" t="s">
        <v>6314</v>
      </c>
      <c r="K325" s="140" t="s">
        <v>6603</v>
      </c>
    </row>
    <row r="326">
      <c r="A326" s="140" t="s">
        <v>6599</v>
      </c>
      <c r="B326" s="140">
        <v>26808.0</v>
      </c>
      <c r="C326" s="140" t="s">
        <v>6728</v>
      </c>
      <c r="D326" s="140" t="s">
        <v>6318</v>
      </c>
      <c r="E326" s="140" t="s">
        <v>6550</v>
      </c>
      <c r="F326" s="140" t="s">
        <v>5735</v>
      </c>
      <c r="G326" s="141" t="s">
        <v>6401</v>
      </c>
      <c r="H326" s="140" t="s">
        <v>6312</v>
      </c>
      <c r="I326" s="140" t="s">
        <v>6313</v>
      </c>
      <c r="J326" s="140" t="s">
        <v>6314</v>
      </c>
      <c r="K326" s="140" t="s">
        <v>6603</v>
      </c>
    </row>
    <row r="327">
      <c r="A327" s="140" t="s">
        <v>6599</v>
      </c>
      <c r="B327" s="140">
        <v>27213.0</v>
      </c>
      <c r="C327" s="140" t="s">
        <v>6729</v>
      </c>
      <c r="D327" s="140" t="s">
        <v>6318</v>
      </c>
      <c r="E327" s="140" t="s">
        <v>6550</v>
      </c>
      <c r="F327" s="140" t="s">
        <v>5735</v>
      </c>
      <c r="G327" s="141" t="s">
        <v>6401</v>
      </c>
      <c r="H327" s="140" t="s">
        <v>6312</v>
      </c>
      <c r="I327" s="140" t="s">
        <v>6313</v>
      </c>
      <c r="J327" s="140" t="s">
        <v>6314</v>
      </c>
      <c r="K327" s="140" t="s">
        <v>6603</v>
      </c>
    </row>
    <row r="328">
      <c r="A328" s="140" t="s">
        <v>6599</v>
      </c>
      <c r="B328" s="140">
        <v>26916.0</v>
      </c>
      <c r="C328" s="140" t="s">
        <v>6730</v>
      </c>
      <c r="D328" s="140" t="s">
        <v>6318</v>
      </c>
      <c r="E328" s="140" t="s">
        <v>6550</v>
      </c>
      <c r="F328" s="140" t="s">
        <v>5735</v>
      </c>
      <c r="G328" s="141" t="s">
        <v>6401</v>
      </c>
      <c r="H328" s="140" t="s">
        <v>6312</v>
      </c>
      <c r="I328" s="140" t="s">
        <v>6313</v>
      </c>
      <c r="J328" s="140" t="s">
        <v>6314</v>
      </c>
      <c r="K328" s="140" t="s">
        <v>6603</v>
      </c>
    </row>
    <row r="329">
      <c r="A329" s="140" t="s">
        <v>6599</v>
      </c>
      <c r="B329" s="140">
        <v>26915.0</v>
      </c>
      <c r="C329" s="140" t="s">
        <v>6731</v>
      </c>
      <c r="D329" s="140" t="s">
        <v>6318</v>
      </c>
      <c r="E329" s="140" t="s">
        <v>6550</v>
      </c>
      <c r="F329" s="140" t="s">
        <v>5735</v>
      </c>
      <c r="G329" s="141" t="s">
        <v>6401</v>
      </c>
      <c r="H329" s="140" t="s">
        <v>6312</v>
      </c>
      <c r="I329" s="140" t="s">
        <v>6313</v>
      </c>
      <c r="J329" s="140" t="s">
        <v>6314</v>
      </c>
      <c r="K329" s="140" t="s">
        <v>6603</v>
      </c>
    </row>
    <row r="330">
      <c r="A330" s="140" t="s">
        <v>6599</v>
      </c>
      <c r="B330" s="140">
        <v>26917.0</v>
      </c>
      <c r="C330" s="140" t="s">
        <v>6732</v>
      </c>
      <c r="D330" s="140" t="s">
        <v>6318</v>
      </c>
      <c r="E330" s="140" t="s">
        <v>6550</v>
      </c>
      <c r="F330" s="140" t="s">
        <v>5735</v>
      </c>
      <c r="G330" s="141" t="s">
        <v>6401</v>
      </c>
      <c r="H330" s="140" t="s">
        <v>6312</v>
      </c>
      <c r="I330" s="140" t="s">
        <v>6313</v>
      </c>
      <c r="J330" s="140" t="s">
        <v>6314</v>
      </c>
      <c r="K330" s="140" t="s">
        <v>6603</v>
      </c>
    </row>
    <row r="331">
      <c r="A331" s="140" t="s">
        <v>6599</v>
      </c>
      <c r="B331" s="140">
        <v>2691516.0</v>
      </c>
      <c r="C331" s="140" t="s">
        <v>6733</v>
      </c>
      <c r="D331" s="140" t="s">
        <v>6318</v>
      </c>
      <c r="E331" s="140" t="s">
        <v>6550</v>
      </c>
      <c r="F331" s="140" t="s">
        <v>5735</v>
      </c>
      <c r="G331" s="141" t="s">
        <v>6401</v>
      </c>
      <c r="H331" s="140" t="s">
        <v>6312</v>
      </c>
      <c r="I331" s="140" t="s">
        <v>6313</v>
      </c>
      <c r="J331" s="140" t="s">
        <v>6314</v>
      </c>
      <c r="K331" s="140" t="s">
        <v>6603</v>
      </c>
    </row>
    <row r="332">
      <c r="A332" s="140" t="s">
        <v>6599</v>
      </c>
      <c r="B332" s="140">
        <v>2691517.0</v>
      </c>
      <c r="C332" s="140" t="s">
        <v>6734</v>
      </c>
      <c r="D332" s="140" t="s">
        <v>6318</v>
      </c>
      <c r="E332" s="140" t="s">
        <v>6550</v>
      </c>
      <c r="F332" s="140" t="s">
        <v>5735</v>
      </c>
      <c r="G332" s="141" t="s">
        <v>6401</v>
      </c>
      <c r="H332" s="140" t="s">
        <v>6312</v>
      </c>
      <c r="I332" s="140" t="s">
        <v>6313</v>
      </c>
      <c r="J332" s="140" t="s">
        <v>6314</v>
      </c>
      <c r="K332" s="140" t="s">
        <v>6603</v>
      </c>
    </row>
    <row r="333">
      <c r="A333" s="140" t="s">
        <v>6599</v>
      </c>
      <c r="B333" s="140">
        <v>24451.0</v>
      </c>
      <c r="C333" s="140" t="s">
        <v>6735</v>
      </c>
      <c r="D333" s="140" t="s">
        <v>6318</v>
      </c>
      <c r="E333" s="140" t="s">
        <v>1395</v>
      </c>
      <c r="F333" s="140" t="s">
        <v>1396</v>
      </c>
      <c r="G333" s="141" t="s">
        <v>6401</v>
      </c>
      <c r="H333" s="140" t="s">
        <v>6312</v>
      </c>
      <c r="I333" s="140" t="s">
        <v>6313</v>
      </c>
      <c r="J333" s="140" t="s">
        <v>6314</v>
      </c>
      <c r="K333" s="140" t="s">
        <v>6603</v>
      </c>
    </row>
    <row r="334">
      <c r="A334" s="140" t="s">
        <v>6736</v>
      </c>
      <c r="B334" s="140">
        <v>26618.0</v>
      </c>
      <c r="C334" s="140" t="s">
        <v>6737</v>
      </c>
      <c r="D334" s="140" t="s">
        <v>6309</v>
      </c>
      <c r="E334" s="140" t="s">
        <v>6310</v>
      </c>
      <c r="F334" s="140" t="s">
        <v>6310</v>
      </c>
      <c r="G334" s="141" t="s">
        <v>6311</v>
      </c>
      <c r="H334" s="140" t="s">
        <v>6312</v>
      </c>
      <c r="I334" s="140" t="s">
        <v>6313</v>
      </c>
      <c r="J334" s="140" t="s">
        <v>6314</v>
      </c>
      <c r="K334" s="140" t="s">
        <v>6315</v>
      </c>
    </row>
    <row r="335">
      <c r="A335" s="140" t="s">
        <v>6736</v>
      </c>
      <c r="B335" s="140">
        <v>33095.0</v>
      </c>
      <c r="C335" s="140" t="s">
        <v>6738</v>
      </c>
      <c r="D335" s="140" t="s">
        <v>6309</v>
      </c>
      <c r="E335" s="140" t="s">
        <v>6310</v>
      </c>
      <c r="F335" s="140" t="s">
        <v>6310</v>
      </c>
      <c r="G335" s="141" t="s">
        <v>6311</v>
      </c>
      <c r="H335" s="140" t="s">
        <v>6312</v>
      </c>
      <c r="I335" s="140" t="s">
        <v>6313</v>
      </c>
      <c r="J335" s="140" t="s">
        <v>6314</v>
      </c>
      <c r="K335" s="140" t="s">
        <v>6315</v>
      </c>
    </row>
    <row r="336">
      <c r="A336" s="140" t="s">
        <v>6736</v>
      </c>
      <c r="B336" s="140">
        <v>23898.0</v>
      </c>
      <c r="C336" s="140" t="s">
        <v>6739</v>
      </c>
      <c r="D336" s="140" t="s">
        <v>6309</v>
      </c>
      <c r="E336" s="140" t="s">
        <v>6310</v>
      </c>
      <c r="F336" s="140" t="s">
        <v>6310</v>
      </c>
      <c r="G336" s="141" t="s">
        <v>6311</v>
      </c>
      <c r="H336" s="140" t="s">
        <v>6312</v>
      </c>
      <c r="I336" s="140" t="s">
        <v>6313</v>
      </c>
      <c r="J336" s="140" t="s">
        <v>6314</v>
      </c>
      <c r="K336" s="140" t="s">
        <v>6315</v>
      </c>
    </row>
    <row r="337">
      <c r="A337" s="140" t="s">
        <v>16</v>
      </c>
      <c r="B337" s="140" t="s">
        <v>19</v>
      </c>
      <c r="C337" s="140" t="s">
        <v>1592</v>
      </c>
      <c r="D337" s="140" t="s">
        <v>6740</v>
      </c>
      <c r="E337" s="140" t="s">
        <v>6741</v>
      </c>
      <c r="F337" s="140" t="s">
        <v>17</v>
      </c>
      <c r="G337" s="141" t="s">
        <v>6742</v>
      </c>
      <c r="H337" s="140" t="s">
        <v>6330</v>
      </c>
      <c r="I337" s="140" t="s">
        <v>6313</v>
      </c>
      <c r="J337" s="140" t="s">
        <v>6319</v>
      </c>
      <c r="K337" s="140" t="s">
        <v>1573</v>
      </c>
    </row>
    <row r="338">
      <c r="A338" s="140" t="s">
        <v>16</v>
      </c>
      <c r="B338" s="140" t="s">
        <v>24</v>
      </c>
      <c r="C338" s="140" t="s">
        <v>6743</v>
      </c>
      <c r="D338" s="140" t="s">
        <v>6309</v>
      </c>
      <c r="E338" s="140" t="s">
        <v>21</v>
      </c>
      <c r="F338" s="140" t="s">
        <v>22</v>
      </c>
      <c r="G338" s="141" t="s">
        <v>134</v>
      </c>
      <c r="H338" s="140" t="s">
        <v>6330</v>
      </c>
      <c r="I338" s="140" t="s">
        <v>6313</v>
      </c>
      <c r="J338" s="140" t="s">
        <v>6319</v>
      </c>
      <c r="K338" s="140" t="s">
        <v>1573</v>
      </c>
    </row>
    <row r="339">
      <c r="A339" s="140" t="s">
        <v>16</v>
      </c>
      <c r="B339" s="140" t="s">
        <v>26</v>
      </c>
      <c r="C339" s="140" t="s">
        <v>25</v>
      </c>
      <c r="D339" s="140" t="s">
        <v>6309</v>
      </c>
      <c r="E339" s="140" t="s">
        <v>21</v>
      </c>
      <c r="F339" s="140" t="s">
        <v>22</v>
      </c>
      <c r="G339" s="141" t="s">
        <v>6668</v>
      </c>
      <c r="H339" s="140" t="s">
        <v>6330</v>
      </c>
      <c r="I339" s="140" t="s">
        <v>6313</v>
      </c>
      <c r="J339" s="140" t="s">
        <v>6319</v>
      </c>
      <c r="K339" s="140" t="s">
        <v>1573</v>
      </c>
    </row>
    <row r="340">
      <c r="A340" s="140" t="s">
        <v>16</v>
      </c>
      <c r="B340" s="140" t="s">
        <v>28</v>
      </c>
      <c r="C340" s="140" t="s">
        <v>27</v>
      </c>
      <c r="D340" s="140" t="s">
        <v>6309</v>
      </c>
      <c r="E340" s="140" t="s">
        <v>21</v>
      </c>
      <c r="F340" s="140" t="s">
        <v>22</v>
      </c>
      <c r="G340" s="141" t="s">
        <v>6668</v>
      </c>
      <c r="H340" s="140" t="s">
        <v>6330</v>
      </c>
      <c r="I340" s="140" t="s">
        <v>6313</v>
      </c>
      <c r="J340" s="140" t="s">
        <v>6319</v>
      </c>
      <c r="K340" s="140" t="s">
        <v>1573</v>
      </c>
    </row>
    <row r="341">
      <c r="A341" s="140" t="s">
        <v>16</v>
      </c>
      <c r="B341" s="140" t="s">
        <v>30</v>
      </c>
      <c r="C341" s="140" t="s">
        <v>29</v>
      </c>
      <c r="D341" s="140" t="s">
        <v>6309</v>
      </c>
      <c r="E341" s="140" t="s">
        <v>21</v>
      </c>
      <c r="F341" s="140" t="s">
        <v>22</v>
      </c>
      <c r="G341" s="141" t="s">
        <v>6668</v>
      </c>
      <c r="H341" s="140" t="s">
        <v>6330</v>
      </c>
      <c r="I341" s="140" t="s">
        <v>6313</v>
      </c>
      <c r="J341" s="140" t="s">
        <v>6319</v>
      </c>
      <c r="K341" s="140" t="s">
        <v>1573</v>
      </c>
    </row>
    <row r="342">
      <c r="A342" s="140" t="s">
        <v>16</v>
      </c>
      <c r="B342" s="140" t="s">
        <v>32</v>
      </c>
      <c r="C342" s="140" t="s">
        <v>1600</v>
      </c>
      <c r="D342" s="140" t="s">
        <v>6309</v>
      </c>
      <c r="E342" s="140" t="s">
        <v>21</v>
      </c>
      <c r="F342" s="140" t="s">
        <v>22</v>
      </c>
      <c r="G342" s="141" t="s">
        <v>6664</v>
      </c>
      <c r="H342" s="140" t="s">
        <v>6330</v>
      </c>
      <c r="I342" s="140" t="s">
        <v>6313</v>
      </c>
      <c r="J342" s="140" t="s">
        <v>6319</v>
      </c>
      <c r="K342" s="140" t="s">
        <v>1573</v>
      </c>
    </row>
    <row r="343">
      <c r="A343" s="140" t="s">
        <v>16</v>
      </c>
      <c r="B343" s="140" t="s">
        <v>34</v>
      </c>
      <c r="C343" s="140" t="s">
        <v>33</v>
      </c>
      <c r="D343" s="140" t="s">
        <v>6309</v>
      </c>
      <c r="E343" s="140" t="s">
        <v>21</v>
      </c>
      <c r="F343" s="140" t="s">
        <v>22</v>
      </c>
      <c r="G343" s="141" t="s">
        <v>134</v>
      </c>
      <c r="H343" s="140" t="s">
        <v>6330</v>
      </c>
      <c r="I343" s="140" t="s">
        <v>6313</v>
      </c>
      <c r="J343" s="140" t="s">
        <v>6319</v>
      </c>
      <c r="K343" s="140" t="s">
        <v>1573</v>
      </c>
    </row>
    <row r="344">
      <c r="A344" s="140" t="s">
        <v>16</v>
      </c>
      <c r="B344" s="140" t="s">
        <v>36</v>
      </c>
      <c r="C344" s="140" t="s">
        <v>35</v>
      </c>
      <c r="D344" s="140" t="s">
        <v>6309</v>
      </c>
      <c r="E344" s="140" t="s">
        <v>21</v>
      </c>
      <c r="F344" s="140" t="s">
        <v>22</v>
      </c>
      <c r="G344" s="141" t="s">
        <v>134</v>
      </c>
      <c r="H344" s="140" t="s">
        <v>6330</v>
      </c>
      <c r="I344" s="140" t="s">
        <v>6313</v>
      </c>
      <c r="J344" s="140" t="s">
        <v>6319</v>
      </c>
      <c r="K344" s="140" t="s">
        <v>1573</v>
      </c>
    </row>
    <row r="345">
      <c r="A345" s="140" t="s">
        <v>16</v>
      </c>
      <c r="B345" s="140" t="s">
        <v>38</v>
      </c>
      <c r="C345" s="140" t="s">
        <v>6744</v>
      </c>
      <c r="D345" s="140" t="s">
        <v>6309</v>
      </c>
      <c r="E345" s="140" t="s">
        <v>21</v>
      </c>
      <c r="F345" s="140" t="s">
        <v>22</v>
      </c>
      <c r="G345" s="141" t="s">
        <v>134</v>
      </c>
      <c r="H345" s="140" t="s">
        <v>6330</v>
      </c>
      <c r="I345" s="140" t="s">
        <v>6313</v>
      </c>
      <c r="J345" s="140" t="s">
        <v>6319</v>
      </c>
      <c r="K345" s="140" t="s">
        <v>1573</v>
      </c>
    </row>
    <row r="346">
      <c r="A346" s="140" t="s">
        <v>16</v>
      </c>
      <c r="B346" s="140" t="s">
        <v>41</v>
      </c>
      <c r="C346" s="140" t="s">
        <v>40</v>
      </c>
      <c r="D346" s="140" t="s">
        <v>6309</v>
      </c>
      <c r="E346" s="140" t="s">
        <v>21</v>
      </c>
      <c r="F346" s="140" t="s">
        <v>39</v>
      </c>
      <c r="G346" s="141" t="s">
        <v>6668</v>
      </c>
      <c r="H346" s="140" t="s">
        <v>6330</v>
      </c>
      <c r="I346" s="140" t="s">
        <v>6313</v>
      </c>
      <c r="J346" s="140" t="s">
        <v>6319</v>
      </c>
      <c r="K346" s="140" t="s">
        <v>1573</v>
      </c>
    </row>
    <row r="347">
      <c r="A347" s="140" t="s">
        <v>16</v>
      </c>
      <c r="B347" s="140" t="s">
        <v>44</v>
      </c>
      <c r="C347" s="140" t="s">
        <v>43</v>
      </c>
      <c r="D347" s="140" t="s">
        <v>6309</v>
      </c>
      <c r="E347" s="140" t="s">
        <v>21</v>
      </c>
      <c r="F347" s="140" t="s">
        <v>42</v>
      </c>
      <c r="G347" s="141" t="s">
        <v>6664</v>
      </c>
      <c r="H347" s="140" t="s">
        <v>6330</v>
      </c>
      <c r="I347" s="140" t="s">
        <v>6313</v>
      </c>
      <c r="J347" s="140" t="s">
        <v>6319</v>
      </c>
      <c r="K347" s="140" t="s">
        <v>1573</v>
      </c>
    </row>
    <row r="348">
      <c r="A348" s="140" t="s">
        <v>16</v>
      </c>
      <c r="B348" s="140" t="s">
        <v>46</v>
      </c>
      <c r="C348" s="140" t="s">
        <v>45</v>
      </c>
      <c r="D348" s="140" t="s">
        <v>6309</v>
      </c>
      <c r="E348" s="140" t="s">
        <v>21</v>
      </c>
      <c r="F348" s="140" t="s">
        <v>42</v>
      </c>
      <c r="G348" s="141" t="s">
        <v>6664</v>
      </c>
      <c r="H348" s="140" t="s">
        <v>6330</v>
      </c>
      <c r="I348" s="140" t="s">
        <v>6313</v>
      </c>
      <c r="J348" s="140" t="s">
        <v>6319</v>
      </c>
      <c r="K348" s="140" t="s">
        <v>1573</v>
      </c>
    </row>
    <row r="349">
      <c r="A349" s="140" t="s">
        <v>16</v>
      </c>
      <c r="B349" s="140" t="s">
        <v>82</v>
      </c>
      <c r="C349" s="140" t="s">
        <v>81</v>
      </c>
      <c r="D349" s="140" t="s">
        <v>6309</v>
      </c>
      <c r="E349" s="140" t="s">
        <v>21</v>
      </c>
      <c r="F349" s="140" t="s">
        <v>22</v>
      </c>
      <c r="G349" s="141" t="s">
        <v>6401</v>
      </c>
      <c r="H349" s="140" t="s">
        <v>6330</v>
      </c>
      <c r="I349" s="140" t="s">
        <v>6313</v>
      </c>
      <c r="J349" s="140" t="s">
        <v>6319</v>
      </c>
      <c r="K349" s="140" t="s">
        <v>1573</v>
      </c>
    </row>
    <row r="350">
      <c r="A350" s="140" t="s">
        <v>16</v>
      </c>
      <c r="B350" s="140" t="s">
        <v>50</v>
      </c>
      <c r="C350" s="140" t="s">
        <v>49</v>
      </c>
      <c r="D350" s="140" t="s">
        <v>6309</v>
      </c>
      <c r="E350" s="140" t="s">
        <v>47</v>
      </c>
      <c r="F350" s="140" t="s">
        <v>48</v>
      </c>
      <c r="G350" s="141" t="s">
        <v>6664</v>
      </c>
      <c r="H350" s="140" t="s">
        <v>6330</v>
      </c>
      <c r="I350" s="140" t="s">
        <v>6313</v>
      </c>
      <c r="J350" s="140" t="s">
        <v>6319</v>
      </c>
      <c r="K350" s="140" t="s">
        <v>1573</v>
      </c>
    </row>
    <row r="351">
      <c r="A351" s="140" t="s">
        <v>16</v>
      </c>
      <c r="B351" s="140" t="s">
        <v>52</v>
      </c>
      <c r="C351" s="140" t="s">
        <v>51</v>
      </c>
      <c r="D351" s="140" t="s">
        <v>6309</v>
      </c>
      <c r="E351" s="140" t="s">
        <v>47</v>
      </c>
      <c r="F351" s="140" t="s">
        <v>48</v>
      </c>
      <c r="G351" s="141" t="s">
        <v>6742</v>
      </c>
      <c r="H351" s="140" t="s">
        <v>6330</v>
      </c>
      <c r="I351" s="140" t="s">
        <v>6313</v>
      </c>
      <c r="J351" s="140" t="s">
        <v>6319</v>
      </c>
      <c r="K351" s="140" t="s">
        <v>1573</v>
      </c>
    </row>
    <row r="352">
      <c r="A352" s="140" t="s">
        <v>16</v>
      </c>
      <c r="B352" s="140" t="s">
        <v>55</v>
      </c>
      <c r="C352" s="140" t="s">
        <v>54</v>
      </c>
      <c r="D352" s="140" t="s">
        <v>6309</v>
      </c>
      <c r="E352" s="140" t="s">
        <v>47</v>
      </c>
      <c r="F352" s="140" t="s">
        <v>53</v>
      </c>
      <c r="G352" s="141" t="s">
        <v>6742</v>
      </c>
      <c r="H352" s="140" t="s">
        <v>6330</v>
      </c>
      <c r="I352" s="140" t="s">
        <v>6313</v>
      </c>
      <c r="J352" s="140" t="s">
        <v>6319</v>
      </c>
      <c r="K352" s="140" t="s">
        <v>1573</v>
      </c>
    </row>
    <row r="353">
      <c r="A353" s="140" t="s">
        <v>16</v>
      </c>
      <c r="B353" s="140" t="s">
        <v>59</v>
      </c>
      <c r="C353" s="140" t="s">
        <v>6745</v>
      </c>
      <c r="D353" s="140" t="s">
        <v>6309</v>
      </c>
      <c r="E353" s="140" t="s">
        <v>56</v>
      </c>
      <c r="F353" s="140" t="s">
        <v>57</v>
      </c>
      <c r="G353" s="141" t="s">
        <v>6668</v>
      </c>
      <c r="H353" s="140" t="s">
        <v>6330</v>
      </c>
      <c r="I353" s="140" t="s">
        <v>6313</v>
      </c>
      <c r="J353" s="140" t="s">
        <v>6319</v>
      </c>
      <c r="K353" s="140" t="s">
        <v>1573</v>
      </c>
    </row>
    <row r="354">
      <c r="A354" s="140" t="s">
        <v>16</v>
      </c>
      <c r="B354" s="140" t="s">
        <v>61</v>
      </c>
      <c r="C354" s="140" t="s">
        <v>6746</v>
      </c>
      <c r="D354" s="140" t="s">
        <v>6309</v>
      </c>
      <c r="E354" s="140" t="s">
        <v>56</v>
      </c>
      <c r="F354" s="140" t="s">
        <v>57</v>
      </c>
      <c r="G354" s="141" t="s">
        <v>6664</v>
      </c>
      <c r="H354" s="140" t="s">
        <v>6330</v>
      </c>
      <c r="I354" s="140" t="s">
        <v>6313</v>
      </c>
      <c r="J354" s="140" t="s">
        <v>6319</v>
      </c>
      <c r="K354" s="140" t="s">
        <v>1573</v>
      </c>
    </row>
    <row r="355">
      <c r="A355" s="140" t="s">
        <v>16</v>
      </c>
      <c r="B355" s="140" t="s">
        <v>63</v>
      </c>
      <c r="C355" s="140" t="s">
        <v>62</v>
      </c>
      <c r="D355" s="140" t="s">
        <v>6309</v>
      </c>
      <c r="E355" s="140" t="s">
        <v>56</v>
      </c>
      <c r="F355" s="140" t="s">
        <v>57</v>
      </c>
      <c r="G355" s="141" t="s">
        <v>6742</v>
      </c>
      <c r="H355" s="140" t="s">
        <v>6330</v>
      </c>
      <c r="I355" s="140" t="s">
        <v>6313</v>
      </c>
      <c r="J355" s="140" t="s">
        <v>6319</v>
      </c>
      <c r="K355" s="140" t="s">
        <v>1573</v>
      </c>
    </row>
    <row r="356">
      <c r="A356" s="140" t="s">
        <v>16</v>
      </c>
      <c r="B356" s="140" t="s">
        <v>76</v>
      </c>
      <c r="C356" s="140" t="s">
        <v>1619</v>
      </c>
      <c r="D356" s="140" t="s">
        <v>6309</v>
      </c>
      <c r="E356" s="140" t="s">
        <v>56</v>
      </c>
      <c r="F356" s="140" t="s">
        <v>64</v>
      </c>
      <c r="G356" s="141" t="s">
        <v>134</v>
      </c>
      <c r="H356" s="140" t="s">
        <v>6330</v>
      </c>
      <c r="I356" s="140" t="s">
        <v>6313</v>
      </c>
      <c r="J356" s="140" t="s">
        <v>6319</v>
      </c>
      <c r="K356" s="140" t="s">
        <v>1573</v>
      </c>
    </row>
    <row r="357">
      <c r="A357" s="140" t="s">
        <v>16</v>
      </c>
      <c r="B357" s="140" t="s">
        <v>72</v>
      </c>
      <c r="C357" s="140" t="s">
        <v>1615</v>
      </c>
      <c r="D357" s="140" t="s">
        <v>6309</v>
      </c>
      <c r="E357" s="140" t="s">
        <v>56</v>
      </c>
      <c r="F357" s="140" t="s">
        <v>64</v>
      </c>
      <c r="G357" s="141" t="s">
        <v>134</v>
      </c>
      <c r="H357" s="140" t="s">
        <v>6330</v>
      </c>
      <c r="I357" s="140" t="s">
        <v>6313</v>
      </c>
      <c r="J357" s="140" t="s">
        <v>6319</v>
      </c>
      <c r="K357" s="140" t="s">
        <v>1573</v>
      </c>
    </row>
    <row r="358">
      <c r="A358" s="140" t="s">
        <v>16</v>
      </c>
      <c r="B358" s="140" t="s">
        <v>74</v>
      </c>
      <c r="C358" s="140" t="s">
        <v>1617</v>
      </c>
      <c r="D358" s="140" t="s">
        <v>6309</v>
      </c>
      <c r="E358" s="140" t="s">
        <v>56</v>
      </c>
      <c r="F358" s="140" t="s">
        <v>64</v>
      </c>
      <c r="G358" s="141" t="s">
        <v>134</v>
      </c>
      <c r="H358" s="140" t="s">
        <v>6330</v>
      </c>
      <c r="I358" s="140" t="s">
        <v>6313</v>
      </c>
      <c r="J358" s="140" t="s">
        <v>6319</v>
      </c>
      <c r="K358" s="140" t="s">
        <v>1573</v>
      </c>
    </row>
    <row r="359">
      <c r="A359" s="140" t="s">
        <v>16</v>
      </c>
      <c r="B359" s="140" t="s">
        <v>70</v>
      </c>
      <c r="C359" s="140" t="s">
        <v>1614</v>
      </c>
      <c r="D359" s="140" t="s">
        <v>6309</v>
      </c>
      <c r="E359" s="140" t="s">
        <v>56</v>
      </c>
      <c r="F359" s="140" t="s">
        <v>64</v>
      </c>
      <c r="G359" s="141" t="s">
        <v>134</v>
      </c>
      <c r="H359" s="140" t="s">
        <v>6330</v>
      </c>
      <c r="I359" s="140" t="s">
        <v>6313</v>
      </c>
      <c r="J359" s="140" t="s">
        <v>6319</v>
      </c>
      <c r="K359" s="140" t="s">
        <v>1573</v>
      </c>
    </row>
    <row r="360">
      <c r="A360" s="140" t="s">
        <v>16</v>
      </c>
      <c r="B360" s="140" t="s">
        <v>68</v>
      </c>
      <c r="C360" s="140" t="s">
        <v>1612</v>
      </c>
      <c r="D360" s="140" t="s">
        <v>6309</v>
      </c>
      <c r="E360" s="140" t="s">
        <v>56</v>
      </c>
      <c r="F360" s="140" t="s">
        <v>64</v>
      </c>
      <c r="G360" s="141" t="s">
        <v>134</v>
      </c>
      <c r="H360" s="140" t="s">
        <v>6330</v>
      </c>
      <c r="I360" s="140" t="s">
        <v>6313</v>
      </c>
      <c r="J360" s="140" t="s">
        <v>6319</v>
      </c>
      <c r="K360" s="140" t="s">
        <v>1573</v>
      </c>
    </row>
    <row r="361">
      <c r="A361" s="140" t="s">
        <v>16</v>
      </c>
      <c r="B361" s="140" t="s">
        <v>66</v>
      </c>
      <c r="C361" s="140" t="s">
        <v>1611</v>
      </c>
      <c r="D361" s="140" t="s">
        <v>6309</v>
      </c>
      <c r="E361" s="140" t="s">
        <v>56</v>
      </c>
      <c r="F361" s="140" t="s">
        <v>64</v>
      </c>
      <c r="G361" s="141" t="s">
        <v>134</v>
      </c>
      <c r="H361" s="140" t="s">
        <v>6330</v>
      </c>
      <c r="I361" s="140" t="s">
        <v>6313</v>
      </c>
      <c r="J361" s="140" t="s">
        <v>6319</v>
      </c>
      <c r="K361" s="140" t="s">
        <v>1573</v>
      </c>
    </row>
    <row r="362">
      <c r="A362" s="140" t="s">
        <v>16</v>
      </c>
      <c r="B362" s="140" t="s">
        <v>84</v>
      </c>
      <c r="C362" s="140" t="s">
        <v>1624</v>
      </c>
      <c r="D362" s="140" t="s">
        <v>6309</v>
      </c>
      <c r="E362" s="140" t="s">
        <v>56</v>
      </c>
      <c r="F362" s="140" t="s">
        <v>77</v>
      </c>
      <c r="G362" s="141" t="s">
        <v>6664</v>
      </c>
      <c r="H362" s="140" t="s">
        <v>6330</v>
      </c>
      <c r="I362" s="140" t="s">
        <v>6313</v>
      </c>
      <c r="J362" s="140" t="s">
        <v>6319</v>
      </c>
      <c r="K362" s="140" t="s">
        <v>1573</v>
      </c>
    </row>
    <row r="363">
      <c r="A363" s="140" t="s">
        <v>16</v>
      </c>
      <c r="B363" s="140" t="s">
        <v>79</v>
      </c>
      <c r="C363" s="140" t="s">
        <v>78</v>
      </c>
      <c r="D363" s="140" t="s">
        <v>6309</v>
      </c>
      <c r="E363" s="140" t="s">
        <v>56</v>
      </c>
      <c r="F363" s="140" t="s">
        <v>77</v>
      </c>
      <c r="G363" s="141" t="s">
        <v>6668</v>
      </c>
      <c r="H363" s="140" t="s">
        <v>6330</v>
      </c>
      <c r="I363" s="140" t="s">
        <v>6313</v>
      </c>
      <c r="J363" s="140" t="s">
        <v>6319</v>
      </c>
      <c r="K363" s="140" t="s">
        <v>1573</v>
      </c>
    </row>
    <row r="364">
      <c r="A364" s="140" t="s">
        <v>6747</v>
      </c>
      <c r="B364" s="143">
        <v>4.75103E12</v>
      </c>
      <c r="C364" s="140" t="s">
        <v>6748</v>
      </c>
      <c r="D364" s="140" t="s">
        <v>6620</v>
      </c>
      <c r="E364" s="140" t="s">
        <v>6749</v>
      </c>
      <c r="F364" s="140" t="s">
        <v>6750</v>
      </c>
      <c r="G364" s="141" t="s">
        <v>6401</v>
      </c>
      <c r="H364" s="140" t="s">
        <v>6312</v>
      </c>
      <c r="I364" s="140" t="s">
        <v>6313</v>
      </c>
      <c r="J364" s="140" t="s">
        <v>6314</v>
      </c>
      <c r="K364" s="140" t="s">
        <v>6751</v>
      </c>
    </row>
    <row r="365">
      <c r="A365" s="140" t="s">
        <v>6747</v>
      </c>
      <c r="B365" s="143">
        <v>4.75103E12</v>
      </c>
      <c r="C365" s="140" t="s">
        <v>6752</v>
      </c>
      <c r="D365" s="140" t="s">
        <v>6620</v>
      </c>
      <c r="E365" s="140" t="s">
        <v>6749</v>
      </c>
      <c r="F365" s="140" t="s">
        <v>6750</v>
      </c>
      <c r="G365" s="141" t="s">
        <v>6401</v>
      </c>
      <c r="H365" s="140" t="s">
        <v>6312</v>
      </c>
      <c r="I365" s="140" t="s">
        <v>6313</v>
      </c>
      <c r="J365" s="140" t="s">
        <v>6314</v>
      </c>
      <c r="K365" s="140" t="s">
        <v>6751</v>
      </c>
    </row>
    <row r="366">
      <c r="A366" s="140" t="s">
        <v>6747</v>
      </c>
      <c r="B366" s="143">
        <v>4.75103E12</v>
      </c>
      <c r="C366" s="140" t="s">
        <v>6753</v>
      </c>
      <c r="D366" s="140" t="s">
        <v>6620</v>
      </c>
      <c r="E366" s="140" t="s">
        <v>6749</v>
      </c>
      <c r="F366" s="140" t="s">
        <v>6750</v>
      </c>
      <c r="G366" s="141" t="s">
        <v>6401</v>
      </c>
      <c r="H366" s="140" t="s">
        <v>6312</v>
      </c>
      <c r="I366" s="140" t="s">
        <v>6313</v>
      </c>
      <c r="J366" s="140" t="s">
        <v>6314</v>
      </c>
      <c r="K366" s="140" t="s">
        <v>6751</v>
      </c>
    </row>
    <row r="367">
      <c r="A367" s="140" t="s">
        <v>6747</v>
      </c>
      <c r="B367" s="143">
        <v>4.75103E12</v>
      </c>
      <c r="C367" s="140" t="s">
        <v>6754</v>
      </c>
      <c r="D367" s="140" t="s">
        <v>6620</v>
      </c>
      <c r="E367" s="140" t="s">
        <v>6749</v>
      </c>
      <c r="F367" s="140" t="s">
        <v>6750</v>
      </c>
      <c r="G367" s="141" t="s">
        <v>6401</v>
      </c>
      <c r="H367" s="140" t="s">
        <v>6312</v>
      </c>
      <c r="I367" s="140" t="s">
        <v>6313</v>
      </c>
      <c r="J367" s="140" t="s">
        <v>6314</v>
      </c>
      <c r="K367" s="140" t="s">
        <v>6751</v>
      </c>
    </row>
    <row r="368">
      <c r="A368" s="140" t="s">
        <v>6747</v>
      </c>
      <c r="B368" s="143">
        <v>4.75103E12</v>
      </c>
      <c r="C368" s="140" t="s">
        <v>6755</v>
      </c>
      <c r="D368" s="140" t="s">
        <v>6620</v>
      </c>
      <c r="E368" s="140" t="s">
        <v>6749</v>
      </c>
      <c r="F368" s="140" t="s">
        <v>6756</v>
      </c>
      <c r="G368" s="141" t="s">
        <v>6401</v>
      </c>
      <c r="H368" s="140" t="s">
        <v>6312</v>
      </c>
      <c r="I368" s="140" t="s">
        <v>6313</v>
      </c>
      <c r="J368" s="140" t="s">
        <v>6314</v>
      </c>
      <c r="K368" s="140" t="s">
        <v>6751</v>
      </c>
    </row>
    <row r="369">
      <c r="A369" s="140" t="s">
        <v>6747</v>
      </c>
      <c r="B369" s="144" t="s">
        <v>6757</v>
      </c>
      <c r="C369" s="140" t="s">
        <v>6755</v>
      </c>
      <c r="D369" s="140" t="s">
        <v>6620</v>
      </c>
      <c r="E369" s="140" t="s">
        <v>6749</v>
      </c>
      <c r="F369" s="140" t="s">
        <v>6756</v>
      </c>
      <c r="G369" s="141" t="s">
        <v>6401</v>
      </c>
      <c r="H369" s="140" t="s">
        <v>6312</v>
      </c>
      <c r="I369" s="140" t="s">
        <v>6313</v>
      </c>
      <c r="J369" s="140" t="s">
        <v>6314</v>
      </c>
      <c r="K369" s="140" t="s">
        <v>6751</v>
      </c>
    </row>
    <row r="370">
      <c r="A370" s="140" t="s">
        <v>6747</v>
      </c>
      <c r="B370" s="143">
        <v>4.75103E12</v>
      </c>
      <c r="C370" s="140" t="s">
        <v>6758</v>
      </c>
      <c r="D370" s="140" t="s">
        <v>6620</v>
      </c>
      <c r="E370" s="140" t="s">
        <v>6749</v>
      </c>
      <c r="F370" s="140" t="s">
        <v>6756</v>
      </c>
      <c r="G370" s="141" t="s">
        <v>6401</v>
      </c>
      <c r="H370" s="140" t="s">
        <v>6312</v>
      </c>
      <c r="I370" s="140" t="s">
        <v>6313</v>
      </c>
      <c r="J370" s="140" t="s">
        <v>6314</v>
      </c>
      <c r="K370" s="140" t="s">
        <v>6751</v>
      </c>
    </row>
    <row r="371">
      <c r="A371" s="140" t="s">
        <v>6747</v>
      </c>
      <c r="B371" s="144" t="s">
        <v>6757</v>
      </c>
      <c r="C371" s="140" t="s">
        <v>6759</v>
      </c>
      <c r="D371" s="140" t="s">
        <v>6620</v>
      </c>
      <c r="E371" s="140" t="s">
        <v>6749</v>
      </c>
      <c r="F371" s="140" t="s">
        <v>6756</v>
      </c>
      <c r="G371" s="141" t="s">
        <v>6401</v>
      </c>
      <c r="H371" s="140" t="s">
        <v>6312</v>
      </c>
      <c r="I371" s="140" t="s">
        <v>6313</v>
      </c>
      <c r="J371" s="140" t="s">
        <v>6314</v>
      </c>
      <c r="K371" s="140" t="s">
        <v>6751</v>
      </c>
    </row>
    <row r="372">
      <c r="A372" s="140" t="s">
        <v>6747</v>
      </c>
      <c r="B372" s="143">
        <v>4.75103E12</v>
      </c>
      <c r="C372" s="140" t="s">
        <v>6760</v>
      </c>
      <c r="D372" s="140" t="s">
        <v>6620</v>
      </c>
      <c r="E372" s="140" t="s">
        <v>6621</v>
      </c>
      <c r="F372" s="140" t="s">
        <v>6761</v>
      </c>
      <c r="G372" s="141" t="s">
        <v>6401</v>
      </c>
      <c r="H372" s="140" t="s">
        <v>6312</v>
      </c>
      <c r="I372" s="140" t="s">
        <v>6313</v>
      </c>
      <c r="J372" s="140" t="s">
        <v>6314</v>
      </c>
      <c r="K372" s="140" t="s">
        <v>6751</v>
      </c>
    </row>
    <row r="373">
      <c r="A373" s="140" t="s">
        <v>6747</v>
      </c>
      <c r="B373" s="143">
        <v>4.75103E12</v>
      </c>
      <c r="C373" s="140" t="s">
        <v>6762</v>
      </c>
      <c r="D373" s="140" t="s">
        <v>6620</v>
      </c>
      <c r="E373" s="140" t="s">
        <v>6621</v>
      </c>
      <c r="F373" s="140" t="s">
        <v>6761</v>
      </c>
      <c r="G373" s="141" t="s">
        <v>6401</v>
      </c>
      <c r="H373" s="140" t="s">
        <v>6312</v>
      </c>
      <c r="I373" s="140" t="s">
        <v>6313</v>
      </c>
      <c r="J373" s="140" t="s">
        <v>6314</v>
      </c>
      <c r="K373" s="140" t="s">
        <v>6751</v>
      </c>
    </row>
    <row r="374">
      <c r="A374" s="140" t="s">
        <v>6747</v>
      </c>
      <c r="B374" s="144" t="s">
        <v>6757</v>
      </c>
      <c r="C374" s="140" t="s">
        <v>6763</v>
      </c>
      <c r="D374" s="140" t="s">
        <v>6620</v>
      </c>
      <c r="E374" s="140" t="s">
        <v>6621</v>
      </c>
      <c r="F374" s="140" t="s">
        <v>6761</v>
      </c>
      <c r="G374" s="141" t="s">
        <v>6401</v>
      </c>
      <c r="H374" s="140" t="s">
        <v>6312</v>
      </c>
      <c r="I374" s="140" t="s">
        <v>6313</v>
      </c>
      <c r="J374" s="140" t="s">
        <v>6314</v>
      </c>
      <c r="K374" s="140" t="s">
        <v>6751</v>
      </c>
    </row>
    <row r="375">
      <c r="A375" s="140" t="s">
        <v>6747</v>
      </c>
      <c r="B375" s="143">
        <v>4.75103E12</v>
      </c>
      <c r="C375" s="140" t="s">
        <v>6764</v>
      </c>
      <c r="D375" s="140" t="s">
        <v>6620</v>
      </c>
      <c r="E375" s="140" t="s">
        <v>6621</v>
      </c>
      <c r="F375" s="140" t="s">
        <v>6761</v>
      </c>
      <c r="G375" s="141" t="s">
        <v>6401</v>
      </c>
      <c r="H375" s="140" t="s">
        <v>6312</v>
      </c>
      <c r="I375" s="140" t="s">
        <v>6313</v>
      </c>
      <c r="J375" s="140" t="s">
        <v>6314</v>
      </c>
      <c r="K375" s="140" t="s">
        <v>6751</v>
      </c>
    </row>
    <row r="376">
      <c r="A376" s="140" t="s">
        <v>6747</v>
      </c>
      <c r="B376" s="144" t="s">
        <v>6757</v>
      </c>
      <c r="C376" s="140" t="s">
        <v>6765</v>
      </c>
      <c r="D376" s="140" t="s">
        <v>6620</v>
      </c>
      <c r="E376" s="140" t="s">
        <v>6621</v>
      </c>
      <c r="F376" s="140" t="s">
        <v>6766</v>
      </c>
      <c r="G376" s="141" t="s">
        <v>6401</v>
      </c>
      <c r="H376" s="140" t="s">
        <v>6312</v>
      </c>
      <c r="I376" s="140" t="s">
        <v>6313</v>
      </c>
      <c r="J376" s="140" t="s">
        <v>6314</v>
      </c>
      <c r="K376" s="140" t="s">
        <v>6751</v>
      </c>
    </row>
    <row r="377">
      <c r="A377" s="140" t="s">
        <v>6747</v>
      </c>
      <c r="B377" s="143">
        <v>4.75103E12</v>
      </c>
      <c r="C377" s="140" t="s">
        <v>6767</v>
      </c>
      <c r="D377" s="140" t="s">
        <v>6620</v>
      </c>
      <c r="E377" s="140" t="s">
        <v>6621</v>
      </c>
      <c r="F377" s="140" t="s">
        <v>6768</v>
      </c>
      <c r="G377" s="141" t="s">
        <v>6401</v>
      </c>
      <c r="H377" s="140" t="s">
        <v>6312</v>
      </c>
      <c r="I377" s="140" t="s">
        <v>6313</v>
      </c>
      <c r="J377" s="140" t="s">
        <v>6314</v>
      </c>
      <c r="K377" s="140" t="s">
        <v>6751</v>
      </c>
    </row>
    <row r="378">
      <c r="A378" s="140" t="s">
        <v>6747</v>
      </c>
      <c r="B378" s="143">
        <v>4.75103E12</v>
      </c>
      <c r="C378" s="140" t="s">
        <v>6769</v>
      </c>
      <c r="D378" s="140" t="s">
        <v>6620</v>
      </c>
      <c r="E378" s="140" t="s">
        <v>6621</v>
      </c>
      <c r="F378" s="140" t="s">
        <v>6768</v>
      </c>
      <c r="G378" s="141" t="s">
        <v>6401</v>
      </c>
      <c r="H378" s="140" t="s">
        <v>6312</v>
      </c>
      <c r="I378" s="140" t="s">
        <v>6313</v>
      </c>
      <c r="J378" s="140" t="s">
        <v>6314</v>
      </c>
      <c r="K378" s="140" t="s">
        <v>6751</v>
      </c>
    </row>
    <row r="379">
      <c r="A379" s="140" t="s">
        <v>6747</v>
      </c>
      <c r="B379" s="143">
        <v>4.75103E12</v>
      </c>
      <c r="C379" s="140" t="s">
        <v>6770</v>
      </c>
      <c r="D379" s="140" t="s">
        <v>6620</v>
      </c>
      <c r="E379" s="140" t="s">
        <v>6621</v>
      </c>
      <c r="F379" s="140" t="s">
        <v>6768</v>
      </c>
      <c r="G379" s="141" t="s">
        <v>6401</v>
      </c>
      <c r="H379" s="140" t="s">
        <v>6312</v>
      </c>
      <c r="I379" s="140" t="s">
        <v>6313</v>
      </c>
      <c r="J379" s="140" t="s">
        <v>6314</v>
      </c>
      <c r="K379" s="140" t="s">
        <v>6751</v>
      </c>
    </row>
    <row r="380">
      <c r="A380" s="140" t="s">
        <v>6747</v>
      </c>
      <c r="B380" s="143">
        <v>4.75103E12</v>
      </c>
      <c r="C380" s="140" t="s">
        <v>6771</v>
      </c>
      <c r="D380" s="140" t="s">
        <v>6620</v>
      </c>
      <c r="E380" s="140" t="s">
        <v>6621</v>
      </c>
      <c r="F380" s="140" t="s">
        <v>6768</v>
      </c>
      <c r="G380" s="141" t="s">
        <v>6401</v>
      </c>
      <c r="H380" s="140" t="s">
        <v>6312</v>
      </c>
      <c r="I380" s="140" t="s">
        <v>6313</v>
      </c>
      <c r="J380" s="140" t="s">
        <v>6314</v>
      </c>
      <c r="K380" s="140" t="s">
        <v>6751</v>
      </c>
    </row>
    <row r="381">
      <c r="A381" s="140" t="s">
        <v>6747</v>
      </c>
      <c r="B381" s="143">
        <v>4.75103E12</v>
      </c>
      <c r="C381" s="140" t="s">
        <v>6772</v>
      </c>
      <c r="D381" s="140" t="s">
        <v>6620</v>
      </c>
      <c r="E381" s="140" t="s">
        <v>6621</v>
      </c>
      <c r="F381" s="140" t="s">
        <v>6768</v>
      </c>
      <c r="G381" s="141" t="s">
        <v>6401</v>
      </c>
      <c r="H381" s="140" t="s">
        <v>6312</v>
      </c>
      <c r="I381" s="140" t="s">
        <v>6313</v>
      </c>
      <c r="J381" s="140" t="s">
        <v>6314</v>
      </c>
      <c r="K381" s="140" t="s">
        <v>6751</v>
      </c>
    </row>
    <row r="382">
      <c r="A382" s="140" t="s">
        <v>6747</v>
      </c>
      <c r="B382" s="143">
        <v>4.75103E12</v>
      </c>
      <c r="C382" s="140" t="s">
        <v>6773</v>
      </c>
      <c r="D382" s="140" t="s">
        <v>6620</v>
      </c>
      <c r="E382" s="140" t="s">
        <v>6621</v>
      </c>
      <c r="F382" s="140" t="s">
        <v>6768</v>
      </c>
      <c r="G382" s="141" t="s">
        <v>6401</v>
      </c>
      <c r="H382" s="140" t="s">
        <v>6312</v>
      </c>
      <c r="I382" s="140" t="s">
        <v>6313</v>
      </c>
      <c r="J382" s="140" t="s">
        <v>6314</v>
      </c>
      <c r="K382" s="140" t="s">
        <v>6751</v>
      </c>
    </row>
    <row r="383">
      <c r="A383" s="140" t="s">
        <v>6747</v>
      </c>
      <c r="B383" s="143">
        <v>4.75103E12</v>
      </c>
      <c r="C383" s="140" t="s">
        <v>6774</v>
      </c>
      <c r="D383" s="140" t="s">
        <v>6620</v>
      </c>
      <c r="E383" s="140" t="s">
        <v>6621</v>
      </c>
      <c r="F383" s="140" t="s">
        <v>6775</v>
      </c>
      <c r="G383" s="141" t="s">
        <v>6401</v>
      </c>
      <c r="H383" s="140" t="s">
        <v>6312</v>
      </c>
      <c r="I383" s="140" t="s">
        <v>6313</v>
      </c>
      <c r="J383" s="140" t="s">
        <v>6314</v>
      </c>
      <c r="K383" s="140" t="s">
        <v>6751</v>
      </c>
    </row>
    <row r="384">
      <c r="A384" s="140" t="s">
        <v>6747</v>
      </c>
      <c r="B384" s="143">
        <v>4.75103E12</v>
      </c>
      <c r="C384" s="140" t="s">
        <v>6776</v>
      </c>
      <c r="D384" s="140" t="s">
        <v>6620</v>
      </c>
      <c r="E384" s="140" t="s">
        <v>6621</v>
      </c>
      <c r="F384" s="140" t="s">
        <v>6777</v>
      </c>
      <c r="G384" s="141" t="s">
        <v>6401</v>
      </c>
      <c r="H384" s="140" t="s">
        <v>6312</v>
      </c>
      <c r="I384" s="140" t="s">
        <v>6313</v>
      </c>
      <c r="J384" s="140" t="s">
        <v>6314</v>
      </c>
      <c r="K384" s="140" t="s">
        <v>6751</v>
      </c>
    </row>
    <row r="385">
      <c r="A385" s="140" t="s">
        <v>6747</v>
      </c>
      <c r="B385" s="140">
        <v>1.641842401E9</v>
      </c>
      <c r="C385" s="140" t="s">
        <v>6778</v>
      </c>
      <c r="D385" s="140" t="s">
        <v>6620</v>
      </c>
      <c r="E385" s="140" t="s">
        <v>6621</v>
      </c>
      <c r="F385" s="140" t="s">
        <v>6777</v>
      </c>
      <c r="G385" s="141" t="s">
        <v>6401</v>
      </c>
      <c r="H385" s="140" t="s">
        <v>6312</v>
      </c>
      <c r="I385" s="140" t="s">
        <v>6313</v>
      </c>
      <c r="J385" s="140" t="s">
        <v>6314</v>
      </c>
      <c r="K385" s="140" t="s">
        <v>6751</v>
      </c>
    </row>
    <row r="386">
      <c r="A386" s="140" t="s">
        <v>6747</v>
      </c>
      <c r="B386" s="143">
        <v>4.75103E12</v>
      </c>
      <c r="C386" s="140" t="s">
        <v>6779</v>
      </c>
      <c r="D386" s="140" t="s">
        <v>6620</v>
      </c>
      <c r="E386" s="140" t="s">
        <v>6621</v>
      </c>
      <c r="F386" s="140" t="s">
        <v>6777</v>
      </c>
      <c r="G386" s="141" t="s">
        <v>6401</v>
      </c>
      <c r="H386" s="140" t="s">
        <v>6312</v>
      </c>
      <c r="I386" s="140" t="s">
        <v>6313</v>
      </c>
      <c r="J386" s="140" t="s">
        <v>6314</v>
      </c>
      <c r="K386" s="140" t="s">
        <v>6751</v>
      </c>
    </row>
    <row r="387">
      <c r="A387" s="140" t="s">
        <v>6747</v>
      </c>
      <c r="B387" s="143">
        <v>4.75103E12</v>
      </c>
      <c r="C387" s="140" t="s">
        <v>6780</v>
      </c>
      <c r="D387" s="140" t="s">
        <v>6620</v>
      </c>
      <c r="E387" s="140" t="s">
        <v>6621</v>
      </c>
      <c r="F387" s="140" t="s">
        <v>6777</v>
      </c>
      <c r="G387" s="141" t="s">
        <v>6401</v>
      </c>
      <c r="H387" s="140" t="s">
        <v>6312</v>
      </c>
      <c r="I387" s="140" t="s">
        <v>6313</v>
      </c>
      <c r="J387" s="140" t="s">
        <v>6314</v>
      </c>
      <c r="K387" s="140" t="s">
        <v>6751</v>
      </c>
    </row>
    <row r="388">
      <c r="A388" s="140" t="s">
        <v>6747</v>
      </c>
      <c r="B388" s="143">
        <v>4.75103E12</v>
      </c>
      <c r="C388" s="140" t="s">
        <v>6781</v>
      </c>
      <c r="D388" s="140" t="s">
        <v>6620</v>
      </c>
      <c r="E388" s="140" t="s">
        <v>6621</v>
      </c>
      <c r="F388" s="140" t="s">
        <v>6777</v>
      </c>
      <c r="G388" s="141" t="s">
        <v>6401</v>
      </c>
      <c r="H388" s="140" t="s">
        <v>6312</v>
      </c>
      <c r="I388" s="140" t="s">
        <v>6313</v>
      </c>
      <c r="J388" s="140" t="s">
        <v>6314</v>
      </c>
      <c r="K388" s="140" t="s">
        <v>6751</v>
      </c>
    </row>
    <row r="389">
      <c r="A389" s="140" t="s">
        <v>6747</v>
      </c>
      <c r="B389" s="143">
        <v>4.75103E12</v>
      </c>
      <c r="C389" s="140" t="s">
        <v>6782</v>
      </c>
      <c r="D389" s="140" t="s">
        <v>6620</v>
      </c>
      <c r="E389" s="140" t="s">
        <v>6621</v>
      </c>
      <c r="F389" s="140" t="s">
        <v>6777</v>
      </c>
      <c r="G389" s="141" t="s">
        <v>6401</v>
      </c>
      <c r="H389" s="140" t="s">
        <v>6312</v>
      </c>
      <c r="I389" s="140" t="s">
        <v>6313</v>
      </c>
      <c r="J389" s="140" t="s">
        <v>6314</v>
      </c>
      <c r="K389" s="140" t="s">
        <v>6751</v>
      </c>
    </row>
    <row r="390">
      <c r="A390" s="140" t="s">
        <v>6747</v>
      </c>
      <c r="B390" s="143">
        <v>4.75103E12</v>
      </c>
      <c r="C390" s="140" t="s">
        <v>6783</v>
      </c>
      <c r="D390" s="140" t="s">
        <v>6620</v>
      </c>
      <c r="E390" s="140" t="s">
        <v>6621</v>
      </c>
      <c r="F390" s="140" t="s">
        <v>6777</v>
      </c>
      <c r="G390" s="141" t="s">
        <v>6401</v>
      </c>
      <c r="H390" s="140" t="s">
        <v>6312</v>
      </c>
      <c r="I390" s="140" t="s">
        <v>6313</v>
      </c>
      <c r="J390" s="140" t="s">
        <v>6314</v>
      </c>
      <c r="K390" s="140" t="s">
        <v>6751</v>
      </c>
    </row>
    <row r="391">
      <c r="A391" s="140" t="s">
        <v>6747</v>
      </c>
      <c r="B391" s="143">
        <v>4.75103E12</v>
      </c>
      <c r="C391" s="140" t="s">
        <v>6784</v>
      </c>
      <c r="D391" s="140" t="s">
        <v>6620</v>
      </c>
      <c r="E391" s="140" t="s">
        <v>6621</v>
      </c>
      <c r="F391" s="140" t="s">
        <v>6777</v>
      </c>
      <c r="G391" s="141" t="s">
        <v>6401</v>
      </c>
      <c r="H391" s="140" t="s">
        <v>6312</v>
      </c>
      <c r="I391" s="140" t="s">
        <v>6313</v>
      </c>
      <c r="J391" s="140" t="s">
        <v>6314</v>
      </c>
      <c r="K391" s="140" t="s">
        <v>6751</v>
      </c>
    </row>
    <row r="392">
      <c r="A392" s="140" t="s">
        <v>6747</v>
      </c>
      <c r="B392" s="143">
        <v>4.75103E12</v>
      </c>
      <c r="C392" s="140" t="s">
        <v>6785</v>
      </c>
      <c r="D392" s="140" t="s">
        <v>6786</v>
      </c>
      <c r="E392" s="140" t="s">
        <v>6786</v>
      </c>
      <c r="F392" s="140" t="s">
        <v>6787</v>
      </c>
      <c r="G392" s="141" t="s">
        <v>6401</v>
      </c>
      <c r="H392" s="140" t="s">
        <v>6312</v>
      </c>
      <c r="I392" s="140" t="s">
        <v>6313</v>
      </c>
      <c r="J392" s="140" t="s">
        <v>6314</v>
      </c>
      <c r="K392" s="140" t="s">
        <v>6751</v>
      </c>
    </row>
    <row r="393">
      <c r="A393" s="140" t="s">
        <v>6747</v>
      </c>
      <c r="B393" s="143">
        <v>4.75103E12</v>
      </c>
      <c r="C393" s="140" t="s">
        <v>6788</v>
      </c>
      <c r="D393" s="140" t="s">
        <v>6786</v>
      </c>
      <c r="E393" s="140" t="s">
        <v>6786</v>
      </c>
      <c r="F393" s="140" t="s">
        <v>6787</v>
      </c>
      <c r="G393" s="141" t="s">
        <v>6401</v>
      </c>
      <c r="H393" s="140" t="s">
        <v>6312</v>
      </c>
      <c r="I393" s="140" t="s">
        <v>6313</v>
      </c>
      <c r="J393" s="140" t="s">
        <v>6314</v>
      </c>
      <c r="K393" s="140" t="s">
        <v>6751</v>
      </c>
    </row>
    <row r="394">
      <c r="A394" s="140" t="s">
        <v>5773</v>
      </c>
      <c r="B394" s="140">
        <v>3950591.0</v>
      </c>
      <c r="C394" s="140" t="s">
        <v>6789</v>
      </c>
      <c r="D394" s="140" t="s">
        <v>6318</v>
      </c>
      <c r="E394" s="140" t="s">
        <v>1225</v>
      </c>
      <c r="F394" s="140" t="s">
        <v>6790</v>
      </c>
      <c r="G394" s="141" t="s">
        <v>6311</v>
      </c>
      <c r="H394" s="140" t="s">
        <v>6312</v>
      </c>
      <c r="I394" s="140" t="s">
        <v>6313</v>
      </c>
      <c r="J394" s="140" t="s">
        <v>6314</v>
      </c>
      <c r="K394" s="140" t="s">
        <v>6320</v>
      </c>
    </row>
    <row r="395">
      <c r="A395" s="140" t="s">
        <v>5773</v>
      </c>
      <c r="B395" s="140">
        <v>3950592.0</v>
      </c>
      <c r="C395" s="140" t="s">
        <v>6791</v>
      </c>
      <c r="D395" s="140" t="s">
        <v>6318</v>
      </c>
      <c r="E395" s="140" t="s">
        <v>1225</v>
      </c>
      <c r="F395" s="140" t="s">
        <v>6790</v>
      </c>
      <c r="G395" s="141" t="s">
        <v>6311</v>
      </c>
      <c r="H395" s="140" t="s">
        <v>6312</v>
      </c>
      <c r="I395" s="140" t="s">
        <v>6313</v>
      </c>
      <c r="J395" s="140" t="s">
        <v>6314</v>
      </c>
      <c r="K395" s="140" t="s">
        <v>6320</v>
      </c>
    </row>
    <row r="396">
      <c r="A396" s="140" t="s">
        <v>5773</v>
      </c>
      <c r="B396" s="140">
        <v>1100228.0</v>
      </c>
      <c r="C396" s="140" t="s">
        <v>6792</v>
      </c>
      <c r="D396" s="140" t="s">
        <v>6318</v>
      </c>
      <c r="E396" s="140" t="s">
        <v>1225</v>
      </c>
      <c r="F396" s="140" t="s">
        <v>6790</v>
      </c>
      <c r="G396" s="141" t="s">
        <v>6311</v>
      </c>
      <c r="H396" s="140" t="s">
        <v>6312</v>
      </c>
      <c r="I396" s="140" t="s">
        <v>6313</v>
      </c>
      <c r="J396" s="140" t="s">
        <v>6314</v>
      </c>
      <c r="K396" s="140" t="s">
        <v>6320</v>
      </c>
    </row>
    <row r="397">
      <c r="A397" s="140" t="s">
        <v>5773</v>
      </c>
      <c r="B397" s="140">
        <v>1100227.0</v>
      </c>
      <c r="C397" s="140" t="s">
        <v>6793</v>
      </c>
      <c r="D397" s="140" t="s">
        <v>6318</v>
      </c>
      <c r="E397" s="140" t="s">
        <v>1225</v>
      </c>
      <c r="F397" s="140" t="s">
        <v>6790</v>
      </c>
      <c r="G397" s="141" t="s">
        <v>6311</v>
      </c>
      <c r="H397" s="140" t="s">
        <v>6312</v>
      </c>
      <c r="I397" s="140" t="s">
        <v>6313</v>
      </c>
      <c r="J397" s="140" t="s">
        <v>6314</v>
      </c>
      <c r="K397" s="140" t="s">
        <v>6320</v>
      </c>
    </row>
    <row r="398">
      <c r="A398" s="140" t="s">
        <v>5773</v>
      </c>
      <c r="B398" s="140">
        <v>3950302.0</v>
      </c>
      <c r="C398" s="140" t="s">
        <v>6794</v>
      </c>
      <c r="D398" s="140" t="s">
        <v>6318</v>
      </c>
      <c r="E398" s="140" t="s">
        <v>1225</v>
      </c>
      <c r="F398" s="140" t="s">
        <v>6790</v>
      </c>
      <c r="G398" s="141" t="s">
        <v>6311</v>
      </c>
      <c r="H398" s="140" t="s">
        <v>6312</v>
      </c>
      <c r="I398" s="140" t="s">
        <v>6313</v>
      </c>
      <c r="J398" s="140" t="s">
        <v>6314</v>
      </c>
      <c r="K398" s="140" t="s">
        <v>6320</v>
      </c>
    </row>
    <row r="399">
      <c r="A399" s="140" t="s">
        <v>5773</v>
      </c>
      <c r="B399" s="140">
        <v>3950593.0</v>
      </c>
      <c r="C399" s="140" t="s">
        <v>6795</v>
      </c>
      <c r="D399" s="140" t="s">
        <v>6318</v>
      </c>
      <c r="E399" s="140" t="s">
        <v>1225</v>
      </c>
      <c r="F399" s="140" t="s">
        <v>6790</v>
      </c>
      <c r="G399" s="141" t="s">
        <v>6311</v>
      </c>
      <c r="H399" s="140" t="s">
        <v>6312</v>
      </c>
      <c r="I399" s="140" t="s">
        <v>6313</v>
      </c>
      <c r="J399" s="140" t="s">
        <v>6314</v>
      </c>
      <c r="K399" s="140" t="s">
        <v>6320</v>
      </c>
    </row>
    <row r="400">
      <c r="A400" s="140" t="s">
        <v>5773</v>
      </c>
      <c r="B400" s="140">
        <v>3950594.0</v>
      </c>
      <c r="C400" s="140" t="s">
        <v>6796</v>
      </c>
      <c r="D400" s="140" t="s">
        <v>6318</v>
      </c>
      <c r="E400" s="140" t="s">
        <v>1225</v>
      </c>
      <c r="F400" s="140" t="s">
        <v>6790</v>
      </c>
      <c r="G400" s="141" t="s">
        <v>6311</v>
      </c>
      <c r="H400" s="140" t="s">
        <v>6312</v>
      </c>
      <c r="I400" s="140" t="s">
        <v>6313</v>
      </c>
      <c r="J400" s="140" t="s">
        <v>6314</v>
      </c>
      <c r="K400" s="140" t="s">
        <v>6320</v>
      </c>
    </row>
    <row r="401">
      <c r="A401" s="140" t="s">
        <v>5773</v>
      </c>
      <c r="B401" s="140">
        <v>1101870.0</v>
      </c>
      <c r="C401" s="140" t="s">
        <v>6797</v>
      </c>
      <c r="D401" s="140" t="s">
        <v>6318</v>
      </c>
      <c r="E401" s="140" t="s">
        <v>1225</v>
      </c>
      <c r="F401" s="140" t="s">
        <v>6798</v>
      </c>
      <c r="G401" s="141" t="s">
        <v>6311</v>
      </c>
      <c r="H401" s="140" t="s">
        <v>6312</v>
      </c>
      <c r="I401" s="140" t="s">
        <v>6313</v>
      </c>
      <c r="J401" s="140" t="s">
        <v>6314</v>
      </c>
      <c r="K401" s="140" t="s">
        <v>6320</v>
      </c>
    </row>
    <row r="402">
      <c r="A402" s="140" t="s">
        <v>5773</v>
      </c>
      <c r="B402" s="140">
        <v>3950318.0</v>
      </c>
      <c r="C402" s="140" t="s">
        <v>6799</v>
      </c>
      <c r="D402" s="140" t="s">
        <v>6318</v>
      </c>
      <c r="E402" s="140" t="s">
        <v>1225</v>
      </c>
      <c r="F402" s="140" t="s">
        <v>6800</v>
      </c>
      <c r="G402" s="141" t="s">
        <v>6311</v>
      </c>
      <c r="H402" s="140" t="s">
        <v>6312</v>
      </c>
      <c r="I402" s="140" t="s">
        <v>6313</v>
      </c>
      <c r="J402" s="140" t="s">
        <v>6314</v>
      </c>
      <c r="K402" s="140" t="s">
        <v>6320</v>
      </c>
    </row>
    <row r="403">
      <c r="A403" s="140" t="s">
        <v>5773</v>
      </c>
      <c r="B403" s="140">
        <v>3950420.0</v>
      </c>
      <c r="C403" s="140" t="s">
        <v>6801</v>
      </c>
      <c r="D403" s="140" t="s">
        <v>6318</v>
      </c>
      <c r="E403" s="140" t="s">
        <v>1225</v>
      </c>
      <c r="F403" s="140" t="s">
        <v>6800</v>
      </c>
      <c r="G403" s="141" t="s">
        <v>6311</v>
      </c>
      <c r="H403" s="140" t="s">
        <v>6312</v>
      </c>
      <c r="I403" s="140" t="s">
        <v>6313</v>
      </c>
      <c r="J403" s="140" t="s">
        <v>6314</v>
      </c>
      <c r="K403" s="140" t="s">
        <v>6320</v>
      </c>
    </row>
    <row r="404">
      <c r="A404" s="140" t="s">
        <v>5773</v>
      </c>
      <c r="B404" s="140">
        <v>3950421.0</v>
      </c>
      <c r="C404" s="140" t="s">
        <v>6802</v>
      </c>
      <c r="D404" s="140" t="s">
        <v>6318</v>
      </c>
      <c r="E404" s="140" t="s">
        <v>1225</v>
      </c>
      <c r="F404" s="140" t="s">
        <v>6800</v>
      </c>
      <c r="G404" s="141" t="s">
        <v>6311</v>
      </c>
      <c r="H404" s="140" t="s">
        <v>6312</v>
      </c>
      <c r="I404" s="140" t="s">
        <v>6313</v>
      </c>
      <c r="J404" s="140" t="s">
        <v>6314</v>
      </c>
      <c r="K404" s="140" t="s">
        <v>6320</v>
      </c>
    </row>
    <row r="405">
      <c r="A405" s="140" t="s">
        <v>5773</v>
      </c>
      <c r="B405" s="140">
        <v>3950422.0</v>
      </c>
      <c r="C405" s="140" t="s">
        <v>6803</v>
      </c>
      <c r="D405" s="140" t="s">
        <v>6318</v>
      </c>
      <c r="E405" s="140" t="s">
        <v>1225</v>
      </c>
      <c r="F405" s="140" t="s">
        <v>6800</v>
      </c>
      <c r="G405" s="141" t="s">
        <v>6311</v>
      </c>
      <c r="H405" s="140" t="s">
        <v>6312</v>
      </c>
      <c r="I405" s="140" t="s">
        <v>6313</v>
      </c>
      <c r="J405" s="140" t="s">
        <v>6314</v>
      </c>
      <c r="K405" s="140" t="s">
        <v>6320</v>
      </c>
    </row>
    <row r="406">
      <c r="A406" s="140" t="s">
        <v>5773</v>
      </c>
      <c r="B406" s="140">
        <v>3950424.0</v>
      </c>
      <c r="C406" s="140" t="s">
        <v>6804</v>
      </c>
      <c r="D406" s="140" t="s">
        <v>6318</v>
      </c>
      <c r="E406" s="140" t="s">
        <v>1225</v>
      </c>
      <c r="F406" s="140" t="s">
        <v>6800</v>
      </c>
      <c r="G406" s="141" t="s">
        <v>6311</v>
      </c>
      <c r="H406" s="140" t="s">
        <v>6312</v>
      </c>
      <c r="I406" s="140" t="s">
        <v>6313</v>
      </c>
      <c r="J406" s="140" t="s">
        <v>6314</v>
      </c>
      <c r="K406" s="140" t="s">
        <v>6320</v>
      </c>
    </row>
    <row r="407">
      <c r="A407" s="140" t="s">
        <v>5773</v>
      </c>
      <c r="B407" s="140">
        <v>3950176.0</v>
      </c>
      <c r="C407" s="140" t="s">
        <v>6805</v>
      </c>
      <c r="D407" s="140" t="s">
        <v>6318</v>
      </c>
      <c r="E407" s="140" t="s">
        <v>1225</v>
      </c>
      <c r="F407" s="140" t="s">
        <v>6800</v>
      </c>
      <c r="G407" s="141" t="s">
        <v>6311</v>
      </c>
      <c r="H407" s="140" t="s">
        <v>6312</v>
      </c>
      <c r="I407" s="140" t="s">
        <v>6313</v>
      </c>
      <c r="J407" s="140" t="s">
        <v>6314</v>
      </c>
      <c r="K407" s="140" t="s">
        <v>6320</v>
      </c>
    </row>
    <row r="408">
      <c r="A408" s="140" t="s">
        <v>5773</v>
      </c>
      <c r="B408" s="140">
        <v>3950435.0</v>
      </c>
      <c r="C408" s="140" t="s">
        <v>6806</v>
      </c>
      <c r="D408" s="140" t="s">
        <v>6318</v>
      </c>
      <c r="E408" s="140" t="s">
        <v>1225</v>
      </c>
      <c r="F408" s="140" t="s">
        <v>6800</v>
      </c>
      <c r="G408" s="141" t="s">
        <v>6311</v>
      </c>
      <c r="H408" s="140" t="s">
        <v>6312</v>
      </c>
      <c r="I408" s="140" t="s">
        <v>6313</v>
      </c>
      <c r="J408" s="140" t="s">
        <v>6314</v>
      </c>
      <c r="K408" s="140" t="s">
        <v>6320</v>
      </c>
    </row>
    <row r="409">
      <c r="A409" s="140" t="s">
        <v>5773</v>
      </c>
      <c r="B409" s="140">
        <v>3950314.0</v>
      </c>
      <c r="C409" s="140" t="s">
        <v>6807</v>
      </c>
      <c r="D409" s="140" t="s">
        <v>6318</v>
      </c>
      <c r="E409" s="140" t="s">
        <v>1225</v>
      </c>
      <c r="F409" s="140" t="s">
        <v>6800</v>
      </c>
      <c r="G409" s="141" t="s">
        <v>6311</v>
      </c>
      <c r="H409" s="140" t="s">
        <v>6312</v>
      </c>
      <c r="I409" s="140" t="s">
        <v>6313</v>
      </c>
      <c r="J409" s="140" t="s">
        <v>6314</v>
      </c>
      <c r="K409" s="140" t="s">
        <v>6320</v>
      </c>
    </row>
    <row r="410">
      <c r="A410" s="140" t="s">
        <v>5773</v>
      </c>
      <c r="B410" s="140">
        <v>3950315.0</v>
      </c>
      <c r="C410" s="140" t="s">
        <v>6808</v>
      </c>
      <c r="D410" s="140" t="s">
        <v>6318</v>
      </c>
      <c r="E410" s="140" t="s">
        <v>1225</v>
      </c>
      <c r="F410" s="140" t="s">
        <v>6800</v>
      </c>
      <c r="G410" s="141" t="s">
        <v>6311</v>
      </c>
      <c r="H410" s="140" t="s">
        <v>6312</v>
      </c>
      <c r="I410" s="140" t="s">
        <v>6313</v>
      </c>
      <c r="J410" s="140" t="s">
        <v>6314</v>
      </c>
      <c r="K410" s="140" t="s">
        <v>6320</v>
      </c>
    </row>
    <row r="411">
      <c r="A411" s="140" t="s">
        <v>5773</v>
      </c>
      <c r="B411" s="140">
        <v>3950316.0</v>
      </c>
      <c r="C411" s="140" t="s">
        <v>6809</v>
      </c>
      <c r="D411" s="140" t="s">
        <v>6318</v>
      </c>
      <c r="E411" s="140" t="s">
        <v>1225</v>
      </c>
      <c r="F411" s="140" t="s">
        <v>6800</v>
      </c>
      <c r="G411" s="141" t="s">
        <v>6311</v>
      </c>
      <c r="H411" s="140" t="s">
        <v>6312</v>
      </c>
      <c r="I411" s="140" t="s">
        <v>6313</v>
      </c>
      <c r="J411" s="140" t="s">
        <v>6314</v>
      </c>
      <c r="K411" s="140" t="s">
        <v>6320</v>
      </c>
    </row>
    <row r="412">
      <c r="A412" s="140" t="s">
        <v>5773</v>
      </c>
      <c r="B412" s="140">
        <v>3950175.0</v>
      </c>
      <c r="C412" s="140" t="s">
        <v>6810</v>
      </c>
      <c r="D412" s="140" t="s">
        <v>6318</v>
      </c>
      <c r="E412" s="140" t="s">
        <v>1225</v>
      </c>
      <c r="F412" s="140" t="s">
        <v>6800</v>
      </c>
      <c r="G412" s="141" t="s">
        <v>6311</v>
      </c>
      <c r="H412" s="140" t="s">
        <v>6312</v>
      </c>
      <c r="I412" s="140" t="s">
        <v>6313</v>
      </c>
      <c r="J412" s="140" t="s">
        <v>6314</v>
      </c>
      <c r="K412" s="140" t="s">
        <v>6320</v>
      </c>
    </row>
    <row r="413">
      <c r="A413" s="140" t="s">
        <v>5773</v>
      </c>
      <c r="B413" s="140">
        <v>1315090.0</v>
      </c>
      <c r="C413" s="140" t="s">
        <v>6811</v>
      </c>
      <c r="D413" s="140" t="s">
        <v>6318</v>
      </c>
      <c r="E413" s="140" t="s">
        <v>1225</v>
      </c>
      <c r="F413" s="140" t="s">
        <v>6800</v>
      </c>
      <c r="G413" s="141" t="s">
        <v>6311</v>
      </c>
      <c r="H413" s="140" t="s">
        <v>6312</v>
      </c>
      <c r="I413" s="140" t="s">
        <v>6313</v>
      </c>
      <c r="J413" s="140" t="s">
        <v>6314</v>
      </c>
      <c r="K413" s="140" t="s">
        <v>6320</v>
      </c>
    </row>
    <row r="414">
      <c r="A414" s="140" t="s">
        <v>5773</v>
      </c>
      <c r="B414" s="140">
        <v>3950319.0</v>
      </c>
      <c r="C414" s="140" t="s">
        <v>6812</v>
      </c>
      <c r="D414" s="140" t="s">
        <v>6318</v>
      </c>
      <c r="E414" s="140" t="s">
        <v>1225</v>
      </c>
      <c r="F414" s="140" t="s">
        <v>6800</v>
      </c>
      <c r="G414" s="141" t="s">
        <v>6311</v>
      </c>
      <c r="H414" s="140" t="s">
        <v>6312</v>
      </c>
      <c r="I414" s="140" t="s">
        <v>6313</v>
      </c>
      <c r="J414" s="140" t="s">
        <v>6314</v>
      </c>
      <c r="K414" s="140" t="s">
        <v>6320</v>
      </c>
    </row>
    <row r="415">
      <c r="A415" s="140" t="s">
        <v>6813</v>
      </c>
      <c r="B415" s="140">
        <v>3950087.0</v>
      </c>
      <c r="C415" s="140" t="s">
        <v>5775</v>
      </c>
      <c r="D415" s="140" t="s">
        <v>6318</v>
      </c>
      <c r="E415" s="140" t="s">
        <v>6323</v>
      </c>
      <c r="F415" s="140" t="s">
        <v>5774</v>
      </c>
      <c r="G415" s="141" t="s">
        <v>6311</v>
      </c>
      <c r="H415" s="140" t="s">
        <v>6312</v>
      </c>
      <c r="I415" s="140" t="s">
        <v>6313</v>
      </c>
      <c r="J415" s="140" t="s">
        <v>6314</v>
      </c>
      <c r="K415" s="140" t="s">
        <v>6320</v>
      </c>
    </row>
    <row r="416">
      <c r="A416" s="140" t="s">
        <v>5773</v>
      </c>
      <c r="B416" s="140">
        <v>1111049.0</v>
      </c>
      <c r="C416" s="140" t="s">
        <v>6814</v>
      </c>
      <c r="D416" s="140" t="s">
        <v>6318</v>
      </c>
      <c r="E416" s="140" t="s">
        <v>1225</v>
      </c>
      <c r="F416" s="140" t="s">
        <v>1226</v>
      </c>
      <c r="G416" s="141" t="s">
        <v>6311</v>
      </c>
      <c r="H416" s="140" t="s">
        <v>6312</v>
      </c>
      <c r="I416" s="140" t="s">
        <v>6313</v>
      </c>
      <c r="J416" s="140" t="s">
        <v>6314</v>
      </c>
      <c r="K416" s="140" t="s">
        <v>6320</v>
      </c>
    </row>
    <row r="417">
      <c r="A417" s="140" t="s">
        <v>5773</v>
      </c>
      <c r="B417" s="140">
        <v>1132008.0</v>
      </c>
      <c r="C417" s="140" t="s">
        <v>6815</v>
      </c>
      <c r="D417" s="140" t="s">
        <v>6318</v>
      </c>
      <c r="E417" s="140" t="s">
        <v>1225</v>
      </c>
      <c r="F417" s="140" t="s">
        <v>1226</v>
      </c>
      <c r="G417" s="141" t="s">
        <v>6311</v>
      </c>
      <c r="H417" s="140" t="s">
        <v>6312</v>
      </c>
      <c r="I417" s="140" t="s">
        <v>6313</v>
      </c>
      <c r="J417" s="140" t="s">
        <v>6314</v>
      </c>
      <c r="K417" s="140" t="s">
        <v>6320</v>
      </c>
    </row>
    <row r="418">
      <c r="A418" s="140" t="s">
        <v>5773</v>
      </c>
      <c r="B418" s="140">
        <v>3950637.0</v>
      </c>
      <c r="C418" s="140" t="s">
        <v>6816</v>
      </c>
      <c r="D418" s="140" t="s">
        <v>6318</v>
      </c>
      <c r="E418" s="140" t="s">
        <v>1225</v>
      </c>
      <c r="F418" s="140" t="s">
        <v>1226</v>
      </c>
      <c r="G418" s="141" t="s">
        <v>6311</v>
      </c>
      <c r="H418" s="140" t="s">
        <v>6312</v>
      </c>
      <c r="I418" s="140" t="s">
        <v>6313</v>
      </c>
      <c r="J418" s="140" t="s">
        <v>6314</v>
      </c>
      <c r="K418" s="140" t="s">
        <v>6320</v>
      </c>
    </row>
    <row r="419">
      <c r="A419" s="140" t="s">
        <v>5773</v>
      </c>
      <c r="B419" s="140">
        <v>1315155.0</v>
      </c>
      <c r="C419" s="140" t="s">
        <v>6817</v>
      </c>
      <c r="D419" s="140" t="s">
        <v>6318</v>
      </c>
      <c r="E419" s="140" t="s">
        <v>1225</v>
      </c>
      <c r="F419" s="140" t="s">
        <v>1226</v>
      </c>
      <c r="G419" s="141" t="s">
        <v>6311</v>
      </c>
      <c r="H419" s="140" t="s">
        <v>6312</v>
      </c>
      <c r="I419" s="140" t="s">
        <v>6313</v>
      </c>
      <c r="J419" s="140" t="s">
        <v>6314</v>
      </c>
      <c r="K419" s="140" t="s">
        <v>6320</v>
      </c>
    </row>
    <row r="420">
      <c r="A420" s="140" t="s">
        <v>5773</v>
      </c>
      <c r="B420" s="140">
        <v>1301077.0</v>
      </c>
      <c r="C420" s="140" t="s">
        <v>6818</v>
      </c>
      <c r="D420" s="140" t="s">
        <v>6318</v>
      </c>
      <c r="E420" s="140" t="s">
        <v>1225</v>
      </c>
      <c r="F420" s="140" t="s">
        <v>1243</v>
      </c>
      <c r="G420" s="141" t="s">
        <v>6311</v>
      </c>
      <c r="H420" s="140" t="s">
        <v>6312</v>
      </c>
      <c r="I420" s="140" t="s">
        <v>6313</v>
      </c>
      <c r="J420" s="140" t="s">
        <v>6314</v>
      </c>
      <c r="K420" s="140" t="s">
        <v>6320</v>
      </c>
    </row>
    <row r="421">
      <c r="A421" s="140" t="s">
        <v>6813</v>
      </c>
      <c r="B421" s="140">
        <v>3950041.0</v>
      </c>
      <c r="C421" s="140" t="s">
        <v>6819</v>
      </c>
      <c r="D421" s="140" t="s">
        <v>6318</v>
      </c>
      <c r="E421" s="140" t="s">
        <v>1225</v>
      </c>
      <c r="F421" s="140" t="s">
        <v>1243</v>
      </c>
      <c r="G421" s="141" t="s">
        <v>6311</v>
      </c>
      <c r="H421" s="140" t="s">
        <v>6312</v>
      </c>
      <c r="I421" s="140" t="s">
        <v>6313</v>
      </c>
      <c r="J421" s="140" t="s">
        <v>6314</v>
      </c>
      <c r="K421" s="140" t="s">
        <v>6320</v>
      </c>
    </row>
    <row r="422">
      <c r="A422" s="140" t="s">
        <v>5773</v>
      </c>
      <c r="B422" s="140">
        <v>1301084.0</v>
      </c>
      <c r="C422" s="140" t="s">
        <v>6820</v>
      </c>
      <c r="D422" s="140" t="s">
        <v>6318</v>
      </c>
      <c r="E422" s="140" t="s">
        <v>1225</v>
      </c>
      <c r="F422" s="140" t="s">
        <v>1243</v>
      </c>
      <c r="G422" s="141" t="s">
        <v>6311</v>
      </c>
      <c r="H422" s="140" t="s">
        <v>6312</v>
      </c>
      <c r="I422" s="140" t="s">
        <v>6313</v>
      </c>
      <c r="J422" s="140" t="s">
        <v>6314</v>
      </c>
      <c r="K422" s="140" t="s">
        <v>6320</v>
      </c>
    </row>
    <row r="423">
      <c r="A423" s="140" t="s">
        <v>6813</v>
      </c>
      <c r="B423" s="140">
        <v>3950039.0</v>
      </c>
      <c r="C423" s="140" t="s">
        <v>6821</v>
      </c>
      <c r="D423" s="140" t="s">
        <v>6318</v>
      </c>
      <c r="E423" s="140" t="s">
        <v>1225</v>
      </c>
      <c r="F423" s="140" t="s">
        <v>1243</v>
      </c>
      <c r="G423" s="141" t="s">
        <v>6311</v>
      </c>
      <c r="H423" s="140" t="s">
        <v>6312</v>
      </c>
      <c r="I423" s="140" t="s">
        <v>6313</v>
      </c>
      <c r="J423" s="140" t="s">
        <v>6314</v>
      </c>
      <c r="K423" s="140" t="s">
        <v>6320</v>
      </c>
    </row>
    <row r="424">
      <c r="A424" s="140" t="s">
        <v>5773</v>
      </c>
      <c r="B424" s="140">
        <v>1108006.0</v>
      </c>
      <c r="C424" s="140" t="s">
        <v>6822</v>
      </c>
      <c r="D424" s="140" t="s">
        <v>6318</v>
      </c>
      <c r="E424" s="140" t="s">
        <v>1225</v>
      </c>
      <c r="F424" s="140" t="s">
        <v>1243</v>
      </c>
      <c r="G424" s="141" t="s">
        <v>6311</v>
      </c>
      <c r="H424" s="140" t="s">
        <v>6312</v>
      </c>
      <c r="I424" s="140" t="s">
        <v>6313</v>
      </c>
      <c r="J424" s="140" t="s">
        <v>6314</v>
      </c>
      <c r="K424" s="140" t="s">
        <v>6320</v>
      </c>
    </row>
    <row r="425">
      <c r="A425" s="140" t="s">
        <v>5773</v>
      </c>
      <c r="B425" s="140">
        <v>1301085.0</v>
      </c>
      <c r="C425" s="140" t="s">
        <v>6823</v>
      </c>
      <c r="D425" s="140" t="s">
        <v>6318</v>
      </c>
      <c r="E425" s="140" t="s">
        <v>1225</v>
      </c>
      <c r="F425" s="140" t="s">
        <v>1243</v>
      </c>
      <c r="G425" s="141" t="s">
        <v>6311</v>
      </c>
      <c r="H425" s="140" t="s">
        <v>6312</v>
      </c>
      <c r="I425" s="140" t="s">
        <v>6313</v>
      </c>
      <c r="J425" s="140" t="s">
        <v>6314</v>
      </c>
      <c r="K425" s="140" t="s">
        <v>6320</v>
      </c>
    </row>
    <row r="426">
      <c r="A426" s="140" t="s">
        <v>5773</v>
      </c>
      <c r="B426" s="140">
        <v>3950362.0</v>
      </c>
      <c r="C426" s="140" t="s">
        <v>6824</v>
      </c>
      <c r="D426" s="140" t="s">
        <v>6318</v>
      </c>
      <c r="E426" s="140" t="s">
        <v>1225</v>
      </c>
      <c r="F426" s="140" t="s">
        <v>1243</v>
      </c>
      <c r="G426" s="141" t="s">
        <v>6311</v>
      </c>
      <c r="H426" s="140" t="s">
        <v>6312</v>
      </c>
      <c r="I426" s="140" t="s">
        <v>6313</v>
      </c>
      <c r="J426" s="140" t="s">
        <v>6314</v>
      </c>
      <c r="K426" s="140" t="s">
        <v>6320</v>
      </c>
    </row>
    <row r="427">
      <c r="A427" s="140" t="s">
        <v>5773</v>
      </c>
      <c r="B427" s="140">
        <v>3950038.0</v>
      </c>
      <c r="C427" s="140" t="s">
        <v>6825</v>
      </c>
      <c r="D427" s="140" t="s">
        <v>6318</v>
      </c>
      <c r="E427" s="140" t="s">
        <v>1225</v>
      </c>
      <c r="F427" s="140" t="s">
        <v>1243</v>
      </c>
      <c r="G427" s="141" t="s">
        <v>6311</v>
      </c>
      <c r="H427" s="140" t="s">
        <v>6312</v>
      </c>
      <c r="I427" s="140" t="s">
        <v>6313</v>
      </c>
      <c r="J427" s="140" t="s">
        <v>6314</v>
      </c>
      <c r="K427" s="140" t="s">
        <v>6320</v>
      </c>
    </row>
    <row r="428">
      <c r="A428" s="140" t="s">
        <v>5773</v>
      </c>
      <c r="B428" s="140">
        <v>3950370.0</v>
      </c>
      <c r="C428" s="140" t="s">
        <v>6826</v>
      </c>
      <c r="D428" s="140" t="s">
        <v>6318</v>
      </c>
      <c r="E428" s="140" t="s">
        <v>1225</v>
      </c>
      <c r="F428" s="140" t="s">
        <v>1243</v>
      </c>
      <c r="G428" s="141" t="s">
        <v>6311</v>
      </c>
      <c r="H428" s="140" t="s">
        <v>6312</v>
      </c>
      <c r="I428" s="140" t="s">
        <v>6313</v>
      </c>
      <c r="J428" s="140" t="s">
        <v>6314</v>
      </c>
      <c r="K428" s="140" t="s">
        <v>6320</v>
      </c>
    </row>
    <row r="429">
      <c r="A429" s="140" t="s">
        <v>5773</v>
      </c>
      <c r="B429" s="140">
        <v>1306210.0</v>
      </c>
      <c r="C429" s="140" t="s">
        <v>6827</v>
      </c>
      <c r="D429" s="140" t="s">
        <v>6318</v>
      </c>
      <c r="E429" s="140" t="s">
        <v>1225</v>
      </c>
      <c r="F429" s="140" t="s">
        <v>1243</v>
      </c>
      <c r="G429" s="141" t="s">
        <v>6311</v>
      </c>
      <c r="H429" s="140" t="s">
        <v>6312</v>
      </c>
      <c r="I429" s="140" t="s">
        <v>6313</v>
      </c>
      <c r="J429" s="140" t="s">
        <v>6314</v>
      </c>
      <c r="K429" s="140" t="s">
        <v>6320</v>
      </c>
    </row>
    <row r="430">
      <c r="A430" s="140" t="s">
        <v>5773</v>
      </c>
      <c r="B430" s="140">
        <v>3950173.0</v>
      </c>
      <c r="C430" s="140" t="s">
        <v>6828</v>
      </c>
      <c r="D430" s="140" t="s">
        <v>6318</v>
      </c>
      <c r="E430" s="140" t="s">
        <v>1225</v>
      </c>
      <c r="F430" s="140" t="s">
        <v>1243</v>
      </c>
      <c r="G430" s="141" t="s">
        <v>6311</v>
      </c>
      <c r="H430" s="140" t="s">
        <v>6312</v>
      </c>
      <c r="I430" s="140" t="s">
        <v>6313</v>
      </c>
      <c r="J430" s="140" t="s">
        <v>6314</v>
      </c>
      <c r="K430" s="140" t="s">
        <v>6320</v>
      </c>
    </row>
    <row r="431">
      <c r="A431" s="140" t="s">
        <v>5773</v>
      </c>
      <c r="B431" s="140">
        <v>1307143.0</v>
      </c>
      <c r="C431" s="140" t="s">
        <v>6829</v>
      </c>
      <c r="D431" s="140" t="s">
        <v>6318</v>
      </c>
      <c r="E431" s="140" t="s">
        <v>1225</v>
      </c>
      <c r="F431" s="140" t="s">
        <v>1243</v>
      </c>
      <c r="G431" s="141" t="s">
        <v>6311</v>
      </c>
      <c r="H431" s="140" t="s">
        <v>6312</v>
      </c>
      <c r="I431" s="140" t="s">
        <v>6313</v>
      </c>
      <c r="J431" s="140" t="s">
        <v>6314</v>
      </c>
      <c r="K431" s="140" t="s">
        <v>6320</v>
      </c>
    </row>
    <row r="432">
      <c r="A432" s="140" t="s">
        <v>5773</v>
      </c>
      <c r="B432" s="140">
        <v>3950042.0</v>
      </c>
      <c r="C432" s="140" t="s">
        <v>6830</v>
      </c>
      <c r="D432" s="140" t="s">
        <v>6318</v>
      </c>
      <c r="E432" s="140" t="s">
        <v>1225</v>
      </c>
      <c r="F432" s="140" t="s">
        <v>1243</v>
      </c>
      <c r="G432" s="141" t="s">
        <v>6311</v>
      </c>
      <c r="H432" s="140" t="s">
        <v>6312</v>
      </c>
      <c r="I432" s="140" t="s">
        <v>6313</v>
      </c>
      <c r="J432" s="140" t="s">
        <v>6314</v>
      </c>
      <c r="K432" s="140" t="s">
        <v>6320</v>
      </c>
    </row>
    <row r="433">
      <c r="A433" s="140" t="s">
        <v>5773</v>
      </c>
      <c r="B433" s="140">
        <v>3950133.0</v>
      </c>
      <c r="C433" s="140" t="s">
        <v>6831</v>
      </c>
      <c r="D433" s="140" t="s">
        <v>6318</v>
      </c>
      <c r="E433" s="140" t="s">
        <v>1225</v>
      </c>
      <c r="F433" s="140" t="s">
        <v>1286</v>
      </c>
      <c r="G433" s="141" t="s">
        <v>6311</v>
      </c>
      <c r="H433" s="140" t="s">
        <v>6312</v>
      </c>
      <c r="I433" s="140" t="s">
        <v>6313</v>
      </c>
      <c r="J433" s="140" t="s">
        <v>6314</v>
      </c>
      <c r="K433" s="140" t="s">
        <v>6320</v>
      </c>
    </row>
    <row r="434">
      <c r="A434" s="140" t="s">
        <v>5773</v>
      </c>
      <c r="B434" s="140">
        <v>1100033.0</v>
      </c>
      <c r="C434" s="140" t="s">
        <v>6832</v>
      </c>
      <c r="D434" s="140" t="s">
        <v>6318</v>
      </c>
      <c r="E434" s="140" t="s">
        <v>1225</v>
      </c>
      <c r="F434" s="140" t="s">
        <v>1293</v>
      </c>
      <c r="G434" s="141" t="s">
        <v>6311</v>
      </c>
      <c r="H434" s="140" t="s">
        <v>6312</v>
      </c>
      <c r="I434" s="140" t="s">
        <v>6313</v>
      </c>
      <c r="J434" s="140" t="s">
        <v>6314</v>
      </c>
      <c r="K434" s="140" t="s">
        <v>6320</v>
      </c>
    </row>
    <row r="435">
      <c r="A435" s="140" t="s">
        <v>5773</v>
      </c>
      <c r="B435" s="140">
        <v>1301058.0</v>
      </c>
      <c r="C435" s="140" t="s">
        <v>6833</v>
      </c>
      <c r="D435" s="140" t="s">
        <v>6318</v>
      </c>
      <c r="E435" s="140" t="s">
        <v>1225</v>
      </c>
      <c r="F435" s="140" t="s">
        <v>1293</v>
      </c>
      <c r="G435" s="141" t="s">
        <v>6311</v>
      </c>
      <c r="H435" s="140" t="s">
        <v>6312</v>
      </c>
      <c r="I435" s="140" t="s">
        <v>6313</v>
      </c>
      <c r="J435" s="140" t="s">
        <v>6314</v>
      </c>
      <c r="K435" s="140" t="s">
        <v>6320</v>
      </c>
    </row>
    <row r="436">
      <c r="A436" s="140" t="s">
        <v>5773</v>
      </c>
      <c r="B436" s="140">
        <v>3950047.0</v>
      </c>
      <c r="C436" s="140" t="s">
        <v>6834</v>
      </c>
      <c r="D436" s="140" t="s">
        <v>6318</v>
      </c>
      <c r="E436" s="140" t="s">
        <v>1225</v>
      </c>
      <c r="F436" s="140" t="s">
        <v>1293</v>
      </c>
      <c r="G436" s="141" t="s">
        <v>6311</v>
      </c>
      <c r="H436" s="140" t="s">
        <v>6312</v>
      </c>
      <c r="I436" s="140" t="s">
        <v>6313</v>
      </c>
      <c r="J436" s="140" t="s">
        <v>6314</v>
      </c>
      <c r="K436" s="140" t="s">
        <v>6320</v>
      </c>
    </row>
    <row r="437">
      <c r="A437" s="140" t="s">
        <v>5773</v>
      </c>
      <c r="B437" s="140">
        <v>3950013.0</v>
      </c>
      <c r="C437" s="140" t="s">
        <v>6835</v>
      </c>
      <c r="D437" s="140" t="s">
        <v>6318</v>
      </c>
      <c r="E437" s="140" t="s">
        <v>1225</v>
      </c>
      <c r="F437" s="140" t="s">
        <v>1293</v>
      </c>
      <c r="G437" s="141" t="s">
        <v>6311</v>
      </c>
      <c r="H437" s="140" t="s">
        <v>6312</v>
      </c>
      <c r="I437" s="140" t="s">
        <v>6313</v>
      </c>
      <c r="J437" s="140" t="s">
        <v>6314</v>
      </c>
      <c r="K437" s="140" t="s">
        <v>6320</v>
      </c>
    </row>
    <row r="438">
      <c r="A438" s="140" t="s">
        <v>5773</v>
      </c>
      <c r="B438" s="140">
        <v>3950100.0</v>
      </c>
      <c r="C438" s="140" t="s">
        <v>6836</v>
      </c>
      <c r="D438" s="140" t="s">
        <v>6318</v>
      </c>
      <c r="E438" s="140" t="s">
        <v>1225</v>
      </c>
      <c r="F438" s="140" t="s">
        <v>1293</v>
      </c>
      <c r="G438" s="141" t="s">
        <v>6311</v>
      </c>
      <c r="H438" s="140" t="s">
        <v>6312</v>
      </c>
      <c r="I438" s="140" t="s">
        <v>6313</v>
      </c>
      <c r="J438" s="140" t="s">
        <v>6314</v>
      </c>
      <c r="K438" s="140" t="s">
        <v>6320</v>
      </c>
    </row>
    <row r="439">
      <c r="A439" s="140" t="s">
        <v>5773</v>
      </c>
      <c r="B439" s="140">
        <v>4490120.0</v>
      </c>
      <c r="C439" s="140" t="s">
        <v>6837</v>
      </c>
      <c r="D439" s="140" t="s">
        <v>6318</v>
      </c>
      <c r="E439" s="140" t="s">
        <v>1225</v>
      </c>
      <c r="F439" s="140" t="s">
        <v>1293</v>
      </c>
      <c r="G439" s="141" t="s">
        <v>6311</v>
      </c>
      <c r="H439" s="140" t="s">
        <v>6312</v>
      </c>
      <c r="I439" s="140" t="s">
        <v>6313</v>
      </c>
      <c r="J439" s="140" t="s">
        <v>6314</v>
      </c>
      <c r="K439" s="140" t="s">
        <v>6320</v>
      </c>
    </row>
    <row r="440">
      <c r="A440" s="140" t="s">
        <v>5773</v>
      </c>
      <c r="B440" s="140">
        <v>1108003.0</v>
      </c>
      <c r="C440" s="140" t="s">
        <v>6838</v>
      </c>
      <c r="D440" s="140" t="s">
        <v>6318</v>
      </c>
      <c r="E440" s="140" t="s">
        <v>1225</v>
      </c>
      <c r="F440" s="140" t="s">
        <v>1293</v>
      </c>
      <c r="G440" s="141" t="s">
        <v>6311</v>
      </c>
      <c r="H440" s="140" t="s">
        <v>6312</v>
      </c>
      <c r="I440" s="140" t="s">
        <v>6313</v>
      </c>
      <c r="J440" s="140" t="s">
        <v>6314</v>
      </c>
      <c r="K440" s="140" t="s">
        <v>6320</v>
      </c>
    </row>
    <row r="441">
      <c r="A441" s="140" t="s">
        <v>5773</v>
      </c>
      <c r="B441" s="140">
        <v>1100009.0</v>
      </c>
      <c r="C441" s="140" t="s">
        <v>6839</v>
      </c>
      <c r="D441" s="140" t="s">
        <v>6318</v>
      </c>
      <c r="E441" s="140" t="s">
        <v>1225</v>
      </c>
      <c r="F441" s="140" t="s">
        <v>1293</v>
      </c>
      <c r="G441" s="141" t="s">
        <v>6311</v>
      </c>
      <c r="H441" s="140" t="s">
        <v>6312</v>
      </c>
      <c r="I441" s="140" t="s">
        <v>6313</v>
      </c>
      <c r="J441" s="140" t="s">
        <v>6314</v>
      </c>
      <c r="K441" s="140" t="s">
        <v>6320</v>
      </c>
    </row>
    <row r="442">
      <c r="A442" s="140" t="s">
        <v>5773</v>
      </c>
      <c r="B442" s="140">
        <v>1100010.0</v>
      </c>
      <c r="C442" s="140" t="s">
        <v>6840</v>
      </c>
      <c r="D442" s="140" t="s">
        <v>6318</v>
      </c>
      <c r="E442" s="140" t="s">
        <v>1225</v>
      </c>
      <c r="F442" s="140" t="s">
        <v>1293</v>
      </c>
      <c r="G442" s="141" t="s">
        <v>6311</v>
      </c>
      <c r="H442" s="140" t="s">
        <v>6312</v>
      </c>
      <c r="I442" s="140" t="s">
        <v>6313</v>
      </c>
      <c r="J442" s="140" t="s">
        <v>6314</v>
      </c>
      <c r="K442" s="140" t="s">
        <v>6320</v>
      </c>
    </row>
    <row r="443">
      <c r="A443" s="140" t="s">
        <v>5773</v>
      </c>
      <c r="B443" s="140">
        <v>1301065.0</v>
      </c>
      <c r="C443" s="140" t="s">
        <v>6841</v>
      </c>
      <c r="D443" s="140" t="s">
        <v>6318</v>
      </c>
      <c r="E443" s="140" t="s">
        <v>1225</v>
      </c>
      <c r="F443" s="140" t="s">
        <v>1293</v>
      </c>
      <c r="G443" s="141" t="s">
        <v>6311</v>
      </c>
      <c r="H443" s="140" t="s">
        <v>6312</v>
      </c>
      <c r="I443" s="140" t="s">
        <v>6313</v>
      </c>
      <c r="J443" s="140" t="s">
        <v>6314</v>
      </c>
      <c r="K443" s="140" t="s">
        <v>6320</v>
      </c>
    </row>
    <row r="444">
      <c r="A444" s="140" t="s">
        <v>5773</v>
      </c>
      <c r="B444" s="140">
        <v>3950103.0</v>
      </c>
      <c r="C444" s="140" t="s">
        <v>6842</v>
      </c>
      <c r="D444" s="140" t="s">
        <v>6318</v>
      </c>
      <c r="E444" s="140" t="s">
        <v>1225</v>
      </c>
      <c r="F444" s="140" t="s">
        <v>1293</v>
      </c>
      <c r="G444" s="141" t="s">
        <v>6311</v>
      </c>
      <c r="H444" s="140" t="s">
        <v>6312</v>
      </c>
      <c r="I444" s="140" t="s">
        <v>6313</v>
      </c>
      <c r="J444" s="140" t="s">
        <v>6314</v>
      </c>
      <c r="K444" s="140" t="s">
        <v>6320</v>
      </c>
    </row>
    <row r="445">
      <c r="A445" s="140" t="s">
        <v>5773</v>
      </c>
      <c r="B445" s="140">
        <v>1301056.0</v>
      </c>
      <c r="C445" s="140" t="s">
        <v>6843</v>
      </c>
      <c r="D445" s="140" t="s">
        <v>6318</v>
      </c>
      <c r="E445" s="140" t="s">
        <v>1225</v>
      </c>
      <c r="F445" s="140" t="s">
        <v>1293</v>
      </c>
      <c r="G445" s="141" t="s">
        <v>6311</v>
      </c>
      <c r="H445" s="140" t="s">
        <v>6312</v>
      </c>
      <c r="I445" s="140" t="s">
        <v>6313</v>
      </c>
      <c r="J445" s="140" t="s">
        <v>6314</v>
      </c>
      <c r="K445" s="140" t="s">
        <v>6320</v>
      </c>
    </row>
    <row r="446">
      <c r="A446" s="140" t="s">
        <v>6813</v>
      </c>
      <c r="B446" s="140">
        <v>3950032.0</v>
      </c>
      <c r="C446" s="140" t="s">
        <v>5776</v>
      </c>
      <c r="D446" s="140" t="s">
        <v>6318</v>
      </c>
      <c r="E446" s="140" t="s">
        <v>1225</v>
      </c>
      <c r="F446" s="140" t="s">
        <v>1293</v>
      </c>
      <c r="G446" s="141" t="s">
        <v>6311</v>
      </c>
      <c r="H446" s="140" t="s">
        <v>6312</v>
      </c>
      <c r="I446" s="140" t="s">
        <v>6313</v>
      </c>
      <c r="J446" s="140" t="s">
        <v>6314</v>
      </c>
      <c r="K446" s="140" t="s">
        <v>6320</v>
      </c>
    </row>
    <row r="447">
      <c r="A447" s="140" t="s">
        <v>6813</v>
      </c>
      <c r="B447" s="140">
        <v>3950033.0</v>
      </c>
      <c r="C447" s="140" t="s">
        <v>6844</v>
      </c>
      <c r="D447" s="140" t="s">
        <v>6318</v>
      </c>
      <c r="E447" s="140" t="s">
        <v>1225</v>
      </c>
      <c r="F447" s="140" t="s">
        <v>1293</v>
      </c>
      <c r="G447" s="141" t="s">
        <v>6311</v>
      </c>
      <c r="H447" s="140" t="s">
        <v>6312</v>
      </c>
      <c r="I447" s="140" t="s">
        <v>6313</v>
      </c>
      <c r="J447" s="140" t="s">
        <v>6314</v>
      </c>
      <c r="K447" s="140" t="s">
        <v>6320</v>
      </c>
    </row>
    <row r="448">
      <c r="A448" s="140" t="s">
        <v>5773</v>
      </c>
      <c r="B448" s="140">
        <v>3950534.0</v>
      </c>
      <c r="C448" s="140" t="s">
        <v>6845</v>
      </c>
      <c r="D448" s="140" t="s">
        <v>6318</v>
      </c>
      <c r="E448" s="140" t="s">
        <v>1225</v>
      </c>
      <c r="F448" s="140" t="s">
        <v>1293</v>
      </c>
      <c r="G448" s="141" t="s">
        <v>6311</v>
      </c>
      <c r="H448" s="140" t="s">
        <v>6312</v>
      </c>
      <c r="I448" s="140" t="s">
        <v>6313</v>
      </c>
      <c r="J448" s="140" t="s">
        <v>6314</v>
      </c>
      <c r="K448" s="140" t="s">
        <v>6320</v>
      </c>
    </row>
    <row r="449">
      <c r="A449" s="140" t="s">
        <v>6813</v>
      </c>
      <c r="B449" s="140">
        <v>3950419.0</v>
      </c>
      <c r="C449" s="140" t="s">
        <v>6846</v>
      </c>
      <c r="D449" s="140" t="s">
        <v>6318</v>
      </c>
      <c r="E449" s="140" t="s">
        <v>1225</v>
      </c>
      <c r="F449" s="140" t="s">
        <v>1293</v>
      </c>
      <c r="G449" s="141" t="s">
        <v>6311</v>
      </c>
      <c r="H449" s="140" t="s">
        <v>6312</v>
      </c>
      <c r="I449" s="140" t="s">
        <v>6313</v>
      </c>
      <c r="J449" s="140" t="s">
        <v>6314</v>
      </c>
      <c r="K449" s="140" t="s">
        <v>6320</v>
      </c>
    </row>
    <row r="450">
      <c r="A450" s="140" t="s">
        <v>5773</v>
      </c>
      <c r="B450" s="140">
        <v>3950003.0</v>
      </c>
      <c r="C450" s="140" t="s">
        <v>6847</v>
      </c>
      <c r="D450" s="140" t="s">
        <v>6318</v>
      </c>
      <c r="E450" s="140" t="s">
        <v>1225</v>
      </c>
      <c r="F450" s="140" t="s">
        <v>1293</v>
      </c>
      <c r="G450" s="141" t="s">
        <v>6311</v>
      </c>
      <c r="H450" s="140" t="s">
        <v>6312</v>
      </c>
      <c r="I450" s="140" t="s">
        <v>6313</v>
      </c>
      <c r="J450" s="140" t="s">
        <v>6314</v>
      </c>
      <c r="K450" s="140" t="s">
        <v>6320</v>
      </c>
    </row>
    <row r="451">
      <c r="A451" s="140" t="s">
        <v>5773</v>
      </c>
      <c r="B451" s="140">
        <v>1108004.0</v>
      </c>
      <c r="C451" s="140" t="s">
        <v>6848</v>
      </c>
      <c r="D451" s="140" t="s">
        <v>6318</v>
      </c>
      <c r="E451" s="140" t="s">
        <v>1225</v>
      </c>
      <c r="F451" s="140" t="s">
        <v>1293</v>
      </c>
      <c r="G451" s="141" t="s">
        <v>6311</v>
      </c>
      <c r="H451" s="140" t="s">
        <v>6312</v>
      </c>
      <c r="I451" s="140" t="s">
        <v>6313</v>
      </c>
      <c r="J451" s="140" t="s">
        <v>6314</v>
      </c>
      <c r="K451" s="140" t="s">
        <v>6320</v>
      </c>
    </row>
    <row r="452">
      <c r="A452" s="140" t="s">
        <v>5773</v>
      </c>
      <c r="B452" s="140">
        <v>1100007.0</v>
      </c>
      <c r="C452" s="140" t="s">
        <v>6849</v>
      </c>
      <c r="D452" s="140" t="s">
        <v>6318</v>
      </c>
      <c r="E452" s="140" t="s">
        <v>1225</v>
      </c>
      <c r="F452" s="140" t="s">
        <v>1293</v>
      </c>
      <c r="G452" s="141" t="s">
        <v>6311</v>
      </c>
      <c r="H452" s="140" t="s">
        <v>6312</v>
      </c>
      <c r="I452" s="140" t="s">
        <v>6313</v>
      </c>
      <c r="J452" s="140" t="s">
        <v>6314</v>
      </c>
      <c r="K452" s="140" t="s">
        <v>6320</v>
      </c>
    </row>
    <row r="453">
      <c r="A453" s="140" t="s">
        <v>5773</v>
      </c>
      <c r="B453" s="140">
        <v>1100008.0</v>
      </c>
      <c r="C453" s="140" t="s">
        <v>6850</v>
      </c>
      <c r="D453" s="140" t="s">
        <v>6318</v>
      </c>
      <c r="E453" s="140" t="s">
        <v>1225</v>
      </c>
      <c r="F453" s="140" t="s">
        <v>1293</v>
      </c>
      <c r="G453" s="141" t="s">
        <v>6311</v>
      </c>
      <c r="H453" s="140" t="s">
        <v>6312</v>
      </c>
      <c r="I453" s="140" t="s">
        <v>6313</v>
      </c>
      <c r="J453" s="140" t="s">
        <v>6314</v>
      </c>
      <c r="K453" s="140" t="s">
        <v>6320</v>
      </c>
    </row>
    <row r="454">
      <c r="A454" s="140" t="s">
        <v>5773</v>
      </c>
      <c r="B454" s="140">
        <v>3950153.0</v>
      </c>
      <c r="C454" s="140" t="s">
        <v>6851</v>
      </c>
      <c r="D454" s="140" t="s">
        <v>6318</v>
      </c>
      <c r="E454" s="140" t="s">
        <v>1225</v>
      </c>
      <c r="F454" s="140" t="s">
        <v>1293</v>
      </c>
      <c r="G454" s="141" t="s">
        <v>6311</v>
      </c>
      <c r="H454" s="140" t="s">
        <v>6312</v>
      </c>
      <c r="I454" s="140" t="s">
        <v>6313</v>
      </c>
      <c r="J454" s="140" t="s">
        <v>6314</v>
      </c>
      <c r="K454" s="140" t="s">
        <v>6320</v>
      </c>
    </row>
    <row r="455">
      <c r="A455" s="140" t="s">
        <v>5773</v>
      </c>
      <c r="B455" s="140">
        <v>1301067.0</v>
      </c>
      <c r="C455" s="140" t="s">
        <v>6852</v>
      </c>
      <c r="D455" s="140" t="s">
        <v>6318</v>
      </c>
      <c r="E455" s="140" t="s">
        <v>1225</v>
      </c>
      <c r="F455" s="140" t="s">
        <v>1293</v>
      </c>
      <c r="G455" s="141" t="s">
        <v>6311</v>
      </c>
      <c r="H455" s="140" t="s">
        <v>6312</v>
      </c>
      <c r="I455" s="140" t="s">
        <v>6313</v>
      </c>
      <c r="J455" s="140" t="s">
        <v>6314</v>
      </c>
      <c r="K455" s="140" t="s">
        <v>6320</v>
      </c>
    </row>
    <row r="456">
      <c r="A456" s="140" t="s">
        <v>5773</v>
      </c>
      <c r="B456" s="140">
        <v>1100136.0</v>
      </c>
      <c r="C456" s="140" t="s">
        <v>6853</v>
      </c>
      <c r="D456" s="140" t="s">
        <v>6318</v>
      </c>
      <c r="E456" s="140" t="s">
        <v>1225</v>
      </c>
      <c r="F456" s="140" t="s">
        <v>1293</v>
      </c>
      <c r="G456" s="141" t="s">
        <v>6311</v>
      </c>
      <c r="H456" s="140" t="s">
        <v>6312</v>
      </c>
      <c r="I456" s="140" t="s">
        <v>6313</v>
      </c>
      <c r="J456" s="140" t="s">
        <v>6314</v>
      </c>
      <c r="K456" s="140" t="s">
        <v>6320</v>
      </c>
    </row>
    <row r="457">
      <c r="A457" s="140" t="s">
        <v>5773</v>
      </c>
      <c r="B457" s="140">
        <v>1100192.0</v>
      </c>
      <c r="C457" s="140" t="s">
        <v>6854</v>
      </c>
      <c r="D457" s="140" t="s">
        <v>6318</v>
      </c>
      <c r="E457" s="140" t="s">
        <v>1225</v>
      </c>
      <c r="F457" s="140" t="s">
        <v>1293</v>
      </c>
      <c r="G457" s="141" t="s">
        <v>6311</v>
      </c>
      <c r="H457" s="140" t="s">
        <v>6312</v>
      </c>
      <c r="I457" s="140" t="s">
        <v>6313</v>
      </c>
      <c r="J457" s="140" t="s">
        <v>6314</v>
      </c>
      <c r="K457" s="140" t="s">
        <v>6320</v>
      </c>
    </row>
    <row r="458">
      <c r="A458" s="140" t="s">
        <v>5773</v>
      </c>
      <c r="B458" s="140">
        <v>3950204.0</v>
      </c>
      <c r="C458" s="140" t="s">
        <v>6855</v>
      </c>
      <c r="D458" s="140" t="s">
        <v>6318</v>
      </c>
      <c r="E458" s="140" t="s">
        <v>1225</v>
      </c>
      <c r="F458" s="140" t="s">
        <v>1293</v>
      </c>
      <c r="G458" s="141" t="s">
        <v>6311</v>
      </c>
      <c r="H458" s="140" t="s">
        <v>6312</v>
      </c>
      <c r="I458" s="140" t="s">
        <v>6313</v>
      </c>
      <c r="J458" s="140" t="s">
        <v>6314</v>
      </c>
      <c r="K458" s="140" t="s">
        <v>6320</v>
      </c>
    </row>
    <row r="459">
      <c r="A459" s="140" t="s">
        <v>5773</v>
      </c>
      <c r="B459" s="140">
        <v>1106255.0</v>
      </c>
      <c r="C459" s="140" t="s">
        <v>6856</v>
      </c>
      <c r="D459" s="140" t="s">
        <v>6318</v>
      </c>
      <c r="E459" s="140" t="s">
        <v>1225</v>
      </c>
      <c r="F459" s="140" t="s">
        <v>1293</v>
      </c>
      <c r="G459" s="141" t="s">
        <v>6311</v>
      </c>
      <c r="H459" s="140" t="s">
        <v>6312</v>
      </c>
      <c r="I459" s="140" t="s">
        <v>6313</v>
      </c>
      <c r="J459" s="140" t="s">
        <v>6314</v>
      </c>
      <c r="K459" s="140" t="s">
        <v>6320</v>
      </c>
    </row>
    <row r="460">
      <c r="A460" s="140" t="s">
        <v>5773</v>
      </c>
      <c r="B460" s="140">
        <v>3900015.0</v>
      </c>
      <c r="C460" s="140" t="s">
        <v>6857</v>
      </c>
      <c r="D460" s="140" t="s">
        <v>6318</v>
      </c>
      <c r="E460" s="140" t="s">
        <v>1225</v>
      </c>
      <c r="F460" s="140" t="s">
        <v>1293</v>
      </c>
      <c r="G460" s="141" t="s">
        <v>6311</v>
      </c>
      <c r="H460" s="140" t="s">
        <v>6312</v>
      </c>
      <c r="I460" s="140" t="s">
        <v>6313</v>
      </c>
      <c r="J460" s="140" t="s">
        <v>6314</v>
      </c>
      <c r="K460" s="140" t="s">
        <v>6320</v>
      </c>
    </row>
    <row r="461">
      <c r="A461" s="140" t="s">
        <v>5773</v>
      </c>
      <c r="B461" s="140">
        <v>1301059.0</v>
      </c>
      <c r="C461" s="140" t="s">
        <v>6858</v>
      </c>
      <c r="D461" s="140" t="s">
        <v>6318</v>
      </c>
      <c r="E461" s="140" t="s">
        <v>1225</v>
      </c>
      <c r="F461" s="140" t="s">
        <v>1293</v>
      </c>
      <c r="G461" s="141" t="s">
        <v>6311</v>
      </c>
      <c r="H461" s="140" t="s">
        <v>6312</v>
      </c>
      <c r="I461" s="140" t="s">
        <v>6313</v>
      </c>
      <c r="J461" s="140" t="s">
        <v>6314</v>
      </c>
      <c r="K461" s="140" t="s">
        <v>6320</v>
      </c>
    </row>
    <row r="462">
      <c r="A462" s="140" t="s">
        <v>5773</v>
      </c>
      <c r="B462" s="140">
        <v>3990011.0</v>
      </c>
      <c r="C462" s="140" t="s">
        <v>6859</v>
      </c>
      <c r="D462" s="140" t="s">
        <v>6318</v>
      </c>
      <c r="E462" s="140" t="s">
        <v>1225</v>
      </c>
      <c r="F462" s="140" t="s">
        <v>6362</v>
      </c>
      <c r="G462" s="141" t="s">
        <v>6311</v>
      </c>
      <c r="H462" s="140" t="s">
        <v>6312</v>
      </c>
      <c r="I462" s="140" t="s">
        <v>6313</v>
      </c>
      <c r="J462" s="140" t="s">
        <v>6314</v>
      </c>
      <c r="K462" s="140" t="s">
        <v>6320</v>
      </c>
    </row>
    <row r="463">
      <c r="A463" s="140" t="s">
        <v>5773</v>
      </c>
      <c r="B463" s="140">
        <v>1100147.0</v>
      </c>
      <c r="C463" s="140" t="s">
        <v>6860</v>
      </c>
      <c r="D463" s="140" t="s">
        <v>6318</v>
      </c>
      <c r="E463" s="140" t="s">
        <v>1301</v>
      </c>
      <c r="F463" s="140" t="s">
        <v>1302</v>
      </c>
      <c r="G463" s="141" t="s">
        <v>6311</v>
      </c>
      <c r="H463" s="140" t="s">
        <v>6312</v>
      </c>
      <c r="I463" s="140" t="s">
        <v>6313</v>
      </c>
      <c r="J463" s="140" t="s">
        <v>6314</v>
      </c>
      <c r="K463" s="140" t="s">
        <v>6320</v>
      </c>
    </row>
    <row r="464">
      <c r="A464" s="140" t="s">
        <v>5773</v>
      </c>
      <c r="B464" s="140">
        <v>1100084.0</v>
      </c>
      <c r="C464" s="140" t="s">
        <v>6861</v>
      </c>
      <c r="D464" s="140" t="s">
        <v>6318</v>
      </c>
      <c r="E464" s="140" t="s">
        <v>1301</v>
      </c>
      <c r="F464" s="140" t="s">
        <v>1302</v>
      </c>
      <c r="G464" s="141" t="s">
        <v>6311</v>
      </c>
      <c r="H464" s="140" t="s">
        <v>6312</v>
      </c>
      <c r="I464" s="140" t="s">
        <v>6313</v>
      </c>
      <c r="J464" s="140" t="s">
        <v>6314</v>
      </c>
      <c r="K464" s="140" t="s">
        <v>6320</v>
      </c>
    </row>
    <row r="465">
      <c r="A465" s="140" t="s">
        <v>5773</v>
      </c>
      <c r="B465" s="140">
        <v>1107060.0</v>
      </c>
      <c r="C465" s="140" t="s">
        <v>6862</v>
      </c>
      <c r="D465" s="140" t="s">
        <v>6318</v>
      </c>
      <c r="E465" s="140" t="s">
        <v>1301</v>
      </c>
      <c r="F465" s="140" t="s">
        <v>6863</v>
      </c>
      <c r="G465" s="141" t="s">
        <v>6311</v>
      </c>
      <c r="H465" s="140" t="s">
        <v>6312</v>
      </c>
      <c r="I465" s="140" t="s">
        <v>6313</v>
      </c>
      <c r="J465" s="140" t="s">
        <v>6314</v>
      </c>
      <c r="K465" s="140" t="s">
        <v>6320</v>
      </c>
    </row>
    <row r="466">
      <c r="A466" s="140" t="s">
        <v>5773</v>
      </c>
      <c r="B466" s="140">
        <v>3950137.0</v>
      </c>
      <c r="C466" s="140" t="s">
        <v>6864</v>
      </c>
      <c r="D466" s="140" t="s">
        <v>6318</v>
      </c>
      <c r="E466" s="140" t="s">
        <v>1323</v>
      </c>
      <c r="F466" s="140" t="s">
        <v>1340</v>
      </c>
      <c r="G466" s="141" t="s">
        <v>6311</v>
      </c>
      <c r="H466" s="140" t="s">
        <v>6312</v>
      </c>
      <c r="I466" s="140" t="s">
        <v>6313</v>
      </c>
      <c r="J466" s="140" t="s">
        <v>6314</v>
      </c>
      <c r="K466" s="140" t="s">
        <v>6320</v>
      </c>
    </row>
    <row r="467">
      <c r="A467" s="140" t="s">
        <v>5773</v>
      </c>
      <c r="B467" s="140">
        <v>3950120.0</v>
      </c>
      <c r="C467" s="140" t="s">
        <v>6865</v>
      </c>
      <c r="D467" s="140" t="s">
        <v>6318</v>
      </c>
      <c r="E467" s="140" t="s">
        <v>1323</v>
      </c>
      <c r="F467" s="140" t="s">
        <v>1340</v>
      </c>
      <c r="G467" s="141" t="s">
        <v>6311</v>
      </c>
      <c r="H467" s="140" t="s">
        <v>6312</v>
      </c>
      <c r="I467" s="140" t="s">
        <v>6313</v>
      </c>
      <c r="J467" s="140" t="s">
        <v>6314</v>
      </c>
      <c r="K467" s="140" t="s">
        <v>6320</v>
      </c>
    </row>
    <row r="468">
      <c r="A468" s="140" t="s">
        <v>5773</v>
      </c>
      <c r="B468" s="140">
        <v>1106245.0</v>
      </c>
      <c r="C468" s="140" t="s">
        <v>6866</v>
      </c>
      <c r="D468" s="140" t="s">
        <v>6318</v>
      </c>
      <c r="E468" s="140" t="s">
        <v>1323</v>
      </c>
      <c r="F468" s="140" t="s">
        <v>1371</v>
      </c>
      <c r="G468" s="141" t="s">
        <v>6311</v>
      </c>
      <c r="H468" s="140" t="s">
        <v>6312</v>
      </c>
      <c r="I468" s="140" t="s">
        <v>6313</v>
      </c>
      <c r="J468" s="140" t="s">
        <v>6314</v>
      </c>
      <c r="K468" s="140" t="s">
        <v>6320</v>
      </c>
    </row>
    <row r="469">
      <c r="A469" s="140" t="s">
        <v>5773</v>
      </c>
      <c r="B469" s="140">
        <v>1106244.0</v>
      </c>
      <c r="C469" s="140" t="s">
        <v>6867</v>
      </c>
      <c r="D469" s="140" t="s">
        <v>6318</v>
      </c>
      <c r="E469" s="140" t="s">
        <v>1323</v>
      </c>
      <c r="F469" s="140" t="s">
        <v>1371</v>
      </c>
      <c r="G469" s="141" t="s">
        <v>6311</v>
      </c>
      <c r="H469" s="140" t="s">
        <v>6312</v>
      </c>
      <c r="I469" s="140" t="s">
        <v>6313</v>
      </c>
      <c r="J469" s="140" t="s">
        <v>6314</v>
      </c>
      <c r="K469" s="140" t="s">
        <v>6320</v>
      </c>
    </row>
    <row r="470">
      <c r="A470" s="140" t="s">
        <v>5773</v>
      </c>
      <c r="B470" s="140">
        <v>1100077.0</v>
      </c>
      <c r="C470" s="140" t="s">
        <v>6868</v>
      </c>
      <c r="D470" s="140" t="s">
        <v>6318</v>
      </c>
      <c r="E470" s="140" t="s">
        <v>1323</v>
      </c>
      <c r="F470" s="140" t="s">
        <v>1371</v>
      </c>
      <c r="G470" s="141" t="s">
        <v>6311</v>
      </c>
      <c r="H470" s="140" t="s">
        <v>6312</v>
      </c>
      <c r="I470" s="140" t="s">
        <v>6313</v>
      </c>
      <c r="J470" s="140" t="s">
        <v>6314</v>
      </c>
      <c r="K470" s="140" t="s">
        <v>6320</v>
      </c>
    </row>
    <row r="471">
      <c r="A471" s="140" t="s">
        <v>5773</v>
      </c>
      <c r="B471" s="140">
        <v>3950403.0</v>
      </c>
      <c r="C471" s="140" t="s">
        <v>6869</v>
      </c>
      <c r="D471" s="140" t="s">
        <v>6318</v>
      </c>
      <c r="E471" s="140" t="s">
        <v>1323</v>
      </c>
      <c r="F471" s="140" t="s">
        <v>1371</v>
      </c>
      <c r="G471" s="141" t="s">
        <v>6311</v>
      </c>
      <c r="H471" s="140" t="s">
        <v>6312</v>
      </c>
      <c r="I471" s="140" t="s">
        <v>6313</v>
      </c>
      <c r="J471" s="140" t="s">
        <v>6314</v>
      </c>
      <c r="K471" s="140" t="s">
        <v>6320</v>
      </c>
    </row>
    <row r="472">
      <c r="A472" s="140" t="s">
        <v>5773</v>
      </c>
      <c r="B472" s="140">
        <v>3950118.0</v>
      </c>
      <c r="C472" s="140" t="s">
        <v>6870</v>
      </c>
      <c r="D472" s="140" t="s">
        <v>6318</v>
      </c>
      <c r="E472" s="140" t="s">
        <v>1395</v>
      </c>
      <c r="F472" s="140" t="s">
        <v>1396</v>
      </c>
      <c r="G472" s="141" t="s">
        <v>6311</v>
      </c>
      <c r="H472" s="140" t="s">
        <v>6312</v>
      </c>
      <c r="I472" s="140" t="s">
        <v>6313</v>
      </c>
      <c r="J472" s="140" t="s">
        <v>6314</v>
      </c>
      <c r="K472" s="140" t="s">
        <v>6320</v>
      </c>
    </row>
    <row r="473">
      <c r="A473" s="140" t="s">
        <v>5773</v>
      </c>
      <c r="B473" s="140">
        <v>3990003.0</v>
      </c>
      <c r="C473" s="140" t="s">
        <v>6871</v>
      </c>
      <c r="D473" s="140" t="s">
        <v>6318</v>
      </c>
      <c r="E473" s="140" t="s">
        <v>1395</v>
      </c>
      <c r="F473" s="140" t="s">
        <v>1399</v>
      </c>
      <c r="G473" s="141" t="s">
        <v>6311</v>
      </c>
      <c r="H473" s="140" t="s">
        <v>6312</v>
      </c>
      <c r="I473" s="140" t="s">
        <v>6313</v>
      </c>
      <c r="J473" s="140" t="s">
        <v>6314</v>
      </c>
      <c r="K473" s="140" t="s">
        <v>6320</v>
      </c>
    </row>
    <row r="474">
      <c r="A474" s="140" t="s">
        <v>5773</v>
      </c>
      <c r="B474" s="140">
        <v>3990012.0</v>
      </c>
      <c r="C474" s="140" t="s">
        <v>6872</v>
      </c>
      <c r="D474" s="140" t="s">
        <v>6318</v>
      </c>
      <c r="E474" s="140" t="s">
        <v>1395</v>
      </c>
      <c r="F474" s="140" t="s">
        <v>1399</v>
      </c>
      <c r="G474" s="141" t="s">
        <v>6311</v>
      </c>
      <c r="H474" s="140" t="s">
        <v>6312</v>
      </c>
      <c r="I474" s="140" t="s">
        <v>6313</v>
      </c>
      <c r="J474" s="140" t="s">
        <v>6314</v>
      </c>
      <c r="K474" s="140" t="s">
        <v>6320</v>
      </c>
    </row>
    <row r="475">
      <c r="A475" s="140" t="s">
        <v>5773</v>
      </c>
      <c r="B475" s="140">
        <v>3990010.0</v>
      </c>
      <c r="C475" s="140" t="s">
        <v>6873</v>
      </c>
      <c r="D475" s="140" t="s">
        <v>6318</v>
      </c>
      <c r="E475" s="140" t="s">
        <v>1395</v>
      </c>
      <c r="F475" s="140" t="s">
        <v>1399</v>
      </c>
      <c r="G475" s="141" t="s">
        <v>6311</v>
      </c>
      <c r="H475" s="140" t="s">
        <v>6312</v>
      </c>
      <c r="I475" s="140" t="s">
        <v>6313</v>
      </c>
      <c r="J475" s="140" t="s">
        <v>6314</v>
      </c>
      <c r="K475" s="140" t="s">
        <v>6320</v>
      </c>
    </row>
    <row r="476">
      <c r="A476" s="140" t="s">
        <v>5773</v>
      </c>
      <c r="B476" s="140">
        <v>3990009.0</v>
      </c>
      <c r="C476" s="140" t="s">
        <v>6874</v>
      </c>
      <c r="D476" s="140" t="s">
        <v>6318</v>
      </c>
      <c r="E476" s="140" t="s">
        <v>1395</v>
      </c>
      <c r="F476" s="140" t="s">
        <v>1399</v>
      </c>
      <c r="G476" s="141" t="s">
        <v>6311</v>
      </c>
      <c r="H476" s="140" t="s">
        <v>6312</v>
      </c>
      <c r="I476" s="140" t="s">
        <v>6313</v>
      </c>
      <c r="J476" s="140" t="s">
        <v>6314</v>
      </c>
      <c r="K476" s="140" t="s">
        <v>6320</v>
      </c>
    </row>
    <row r="477">
      <c r="A477" s="140" t="s">
        <v>5773</v>
      </c>
      <c r="B477" s="140">
        <v>1697005.0</v>
      </c>
      <c r="C477" s="140" t="s">
        <v>6875</v>
      </c>
      <c r="D477" s="140" t="s">
        <v>6318</v>
      </c>
      <c r="E477" s="140" t="s">
        <v>1395</v>
      </c>
      <c r="F477" s="140" t="s">
        <v>1421</v>
      </c>
      <c r="G477" s="141" t="s">
        <v>6311</v>
      </c>
      <c r="H477" s="140" t="s">
        <v>6312</v>
      </c>
      <c r="I477" s="140" t="s">
        <v>6313</v>
      </c>
      <c r="J477" s="140" t="s">
        <v>6314</v>
      </c>
      <c r="K477" s="140" t="s">
        <v>6320</v>
      </c>
    </row>
    <row r="478">
      <c r="A478" s="140" t="s">
        <v>5773</v>
      </c>
      <c r="B478" s="140">
        <v>1697004.0</v>
      </c>
      <c r="C478" s="140" t="s">
        <v>6876</v>
      </c>
      <c r="D478" s="140" t="s">
        <v>6318</v>
      </c>
      <c r="E478" s="140" t="s">
        <v>1395</v>
      </c>
      <c r="F478" s="140" t="s">
        <v>1421</v>
      </c>
      <c r="G478" s="141" t="s">
        <v>6311</v>
      </c>
      <c r="H478" s="140" t="s">
        <v>6312</v>
      </c>
      <c r="I478" s="140" t="s">
        <v>6313</v>
      </c>
      <c r="J478" s="140" t="s">
        <v>6314</v>
      </c>
      <c r="K478" s="140" t="s">
        <v>6320</v>
      </c>
    </row>
    <row r="479">
      <c r="A479" s="140" t="s">
        <v>6877</v>
      </c>
      <c r="B479" s="140" t="s">
        <v>6878</v>
      </c>
      <c r="C479" s="140" t="s">
        <v>6879</v>
      </c>
      <c r="D479" s="140" t="s">
        <v>6318</v>
      </c>
      <c r="E479" s="140">
        <v>0.0</v>
      </c>
      <c r="F479" s="140" t="s">
        <v>6790</v>
      </c>
      <c r="G479" s="141" t="s">
        <v>6401</v>
      </c>
      <c r="H479" s="140" t="s">
        <v>6312</v>
      </c>
      <c r="I479" s="140" t="s">
        <v>6313</v>
      </c>
      <c r="J479" s="140" t="s">
        <v>6314</v>
      </c>
      <c r="K479" s="140" t="s">
        <v>6880</v>
      </c>
    </row>
    <row r="480">
      <c r="A480" s="140" t="s">
        <v>6877</v>
      </c>
      <c r="B480" s="140" t="s">
        <v>6881</v>
      </c>
      <c r="C480" s="140" t="s">
        <v>6882</v>
      </c>
      <c r="D480" s="140" t="s">
        <v>6318</v>
      </c>
      <c r="E480" s="140">
        <v>0.0</v>
      </c>
      <c r="F480" s="140" t="s">
        <v>6790</v>
      </c>
      <c r="G480" s="141" t="s">
        <v>6401</v>
      </c>
      <c r="H480" s="140" t="s">
        <v>6312</v>
      </c>
      <c r="I480" s="140" t="s">
        <v>6313</v>
      </c>
      <c r="J480" s="140" t="s">
        <v>6314</v>
      </c>
      <c r="K480" s="140" t="s">
        <v>6880</v>
      </c>
    </row>
    <row r="481">
      <c r="A481" s="140" t="s">
        <v>6877</v>
      </c>
      <c r="B481" s="140" t="s">
        <v>6883</v>
      </c>
      <c r="C481" s="140" t="s">
        <v>6884</v>
      </c>
      <c r="D481" s="140" t="s">
        <v>6318</v>
      </c>
      <c r="E481" s="140">
        <v>0.0</v>
      </c>
      <c r="F481" s="140" t="s">
        <v>6790</v>
      </c>
      <c r="G481" s="141" t="s">
        <v>6401</v>
      </c>
      <c r="H481" s="140" t="s">
        <v>6312</v>
      </c>
      <c r="I481" s="140" t="s">
        <v>6313</v>
      </c>
      <c r="J481" s="140" t="s">
        <v>6314</v>
      </c>
      <c r="K481" s="140" t="s">
        <v>6880</v>
      </c>
    </row>
    <row r="482">
      <c r="A482" s="140" t="s">
        <v>6877</v>
      </c>
      <c r="B482" s="140" t="s">
        <v>6885</v>
      </c>
      <c r="C482" s="140" t="s">
        <v>6886</v>
      </c>
      <c r="D482" s="140" t="s">
        <v>6318</v>
      </c>
      <c r="E482" s="140">
        <v>0.0</v>
      </c>
      <c r="F482" s="140" t="s">
        <v>6790</v>
      </c>
      <c r="G482" s="141" t="s">
        <v>6401</v>
      </c>
      <c r="H482" s="140" t="s">
        <v>6312</v>
      </c>
      <c r="I482" s="140" t="s">
        <v>6313</v>
      </c>
      <c r="J482" s="140" t="s">
        <v>6314</v>
      </c>
      <c r="K482" s="140" t="s">
        <v>6880</v>
      </c>
    </row>
    <row r="483">
      <c r="A483" s="140" t="s">
        <v>6877</v>
      </c>
      <c r="B483" s="140" t="s">
        <v>6887</v>
      </c>
      <c r="C483" s="140" t="s">
        <v>6888</v>
      </c>
      <c r="D483" s="140" t="s">
        <v>6318</v>
      </c>
      <c r="E483" s="140">
        <v>0.0</v>
      </c>
      <c r="F483" s="140" t="s">
        <v>6790</v>
      </c>
      <c r="G483" s="141" t="s">
        <v>6401</v>
      </c>
      <c r="H483" s="140" t="s">
        <v>6312</v>
      </c>
      <c r="I483" s="140" t="s">
        <v>6313</v>
      </c>
      <c r="J483" s="140" t="s">
        <v>6314</v>
      </c>
      <c r="K483" s="140" t="s">
        <v>6880</v>
      </c>
    </row>
    <row r="484">
      <c r="A484" s="140" t="s">
        <v>6877</v>
      </c>
      <c r="B484" s="140" t="s">
        <v>6889</v>
      </c>
      <c r="C484" s="140" t="s">
        <v>6890</v>
      </c>
      <c r="D484" s="140" t="s">
        <v>6318</v>
      </c>
      <c r="E484" s="140">
        <v>0.0</v>
      </c>
      <c r="F484" s="140" t="s">
        <v>6790</v>
      </c>
      <c r="G484" s="141" t="s">
        <v>6401</v>
      </c>
      <c r="H484" s="140" t="s">
        <v>6312</v>
      </c>
      <c r="I484" s="140" t="s">
        <v>6313</v>
      </c>
      <c r="J484" s="140" t="s">
        <v>6314</v>
      </c>
      <c r="K484" s="140" t="s">
        <v>6880</v>
      </c>
    </row>
    <row r="485">
      <c r="A485" s="140" t="s">
        <v>6877</v>
      </c>
      <c r="B485" s="140" t="s">
        <v>6891</v>
      </c>
      <c r="C485" s="140" t="s">
        <v>6892</v>
      </c>
      <c r="D485" s="140" t="s">
        <v>6318</v>
      </c>
      <c r="E485" s="140">
        <v>0.0</v>
      </c>
      <c r="F485" s="140" t="s">
        <v>6790</v>
      </c>
      <c r="G485" s="141" t="s">
        <v>6401</v>
      </c>
      <c r="H485" s="140" t="s">
        <v>6312</v>
      </c>
      <c r="I485" s="140" t="s">
        <v>6313</v>
      </c>
      <c r="J485" s="140" t="s">
        <v>6314</v>
      </c>
      <c r="K485" s="140" t="s">
        <v>6880</v>
      </c>
    </row>
    <row r="486">
      <c r="A486" s="140" t="s">
        <v>6877</v>
      </c>
      <c r="B486" s="140" t="s">
        <v>6893</v>
      </c>
      <c r="C486" s="140" t="s">
        <v>6894</v>
      </c>
      <c r="D486" s="140" t="s">
        <v>6318</v>
      </c>
      <c r="E486" s="140">
        <v>0.0</v>
      </c>
      <c r="F486" s="140" t="s">
        <v>6790</v>
      </c>
      <c r="G486" s="141" t="s">
        <v>6401</v>
      </c>
      <c r="H486" s="140" t="s">
        <v>6312</v>
      </c>
      <c r="I486" s="140" t="s">
        <v>6313</v>
      </c>
      <c r="J486" s="140" t="s">
        <v>6314</v>
      </c>
      <c r="K486" s="140" t="s">
        <v>6880</v>
      </c>
    </row>
    <row r="487">
      <c r="A487" s="140" t="s">
        <v>6877</v>
      </c>
      <c r="B487" s="140" t="s">
        <v>6895</v>
      </c>
      <c r="C487" s="140" t="s">
        <v>6896</v>
      </c>
      <c r="D487" s="140" t="s">
        <v>6318</v>
      </c>
      <c r="E487" s="140">
        <v>0.0</v>
      </c>
      <c r="F487" s="140" t="s">
        <v>6790</v>
      </c>
      <c r="G487" s="141" t="s">
        <v>6401</v>
      </c>
      <c r="H487" s="140" t="s">
        <v>6312</v>
      </c>
      <c r="I487" s="140" t="s">
        <v>6313</v>
      </c>
      <c r="J487" s="140" t="s">
        <v>6314</v>
      </c>
      <c r="K487" s="140" t="s">
        <v>6880</v>
      </c>
    </row>
    <row r="488">
      <c r="A488" s="140" t="s">
        <v>6877</v>
      </c>
      <c r="B488" s="140" t="s">
        <v>6897</v>
      </c>
      <c r="C488" s="140" t="s">
        <v>6898</v>
      </c>
      <c r="D488" s="140" t="s">
        <v>6318</v>
      </c>
      <c r="E488" s="140">
        <v>0.0</v>
      </c>
      <c r="F488" s="140" t="s">
        <v>6798</v>
      </c>
      <c r="G488" s="141" t="s">
        <v>6401</v>
      </c>
      <c r="H488" s="140" t="s">
        <v>6312</v>
      </c>
      <c r="I488" s="140" t="s">
        <v>6313</v>
      </c>
      <c r="J488" s="140" t="s">
        <v>6314</v>
      </c>
      <c r="K488" s="140" t="s">
        <v>6880</v>
      </c>
    </row>
    <row r="489">
      <c r="A489" s="140" t="s">
        <v>6877</v>
      </c>
      <c r="B489" s="140" t="s">
        <v>3393</v>
      </c>
      <c r="C489" s="140" t="s">
        <v>6899</v>
      </c>
      <c r="D489" s="140" t="s">
        <v>6318</v>
      </c>
      <c r="E489" s="140">
        <v>0.0</v>
      </c>
      <c r="F489" s="140" t="s">
        <v>6900</v>
      </c>
      <c r="G489" s="141" t="s">
        <v>6668</v>
      </c>
      <c r="H489" s="140" t="s">
        <v>6312</v>
      </c>
      <c r="I489" s="140" t="s">
        <v>6313</v>
      </c>
      <c r="J489" s="140" t="s">
        <v>6314</v>
      </c>
      <c r="K489" s="140" t="s">
        <v>6880</v>
      </c>
    </row>
    <row r="490">
      <c r="A490" s="140" t="s">
        <v>6877</v>
      </c>
      <c r="B490" s="140" t="s">
        <v>6901</v>
      </c>
      <c r="C490" s="140" t="s">
        <v>6902</v>
      </c>
      <c r="D490" s="140" t="s">
        <v>6318</v>
      </c>
      <c r="E490" s="140">
        <v>0.0</v>
      </c>
      <c r="F490" s="140" t="s">
        <v>6900</v>
      </c>
      <c r="G490" s="141" t="s">
        <v>6401</v>
      </c>
      <c r="H490" s="140" t="s">
        <v>6312</v>
      </c>
      <c r="I490" s="140" t="s">
        <v>6313</v>
      </c>
      <c r="J490" s="140" t="s">
        <v>6314</v>
      </c>
      <c r="K490" s="140" t="s">
        <v>6880</v>
      </c>
    </row>
    <row r="491">
      <c r="A491" s="140" t="s">
        <v>6877</v>
      </c>
      <c r="B491" s="140" t="s">
        <v>6903</v>
      </c>
      <c r="C491" s="140" t="s">
        <v>6904</v>
      </c>
      <c r="D491" s="140" t="s">
        <v>6318</v>
      </c>
      <c r="E491" s="140">
        <v>0.0</v>
      </c>
      <c r="F491" s="140" t="s">
        <v>6900</v>
      </c>
      <c r="G491" s="141" t="s">
        <v>6401</v>
      </c>
      <c r="H491" s="140" t="s">
        <v>6312</v>
      </c>
      <c r="I491" s="140" t="s">
        <v>6313</v>
      </c>
      <c r="J491" s="140" t="s">
        <v>6314</v>
      </c>
      <c r="K491" s="140" t="s">
        <v>6880</v>
      </c>
    </row>
    <row r="492">
      <c r="A492" s="140" t="s">
        <v>6877</v>
      </c>
      <c r="B492" s="140" t="s">
        <v>6905</v>
      </c>
      <c r="C492" s="140" t="s">
        <v>6906</v>
      </c>
      <c r="D492" s="140" t="s">
        <v>6318</v>
      </c>
      <c r="E492" s="140">
        <v>0.0</v>
      </c>
      <c r="F492" s="140" t="s">
        <v>6900</v>
      </c>
      <c r="G492" s="141" t="s">
        <v>6401</v>
      </c>
      <c r="H492" s="140" t="s">
        <v>6312</v>
      </c>
      <c r="I492" s="140" t="s">
        <v>6313</v>
      </c>
      <c r="J492" s="140" t="s">
        <v>6314</v>
      </c>
      <c r="K492" s="140" t="s">
        <v>6880</v>
      </c>
    </row>
    <row r="493">
      <c r="A493" s="140" t="s">
        <v>6877</v>
      </c>
      <c r="B493" s="140" t="s">
        <v>6907</v>
      </c>
      <c r="C493" s="140" t="s">
        <v>6908</v>
      </c>
      <c r="D493" s="140" t="s">
        <v>6318</v>
      </c>
      <c r="E493" s="140">
        <v>0.0</v>
      </c>
      <c r="F493" s="140" t="s">
        <v>6800</v>
      </c>
      <c r="G493" s="141" t="s">
        <v>6401</v>
      </c>
      <c r="H493" s="140" t="s">
        <v>6312</v>
      </c>
      <c r="I493" s="140" t="s">
        <v>6313</v>
      </c>
      <c r="J493" s="140" t="s">
        <v>6314</v>
      </c>
      <c r="K493" s="140" t="s">
        <v>6880</v>
      </c>
    </row>
    <row r="494">
      <c r="A494" s="140" t="s">
        <v>6877</v>
      </c>
      <c r="B494" s="140" t="s">
        <v>6909</v>
      </c>
      <c r="C494" s="140" t="s">
        <v>6910</v>
      </c>
      <c r="D494" s="140" t="s">
        <v>6318</v>
      </c>
      <c r="E494" s="140">
        <v>0.0</v>
      </c>
      <c r="F494" s="140" t="s">
        <v>6800</v>
      </c>
      <c r="G494" s="141" t="s">
        <v>6401</v>
      </c>
      <c r="H494" s="140" t="s">
        <v>6312</v>
      </c>
      <c r="I494" s="140" t="s">
        <v>6313</v>
      </c>
      <c r="J494" s="140" t="s">
        <v>6314</v>
      </c>
      <c r="K494" s="140" t="s">
        <v>6880</v>
      </c>
    </row>
    <row r="495">
      <c r="A495" s="140" t="s">
        <v>6877</v>
      </c>
      <c r="B495" s="140" t="s">
        <v>3550</v>
      </c>
      <c r="C495" s="140" t="s">
        <v>6911</v>
      </c>
      <c r="D495" s="140" t="s">
        <v>6318</v>
      </c>
      <c r="E495" s="140">
        <v>0.0</v>
      </c>
      <c r="F495" s="140" t="s">
        <v>6800</v>
      </c>
      <c r="G495" s="141" t="s">
        <v>6401</v>
      </c>
      <c r="H495" s="140" t="s">
        <v>6312</v>
      </c>
      <c r="I495" s="140" t="s">
        <v>6313</v>
      </c>
      <c r="J495" s="140" t="s">
        <v>6314</v>
      </c>
      <c r="K495" s="140" t="s">
        <v>6880</v>
      </c>
    </row>
    <row r="496">
      <c r="A496" s="140" t="s">
        <v>6877</v>
      </c>
      <c r="B496" s="140" t="s">
        <v>3109</v>
      </c>
      <c r="C496" s="140" t="s">
        <v>6912</v>
      </c>
      <c r="D496" s="140" t="s">
        <v>6318</v>
      </c>
      <c r="E496" s="140">
        <v>0.0</v>
      </c>
      <c r="F496" s="140" t="s">
        <v>6800</v>
      </c>
      <c r="G496" s="141" t="s">
        <v>6401</v>
      </c>
      <c r="H496" s="140" t="s">
        <v>6312</v>
      </c>
      <c r="I496" s="140" t="s">
        <v>6313</v>
      </c>
      <c r="J496" s="140" t="s">
        <v>6314</v>
      </c>
      <c r="K496" s="140" t="s">
        <v>6880</v>
      </c>
    </row>
    <row r="497">
      <c r="A497" s="140" t="s">
        <v>6877</v>
      </c>
      <c r="B497" s="140" t="s">
        <v>6913</v>
      </c>
      <c r="C497" s="140" t="s">
        <v>6914</v>
      </c>
      <c r="D497" s="140" t="s">
        <v>6318</v>
      </c>
      <c r="E497" s="140">
        <v>0.0</v>
      </c>
      <c r="F497" s="140" t="s">
        <v>6800</v>
      </c>
      <c r="G497" s="141" t="s">
        <v>6401</v>
      </c>
      <c r="H497" s="140" t="s">
        <v>6312</v>
      </c>
      <c r="I497" s="140" t="s">
        <v>6313</v>
      </c>
      <c r="J497" s="140" t="s">
        <v>6314</v>
      </c>
      <c r="K497" s="140" t="s">
        <v>6880</v>
      </c>
    </row>
    <row r="498">
      <c r="A498" s="140" t="s">
        <v>6877</v>
      </c>
      <c r="B498" s="140" t="s">
        <v>6915</v>
      </c>
      <c r="C498" s="140" t="s">
        <v>6916</v>
      </c>
      <c r="D498" s="140" t="s">
        <v>6318</v>
      </c>
      <c r="E498" s="140">
        <v>0.0</v>
      </c>
      <c r="F498" s="140" t="s">
        <v>6800</v>
      </c>
      <c r="G498" s="141" t="s">
        <v>6401</v>
      </c>
      <c r="H498" s="140" t="s">
        <v>6312</v>
      </c>
      <c r="I498" s="140" t="s">
        <v>6313</v>
      </c>
      <c r="J498" s="140" t="s">
        <v>6314</v>
      </c>
      <c r="K498" s="140" t="s">
        <v>6880</v>
      </c>
    </row>
    <row r="499">
      <c r="A499" s="140" t="s">
        <v>6877</v>
      </c>
      <c r="B499" s="140" t="s">
        <v>6917</v>
      </c>
      <c r="C499" s="140" t="s">
        <v>6918</v>
      </c>
      <c r="D499" s="140" t="s">
        <v>6318</v>
      </c>
      <c r="E499" s="140">
        <v>0.0</v>
      </c>
      <c r="F499" s="140" t="s">
        <v>6800</v>
      </c>
      <c r="G499" s="141" t="s">
        <v>6401</v>
      </c>
      <c r="H499" s="140" t="s">
        <v>6312</v>
      </c>
      <c r="I499" s="140" t="s">
        <v>6313</v>
      </c>
      <c r="J499" s="140" t="s">
        <v>6314</v>
      </c>
      <c r="K499" s="140" t="s">
        <v>6880</v>
      </c>
    </row>
    <row r="500">
      <c r="A500" s="140" t="s">
        <v>6877</v>
      </c>
      <c r="B500" s="140" t="s">
        <v>6919</v>
      </c>
      <c r="C500" s="140" t="s">
        <v>6920</v>
      </c>
      <c r="D500" s="140" t="s">
        <v>6318</v>
      </c>
      <c r="E500" s="140">
        <v>0.0</v>
      </c>
      <c r="F500" s="140" t="s">
        <v>6800</v>
      </c>
      <c r="G500" s="141" t="s">
        <v>6401</v>
      </c>
      <c r="H500" s="140" t="s">
        <v>6312</v>
      </c>
      <c r="I500" s="140" t="s">
        <v>6313</v>
      </c>
      <c r="J500" s="140" t="s">
        <v>6314</v>
      </c>
      <c r="K500" s="140" t="s">
        <v>6880</v>
      </c>
    </row>
    <row r="501">
      <c r="A501" s="140" t="s">
        <v>6877</v>
      </c>
      <c r="B501" s="140" t="s">
        <v>4389</v>
      </c>
      <c r="C501" s="140" t="s">
        <v>6921</v>
      </c>
      <c r="D501" s="140" t="s">
        <v>6318</v>
      </c>
      <c r="E501" s="140">
        <v>0.0</v>
      </c>
      <c r="F501" s="140" t="s">
        <v>6800</v>
      </c>
      <c r="G501" s="141" t="s">
        <v>6401</v>
      </c>
      <c r="H501" s="140" t="s">
        <v>6312</v>
      </c>
      <c r="I501" s="140" t="s">
        <v>6313</v>
      </c>
      <c r="J501" s="140" t="s">
        <v>6314</v>
      </c>
      <c r="K501" s="140" t="s">
        <v>6880</v>
      </c>
    </row>
    <row r="502">
      <c r="A502" s="140" t="s">
        <v>6877</v>
      </c>
      <c r="B502" s="140" t="s">
        <v>4391</v>
      </c>
      <c r="C502" s="140" t="s">
        <v>6922</v>
      </c>
      <c r="D502" s="140" t="s">
        <v>6318</v>
      </c>
      <c r="E502" s="140">
        <v>0.0</v>
      </c>
      <c r="F502" s="140" t="s">
        <v>6800</v>
      </c>
      <c r="G502" s="141" t="s">
        <v>6401</v>
      </c>
      <c r="H502" s="140" t="s">
        <v>6312</v>
      </c>
      <c r="I502" s="140" t="s">
        <v>6313</v>
      </c>
      <c r="J502" s="140" t="s">
        <v>6314</v>
      </c>
      <c r="K502" s="140" t="s">
        <v>6880</v>
      </c>
    </row>
    <row r="503">
      <c r="A503" s="140" t="s">
        <v>6877</v>
      </c>
      <c r="B503" s="140" t="s">
        <v>6923</v>
      </c>
      <c r="C503" s="140" t="s">
        <v>6924</v>
      </c>
      <c r="D503" s="140" t="s">
        <v>6318</v>
      </c>
      <c r="E503" s="140">
        <v>0.0</v>
      </c>
      <c r="F503" s="140" t="s">
        <v>6800</v>
      </c>
      <c r="G503" s="141" t="s">
        <v>6401</v>
      </c>
      <c r="H503" s="140" t="s">
        <v>6312</v>
      </c>
      <c r="I503" s="140" t="s">
        <v>6313</v>
      </c>
      <c r="J503" s="140" t="s">
        <v>6314</v>
      </c>
      <c r="K503" s="140" t="s">
        <v>6880</v>
      </c>
    </row>
    <row r="504">
      <c r="A504" s="140" t="s">
        <v>6877</v>
      </c>
      <c r="B504" s="140" t="s">
        <v>6925</v>
      </c>
      <c r="C504" s="140" t="s">
        <v>6926</v>
      </c>
      <c r="D504" s="140" t="s">
        <v>6318</v>
      </c>
      <c r="E504" s="140">
        <v>0.0</v>
      </c>
      <c r="F504" s="140" t="s">
        <v>6800</v>
      </c>
      <c r="G504" s="141" t="s">
        <v>6401</v>
      </c>
      <c r="H504" s="140" t="s">
        <v>6312</v>
      </c>
      <c r="I504" s="140" t="s">
        <v>6313</v>
      </c>
      <c r="J504" s="140" t="s">
        <v>6314</v>
      </c>
      <c r="K504" s="140" t="s">
        <v>6880</v>
      </c>
    </row>
    <row r="505">
      <c r="A505" s="140" t="s">
        <v>6877</v>
      </c>
      <c r="B505" s="140" t="s">
        <v>6927</v>
      </c>
      <c r="C505" s="140" t="s">
        <v>6928</v>
      </c>
      <c r="D505" s="140" t="s">
        <v>6318</v>
      </c>
      <c r="E505" s="140" t="s">
        <v>1180</v>
      </c>
      <c r="F505" s="140" t="s">
        <v>1181</v>
      </c>
      <c r="G505" s="141" t="s">
        <v>6401</v>
      </c>
      <c r="H505" s="140" t="s">
        <v>6312</v>
      </c>
      <c r="I505" s="140" t="s">
        <v>6313</v>
      </c>
      <c r="J505" s="140" t="s">
        <v>6314</v>
      </c>
      <c r="K505" s="140" t="s">
        <v>6880</v>
      </c>
    </row>
    <row r="506">
      <c r="A506" s="140" t="s">
        <v>6877</v>
      </c>
      <c r="B506" s="140" t="s">
        <v>6929</v>
      </c>
      <c r="C506" s="140" t="s">
        <v>6930</v>
      </c>
      <c r="D506" s="140" t="s">
        <v>6318</v>
      </c>
      <c r="E506" s="140" t="s">
        <v>1180</v>
      </c>
      <c r="F506" s="140" t="s">
        <v>1181</v>
      </c>
      <c r="G506" s="141" t="s">
        <v>6401</v>
      </c>
      <c r="H506" s="140" t="s">
        <v>6312</v>
      </c>
      <c r="I506" s="140" t="s">
        <v>6313</v>
      </c>
      <c r="J506" s="140" t="s">
        <v>6314</v>
      </c>
      <c r="K506" s="140" t="s">
        <v>6880</v>
      </c>
    </row>
    <row r="507">
      <c r="A507" s="140" t="s">
        <v>6877</v>
      </c>
      <c r="B507" s="140" t="s">
        <v>3552</v>
      </c>
      <c r="C507" s="140" t="s">
        <v>6931</v>
      </c>
      <c r="D507" s="140" t="s">
        <v>6318</v>
      </c>
      <c r="E507" s="140" t="s">
        <v>1180</v>
      </c>
      <c r="F507" s="140" t="s">
        <v>1181</v>
      </c>
      <c r="G507" s="141" t="s">
        <v>6401</v>
      </c>
      <c r="H507" s="140" t="s">
        <v>6312</v>
      </c>
      <c r="I507" s="140" t="s">
        <v>6313</v>
      </c>
      <c r="J507" s="140" t="s">
        <v>6314</v>
      </c>
      <c r="K507" s="140" t="s">
        <v>6880</v>
      </c>
    </row>
    <row r="508">
      <c r="A508" s="140" t="s">
        <v>6877</v>
      </c>
      <c r="B508" s="140" t="s">
        <v>6932</v>
      </c>
      <c r="C508" s="140" t="s">
        <v>6933</v>
      </c>
      <c r="D508" s="140" t="s">
        <v>6318</v>
      </c>
      <c r="E508" s="140" t="s">
        <v>1225</v>
      </c>
      <c r="F508" s="140" t="s">
        <v>1226</v>
      </c>
      <c r="G508" s="141" t="s">
        <v>6401</v>
      </c>
      <c r="H508" s="140" t="s">
        <v>6312</v>
      </c>
      <c r="I508" s="140" t="s">
        <v>6313</v>
      </c>
      <c r="J508" s="140" t="s">
        <v>6314</v>
      </c>
      <c r="K508" s="140" t="s">
        <v>6880</v>
      </c>
    </row>
    <row r="509">
      <c r="A509" s="140" t="s">
        <v>6877</v>
      </c>
      <c r="B509" s="140" t="s">
        <v>3548</v>
      </c>
      <c r="C509" s="140" t="s">
        <v>6934</v>
      </c>
      <c r="D509" s="140" t="s">
        <v>6318</v>
      </c>
      <c r="E509" s="140" t="s">
        <v>1225</v>
      </c>
      <c r="F509" s="140" t="s">
        <v>1226</v>
      </c>
      <c r="G509" s="141" t="s">
        <v>6401</v>
      </c>
      <c r="H509" s="140" t="s">
        <v>6312</v>
      </c>
      <c r="I509" s="140" t="s">
        <v>6313</v>
      </c>
      <c r="J509" s="140" t="s">
        <v>6314</v>
      </c>
      <c r="K509" s="140" t="s">
        <v>6880</v>
      </c>
    </row>
    <row r="510">
      <c r="A510" s="140" t="s">
        <v>6877</v>
      </c>
      <c r="B510" s="140" t="s">
        <v>6935</v>
      </c>
      <c r="C510" s="140" t="s">
        <v>6936</v>
      </c>
      <c r="D510" s="140" t="s">
        <v>6318</v>
      </c>
      <c r="E510" s="140" t="s">
        <v>1225</v>
      </c>
      <c r="F510" s="140" t="s">
        <v>1243</v>
      </c>
      <c r="G510" s="141" t="s">
        <v>6401</v>
      </c>
      <c r="H510" s="140" t="s">
        <v>6312</v>
      </c>
      <c r="I510" s="140" t="s">
        <v>6313</v>
      </c>
      <c r="J510" s="140" t="s">
        <v>6314</v>
      </c>
      <c r="K510" s="140" t="s">
        <v>6880</v>
      </c>
    </row>
    <row r="511">
      <c r="A511" s="140" t="s">
        <v>6877</v>
      </c>
      <c r="B511" s="140" t="s">
        <v>6937</v>
      </c>
      <c r="C511" s="140" t="s">
        <v>6938</v>
      </c>
      <c r="D511" s="140" t="s">
        <v>6318</v>
      </c>
      <c r="E511" s="140" t="s">
        <v>1225</v>
      </c>
      <c r="F511" s="140" t="s">
        <v>1243</v>
      </c>
      <c r="G511" s="141" t="s">
        <v>6401</v>
      </c>
      <c r="H511" s="140" t="s">
        <v>6312</v>
      </c>
      <c r="I511" s="140" t="s">
        <v>6313</v>
      </c>
      <c r="J511" s="140" t="s">
        <v>6314</v>
      </c>
      <c r="K511" s="140" t="s">
        <v>6880</v>
      </c>
    </row>
    <row r="512">
      <c r="A512" s="140" t="s">
        <v>6877</v>
      </c>
      <c r="B512" s="140" t="s">
        <v>6939</v>
      </c>
      <c r="C512" s="140" t="s">
        <v>6940</v>
      </c>
      <c r="D512" s="140" t="s">
        <v>6318</v>
      </c>
      <c r="E512" s="140" t="s">
        <v>1225</v>
      </c>
      <c r="F512" s="140" t="s">
        <v>1243</v>
      </c>
      <c r="G512" s="141" t="s">
        <v>6401</v>
      </c>
      <c r="H512" s="140" t="s">
        <v>6312</v>
      </c>
      <c r="I512" s="140" t="s">
        <v>6313</v>
      </c>
      <c r="J512" s="140" t="s">
        <v>6314</v>
      </c>
      <c r="K512" s="140" t="s">
        <v>6880</v>
      </c>
    </row>
    <row r="513">
      <c r="A513" s="140" t="s">
        <v>6877</v>
      </c>
      <c r="B513" s="140" t="s">
        <v>6941</v>
      </c>
      <c r="C513" s="140" t="s">
        <v>6942</v>
      </c>
      <c r="D513" s="140" t="s">
        <v>6318</v>
      </c>
      <c r="E513" s="140" t="s">
        <v>1225</v>
      </c>
      <c r="F513" s="140" t="s">
        <v>1243</v>
      </c>
      <c r="G513" s="141" t="s">
        <v>6401</v>
      </c>
      <c r="H513" s="140" t="s">
        <v>6312</v>
      </c>
      <c r="I513" s="140" t="s">
        <v>6313</v>
      </c>
      <c r="J513" s="140" t="s">
        <v>6314</v>
      </c>
      <c r="K513" s="140" t="s">
        <v>6880</v>
      </c>
    </row>
    <row r="514">
      <c r="A514" s="140" t="s">
        <v>6877</v>
      </c>
      <c r="B514" s="140" t="s">
        <v>6943</v>
      </c>
      <c r="C514" s="140" t="s">
        <v>6944</v>
      </c>
      <c r="D514" s="140" t="s">
        <v>6318</v>
      </c>
      <c r="E514" s="140" t="s">
        <v>1225</v>
      </c>
      <c r="F514" s="140" t="s">
        <v>1243</v>
      </c>
      <c r="G514" s="141" t="s">
        <v>6401</v>
      </c>
      <c r="H514" s="140" t="s">
        <v>6312</v>
      </c>
      <c r="I514" s="140" t="s">
        <v>6313</v>
      </c>
      <c r="J514" s="140" t="s">
        <v>6314</v>
      </c>
      <c r="K514" s="140" t="s">
        <v>6880</v>
      </c>
    </row>
    <row r="515">
      <c r="A515" s="140" t="s">
        <v>6877</v>
      </c>
      <c r="B515" s="140" t="s">
        <v>6945</v>
      </c>
      <c r="C515" s="140" t="s">
        <v>6946</v>
      </c>
      <c r="D515" s="140" t="s">
        <v>6318</v>
      </c>
      <c r="E515" s="140" t="s">
        <v>1225</v>
      </c>
      <c r="F515" s="140" t="s">
        <v>1243</v>
      </c>
      <c r="G515" s="141" t="s">
        <v>6401</v>
      </c>
      <c r="H515" s="140" t="s">
        <v>6312</v>
      </c>
      <c r="I515" s="140" t="s">
        <v>6313</v>
      </c>
      <c r="J515" s="140" t="s">
        <v>6314</v>
      </c>
      <c r="K515" s="140" t="s">
        <v>6880</v>
      </c>
    </row>
    <row r="516">
      <c r="A516" s="140" t="s">
        <v>6877</v>
      </c>
      <c r="B516" s="140" t="s">
        <v>6947</v>
      </c>
      <c r="C516" s="140" t="s">
        <v>6948</v>
      </c>
      <c r="D516" s="140" t="s">
        <v>6318</v>
      </c>
      <c r="E516" s="140" t="s">
        <v>1225</v>
      </c>
      <c r="F516" s="140" t="s">
        <v>1243</v>
      </c>
      <c r="G516" s="141" t="s">
        <v>6401</v>
      </c>
      <c r="H516" s="140" t="s">
        <v>6312</v>
      </c>
      <c r="I516" s="140" t="s">
        <v>6313</v>
      </c>
      <c r="J516" s="140" t="s">
        <v>6314</v>
      </c>
      <c r="K516" s="140" t="s">
        <v>6880</v>
      </c>
    </row>
    <row r="517">
      <c r="A517" s="140" t="s">
        <v>6877</v>
      </c>
      <c r="B517" s="140" t="s">
        <v>6949</v>
      </c>
      <c r="C517" s="140" t="s">
        <v>6950</v>
      </c>
      <c r="D517" s="140" t="s">
        <v>6318</v>
      </c>
      <c r="E517" s="140" t="s">
        <v>1225</v>
      </c>
      <c r="F517" s="140" t="s">
        <v>1243</v>
      </c>
      <c r="G517" s="141" t="s">
        <v>6401</v>
      </c>
      <c r="H517" s="140" t="s">
        <v>6312</v>
      </c>
      <c r="I517" s="140" t="s">
        <v>6313</v>
      </c>
      <c r="J517" s="140" t="s">
        <v>6314</v>
      </c>
      <c r="K517" s="140" t="s">
        <v>6880</v>
      </c>
    </row>
    <row r="518">
      <c r="A518" s="140" t="s">
        <v>6877</v>
      </c>
      <c r="B518" s="140" t="s">
        <v>6951</v>
      </c>
      <c r="C518" s="140" t="s">
        <v>6952</v>
      </c>
      <c r="D518" s="140" t="s">
        <v>6318</v>
      </c>
      <c r="E518" s="140" t="s">
        <v>1225</v>
      </c>
      <c r="F518" s="140" t="s">
        <v>1293</v>
      </c>
      <c r="G518" s="141" t="s">
        <v>6401</v>
      </c>
      <c r="H518" s="140" t="s">
        <v>6312</v>
      </c>
      <c r="I518" s="140" t="s">
        <v>6313</v>
      </c>
      <c r="J518" s="140" t="s">
        <v>6314</v>
      </c>
      <c r="K518" s="140" t="s">
        <v>6880</v>
      </c>
    </row>
    <row r="519">
      <c r="A519" s="140" t="s">
        <v>6877</v>
      </c>
      <c r="B519" s="140" t="s">
        <v>6953</v>
      </c>
      <c r="C519" s="140" t="s">
        <v>6954</v>
      </c>
      <c r="D519" s="140" t="s">
        <v>6318</v>
      </c>
      <c r="E519" s="140" t="s">
        <v>1225</v>
      </c>
      <c r="F519" s="140" t="s">
        <v>1293</v>
      </c>
      <c r="G519" s="141" t="s">
        <v>6401</v>
      </c>
      <c r="H519" s="140" t="s">
        <v>6312</v>
      </c>
      <c r="I519" s="140" t="s">
        <v>6313</v>
      </c>
      <c r="J519" s="140" t="s">
        <v>6314</v>
      </c>
      <c r="K519" s="140" t="s">
        <v>6880</v>
      </c>
    </row>
    <row r="520">
      <c r="A520" s="140" t="s">
        <v>6877</v>
      </c>
      <c r="B520" s="140" t="s">
        <v>6955</v>
      </c>
      <c r="C520" s="140" t="s">
        <v>6956</v>
      </c>
      <c r="D520" s="140" t="s">
        <v>6318</v>
      </c>
      <c r="E520" s="140" t="s">
        <v>1225</v>
      </c>
      <c r="F520" s="140" t="s">
        <v>1293</v>
      </c>
      <c r="G520" s="141" t="s">
        <v>6401</v>
      </c>
      <c r="H520" s="140" t="s">
        <v>6312</v>
      </c>
      <c r="I520" s="140" t="s">
        <v>6313</v>
      </c>
      <c r="J520" s="140" t="s">
        <v>6314</v>
      </c>
      <c r="K520" s="140" t="s">
        <v>6880</v>
      </c>
    </row>
    <row r="521">
      <c r="A521" s="140" t="s">
        <v>6877</v>
      </c>
      <c r="B521" s="140" t="s">
        <v>6957</v>
      </c>
      <c r="C521" s="140" t="s">
        <v>6958</v>
      </c>
      <c r="D521" s="140" t="s">
        <v>6318</v>
      </c>
      <c r="E521" s="140" t="s">
        <v>1225</v>
      </c>
      <c r="F521" s="140" t="s">
        <v>1293</v>
      </c>
      <c r="G521" s="141" t="s">
        <v>6401</v>
      </c>
      <c r="H521" s="140" t="s">
        <v>6312</v>
      </c>
      <c r="I521" s="140" t="s">
        <v>6313</v>
      </c>
      <c r="J521" s="140" t="s">
        <v>6314</v>
      </c>
      <c r="K521" s="140" t="s">
        <v>6880</v>
      </c>
    </row>
    <row r="522">
      <c r="A522" s="140" t="s">
        <v>6877</v>
      </c>
      <c r="B522" s="140" t="s">
        <v>6959</v>
      </c>
      <c r="C522" s="140" t="s">
        <v>6960</v>
      </c>
      <c r="D522" s="140" t="s">
        <v>6318</v>
      </c>
      <c r="E522" s="140" t="s">
        <v>1301</v>
      </c>
      <c r="F522" s="140" t="s">
        <v>1302</v>
      </c>
      <c r="G522" s="141" t="s">
        <v>6401</v>
      </c>
      <c r="H522" s="140" t="s">
        <v>6312</v>
      </c>
      <c r="I522" s="140" t="s">
        <v>6313</v>
      </c>
      <c r="J522" s="140" t="s">
        <v>6314</v>
      </c>
      <c r="K522" s="140" t="s">
        <v>6880</v>
      </c>
    </row>
    <row r="523">
      <c r="A523" s="140" t="s">
        <v>6877</v>
      </c>
      <c r="B523" s="140" t="s">
        <v>6961</v>
      </c>
      <c r="C523" s="140" t="s">
        <v>6962</v>
      </c>
      <c r="D523" s="140" t="s">
        <v>6318</v>
      </c>
      <c r="E523" s="140" t="s">
        <v>1301</v>
      </c>
      <c r="F523" s="140" t="s">
        <v>1302</v>
      </c>
      <c r="G523" s="141" t="s">
        <v>6401</v>
      </c>
      <c r="H523" s="140" t="s">
        <v>6312</v>
      </c>
      <c r="I523" s="140" t="s">
        <v>6313</v>
      </c>
      <c r="J523" s="140" t="s">
        <v>6314</v>
      </c>
      <c r="K523" s="140" t="s">
        <v>6880</v>
      </c>
    </row>
    <row r="524">
      <c r="A524" s="140" t="s">
        <v>6963</v>
      </c>
      <c r="B524" s="140" t="s">
        <v>6964</v>
      </c>
      <c r="C524" s="140" t="s">
        <v>6965</v>
      </c>
      <c r="D524" s="140" t="s">
        <v>6601</v>
      </c>
      <c r="E524" s="140" t="s">
        <v>526</v>
      </c>
      <c r="F524" s="140" t="s">
        <v>553</v>
      </c>
      <c r="G524" s="141" t="s">
        <v>6311</v>
      </c>
      <c r="H524" s="140" t="s">
        <v>6312</v>
      </c>
      <c r="I524" s="140" t="s">
        <v>6313</v>
      </c>
      <c r="J524" s="140" t="s">
        <v>6314</v>
      </c>
      <c r="K524" s="140" t="s">
        <v>6966</v>
      </c>
    </row>
    <row r="525">
      <c r="A525" s="140" t="s">
        <v>6963</v>
      </c>
      <c r="B525" s="140" t="s">
        <v>6967</v>
      </c>
      <c r="C525" s="140" t="s">
        <v>6968</v>
      </c>
      <c r="D525" s="140" t="s">
        <v>6601</v>
      </c>
      <c r="E525" s="140" t="s">
        <v>526</v>
      </c>
      <c r="F525" s="140" t="s">
        <v>553</v>
      </c>
      <c r="G525" s="141" t="s">
        <v>6311</v>
      </c>
      <c r="H525" s="140" t="s">
        <v>6312</v>
      </c>
      <c r="I525" s="140" t="s">
        <v>6313</v>
      </c>
      <c r="J525" s="140" t="s">
        <v>6314</v>
      </c>
      <c r="K525" s="140" t="s">
        <v>6966</v>
      </c>
    </row>
    <row r="526">
      <c r="A526" s="140" t="s">
        <v>6963</v>
      </c>
      <c r="B526" s="140" t="s">
        <v>6969</v>
      </c>
      <c r="C526" s="140" t="s">
        <v>6970</v>
      </c>
      <c r="D526" s="140" t="s">
        <v>6601</v>
      </c>
      <c r="E526" s="140" t="s">
        <v>526</v>
      </c>
      <c r="F526" s="140" t="s">
        <v>553</v>
      </c>
      <c r="G526" s="141" t="s">
        <v>6311</v>
      </c>
      <c r="H526" s="140" t="s">
        <v>6312</v>
      </c>
      <c r="I526" s="140" t="s">
        <v>6313</v>
      </c>
      <c r="J526" s="140" t="s">
        <v>6314</v>
      </c>
      <c r="K526" s="140" t="s">
        <v>6966</v>
      </c>
    </row>
    <row r="527">
      <c r="A527" s="140" t="s">
        <v>6963</v>
      </c>
      <c r="B527" s="140" t="s">
        <v>6971</v>
      </c>
      <c r="C527" s="140" t="s">
        <v>6972</v>
      </c>
      <c r="D527" s="140" t="s">
        <v>6601</v>
      </c>
      <c r="E527" s="140" t="s">
        <v>526</v>
      </c>
      <c r="F527" s="140" t="s">
        <v>553</v>
      </c>
      <c r="G527" s="141" t="s">
        <v>6311</v>
      </c>
      <c r="H527" s="140" t="s">
        <v>6312</v>
      </c>
      <c r="I527" s="140" t="s">
        <v>6313</v>
      </c>
      <c r="J527" s="140" t="s">
        <v>6314</v>
      </c>
      <c r="K527" s="140" t="s">
        <v>6966</v>
      </c>
    </row>
    <row r="528">
      <c r="A528" s="140" t="s">
        <v>6973</v>
      </c>
      <c r="B528" s="140" t="s">
        <v>4401</v>
      </c>
      <c r="C528" s="140" t="s">
        <v>6974</v>
      </c>
      <c r="D528" s="140" t="s">
        <v>6601</v>
      </c>
      <c r="E528" s="140" t="s">
        <v>526</v>
      </c>
      <c r="F528" s="140" t="s">
        <v>553</v>
      </c>
      <c r="G528" s="141" t="s">
        <v>6311</v>
      </c>
      <c r="H528" s="140" t="s">
        <v>6312</v>
      </c>
      <c r="I528" s="140" t="s">
        <v>6313</v>
      </c>
      <c r="J528" s="140" t="s">
        <v>6314</v>
      </c>
      <c r="K528" s="140" t="s">
        <v>6966</v>
      </c>
    </row>
    <row r="529">
      <c r="A529" s="140" t="s">
        <v>6973</v>
      </c>
      <c r="B529" s="140" t="s">
        <v>4403</v>
      </c>
      <c r="C529" s="140" t="s">
        <v>6974</v>
      </c>
      <c r="D529" s="140" t="s">
        <v>6601</v>
      </c>
      <c r="E529" s="140" t="s">
        <v>526</v>
      </c>
      <c r="F529" s="140" t="s">
        <v>553</v>
      </c>
      <c r="G529" s="141" t="s">
        <v>6311</v>
      </c>
      <c r="H529" s="140" t="s">
        <v>6312</v>
      </c>
      <c r="I529" s="140" t="s">
        <v>6313</v>
      </c>
      <c r="J529" s="140" t="s">
        <v>6314</v>
      </c>
      <c r="K529" s="140" t="s">
        <v>6966</v>
      </c>
    </row>
    <row r="530">
      <c r="A530" s="140" t="s">
        <v>6973</v>
      </c>
      <c r="B530" s="140" t="s">
        <v>6975</v>
      </c>
      <c r="C530" s="140" t="s">
        <v>6974</v>
      </c>
      <c r="D530" s="140" t="s">
        <v>6601</v>
      </c>
      <c r="E530" s="140" t="s">
        <v>526</v>
      </c>
      <c r="F530" s="140" t="s">
        <v>553</v>
      </c>
      <c r="G530" s="141" t="s">
        <v>6311</v>
      </c>
      <c r="H530" s="140" t="s">
        <v>6312</v>
      </c>
      <c r="I530" s="140" t="s">
        <v>6313</v>
      </c>
      <c r="J530" s="140" t="s">
        <v>6314</v>
      </c>
      <c r="K530" s="140" t="s">
        <v>6966</v>
      </c>
    </row>
    <row r="531">
      <c r="A531" s="140" t="s">
        <v>6973</v>
      </c>
      <c r="B531" s="140" t="s">
        <v>4399</v>
      </c>
      <c r="C531" s="140" t="s">
        <v>6974</v>
      </c>
      <c r="D531" s="140" t="s">
        <v>6601</v>
      </c>
      <c r="E531" s="140" t="s">
        <v>526</v>
      </c>
      <c r="F531" s="140" t="s">
        <v>553</v>
      </c>
      <c r="G531" s="141" t="s">
        <v>6311</v>
      </c>
      <c r="H531" s="140" t="s">
        <v>6312</v>
      </c>
      <c r="I531" s="140" t="s">
        <v>6313</v>
      </c>
      <c r="J531" s="140" t="s">
        <v>6314</v>
      </c>
      <c r="K531" s="140" t="s">
        <v>6966</v>
      </c>
    </row>
    <row r="532">
      <c r="A532" s="140" t="s">
        <v>6973</v>
      </c>
      <c r="B532" s="140" t="s">
        <v>4393</v>
      </c>
      <c r="C532" s="140" t="s">
        <v>6976</v>
      </c>
      <c r="D532" s="140" t="s">
        <v>6601</v>
      </c>
      <c r="E532" s="140" t="s">
        <v>526</v>
      </c>
      <c r="F532" s="140" t="s">
        <v>553</v>
      </c>
      <c r="G532" s="141" t="s">
        <v>6311</v>
      </c>
      <c r="H532" s="140" t="s">
        <v>6312</v>
      </c>
      <c r="I532" s="140" t="s">
        <v>6313</v>
      </c>
      <c r="J532" s="140" t="s">
        <v>6314</v>
      </c>
      <c r="K532" s="140" t="s">
        <v>6966</v>
      </c>
    </row>
    <row r="533">
      <c r="A533" s="140" t="s">
        <v>6973</v>
      </c>
      <c r="B533" s="140" t="s">
        <v>4397</v>
      </c>
      <c r="C533" s="140" t="s">
        <v>6976</v>
      </c>
      <c r="D533" s="140" t="s">
        <v>6601</v>
      </c>
      <c r="E533" s="140" t="s">
        <v>526</v>
      </c>
      <c r="F533" s="140" t="s">
        <v>553</v>
      </c>
      <c r="G533" s="141" t="s">
        <v>6311</v>
      </c>
      <c r="H533" s="140" t="s">
        <v>6312</v>
      </c>
      <c r="I533" s="140" t="s">
        <v>6313</v>
      </c>
      <c r="J533" s="140" t="s">
        <v>6314</v>
      </c>
      <c r="K533" s="140" t="s">
        <v>6966</v>
      </c>
    </row>
    <row r="534">
      <c r="A534" s="140" t="s">
        <v>6973</v>
      </c>
      <c r="B534" s="140" t="s">
        <v>6977</v>
      </c>
      <c r="C534" s="140" t="s">
        <v>6976</v>
      </c>
      <c r="D534" s="140" t="s">
        <v>6601</v>
      </c>
      <c r="E534" s="140" t="s">
        <v>526</v>
      </c>
      <c r="F534" s="140" t="s">
        <v>553</v>
      </c>
      <c r="G534" s="141" t="s">
        <v>6311</v>
      </c>
      <c r="H534" s="140" t="s">
        <v>6312</v>
      </c>
      <c r="I534" s="140" t="s">
        <v>6313</v>
      </c>
      <c r="J534" s="140" t="s">
        <v>6314</v>
      </c>
      <c r="K534" s="140" t="s">
        <v>6966</v>
      </c>
    </row>
    <row r="535">
      <c r="A535" s="140" t="s">
        <v>6973</v>
      </c>
      <c r="B535" s="140" t="s">
        <v>4395</v>
      </c>
      <c r="C535" s="140" t="s">
        <v>6976</v>
      </c>
      <c r="D535" s="140" t="s">
        <v>6601</v>
      </c>
      <c r="E535" s="140" t="s">
        <v>526</v>
      </c>
      <c r="F535" s="140" t="s">
        <v>553</v>
      </c>
      <c r="G535" s="141" t="s">
        <v>6311</v>
      </c>
      <c r="H535" s="140" t="s">
        <v>6312</v>
      </c>
      <c r="I535" s="140" t="s">
        <v>6313</v>
      </c>
      <c r="J535" s="140" t="s">
        <v>6314</v>
      </c>
      <c r="K535" s="140" t="s">
        <v>6966</v>
      </c>
    </row>
    <row r="536">
      <c r="A536" s="140" t="s">
        <v>6963</v>
      </c>
      <c r="B536" s="140" t="s">
        <v>6978</v>
      </c>
      <c r="C536" s="140" t="s">
        <v>6979</v>
      </c>
      <c r="D536" s="140" t="s">
        <v>6601</v>
      </c>
      <c r="E536" s="140" t="s">
        <v>526</v>
      </c>
      <c r="F536" s="140" t="s">
        <v>553</v>
      </c>
      <c r="G536" s="141" t="s">
        <v>6311</v>
      </c>
      <c r="H536" s="140" t="s">
        <v>6312</v>
      </c>
      <c r="I536" s="140" t="s">
        <v>6313</v>
      </c>
      <c r="J536" s="140" t="s">
        <v>6314</v>
      </c>
      <c r="K536" s="140" t="s">
        <v>6966</v>
      </c>
    </row>
    <row r="537">
      <c r="A537" s="140" t="s">
        <v>6963</v>
      </c>
      <c r="B537" s="140" t="s">
        <v>6980</v>
      </c>
      <c r="C537" s="140" t="s">
        <v>6981</v>
      </c>
      <c r="D537" s="140" t="s">
        <v>6601</v>
      </c>
      <c r="E537" s="140" t="s">
        <v>526</v>
      </c>
      <c r="F537" s="140" t="s">
        <v>553</v>
      </c>
      <c r="G537" s="141" t="s">
        <v>6311</v>
      </c>
      <c r="H537" s="140" t="s">
        <v>6312</v>
      </c>
      <c r="I537" s="140" t="s">
        <v>6313</v>
      </c>
      <c r="J537" s="140" t="s">
        <v>6314</v>
      </c>
      <c r="K537" s="140" t="s">
        <v>6966</v>
      </c>
    </row>
    <row r="538">
      <c r="A538" s="140" t="s">
        <v>6963</v>
      </c>
      <c r="B538" s="140" t="s">
        <v>6982</v>
      </c>
      <c r="C538" s="140" t="s">
        <v>6983</v>
      </c>
      <c r="D538" s="140" t="s">
        <v>6601</v>
      </c>
      <c r="E538" s="140" t="s">
        <v>526</v>
      </c>
      <c r="F538" s="140" t="s">
        <v>553</v>
      </c>
      <c r="G538" s="141" t="s">
        <v>6311</v>
      </c>
      <c r="H538" s="140" t="s">
        <v>6312</v>
      </c>
      <c r="I538" s="140" t="s">
        <v>6313</v>
      </c>
      <c r="J538" s="140" t="s">
        <v>6314</v>
      </c>
      <c r="K538" s="140" t="s">
        <v>6966</v>
      </c>
    </row>
    <row r="539">
      <c r="A539" s="140" t="s">
        <v>6963</v>
      </c>
      <c r="B539" s="140" t="s">
        <v>6984</v>
      </c>
      <c r="C539" s="140" t="s">
        <v>6985</v>
      </c>
      <c r="D539" s="140" t="s">
        <v>6601</v>
      </c>
      <c r="E539" s="140" t="s">
        <v>526</v>
      </c>
      <c r="F539" s="140" t="s">
        <v>553</v>
      </c>
      <c r="G539" s="141" t="s">
        <v>6311</v>
      </c>
      <c r="H539" s="140" t="s">
        <v>6312</v>
      </c>
      <c r="I539" s="140" t="s">
        <v>6313</v>
      </c>
      <c r="J539" s="140" t="s">
        <v>6314</v>
      </c>
      <c r="K539" s="140" t="s">
        <v>6966</v>
      </c>
    </row>
    <row r="540">
      <c r="A540" s="140" t="s">
        <v>6963</v>
      </c>
      <c r="B540" s="140" t="s">
        <v>6986</v>
      </c>
      <c r="C540" s="140" t="s">
        <v>6987</v>
      </c>
      <c r="D540" s="140" t="s">
        <v>6601</v>
      </c>
      <c r="E540" s="140" t="s">
        <v>526</v>
      </c>
      <c r="F540" s="140" t="s">
        <v>553</v>
      </c>
      <c r="G540" s="141" t="s">
        <v>6311</v>
      </c>
      <c r="H540" s="140" t="s">
        <v>6312</v>
      </c>
      <c r="I540" s="140" t="s">
        <v>6313</v>
      </c>
      <c r="J540" s="140" t="s">
        <v>6314</v>
      </c>
      <c r="K540" s="140" t="s">
        <v>6966</v>
      </c>
    </row>
    <row r="541">
      <c r="A541" s="140" t="s">
        <v>6963</v>
      </c>
      <c r="B541" s="140" t="s">
        <v>6988</v>
      </c>
      <c r="C541" s="140" t="s">
        <v>6989</v>
      </c>
      <c r="D541" s="140" t="s">
        <v>6601</v>
      </c>
      <c r="E541" s="140" t="s">
        <v>526</v>
      </c>
      <c r="F541" s="140" t="s">
        <v>553</v>
      </c>
      <c r="G541" s="141" t="s">
        <v>6311</v>
      </c>
      <c r="H541" s="140" t="s">
        <v>6312</v>
      </c>
      <c r="I541" s="140" t="s">
        <v>6313</v>
      </c>
      <c r="J541" s="140" t="s">
        <v>6314</v>
      </c>
      <c r="K541" s="140" t="s">
        <v>6966</v>
      </c>
    </row>
    <row r="542">
      <c r="A542" s="140" t="s">
        <v>6963</v>
      </c>
      <c r="B542" s="140" t="s">
        <v>6990</v>
      </c>
      <c r="C542" s="140" t="s">
        <v>6991</v>
      </c>
      <c r="D542" s="140" t="s">
        <v>6601</v>
      </c>
      <c r="E542" s="140" t="s">
        <v>526</v>
      </c>
      <c r="F542" s="140" t="s">
        <v>553</v>
      </c>
      <c r="G542" s="141" t="s">
        <v>6311</v>
      </c>
      <c r="H542" s="140" t="s">
        <v>6312</v>
      </c>
      <c r="I542" s="140" t="s">
        <v>6313</v>
      </c>
      <c r="J542" s="140" t="s">
        <v>6314</v>
      </c>
      <c r="K542" s="140" t="s">
        <v>6966</v>
      </c>
    </row>
    <row r="543">
      <c r="A543" s="140" t="s">
        <v>6963</v>
      </c>
      <c r="B543" s="140" t="s">
        <v>6992</v>
      </c>
      <c r="C543" s="140" t="s">
        <v>6993</v>
      </c>
      <c r="D543" s="140" t="s">
        <v>6601</v>
      </c>
      <c r="E543" s="140" t="s">
        <v>526</v>
      </c>
      <c r="F543" s="140" t="s">
        <v>553</v>
      </c>
      <c r="G543" s="141" t="s">
        <v>6311</v>
      </c>
      <c r="H543" s="140" t="s">
        <v>6312</v>
      </c>
      <c r="I543" s="140" t="s">
        <v>6313</v>
      </c>
      <c r="J543" s="140" t="s">
        <v>6314</v>
      </c>
      <c r="K543" s="140" t="s">
        <v>6966</v>
      </c>
    </row>
    <row r="544">
      <c r="A544" s="140" t="s">
        <v>6973</v>
      </c>
      <c r="B544" s="140" t="s">
        <v>6994</v>
      </c>
      <c r="C544" s="140" t="s">
        <v>6995</v>
      </c>
      <c r="D544" s="140" t="s">
        <v>6601</v>
      </c>
      <c r="E544" s="140" t="s">
        <v>526</v>
      </c>
      <c r="F544" s="140" t="s">
        <v>553</v>
      </c>
      <c r="G544" s="141" t="s">
        <v>6401</v>
      </c>
      <c r="H544" s="140" t="s">
        <v>6312</v>
      </c>
      <c r="I544" s="140" t="s">
        <v>6313</v>
      </c>
      <c r="J544" s="140" t="s">
        <v>6314</v>
      </c>
      <c r="K544" s="140" t="s">
        <v>6966</v>
      </c>
    </row>
    <row r="545">
      <c r="A545" s="140" t="s">
        <v>6973</v>
      </c>
      <c r="B545" s="140" t="s">
        <v>6996</v>
      </c>
      <c r="C545" s="140" t="s">
        <v>6997</v>
      </c>
      <c r="D545" s="140" t="s">
        <v>6601</v>
      </c>
      <c r="E545" s="140" t="s">
        <v>526</v>
      </c>
      <c r="F545" s="140" t="s">
        <v>553</v>
      </c>
      <c r="G545" s="141" t="s">
        <v>6401</v>
      </c>
      <c r="H545" s="140" t="s">
        <v>6312</v>
      </c>
      <c r="I545" s="140" t="s">
        <v>6313</v>
      </c>
      <c r="J545" s="140" t="s">
        <v>6314</v>
      </c>
      <c r="K545" s="140" t="s">
        <v>6966</v>
      </c>
    </row>
    <row r="546">
      <c r="A546" s="140" t="s">
        <v>6973</v>
      </c>
      <c r="B546" s="140" t="s">
        <v>6998</v>
      </c>
      <c r="C546" s="140" t="s">
        <v>6999</v>
      </c>
      <c r="D546" s="140" t="s">
        <v>6601</v>
      </c>
      <c r="E546" s="140" t="s">
        <v>526</v>
      </c>
      <c r="F546" s="140" t="s">
        <v>553</v>
      </c>
      <c r="G546" s="141" t="s">
        <v>6401</v>
      </c>
      <c r="H546" s="140" t="s">
        <v>6312</v>
      </c>
      <c r="I546" s="140" t="s">
        <v>6313</v>
      </c>
      <c r="J546" s="140" t="s">
        <v>6314</v>
      </c>
      <c r="K546" s="140" t="s">
        <v>6966</v>
      </c>
    </row>
    <row r="547">
      <c r="A547" s="140" t="s">
        <v>6973</v>
      </c>
      <c r="B547" s="140" t="s">
        <v>7000</v>
      </c>
      <c r="C547" s="140" t="s">
        <v>7001</v>
      </c>
      <c r="D547" s="140" t="s">
        <v>6601</v>
      </c>
      <c r="E547" s="140" t="s">
        <v>526</v>
      </c>
      <c r="F547" s="140" t="s">
        <v>553</v>
      </c>
      <c r="G547" s="141" t="s">
        <v>6401</v>
      </c>
      <c r="H547" s="140" t="s">
        <v>6312</v>
      </c>
      <c r="I547" s="140" t="s">
        <v>6313</v>
      </c>
      <c r="J547" s="140" t="s">
        <v>6314</v>
      </c>
      <c r="K547" s="140" t="s">
        <v>6966</v>
      </c>
    </row>
    <row r="548">
      <c r="A548" s="140" t="s">
        <v>6973</v>
      </c>
      <c r="B548" s="140" t="s">
        <v>7002</v>
      </c>
      <c r="C548" s="140" t="s">
        <v>7003</v>
      </c>
      <c r="D548" s="140" t="s">
        <v>6601</v>
      </c>
      <c r="E548" s="140" t="s">
        <v>526</v>
      </c>
      <c r="F548" s="140" t="s">
        <v>553</v>
      </c>
      <c r="G548" s="141" t="s">
        <v>6401</v>
      </c>
      <c r="H548" s="140" t="s">
        <v>6312</v>
      </c>
      <c r="I548" s="140" t="s">
        <v>6313</v>
      </c>
      <c r="J548" s="140" t="s">
        <v>6314</v>
      </c>
      <c r="K548" s="140" t="s">
        <v>6966</v>
      </c>
    </row>
    <row r="549">
      <c r="A549" s="140" t="s">
        <v>6973</v>
      </c>
      <c r="B549" s="140" t="s">
        <v>7004</v>
      </c>
      <c r="C549" s="140" t="s">
        <v>7005</v>
      </c>
      <c r="D549" s="140" t="s">
        <v>6601</v>
      </c>
      <c r="E549" s="140" t="s">
        <v>526</v>
      </c>
      <c r="F549" s="140" t="s">
        <v>553</v>
      </c>
      <c r="G549" s="141" t="s">
        <v>6401</v>
      </c>
      <c r="H549" s="140" t="s">
        <v>6312</v>
      </c>
      <c r="I549" s="140" t="s">
        <v>6313</v>
      </c>
      <c r="J549" s="140" t="s">
        <v>6314</v>
      </c>
      <c r="K549" s="140" t="s">
        <v>6966</v>
      </c>
    </row>
    <row r="550">
      <c r="A550" s="140" t="s">
        <v>6973</v>
      </c>
      <c r="B550" s="140" t="s">
        <v>7006</v>
      </c>
      <c r="C550" s="140" t="s">
        <v>7007</v>
      </c>
      <c r="D550" s="140" t="s">
        <v>6601</v>
      </c>
      <c r="E550" s="140" t="s">
        <v>526</v>
      </c>
      <c r="F550" s="140" t="s">
        <v>553</v>
      </c>
      <c r="G550" s="141" t="s">
        <v>6401</v>
      </c>
      <c r="H550" s="140" t="s">
        <v>6312</v>
      </c>
      <c r="I550" s="140" t="s">
        <v>6313</v>
      </c>
      <c r="J550" s="140" t="s">
        <v>6314</v>
      </c>
      <c r="K550" s="140" t="s">
        <v>6966</v>
      </c>
    </row>
    <row r="551">
      <c r="A551" s="140" t="s">
        <v>6963</v>
      </c>
      <c r="B551" s="140" t="s">
        <v>7008</v>
      </c>
      <c r="C551" s="140" t="s">
        <v>7009</v>
      </c>
      <c r="D551" s="140" t="s">
        <v>6601</v>
      </c>
      <c r="E551" s="140" t="s">
        <v>526</v>
      </c>
      <c r="F551" s="140" t="s">
        <v>553</v>
      </c>
      <c r="G551" s="142">
        <v>0.0</v>
      </c>
      <c r="H551" s="140" t="s">
        <v>6312</v>
      </c>
      <c r="I551" s="145" t="s">
        <v>6527</v>
      </c>
      <c r="J551" s="140" t="s">
        <v>6314</v>
      </c>
      <c r="K551" s="140" t="s">
        <v>6966</v>
      </c>
    </row>
    <row r="552">
      <c r="A552" s="140" t="s">
        <v>6963</v>
      </c>
      <c r="B552" s="140" t="s">
        <v>7010</v>
      </c>
      <c r="C552" s="140" t="s">
        <v>7009</v>
      </c>
      <c r="D552" s="140" t="s">
        <v>6601</v>
      </c>
      <c r="E552" s="140" t="s">
        <v>526</v>
      </c>
      <c r="F552" s="140" t="s">
        <v>553</v>
      </c>
      <c r="G552" s="142">
        <v>0.0</v>
      </c>
      <c r="H552" s="140" t="s">
        <v>6312</v>
      </c>
      <c r="I552" s="145" t="s">
        <v>6527</v>
      </c>
      <c r="J552" s="140" t="s">
        <v>6314</v>
      </c>
      <c r="K552" s="140" t="s">
        <v>6966</v>
      </c>
    </row>
    <row r="553">
      <c r="A553" s="140" t="s">
        <v>6963</v>
      </c>
      <c r="B553" s="140" t="s">
        <v>7011</v>
      </c>
      <c r="C553" s="140" t="s">
        <v>7012</v>
      </c>
      <c r="D553" s="140" t="s">
        <v>6601</v>
      </c>
      <c r="E553" s="140" t="s">
        <v>526</v>
      </c>
      <c r="F553" s="140" t="s">
        <v>553</v>
      </c>
      <c r="G553" s="142">
        <v>0.0</v>
      </c>
      <c r="H553" s="140" t="s">
        <v>6312</v>
      </c>
      <c r="I553" s="145" t="s">
        <v>6527</v>
      </c>
      <c r="J553" s="140" t="s">
        <v>6314</v>
      </c>
      <c r="K553" s="140" t="s">
        <v>6966</v>
      </c>
    </row>
    <row r="554">
      <c r="A554" s="140" t="s">
        <v>6963</v>
      </c>
      <c r="B554" s="140" t="s">
        <v>7013</v>
      </c>
      <c r="C554" s="140" t="s">
        <v>7012</v>
      </c>
      <c r="D554" s="140" t="s">
        <v>6601</v>
      </c>
      <c r="E554" s="140" t="s">
        <v>526</v>
      </c>
      <c r="F554" s="140" t="s">
        <v>553</v>
      </c>
      <c r="G554" s="142">
        <v>0.0</v>
      </c>
      <c r="H554" s="140" t="s">
        <v>6312</v>
      </c>
      <c r="I554" s="145" t="s">
        <v>6527</v>
      </c>
      <c r="J554" s="140" t="s">
        <v>6314</v>
      </c>
      <c r="K554" s="140" t="s">
        <v>6966</v>
      </c>
    </row>
    <row r="555">
      <c r="A555" s="140" t="s">
        <v>6963</v>
      </c>
      <c r="B555" s="140" t="s">
        <v>7014</v>
      </c>
      <c r="C555" s="140" t="s">
        <v>7015</v>
      </c>
      <c r="D555" s="140" t="s">
        <v>6601</v>
      </c>
      <c r="E555" s="140" t="s">
        <v>526</v>
      </c>
      <c r="F555" s="140" t="s">
        <v>175</v>
      </c>
      <c r="G555" s="141" t="s">
        <v>6311</v>
      </c>
      <c r="H555" s="140" t="s">
        <v>6312</v>
      </c>
      <c r="I555" s="140" t="s">
        <v>6313</v>
      </c>
      <c r="J555" s="140" t="s">
        <v>6314</v>
      </c>
      <c r="K555" s="140" t="s">
        <v>6966</v>
      </c>
    </row>
    <row r="556">
      <c r="A556" s="140" t="s">
        <v>6963</v>
      </c>
      <c r="B556" s="140" t="s">
        <v>7016</v>
      </c>
      <c r="C556" s="140" t="s">
        <v>7017</v>
      </c>
      <c r="D556" s="140" t="s">
        <v>6601</v>
      </c>
      <c r="E556" s="140" t="s">
        <v>526</v>
      </c>
      <c r="F556" s="140" t="s">
        <v>175</v>
      </c>
      <c r="G556" s="141" t="s">
        <v>6311</v>
      </c>
      <c r="H556" s="140" t="s">
        <v>6312</v>
      </c>
      <c r="I556" s="140" t="s">
        <v>6313</v>
      </c>
      <c r="J556" s="140" t="s">
        <v>6314</v>
      </c>
      <c r="K556" s="140" t="s">
        <v>6966</v>
      </c>
    </row>
    <row r="557">
      <c r="A557" s="140" t="s">
        <v>6963</v>
      </c>
      <c r="B557" s="140" t="s">
        <v>7018</v>
      </c>
      <c r="C557" s="140" t="s">
        <v>7019</v>
      </c>
      <c r="D557" s="140" t="s">
        <v>6601</v>
      </c>
      <c r="E557" s="140" t="s">
        <v>526</v>
      </c>
      <c r="F557" s="140" t="s">
        <v>175</v>
      </c>
      <c r="G557" s="141" t="s">
        <v>6311</v>
      </c>
      <c r="H557" s="140" t="s">
        <v>6312</v>
      </c>
      <c r="I557" s="140" t="s">
        <v>6313</v>
      </c>
      <c r="J557" s="140" t="s">
        <v>6314</v>
      </c>
      <c r="K557" s="140" t="s">
        <v>6966</v>
      </c>
    </row>
    <row r="558">
      <c r="A558" s="140" t="s">
        <v>7020</v>
      </c>
      <c r="B558" s="140">
        <v>230105.0</v>
      </c>
      <c r="C558" s="140" t="s">
        <v>7021</v>
      </c>
      <c r="D558" s="140" t="s">
        <v>6309</v>
      </c>
      <c r="E558" s="140">
        <v>0.0</v>
      </c>
      <c r="F558" s="140" t="s">
        <v>7022</v>
      </c>
      <c r="G558" s="141" t="s">
        <v>6401</v>
      </c>
      <c r="H558" s="140" t="s">
        <v>6312</v>
      </c>
      <c r="I558" s="140" t="s">
        <v>6313</v>
      </c>
      <c r="J558" s="140" t="s">
        <v>6314</v>
      </c>
      <c r="K558" s="140" t="s">
        <v>7023</v>
      </c>
    </row>
    <row r="559">
      <c r="A559" s="140" t="s">
        <v>7020</v>
      </c>
      <c r="B559" s="140">
        <v>230107.0</v>
      </c>
      <c r="C559" s="140" t="s">
        <v>7024</v>
      </c>
      <c r="D559" s="140" t="s">
        <v>6309</v>
      </c>
      <c r="E559" s="140">
        <v>0.0</v>
      </c>
      <c r="F559" s="140" t="s">
        <v>7022</v>
      </c>
      <c r="G559" s="141" t="s">
        <v>6401</v>
      </c>
      <c r="H559" s="140" t="s">
        <v>6312</v>
      </c>
      <c r="I559" s="140" t="s">
        <v>6313</v>
      </c>
      <c r="J559" s="140" t="s">
        <v>6314</v>
      </c>
      <c r="K559" s="140" t="s">
        <v>7023</v>
      </c>
    </row>
    <row r="560">
      <c r="A560" s="140" t="s">
        <v>7020</v>
      </c>
      <c r="B560" s="140">
        <v>230101.0</v>
      </c>
      <c r="C560" s="140" t="s">
        <v>7025</v>
      </c>
      <c r="D560" s="140" t="s">
        <v>6309</v>
      </c>
      <c r="E560" s="140">
        <v>0.0</v>
      </c>
      <c r="F560" s="140" t="s">
        <v>7022</v>
      </c>
      <c r="G560" s="141" t="s">
        <v>6401</v>
      </c>
      <c r="H560" s="140" t="s">
        <v>6312</v>
      </c>
      <c r="I560" s="140" t="s">
        <v>6313</v>
      </c>
      <c r="J560" s="140" t="s">
        <v>6314</v>
      </c>
      <c r="K560" s="140" t="s">
        <v>7023</v>
      </c>
    </row>
    <row r="561">
      <c r="A561" s="140" t="s">
        <v>7020</v>
      </c>
      <c r="B561" s="140">
        <v>230104.0</v>
      </c>
      <c r="C561" s="140" t="s">
        <v>7026</v>
      </c>
      <c r="D561" s="140" t="s">
        <v>6309</v>
      </c>
      <c r="E561" s="140">
        <v>0.0</v>
      </c>
      <c r="F561" s="140" t="s">
        <v>7022</v>
      </c>
      <c r="G561" s="141" t="s">
        <v>6401</v>
      </c>
      <c r="H561" s="140" t="s">
        <v>6312</v>
      </c>
      <c r="I561" s="140" t="s">
        <v>6313</v>
      </c>
      <c r="J561" s="140" t="s">
        <v>6314</v>
      </c>
      <c r="K561" s="140" t="s">
        <v>7023</v>
      </c>
    </row>
    <row r="562">
      <c r="A562" s="140" t="s">
        <v>7020</v>
      </c>
      <c r="B562" s="140">
        <v>240107.0</v>
      </c>
      <c r="C562" s="140" t="s">
        <v>7027</v>
      </c>
      <c r="D562" s="140" t="s">
        <v>6309</v>
      </c>
      <c r="E562" s="140">
        <v>0.0</v>
      </c>
      <c r="F562" s="140" t="s">
        <v>7022</v>
      </c>
      <c r="G562" s="141" t="s">
        <v>6401</v>
      </c>
      <c r="H562" s="140" t="s">
        <v>6312</v>
      </c>
      <c r="I562" s="140" t="s">
        <v>6313</v>
      </c>
      <c r="J562" s="140" t="s">
        <v>6314</v>
      </c>
      <c r="K562" s="140" t="s">
        <v>7023</v>
      </c>
    </row>
    <row r="563">
      <c r="A563" s="140" t="s">
        <v>7020</v>
      </c>
      <c r="B563" s="140">
        <v>240101.0</v>
      </c>
      <c r="C563" s="140" t="s">
        <v>7028</v>
      </c>
      <c r="D563" s="140" t="s">
        <v>6309</v>
      </c>
      <c r="E563" s="140">
        <v>0.0</v>
      </c>
      <c r="F563" s="140" t="s">
        <v>7022</v>
      </c>
      <c r="G563" s="141" t="s">
        <v>6401</v>
      </c>
      <c r="H563" s="140" t="s">
        <v>6312</v>
      </c>
      <c r="I563" s="140" t="s">
        <v>6313</v>
      </c>
      <c r="J563" s="140" t="s">
        <v>6314</v>
      </c>
      <c r="K563" s="140" t="s">
        <v>7023</v>
      </c>
    </row>
    <row r="564">
      <c r="A564" s="140" t="s">
        <v>7020</v>
      </c>
      <c r="B564" s="140">
        <v>240104.0</v>
      </c>
      <c r="C564" s="140" t="s">
        <v>7029</v>
      </c>
      <c r="D564" s="140" t="s">
        <v>6309</v>
      </c>
      <c r="E564" s="140">
        <v>0.0</v>
      </c>
      <c r="F564" s="140" t="s">
        <v>7022</v>
      </c>
      <c r="G564" s="141" t="s">
        <v>6401</v>
      </c>
      <c r="H564" s="140" t="s">
        <v>6312</v>
      </c>
      <c r="I564" s="140" t="s">
        <v>6313</v>
      </c>
      <c r="J564" s="140" t="s">
        <v>6314</v>
      </c>
      <c r="K564" s="140" t="s">
        <v>7023</v>
      </c>
    </row>
    <row r="565">
      <c r="A565" s="140" t="s">
        <v>7020</v>
      </c>
      <c r="B565" s="140">
        <v>110263.0</v>
      </c>
      <c r="C565" s="140" t="s">
        <v>7030</v>
      </c>
      <c r="D565" s="140" t="s">
        <v>6309</v>
      </c>
      <c r="E565" s="140">
        <v>0.0</v>
      </c>
      <c r="F565" s="140" t="s">
        <v>7022</v>
      </c>
      <c r="G565" s="141" t="s">
        <v>6401</v>
      </c>
      <c r="H565" s="140" t="s">
        <v>6312</v>
      </c>
      <c r="I565" s="140" t="s">
        <v>6313</v>
      </c>
      <c r="J565" s="140" t="s">
        <v>6314</v>
      </c>
      <c r="K565" s="140" t="s">
        <v>7023</v>
      </c>
    </row>
    <row r="566">
      <c r="A566" s="140" t="s">
        <v>7020</v>
      </c>
      <c r="B566" s="140">
        <v>130267.0</v>
      </c>
      <c r="C566" s="140" t="s">
        <v>7031</v>
      </c>
      <c r="D566" s="140" t="s">
        <v>6309</v>
      </c>
      <c r="E566" s="140">
        <v>0.0</v>
      </c>
      <c r="F566" s="140" t="s">
        <v>7022</v>
      </c>
      <c r="G566" s="141" t="s">
        <v>6401</v>
      </c>
      <c r="H566" s="140" t="s">
        <v>6312</v>
      </c>
      <c r="I566" s="140" t="s">
        <v>6313</v>
      </c>
      <c r="J566" s="140" t="s">
        <v>6314</v>
      </c>
      <c r="K566" s="140" t="s">
        <v>7023</v>
      </c>
    </row>
    <row r="567">
      <c r="A567" s="140" t="s">
        <v>7020</v>
      </c>
      <c r="B567" s="140">
        <v>110399.0</v>
      </c>
      <c r="C567" s="140" t="s">
        <v>7032</v>
      </c>
      <c r="D567" s="140" t="s">
        <v>6309</v>
      </c>
      <c r="E567" s="140">
        <v>0.0</v>
      </c>
      <c r="F567" s="140" t="s">
        <v>7022</v>
      </c>
      <c r="G567" s="141" t="s">
        <v>6401</v>
      </c>
      <c r="H567" s="140" t="s">
        <v>6312</v>
      </c>
      <c r="I567" s="140" t="s">
        <v>6313</v>
      </c>
      <c r="J567" s="140" t="s">
        <v>6314</v>
      </c>
      <c r="K567" s="140" t="s">
        <v>7023</v>
      </c>
    </row>
    <row r="568">
      <c r="A568" s="140" t="s">
        <v>7020</v>
      </c>
      <c r="B568" s="140">
        <v>110398.0</v>
      </c>
      <c r="C568" s="140" t="s">
        <v>7033</v>
      </c>
      <c r="D568" s="140" t="s">
        <v>6309</v>
      </c>
      <c r="E568" s="140">
        <v>0.0</v>
      </c>
      <c r="F568" s="140" t="s">
        <v>7022</v>
      </c>
      <c r="G568" s="141" t="s">
        <v>6401</v>
      </c>
      <c r="H568" s="140" t="s">
        <v>6312</v>
      </c>
      <c r="I568" s="140" t="s">
        <v>6313</v>
      </c>
      <c r="J568" s="140" t="s">
        <v>6314</v>
      </c>
      <c r="K568" s="140" t="s">
        <v>7023</v>
      </c>
    </row>
    <row r="569">
      <c r="A569" s="140" t="s">
        <v>7020</v>
      </c>
      <c r="B569" s="140">
        <v>110214.0</v>
      </c>
      <c r="C569" s="140" t="s">
        <v>7034</v>
      </c>
      <c r="D569" s="140" t="s">
        <v>6309</v>
      </c>
      <c r="E569" s="140">
        <v>0.0</v>
      </c>
      <c r="F569" s="140" t="s">
        <v>7022</v>
      </c>
      <c r="G569" s="141" t="s">
        <v>6401</v>
      </c>
      <c r="H569" s="140" t="s">
        <v>6312</v>
      </c>
      <c r="I569" s="140" t="s">
        <v>6313</v>
      </c>
      <c r="J569" s="140" t="s">
        <v>6314</v>
      </c>
      <c r="K569" s="140" t="s">
        <v>7023</v>
      </c>
    </row>
    <row r="570">
      <c r="A570" s="140" t="s">
        <v>7020</v>
      </c>
      <c r="B570" s="140">
        <v>110275.0</v>
      </c>
      <c r="C570" s="140" t="s">
        <v>7035</v>
      </c>
      <c r="D570" s="140" t="s">
        <v>6309</v>
      </c>
      <c r="E570" s="140">
        <v>0.0</v>
      </c>
      <c r="F570" s="140" t="s">
        <v>7022</v>
      </c>
      <c r="G570" s="141" t="s">
        <v>6401</v>
      </c>
      <c r="H570" s="140" t="s">
        <v>6312</v>
      </c>
      <c r="I570" s="140" t="s">
        <v>6313</v>
      </c>
      <c r="J570" s="140" t="s">
        <v>6314</v>
      </c>
      <c r="K570" s="140" t="s">
        <v>7023</v>
      </c>
    </row>
    <row r="571">
      <c r="A571" s="140" t="s">
        <v>7020</v>
      </c>
      <c r="B571" s="140">
        <v>110224.0</v>
      </c>
      <c r="C571" s="140" t="s">
        <v>7036</v>
      </c>
      <c r="D571" s="140" t="s">
        <v>6309</v>
      </c>
      <c r="E571" s="140">
        <v>0.0</v>
      </c>
      <c r="F571" s="140" t="s">
        <v>7022</v>
      </c>
      <c r="G571" s="141" t="s">
        <v>6401</v>
      </c>
      <c r="H571" s="140" t="s">
        <v>6312</v>
      </c>
      <c r="I571" s="140" t="s">
        <v>6313</v>
      </c>
      <c r="J571" s="140" t="s">
        <v>6314</v>
      </c>
      <c r="K571" s="140" t="s">
        <v>7023</v>
      </c>
    </row>
    <row r="572">
      <c r="A572" s="140" t="s">
        <v>7020</v>
      </c>
      <c r="B572" s="140">
        <v>110220.0</v>
      </c>
      <c r="C572" s="140" t="s">
        <v>7037</v>
      </c>
      <c r="D572" s="140" t="s">
        <v>6309</v>
      </c>
      <c r="E572" s="140">
        <v>0.0</v>
      </c>
      <c r="F572" s="140" t="s">
        <v>7022</v>
      </c>
      <c r="G572" s="141" t="s">
        <v>6401</v>
      </c>
      <c r="H572" s="140" t="s">
        <v>6312</v>
      </c>
      <c r="I572" s="140" t="s">
        <v>6313</v>
      </c>
      <c r="J572" s="140" t="s">
        <v>6314</v>
      </c>
      <c r="K572" s="140" t="s">
        <v>7023</v>
      </c>
    </row>
    <row r="573">
      <c r="A573" s="140" t="s">
        <v>7020</v>
      </c>
      <c r="B573" s="140">
        <v>110267.0</v>
      </c>
      <c r="C573" s="140" t="s">
        <v>7038</v>
      </c>
      <c r="D573" s="140" t="s">
        <v>6309</v>
      </c>
      <c r="E573" s="140">
        <v>0.0</v>
      </c>
      <c r="F573" s="140" t="s">
        <v>7022</v>
      </c>
      <c r="G573" s="141" t="s">
        <v>6401</v>
      </c>
      <c r="H573" s="140" t="s">
        <v>6312</v>
      </c>
      <c r="I573" s="140" t="s">
        <v>6313</v>
      </c>
      <c r="J573" s="140" t="s">
        <v>6314</v>
      </c>
      <c r="K573" s="140" t="s">
        <v>7023</v>
      </c>
    </row>
    <row r="574">
      <c r="A574" s="140" t="s">
        <v>7020</v>
      </c>
      <c r="B574" s="140">
        <v>110266.0</v>
      </c>
      <c r="C574" s="140" t="s">
        <v>7039</v>
      </c>
      <c r="D574" s="140" t="s">
        <v>6309</v>
      </c>
      <c r="E574" s="140">
        <v>0.0</v>
      </c>
      <c r="F574" s="140" t="s">
        <v>7022</v>
      </c>
      <c r="G574" s="141" t="s">
        <v>6401</v>
      </c>
      <c r="H574" s="140" t="s">
        <v>6312</v>
      </c>
      <c r="I574" s="140" t="s">
        <v>6313</v>
      </c>
      <c r="J574" s="140" t="s">
        <v>6314</v>
      </c>
      <c r="K574" s="140" t="s">
        <v>7023</v>
      </c>
    </row>
    <row r="575">
      <c r="A575" s="140" t="s">
        <v>7020</v>
      </c>
      <c r="B575" s="140">
        <v>110223.0</v>
      </c>
      <c r="C575" s="140" t="s">
        <v>7039</v>
      </c>
      <c r="D575" s="140" t="s">
        <v>6309</v>
      </c>
      <c r="E575" s="140">
        <v>0.0</v>
      </c>
      <c r="F575" s="140" t="s">
        <v>7022</v>
      </c>
      <c r="G575" s="141" t="s">
        <v>6401</v>
      </c>
      <c r="H575" s="140" t="s">
        <v>6312</v>
      </c>
      <c r="I575" s="140" t="s">
        <v>6313</v>
      </c>
      <c r="J575" s="140" t="s">
        <v>6314</v>
      </c>
      <c r="K575" s="140" t="s">
        <v>7023</v>
      </c>
    </row>
    <row r="576">
      <c r="A576" s="140" t="s">
        <v>7020</v>
      </c>
      <c r="B576" s="140">
        <v>110396.0</v>
      </c>
      <c r="C576" s="140" t="s">
        <v>7040</v>
      </c>
      <c r="D576" s="140" t="s">
        <v>6309</v>
      </c>
      <c r="E576" s="140">
        <v>0.0</v>
      </c>
      <c r="F576" s="140" t="s">
        <v>7022</v>
      </c>
      <c r="G576" s="141" t="s">
        <v>6401</v>
      </c>
      <c r="H576" s="140" t="s">
        <v>6312</v>
      </c>
      <c r="I576" s="140" t="s">
        <v>6313</v>
      </c>
      <c r="J576" s="140" t="s">
        <v>6314</v>
      </c>
      <c r="K576" s="140" t="s">
        <v>7023</v>
      </c>
    </row>
    <row r="577">
      <c r="A577" s="140" t="s">
        <v>7020</v>
      </c>
      <c r="B577" s="140">
        <v>110243.0</v>
      </c>
      <c r="C577" s="140" t="s">
        <v>7041</v>
      </c>
      <c r="D577" s="140" t="s">
        <v>6309</v>
      </c>
      <c r="E577" s="140">
        <v>0.0</v>
      </c>
      <c r="F577" s="140" t="s">
        <v>7022</v>
      </c>
      <c r="G577" s="141" t="s">
        <v>6401</v>
      </c>
      <c r="H577" s="140" t="s">
        <v>6312</v>
      </c>
      <c r="I577" s="140" t="s">
        <v>6313</v>
      </c>
      <c r="J577" s="140" t="s">
        <v>6314</v>
      </c>
      <c r="K577" s="140" t="s">
        <v>7023</v>
      </c>
    </row>
    <row r="578">
      <c r="A578" s="140" t="s">
        <v>7020</v>
      </c>
      <c r="B578" s="140">
        <v>110256.0</v>
      </c>
      <c r="C578" s="140" t="s">
        <v>7042</v>
      </c>
      <c r="D578" s="140" t="s">
        <v>6309</v>
      </c>
      <c r="E578" s="140">
        <v>0.0</v>
      </c>
      <c r="F578" s="140" t="s">
        <v>7022</v>
      </c>
      <c r="G578" s="141" t="s">
        <v>6401</v>
      </c>
      <c r="H578" s="140" t="s">
        <v>6312</v>
      </c>
      <c r="I578" s="140" t="s">
        <v>6313</v>
      </c>
      <c r="J578" s="140" t="s">
        <v>6314</v>
      </c>
      <c r="K578" s="140" t="s">
        <v>7023</v>
      </c>
    </row>
    <row r="579">
      <c r="A579" s="140" t="s">
        <v>7020</v>
      </c>
      <c r="B579" s="140">
        <v>110393.0</v>
      </c>
      <c r="C579" s="140" t="s">
        <v>7043</v>
      </c>
      <c r="D579" s="140" t="s">
        <v>6309</v>
      </c>
      <c r="E579" s="140">
        <v>0.0</v>
      </c>
      <c r="F579" s="140" t="s">
        <v>7022</v>
      </c>
      <c r="G579" s="141" t="s">
        <v>6401</v>
      </c>
      <c r="H579" s="140" t="s">
        <v>6312</v>
      </c>
      <c r="I579" s="140" t="s">
        <v>6313</v>
      </c>
      <c r="J579" s="140" t="s">
        <v>6314</v>
      </c>
      <c r="K579" s="140" t="s">
        <v>7023</v>
      </c>
    </row>
    <row r="580">
      <c r="A580" s="140" t="s">
        <v>7020</v>
      </c>
      <c r="B580" s="140">
        <v>110241.0</v>
      </c>
      <c r="C580" s="140" t="s">
        <v>7044</v>
      </c>
      <c r="D580" s="140" t="s">
        <v>6309</v>
      </c>
      <c r="E580" s="140">
        <v>0.0</v>
      </c>
      <c r="F580" s="140" t="s">
        <v>7022</v>
      </c>
      <c r="G580" s="141" t="s">
        <v>6401</v>
      </c>
      <c r="H580" s="140" t="s">
        <v>6312</v>
      </c>
      <c r="I580" s="140" t="s">
        <v>6313</v>
      </c>
      <c r="J580" s="140" t="s">
        <v>6314</v>
      </c>
      <c r="K580" s="140" t="s">
        <v>7023</v>
      </c>
    </row>
    <row r="581">
      <c r="A581" s="140" t="s">
        <v>7020</v>
      </c>
      <c r="B581" s="140">
        <v>110262.0</v>
      </c>
      <c r="C581" s="140" t="s">
        <v>7045</v>
      </c>
      <c r="D581" s="140" t="s">
        <v>6309</v>
      </c>
      <c r="E581" s="140">
        <v>0.0</v>
      </c>
      <c r="F581" s="140" t="s">
        <v>7022</v>
      </c>
      <c r="G581" s="141" t="s">
        <v>6401</v>
      </c>
      <c r="H581" s="140" t="s">
        <v>6312</v>
      </c>
      <c r="I581" s="140" t="s">
        <v>6313</v>
      </c>
      <c r="J581" s="140" t="s">
        <v>6314</v>
      </c>
      <c r="K581" s="140" t="s">
        <v>7023</v>
      </c>
    </row>
    <row r="582">
      <c r="A582" s="140" t="s">
        <v>7020</v>
      </c>
      <c r="B582" s="140">
        <v>110293.0</v>
      </c>
      <c r="C582" s="140" t="s">
        <v>7046</v>
      </c>
      <c r="D582" s="140" t="s">
        <v>6309</v>
      </c>
      <c r="E582" s="140">
        <v>0.0</v>
      </c>
      <c r="F582" s="140" t="s">
        <v>7022</v>
      </c>
      <c r="G582" s="141" t="s">
        <v>6401</v>
      </c>
      <c r="H582" s="140" t="s">
        <v>6312</v>
      </c>
      <c r="I582" s="140" t="s">
        <v>6313</v>
      </c>
      <c r="J582" s="140" t="s">
        <v>6314</v>
      </c>
      <c r="K582" s="140" t="s">
        <v>7023</v>
      </c>
    </row>
    <row r="583">
      <c r="A583" s="140" t="s">
        <v>7020</v>
      </c>
      <c r="B583" s="140">
        <v>120275.0</v>
      </c>
      <c r="C583" s="140" t="s">
        <v>7047</v>
      </c>
      <c r="D583" s="140" t="s">
        <v>6309</v>
      </c>
      <c r="E583" s="140">
        <v>0.0</v>
      </c>
      <c r="F583" s="140" t="s">
        <v>7022</v>
      </c>
      <c r="G583" s="141" t="s">
        <v>6401</v>
      </c>
      <c r="H583" s="140" t="s">
        <v>6312</v>
      </c>
      <c r="I583" s="140" t="s">
        <v>6313</v>
      </c>
      <c r="J583" s="140" t="s">
        <v>6314</v>
      </c>
      <c r="K583" s="140" t="s">
        <v>7023</v>
      </c>
    </row>
    <row r="584">
      <c r="A584" s="140" t="s">
        <v>7020</v>
      </c>
      <c r="B584" s="140">
        <v>120399.0</v>
      </c>
      <c r="C584" s="140" t="s">
        <v>7048</v>
      </c>
      <c r="D584" s="140" t="s">
        <v>6309</v>
      </c>
      <c r="E584" s="140">
        <v>0.0</v>
      </c>
      <c r="F584" s="140" t="s">
        <v>7022</v>
      </c>
      <c r="G584" s="141" t="s">
        <v>6401</v>
      </c>
      <c r="H584" s="140" t="s">
        <v>6312</v>
      </c>
      <c r="I584" s="140" t="s">
        <v>6313</v>
      </c>
      <c r="J584" s="140" t="s">
        <v>6314</v>
      </c>
      <c r="K584" s="140" t="s">
        <v>7023</v>
      </c>
    </row>
    <row r="585">
      <c r="A585" s="140" t="s">
        <v>7020</v>
      </c>
      <c r="B585" s="140">
        <v>120214.0</v>
      </c>
      <c r="C585" s="140" t="s">
        <v>7049</v>
      </c>
      <c r="D585" s="140" t="s">
        <v>6309</v>
      </c>
      <c r="E585" s="140">
        <v>0.0</v>
      </c>
      <c r="F585" s="140" t="s">
        <v>7022</v>
      </c>
      <c r="G585" s="141" t="s">
        <v>6401</v>
      </c>
      <c r="H585" s="140" t="s">
        <v>6312</v>
      </c>
      <c r="I585" s="140" t="s">
        <v>6313</v>
      </c>
      <c r="J585" s="140" t="s">
        <v>6314</v>
      </c>
      <c r="K585" s="140" t="s">
        <v>7023</v>
      </c>
    </row>
    <row r="586">
      <c r="A586" s="140" t="s">
        <v>7020</v>
      </c>
      <c r="B586" s="140">
        <v>120398.0</v>
      </c>
      <c r="C586" s="140" t="s">
        <v>7050</v>
      </c>
      <c r="D586" s="140" t="s">
        <v>6309</v>
      </c>
      <c r="E586" s="140">
        <v>0.0</v>
      </c>
      <c r="F586" s="140" t="s">
        <v>7022</v>
      </c>
      <c r="G586" s="141" t="s">
        <v>6401</v>
      </c>
      <c r="H586" s="140" t="s">
        <v>6312</v>
      </c>
      <c r="I586" s="140" t="s">
        <v>6313</v>
      </c>
      <c r="J586" s="140" t="s">
        <v>6314</v>
      </c>
      <c r="K586" s="140" t="s">
        <v>7023</v>
      </c>
    </row>
    <row r="587">
      <c r="A587" s="140" t="s">
        <v>7020</v>
      </c>
      <c r="B587" s="140">
        <v>120224.0</v>
      </c>
      <c r="C587" s="140" t="s">
        <v>7051</v>
      </c>
      <c r="D587" s="140" t="s">
        <v>6309</v>
      </c>
      <c r="E587" s="140">
        <v>0.0</v>
      </c>
      <c r="F587" s="140" t="s">
        <v>7022</v>
      </c>
      <c r="G587" s="141" t="s">
        <v>6401</v>
      </c>
      <c r="H587" s="140" t="s">
        <v>6312</v>
      </c>
      <c r="I587" s="140" t="s">
        <v>6313</v>
      </c>
      <c r="J587" s="140" t="s">
        <v>6314</v>
      </c>
      <c r="K587" s="140" t="s">
        <v>7023</v>
      </c>
    </row>
    <row r="588">
      <c r="A588" s="140" t="s">
        <v>7020</v>
      </c>
      <c r="B588" s="140">
        <v>120263.0</v>
      </c>
      <c r="C588" s="140" t="s">
        <v>7052</v>
      </c>
      <c r="D588" s="140" t="s">
        <v>6309</v>
      </c>
      <c r="E588" s="140">
        <v>0.0</v>
      </c>
      <c r="F588" s="140" t="s">
        <v>7022</v>
      </c>
      <c r="G588" s="141" t="s">
        <v>6401</v>
      </c>
      <c r="H588" s="140" t="s">
        <v>6312</v>
      </c>
      <c r="I588" s="140" t="s">
        <v>6313</v>
      </c>
      <c r="J588" s="140" t="s">
        <v>6314</v>
      </c>
      <c r="K588" s="140" t="s">
        <v>7023</v>
      </c>
    </row>
    <row r="589">
      <c r="A589" s="140" t="s">
        <v>7020</v>
      </c>
      <c r="B589" s="140">
        <v>120262.0</v>
      </c>
      <c r="C589" s="140" t="s">
        <v>7053</v>
      </c>
      <c r="D589" s="140" t="s">
        <v>6309</v>
      </c>
      <c r="E589" s="140">
        <v>0.0</v>
      </c>
      <c r="F589" s="140" t="s">
        <v>7022</v>
      </c>
      <c r="G589" s="141" t="s">
        <v>6401</v>
      </c>
      <c r="H589" s="140" t="s">
        <v>6312</v>
      </c>
      <c r="I589" s="140" t="s">
        <v>6313</v>
      </c>
      <c r="J589" s="140" t="s">
        <v>6314</v>
      </c>
      <c r="K589" s="140" t="s">
        <v>7023</v>
      </c>
    </row>
    <row r="590">
      <c r="A590" s="140" t="s">
        <v>7020</v>
      </c>
      <c r="B590" s="140">
        <v>120293.0</v>
      </c>
      <c r="C590" s="140" t="s">
        <v>7054</v>
      </c>
      <c r="D590" s="140" t="s">
        <v>6309</v>
      </c>
      <c r="E590" s="140">
        <v>0.0</v>
      </c>
      <c r="F590" s="140" t="s">
        <v>7022</v>
      </c>
      <c r="G590" s="141" t="s">
        <v>6401</v>
      </c>
      <c r="H590" s="140" t="s">
        <v>6312</v>
      </c>
      <c r="I590" s="140" t="s">
        <v>6313</v>
      </c>
      <c r="J590" s="140" t="s">
        <v>6314</v>
      </c>
      <c r="K590" s="140" t="s">
        <v>7023</v>
      </c>
    </row>
    <row r="591">
      <c r="A591" s="140" t="s">
        <v>7020</v>
      </c>
      <c r="B591" s="140">
        <v>120266.0</v>
      </c>
      <c r="C591" s="140" t="s">
        <v>7055</v>
      </c>
      <c r="D591" s="140" t="s">
        <v>6309</v>
      </c>
      <c r="E591" s="140">
        <v>0.0</v>
      </c>
      <c r="F591" s="140" t="s">
        <v>7022</v>
      </c>
      <c r="G591" s="141" t="s">
        <v>6401</v>
      </c>
      <c r="H591" s="140" t="s">
        <v>6312</v>
      </c>
      <c r="I591" s="140" t="s">
        <v>6313</v>
      </c>
      <c r="J591" s="140" t="s">
        <v>6314</v>
      </c>
      <c r="K591" s="140" t="s">
        <v>7023</v>
      </c>
    </row>
    <row r="592">
      <c r="A592" s="140" t="s">
        <v>7020</v>
      </c>
      <c r="B592" s="140">
        <v>120223.0</v>
      </c>
      <c r="C592" s="140" t="s">
        <v>7055</v>
      </c>
      <c r="D592" s="140" t="s">
        <v>6309</v>
      </c>
      <c r="E592" s="140">
        <v>0.0</v>
      </c>
      <c r="F592" s="140" t="s">
        <v>7022</v>
      </c>
      <c r="G592" s="141" t="s">
        <v>6401</v>
      </c>
      <c r="H592" s="140" t="s">
        <v>6312</v>
      </c>
      <c r="I592" s="140" t="s">
        <v>6313</v>
      </c>
      <c r="J592" s="140" t="s">
        <v>6314</v>
      </c>
      <c r="K592" s="140" t="s">
        <v>7023</v>
      </c>
    </row>
    <row r="593">
      <c r="A593" s="140" t="s">
        <v>7020</v>
      </c>
      <c r="B593" s="140">
        <v>120396.0</v>
      </c>
      <c r="C593" s="140" t="s">
        <v>7056</v>
      </c>
      <c r="D593" s="140" t="s">
        <v>6309</v>
      </c>
      <c r="E593" s="140">
        <v>0.0</v>
      </c>
      <c r="F593" s="140" t="s">
        <v>7022</v>
      </c>
      <c r="G593" s="141" t="s">
        <v>6401</v>
      </c>
      <c r="H593" s="140" t="s">
        <v>6312</v>
      </c>
      <c r="I593" s="140" t="s">
        <v>6313</v>
      </c>
      <c r="J593" s="140" t="s">
        <v>6314</v>
      </c>
      <c r="K593" s="140" t="s">
        <v>7023</v>
      </c>
    </row>
    <row r="594">
      <c r="A594" s="140" t="s">
        <v>7020</v>
      </c>
      <c r="B594" s="140">
        <v>120256.0</v>
      </c>
      <c r="C594" s="140" t="s">
        <v>7057</v>
      </c>
      <c r="D594" s="140" t="s">
        <v>6309</v>
      </c>
      <c r="E594" s="140">
        <v>0.0</v>
      </c>
      <c r="F594" s="140" t="s">
        <v>7022</v>
      </c>
      <c r="G594" s="141" t="s">
        <v>6401</v>
      </c>
      <c r="H594" s="140" t="s">
        <v>6312</v>
      </c>
      <c r="I594" s="140" t="s">
        <v>6313</v>
      </c>
      <c r="J594" s="140" t="s">
        <v>6314</v>
      </c>
      <c r="K594" s="140" t="s">
        <v>7023</v>
      </c>
    </row>
    <row r="595">
      <c r="A595" s="140" t="s">
        <v>7020</v>
      </c>
      <c r="B595" s="140">
        <v>120393.0</v>
      </c>
      <c r="C595" s="140" t="s">
        <v>7058</v>
      </c>
      <c r="D595" s="140" t="s">
        <v>6309</v>
      </c>
      <c r="E595" s="140">
        <v>0.0</v>
      </c>
      <c r="F595" s="140" t="s">
        <v>7022</v>
      </c>
      <c r="G595" s="141" t="s">
        <v>6401</v>
      </c>
      <c r="H595" s="140" t="s">
        <v>6312</v>
      </c>
      <c r="I595" s="140" t="s">
        <v>6313</v>
      </c>
      <c r="J595" s="140" t="s">
        <v>6314</v>
      </c>
      <c r="K595" s="140" t="s">
        <v>7023</v>
      </c>
    </row>
    <row r="596">
      <c r="A596" s="140" t="s">
        <v>7020</v>
      </c>
      <c r="B596" s="140">
        <v>120243.0</v>
      </c>
      <c r="C596" s="140" t="s">
        <v>7059</v>
      </c>
      <c r="D596" s="140" t="s">
        <v>6309</v>
      </c>
      <c r="E596" s="140">
        <v>0.0</v>
      </c>
      <c r="F596" s="140" t="s">
        <v>7022</v>
      </c>
      <c r="G596" s="141" t="s">
        <v>6401</v>
      </c>
      <c r="H596" s="140" t="s">
        <v>6312</v>
      </c>
      <c r="I596" s="140" t="s">
        <v>6313</v>
      </c>
      <c r="J596" s="140" t="s">
        <v>6314</v>
      </c>
      <c r="K596" s="140" t="s">
        <v>7023</v>
      </c>
    </row>
    <row r="597">
      <c r="A597" s="140" t="s">
        <v>7020</v>
      </c>
      <c r="B597" s="140">
        <v>130223.0</v>
      </c>
      <c r="C597" s="140" t="s">
        <v>7060</v>
      </c>
      <c r="D597" s="140" t="s">
        <v>6309</v>
      </c>
      <c r="E597" s="140">
        <v>0.0</v>
      </c>
      <c r="F597" s="140" t="s">
        <v>7022</v>
      </c>
      <c r="G597" s="141" t="s">
        <v>6401</v>
      </c>
      <c r="H597" s="140" t="s">
        <v>6312</v>
      </c>
      <c r="I597" s="140" t="s">
        <v>6313</v>
      </c>
      <c r="J597" s="140" t="s">
        <v>6314</v>
      </c>
      <c r="K597" s="140" t="s">
        <v>7023</v>
      </c>
    </row>
    <row r="598">
      <c r="A598" s="140" t="s">
        <v>7020</v>
      </c>
      <c r="B598" s="140">
        <v>130253.0</v>
      </c>
      <c r="C598" s="140" t="s">
        <v>7061</v>
      </c>
      <c r="D598" s="140" t="s">
        <v>6309</v>
      </c>
      <c r="E598" s="140">
        <v>0.0</v>
      </c>
      <c r="F598" s="140" t="s">
        <v>7022</v>
      </c>
      <c r="G598" s="141" t="s">
        <v>6401</v>
      </c>
      <c r="H598" s="140" t="s">
        <v>6312</v>
      </c>
      <c r="I598" s="140" t="s">
        <v>6313</v>
      </c>
      <c r="J598" s="140" t="s">
        <v>6314</v>
      </c>
      <c r="K598" s="140" t="s">
        <v>7023</v>
      </c>
    </row>
    <row r="599">
      <c r="A599" s="140" t="s">
        <v>7020</v>
      </c>
      <c r="B599" s="140">
        <v>130243.0</v>
      </c>
      <c r="C599" s="140" t="s">
        <v>7062</v>
      </c>
      <c r="D599" s="140" t="s">
        <v>6309</v>
      </c>
      <c r="E599" s="140">
        <v>0.0</v>
      </c>
      <c r="F599" s="140" t="s">
        <v>7022</v>
      </c>
      <c r="G599" s="141" t="s">
        <v>6401</v>
      </c>
      <c r="H599" s="140" t="s">
        <v>6312</v>
      </c>
      <c r="I599" s="140" t="s">
        <v>6313</v>
      </c>
      <c r="J599" s="140" t="s">
        <v>6314</v>
      </c>
      <c r="K599" s="140" t="s">
        <v>7023</v>
      </c>
    </row>
    <row r="600">
      <c r="A600" s="140" t="s">
        <v>7020</v>
      </c>
      <c r="B600" s="140">
        <v>130241.0</v>
      </c>
      <c r="C600" s="140" t="s">
        <v>7063</v>
      </c>
      <c r="D600" s="140" t="s">
        <v>6309</v>
      </c>
      <c r="E600" s="140">
        <v>0.0</v>
      </c>
      <c r="F600" s="140" t="s">
        <v>7022</v>
      </c>
      <c r="G600" s="141" t="s">
        <v>6401</v>
      </c>
      <c r="H600" s="140" t="s">
        <v>6312</v>
      </c>
      <c r="I600" s="140" t="s">
        <v>6313</v>
      </c>
      <c r="J600" s="140" t="s">
        <v>6314</v>
      </c>
      <c r="K600" s="140" t="s">
        <v>7023</v>
      </c>
    </row>
    <row r="601">
      <c r="A601" s="140" t="s">
        <v>7020</v>
      </c>
      <c r="B601" s="140">
        <v>5000050.0</v>
      </c>
      <c r="C601" s="140" t="s">
        <v>7064</v>
      </c>
      <c r="D601" s="140" t="s">
        <v>6309</v>
      </c>
      <c r="E601" s="140">
        <v>0.0</v>
      </c>
      <c r="F601" s="140" t="s">
        <v>7065</v>
      </c>
      <c r="G601" s="141" t="s">
        <v>6401</v>
      </c>
      <c r="H601" s="140" t="s">
        <v>6312</v>
      </c>
      <c r="I601" s="140" t="s">
        <v>6313</v>
      </c>
      <c r="J601" s="140" t="s">
        <v>6314</v>
      </c>
      <c r="K601" s="140" t="s">
        <v>7023</v>
      </c>
    </row>
    <row r="602">
      <c r="A602" s="140" t="s">
        <v>7020</v>
      </c>
      <c r="B602" s="140">
        <v>5013216.0</v>
      </c>
      <c r="C602" s="140" t="s">
        <v>7066</v>
      </c>
      <c r="D602" s="140" t="s">
        <v>6309</v>
      </c>
      <c r="E602" s="140">
        <v>0.0</v>
      </c>
      <c r="F602" s="140" t="s">
        <v>7065</v>
      </c>
      <c r="G602" s="141" t="s">
        <v>6401</v>
      </c>
      <c r="H602" s="140" t="s">
        <v>6312</v>
      </c>
      <c r="I602" s="140" t="s">
        <v>6313</v>
      </c>
      <c r="J602" s="140" t="s">
        <v>6314</v>
      </c>
      <c r="K602" s="140" t="s">
        <v>7023</v>
      </c>
    </row>
    <row r="603">
      <c r="A603" s="140" t="s">
        <v>7020</v>
      </c>
      <c r="B603" s="140">
        <v>5013244.0</v>
      </c>
      <c r="C603" s="140" t="s">
        <v>7067</v>
      </c>
      <c r="D603" s="140" t="s">
        <v>6309</v>
      </c>
      <c r="E603" s="140">
        <v>0.0</v>
      </c>
      <c r="F603" s="140" t="s">
        <v>7065</v>
      </c>
      <c r="G603" s="141" t="s">
        <v>6401</v>
      </c>
      <c r="H603" s="140" t="s">
        <v>6312</v>
      </c>
      <c r="I603" s="140" t="s">
        <v>6313</v>
      </c>
      <c r="J603" s="140" t="s">
        <v>6314</v>
      </c>
      <c r="K603" s="140" t="s">
        <v>7023</v>
      </c>
    </row>
    <row r="604">
      <c r="A604" s="140" t="s">
        <v>7020</v>
      </c>
      <c r="B604" s="140">
        <v>5013250.0</v>
      </c>
      <c r="C604" s="140" t="s">
        <v>7068</v>
      </c>
      <c r="D604" s="140" t="s">
        <v>6309</v>
      </c>
      <c r="E604" s="140">
        <v>0.0</v>
      </c>
      <c r="F604" s="140" t="s">
        <v>7065</v>
      </c>
      <c r="G604" s="141" t="s">
        <v>6401</v>
      </c>
      <c r="H604" s="140" t="s">
        <v>6312</v>
      </c>
      <c r="I604" s="140" t="s">
        <v>6313</v>
      </c>
      <c r="J604" s="140" t="s">
        <v>6314</v>
      </c>
      <c r="K604" s="140" t="s">
        <v>7023</v>
      </c>
    </row>
    <row r="605">
      <c r="A605" s="140" t="s">
        <v>7020</v>
      </c>
      <c r="B605" s="140">
        <v>5014216.0</v>
      </c>
      <c r="C605" s="140" t="s">
        <v>7069</v>
      </c>
      <c r="D605" s="140" t="s">
        <v>6309</v>
      </c>
      <c r="E605" s="140">
        <v>0.0</v>
      </c>
      <c r="F605" s="140" t="s">
        <v>7065</v>
      </c>
      <c r="G605" s="141" t="s">
        <v>6401</v>
      </c>
      <c r="H605" s="140" t="s">
        <v>6312</v>
      </c>
      <c r="I605" s="140" t="s">
        <v>6313</v>
      </c>
      <c r="J605" s="140" t="s">
        <v>6314</v>
      </c>
      <c r="K605" s="140" t="s">
        <v>7023</v>
      </c>
    </row>
    <row r="606">
      <c r="A606" s="140" t="s">
        <v>7020</v>
      </c>
      <c r="B606" s="140">
        <v>5014244.0</v>
      </c>
      <c r="C606" s="140" t="s">
        <v>7070</v>
      </c>
      <c r="D606" s="140" t="s">
        <v>6309</v>
      </c>
      <c r="E606" s="140">
        <v>0.0</v>
      </c>
      <c r="F606" s="140" t="s">
        <v>7065</v>
      </c>
      <c r="G606" s="141" t="s">
        <v>6401</v>
      </c>
      <c r="H606" s="140" t="s">
        <v>6312</v>
      </c>
      <c r="I606" s="140" t="s">
        <v>6313</v>
      </c>
      <c r="J606" s="140" t="s">
        <v>6314</v>
      </c>
      <c r="K606" s="140" t="s">
        <v>7023</v>
      </c>
    </row>
    <row r="607">
      <c r="A607" s="140" t="s">
        <v>7020</v>
      </c>
      <c r="B607" s="140">
        <v>5014250.0</v>
      </c>
      <c r="C607" s="140" t="s">
        <v>7071</v>
      </c>
      <c r="D607" s="140" t="s">
        <v>6309</v>
      </c>
      <c r="E607" s="140">
        <v>0.0</v>
      </c>
      <c r="F607" s="140" t="s">
        <v>7065</v>
      </c>
      <c r="G607" s="141" t="s">
        <v>6401</v>
      </c>
      <c r="H607" s="140" t="s">
        <v>6312</v>
      </c>
      <c r="I607" s="140" t="s">
        <v>6313</v>
      </c>
      <c r="J607" s="140" t="s">
        <v>6314</v>
      </c>
      <c r="K607" s="140" t="s">
        <v>7023</v>
      </c>
    </row>
    <row r="608">
      <c r="A608" s="140" t="s">
        <v>7072</v>
      </c>
      <c r="B608" s="140" t="s">
        <v>7073</v>
      </c>
      <c r="C608" s="140" t="s">
        <v>7074</v>
      </c>
      <c r="D608" s="140" t="s">
        <v>6318</v>
      </c>
      <c r="E608" s="140" t="s">
        <v>6323</v>
      </c>
      <c r="F608" s="140" t="s">
        <v>5774</v>
      </c>
      <c r="G608" s="141" t="s">
        <v>6401</v>
      </c>
      <c r="H608" s="140" t="s">
        <v>6312</v>
      </c>
      <c r="I608" s="140" t="s">
        <v>6313</v>
      </c>
      <c r="J608" s="140" t="s">
        <v>6314</v>
      </c>
      <c r="K608" s="140" t="s">
        <v>6603</v>
      </c>
    </row>
    <row r="609">
      <c r="A609" s="140" t="s">
        <v>7072</v>
      </c>
      <c r="B609" s="140" t="s">
        <v>7075</v>
      </c>
      <c r="C609" s="140" t="s">
        <v>7076</v>
      </c>
      <c r="D609" s="140" t="s">
        <v>6318</v>
      </c>
      <c r="E609" s="140" t="s">
        <v>6323</v>
      </c>
      <c r="F609" s="140" t="s">
        <v>5774</v>
      </c>
      <c r="G609" s="141" t="s">
        <v>6401</v>
      </c>
      <c r="H609" s="140" t="s">
        <v>6312</v>
      </c>
      <c r="I609" s="140" t="s">
        <v>6313</v>
      </c>
      <c r="J609" s="140" t="s">
        <v>6314</v>
      </c>
      <c r="K609" s="140" t="s">
        <v>6603</v>
      </c>
    </row>
    <row r="610">
      <c r="A610" s="140" t="s">
        <v>7072</v>
      </c>
      <c r="B610" s="140" t="s">
        <v>7077</v>
      </c>
      <c r="C610" s="140" t="s">
        <v>7076</v>
      </c>
      <c r="D610" s="140" t="s">
        <v>6318</v>
      </c>
      <c r="E610" s="140" t="s">
        <v>6323</v>
      </c>
      <c r="F610" s="140" t="s">
        <v>5774</v>
      </c>
      <c r="G610" s="141" t="s">
        <v>6401</v>
      </c>
      <c r="H610" s="140" t="s">
        <v>6312</v>
      </c>
      <c r="I610" s="140" t="s">
        <v>6313</v>
      </c>
      <c r="J610" s="140" t="s">
        <v>6314</v>
      </c>
      <c r="K610" s="140" t="s">
        <v>6603</v>
      </c>
    </row>
    <row r="611">
      <c r="A611" s="140" t="s">
        <v>7072</v>
      </c>
      <c r="B611" s="140" t="s">
        <v>7078</v>
      </c>
      <c r="C611" s="140" t="s">
        <v>7079</v>
      </c>
      <c r="D611" s="140" t="s">
        <v>6318</v>
      </c>
      <c r="E611" s="140" t="s">
        <v>1225</v>
      </c>
      <c r="F611" s="140" t="s">
        <v>1293</v>
      </c>
      <c r="G611" s="141" t="s">
        <v>6401</v>
      </c>
      <c r="H611" s="140" t="s">
        <v>6312</v>
      </c>
      <c r="I611" s="140" t="s">
        <v>6313</v>
      </c>
      <c r="J611" s="140" t="s">
        <v>6314</v>
      </c>
      <c r="K611" s="140" t="s">
        <v>6603</v>
      </c>
    </row>
    <row r="612">
      <c r="A612" s="140" t="s">
        <v>7072</v>
      </c>
      <c r="B612" s="140" t="s">
        <v>7080</v>
      </c>
      <c r="C612" s="140" t="s">
        <v>7081</v>
      </c>
      <c r="D612" s="140" t="s">
        <v>6318</v>
      </c>
      <c r="E612" s="140" t="s">
        <v>1225</v>
      </c>
      <c r="F612" s="140" t="s">
        <v>1293</v>
      </c>
      <c r="G612" s="141" t="s">
        <v>6401</v>
      </c>
      <c r="H612" s="140" t="s">
        <v>6312</v>
      </c>
      <c r="I612" s="140" t="s">
        <v>6313</v>
      </c>
      <c r="J612" s="140" t="s">
        <v>6314</v>
      </c>
      <c r="K612" s="140" t="s">
        <v>6603</v>
      </c>
    </row>
    <row r="613">
      <c r="A613" s="140" t="s">
        <v>7072</v>
      </c>
      <c r="B613" s="140" t="s">
        <v>2873</v>
      </c>
      <c r="C613" s="140" t="s">
        <v>7082</v>
      </c>
      <c r="D613" s="140" t="s">
        <v>6318</v>
      </c>
      <c r="E613" s="140" t="s">
        <v>1225</v>
      </c>
      <c r="F613" s="140" t="s">
        <v>1293</v>
      </c>
      <c r="G613" s="141" t="s">
        <v>6401</v>
      </c>
      <c r="H613" s="140" t="s">
        <v>6312</v>
      </c>
      <c r="I613" s="140" t="s">
        <v>6313</v>
      </c>
      <c r="J613" s="140" t="s">
        <v>6314</v>
      </c>
      <c r="K613" s="140" t="s">
        <v>6603</v>
      </c>
    </row>
    <row r="614">
      <c r="A614" s="140" t="s">
        <v>7072</v>
      </c>
      <c r="B614" s="140" t="s">
        <v>7083</v>
      </c>
      <c r="C614" s="140" t="s">
        <v>7084</v>
      </c>
      <c r="D614" s="140" t="s">
        <v>6318</v>
      </c>
      <c r="E614" s="140" t="s">
        <v>1225</v>
      </c>
      <c r="F614" s="140" t="s">
        <v>1293</v>
      </c>
      <c r="G614" s="141" t="s">
        <v>6668</v>
      </c>
      <c r="H614" s="140" t="s">
        <v>6312</v>
      </c>
      <c r="I614" s="140" t="s">
        <v>6313</v>
      </c>
      <c r="J614" s="140" t="s">
        <v>6314</v>
      </c>
      <c r="K614" s="140" t="s">
        <v>6603</v>
      </c>
    </row>
    <row r="615">
      <c r="A615" s="140" t="s">
        <v>7085</v>
      </c>
      <c r="B615" s="143">
        <v>6.90222E12</v>
      </c>
      <c r="C615" s="140" t="s">
        <v>7086</v>
      </c>
      <c r="D615" s="140" t="s">
        <v>6601</v>
      </c>
      <c r="E615" s="140">
        <v>0.0</v>
      </c>
      <c r="F615" s="140" t="s">
        <v>7087</v>
      </c>
      <c r="G615" s="141" t="s">
        <v>6401</v>
      </c>
      <c r="H615" s="140" t="s">
        <v>6312</v>
      </c>
      <c r="I615" s="140" t="s">
        <v>6313</v>
      </c>
      <c r="J615" s="140" t="s">
        <v>6314</v>
      </c>
      <c r="K615" s="140" t="s">
        <v>7088</v>
      </c>
    </row>
    <row r="616">
      <c r="A616" s="140" t="s">
        <v>7085</v>
      </c>
      <c r="B616" s="143">
        <v>6.90222E12</v>
      </c>
      <c r="C616" s="140" t="s">
        <v>7089</v>
      </c>
      <c r="D616" s="140" t="s">
        <v>6601</v>
      </c>
      <c r="E616" s="140">
        <v>0.0</v>
      </c>
      <c r="F616" s="140" t="s">
        <v>7087</v>
      </c>
      <c r="G616" s="141" t="s">
        <v>6401</v>
      </c>
      <c r="H616" s="140" t="s">
        <v>6312</v>
      </c>
      <c r="I616" s="140" t="s">
        <v>6313</v>
      </c>
      <c r="J616" s="140" t="s">
        <v>6314</v>
      </c>
      <c r="K616" s="140" t="s">
        <v>7088</v>
      </c>
    </row>
    <row r="617">
      <c r="A617" s="140" t="s">
        <v>7085</v>
      </c>
      <c r="B617" s="143">
        <v>6.90222E12</v>
      </c>
      <c r="C617" s="140" t="s">
        <v>7090</v>
      </c>
      <c r="D617" s="140" t="s">
        <v>6601</v>
      </c>
      <c r="E617" s="140">
        <v>0.0</v>
      </c>
      <c r="F617" s="140" t="s">
        <v>7087</v>
      </c>
      <c r="G617" s="141" t="s">
        <v>6401</v>
      </c>
      <c r="H617" s="140" t="s">
        <v>6312</v>
      </c>
      <c r="I617" s="140" t="s">
        <v>6313</v>
      </c>
      <c r="J617" s="140" t="s">
        <v>6314</v>
      </c>
      <c r="K617" s="140" t="s">
        <v>7088</v>
      </c>
    </row>
    <row r="618">
      <c r="A618" s="140" t="s">
        <v>7085</v>
      </c>
      <c r="B618" s="143">
        <v>6.90222E12</v>
      </c>
      <c r="C618" s="140" t="s">
        <v>7091</v>
      </c>
      <c r="D618" s="140" t="s">
        <v>6601</v>
      </c>
      <c r="E618" s="140">
        <v>0.0</v>
      </c>
      <c r="F618" s="140" t="s">
        <v>6609</v>
      </c>
      <c r="G618" s="141" t="s">
        <v>6401</v>
      </c>
      <c r="H618" s="140" t="s">
        <v>6312</v>
      </c>
      <c r="I618" s="140" t="s">
        <v>6313</v>
      </c>
      <c r="J618" s="140" t="s">
        <v>6314</v>
      </c>
      <c r="K618" s="140" t="s">
        <v>7088</v>
      </c>
    </row>
    <row r="619">
      <c r="A619" s="140" t="s">
        <v>7085</v>
      </c>
      <c r="B619" s="143">
        <v>6.90222E12</v>
      </c>
      <c r="C619" s="140" t="s">
        <v>7092</v>
      </c>
      <c r="D619" s="140" t="s">
        <v>6601</v>
      </c>
      <c r="E619" s="140">
        <v>0.0</v>
      </c>
      <c r="F619" s="140" t="s">
        <v>374</v>
      </c>
      <c r="G619" s="141" t="s">
        <v>6401</v>
      </c>
      <c r="H619" s="140" t="s">
        <v>6312</v>
      </c>
      <c r="I619" s="140" t="s">
        <v>6313</v>
      </c>
      <c r="J619" s="140" t="s">
        <v>6314</v>
      </c>
      <c r="K619" s="140" t="s">
        <v>7088</v>
      </c>
    </row>
    <row r="620">
      <c r="A620" s="140" t="s">
        <v>7085</v>
      </c>
      <c r="B620" s="143">
        <v>6.90222E12</v>
      </c>
      <c r="C620" s="140" t="s">
        <v>7093</v>
      </c>
      <c r="D620" s="140" t="s">
        <v>6601</v>
      </c>
      <c r="E620" s="140" t="s">
        <v>303</v>
      </c>
      <c r="F620" s="140" t="s">
        <v>345</v>
      </c>
      <c r="G620" s="141" t="s">
        <v>6401</v>
      </c>
      <c r="H620" s="140" t="s">
        <v>6312</v>
      </c>
      <c r="I620" s="140" t="s">
        <v>6313</v>
      </c>
      <c r="J620" s="140" t="s">
        <v>6314</v>
      </c>
      <c r="K620" s="140" t="s">
        <v>7088</v>
      </c>
    </row>
    <row r="621">
      <c r="A621" s="140" t="s">
        <v>7085</v>
      </c>
      <c r="B621" s="143">
        <v>6.90222E12</v>
      </c>
      <c r="C621" s="140" t="s">
        <v>7094</v>
      </c>
      <c r="D621" s="140" t="s">
        <v>6601</v>
      </c>
      <c r="E621" s="140" t="s">
        <v>303</v>
      </c>
      <c r="F621" s="140" t="s">
        <v>345</v>
      </c>
      <c r="G621" s="141" t="s">
        <v>6401</v>
      </c>
      <c r="H621" s="140" t="s">
        <v>6312</v>
      </c>
      <c r="I621" s="140" t="s">
        <v>6313</v>
      </c>
      <c r="J621" s="140" t="s">
        <v>6314</v>
      </c>
      <c r="K621" s="140" t="s">
        <v>7088</v>
      </c>
    </row>
    <row r="622">
      <c r="A622" s="140" t="s">
        <v>7085</v>
      </c>
      <c r="B622" s="143">
        <v>6.90222E12</v>
      </c>
      <c r="C622" s="140" t="s">
        <v>7095</v>
      </c>
      <c r="D622" s="140" t="s">
        <v>6601</v>
      </c>
      <c r="E622" s="140" t="s">
        <v>303</v>
      </c>
      <c r="F622" s="140" t="s">
        <v>345</v>
      </c>
      <c r="G622" s="141" t="s">
        <v>6401</v>
      </c>
      <c r="H622" s="140" t="s">
        <v>6312</v>
      </c>
      <c r="I622" s="140" t="s">
        <v>6313</v>
      </c>
      <c r="J622" s="140" t="s">
        <v>6314</v>
      </c>
      <c r="K622" s="140" t="s">
        <v>7088</v>
      </c>
    </row>
    <row r="623">
      <c r="A623" s="140" t="s">
        <v>7085</v>
      </c>
      <c r="B623" s="143">
        <v>6.90222E12</v>
      </c>
      <c r="C623" s="140" t="s">
        <v>7096</v>
      </c>
      <c r="D623" s="140" t="s">
        <v>6601</v>
      </c>
      <c r="E623" s="140" t="s">
        <v>303</v>
      </c>
      <c r="F623" s="140" t="s">
        <v>345</v>
      </c>
      <c r="G623" s="141" t="s">
        <v>6401</v>
      </c>
      <c r="H623" s="140" t="s">
        <v>6312</v>
      </c>
      <c r="I623" s="140" t="s">
        <v>6313</v>
      </c>
      <c r="J623" s="140" t="s">
        <v>6314</v>
      </c>
      <c r="K623" s="140" t="s">
        <v>7088</v>
      </c>
    </row>
    <row r="624">
      <c r="A624" s="140" t="s">
        <v>7085</v>
      </c>
      <c r="B624" s="143">
        <v>6.90222E12</v>
      </c>
      <c r="C624" s="140" t="s">
        <v>7097</v>
      </c>
      <c r="D624" s="140" t="s">
        <v>6601</v>
      </c>
      <c r="E624" s="140" t="s">
        <v>303</v>
      </c>
      <c r="F624" s="140" t="s">
        <v>345</v>
      </c>
      <c r="G624" s="141" t="s">
        <v>6401</v>
      </c>
      <c r="H624" s="140" t="s">
        <v>6312</v>
      </c>
      <c r="I624" s="140" t="s">
        <v>6313</v>
      </c>
      <c r="J624" s="140" t="s">
        <v>6314</v>
      </c>
      <c r="K624" s="140" t="s">
        <v>7088</v>
      </c>
    </row>
    <row r="625">
      <c r="A625" s="140" t="s">
        <v>7085</v>
      </c>
      <c r="B625" s="143">
        <v>6.90222E12</v>
      </c>
      <c r="C625" s="140" t="s">
        <v>7098</v>
      </c>
      <c r="D625" s="140" t="s">
        <v>6601</v>
      </c>
      <c r="E625" s="140" t="s">
        <v>526</v>
      </c>
      <c r="F625" s="140" t="s">
        <v>7099</v>
      </c>
      <c r="G625" s="141" t="s">
        <v>6401</v>
      </c>
      <c r="H625" s="140" t="s">
        <v>6312</v>
      </c>
      <c r="I625" s="140" t="s">
        <v>6313</v>
      </c>
      <c r="J625" s="140" t="s">
        <v>6314</v>
      </c>
      <c r="K625" s="140" t="s">
        <v>7088</v>
      </c>
    </row>
    <row r="626">
      <c r="A626" s="140" t="s">
        <v>7085</v>
      </c>
      <c r="B626" s="143">
        <v>6.90222E12</v>
      </c>
      <c r="C626" s="140" t="s">
        <v>7100</v>
      </c>
      <c r="D626" s="140" t="s">
        <v>6601</v>
      </c>
      <c r="E626" s="140" t="s">
        <v>526</v>
      </c>
      <c r="F626" s="140" t="s">
        <v>7101</v>
      </c>
      <c r="G626" s="141" t="s">
        <v>6401</v>
      </c>
      <c r="H626" s="140" t="s">
        <v>6312</v>
      </c>
      <c r="I626" s="140" t="s">
        <v>6313</v>
      </c>
      <c r="J626" s="140" t="s">
        <v>6314</v>
      </c>
      <c r="K626" s="140" t="s">
        <v>7088</v>
      </c>
    </row>
    <row r="627">
      <c r="A627" s="140" t="s">
        <v>7085</v>
      </c>
      <c r="B627" s="143">
        <v>6.90222E12</v>
      </c>
      <c r="C627" s="140" t="s">
        <v>7102</v>
      </c>
      <c r="D627" s="140" t="s">
        <v>6601</v>
      </c>
      <c r="E627" s="140" t="s">
        <v>526</v>
      </c>
      <c r="F627" s="140" t="s">
        <v>527</v>
      </c>
      <c r="G627" s="141" t="s">
        <v>6401</v>
      </c>
      <c r="H627" s="140" t="s">
        <v>6312</v>
      </c>
      <c r="I627" s="140" t="s">
        <v>6313</v>
      </c>
      <c r="J627" s="140" t="s">
        <v>6314</v>
      </c>
      <c r="K627" s="140" t="s">
        <v>7088</v>
      </c>
    </row>
    <row r="628">
      <c r="A628" s="140" t="s">
        <v>7085</v>
      </c>
      <c r="B628" s="143">
        <v>6.90222E12</v>
      </c>
      <c r="C628" s="140" t="s">
        <v>7103</v>
      </c>
      <c r="D628" s="140" t="s">
        <v>6601</v>
      </c>
      <c r="E628" s="140" t="s">
        <v>526</v>
      </c>
      <c r="F628" s="140" t="s">
        <v>527</v>
      </c>
      <c r="G628" s="141" t="s">
        <v>6401</v>
      </c>
      <c r="H628" s="140" t="s">
        <v>6312</v>
      </c>
      <c r="I628" s="140" t="s">
        <v>6313</v>
      </c>
      <c r="J628" s="140" t="s">
        <v>6314</v>
      </c>
      <c r="K628" s="140" t="s">
        <v>7088</v>
      </c>
    </row>
    <row r="629">
      <c r="A629" s="140" t="s">
        <v>7085</v>
      </c>
      <c r="B629" s="143">
        <v>6.90222E12</v>
      </c>
      <c r="C629" s="140" t="s">
        <v>7104</v>
      </c>
      <c r="D629" s="140" t="s">
        <v>6601</v>
      </c>
      <c r="E629" s="140" t="s">
        <v>526</v>
      </c>
      <c r="F629" s="140" t="s">
        <v>7105</v>
      </c>
      <c r="G629" s="141" t="s">
        <v>6401</v>
      </c>
      <c r="H629" s="140" t="s">
        <v>6312</v>
      </c>
      <c r="I629" s="140" t="s">
        <v>6313</v>
      </c>
      <c r="J629" s="140" t="s">
        <v>6314</v>
      </c>
      <c r="K629" s="140" t="s">
        <v>7088</v>
      </c>
    </row>
    <row r="630">
      <c r="A630" s="140" t="s">
        <v>7085</v>
      </c>
      <c r="B630" s="143">
        <v>6.90222E12</v>
      </c>
      <c r="C630" s="140" t="s">
        <v>7106</v>
      </c>
      <c r="D630" s="140" t="s">
        <v>6601</v>
      </c>
      <c r="E630" s="140" t="s">
        <v>526</v>
      </c>
      <c r="F630" s="140" t="s">
        <v>7105</v>
      </c>
      <c r="G630" s="141" t="s">
        <v>6401</v>
      </c>
      <c r="H630" s="140" t="s">
        <v>6312</v>
      </c>
      <c r="I630" s="140" t="s">
        <v>6313</v>
      </c>
      <c r="J630" s="140" t="s">
        <v>6314</v>
      </c>
      <c r="K630" s="140" t="s">
        <v>7088</v>
      </c>
    </row>
    <row r="631">
      <c r="A631" s="140" t="s">
        <v>7085</v>
      </c>
      <c r="B631" s="143">
        <v>6.90222E12</v>
      </c>
      <c r="C631" s="140" t="s">
        <v>7107</v>
      </c>
      <c r="D631" s="140" t="s">
        <v>6601</v>
      </c>
      <c r="E631" s="140" t="s">
        <v>526</v>
      </c>
      <c r="F631" s="140" t="s">
        <v>537</v>
      </c>
      <c r="G631" s="141" t="s">
        <v>6401</v>
      </c>
      <c r="H631" s="140" t="s">
        <v>6312</v>
      </c>
      <c r="I631" s="140" t="s">
        <v>6313</v>
      </c>
      <c r="J631" s="140" t="s">
        <v>6314</v>
      </c>
      <c r="K631" s="140" t="s">
        <v>7088</v>
      </c>
    </row>
    <row r="632">
      <c r="A632" s="140" t="s">
        <v>7085</v>
      </c>
      <c r="B632" s="143">
        <v>6.90222E12</v>
      </c>
      <c r="C632" s="140" t="s">
        <v>7108</v>
      </c>
      <c r="D632" s="140" t="s">
        <v>6601</v>
      </c>
      <c r="E632" s="140" t="s">
        <v>526</v>
      </c>
      <c r="F632" s="140" t="s">
        <v>537</v>
      </c>
      <c r="G632" s="141" t="s">
        <v>6401</v>
      </c>
      <c r="H632" s="140" t="s">
        <v>6312</v>
      </c>
      <c r="I632" s="140" t="s">
        <v>6313</v>
      </c>
      <c r="J632" s="140" t="s">
        <v>6314</v>
      </c>
      <c r="K632" s="140" t="s">
        <v>7088</v>
      </c>
    </row>
    <row r="633">
      <c r="A633" s="140" t="s">
        <v>7085</v>
      </c>
      <c r="B633" s="143">
        <v>6.90222E12</v>
      </c>
      <c r="C633" s="140" t="s">
        <v>7109</v>
      </c>
      <c r="D633" s="140" t="s">
        <v>6601</v>
      </c>
      <c r="E633" s="140" t="s">
        <v>526</v>
      </c>
      <c r="F633" s="140" t="s">
        <v>537</v>
      </c>
      <c r="G633" s="141" t="s">
        <v>6401</v>
      </c>
      <c r="H633" s="140" t="s">
        <v>6312</v>
      </c>
      <c r="I633" s="140" t="s">
        <v>6313</v>
      </c>
      <c r="J633" s="140" t="s">
        <v>6314</v>
      </c>
      <c r="K633" s="140" t="s">
        <v>7088</v>
      </c>
    </row>
    <row r="634">
      <c r="A634" s="140" t="s">
        <v>7085</v>
      </c>
      <c r="B634" s="143">
        <v>6.90222E12</v>
      </c>
      <c r="C634" s="140" t="s">
        <v>7110</v>
      </c>
      <c r="D634" s="140" t="s">
        <v>6601</v>
      </c>
      <c r="E634" s="140" t="s">
        <v>526</v>
      </c>
      <c r="F634" s="140" t="s">
        <v>537</v>
      </c>
      <c r="G634" s="141" t="s">
        <v>6401</v>
      </c>
      <c r="H634" s="140" t="s">
        <v>6312</v>
      </c>
      <c r="I634" s="140" t="s">
        <v>6313</v>
      </c>
      <c r="J634" s="140" t="s">
        <v>6314</v>
      </c>
      <c r="K634" s="140" t="s">
        <v>7088</v>
      </c>
    </row>
    <row r="635">
      <c r="A635" s="140" t="s">
        <v>7085</v>
      </c>
      <c r="B635" s="143">
        <v>6.90222E12</v>
      </c>
      <c r="C635" s="140" t="s">
        <v>7111</v>
      </c>
      <c r="D635" s="140" t="s">
        <v>6601</v>
      </c>
      <c r="E635" s="140" t="s">
        <v>526</v>
      </c>
      <c r="F635" s="140" t="s">
        <v>7112</v>
      </c>
      <c r="G635" s="141" t="s">
        <v>6401</v>
      </c>
      <c r="H635" s="140" t="s">
        <v>6312</v>
      </c>
      <c r="I635" s="140" t="s">
        <v>6313</v>
      </c>
      <c r="J635" s="140" t="s">
        <v>6314</v>
      </c>
      <c r="K635" s="140" t="s">
        <v>7088</v>
      </c>
    </row>
    <row r="636">
      <c r="A636" s="140" t="s">
        <v>7085</v>
      </c>
      <c r="B636" s="143">
        <v>6.90222E12</v>
      </c>
      <c r="C636" s="140" t="s">
        <v>7113</v>
      </c>
      <c r="D636" s="140" t="s">
        <v>6601</v>
      </c>
      <c r="E636" s="140" t="s">
        <v>526</v>
      </c>
      <c r="F636" s="140" t="s">
        <v>7112</v>
      </c>
      <c r="G636" s="141" t="s">
        <v>6401</v>
      </c>
      <c r="H636" s="140" t="s">
        <v>6312</v>
      </c>
      <c r="I636" s="140" t="s">
        <v>6313</v>
      </c>
      <c r="J636" s="140" t="s">
        <v>6314</v>
      </c>
      <c r="K636" s="140" t="s">
        <v>7088</v>
      </c>
    </row>
    <row r="637">
      <c r="A637" s="140" t="s">
        <v>7085</v>
      </c>
      <c r="B637" s="143">
        <v>6.90222E12</v>
      </c>
      <c r="C637" s="140" t="s">
        <v>7114</v>
      </c>
      <c r="D637" s="140" t="s">
        <v>6601</v>
      </c>
      <c r="E637" s="140" t="s">
        <v>526</v>
      </c>
      <c r="F637" s="140" t="s">
        <v>553</v>
      </c>
      <c r="G637" s="141" t="s">
        <v>6401</v>
      </c>
      <c r="H637" s="140" t="s">
        <v>6312</v>
      </c>
      <c r="I637" s="140" t="s">
        <v>6313</v>
      </c>
      <c r="J637" s="140" t="s">
        <v>6314</v>
      </c>
      <c r="K637" s="140" t="s">
        <v>7088</v>
      </c>
    </row>
    <row r="638">
      <c r="A638" s="140" t="s">
        <v>7085</v>
      </c>
      <c r="B638" s="143">
        <v>6.90222E12</v>
      </c>
      <c r="C638" s="140" t="s">
        <v>7115</v>
      </c>
      <c r="D638" s="140" t="s">
        <v>6601</v>
      </c>
      <c r="E638" s="140" t="s">
        <v>526</v>
      </c>
      <c r="F638" s="140" t="s">
        <v>553</v>
      </c>
      <c r="G638" s="141" t="s">
        <v>6401</v>
      </c>
      <c r="H638" s="140" t="s">
        <v>6312</v>
      </c>
      <c r="I638" s="140" t="s">
        <v>6313</v>
      </c>
      <c r="J638" s="140" t="s">
        <v>6314</v>
      </c>
      <c r="K638" s="140" t="s">
        <v>7088</v>
      </c>
    </row>
    <row r="639">
      <c r="A639" s="140" t="s">
        <v>7085</v>
      </c>
      <c r="B639" s="143">
        <v>6.90222E12</v>
      </c>
      <c r="C639" s="140" t="s">
        <v>7116</v>
      </c>
      <c r="D639" s="140" t="s">
        <v>6601</v>
      </c>
      <c r="E639" s="140" t="s">
        <v>526</v>
      </c>
      <c r="F639" s="140" t="s">
        <v>553</v>
      </c>
      <c r="G639" s="141" t="s">
        <v>6401</v>
      </c>
      <c r="H639" s="140" t="s">
        <v>6312</v>
      </c>
      <c r="I639" s="140" t="s">
        <v>6313</v>
      </c>
      <c r="J639" s="140" t="s">
        <v>6314</v>
      </c>
      <c r="K639" s="140" t="s">
        <v>7088</v>
      </c>
    </row>
    <row r="640">
      <c r="A640" s="140" t="s">
        <v>7085</v>
      </c>
      <c r="B640" s="143">
        <v>6.90222E12</v>
      </c>
      <c r="C640" s="140" t="s">
        <v>7117</v>
      </c>
      <c r="D640" s="140" t="s">
        <v>6601</v>
      </c>
      <c r="E640" s="140" t="s">
        <v>526</v>
      </c>
      <c r="F640" s="140" t="s">
        <v>553</v>
      </c>
      <c r="G640" s="141" t="s">
        <v>6401</v>
      </c>
      <c r="H640" s="140" t="s">
        <v>6312</v>
      </c>
      <c r="I640" s="140" t="s">
        <v>6313</v>
      </c>
      <c r="J640" s="140" t="s">
        <v>6314</v>
      </c>
      <c r="K640" s="140" t="s">
        <v>7088</v>
      </c>
    </row>
    <row r="641">
      <c r="A641" s="140" t="s">
        <v>7085</v>
      </c>
      <c r="B641" s="143">
        <v>6.90222E12</v>
      </c>
      <c r="C641" s="140" t="s">
        <v>7118</v>
      </c>
      <c r="D641" s="140" t="s">
        <v>6601</v>
      </c>
      <c r="E641" s="140" t="s">
        <v>526</v>
      </c>
      <c r="F641" s="140" t="s">
        <v>553</v>
      </c>
      <c r="G641" s="141" t="s">
        <v>6401</v>
      </c>
      <c r="H641" s="140" t="s">
        <v>6312</v>
      </c>
      <c r="I641" s="140" t="s">
        <v>6313</v>
      </c>
      <c r="J641" s="140" t="s">
        <v>6314</v>
      </c>
      <c r="K641" s="140" t="s">
        <v>7088</v>
      </c>
    </row>
    <row r="642">
      <c r="A642" s="140" t="s">
        <v>7085</v>
      </c>
      <c r="B642" s="143">
        <v>6.90222E12</v>
      </c>
      <c r="C642" s="140" t="s">
        <v>7119</v>
      </c>
      <c r="D642" s="140" t="s">
        <v>6601</v>
      </c>
      <c r="E642" s="140" t="s">
        <v>526</v>
      </c>
      <c r="F642" s="140" t="s">
        <v>175</v>
      </c>
      <c r="G642" s="141" t="s">
        <v>6401</v>
      </c>
      <c r="H642" s="140" t="s">
        <v>6312</v>
      </c>
      <c r="I642" s="140" t="s">
        <v>6313</v>
      </c>
      <c r="J642" s="140" t="s">
        <v>6314</v>
      </c>
      <c r="K642" s="140" t="s">
        <v>7088</v>
      </c>
    </row>
    <row r="643">
      <c r="A643" s="140" t="s">
        <v>7085</v>
      </c>
      <c r="B643" s="143">
        <v>6.90222E12</v>
      </c>
      <c r="C643" s="140" t="s">
        <v>7120</v>
      </c>
      <c r="D643" s="140" t="s">
        <v>6601</v>
      </c>
      <c r="E643" s="140" t="s">
        <v>526</v>
      </c>
      <c r="F643" s="140" t="s">
        <v>175</v>
      </c>
      <c r="G643" s="141" t="s">
        <v>6401</v>
      </c>
      <c r="H643" s="140" t="s">
        <v>6312</v>
      </c>
      <c r="I643" s="140" t="s">
        <v>6313</v>
      </c>
      <c r="J643" s="140" t="s">
        <v>6314</v>
      </c>
      <c r="K643" s="140" t="s">
        <v>7088</v>
      </c>
    </row>
    <row r="644">
      <c r="A644" s="140" t="s">
        <v>7085</v>
      </c>
      <c r="B644" s="143">
        <v>6.90222E12</v>
      </c>
      <c r="C644" s="140" t="s">
        <v>7121</v>
      </c>
      <c r="D644" s="140" t="s">
        <v>6601</v>
      </c>
      <c r="E644" s="140" t="s">
        <v>526</v>
      </c>
      <c r="F644" s="140" t="s">
        <v>175</v>
      </c>
      <c r="G644" s="141" t="s">
        <v>6401</v>
      </c>
      <c r="H644" s="140" t="s">
        <v>6312</v>
      </c>
      <c r="I644" s="140" t="s">
        <v>6313</v>
      </c>
      <c r="J644" s="140" t="s">
        <v>6314</v>
      </c>
      <c r="K644" s="140" t="s">
        <v>7088</v>
      </c>
    </row>
    <row r="645">
      <c r="A645" s="140" t="s">
        <v>7085</v>
      </c>
      <c r="B645" s="143">
        <v>6.90222E12</v>
      </c>
      <c r="C645" s="140" t="s">
        <v>7122</v>
      </c>
      <c r="D645" s="140" t="s">
        <v>6601</v>
      </c>
      <c r="E645" s="140" t="s">
        <v>526</v>
      </c>
      <c r="F645" s="140" t="s">
        <v>175</v>
      </c>
      <c r="G645" s="141" t="s">
        <v>6401</v>
      </c>
      <c r="H645" s="140" t="s">
        <v>6312</v>
      </c>
      <c r="I645" s="140" t="s">
        <v>6313</v>
      </c>
      <c r="J645" s="140" t="s">
        <v>6314</v>
      </c>
      <c r="K645" s="140" t="s">
        <v>7088</v>
      </c>
    </row>
    <row r="646">
      <c r="A646" s="140" t="s">
        <v>7085</v>
      </c>
      <c r="B646" s="143">
        <v>6.90222E12</v>
      </c>
      <c r="C646" s="140" t="s">
        <v>7123</v>
      </c>
      <c r="D646" s="140" t="s">
        <v>6601</v>
      </c>
      <c r="E646" s="140" t="s">
        <v>526</v>
      </c>
      <c r="F646" s="140" t="s">
        <v>175</v>
      </c>
      <c r="G646" s="141" t="s">
        <v>6401</v>
      </c>
      <c r="H646" s="140" t="s">
        <v>6312</v>
      </c>
      <c r="I646" s="140" t="s">
        <v>6313</v>
      </c>
      <c r="J646" s="140" t="s">
        <v>6314</v>
      </c>
      <c r="K646" s="140" t="s">
        <v>7088</v>
      </c>
    </row>
    <row r="647">
      <c r="A647" s="140" t="s">
        <v>7085</v>
      </c>
      <c r="B647" s="140">
        <v>2.2130608802E10</v>
      </c>
      <c r="C647" s="140" t="s">
        <v>7124</v>
      </c>
      <c r="D647" s="140" t="s">
        <v>6601</v>
      </c>
      <c r="E647" s="140" t="s">
        <v>526</v>
      </c>
      <c r="F647" s="140" t="s">
        <v>175</v>
      </c>
      <c r="G647" s="141" t="s">
        <v>6401</v>
      </c>
      <c r="H647" s="140" t="s">
        <v>6312</v>
      </c>
      <c r="I647" s="140" t="s">
        <v>6313</v>
      </c>
      <c r="J647" s="140" t="s">
        <v>6314</v>
      </c>
      <c r="K647" s="140" t="s">
        <v>7088</v>
      </c>
    </row>
    <row r="648">
      <c r="A648" s="140" t="s">
        <v>7085</v>
      </c>
      <c r="B648" s="143">
        <v>6.90222E12</v>
      </c>
      <c r="C648" s="140" t="s">
        <v>7125</v>
      </c>
      <c r="D648" s="140" t="s">
        <v>6601</v>
      </c>
      <c r="E648" s="140" t="s">
        <v>526</v>
      </c>
      <c r="F648" s="140" t="s">
        <v>175</v>
      </c>
      <c r="G648" s="141" t="s">
        <v>6401</v>
      </c>
      <c r="H648" s="140" t="s">
        <v>6312</v>
      </c>
      <c r="I648" s="140" t="s">
        <v>6313</v>
      </c>
      <c r="J648" s="140" t="s">
        <v>6314</v>
      </c>
      <c r="K648" s="140" t="s">
        <v>7088</v>
      </c>
    </row>
    <row r="649">
      <c r="A649" s="140" t="s">
        <v>7085</v>
      </c>
      <c r="B649" s="143">
        <v>6.90222E12</v>
      </c>
      <c r="C649" s="140" t="s">
        <v>7126</v>
      </c>
      <c r="D649" s="140" t="s">
        <v>6601</v>
      </c>
      <c r="E649" s="140" t="s">
        <v>526</v>
      </c>
      <c r="F649" s="140" t="s">
        <v>175</v>
      </c>
      <c r="G649" s="141" t="s">
        <v>6401</v>
      </c>
      <c r="H649" s="140" t="s">
        <v>6312</v>
      </c>
      <c r="I649" s="140" t="s">
        <v>6313</v>
      </c>
      <c r="J649" s="140" t="s">
        <v>6314</v>
      </c>
      <c r="K649" s="140" t="s">
        <v>7088</v>
      </c>
    </row>
    <row r="650">
      <c r="A650" s="140" t="s">
        <v>7085</v>
      </c>
      <c r="B650" s="143">
        <v>6.90222E12</v>
      </c>
      <c r="C650" s="140" t="s">
        <v>7127</v>
      </c>
      <c r="D650" s="140" t="s">
        <v>6601</v>
      </c>
      <c r="E650" s="140" t="s">
        <v>526</v>
      </c>
      <c r="F650" s="140" t="s">
        <v>175</v>
      </c>
      <c r="G650" s="141" t="s">
        <v>6401</v>
      </c>
      <c r="H650" s="140" t="s">
        <v>6312</v>
      </c>
      <c r="I650" s="140" t="s">
        <v>6313</v>
      </c>
      <c r="J650" s="140" t="s">
        <v>6314</v>
      </c>
      <c r="K650" s="140" t="s">
        <v>7088</v>
      </c>
    </row>
    <row r="651">
      <c r="A651" s="140" t="s">
        <v>7085</v>
      </c>
      <c r="B651" s="143">
        <v>6.90222E12</v>
      </c>
      <c r="C651" s="140" t="s">
        <v>7128</v>
      </c>
      <c r="D651" s="140" t="s">
        <v>6601</v>
      </c>
      <c r="E651" s="140" t="s">
        <v>526</v>
      </c>
      <c r="F651" s="140" t="s">
        <v>175</v>
      </c>
      <c r="G651" s="141" t="s">
        <v>6401</v>
      </c>
      <c r="H651" s="140" t="s">
        <v>6312</v>
      </c>
      <c r="I651" s="140" t="s">
        <v>6313</v>
      </c>
      <c r="J651" s="140" t="s">
        <v>6314</v>
      </c>
      <c r="K651" s="140" t="s">
        <v>7088</v>
      </c>
    </row>
    <row r="652">
      <c r="A652" s="140" t="s">
        <v>7085</v>
      </c>
      <c r="B652" s="143">
        <v>6.90222E12</v>
      </c>
      <c r="C652" s="140" t="s">
        <v>7129</v>
      </c>
      <c r="D652" s="140" t="s">
        <v>6601</v>
      </c>
      <c r="E652" s="140" t="s">
        <v>526</v>
      </c>
      <c r="F652" s="140" t="s">
        <v>175</v>
      </c>
      <c r="G652" s="141" t="s">
        <v>6401</v>
      </c>
      <c r="H652" s="140" t="s">
        <v>6312</v>
      </c>
      <c r="I652" s="140" t="s">
        <v>6313</v>
      </c>
      <c r="J652" s="140" t="s">
        <v>6314</v>
      </c>
      <c r="K652" s="140" t="s">
        <v>7088</v>
      </c>
    </row>
    <row r="653">
      <c r="A653" s="140" t="s">
        <v>7085</v>
      </c>
      <c r="B653" s="143">
        <v>6.90222E12</v>
      </c>
      <c r="C653" s="140" t="s">
        <v>7130</v>
      </c>
      <c r="D653" s="140" t="s">
        <v>6601</v>
      </c>
      <c r="E653" s="140" t="s">
        <v>526</v>
      </c>
      <c r="F653" s="140" t="s">
        <v>175</v>
      </c>
      <c r="G653" s="141" t="s">
        <v>6401</v>
      </c>
      <c r="H653" s="140" t="s">
        <v>6312</v>
      </c>
      <c r="I653" s="140" t="s">
        <v>6313</v>
      </c>
      <c r="J653" s="140" t="s">
        <v>6314</v>
      </c>
      <c r="K653" s="140" t="s">
        <v>7088</v>
      </c>
    </row>
    <row r="654">
      <c r="A654" s="140" t="s">
        <v>7085</v>
      </c>
      <c r="B654" s="140">
        <v>2.2130608806E10</v>
      </c>
      <c r="C654" s="140" t="s">
        <v>7131</v>
      </c>
      <c r="D654" s="140" t="s">
        <v>6601</v>
      </c>
      <c r="E654" s="140" t="s">
        <v>526</v>
      </c>
      <c r="F654" s="140" t="s">
        <v>175</v>
      </c>
      <c r="G654" s="141" t="s">
        <v>6401</v>
      </c>
      <c r="H654" s="140" t="s">
        <v>6312</v>
      </c>
      <c r="I654" s="140" t="s">
        <v>6313</v>
      </c>
      <c r="J654" s="140" t="s">
        <v>6314</v>
      </c>
      <c r="K654" s="140" t="s">
        <v>7088</v>
      </c>
    </row>
    <row r="655">
      <c r="A655" s="140" t="s">
        <v>7085</v>
      </c>
      <c r="B655" s="140">
        <v>2.2130608808E10</v>
      </c>
      <c r="C655" s="140" t="s">
        <v>7132</v>
      </c>
      <c r="D655" s="140" t="s">
        <v>6601</v>
      </c>
      <c r="E655" s="140" t="s">
        <v>526</v>
      </c>
      <c r="F655" s="140" t="s">
        <v>175</v>
      </c>
      <c r="G655" s="141" t="s">
        <v>6401</v>
      </c>
      <c r="H655" s="140" t="s">
        <v>6312</v>
      </c>
      <c r="I655" s="140" t="s">
        <v>6313</v>
      </c>
      <c r="J655" s="140" t="s">
        <v>6314</v>
      </c>
      <c r="K655" s="140" t="s">
        <v>7088</v>
      </c>
    </row>
    <row r="656">
      <c r="A656" s="140" t="s">
        <v>7085</v>
      </c>
      <c r="B656" s="143">
        <v>6.90222E12</v>
      </c>
      <c r="C656" s="140" t="s">
        <v>7133</v>
      </c>
      <c r="D656" s="140" t="s">
        <v>6601</v>
      </c>
      <c r="E656" s="140" t="s">
        <v>526</v>
      </c>
      <c r="F656" s="140" t="s">
        <v>591</v>
      </c>
      <c r="G656" s="141" t="s">
        <v>6401</v>
      </c>
      <c r="H656" s="140" t="s">
        <v>6312</v>
      </c>
      <c r="I656" s="140" t="s">
        <v>6313</v>
      </c>
      <c r="J656" s="140" t="s">
        <v>6314</v>
      </c>
      <c r="K656" s="140" t="s">
        <v>7088</v>
      </c>
    </row>
    <row r="657">
      <c r="A657" s="140" t="s">
        <v>7085</v>
      </c>
      <c r="B657" s="143">
        <v>6.90222E12</v>
      </c>
      <c r="C657" s="140" t="s">
        <v>7134</v>
      </c>
      <c r="D657" s="140" t="s">
        <v>6601</v>
      </c>
      <c r="E657" s="140" t="s">
        <v>526</v>
      </c>
      <c r="F657" s="140" t="s">
        <v>591</v>
      </c>
      <c r="G657" s="141" t="s">
        <v>6401</v>
      </c>
      <c r="H657" s="140" t="s">
        <v>6312</v>
      </c>
      <c r="I657" s="140" t="s">
        <v>6313</v>
      </c>
      <c r="J657" s="140" t="s">
        <v>6314</v>
      </c>
      <c r="K657" s="140" t="s">
        <v>7088</v>
      </c>
    </row>
    <row r="658">
      <c r="A658" s="140" t="s">
        <v>7085</v>
      </c>
      <c r="B658" s="143">
        <v>6.90222E12</v>
      </c>
      <c r="C658" s="140" t="s">
        <v>7135</v>
      </c>
      <c r="D658" s="140" t="s">
        <v>6601</v>
      </c>
      <c r="E658" s="140" t="s">
        <v>526</v>
      </c>
      <c r="F658" s="140" t="s">
        <v>591</v>
      </c>
      <c r="G658" s="141" t="s">
        <v>6401</v>
      </c>
      <c r="H658" s="140" t="s">
        <v>6312</v>
      </c>
      <c r="I658" s="140" t="s">
        <v>6313</v>
      </c>
      <c r="J658" s="140" t="s">
        <v>6314</v>
      </c>
      <c r="K658" s="140" t="s">
        <v>7088</v>
      </c>
    </row>
    <row r="659">
      <c r="A659" s="140" t="s">
        <v>7085</v>
      </c>
      <c r="B659" s="143">
        <v>6.90222E12</v>
      </c>
      <c r="C659" s="140" t="s">
        <v>7136</v>
      </c>
      <c r="D659" s="140" t="s">
        <v>6601</v>
      </c>
      <c r="E659" s="140" t="s">
        <v>526</v>
      </c>
      <c r="F659" s="140" t="s">
        <v>591</v>
      </c>
      <c r="G659" s="141" t="s">
        <v>6401</v>
      </c>
      <c r="H659" s="140" t="s">
        <v>6312</v>
      </c>
      <c r="I659" s="140" t="s">
        <v>6313</v>
      </c>
      <c r="J659" s="140" t="s">
        <v>6314</v>
      </c>
      <c r="K659" s="140" t="s">
        <v>7088</v>
      </c>
    </row>
    <row r="660">
      <c r="A660" s="140" t="s">
        <v>7085</v>
      </c>
      <c r="B660" s="143">
        <v>6.90222E12</v>
      </c>
      <c r="C660" s="140" t="s">
        <v>7137</v>
      </c>
      <c r="D660" s="140" t="s">
        <v>6601</v>
      </c>
      <c r="E660" s="140" t="s">
        <v>526</v>
      </c>
      <c r="F660" s="140" t="s">
        <v>591</v>
      </c>
      <c r="G660" s="141" t="s">
        <v>6401</v>
      </c>
      <c r="H660" s="140" t="s">
        <v>6312</v>
      </c>
      <c r="I660" s="140" t="s">
        <v>6313</v>
      </c>
      <c r="J660" s="140" t="s">
        <v>6314</v>
      </c>
      <c r="K660" s="140" t="s">
        <v>7088</v>
      </c>
    </row>
    <row r="661">
      <c r="A661" s="140" t="s">
        <v>7085</v>
      </c>
      <c r="B661" s="143">
        <v>6.90222E12</v>
      </c>
      <c r="C661" s="140" t="s">
        <v>7138</v>
      </c>
      <c r="D661" s="140" t="s">
        <v>6601</v>
      </c>
      <c r="E661" s="140" t="s">
        <v>526</v>
      </c>
      <c r="F661" s="140" t="s">
        <v>7139</v>
      </c>
      <c r="G661" s="141" t="s">
        <v>6401</v>
      </c>
      <c r="H661" s="140" t="s">
        <v>6312</v>
      </c>
      <c r="I661" s="140" t="s">
        <v>6313</v>
      </c>
      <c r="J661" s="140" t="s">
        <v>6314</v>
      </c>
      <c r="K661" s="140" t="s">
        <v>7088</v>
      </c>
    </row>
    <row r="662">
      <c r="A662" s="140" t="s">
        <v>7085</v>
      </c>
      <c r="B662" s="143">
        <v>6.90222E12</v>
      </c>
      <c r="C662" s="140" t="s">
        <v>7140</v>
      </c>
      <c r="D662" s="140" t="s">
        <v>6318</v>
      </c>
      <c r="E662" s="140" t="s">
        <v>598</v>
      </c>
      <c r="F662" s="140" t="s">
        <v>6338</v>
      </c>
      <c r="G662" s="141" t="s">
        <v>6401</v>
      </c>
      <c r="H662" s="140" t="s">
        <v>6312</v>
      </c>
      <c r="I662" s="140" t="s">
        <v>6313</v>
      </c>
      <c r="J662" s="140" t="s">
        <v>6314</v>
      </c>
      <c r="K662" s="140" t="s">
        <v>7088</v>
      </c>
    </row>
    <row r="663">
      <c r="A663" s="140" t="s">
        <v>7085</v>
      </c>
      <c r="B663" s="143">
        <v>6.90222E12</v>
      </c>
      <c r="C663" s="140" t="s">
        <v>7141</v>
      </c>
      <c r="D663" s="140" t="s">
        <v>6318</v>
      </c>
      <c r="E663" s="140" t="s">
        <v>598</v>
      </c>
      <c r="F663" s="140" t="s">
        <v>6338</v>
      </c>
      <c r="G663" s="141" t="s">
        <v>6401</v>
      </c>
      <c r="H663" s="140" t="s">
        <v>6312</v>
      </c>
      <c r="I663" s="140" t="s">
        <v>6313</v>
      </c>
      <c r="J663" s="140" t="s">
        <v>6314</v>
      </c>
      <c r="K663" s="140" t="s">
        <v>7088</v>
      </c>
    </row>
    <row r="664">
      <c r="A664" s="140" t="s">
        <v>7085</v>
      </c>
      <c r="B664" s="143">
        <v>6.90222E12</v>
      </c>
      <c r="C664" s="140" t="s">
        <v>7142</v>
      </c>
      <c r="D664" s="140" t="s">
        <v>6318</v>
      </c>
      <c r="E664" s="140" t="s">
        <v>598</v>
      </c>
      <c r="F664" s="140" t="s">
        <v>599</v>
      </c>
      <c r="G664" s="141" t="s">
        <v>6401</v>
      </c>
      <c r="H664" s="140" t="s">
        <v>6312</v>
      </c>
      <c r="I664" s="140" t="s">
        <v>6313</v>
      </c>
      <c r="J664" s="140" t="s">
        <v>6314</v>
      </c>
      <c r="K664" s="140" t="s">
        <v>7088</v>
      </c>
    </row>
    <row r="665">
      <c r="A665" s="140" t="s">
        <v>7085</v>
      </c>
      <c r="B665" s="143">
        <v>6.90222E12</v>
      </c>
      <c r="C665" s="140" t="s">
        <v>7143</v>
      </c>
      <c r="D665" s="140" t="s">
        <v>6318</v>
      </c>
      <c r="E665" s="140" t="s">
        <v>598</v>
      </c>
      <c r="F665" s="140" t="s">
        <v>599</v>
      </c>
      <c r="G665" s="141" t="s">
        <v>6401</v>
      </c>
      <c r="H665" s="140" t="s">
        <v>6312</v>
      </c>
      <c r="I665" s="140" t="s">
        <v>6313</v>
      </c>
      <c r="J665" s="140" t="s">
        <v>6314</v>
      </c>
      <c r="K665" s="140" t="s">
        <v>7088</v>
      </c>
    </row>
    <row r="666">
      <c r="A666" s="140" t="s">
        <v>7085</v>
      </c>
      <c r="B666" s="143">
        <v>6.90222E12</v>
      </c>
      <c r="C666" s="140" t="s">
        <v>7144</v>
      </c>
      <c r="D666" s="140" t="s">
        <v>6601</v>
      </c>
      <c r="E666" s="140" t="s">
        <v>165</v>
      </c>
      <c r="F666" s="140" t="s">
        <v>166</v>
      </c>
      <c r="G666" s="141" t="s">
        <v>6401</v>
      </c>
      <c r="H666" s="140" t="s">
        <v>6312</v>
      </c>
      <c r="I666" s="140" t="s">
        <v>6313</v>
      </c>
      <c r="J666" s="140" t="s">
        <v>6314</v>
      </c>
      <c r="K666" s="140" t="s">
        <v>7088</v>
      </c>
    </row>
    <row r="667">
      <c r="A667" s="140" t="s">
        <v>7085</v>
      </c>
      <c r="B667" s="143">
        <v>6.90222E12</v>
      </c>
      <c r="C667" s="140" t="s">
        <v>7145</v>
      </c>
      <c r="D667" s="140" t="s">
        <v>6601</v>
      </c>
      <c r="E667" s="140" t="s">
        <v>165</v>
      </c>
      <c r="F667" s="140" t="s">
        <v>166</v>
      </c>
      <c r="G667" s="141" t="s">
        <v>6401</v>
      </c>
      <c r="H667" s="140" t="s">
        <v>6312</v>
      </c>
      <c r="I667" s="140" t="s">
        <v>6313</v>
      </c>
      <c r="J667" s="140" t="s">
        <v>6314</v>
      </c>
      <c r="K667" s="140" t="s">
        <v>7088</v>
      </c>
    </row>
    <row r="668">
      <c r="A668" s="140" t="s">
        <v>7085</v>
      </c>
      <c r="B668" s="143">
        <v>6.90222E12</v>
      </c>
      <c r="C668" s="140" t="s">
        <v>7146</v>
      </c>
      <c r="D668" s="140" t="s">
        <v>6601</v>
      </c>
      <c r="E668" s="140" t="s">
        <v>165</v>
      </c>
      <c r="F668" s="140" t="s">
        <v>166</v>
      </c>
      <c r="G668" s="141" t="s">
        <v>6401</v>
      </c>
      <c r="H668" s="140" t="s">
        <v>6312</v>
      </c>
      <c r="I668" s="140" t="s">
        <v>6313</v>
      </c>
      <c r="J668" s="140" t="s">
        <v>6314</v>
      </c>
      <c r="K668" s="140" t="s">
        <v>7088</v>
      </c>
    </row>
    <row r="669">
      <c r="A669" s="140" t="s">
        <v>7085</v>
      </c>
      <c r="B669" s="143">
        <v>6.90222E12</v>
      </c>
      <c r="C669" s="140" t="s">
        <v>7147</v>
      </c>
      <c r="D669" s="140" t="s">
        <v>6318</v>
      </c>
      <c r="E669" s="140" t="s">
        <v>1301</v>
      </c>
      <c r="F669" s="140" t="s">
        <v>735</v>
      </c>
      <c r="G669" s="141" t="s">
        <v>6401</v>
      </c>
      <c r="H669" s="140" t="s">
        <v>6312</v>
      </c>
      <c r="I669" s="140" t="s">
        <v>6313</v>
      </c>
      <c r="J669" s="140" t="s">
        <v>6314</v>
      </c>
      <c r="K669" s="140" t="s">
        <v>7088</v>
      </c>
    </row>
    <row r="670">
      <c r="A670" s="140" t="s">
        <v>7085</v>
      </c>
      <c r="B670" s="143">
        <v>6.90222E12</v>
      </c>
      <c r="C670" s="140" t="s">
        <v>7148</v>
      </c>
      <c r="D670" s="140" t="s">
        <v>6318</v>
      </c>
      <c r="E670" s="140" t="s">
        <v>1301</v>
      </c>
      <c r="F670" s="140" t="s">
        <v>735</v>
      </c>
      <c r="G670" s="141" t="s">
        <v>6401</v>
      </c>
      <c r="H670" s="140" t="s">
        <v>6312</v>
      </c>
      <c r="I670" s="140" t="s">
        <v>6313</v>
      </c>
      <c r="J670" s="140" t="s">
        <v>6314</v>
      </c>
      <c r="K670" s="140" t="s">
        <v>7088</v>
      </c>
    </row>
    <row r="671">
      <c r="A671" s="140" t="s">
        <v>7149</v>
      </c>
      <c r="B671" s="140" t="s">
        <v>7150</v>
      </c>
      <c r="C671" s="140" t="s">
        <v>7151</v>
      </c>
      <c r="D671" s="140" t="s">
        <v>6318</v>
      </c>
      <c r="E671" s="140">
        <v>0.0</v>
      </c>
      <c r="F671" s="140" t="s">
        <v>7152</v>
      </c>
      <c r="G671" s="141" t="s">
        <v>6401</v>
      </c>
      <c r="H671" s="140" t="s">
        <v>6312</v>
      </c>
      <c r="I671" s="140" t="s">
        <v>6313</v>
      </c>
      <c r="J671" s="140" t="s">
        <v>6314</v>
      </c>
      <c r="K671" s="140" t="s">
        <v>6603</v>
      </c>
    </row>
    <row r="672">
      <c r="A672" s="140" t="s">
        <v>7149</v>
      </c>
      <c r="B672" s="140" t="s">
        <v>7153</v>
      </c>
      <c r="C672" s="140" t="s">
        <v>7154</v>
      </c>
      <c r="D672" s="140" t="s">
        <v>6318</v>
      </c>
      <c r="E672" s="140">
        <v>0.0</v>
      </c>
      <c r="F672" s="140" t="s">
        <v>7152</v>
      </c>
      <c r="G672" s="141" t="s">
        <v>6401</v>
      </c>
      <c r="H672" s="140" t="s">
        <v>6312</v>
      </c>
      <c r="I672" s="140" t="s">
        <v>6313</v>
      </c>
      <c r="J672" s="140" t="s">
        <v>6314</v>
      </c>
      <c r="K672" s="140" t="s">
        <v>6603</v>
      </c>
    </row>
    <row r="673">
      <c r="A673" s="140" t="s">
        <v>7149</v>
      </c>
      <c r="B673" s="140" t="s">
        <v>7155</v>
      </c>
      <c r="C673" s="140" t="s">
        <v>7156</v>
      </c>
      <c r="D673" s="140" t="s">
        <v>6318</v>
      </c>
      <c r="E673" s="140">
        <v>0.0</v>
      </c>
      <c r="F673" s="140" t="s">
        <v>7152</v>
      </c>
      <c r="G673" s="141" t="s">
        <v>6401</v>
      </c>
      <c r="H673" s="140" t="s">
        <v>6312</v>
      </c>
      <c r="I673" s="140" t="s">
        <v>6313</v>
      </c>
      <c r="J673" s="140" t="s">
        <v>6314</v>
      </c>
      <c r="K673" s="140" t="s">
        <v>6603</v>
      </c>
    </row>
    <row r="674">
      <c r="A674" s="140" t="s">
        <v>7149</v>
      </c>
      <c r="B674" s="140" t="s">
        <v>7157</v>
      </c>
      <c r="C674" s="140" t="s">
        <v>7158</v>
      </c>
      <c r="D674" s="140" t="s">
        <v>6318</v>
      </c>
      <c r="E674" s="140">
        <v>0.0</v>
      </c>
      <c r="F674" s="140" t="s">
        <v>7152</v>
      </c>
      <c r="G674" s="141" t="s">
        <v>6401</v>
      </c>
      <c r="H674" s="140" t="s">
        <v>6312</v>
      </c>
      <c r="I674" s="140" t="s">
        <v>6313</v>
      </c>
      <c r="J674" s="140" t="s">
        <v>6314</v>
      </c>
      <c r="K674" s="140" t="s">
        <v>6603</v>
      </c>
    </row>
    <row r="675">
      <c r="A675" s="140" t="s">
        <v>7149</v>
      </c>
      <c r="B675" s="140" t="s">
        <v>7159</v>
      </c>
      <c r="C675" s="140" t="s">
        <v>7160</v>
      </c>
      <c r="D675" s="140" t="s">
        <v>6318</v>
      </c>
      <c r="E675" s="140">
        <v>0.0</v>
      </c>
      <c r="F675" s="140" t="s">
        <v>7152</v>
      </c>
      <c r="G675" s="141" t="s">
        <v>6401</v>
      </c>
      <c r="H675" s="140" t="s">
        <v>6312</v>
      </c>
      <c r="I675" s="140" t="s">
        <v>6313</v>
      </c>
      <c r="J675" s="140" t="s">
        <v>6314</v>
      </c>
      <c r="K675" s="140" t="s">
        <v>6603</v>
      </c>
    </row>
    <row r="676">
      <c r="A676" s="140" t="s">
        <v>7149</v>
      </c>
      <c r="B676" s="140" t="s">
        <v>7161</v>
      </c>
      <c r="C676" s="140" t="s">
        <v>7162</v>
      </c>
      <c r="D676" s="140" t="s">
        <v>6318</v>
      </c>
      <c r="E676" s="140">
        <v>0.0</v>
      </c>
      <c r="F676" s="140" t="s">
        <v>7152</v>
      </c>
      <c r="G676" s="141" t="s">
        <v>6401</v>
      </c>
      <c r="H676" s="140" t="s">
        <v>6312</v>
      </c>
      <c r="I676" s="140" t="s">
        <v>6313</v>
      </c>
      <c r="J676" s="140" t="s">
        <v>6314</v>
      </c>
      <c r="K676" s="140" t="s">
        <v>6603</v>
      </c>
    </row>
    <row r="677">
      <c r="A677" s="140" t="s">
        <v>7149</v>
      </c>
      <c r="B677" s="140" t="s">
        <v>7163</v>
      </c>
      <c r="C677" s="140" t="s">
        <v>7164</v>
      </c>
      <c r="D677" s="140" t="s">
        <v>6318</v>
      </c>
      <c r="E677" s="140">
        <v>0.0</v>
      </c>
      <c r="F677" s="140" t="s">
        <v>7165</v>
      </c>
      <c r="G677" s="141" t="s">
        <v>6401</v>
      </c>
      <c r="H677" s="140" t="s">
        <v>6312</v>
      </c>
      <c r="I677" s="140" t="s">
        <v>6313</v>
      </c>
      <c r="J677" s="140" t="s">
        <v>6314</v>
      </c>
      <c r="K677" s="140" t="s">
        <v>6603</v>
      </c>
    </row>
    <row r="678">
      <c r="A678" s="140" t="s">
        <v>7149</v>
      </c>
      <c r="B678" s="140" t="s">
        <v>7166</v>
      </c>
      <c r="C678" s="140" t="s">
        <v>7167</v>
      </c>
      <c r="D678" s="140" t="s">
        <v>6318</v>
      </c>
      <c r="E678" s="140" t="s">
        <v>6323</v>
      </c>
      <c r="F678" s="140" t="s">
        <v>5739</v>
      </c>
      <c r="G678" s="141" t="s">
        <v>6401</v>
      </c>
      <c r="H678" s="140" t="s">
        <v>6312</v>
      </c>
      <c r="I678" s="140" t="s">
        <v>6313</v>
      </c>
      <c r="J678" s="140" t="s">
        <v>6314</v>
      </c>
      <c r="K678" s="140" t="s">
        <v>6603</v>
      </c>
    </row>
    <row r="679">
      <c r="A679" s="140" t="s">
        <v>7149</v>
      </c>
      <c r="B679" s="140" t="s">
        <v>7168</v>
      </c>
      <c r="C679" s="140" t="s">
        <v>7169</v>
      </c>
      <c r="D679" s="140" t="s">
        <v>6318</v>
      </c>
      <c r="E679" s="140" t="s">
        <v>6323</v>
      </c>
      <c r="F679" s="140" t="s">
        <v>5739</v>
      </c>
      <c r="G679" s="141" t="s">
        <v>6401</v>
      </c>
      <c r="H679" s="140" t="s">
        <v>6312</v>
      </c>
      <c r="I679" s="140" t="s">
        <v>6313</v>
      </c>
      <c r="J679" s="140" t="s">
        <v>6314</v>
      </c>
      <c r="K679" s="140" t="s">
        <v>6603</v>
      </c>
    </row>
    <row r="680">
      <c r="A680" s="140" t="s">
        <v>7149</v>
      </c>
      <c r="B680" s="140" t="s">
        <v>7170</v>
      </c>
      <c r="C680" s="140" t="s">
        <v>7171</v>
      </c>
      <c r="D680" s="140" t="s">
        <v>6318</v>
      </c>
      <c r="E680" s="140" t="s">
        <v>6323</v>
      </c>
      <c r="F680" s="140" t="s">
        <v>5739</v>
      </c>
      <c r="G680" s="141" t="s">
        <v>6401</v>
      </c>
      <c r="H680" s="140" t="s">
        <v>6312</v>
      </c>
      <c r="I680" s="140" t="s">
        <v>6313</v>
      </c>
      <c r="J680" s="140" t="s">
        <v>6314</v>
      </c>
      <c r="K680" s="140" t="s">
        <v>6603</v>
      </c>
    </row>
    <row r="681">
      <c r="A681" s="140" t="s">
        <v>7149</v>
      </c>
      <c r="B681" s="140" t="s">
        <v>7172</v>
      </c>
      <c r="C681" s="140" t="s">
        <v>7173</v>
      </c>
      <c r="D681" s="140" t="s">
        <v>6318</v>
      </c>
      <c r="E681" s="140" t="s">
        <v>6323</v>
      </c>
      <c r="F681" s="140" t="s">
        <v>7174</v>
      </c>
      <c r="G681" s="141" t="s">
        <v>6401</v>
      </c>
      <c r="H681" s="140" t="s">
        <v>6312</v>
      </c>
      <c r="I681" s="140" t="s">
        <v>6313</v>
      </c>
      <c r="J681" s="140" t="s">
        <v>6314</v>
      </c>
      <c r="K681" s="140" t="s">
        <v>6603</v>
      </c>
    </row>
    <row r="682">
      <c r="A682" s="140" t="s">
        <v>7149</v>
      </c>
      <c r="B682" s="140" t="s">
        <v>7175</v>
      </c>
      <c r="C682" s="140" t="s">
        <v>7176</v>
      </c>
      <c r="D682" s="140" t="s">
        <v>6318</v>
      </c>
      <c r="E682" s="140" t="s">
        <v>6323</v>
      </c>
      <c r="F682" s="140" t="s">
        <v>5752</v>
      </c>
      <c r="G682" s="141" t="s">
        <v>6401</v>
      </c>
      <c r="H682" s="140" t="s">
        <v>6312</v>
      </c>
      <c r="I682" s="140" t="s">
        <v>6313</v>
      </c>
      <c r="J682" s="140" t="s">
        <v>6314</v>
      </c>
      <c r="K682" s="140" t="s">
        <v>6603</v>
      </c>
    </row>
    <row r="683">
      <c r="A683" s="140" t="s">
        <v>7149</v>
      </c>
      <c r="B683" s="140" t="s">
        <v>3532</v>
      </c>
      <c r="C683" s="140" t="s">
        <v>7177</v>
      </c>
      <c r="D683" s="140" t="s">
        <v>6318</v>
      </c>
      <c r="E683" s="140" t="s">
        <v>6323</v>
      </c>
      <c r="F683" s="140" t="s">
        <v>5752</v>
      </c>
      <c r="G683" s="141" t="s">
        <v>6401</v>
      </c>
      <c r="H683" s="140" t="s">
        <v>6312</v>
      </c>
      <c r="I683" s="140" t="s">
        <v>6313</v>
      </c>
      <c r="J683" s="140" t="s">
        <v>6314</v>
      </c>
      <c r="K683" s="140" t="s">
        <v>6603</v>
      </c>
    </row>
    <row r="684">
      <c r="A684" s="140" t="s">
        <v>7149</v>
      </c>
      <c r="B684" s="140" t="s">
        <v>7178</v>
      </c>
      <c r="C684" s="140" t="s">
        <v>7179</v>
      </c>
      <c r="D684" s="140" t="s">
        <v>6318</v>
      </c>
      <c r="E684" s="140" t="s">
        <v>6323</v>
      </c>
      <c r="F684" s="140" t="s">
        <v>5752</v>
      </c>
      <c r="G684" s="141" t="s">
        <v>6401</v>
      </c>
      <c r="H684" s="140" t="s">
        <v>6312</v>
      </c>
      <c r="I684" s="140" t="s">
        <v>6313</v>
      </c>
      <c r="J684" s="140" t="s">
        <v>6314</v>
      </c>
      <c r="K684" s="140" t="s">
        <v>6603</v>
      </c>
    </row>
    <row r="685">
      <c r="A685" s="140" t="s">
        <v>7149</v>
      </c>
      <c r="B685" s="140" t="s">
        <v>7180</v>
      </c>
      <c r="C685" s="140" t="s">
        <v>7181</v>
      </c>
      <c r="D685" s="140" t="s">
        <v>6318</v>
      </c>
      <c r="E685" s="140" t="s">
        <v>6323</v>
      </c>
      <c r="F685" s="140" t="s">
        <v>5752</v>
      </c>
      <c r="G685" s="141" t="s">
        <v>6401</v>
      </c>
      <c r="H685" s="140" t="s">
        <v>6312</v>
      </c>
      <c r="I685" s="140" t="s">
        <v>6313</v>
      </c>
      <c r="J685" s="140" t="s">
        <v>6314</v>
      </c>
      <c r="K685" s="140" t="s">
        <v>6603</v>
      </c>
    </row>
    <row r="686">
      <c r="A686" s="140" t="s">
        <v>7149</v>
      </c>
      <c r="B686" s="140" t="s">
        <v>7182</v>
      </c>
      <c r="C686" s="140" t="s">
        <v>7183</v>
      </c>
      <c r="D686" s="140" t="s">
        <v>6318</v>
      </c>
      <c r="E686" s="140" t="s">
        <v>6323</v>
      </c>
      <c r="F686" s="140" t="s">
        <v>5752</v>
      </c>
      <c r="G686" s="141" t="s">
        <v>6401</v>
      </c>
      <c r="H686" s="140" t="s">
        <v>6312</v>
      </c>
      <c r="I686" s="140" t="s">
        <v>6313</v>
      </c>
      <c r="J686" s="140" t="s">
        <v>6314</v>
      </c>
      <c r="K686" s="140" t="s">
        <v>6603</v>
      </c>
    </row>
    <row r="687">
      <c r="A687" s="140" t="s">
        <v>7149</v>
      </c>
      <c r="B687" s="140" t="s">
        <v>7184</v>
      </c>
      <c r="C687" s="140" t="s">
        <v>7185</v>
      </c>
      <c r="D687" s="140" t="s">
        <v>6318</v>
      </c>
      <c r="E687" s="140" t="s">
        <v>6323</v>
      </c>
      <c r="F687" s="140" t="s">
        <v>5752</v>
      </c>
      <c r="G687" s="141" t="s">
        <v>6401</v>
      </c>
      <c r="H687" s="140" t="s">
        <v>6312</v>
      </c>
      <c r="I687" s="140" t="s">
        <v>6313</v>
      </c>
      <c r="J687" s="140" t="s">
        <v>6314</v>
      </c>
      <c r="K687" s="140" t="s">
        <v>6603</v>
      </c>
    </row>
    <row r="688">
      <c r="A688" s="140" t="s">
        <v>7149</v>
      </c>
      <c r="B688" s="140" t="s">
        <v>3316</v>
      </c>
      <c r="C688" s="140" t="s">
        <v>7186</v>
      </c>
      <c r="D688" s="140" t="s">
        <v>6318</v>
      </c>
      <c r="E688" s="140" t="s">
        <v>6323</v>
      </c>
      <c r="F688" s="140" t="s">
        <v>5752</v>
      </c>
      <c r="G688" s="141" t="s">
        <v>6401</v>
      </c>
      <c r="H688" s="140" t="s">
        <v>6312</v>
      </c>
      <c r="I688" s="140" t="s">
        <v>6313</v>
      </c>
      <c r="J688" s="140" t="s">
        <v>6314</v>
      </c>
      <c r="K688" s="140" t="s">
        <v>6603</v>
      </c>
    </row>
    <row r="689">
      <c r="A689" s="140" t="s">
        <v>7149</v>
      </c>
      <c r="B689" s="140" t="s">
        <v>4383</v>
      </c>
      <c r="C689" s="140" t="s">
        <v>7187</v>
      </c>
      <c r="D689" s="140" t="s">
        <v>6318</v>
      </c>
      <c r="E689" s="140" t="s">
        <v>6323</v>
      </c>
      <c r="F689" s="140" t="s">
        <v>5741</v>
      </c>
      <c r="G689" s="141" t="s">
        <v>6401</v>
      </c>
      <c r="H689" s="140" t="s">
        <v>6312</v>
      </c>
      <c r="I689" s="140" t="s">
        <v>6313</v>
      </c>
      <c r="J689" s="140" t="s">
        <v>6314</v>
      </c>
      <c r="K689" s="140" t="s">
        <v>6603</v>
      </c>
    </row>
    <row r="690">
      <c r="A690" s="140" t="s">
        <v>7149</v>
      </c>
      <c r="B690" s="140" t="s">
        <v>7188</v>
      </c>
      <c r="C690" s="140" t="s">
        <v>7189</v>
      </c>
      <c r="D690" s="140" t="s">
        <v>6318</v>
      </c>
      <c r="E690" s="140" t="s">
        <v>6323</v>
      </c>
      <c r="F690" s="140" t="s">
        <v>5741</v>
      </c>
      <c r="G690" s="141" t="s">
        <v>6401</v>
      </c>
      <c r="H690" s="140" t="s">
        <v>6312</v>
      </c>
      <c r="I690" s="140" t="s">
        <v>6313</v>
      </c>
      <c r="J690" s="140" t="s">
        <v>6314</v>
      </c>
      <c r="K690" s="140" t="s">
        <v>6603</v>
      </c>
    </row>
    <row r="691">
      <c r="A691" s="140" t="s">
        <v>7149</v>
      </c>
      <c r="B691" s="140" t="s">
        <v>7190</v>
      </c>
      <c r="C691" s="140" t="s">
        <v>7191</v>
      </c>
      <c r="D691" s="140" t="s">
        <v>6318</v>
      </c>
      <c r="E691" s="140" t="s">
        <v>6323</v>
      </c>
      <c r="F691" s="140" t="s">
        <v>5741</v>
      </c>
      <c r="G691" s="141" t="s">
        <v>6401</v>
      </c>
      <c r="H691" s="140" t="s">
        <v>6312</v>
      </c>
      <c r="I691" s="140" t="s">
        <v>6313</v>
      </c>
      <c r="J691" s="140" t="s">
        <v>6314</v>
      </c>
      <c r="K691" s="140" t="s">
        <v>6603</v>
      </c>
    </row>
    <row r="692">
      <c r="A692" s="140" t="s">
        <v>7149</v>
      </c>
      <c r="B692" s="140" t="s">
        <v>7192</v>
      </c>
      <c r="C692" s="140" t="s">
        <v>7193</v>
      </c>
      <c r="D692" s="140" t="s">
        <v>6318</v>
      </c>
      <c r="E692" s="140" t="s">
        <v>6323</v>
      </c>
      <c r="F692" s="140" t="s">
        <v>5741</v>
      </c>
      <c r="G692" s="141" t="s">
        <v>6401</v>
      </c>
      <c r="H692" s="140" t="s">
        <v>6312</v>
      </c>
      <c r="I692" s="140" t="s">
        <v>6313</v>
      </c>
      <c r="J692" s="140" t="s">
        <v>6314</v>
      </c>
      <c r="K692" s="140" t="s">
        <v>6603</v>
      </c>
    </row>
    <row r="693">
      <c r="A693" s="140" t="s">
        <v>7149</v>
      </c>
      <c r="B693" s="140" t="s">
        <v>7194</v>
      </c>
      <c r="C693" s="140" t="s">
        <v>7195</v>
      </c>
      <c r="D693" s="140" t="s">
        <v>6318</v>
      </c>
      <c r="E693" s="140" t="s">
        <v>6323</v>
      </c>
      <c r="F693" s="140" t="s">
        <v>5741</v>
      </c>
      <c r="G693" s="141" t="s">
        <v>6401</v>
      </c>
      <c r="H693" s="140" t="s">
        <v>6312</v>
      </c>
      <c r="I693" s="140" t="s">
        <v>6313</v>
      </c>
      <c r="J693" s="140" t="s">
        <v>6314</v>
      </c>
      <c r="K693" s="140" t="s">
        <v>6603</v>
      </c>
    </row>
    <row r="694">
      <c r="A694" s="140" t="s">
        <v>7149</v>
      </c>
      <c r="B694" s="140" t="s">
        <v>3528</v>
      </c>
      <c r="C694" s="140" t="s">
        <v>7196</v>
      </c>
      <c r="D694" s="140" t="s">
        <v>6318</v>
      </c>
      <c r="E694" s="140" t="s">
        <v>6323</v>
      </c>
      <c r="F694" s="140" t="s">
        <v>5741</v>
      </c>
      <c r="G694" s="141" t="s">
        <v>6401</v>
      </c>
      <c r="H694" s="140" t="s">
        <v>6312</v>
      </c>
      <c r="I694" s="140" t="s">
        <v>6313</v>
      </c>
      <c r="J694" s="140" t="s">
        <v>6314</v>
      </c>
      <c r="K694" s="140" t="s">
        <v>6603</v>
      </c>
    </row>
    <row r="695">
      <c r="A695" s="140" t="s">
        <v>7149</v>
      </c>
      <c r="B695" s="140" t="s">
        <v>7197</v>
      </c>
      <c r="C695" s="140" t="s">
        <v>7198</v>
      </c>
      <c r="D695" s="140" t="s">
        <v>6318</v>
      </c>
      <c r="E695" s="140" t="s">
        <v>6323</v>
      </c>
      <c r="F695" s="140" t="s">
        <v>5741</v>
      </c>
      <c r="G695" s="141" t="s">
        <v>6401</v>
      </c>
      <c r="H695" s="140" t="s">
        <v>6312</v>
      </c>
      <c r="I695" s="140" t="s">
        <v>6313</v>
      </c>
      <c r="J695" s="140" t="s">
        <v>6314</v>
      </c>
      <c r="K695" s="140" t="s">
        <v>6603</v>
      </c>
    </row>
    <row r="696">
      <c r="A696" s="140" t="s">
        <v>7149</v>
      </c>
      <c r="B696" s="140" t="s">
        <v>3536</v>
      </c>
      <c r="C696" s="140" t="s">
        <v>7199</v>
      </c>
      <c r="D696" s="140" t="s">
        <v>6318</v>
      </c>
      <c r="E696" s="140" t="s">
        <v>6323</v>
      </c>
      <c r="F696" s="140" t="s">
        <v>5741</v>
      </c>
      <c r="G696" s="141" t="s">
        <v>6401</v>
      </c>
      <c r="H696" s="140" t="s">
        <v>6312</v>
      </c>
      <c r="I696" s="140" t="s">
        <v>6313</v>
      </c>
      <c r="J696" s="140" t="s">
        <v>6314</v>
      </c>
      <c r="K696" s="140" t="s">
        <v>6603</v>
      </c>
    </row>
    <row r="697">
      <c r="A697" s="140" t="s">
        <v>7149</v>
      </c>
      <c r="B697" s="140" t="s">
        <v>3542</v>
      </c>
      <c r="C697" s="140" t="s">
        <v>7200</v>
      </c>
      <c r="D697" s="140" t="s">
        <v>6318</v>
      </c>
      <c r="E697" s="140" t="s">
        <v>6323</v>
      </c>
      <c r="F697" s="140" t="s">
        <v>5741</v>
      </c>
      <c r="G697" s="141" t="s">
        <v>6401</v>
      </c>
      <c r="H697" s="140" t="s">
        <v>6312</v>
      </c>
      <c r="I697" s="140" t="s">
        <v>6313</v>
      </c>
      <c r="J697" s="140" t="s">
        <v>6314</v>
      </c>
      <c r="K697" s="140" t="s">
        <v>6603</v>
      </c>
    </row>
    <row r="698">
      <c r="A698" s="140" t="s">
        <v>7149</v>
      </c>
      <c r="B698" s="140" t="s">
        <v>2857</v>
      </c>
      <c r="C698" s="140" t="s">
        <v>7201</v>
      </c>
      <c r="D698" s="140" t="s">
        <v>6318</v>
      </c>
      <c r="E698" s="140" t="s">
        <v>6323</v>
      </c>
      <c r="F698" s="140" t="s">
        <v>5741</v>
      </c>
      <c r="G698" s="141" t="s">
        <v>6401</v>
      </c>
      <c r="H698" s="140" t="s">
        <v>6312</v>
      </c>
      <c r="I698" s="140" t="s">
        <v>6313</v>
      </c>
      <c r="J698" s="140" t="s">
        <v>6314</v>
      </c>
      <c r="K698" s="140" t="s">
        <v>6603</v>
      </c>
    </row>
    <row r="699">
      <c r="A699" s="140" t="s">
        <v>7149</v>
      </c>
      <c r="B699" s="140" t="s">
        <v>7202</v>
      </c>
      <c r="C699" s="140" t="s">
        <v>7203</v>
      </c>
      <c r="D699" s="140" t="s">
        <v>6318</v>
      </c>
      <c r="E699" s="140" t="s">
        <v>6323</v>
      </c>
      <c r="F699" s="140" t="s">
        <v>5741</v>
      </c>
      <c r="G699" s="141" t="s">
        <v>6401</v>
      </c>
      <c r="H699" s="140" t="s">
        <v>6312</v>
      </c>
      <c r="I699" s="140" t="s">
        <v>6313</v>
      </c>
      <c r="J699" s="140" t="s">
        <v>6314</v>
      </c>
      <c r="K699" s="140" t="s">
        <v>6603</v>
      </c>
    </row>
    <row r="700">
      <c r="A700" s="140" t="s">
        <v>7149</v>
      </c>
      <c r="B700" s="140" t="s">
        <v>7204</v>
      </c>
      <c r="C700" s="140" t="s">
        <v>7205</v>
      </c>
      <c r="D700" s="140" t="s">
        <v>6318</v>
      </c>
      <c r="E700" s="140" t="s">
        <v>6323</v>
      </c>
      <c r="F700" s="140" t="s">
        <v>5741</v>
      </c>
      <c r="G700" s="141" t="s">
        <v>6401</v>
      </c>
      <c r="H700" s="140" t="s">
        <v>6312</v>
      </c>
      <c r="I700" s="140" t="s">
        <v>6313</v>
      </c>
      <c r="J700" s="140" t="s">
        <v>6314</v>
      </c>
      <c r="K700" s="140" t="s">
        <v>6603</v>
      </c>
    </row>
    <row r="701">
      <c r="A701" s="140" t="s">
        <v>7149</v>
      </c>
      <c r="B701" s="140" t="s">
        <v>3540</v>
      </c>
      <c r="C701" s="140" t="s">
        <v>7206</v>
      </c>
      <c r="D701" s="140" t="s">
        <v>6318</v>
      </c>
      <c r="E701" s="140" t="s">
        <v>6323</v>
      </c>
      <c r="F701" s="140" t="s">
        <v>5741</v>
      </c>
      <c r="G701" s="141" t="s">
        <v>6401</v>
      </c>
      <c r="H701" s="140" t="s">
        <v>6312</v>
      </c>
      <c r="I701" s="140" t="s">
        <v>6313</v>
      </c>
      <c r="J701" s="140" t="s">
        <v>6314</v>
      </c>
      <c r="K701" s="140" t="s">
        <v>6603</v>
      </c>
    </row>
    <row r="702">
      <c r="A702" s="140" t="s">
        <v>7149</v>
      </c>
      <c r="B702" s="140" t="s">
        <v>7207</v>
      </c>
      <c r="C702" s="140" t="s">
        <v>7208</v>
      </c>
      <c r="D702" s="140" t="s">
        <v>6318</v>
      </c>
      <c r="E702" s="140" t="s">
        <v>6323</v>
      </c>
      <c r="F702" s="140" t="s">
        <v>5741</v>
      </c>
      <c r="G702" s="141" t="s">
        <v>6401</v>
      </c>
      <c r="H702" s="140" t="s">
        <v>6312</v>
      </c>
      <c r="I702" s="140" t="s">
        <v>6313</v>
      </c>
      <c r="J702" s="140" t="s">
        <v>6314</v>
      </c>
      <c r="K702" s="140" t="s">
        <v>6603</v>
      </c>
    </row>
    <row r="703">
      <c r="A703" s="140" t="s">
        <v>7149</v>
      </c>
      <c r="B703" s="140" t="s">
        <v>7209</v>
      </c>
      <c r="C703" s="140" t="s">
        <v>7210</v>
      </c>
      <c r="D703" s="140" t="s">
        <v>6318</v>
      </c>
      <c r="E703" s="140" t="s">
        <v>6323</v>
      </c>
      <c r="F703" s="140" t="s">
        <v>5741</v>
      </c>
      <c r="G703" s="141" t="s">
        <v>6401</v>
      </c>
      <c r="H703" s="140" t="s">
        <v>6312</v>
      </c>
      <c r="I703" s="140" t="s">
        <v>6313</v>
      </c>
      <c r="J703" s="140" t="s">
        <v>6314</v>
      </c>
      <c r="K703" s="140" t="s">
        <v>6603</v>
      </c>
    </row>
    <row r="704">
      <c r="A704" s="140" t="s">
        <v>7149</v>
      </c>
      <c r="B704" s="140" t="s">
        <v>7211</v>
      </c>
      <c r="C704" s="140" t="s">
        <v>7212</v>
      </c>
      <c r="D704" s="140" t="s">
        <v>6318</v>
      </c>
      <c r="E704" s="140" t="s">
        <v>6323</v>
      </c>
      <c r="F704" s="140" t="s">
        <v>5741</v>
      </c>
      <c r="G704" s="141" t="s">
        <v>6401</v>
      </c>
      <c r="H704" s="140" t="s">
        <v>6312</v>
      </c>
      <c r="I704" s="140" t="s">
        <v>6313</v>
      </c>
      <c r="J704" s="140" t="s">
        <v>6314</v>
      </c>
      <c r="K704" s="140" t="s">
        <v>6603</v>
      </c>
    </row>
    <row r="705">
      <c r="A705" s="140" t="s">
        <v>7149</v>
      </c>
      <c r="B705" s="140" t="s">
        <v>7213</v>
      </c>
      <c r="C705" s="140" t="s">
        <v>7214</v>
      </c>
      <c r="D705" s="140" t="s">
        <v>6318</v>
      </c>
      <c r="E705" s="140" t="s">
        <v>6323</v>
      </c>
      <c r="F705" s="140" t="s">
        <v>5741</v>
      </c>
      <c r="G705" s="141" t="s">
        <v>6401</v>
      </c>
      <c r="H705" s="140" t="s">
        <v>6312</v>
      </c>
      <c r="I705" s="140" t="s">
        <v>6313</v>
      </c>
      <c r="J705" s="140" t="s">
        <v>6314</v>
      </c>
      <c r="K705" s="140" t="s">
        <v>6603</v>
      </c>
    </row>
    <row r="706">
      <c r="A706" s="140" t="s">
        <v>7149</v>
      </c>
      <c r="B706" s="140" t="s">
        <v>7215</v>
      </c>
      <c r="C706" s="140" t="s">
        <v>7216</v>
      </c>
      <c r="D706" s="140" t="s">
        <v>6318</v>
      </c>
      <c r="E706" s="140" t="s">
        <v>6323</v>
      </c>
      <c r="F706" s="140" t="s">
        <v>5741</v>
      </c>
      <c r="G706" s="141" t="s">
        <v>6401</v>
      </c>
      <c r="H706" s="140" t="s">
        <v>6312</v>
      </c>
      <c r="I706" s="140" t="s">
        <v>6313</v>
      </c>
      <c r="J706" s="140" t="s">
        <v>6314</v>
      </c>
      <c r="K706" s="140" t="s">
        <v>6603</v>
      </c>
    </row>
    <row r="707">
      <c r="A707" s="140" t="s">
        <v>7149</v>
      </c>
      <c r="B707" s="140" t="s">
        <v>7217</v>
      </c>
      <c r="C707" s="140" t="s">
        <v>7218</v>
      </c>
      <c r="D707" s="140" t="s">
        <v>6318</v>
      </c>
      <c r="E707" s="140" t="s">
        <v>6323</v>
      </c>
      <c r="F707" s="140" t="s">
        <v>5741</v>
      </c>
      <c r="G707" s="141" t="s">
        <v>6401</v>
      </c>
      <c r="H707" s="140" t="s">
        <v>6312</v>
      </c>
      <c r="I707" s="140" t="s">
        <v>6313</v>
      </c>
      <c r="J707" s="140" t="s">
        <v>6314</v>
      </c>
      <c r="K707" s="140" t="s">
        <v>6603</v>
      </c>
    </row>
    <row r="708">
      <c r="A708" s="140" t="s">
        <v>7149</v>
      </c>
      <c r="B708" s="140" t="s">
        <v>7219</v>
      </c>
      <c r="C708" s="140" t="s">
        <v>7220</v>
      </c>
      <c r="D708" s="140" t="s">
        <v>6318</v>
      </c>
      <c r="E708" s="140" t="s">
        <v>6323</v>
      </c>
      <c r="F708" s="140" t="s">
        <v>6632</v>
      </c>
      <c r="G708" s="141" t="s">
        <v>6401</v>
      </c>
      <c r="H708" s="140" t="s">
        <v>6312</v>
      </c>
      <c r="I708" s="140" t="s">
        <v>6313</v>
      </c>
      <c r="J708" s="140" t="s">
        <v>6314</v>
      </c>
      <c r="K708" s="140" t="s">
        <v>6603</v>
      </c>
    </row>
    <row r="709">
      <c r="A709" s="140" t="s">
        <v>7149</v>
      </c>
      <c r="B709" s="140" t="s">
        <v>7221</v>
      </c>
      <c r="C709" s="140" t="s">
        <v>7222</v>
      </c>
      <c r="D709" s="140" t="s">
        <v>6318</v>
      </c>
      <c r="E709" s="140" t="s">
        <v>6323</v>
      </c>
      <c r="F709" s="140" t="s">
        <v>6632</v>
      </c>
      <c r="G709" s="141" t="s">
        <v>6401</v>
      </c>
      <c r="H709" s="140" t="s">
        <v>6312</v>
      </c>
      <c r="I709" s="140" t="s">
        <v>6313</v>
      </c>
      <c r="J709" s="140" t="s">
        <v>6314</v>
      </c>
      <c r="K709" s="140" t="s">
        <v>6603</v>
      </c>
    </row>
    <row r="710">
      <c r="A710" s="140" t="s">
        <v>7149</v>
      </c>
      <c r="B710" s="140" t="s">
        <v>7223</v>
      </c>
      <c r="C710" s="140" t="s">
        <v>7224</v>
      </c>
      <c r="D710" s="140" t="s">
        <v>6318</v>
      </c>
      <c r="E710" s="140" t="s">
        <v>6323</v>
      </c>
      <c r="F710" s="140" t="s">
        <v>6435</v>
      </c>
      <c r="G710" s="141" t="s">
        <v>6401</v>
      </c>
      <c r="H710" s="140" t="s">
        <v>6312</v>
      </c>
      <c r="I710" s="140" t="s">
        <v>6313</v>
      </c>
      <c r="J710" s="140" t="s">
        <v>6314</v>
      </c>
      <c r="K710" s="140" t="s">
        <v>6603</v>
      </c>
    </row>
    <row r="711">
      <c r="A711" s="140" t="s">
        <v>7149</v>
      </c>
      <c r="B711" s="140" t="s">
        <v>7225</v>
      </c>
      <c r="C711" s="140" t="s">
        <v>7226</v>
      </c>
      <c r="D711" s="140" t="s">
        <v>6318</v>
      </c>
      <c r="E711" s="140" t="s">
        <v>6323</v>
      </c>
      <c r="F711" s="140" t="s">
        <v>6435</v>
      </c>
      <c r="G711" s="141" t="s">
        <v>6401</v>
      </c>
      <c r="H711" s="140" t="s">
        <v>6312</v>
      </c>
      <c r="I711" s="140" t="s">
        <v>6313</v>
      </c>
      <c r="J711" s="140" t="s">
        <v>6314</v>
      </c>
      <c r="K711" s="140" t="s">
        <v>6603</v>
      </c>
    </row>
    <row r="712">
      <c r="A712" s="140" t="s">
        <v>7149</v>
      </c>
      <c r="B712" s="140" t="s">
        <v>7227</v>
      </c>
      <c r="C712" s="140" t="s">
        <v>7228</v>
      </c>
      <c r="D712" s="140" t="s">
        <v>6318</v>
      </c>
      <c r="E712" s="140" t="s">
        <v>6323</v>
      </c>
      <c r="F712" s="140" t="s">
        <v>6435</v>
      </c>
      <c r="G712" s="141" t="s">
        <v>6401</v>
      </c>
      <c r="H712" s="140" t="s">
        <v>6312</v>
      </c>
      <c r="I712" s="140" t="s">
        <v>6313</v>
      </c>
      <c r="J712" s="140" t="s">
        <v>6314</v>
      </c>
      <c r="K712" s="140" t="s">
        <v>6603</v>
      </c>
    </row>
    <row r="713">
      <c r="A713" s="140" t="s">
        <v>7149</v>
      </c>
      <c r="B713" s="140" t="s">
        <v>7229</v>
      </c>
      <c r="C713" s="140" t="s">
        <v>7230</v>
      </c>
      <c r="D713" s="140" t="s">
        <v>6318</v>
      </c>
      <c r="E713" s="140" t="s">
        <v>6323</v>
      </c>
      <c r="F713" s="140" t="s">
        <v>6435</v>
      </c>
      <c r="G713" s="141" t="s">
        <v>6401</v>
      </c>
      <c r="H713" s="140" t="s">
        <v>6312</v>
      </c>
      <c r="I713" s="140" t="s">
        <v>6313</v>
      </c>
      <c r="J713" s="140" t="s">
        <v>6314</v>
      </c>
      <c r="K713" s="140" t="s">
        <v>6603</v>
      </c>
    </row>
    <row r="714">
      <c r="A714" s="140" t="s">
        <v>7149</v>
      </c>
      <c r="B714" s="140" t="s">
        <v>7231</v>
      </c>
      <c r="C714" s="140" t="s">
        <v>7232</v>
      </c>
      <c r="D714" s="140" t="s">
        <v>6318</v>
      </c>
      <c r="E714" s="140" t="s">
        <v>6323</v>
      </c>
      <c r="F714" s="140" t="s">
        <v>6435</v>
      </c>
      <c r="G714" s="141" t="s">
        <v>6401</v>
      </c>
      <c r="H714" s="140" t="s">
        <v>6312</v>
      </c>
      <c r="I714" s="140" t="s">
        <v>6313</v>
      </c>
      <c r="J714" s="140" t="s">
        <v>6314</v>
      </c>
      <c r="K714" s="140" t="s">
        <v>6603</v>
      </c>
    </row>
    <row r="715">
      <c r="A715" s="140" t="s">
        <v>7149</v>
      </c>
      <c r="B715" s="140" t="s">
        <v>7233</v>
      </c>
      <c r="C715" s="140" t="s">
        <v>7234</v>
      </c>
      <c r="D715" s="140" t="s">
        <v>6318</v>
      </c>
      <c r="E715" s="140" t="s">
        <v>6323</v>
      </c>
      <c r="F715" s="140" t="s">
        <v>6435</v>
      </c>
      <c r="G715" s="141" t="s">
        <v>6401</v>
      </c>
      <c r="H715" s="140" t="s">
        <v>6312</v>
      </c>
      <c r="I715" s="140" t="s">
        <v>6313</v>
      </c>
      <c r="J715" s="140" t="s">
        <v>6314</v>
      </c>
      <c r="K715" s="140" t="s">
        <v>6603</v>
      </c>
    </row>
    <row r="716">
      <c r="A716" s="140" t="s">
        <v>7149</v>
      </c>
      <c r="B716" s="140" t="s">
        <v>7235</v>
      </c>
      <c r="C716" s="140" t="s">
        <v>7236</v>
      </c>
      <c r="D716" s="140" t="s">
        <v>6318</v>
      </c>
      <c r="E716" s="140" t="s">
        <v>6323</v>
      </c>
      <c r="F716" s="140" t="s">
        <v>6435</v>
      </c>
      <c r="G716" s="141" t="s">
        <v>6401</v>
      </c>
      <c r="H716" s="140" t="s">
        <v>6312</v>
      </c>
      <c r="I716" s="140" t="s">
        <v>6313</v>
      </c>
      <c r="J716" s="140" t="s">
        <v>6314</v>
      </c>
      <c r="K716" s="140" t="s">
        <v>6603</v>
      </c>
    </row>
    <row r="717">
      <c r="A717" s="140" t="s">
        <v>7149</v>
      </c>
      <c r="B717" s="140" t="s">
        <v>7237</v>
      </c>
      <c r="C717" s="140" t="s">
        <v>7238</v>
      </c>
      <c r="D717" s="140" t="s">
        <v>6318</v>
      </c>
      <c r="E717" s="140" t="s">
        <v>6323</v>
      </c>
      <c r="F717" s="140" t="s">
        <v>7239</v>
      </c>
      <c r="G717" s="141" t="s">
        <v>6401</v>
      </c>
      <c r="H717" s="140" t="s">
        <v>6312</v>
      </c>
      <c r="I717" s="140" t="s">
        <v>6313</v>
      </c>
      <c r="J717" s="140" t="s">
        <v>6314</v>
      </c>
      <c r="K717" s="140" t="s">
        <v>6603</v>
      </c>
    </row>
    <row r="718">
      <c r="A718" s="140" t="s">
        <v>7149</v>
      </c>
      <c r="B718" s="140" t="s">
        <v>7240</v>
      </c>
      <c r="C718" s="140" t="s">
        <v>7241</v>
      </c>
      <c r="D718" s="140" t="s">
        <v>6318</v>
      </c>
      <c r="E718" s="140" t="s">
        <v>6323</v>
      </c>
      <c r="F718" s="140" t="s">
        <v>7239</v>
      </c>
      <c r="G718" s="141" t="s">
        <v>6401</v>
      </c>
      <c r="H718" s="140" t="s">
        <v>6312</v>
      </c>
      <c r="I718" s="140" t="s">
        <v>6313</v>
      </c>
      <c r="J718" s="140" t="s">
        <v>6314</v>
      </c>
      <c r="K718" s="140" t="s">
        <v>6603</v>
      </c>
    </row>
    <row r="719">
      <c r="A719" s="140" t="s">
        <v>7149</v>
      </c>
      <c r="B719" s="140" t="s">
        <v>7242</v>
      </c>
      <c r="C719" s="140" t="s">
        <v>7243</v>
      </c>
      <c r="D719" s="140" t="s">
        <v>6318</v>
      </c>
      <c r="E719" s="140" t="s">
        <v>6323</v>
      </c>
      <c r="F719" s="140" t="s">
        <v>6635</v>
      </c>
      <c r="G719" s="141" t="s">
        <v>6401</v>
      </c>
      <c r="H719" s="140" t="s">
        <v>6312</v>
      </c>
      <c r="I719" s="140" t="s">
        <v>6313</v>
      </c>
      <c r="J719" s="140" t="s">
        <v>6314</v>
      </c>
      <c r="K719" s="140" t="s">
        <v>6603</v>
      </c>
    </row>
    <row r="720">
      <c r="A720" s="140" t="s">
        <v>7149</v>
      </c>
      <c r="B720" s="140" t="s">
        <v>7244</v>
      </c>
      <c r="C720" s="140" t="s">
        <v>7245</v>
      </c>
      <c r="D720" s="140" t="s">
        <v>6318</v>
      </c>
      <c r="E720" s="140" t="s">
        <v>6323</v>
      </c>
      <c r="F720" s="140" t="s">
        <v>6677</v>
      </c>
      <c r="G720" s="141" t="s">
        <v>6401</v>
      </c>
      <c r="H720" s="140" t="s">
        <v>6312</v>
      </c>
      <c r="I720" s="140" t="s">
        <v>6313</v>
      </c>
      <c r="J720" s="140" t="s">
        <v>6314</v>
      </c>
      <c r="K720" s="140" t="s">
        <v>6603</v>
      </c>
    </row>
    <row r="721">
      <c r="A721" s="140" t="s">
        <v>7149</v>
      </c>
      <c r="B721" s="140" t="s">
        <v>7246</v>
      </c>
      <c r="C721" s="140" t="s">
        <v>7247</v>
      </c>
      <c r="D721" s="140" t="s">
        <v>6318</v>
      </c>
      <c r="E721" s="140" t="s">
        <v>6323</v>
      </c>
      <c r="F721" s="140" t="s">
        <v>6531</v>
      </c>
      <c r="G721" s="141" t="s">
        <v>6401</v>
      </c>
      <c r="H721" s="140" t="s">
        <v>6312</v>
      </c>
      <c r="I721" s="140" t="s">
        <v>6313</v>
      </c>
      <c r="J721" s="140" t="s">
        <v>6314</v>
      </c>
      <c r="K721" s="140" t="s">
        <v>6603</v>
      </c>
    </row>
    <row r="722">
      <c r="A722" s="140" t="s">
        <v>7149</v>
      </c>
      <c r="B722" s="140" t="s">
        <v>7248</v>
      </c>
      <c r="C722" s="140" t="s">
        <v>7249</v>
      </c>
      <c r="D722" s="140" t="s">
        <v>6318</v>
      </c>
      <c r="E722" s="140" t="s">
        <v>6323</v>
      </c>
      <c r="F722" s="140" t="s">
        <v>5774</v>
      </c>
      <c r="G722" s="141" t="s">
        <v>6401</v>
      </c>
      <c r="H722" s="140" t="s">
        <v>6312</v>
      </c>
      <c r="I722" s="140" t="s">
        <v>6313</v>
      </c>
      <c r="J722" s="140" t="s">
        <v>6314</v>
      </c>
      <c r="K722" s="140" t="s">
        <v>6603</v>
      </c>
    </row>
    <row r="723">
      <c r="A723" s="140" t="s">
        <v>7149</v>
      </c>
      <c r="B723" s="140" t="s">
        <v>7250</v>
      </c>
      <c r="C723" s="140" t="s">
        <v>7251</v>
      </c>
      <c r="D723" s="140" t="s">
        <v>6318</v>
      </c>
      <c r="E723" s="140" t="s">
        <v>6323</v>
      </c>
      <c r="F723" s="140" t="s">
        <v>5774</v>
      </c>
      <c r="G723" s="141" t="s">
        <v>6401</v>
      </c>
      <c r="H723" s="140" t="s">
        <v>6312</v>
      </c>
      <c r="I723" s="140" t="s">
        <v>6313</v>
      </c>
      <c r="J723" s="140" t="s">
        <v>6314</v>
      </c>
      <c r="K723" s="140" t="s">
        <v>6603</v>
      </c>
    </row>
    <row r="724">
      <c r="A724" s="140" t="s">
        <v>7149</v>
      </c>
      <c r="B724" s="140" t="s">
        <v>7252</v>
      </c>
      <c r="C724" s="140" t="s">
        <v>7253</v>
      </c>
      <c r="D724" s="140" t="s">
        <v>6318</v>
      </c>
      <c r="E724" s="140" t="s">
        <v>6323</v>
      </c>
      <c r="F724" s="140" t="s">
        <v>5774</v>
      </c>
      <c r="G724" s="141" t="s">
        <v>6401</v>
      </c>
      <c r="H724" s="140" t="s">
        <v>6312</v>
      </c>
      <c r="I724" s="140" t="s">
        <v>6313</v>
      </c>
      <c r="J724" s="140" t="s">
        <v>6314</v>
      </c>
      <c r="K724" s="140" t="s">
        <v>6603</v>
      </c>
    </row>
    <row r="725">
      <c r="A725" s="140" t="s">
        <v>7149</v>
      </c>
      <c r="B725" s="140" t="s">
        <v>7254</v>
      </c>
      <c r="C725" s="140" t="s">
        <v>7255</v>
      </c>
      <c r="D725" s="140" t="s">
        <v>6318</v>
      </c>
      <c r="E725" s="140" t="s">
        <v>6323</v>
      </c>
      <c r="F725" s="140" t="s">
        <v>5774</v>
      </c>
      <c r="G725" s="141" t="s">
        <v>6401</v>
      </c>
      <c r="H725" s="140" t="s">
        <v>6312</v>
      </c>
      <c r="I725" s="140" t="s">
        <v>6313</v>
      </c>
      <c r="J725" s="140" t="s">
        <v>6314</v>
      </c>
      <c r="K725" s="140" t="s">
        <v>6603</v>
      </c>
    </row>
    <row r="726">
      <c r="A726" s="140" t="s">
        <v>7149</v>
      </c>
      <c r="B726" s="140" t="s">
        <v>7256</v>
      </c>
      <c r="C726" s="140" t="s">
        <v>7257</v>
      </c>
      <c r="D726" s="140" t="s">
        <v>6318</v>
      </c>
      <c r="E726" s="140" t="s">
        <v>6323</v>
      </c>
      <c r="F726" s="140" t="s">
        <v>5774</v>
      </c>
      <c r="G726" s="141" t="s">
        <v>6401</v>
      </c>
      <c r="H726" s="140" t="s">
        <v>6312</v>
      </c>
      <c r="I726" s="140" t="s">
        <v>6313</v>
      </c>
      <c r="J726" s="140" t="s">
        <v>6314</v>
      </c>
      <c r="K726" s="140" t="s">
        <v>6603</v>
      </c>
    </row>
    <row r="727">
      <c r="A727" s="140" t="s">
        <v>7149</v>
      </c>
      <c r="B727" s="140" t="s">
        <v>3318</v>
      </c>
      <c r="C727" s="140" t="s">
        <v>7258</v>
      </c>
      <c r="D727" s="140" t="s">
        <v>6318</v>
      </c>
      <c r="E727" s="140" t="s">
        <v>6323</v>
      </c>
      <c r="F727" s="140" t="s">
        <v>5774</v>
      </c>
      <c r="G727" s="141" t="s">
        <v>6401</v>
      </c>
      <c r="H727" s="140" t="s">
        <v>6312</v>
      </c>
      <c r="I727" s="140" t="s">
        <v>6313</v>
      </c>
      <c r="J727" s="140" t="s">
        <v>6314</v>
      </c>
      <c r="K727" s="140" t="s">
        <v>6603</v>
      </c>
    </row>
    <row r="728">
      <c r="A728" s="140" t="s">
        <v>7149</v>
      </c>
      <c r="B728" s="140" t="s">
        <v>7259</v>
      </c>
      <c r="C728" s="140" t="s">
        <v>7260</v>
      </c>
      <c r="D728" s="140" t="s">
        <v>6318</v>
      </c>
      <c r="E728" s="140" t="s">
        <v>6142</v>
      </c>
      <c r="F728" s="140" t="s">
        <v>7261</v>
      </c>
      <c r="G728" s="141" t="s">
        <v>6401</v>
      </c>
      <c r="H728" s="140" t="s">
        <v>6312</v>
      </c>
      <c r="I728" s="140" t="s">
        <v>6313</v>
      </c>
      <c r="J728" s="140" t="s">
        <v>6314</v>
      </c>
      <c r="K728" s="140" t="s">
        <v>6603</v>
      </c>
    </row>
    <row r="729">
      <c r="A729" s="140" t="s">
        <v>7149</v>
      </c>
      <c r="B729" s="140" t="s">
        <v>7262</v>
      </c>
      <c r="C729" s="140" t="s">
        <v>7263</v>
      </c>
      <c r="D729" s="140" t="s">
        <v>6318</v>
      </c>
      <c r="E729" s="140" t="s">
        <v>6142</v>
      </c>
      <c r="F729" s="140" t="s">
        <v>7261</v>
      </c>
      <c r="G729" s="141" t="s">
        <v>6401</v>
      </c>
      <c r="H729" s="140" t="s">
        <v>6312</v>
      </c>
      <c r="I729" s="140" t="s">
        <v>6313</v>
      </c>
      <c r="J729" s="140" t="s">
        <v>6314</v>
      </c>
      <c r="K729" s="140" t="s">
        <v>6603</v>
      </c>
    </row>
    <row r="730">
      <c r="A730" s="140" t="s">
        <v>7149</v>
      </c>
      <c r="B730" s="140" t="s">
        <v>3320</v>
      </c>
      <c r="C730" s="140" t="s">
        <v>7264</v>
      </c>
      <c r="D730" s="140" t="s">
        <v>6318</v>
      </c>
      <c r="E730" s="140" t="s">
        <v>6142</v>
      </c>
      <c r="F730" s="140" t="s">
        <v>7265</v>
      </c>
      <c r="G730" s="141" t="s">
        <v>6401</v>
      </c>
      <c r="H730" s="140" t="s">
        <v>6312</v>
      </c>
      <c r="I730" s="140" t="s">
        <v>6313</v>
      </c>
      <c r="J730" s="140" t="s">
        <v>6314</v>
      </c>
      <c r="K730" s="140" t="s">
        <v>6603</v>
      </c>
    </row>
    <row r="731">
      <c r="A731" s="140" t="s">
        <v>7149</v>
      </c>
      <c r="B731" s="140" t="s">
        <v>7266</v>
      </c>
      <c r="C731" s="140" t="s">
        <v>7267</v>
      </c>
      <c r="D731" s="140" t="s">
        <v>6620</v>
      </c>
      <c r="E731" s="140" t="s">
        <v>7268</v>
      </c>
      <c r="F731" s="140" t="s">
        <v>7269</v>
      </c>
      <c r="G731" s="141" t="s">
        <v>6401</v>
      </c>
      <c r="H731" s="140" t="s">
        <v>6312</v>
      </c>
      <c r="I731" s="140" t="s">
        <v>6313</v>
      </c>
      <c r="J731" s="140" t="s">
        <v>6314</v>
      </c>
      <c r="K731" s="140" t="s">
        <v>6603</v>
      </c>
    </row>
    <row r="732">
      <c r="A732" s="140" t="s">
        <v>7149</v>
      </c>
      <c r="B732" s="140" t="s">
        <v>3534</v>
      </c>
      <c r="C732" s="140" t="s">
        <v>7270</v>
      </c>
      <c r="D732" s="140" t="s">
        <v>6318</v>
      </c>
      <c r="E732" s="140" t="s">
        <v>1225</v>
      </c>
      <c r="F732" s="140" t="s">
        <v>1243</v>
      </c>
      <c r="G732" s="141" t="s">
        <v>6401</v>
      </c>
      <c r="H732" s="140" t="s">
        <v>6312</v>
      </c>
      <c r="I732" s="140" t="s">
        <v>6313</v>
      </c>
      <c r="J732" s="140" t="s">
        <v>6314</v>
      </c>
      <c r="K732" s="140" t="s">
        <v>6603</v>
      </c>
    </row>
    <row r="733">
      <c r="A733" s="140" t="s">
        <v>7149</v>
      </c>
      <c r="B733" s="140" t="s">
        <v>7271</v>
      </c>
      <c r="C733" s="140" t="s">
        <v>7272</v>
      </c>
      <c r="D733" s="140" t="s">
        <v>6318</v>
      </c>
      <c r="E733" s="140" t="s">
        <v>1225</v>
      </c>
      <c r="F733" s="140" t="s">
        <v>1243</v>
      </c>
      <c r="G733" s="141" t="s">
        <v>6401</v>
      </c>
      <c r="H733" s="140" t="s">
        <v>6312</v>
      </c>
      <c r="I733" s="140" t="s">
        <v>6313</v>
      </c>
      <c r="J733" s="140" t="s">
        <v>6314</v>
      </c>
      <c r="K733" s="140" t="s">
        <v>6603</v>
      </c>
    </row>
    <row r="734">
      <c r="A734" s="140" t="s">
        <v>7149</v>
      </c>
      <c r="B734" s="140" t="s">
        <v>2855</v>
      </c>
      <c r="C734" s="140" t="s">
        <v>7273</v>
      </c>
      <c r="D734" s="140" t="s">
        <v>6318</v>
      </c>
      <c r="E734" s="140" t="s">
        <v>1225</v>
      </c>
      <c r="F734" s="140" t="s">
        <v>1243</v>
      </c>
      <c r="G734" s="141" t="s">
        <v>6401</v>
      </c>
      <c r="H734" s="140" t="s">
        <v>6312</v>
      </c>
      <c r="I734" s="140" t="s">
        <v>6313</v>
      </c>
      <c r="J734" s="140" t="s">
        <v>6314</v>
      </c>
      <c r="K734" s="140" t="s">
        <v>6603</v>
      </c>
    </row>
    <row r="735">
      <c r="A735" s="140" t="s">
        <v>7149</v>
      </c>
      <c r="B735" s="140" t="s">
        <v>7274</v>
      </c>
      <c r="C735" s="140" t="s">
        <v>7275</v>
      </c>
      <c r="D735" s="140" t="s">
        <v>6318</v>
      </c>
      <c r="E735" s="140" t="s">
        <v>1225</v>
      </c>
      <c r="F735" s="140" t="s">
        <v>1243</v>
      </c>
      <c r="G735" s="141" t="s">
        <v>6401</v>
      </c>
      <c r="H735" s="140" t="s">
        <v>6312</v>
      </c>
      <c r="I735" s="140" t="s">
        <v>6313</v>
      </c>
      <c r="J735" s="140" t="s">
        <v>6314</v>
      </c>
      <c r="K735" s="140" t="s">
        <v>6603</v>
      </c>
    </row>
    <row r="736">
      <c r="A736" s="140" t="s">
        <v>7149</v>
      </c>
      <c r="B736" s="140" t="s">
        <v>3324</v>
      </c>
      <c r="C736" s="140" t="s">
        <v>7276</v>
      </c>
      <c r="D736" s="140" t="s">
        <v>6318</v>
      </c>
      <c r="E736" s="140" t="s">
        <v>1225</v>
      </c>
      <c r="F736" s="140" t="s">
        <v>1243</v>
      </c>
      <c r="G736" s="141" t="s">
        <v>6401</v>
      </c>
      <c r="H736" s="140" t="s">
        <v>6312</v>
      </c>
      <c r="I736" s="140" t="s">
        <v>6313</v>
      </c>
      <c r="J736" s="140" t="s">
        <v>6314</v>
      </c>
      <c r="K736" s="140" t="s">
        <v>6603</v>
      </c>
    </row>
    <row r="737">
      <c r="A737" s="140" t="s">
        <v>7149</v>
      </c>
      <c r="B737" s="140" t="s">
        <v>7277</v>
      </c>
      <c r="C737" s="140" t="s">
        <v>7278</v>
      </c>
      <c r="D737" s="140" t="s">
        <v>6318</v>
      </c>
      <c r="E737" s="140" t="s">
        <v>1225</v>
      </c>
      <c r="F737" s="140" t="s">
        <v>1243</v>
      </c>
      <c r="G737" s="141" t="s">
        <v>6401</v>
      </c>
      <c r="H737" s="140" t="s">
        <v>6312</v>
      </c>
      <c r="I737" s="140" t="s">
        <v>6313</v>
      </c>
      <c r="J737" s="140" t="s">
        <v>6314</v>
      </c>
      <c r="K737" s="140" t="s">
        <v>6603</v>
      </c>
    </row>
    <row r="738">
      <c r="A738" s="140" t="s">
        <v>7149</v>
      </c>
      <c r="B738" s="140" t="s">
        <v>7279</v>
      </c>
      <c r="C738" s="140" t="s">
        <v>7280</v>
      </c>
      <c r="D738" s="140" t="s">
        <v>6318</v>
      </c>
      <c r="E738" s="140" t="s">
        <v>1225</v>
      </c>
      <c r="F738" s="140" t="s">
        <v>1243</v>
      </c>
      <c r="G738" s="141" t="s">
        <v>6401</v>
      </c>
      <c r="H738" s="140" t="s">
        <v>6312</v>
      </c>
      <c r="I738" s="140" t="s">
        <v>6313</v>
      </c>
      <c r="J738" s="140" t="s">
        <v>6314</v>
      </c>
      <c r="K738" s="140" t="s">
        <v>6603</v>
      </c>
    </row>
    <row r="739">
      <c r="A739" s="140" t="s">
        <v>7149</v>
      </c>
      <c r="B739" s="140" t="s">
        <v>7281</v>
      </c>
      <c r="C739" s="140" t="s">
        <v>7282</v>
      </c>
      <c r="D739" s="140" t="s">
        <v>6318</v>
      </c>
      <c r="E739" s="140" t="s">
        <v>1225</v>
      </c>
      <c r="F739" s="140" t="s">
        <v>1243</v>
      </c>
      <c r="G739" s="141" t="s">
        <v>6401</v>
      </c>
      <c r="H739" s="140" t="s">
        <v>6312</v>
      </c>
      <c r="I739" s="140" t="s">
        <v>6313</v>
      </c>
      <c r="J739" s="140" t="s">
        <v>6314</v>
      </c>
      <c r="K739" s="140" t="s">
        <v>6603</v>
      </c>
    </row>
    <row r="740">
      <c r="A740" s="140" t="s">
        <v>7149</v>
      </c>
      <c r="B740" s="140" t="s">
        <v>3322</v>
      </c>
      <c r="C740" s="140" t="s">
        <v>7283</v>
      </c>
      <c r="D740" s="140" t="s">
        <v>6318</v>
      </c>
      <c r="E740" s="140" t="s">
        <v>1225</v>
      </c>
      <c r="F740" s="140" t="s">
        <v>1243</v>
      </c>
      <c r="G740" s="141" t="s">
        <v>6401</v>
      </c>
      <c r="H740" s="140" t="s">
        <v>6312</v>
      </c>
      <c r="I740" s="140" t="s">
        <v>6313</v>
      </c>
      <c r="J740" s="140" t="s">
        <v>6314</v>
      </c>
      <c r="K740" s="140" t="s">
        <v>6603</v>
      </c>
    </row>
    <row r="741">
      <c r="A741" s="140" t="s">
        <v>7149</v>
      </c>
      <c r="B741" s="140" t="s">
        <v>7284</v>
      </c>
      <c r="C741" s="140" t="s">
        <v>7285</v>
      </c>
      <c r="D741" s="140" t="s">
        <v>6318</v>
      </c>
      <c r="E741" s="140" t="s">
        <v>1225</v>
      </c>
      <c r="F741" s="140" t="s">
        <v>1243</v>
      </c>
      <c r="G741" s="141" t="s">
        <v>6401</v>
      </c>
      <c r="H741" s="140" t="s">
        <v>6312</v>
      </c>
      <c r="I741" s="140" t="s">
        <v>6313</v>
      </c>
      <c r="J741" s="140" t="s">
        <v>6314</v>
      </c>
      <c r="K741" s="140" t="s">
        <v>6603</v>
      </c>
    </row>
    <row r="742">
      <c r="A742" s="140" t="s">
        <v>7149</v>
      </c>
      <c r="B742" s="140" t="s">
        <v>7286</v>
      </c>
      <c r="C742" s="140" t="s">
        <v>7287</v>
      </c>
      <c r="D742" s="140" t="s">
        <v>6318</v>
      </c>
      <c r="E742" s="140" t="s">
        <v>5721</v>
      </c>
      <c r="F742" s="140" t="s">
        <v>7288</v>
      </c>
      <c r="G742" s="141" t="s">
        <v>6401</v>
      </c>
      <c r="H742" s="140" t="s">
        <v>6312</v>
      </c>
      <c r="I742" s="140" t="s">
        <v>6313</v>
      </c>
      <c r="J742" s="140" t="s">
        <v>6314</v>
      </c>
      <c r="K742" s="140" t="s">
        <v>6603</v>
      </c>
    </row>
    <row r="743">
      <c r="A743" s="140" t="s">
        <v>7149</v>
      </c>
      <c r="B743" s="140" t="s">
        <v>7289</v>
      </c>
      <c r="C743" s="140" t="s">
        <v>7290</v>
      </c>
      <c r="D743" s="140" t="s">
        <v>6318</v>
      </c>
      <c r="E743" s="140" t="s">
        <v>5721</v>
      </c>
      <c r="F743" s="140" t="s">
        <v>7288</v>
      </c>
      <c r="G743" s="141" t="s">
        <v>6401</v>
      </c>
      <c r="H743" s="140" t="s">
        <v>6312</v>
      </c>
      <c r="I743" s="140" t="s">
        <v>6313</v>
      </c>
      <c r="J743" s="140" t="s">
        <v>6314</v>
      </c>
      <c r="K743" s="140" t="s">
        <v>6603</v>
      </c>
    </row>
    <row r="744">
      <c r="A744" s="140" t="s">
        <v>7149</v>
      </c>
      <c r="B744" s="140" t="s">
        <v>7291</v>
      </c>
      <c r="C744" s="140" t="s">
        <v>7292</v>
      </c>
      <c r="D744" s="140" t="s">
        <v>6318</v>
      </c>
      <c r="E744" s="140" t="s">
        <v>5721</v>
      </c>
      <c r="F744" s="140" t="s">
        <v>7288</v>
      </c>
      <c r="G744" s="141" t="s">
        <v>6401</v>
      </c>
      <c r="H744" s="140" t="s">
        <v>6312</v>
      </c>
      <c r="I744" s="140" t="s">
        <v>6313</v>
      </c>
      <c r="J744" s="140" t="s">
        <v>6314</v>
      </c>
      <c r="K744" s="140" t="s">
        <v>6603</v>
      </c>
    </row>
    <row r="745">
      <c r="A745" s="140" t="s">
        <v>7149</v>
      </c>
      <c r="B745" s="140" t="s">
        <v>7293</v>
      </c>
      <c r="C745" s="140" t="s">
        <v>7294</v>
      </c>
      <c r="D745" s="140" t="s">
        <v>6318</v>
      </c>
      <c r="E745" s="140" t="s">
        <v>1323</v>
      </c>
      <c r="F745" s="140" t="s">
        <v>5780</v>
      </c>
      <c r="G745" s="141" t="s">
        <v>6401</v>
      </c>
      <c r="H745" s="140" t="s">
        <v>6312</v>
      </c>
      <c r="I745" s="140" t="s">
        <v>6313</v>
      </c>
      <c r="J745" s="140" t="s">
        <v>6314</v>
      </c>
      <c r="K745" s="140" t="s">
        <v>6603</v>
      </c>
    </row>
    <row r="746">
      <c r="A746" s="140" t="s">
        <v>7149</v>
      </c>
      <c r="B746" s="140" t="s">
        <v>7295</v>
      </c>
      <c r="C746" s="140" t="s">
        <v>7296</v>
      </c>
      <c r="D746" s="140" t="s">
        <v>6318</v>
      </c>
      <c r="E746" s="140" t="s">
        <v>6550</v>
      </c>
      <c r="F746" s="140" t="s">
        <v>5714</v>
      </c>
      <c r="G746" s="141" t="s">
        <v>6401</v>
      </c>
      <c r="H746" s="140" t="s">
        <v>6312</v>
      </c>
      <c r="I746" s="140" t="s">
        <v>6313</v>
      </c>
      <c r="J746" s="140" t="s">
        <v>6314</v>
      </c>
      <c r="K746" s="140" t="s">
        <v>6603</v>
      </c>
    </row>
    <row r="747">
      <c r="A747" s="140" t="s">
        <v>7149</v>
      </c>
      <c r="B747" s="140" t="s">
        <v>7297</v>
      </c>
      <c r="C747" s="140" t="s">
        <v>7298</v>
      </c>
      <c r="D747" s="140" t="s">
        <v>6318</v>
      </c>
      <c r="E747" s="140" t="s">
        <v>6550</v>
      </c>
      <c r="F747" s="140" t="s">
        <v>5735</v>
      </c>
      <c r="G747" s="141" t="s">
        <v>6401</v>
      </c>
      <c r="H747" s="140" t="s">
        <v>6312</v>
      </c>
      <c r="I747" s="140" t="s">
        <v>6313</v>
      </c>
      <c r="J747" s="140" t="s">
        <v>6314</v>
      </c>
      <c r="K747" s="140" t="s">
        <v>6603</v>
      </c>
    </row>
    <row r="748">
      <c r="A748" s="140" t="s">
        <v>7149</v>
      </c>
      <c r="B748" s="140" t="s">
        <v>7299</v>
      </c>
      <c r="C748" s="140" t="s">
        <v>7300</v>
      </c>
      <c r="D748" s="140" t="s">
        <v>6318</v>
      </c>
      <c r="E748" s="140" t="s">
        <v>6550</v>
      </c>
      <c r="F748" s="140" t="s">
        <v>5735</v>
      </c>
      <c r="G748" s="141" t="s">
        <v>6401</v>
      </c>
      <c r="H748" s="140" t="s">
        <v>6312</v>
      </c>
      <c r="I748" s="140" t="s">
        <v>6313</v>
      </c>
      <c r="J748" s="140" t="s">
        <v>6314</v>
      </c>
      <c r="K748" s="140" t="s">
        <v>6603</v>
      </c>
    </row>
    <row r="749">
      <c r="A749" s="140" t="s">
        <v>7149</v>
      </c>
      <c r="B749" s="140" t="s">
        <v>7301</v>
      </c>
      <c r="C749" s="140" t="s">
        <v>7302</v>
      </c>
      <c r="D749" s="140" t="s">
        <v>6318</v>
      </c>
      <c r="E749" s="140" t="s">
        <v>6550</v>
      </c>
      <c r="F749" s="140" t="s">
        <v>5735</v>
      </c>
      <c r="G749" s="141" t="s">
        <v>6401</v>
      </c>
      <c r="H749" s="140" t="s">
        <v>6312</v>
      </c>
      <c r="I749" s="140" t="s">
        <v>6313</v>
      </c>
      <c r="J749" s="140" t="s">
        <v>6314</v>
      </c>
      <c r="K749" s="140" t="s">
        <v>6603</v>
      </c>
    </row>
    <row r="750">
      <c r="A750" s="140" t="s">
        <v>7149</v>
      </c>
      <c r="B750" s="140" t="s">
        <v>7303</v>
      </c>
      <c r="C750" s="140" t="s">
        <v>7304</v>
      </c>
      <c r="D750" s="140" t="s">
        <v>6318</v>
      </c>
      <c r="E750" s="140" t="s">
        <v>6550</v>
      </c>
      <c r="F750" s="140" t="s">
        <v>5735</v>
      </c>
      <c r="G750" s="141" t="s">
        <v>6401</v>
      </c>
      <c r="H750" s="140" t="s">
        <v>6312</v>
      </c>
      <c r="I750" s="140" t="s">
        <v>6313</v>
      </c>
      <c r="J750" s="140" t="s">
        <v>6314</v>
      </c>
      <c r="K750" s="140" t="s">
        <v>6603</v>
      </c>
    </row>
    <row r="751">
      <c r="A751" s="140" t="s">
        <v>7149</v>
      </c>
      <c r="B751" s="140" t="s">
        <v>7305</v>
      </c>
      <c r="C751" s="140" t="s">
        <v>7306</v>
      </c>
      <c r="D751" s="140" t="s">
        <v>6318</v>
      </c>
      <c r="E751" s="140" t="s">
        <v>6550</v>
      </c>
      <c r="F751" s="140" t="s">
        <v>5735</v>
      </c>
      <c r="G751" s="141" t="s">
        <v>6401</v>
      </c>
      <c r="H751" s="140" t="s">
        <v>6312</v>
      </c>
      <c r="I751" s="140" t="s">
        <v>6313</v>
      </c>
      <c r="J751" s="140" t="s">
        <v>6314</v>
      </c>
      <c r="K751" s="140" t="s">
        <v>6603</v>
      </c>
    </row>
    <row r="752">
      <c r="A752" s="140" t="s">
        <v>7149</v>
      </c>
      <c r="B752" s="140" t="s">
        <v>7307</v>
      </c>
      <c r="C752" s="140" t="s">
        <v>7308</v>
      </c>
      <c r="D752" s="140" t="s">
        <v>6318</v>
      </c>
      <c r="E752" s="140" t="s">
        <v>6550</v>
      </c>
      <c r="F752" s="140" t="s">
        <v>5735</v>
      </c>
      <c r="G752" s="141" t="s">
        <v>6401</v>
      </c>
      <c r="H752" s="140" t="s">
        <v>6312</v>
      </c>
      <c r="I752" s="140" t="s">
        <v>6313</v>
      </c>
      <c r="J752" s="140" t="s">
        <v>6314</v>
      </c>
      <c r="K752" s="140" t="s">
        <v>6603</v>
      </c>
    </row>
    <row r="753">
      <c r="A753" s="140" t="s">
        <v>7149</v>
      </c>
      <c r="B753" s="140" t="s">
        <v>7309</v>
      </c>
      <c r="C753" s="140" t="s">
        <v>7310</v>
      </c>
      <c r="D753" s="140" t="s">
        <v>6318</v>
      </c>
      <c r="E753" s="140" t="s">
        <v>6550</v>
      </c>
      <c r="F753" s="140" t="s">
        <v>5735</v>
      </c>
      <c r="G753" s="141" t="s">
        <v>6401</v>
      </c>
      <c r="H753" s="140" t="s">
        <v>6312</v>
      </c>
      <c r="I753" s="140" t="s">
        <v>6313</v>
      </c>
      <c r="J753" s="140" t="s">
        <v>6314</v>
      </c>
      <c r="K753" s="140" t="s">
        <v>6603</v>
      </c>
    </row>
    <row r="754">
      <c r="A754" s="140" t="s">
        <v>7149</v>
      </c>
      <c r="B754" s="140" t="s">
        <v>7311</v>
      </c>
      <c r="C754" s="140" t="s">
        <v>7312</v>
      </c>
      <c r="D754" s="140" t="s">
        <v>6318</v>
      </c>
      <c r="E754" s="140" t="s">
        <v>6550</v>
      </c>
      <c r="F754" s="140" t="s">
        <v>5735</v>
      </c>
      <c r="G754" s="141" t="s">
        <v>6401</v>
      </c>
      <c r="H754" s="140" t="s">
        <v>6312</v>
      </c>
      <c r="I754" s="140" t="s">
        <v>6313</v>
      </c>
      <c r="J754" s="140" t="s">
        <v>6314</v>
      </c>
      <c r="K754" s="140" t="s">
        <v>6603</v>
      </c>
    </row>
    <row r="755">
      <c r="A755" s="140" t="s">
        <v>7149</v>
      </c>
      <c r="B755" s="140" t="s">
        <v>7313</v>
      </c>
      <c r="C755" s="140" t="s">
        <v>7314</v>
      </c>
      <c r="D755" s="140" t="s">
        <v>6318</v>
      </c>
      <c r="E755" s="140" t="s">
        <v>6550</v>
      </c>
      <c r="F755" s="140" t="s">
        <v>5735</v>
      </c>
      <c r="G755" s="141" t="s">
        <v>6401</v>
      </c>
      <c r="H755" s="140" t="s">
        <v>6312</v>
      </c>
      <c r="I755" s="140" t="s">
        <v>6313</v>
      </c>
      <c r="J755" s="140" t="s">
        <v>6314</v>
      </c>
      <c r="K755" s="140" t="s">
        <v>6603</v>
      </c>
    </row>
    <row r="756">
      <c r="A756" s="140" t="s">
        <v>7149</v>
      </c>
      <c r="B756" s="140" t="s">
        <v>7315</v>
      </c>
      <c r="C756" s="140" t="s">
        <v>7316</v>
      </c>
      <c r="D756" s="140" t="s">
        <v>6318</v>
      </c>
      <c r="E756" s="140" t="s">
        <v>6550</v>
      </c>
      <c r="F756" s="140" t="s">
        <v>5735</v>
      </c>
      <c r="G756" s="141" t="s">
        <v>6401</v>
      </c>
      <c r="H756" s="140" t="s">
        <v>6312</v>
      </c>
      <c r="I756" s="140" t="s">
        <v>6313</v>
      </c>
      <c r="J756" s="140" t="s">
        <v>6314</v>
      </c>
      <c r="K756" s="140" t="s">
        <v>6603</v>
      </c>
    </row>
    <row r="757">
      <c r="A757" s="140" t="s">
        <v>7149</v>
      </c>
      <c r="B757" s="140" t="s">
        <v>7317</v>
      </c>
      <c r="C757" s="140" t="s">
        <v>7318</v>
      </c>
      <c r="D757" s="140" t="s">
        <v>6318</v>
      </c>
      <c r="E757" s="140" t="s">
        <v>6550</v>
      </c>
      <c r="F757" s="140" t="s">
        <v>5735</v>
      </c>
      <c r="G757" s="141" t="s">
        <v>6401</v>
      </c>
      <c r="H757" s="140" t="s">
        <v>6312</v>
      </c>
      <c r="I757" s="140" t="s">
        <v>6313</v>
      </c>
      <c r="J757" s="140" t="s">
        <v>6314</v>
      </c>
      <c r="K757" s="140" t="s">
        <v>6603</v>
      </c>
    </row>
    <row r="758">
      <c r="A758" s="140" t="s">
        <v>7149</v>
      </c>
      <c r="B758" s="140" t="s">
        <v>7319</v>
      </c>
      <c r="C758" s="140" t="s">
        <v>7320</v>
      </c>
      <c r="D758" s="140" t="s">
        <v>6318</v>
      </c>
      <c r="E758" s="140" t="s">
        <v>6550</v>
      </c>
      <c r="F758" s="140" t="s">
        <v>5735</v>
      </c>
      <c r="G758" s="141" t="s">
        <v>6401</v>
      </c>
      <c r="H758" s="140" t="s">
        <v>6312</v>
      </c>
      <c r="I758" s="140" t="s">
        <v>6313</v>
      </c>
      <c r="J758" s="140" t="s">
        <v>6314</v>
      </c>
      <c r="K758" s="140" t="s">
        <v>6603</v>
      </c>
    </row>
    <row r="759">
      <c r="A759" s="140" t="s">
        <v>7149</v>
      </c>
      <c r="B759" s="140" t="s">
        <v>7321</v>
      </c>
      <c r="C759" s="140" t="s">
        <v>7322</v>
      </c>
      <c r="D759" s="140" t="s">
        <v>6318</v>
      </c>
      <c r="E759" s="140" t="s">
        <v>6550</v>
      </c>
      <c r="F759" s="140" t="s">
        <v>7323</v>
      </c>
      <c r="G759" s="141" t="s">
        <v>6401</v>
      </c>
      <c r="H759" s="140" t="s">
        <v>6312</v>
      </c>
      <c r="I759" s="140" t="s">
        <v>6313</v>
      </c>
      <c r="J759" s="140" t="s">
        <v>6314</v>
      </c>
      <c r="K759" s="140" t="s">
        <v>6603</v>
      </c>
    </row>
    <row r="760">
      <c r="A760" s="140" t="s">
        <v>7149</v>
      </c>
      <c r="B760" s="140" t="s">
        <v>3530</v>
      </c>
      <c r="C760" s="140" t="s">
        <v>7324</v>
      </c>
      <c r="D760" s="140" t="s">
        <v>6318</v>
      </c>
      <c r="E760" s="140" t="s">
        <v>6550</v>
      </c>
      <c r="F760" s="140" t="s">
        <v>7323</v>
      </c>
      <c r="G760" s="141" t="s">
        <v>6401</v>
      </c>
      <c r="H760" s="140" t="s">
        <v>6312</v>
      </c>
      <c r="I760" s="140" t="s">
        <v>6313</v>
      </c>
      <c r="J760" s="140" t="s">
        <v>6314</v>
      </c>
      <c r="K760" s="140" t="s">
        <v>6603</v>
      </c>
    </row>
    <row r="761">
      <c r="A761" s="140" t="s">
        <v>7149</v>
      </c>
      <c r="B761" s="140" t="s">
        <v>3538</v>
      </c>
      <c r="C761" s="140" t="s">
        <v>7325</v>
      </c>
      <c r="D761" s="140" t="s">
        <v>6318</v>
      </c>
      <c r="E761" s="140" t="s">
        <v>6550</v>
      </c>
      <c r="F761" s="140" t="s">
        <v>7323</v>
      </c>
      <c r="G761" s="141" t="s">
        <v>6401</v>
      </c>
      <c r="H761" s="140" t="s">
        <v>6312</v>
      </c>
      <c r="I761" s="140" t="s">
        <v>6313</v>
      </c>
      <c r="J761" s="140" t="s">
        <v>6314</v>
      </c>
      <c r="K761" s="140" t="s">
        <v>6603</v>
      </c>
    </row>
    <row r="762">
      <c r="A762" s="140" t="s">
        <v>7149</v>
      </c>
      <c r="B762" s="140" t="s">
        <v>7326</v>
      </c>
      <c r="C762" s="140" t="s">
        <v>7327</v>
      </c>
      <c r="D762" s="140" t="s">
        <v>6318</v>
      </c>
      <c r="E762" s="140" t="s">
        <v>6550</v>
      </c>
      <c r="F762" s="140" t="s">
        <v>7323</v>
      </c>
      <c r="G762" s="141" t="s">
        <v>6401</v>
      </c>
      <c r="H762" s="140" t="s">
        <v>6312</v>
      </c>
      <c r="I762" s="140" t="s">
        <v>6313</v>
      </c>
      <c r="J762" s="140" t="s">
        <v>6314</v>
      </c>
      <c r="K762" s="140" t="s">
        <v>6603</v>
      </c>
    </row>
    <row r="763">
      <c r="A763" s="140" t="s">
        <v>7149</v>
      </c>
      <c r="B763" s="140" t="s">
        <v>7328</v>
      </c>
      <c r="C763" s="140" t="s">
        <v>7329</v>
      </c>
      <c r="D763" s="140" t="s">
        <v>6318</v>
      </c>
      <c r="E763" s="140" t="s">
        <v>6550</v>
      </c>
      <c r="F763" s="140" t="s">
        <v>7323</v>
      </c>
      <c r="G763" s="141" t="s">
        <v>6401</v>
      </c>
      <c r="H763" s="140" t="s">
        <v>6312</v>
      </c>
      <c r="I763" s="140" t="s">
        <v>6313</v>
      </c>
      <c r="J763" s="140" t="s">
        <v>6314</v>
      </c>
      <c r="K763" s="140" t="s">
        <v>6603</v>
      </c>
    </row>
    <row r="764">
      <c r="A764" s="140" t="s">
        <v>7149</v>
      </c>
      <c r="B764" s="140" t="s">
        <v>7330</v>
      </c>
      <c r="C764" s="140" t="s">
        <v>7331</v>
      </c>
      <c r="D764" s="140" t="s">
        <v>6318</v>
      </c>
      <c r="E764" s="140" t="s">
        <v>6550</v>
      </c>
      <c r="F764" s="140" t="s">
        <v>7323</v>
      </c>
      <c r="G764" s="141" t="s">
        <v>6401</v>
      </c>
      <c r="H764" s="140" t="s">
        <v>6312</v>
      </c>
      <c r="I764" s="140" t="s">
        <v>6313</v>
      </c>
      <c r="J764" s="140" t="s">
        <v>6314</v>
      </c>
      <c r="K764" s="140" t="s">
        <v>6603</v>
      </c>
    </row>
    <row r="765">
      <c r="A765" s="140" t="s">
        <v>7149</v>
      </c>
      <c r="B765" s="140" t="s">
        <v>2853</v>
      </c>
      <c r="C765" s="140" t="s">
        <v>7332</v>
      </c>
      <c r="D765" s="140" t="s">
        <v>6318</v>
      </c>
      <c r="E765" s="140" t="s">
        <v>6550</v>
      </c>
      <c r="F765" s="140" t="s">
        <v>7323</v>
      </c>
      <c r="G765" s="141" t="s">
        <v>6401</v>
      </c>
      <c r="H765" s="140" t="s">
        <v>6312</v>
      </c>
      <c r="I765" s="140" t="s">
        <v>6313</v>
      </c>
      <c r="J765" s="140" t="s">
        <v>6314</v>
      </c>
      <c r="K765" s="140" t="s">
        <v>6603</v>
      </c>
    </row>
    <row r="766">
      <c r="A766" s="140" t="s">
        <v>7149</v>
      </c>
      <c r="B766" s="140" t="s">
        <v>7333</v>
      </c>
      <c r="C766" s="140" t="s">
        <v>7334</v>
      </c>
      <c r="D766" s="140" t="s">
        <v>6318</v>
      </c>
      <c r="E766" s="140" t="s">
        <v>6550</v>
      </c>
      <c r="F766" s="140" t="s">
        <v>7323</v>
      </c>
      <c r="G766" s="141" t="s">
        <v>6401</v>
      </c>
      <c r="H766" s="140" t="s">
        <v>6312</v>
      </c>
      <c r="I766" s="140" t="s">
        <v>6313</v>
      </c>
      <c r="J766" s="140" t="s">
        <v>6314</v>
      </c>
      <c r="K766" s="140" t="s">
        <v>6603</v>
      </c>
    </row>
    <row r="767">
      <c r="A767" s="140" t="s">
        <v>7149</v>
      </c>
      <c r="B767" s="140" t="s">
        <v>7335</v>
      </c>
      <c r="C767" s="140" t="s">
        <v>7336</v>
      </c>
      <c r="D767" s="140" t="s">
        <v>6318</v>
      </c>
      <c r="E767" s="140" t="s">
        <v>6550</v>
      </c>
      <c r="F767" s="140" t="s">
        <v>7323</v>
      </c>
      <c r="G767" s="141" t="s">
        <v>6401</v>
      </c>
      <c r="H767" s="140" t="s">
        <v>6312</v>
      </c>
      <c r="I767" s="140" t="s">
        <v>6313</v>
      </c>
      <c r="J767" s="140" t="s">
        <v>6314</v>
      </c>
      <c r="K767" s="140" t="s">
        <v>6603</v>
      </c>
    </row>
    <row r="768">
      <c r="A768" s="140" t="s">
        <v>7149</v>
      </c>
      <c r="B768" s="140" t="s">
        <v>2851</v>
      </c>
      <c r="C768" s="140" t="s">
        <v>7337</v>
      </c>
      <c r="D768" s="140" t="s">
        <v>6318</v>
      </c>
      <c r="E768" s="140" t="s">
        <v>6550</v>
      </c>
      <c r="F768" s="140" t="s">
        <v>7323</v>
      </c>
      <c r="G768" s="141" t="s">
        <v>6401</v>
      </c>
      <c r="H768" s="140" t="s">
        <v>6312</v>
      </c>
      <c r="I768" s="140" t="s">
        <v>6313</v>
      </c>
      <c r="J768" s="140" t="s">
        <v>6314</v>
      </c>
      <c r="K768" s="140" t="s">
        <v>6603</v>
      </c>
    </row>
    <row r="769">
      <c r="A769" s="140" t="s">
        <v>7149</v>
      </c>
      <c r="B769" s="140" t="s">
        <v>7338</v>
      </c>
      <c r="C769" s="140" t="s">
        <v>7339</v>
      </c>
      <c r="D769" s="140" t="s">
        <v>6318</v>
      </c>
      <c r="E769" s="140" t="s">
        <v>6550</v>
      </c>
      <c r="F769" s="140" t="s">
        <v>7323</v>
      </c>
      <c r="G769" s="141" t="s">
        <v>6401</v>
      </c>
      <c r="H769" s="140" t="s">
        <v>6312</v>
      </c>
      <c r="I769" s="140" t="s">
        <v>6313</v>
      </c>
      <c r="J769" s="140" t="s">
        <v>6314</v>
      </c>
      <c r="K769" s="140" t="s">
        <v>6603</v>
      </c>
    </row>
    <row r="770">
      <c r="A770" s="140" t="s">
        <v>7149</v>
      </c>
      <c r="B770" s="140" t="s">
        <v>7340</v>
      </c>
      <c r="C770" s="140" t="s">
        <v>7341</v>
      </c>
      <c r="D770" s="140" t="s">
        <v>6318</v>
      </c>
      <c r="E770" s="140" t="s">
        <v>1395</v>
      </c>
      <c r="F770" s="140" t="s">
        <v>1421</v>
      </c>
      <c r="G770" s="141" t="s">
        <v>6401</v>
      </c>
      <c r="H770" s="140" t="s">
        <v>6312</v>
      </c>
      <c r="I770" s="140" t="s">
        <v>6313</v>
      </c>
      <c r="J770" s="140" t="s">
        <v>6314</v>
      </c>
      <c r="K770" s="140" t="s">
        <v>6603</v>
      </c>
    </row>
    <row r="771">
      <c r="A771" s="140" t="s">
        <v>7149</v>
      </c>
      <c r="B771" s="140" t="s">
        <v>7342</v>
      </c>
      <c r="C771" s="140" t="s">
        <v>7343</v>
      </c>
      <c r="D771" s="140" t="s">
        <v>6318</v>
      </c>
      <c r="E771" s="140" t="s">
        <v>1395</v>
      </c>
      <c r="F771" s="140" t="s">
        <v>1421</v>
      </c>
      <c r="G771" s="141" t="s">
        <v>6401</v>
      </c>
      <c r="H771" s="140" t="s">
        <v>6312</v>
      </c>
      <c r="I771" s="140" t="s">
        <v>6313</v>
      </c>
      <c r="J771" s="140" t="s">
        <v>6314</v>
      </c>
      <c r="K771" s="140" t="s">
        <v>6603</v>
      </c>
    </row>
    <row r="772">
      <c r="A772" s="140" t="s">
        <v>7344</v>
      </c>
      <c r="B772" s="140" t="s">
        <v>7345</v>
      </c>
      <c r="C772" s="140" t="s">
        <v>7346</v>
      </c>
      <c r="D772" s="140" t="s">
        <v>7347</v>
      </c>
      <c r="E772" s="140">
        <v>0.0</v>
      </c>
      <c r="F772" s="140" t="s">
        <v>7348</v>
      </c>
      <c r="G772" s="141" t="s">
        <v>6401</v>
      </c>
      <c r="H772" s="140" t="s">
        <v>6312</v>
      </c>
      <c r="I772" s="140" t="s">
        <v>6313</v>
      </c>
      <c r="J772" s="140" t="s">
        <v>6314</v>
      </c>
      <c r="K772" s="140" t="s">
        <v>7349</v>
      </c>
    </row>
    <row r="773">
      <c r="A773" s="140" t="s">
        <v>7344</v>
      </c>
      <c r="B773" s="140" t="s">
        <v>7350</v>
      </c>
      <c r="C773" s="140" t="s">
        <v>7351</v>
      </c>
      <c r="D773" s="140" t="s">
        <v>7347</v>
      </c>
      <c r="E773" s="140">
        <v>0.0</v>
      </c>
      <c r="F773" s="140" t="s">
        <v>7348</v>
      </c>
      <c r="G773" s="141" t="s">
        <v>6401</v>
      </c>
      <c r="H773" s="140" t="s">
        <v>6312</v>
      </c>
      <c r="I773" s="140" t="s">
        <v>6313</v>
      </c>
      <c r="J773" s="140" t="s">
        <v>6314</v>
      </c>
      <c r="K773" s="140" t="s">
        <v>7349</v>
      </c>
    </row>
    <row r="774">
      <c r="A774" s="140" t="s">
        <v>7344</v>
      </c>
      <c r="B774" s="140" t="s">
        <v>7352</v>
      </c>
      <c r="C774" s="140" t="s">
        <v>7353</v>
      </c>
      <c r="D774" s="140" t="s">
        <v>7347</v>
      </c>
      <c r="E774" s="140">
        <v>0.0</v>
      </c>
      <c r="F774" s="140" t="s">
        <v>7348</v>
      </c>
      <c r="G774" s="141" t="s">
        <v>6401</v>
      </c>
      <c r="H774" s="140" t="s">
        <v>6312</v>
      </c>
      <c r="I774" s="140" t="s">
        <v>6313</v>
      </c>
      <c r="J774" s="140" t="s">
        <v>6314</v>
      </c>
      <c r="K774" s="140" t="s">
        <v>7349</v>
      </c>
    </row>
    <row r="775">
      <c r="A775" s="140" t="s">
        <v>7354</v>
      </c>
      <c r="B775" s="140" t="s">
        <v>3016</v>
      </c>
      <c r="C775" s="140" t="s">
        <v>7355</v>
      </c>
      <c r="D775" s="140" t="s">
        <v>6786</v>
      </c>
      <c r="E775" s="140" t="s">
        <v>6786</v>
      </c>
      <c r="F775" s="140" t="s">
        <v>7356</v>
      </c>
      <c r="G775" s="141" t="s">
        <v>6401</v>
      </c>
      <c r="H775" s="140" t="s">
        <v>6312</v>
      </c>
      <c r="I775" s="140" t="s">
        <v>6313</v>
      </c>
      <c r="J775" s="140" t="s">
        <v>6314</v>
      </c>
      <c r="K775" s="140" t="s">
        <v>1573</v>
      </c>
    </row>
    <row r="776">
      <c r="A776" s="140" t="s">
        <v>7357</v>
      </c>
      <c r="B776" s="140" t="s">
        <v>4611</v>
      </c>
      <c r="C776" s="140" t="s">
        <v>7358</v>
      </c>
      <c r="D776" s="140" t="s">
        <v>6309</v>
      </c>
      <c r="E776" s="140" t="s">
        <v>47</v>
      </c>
      <c r="F776" s="140" t="s">
        <v>48</v>
      </c>
      <c r="G776" s="141" t="s">
        <v>6401</v>
      </c>
      <c r="H776" s="140" t="s">
        <v>6330</v>
      </c>
      <c r="I776" s="140" t="s">
        <v>6313</v>
      </c>
      <c r="J776" s="140" t="s">
        <v>6319</v>
      </c>
      <c r="K776" s="140" t="s">
        <v>7357</v>
      </c>
    </row>
    <row r="777">
      <c r="A777" s="140" t="s">
        <v>7357</v>
      </c>
      <c r="B777" s="140" t="s">
        <v>4621</v>
      </c>
      <c r="C777" s="140" t="s">
        <v>7359</v>
      </c>
      <c r="D777" s="140" t="s">
        <v>6309</v>
      </c>
      <c r="E777" s="140" t="s">
        <v>47</v>
      </c>
      <c r="F777" s="140" t="s">
        <v>48</v>
      </c>
      <c r="G777" s="141" t="s">
        <v>6401</v>
      </c>
      <c r="H777" s="140" t="s">
        <v>6330</v>
      </c>
      <c r="I777" s="140" t="s">
        <v>6313</v>
      </c>
      <c r="J777" s="140" t="s">
        <v>6319</v>
      </c>
      <c r="K777" s="140" t="s">
        <v>7357</v>
      </c>
    </row>
    <row r="778">
      <c r="A778" s="140" t="s">
        <v>7357</v>
      </c>
      <c r="B778" s="140" t="s">
        <v>2527</v>
      </c>
      <c r="C778" s="140" t="s">
        <v>7360</v>
      </c>
      <c r="D778" s="140" t="s">
        <v>6309</v>
      </c>
      <c r="E778" s="140" t="s">
        <v>47</v>
      </c>
      <c r="F778" s="140" t="s">
        <v>48</v>
      </c>
      <c r="G778" s="141" t="s">
        <v>6401</v>
      </c>
      <c r="H778" s="140" t="s">
        <v>6330</v>
      </c>
      <c r="I778" s="140" t="s">
        <v>6313</v>
      </c>
      <c r="J778" s="140" t="s">
        <v>6319</v>
      </c>
      <c r="K778" s="140" t="s">
        <v>7357</v>
      </c>
    </row>
    <row r="779">
      <c r="A779" s="140" t="s">
        <v>7357</v>
      </c>
      <c r="B779" s="140" t="s">
        <v>7361</v>
      </c>
      <c r="C779" s="140" t="s">
        <v>7362</v>
      </c>
      <c r="D779" s="140" t="s">
        <v>6309</v>
      </c>
      <c r="E779" s="140" t="s">
        <v>47</v>
      </c>
      <c r="F779" s="140" t="s">
        <v>48</v>
      </c>
      <c r="G779" s="141" t="s">
        <v>6401</v>
      </c>
      <c r="H779" s="140" t="s">
        <v>6330</v>
      </c>
      <c r="I779" s="140" t="s">
        <v>6313</v>
      </c>
      <c r="J779" s="140" t="s">
        <v>6319</v>
      </c>
      <c r="K779" s="140" t="s">
        <v>7357</v>
      </c>
    </row>
    <row r="780">
      <c r="A780" s="140" t="s">
        <v>7357</v>
      </c>
      <c r="B780" s="140" t="s">
        <v>7363</v>
      </c>
      <c r="C780" s="140" t="s">
        <v>7364</v>
      </c>
      <c r="D780" s="140" t="s">
        <v>6309</v>
      </c>
      <c r="E780" s="140" t="s">
        <v>47</v>
      </c>
      <c r="F780" s="140" t="s">
        <v>48</v>
      </c>
      <c r="G780" s="141" t="s">
        <v>6401</v>
      </c>
      <c r="H780" s="140" t="s">
        <v>6330</v>
      </c>
      <c r="I780" s="140" t="s">
        <v>6313</v>
      </c>
      <c r="J780" s="140" t="s">
        <v>6319</v>
      </c>
      <c r="K780" s="140" t="s">
        <v>7357</v>
      </c>
    </row>
    <row r="781">
      <c r="A781" s="140" t="s">
        <v>7357</v>
      </c>
      <c r="B781" s="140" t="s">
        <v>7365</v>
      </c>
      <c r="C781" s="140" t="s">
        <v>7366</v>
      </c>
      <c r="D781" s="140" t="s">
        <v>6309</v>
      </c>
      <c r="E781" s="140" t="s">
        <v>47</v>
      </c>
      <c r="F781" s="140" t="s">
        <v>48</v>
      </c>
      <c r="G781" s="141" t="s">
        <v>6401</v>
      </c>
      <c r="H781" s="146" t="s">
        <v>6330</v>
      </c>
      <c r="I781" s="140" t="s">
        <v>6313</v>
      </c>
      <c r="J781" s="140" t="s">
        <v>6319</v>
      </c>
      <c r="K781" s="140" t="s">
        <v>7357</v>
      </c>
    </row>
    <row r="782">
      <c r="A782" s="140" t="s">
        <v>7357</v>
      </c>
      <c r="B782" s="140" t="s">
        <v>7367</v>
      </c>
      <c r="C782" s="140" t="s">
        <v>7368</v>
      </c>
      <c r="D782" s="140" t="s">
        <v>6309</v>
      </c>
      <c r="E782" s="140" t="s">
        <v>47</v>
      </c>
      <c r="F782" s="140" t="s">
        <v>48</v>
      </c>
      <c r="G782" s="141" t="s">
        <v>6401</v>
      </c>
      <c r="H782" s="140" t="s">
        <v>6330</v>
      </c>
      <c r="I782" s="140" t="s">
        <v>6313</v>
      </c>
      <c r="J782" s="140" t="s">
        <v>6319</v>
      </c>
      <c r="K782" s="140" t="s">
        <v>7357</v>
      </c>
    </row>
    <row r="783">
      <c r="A783" s="140" t="s">
        <v>7357</v>
      </c>
      <c r="B783" s="140" t="s">
        <v>2903</v>
      </c>
      <c r="C783" s="140" t="s">
        <v>7369</v>
      </c>
      <c r="D783" s="140" t="s">
        <v>6309</v>
      </c>
      <c r="E783" s="140" t="s">
        <v>47</v>
      </c>
      <c r="F783" s="140" t="s">
        <v>48</v>
      </c>
      <c r="G783" s="141" t="s">
        <v>6664</v>
      </c>
      <c r="H783" s="140" t="s">
        <v>6330</v>
      </c>
      <c r="I783" s="140" t="s">
        <v>6313</v>
      </c>
      <c r="J783" s="140" t="s">
        <v>6319</v>
      </c>
      <c r="K783" s="140" t="s">
        <v>7357</v>
      </c>
    </row>
    <row r="784">
      <c r="A784" s="140" t="s">
        <v>7357</v>
      </c>
      <c r="B784" s="140" t="s">
        <v>3119</v>
      </c>
      <c r="C784" s="140" t="s">
        <v>7370</v>
      </c>
      <c r="D784" s="140" t="s">
        <v>6309</v>
      </c>
      <c r="E784" s="140" t="s">
        <v>47</v>
      </c>
      <c r="F784" s="140" t="s">
        <v>48</v>
      </c>
      <c r="G784" s="141" t="s">
        <v>6664</v>
      </c>
      <c r="H784" s="140" t="s">
        <v>6330</v>
      </c>
      <c r="I784" s="140" t="s">
        <v>6313</v>
      </c>
      <c r="J784" s="140" t="s">
        <v>6319</v>
      </c>
      <c r="K784" s="140" t="s">
        <v>7357</v>
      </c>
    </row>
    <row r="785">
      <c r="A785" s="140" t="s">
        <v>7357</v>
      </c>
      <c r="B785" s="140" t="s">
        <v>7371</v>
      </c>
      <c r="C785" s="140" t="s">
        <v>7372</v>
      </c>
      <c r="D785" s="140" t="s">
        <v>6309</v>
      </c>
      <c r="E785" s="140" t="s">
        <v>47</v>
      </c>
      <c r="F785" s="140" t="s">
        <v>48</v>
      </c>
      <c r="G785" s="141" t="s">
        <v>6401</v>
      </c>
      <c r="H785" s="140" t="s">
        <v>6312</v>
      </c>
      <c r="I785" s="140" t="s">
        <v>6313</v>
      </c>
      <c r="J785" s="140" t="s">
        <v>6319</v>
      </c>
      <c r="K785" s="140" t="s">
        <v>7357</v>
      </c>
    </row>
    <row r="786">
      <c r="A786" s="140" t="s">
        <v>7357</v>
      </c>
      <c r="B786" s="140" t="s">
        <v>4629</v>
      </c>
      <c r="C786" s="140" t="s">
        <v>7373</v>
      </c>
      <c r="D786" s="140" t="s">
        <v>6309</v>
      </c>
      <c r="E786" s="140" t="s">
        <v>47</v>
      </c>
      <c r="F786" s="140" t="s">
        <v>48</v>
      </c>
      <c r="G786" s="141" t="s">
        <v>6401</v>
      </c>
      <c r="H786" s="140" t="s">
        <v>6330</v>
      </c>
      <c r="I786" s="140" t="s">
        <v>6313</v>
      </c>
      <c r="J786" s="140" t="s">
        <v>6319</v>
      </c>
      <c r="K786" s="140" t="s">
        <v>7357</v>
      </c>
    </row>
    <row r="787">
      <c r="A787" s="140" t="s">
        <v>7357</v>
      </c>
      <c r="B787" s="140" t="s">
        <v>7374</v>
      </c>
      <c r="C787" s="140" t="s">
        <v>7375</v>
      </c>
      <c r="D787" s="140" t="s">
        <v>6309</v>
      </c>
      <c r="E787" s="140" t="s">
        <v>47</v>
      </c>
      <c r="F787" s="140" t="s">
        <v>7376</v>
      </c>
      <c r="G787" s="141" t="s">
        <v>6401</v>
      </c>
      <c r="H787" s="147" t="s">
        <v>6312</v>
      </c>
      <c r="I787" s="140" t="s">
        <v>6313</v>
      </c>
      <c r="J787" s="140" t="s">
        <v>6319</v>
      </c>
      <c r="K787" s="140" t="s">
        <v>7357</v>
      </c>
    </row>
    <row r="788">
      <c r="A788" s="140" t="s">
        <v>7357</v>
      </c>
      <c r="B788" s="140" t="s">
        <v>7377</v>
      </c>
      <c r="C788" s="140" t="s">
        <v>7378</v>
      </c>
      <c r="D788" s="140" t="s">
        <v>6309</v>
      </c>
      <c r="E788" s="140" t="s">
        <v>56</v>
      </c>
      <c r="F788" s="140" t="s">
        <v>64</v>
      </c>
      <c r="G788" s="141" t="s">
        <v>6401</v>
      </c>
      <c r="H788" s="140" t="s">
        <v>6312</v>
      </c>
      <c r="I788" s="140" t="s">
        <v>6313</v>
      </c>
      <c r="J788" s="140" t="s">
        <v>6319</v>
      </c>
      <c r="K788" s="140" t="s">
        <v>7357</v>
      </c>
    </row>
    <row r="789">
      <c r="A789" s="140" t="s">
        <v>7357</v>
      </c>
      <c r="B789" s="140" t="s">
        <v>4631</v>
      </c>
      <c r="C789" s="140" t="s">
        <v>7379</v>
      </c>
      <c r="D789" s="140" t="s">
        <v>6309</v>
      </c>
      <c r="E789" s="140" t="s">
        <v>56</v>
      </c>
      <c r="F789" s="140" t="s">
        <v>64</v>
      </c>
      <c r="G789" s="141" t="s">
        <v>6401</v>
      </c>
      <c r="H789" s="140" t="s">
        <v>6330</v>
      </c>
      <c r="I789" s="140" t="s">
        <v>6313</v>
      </c>
      <c r="J789" s="140" t="s">
        <v>6319</v>
      </c>
      <c r="K789" s="140" t="s">
        <v>7357</v>
      </c>
    </row>
    <row r="790">
      <c r="A790" s="140" t="s">
        <v>7357</v>
      </c>
      <c r="B790" s="140" t="s">
        <v>2529</v>
      </c>
      <c r="C790" s="140" t="s">
        <v>7380</v>
      </c>
      <c r="D790" s="140" t="s">
        <v>6309</v>
      </c>
      <c r="E790" s="140" t="s">
        <v>56</v>
      </c>
      <c r="F790" s="140" t="s">
        <v>64</v>
      </c>
      <c r="G790" s="141" t="s">
        <v>6401</v>
      </c>
      <c r="H790" s="140" t="s">
        <v>6330</v>
      </c>
      <c r="I790" s="140" t="s">
        <v>6313</v>
      </c>
      <c r="J790" s="140" t="s">
        <v>6319</v>
      </c>
      <c r="K790" s="140" t="s">
        <v>7357</v>
      </c>
    </row>
    <row r="791">
      <c r="A791" s="140" t="s">
        <v>7357</v>
      </c>
      <c r="B791" s="140" t="s">
        <v>7381</v>
      </c>
      <c r="C791" s="140" t="s">
        <v>7382</v>
      </c>
      <c r="D791" s="140" t="s">
        <v>6309</v>
      </c>
      <c r="E791" s="140" t="s">
        <v>56</v>
      </c>
      <c r="F791" s="140" t="s">
        <v>64</v>
      </c>
      <c r="G791" s="141" t="s">
        <v>6401</v>
      </c>
      <c r="H791" s="140" t="s">
        <v>6312</v>
      </c>
      <c r="I791" s="140" t="s">
        <v>6313</v>
      </c>
      <c r="J791" s="140" t="s">
        <v>6319</v>
      </c>
      <c r="K791" s="140" t="s">
        <v>7357</v>
      </c>
    </row>
    <row r="792">
      <c r="A792" s="140" t="s">
        <v>7357</v>
      </c>
      <c r="B792" s="140" t="s">
        <v>2484</v>
      </c>
      <c r="C792" s="140" t="s">
        <v>7383</v>
      </c>
      <c r="D792" s="140" t="s">
        <v>6309</v>
      </c>
      <c r="E792" s="140" t="s">
        <v>56</v>
      </c>
      <c r="F792" s="140" t="s">
        <v>64</v>
      </c>
      <c r="G792" s="141" t="s">
        <v>6401</v>
      </c>
      <c r="H792" s="140" t="s">
        <v>6330</v>
      </c>
      <c r="I792" s="140" t="s">
        <v>6313</v>
      </c>
      <c r="J792" s="140" t="s">
        <v>6319</v>
      </c>
      <c r="K792" s="140" t="s">
        <v>7357</v>
      </c>
    </row>
    <row r="793">
      <c r="A793" s="140" t="s">
        <v>7357</v>
      </c>
      <c r="B793" s="140" t="s">
        <v>2486</v>
      </c>
      <c r="C793" s="140" t="s">
        <v>7384</v>
      </c>
      <c r="D793" s="140" t="s">
        <v>6309</v>
      </c>
      <c r="E793" s="140" t="s">
        <v>56</v>
      </c>
      <c r="F793" s="140" t="s">
        <v>64</v>
      </c>
      <c r="G793" s="141" t="s">
        <v>6664</v>
      </c>
      <c r="H793" s="140" t="s">
        <v>6330</v>
      </c>
      <c r="I793" s="140" t="s">
        <v>6313</v>
      </c>
      <c r="J793" s="140" t="s">
        <v>6319</v>
      </c>
      <c r="K793" s="140" t="s">
        <v>7357</v>
      </c>
    </row>
    <row r="794">
      <c r="A794" s="140" t="s">
        <v>7357</v>
      </c>
      <c r="B794" s="140" t="s">
        <v>7385</v>
      </c>
      <c r="C794" s="140" t="s">
        <v>7386</v>
      </c>
      <c r="D794" s="140" t="s">
        <v>6309</v>
      </c>
      <c r="E794" s="140" t="s">
        <v>56</v>
      </c>
      <c r="F794" s="140" t="s">
        <v>64</v>
      </c>
      <c r="G794" s="141" t="s">
        <v>6401</v>
      </c>
      <c r="H794" s="140" t="s">
        <v>6312</v>
      </c>
      <c r="I794" s="140" t="s">
        <v>6313</v>
      </c>
      <c r="J794" s="140" t="s">
        <v>6319</v>
      </c>
      <c r="K794" s="140" t="s">
        <v>7357</v>
      </c>
    </row>
    <row r="795">
      <c r="A795" s="140" t="s">
        <v>7357</v>
      </c>
      <c r="B795" s="140" t="s">
        <v>7387</v>
      </c>
      <c r="C795" s="140" t="s">
        <v>7388</v>
      </c>
      <c r="D795" s="140" t="s">
        <v>6309</v>
      </c>
      <c r="E795" s="140" t="s">
        <v>56</v>
      </c>
      <c r="F795" s="140" t="s">
        <v>64</v>
      </c>
      <c r="G795" s="141" t="s">
        <v>6401</v>
      </c>
      <c r="H795" s="140" t="s">
        <v>6330</v>
      </c>
      <c r="I795" s="140" t="s">
        <v>6313</v>
      </c>
      <c r="J795" s="140" t="s">
        <v>6319</v>
      </c>
      <c r="K795" s="140" t="s">
        <v>7357</v>
      </c>
    </row>
    <row r="796">
      <c r="A796" s="140" t="s">
        <v>7357</v>
      </c>
      <c r="B796" s="140" t="s">
        <v>7389</v>
      </c>
      <c r="C796" s="140" t="s">
        <v>7390</v>
      </c>
      <c r="D796" s="140" t="s">
        <v>6309</v>
      </c>
      <c r="E796" s="140" t="s">
        <v>56</v>
      </c>
      <c r="F796" s="140" t="s">
        <v>64</v>
      </c>
      <c r="G796" s="141" t="s">
        <v>6401</v>
      </c>
      <c r="H796" s="140" t="s">
        <v>6312</v>
      </c>
      <c r="I796" s="140" t="s">
        <v>6313</v>
      </c>
      <c r="J796" s="140" t="s">
        <v>6319</v>
      </c>
      <c r="K796" s="140" t="s">
        <v>7357</v>
      </c>
    </row>
    <row r="797">
      <c r="A797" s="140" t="s">
        <v>7357</v>
      </c>
      <c r="B797" s="140" t="s">
        <v>7391</v>
      </c>
      <c r="C797" s="140" t="s">
        <v>7392</v>
      </c>
      <c r="D797" s="140" t="s">
        <v>6309</v>
      </c>
      <c r="E797" s="140" t="s">
        <v>56</v>
      </c>
      <c r="F797" s="140" t="s">
        <v>64</v>
      </c>
      <c r="G797" s="141" t="s">
        <v>6401</v>
      </c>
      <c r="H797" s="140" t="s">
        <v>6330</v>
      </c>
      <c r="I797" s="140" t="s">
        <v>6313</v>
      </c>
      <c r="J797" s="140" t="s">
        <v>6319</v>
      </c>
      <c r="K797" s="140" t="s">
        <v>7357</v>
      </c>
    </row>
    <row r="798">
      <c r="A798" s="140" t="s">
        <v>7357</v>
      </c>
      <c r="B798" s="140" t="s">
        <v>7393</v>
      </c>
      <c r="C798" s="140" t="s">
        <v>7394</v>
      </c>
      <c r="D798" s="140" t="s">
        <v>6309</v>
      </c>
      <c r="E798" s="140" t="s">
        <v>56</v>
      </c>
      <c r="F798" s="140" t="s">
        <v>64</v>
      </c>
      <c r="G798" s="141" t="s">
        <v>6401</v>
      </c>
      <c r="H798" s="140" t="s">
        <v>6312</v>
      </c>
      <c r="I798" s="140" t="s">
        <v>6313</v>
      </c>
      <c r="J798" s="140" t="s">
        <v>6319</v>
      </c>
      <c r="K798" s="140" t="s">
        <v>7357</v>
      </c>
    </row>
    <row r="799">
      <c r="A799" s="140" t="s">
        <v>7357</v>
      </c>
      <c r="B799" s="140" t="s">
        <v>7395</v>
      </c>
      <c r="C799" s="140" t="s">
        <v>7396</v>
      </c>
      <c r="D799" s="140" t="s">
        <v>6309</v>
      </c>
      <c r="E799" s="140" t="s">
        <v>56</v>
      </c>
      <c r="F799" s="140" t="s">
        <v>64</v>
      </c>
      <c r="G799" s="141" t="s">
        <v>6401</v>
      </c>
      <c r="H799" s="140" t="s">
        <v>6330</v>
      </c>
      <c r="I799" s="140" t="s">
        <v>6313</v>
      </c>
      <c r="J799" s="140" t="s">
        <v>6319</v>
      </c>
      <c r="K799" s="140" t="s">
        <v>7357</v>
      </c>
    </row>
    <row r="800">
      <c r="A800" s="140" t="s">
        <v>7357</v>
      </c>
      <c r="B800" s="140" t="s">
        <v>7397</v>
      </c>
      <c r="C800" s="140" t="s">
        <v>7398</v>
      </c>
      <c r="D800" s="140" t="s">
        <v>6309</v>
      </c>
      <c r="E800" s="140" t="s">
        <v>56</v>
      </c>
      <c r="F800" s="140" t="s">
        <v>64</v>
      </c>
      <c r="G800" s="141" t="s">
        <v>6401</v>
      </c>
      <c r="H800" s="140" t="s">
        <v>6312</v>
      </c>
      <c r="I800" s="140" t="s">
        <v>6313</v>
      </c>
      <c r="J800" s="140" t="s">
        <v>6319</v>
      </c>
      <c r="K800" s="140" t="s">
        <v>7357</v>
      </c>
    </row>
    <row r="801">
      <c r="A801" s="140" t="s">
        <v>7357</v>
      </c>
      <c r="B801" s="140" t="s">
        <v>7399</v>
      </c>
      <c r="C801" s="140" t="s">
        <v>7400</v>
      </c>
      <c r="D801" s="140" t="s">
        <v>6309</v>
      </c>
      <c r="E801" s="140" t="s">
        <v>56</v>
      </c>
      <c r="F801" s="140" t="s">
        <v>64</v>
      </c>
      <c r="G801" s="141" t="s">
        <v>6401</v>
      </c>
      <c r="H801" s="147" t="s">
        <v>6312</v>
      </c>
      <c r="I801" s="140" t="s">
        <v>6313</v>
      </c>
      <c r="J801" s="140" t="s">
        <v>6319</v>
      </c>
      <c r="K801" s="140" t="s">
        <v>7357</v>
      </c>
    </row>
    <row r="802">
      <c r="A802" s="140" t="s">
        <v>7357</v>
      </c>
      <c r="B802" s="140" t="s">
        <v>2502</v>
      </c>
      <c r="C802" s="140" t="s">
        <v>7401</v>
      </c>
      <c r="D802" s="140" t="s">
        <v>6309</v>
      </c>
      <c r="E802" s="140" t="s">
        <v>56</v>
      </c>
      <c r="F802" s="140" t="s">
        <v>64</v>
      </c>
      <c r="G802" s="141" t="s">
        <v>6668</v>
      </c>
      <c r="H802" s="140" t="s">
        <v>6330</v>
      </c>
      <c r="I802" s="140" t="s">
        <v>6313</v>
      </c>
      <c r="J802" s="140" t="s">
        <v>6319</v>
      </c>
      <c r="K802" s="140" t="s">
        <v>7357</v>
      </c>
    </row>
    <row r="803">
      <c r="A803" s="140" t="s">
        <v>7357</v>
      </c>
      <c r="B803" s="140" t="s">
        <v>2500</v>
      </c>
      <c r="C803" s="140" t="s">
        <v>7402</v>
      </c>
      <c r="D803" s="140" t="s">
        <v>6309</v>
      </c>
      <c r="E803" s="140" t="s">
        <v>56</v>
      </c>
      <c r="F803" s="140" t="s">
        <v>64</v>
      </c>
      <c r="G803" s="141" t="s">
        <v>6401</v>
      </c>
      <c r="H803" s="140" t="s">
        <v>6330</v>
      </c>
      <c r="I803" s="140" t="s">
        <v>6313</v>
      </c>
      <c r="J803" s="140" t="s">
        <v>6319</v>
      </c>
      <c r="K803" s="140" t="s">
        <v>7357</v>
      </c>
    </row>
    <row r="804">
      <c r="A804" s="140" t="s">
        <v>7357</v>
      </c>
      <c r="B804" s="140" t="s">
        <v>7403</v>
      </c>
      <c r="C804" s="140" t="s">
        <v>7404</v>
      </c>
      <c r="D804" s="140" t="s">
        <v>6309</v>
      </c>
      <c r="E804" s="140" t="s">
        <v>56</v>
      </c>
      <c r="F804" s="140" t="s">
        <v>64</v>
      </c>
      <c r="G804" s="141" t="s">
        <v>6401</v>
      </c>
      <c r="H804" s="140" t="s">
        <v>6312</v>
      </c>
      <c r="I804" s="140" t="s">
        <v>6313</v>
      </c>
      <c r="J804" s="140" t="s">
        <v>6319</v>
      </c>
      <c r="K804" s="140" t="s">
        <v>7357</v>
      </c>
    </row>
    <row r="805">
      <c r="A805" s="140" t="s">
        <v>7357</v>
      </c>
      <c r="B805" s="140" t="s">
        <v>7405</v>
      </c>
      <c r="C805" s="140" t="s">
        <v>7406</v>
      </c>
      <c r="D805" s="140" t="s">
        <v>6309</v>
      </c>
      <c r="E805" s="140" t="s">
        <v>56</v>
      </c>
      <c r="F805" s="140" t="s">
        <v>64</v>
      </c>
      <c r="G805" s="141" t="s">
        <v>6401</v>
      </c>
      <c r="H805" s="140" t="s">
        <v>6312</v>
      </c>
      <c r="I805" s="140" t="s">
        <v>6313</v>
      </c>
      <c r="J805" s="140" t="s">
        <v>6319</v>
      </c>
      <c r="K805" s="140" t="s">
        <v>7357</v>
      </c>
    </row>
    <row r="806">
      <c r="A806" s="140" t="s">
        <v>7357</v>
      </c>
      <c r="B806" s="140" t="s">
        <v>7407</v>
      </c>
      <c r="C806" s="140" t="s">
        <v>7408</v>
      </c>
      <c r="D806" s="140" t="s">
        <v>6309</v>
      </c>
      <c r="E806" s="140" t="s">
        <v>56</v>
      </c>
      <c r="F806" s="140" t="s">
        <v>64</v>
      </c>
      <c r="G806" s="141" t="s">
        <v>6401</v>
      </c>
      <c r="H806" s="140" t="s">
        <v>6330</v>
      </c>
      <c r="I806" s="140" t="s">
        <v>6313</v>
      </c>
      <c r="J806" s="140" t="s">
        <v>6319</v>
      </c>
      <c r="K806" s="140" t="s">
        <v>7357</v>
      </c>
    </row>
    <row r="807">
      <c r="A807" s="140" t="s">
        <v>7357</v>
      </c>
      <c r="B807" s="140" t="s">
        <v>7409</v>
      </c>
      <c r="C807" s="140" t="s">
        <v>7410</v>
      </c>
      <c r="D807" s="140" t="s">
        <v>6309</v>
      </c>
      <c r="E807" s="140" t="s">
        <v>56</v>
      </c>
      <c r="F807" s="140" t="s">
        <v>64</v>
      </c>
      <c r="G807" s="141" t="s">
        <v>6401</v>
      </c>
      <c r="H807" s="140" t="s">
        <v>6312</v>
      </c>
      <c r="I807" s="140" t="s">
        <v>6313</v>
      </c>
      <c r="J807" s="140" t="s">
        <v>6319</v>
      </c>
      <c r="K807" s="140" t="s">
        <v>7357</v>
      </c>
    </row>
    <row r="808">
      <c r="A808" s="140" t="s">
        <v>7357</v>
      </c>
      <c r="B808" s="140" t="s">
        <v>7411</v>
      </c>
      <c r="C808" s="140" t="s">
        <v>7412</v>
      </c>
      <c r="D808" s="140" t="s">
        <v>6309</v>
      </c>
      <c r="E808" s="140" t="s">
        <v>56</v>
      </c>
      <c r="F808" s="140" t="s">
        <v>64</v>
      </c>
      <c r="G808" s="141" t="s">
        <v>6401</v>
      </c>
      <c r="H808" s="140" t="s">
        <v>6330</v>
      </c>
      <c r="I808" s="140" t="s">
        <v>6313</v>
      </c>
      <c r="J808" s="140" t="s">
        <v>6319</v>
      </c>
      <c r="K808" s="140" t="s">
        <v>7357</v>
      </c>
    </row>
    <row r="809">
      <c r="A809" s="140" t="s">
        <v>7357</v>
      </c>
      <c r="B809" s="140" t="s">
        <v>7413</v>
      </c>
      <c r="C809" s="140" t="s">
        <v>7414</v>
      </c>
      <c r="D809" s="140" t="s">
        <v>6309</v>
      </c>
      <c r="E809" s="140" t="s">
        <v>56</v>
      </c>
      <c r="F809" s="140" t="s">
        <v>64</v>
      </c>
      <c r="G809" s="141" t="s">
        <v>6401</v>
      </c>
      <c r="H809" s="140" t="s">
        <v>6312</v>
      </c>
      <c r="I809" s="140" t="s">
        <v>6313</v>
      </c>
      <c r="J809" s="140" t="s">
        <v>6319</v>
      </c>
      <c r="K809" s="140" t="s">
        <v>7357</v>
      </c>
    </row>
    <row r="810">
      <c r="A810" s="140" t="s">
        <v>7357</v>
      </c>
      <c r="B810" s="140" t="s">
        <v>2901</v>
      </c>
      <c r="C810" s="140" t="s">
        <v>7415</v>
      </c>
      <c r="D810" s="140" t="s">
        <v>6309</v>
      </c>
      <c r="E810" s="140" t="s">
        <v>56</v>
      </c>
      <c r="F810" s="140" t="s">
        <v>64</v>
      </c>
      <c r="G810" s="141" t="s">
        <v>6401</v>
      </c>
      <c r="H810" s="140" t="s">
        <v>6330</v>
      </c>
      <c r="I810" s="140" t="s">
        <v>6313</v>
      </c>
      <c r="J810" s="140" t="s">
        <v>6319</v>
      </c>
      <c r="K810" s="140" t="s">
        <v>7357</v>
      </c>
    </row>
    <row r="811">
      <c r="A811" s="140" t="s">
        <v>7357</v>
      </c>
      <c r="B811" s="140" t="s">
        <v>2531</v>
      </c>
      <c r="C811" s="140" t="s">
        <v>7416</v>
      </c>
      <c r="D811" s="140" t="s">
        <v>6309</v>
      </c>
      <c r="E811" s="140" t="s">
        <v>56</v>
      </c>
      <c r="F811" s="140" t="s">
        <v>64</v>
      </c>
      <c r="G811" s="141" t="s">
        <v>6401</v>
      </c>
      <c r="H811" s="140" t="s">
        <v>6330</v>
      </c>
      <c r="I811" s="140" t="s">
        <v>6313</v>
      </c>
      <c r="J811" s="140" t="s">
        <v>6319</v>
      </c>
      <c r="K811" s="140" t="s">
        <v>7357</v>
      </c>
    </row>
    <row r="812">
      <c r="A812" s="140" t="s">
        <v>7357</v>
      </c>
      <c r="B812" s="140" t="s">
        <v>7417</v>
      </c>
      <c r="C812" s="140" t="s">
        <v>7418</v>
      </c>
      <c r="D812" s="140" t="s">
        <v>6309</v>
      </c>
      <c r="E812" s="140" t="s">
        <v>56</v>
      </c>
      <c r="F812" s="140" t="s">
        <v>64</v>
      </c>
      <c r="G812" s="141" t="s">
        <v>6401</v>
      </c>
      <c r="H812" s="146" t="s">
        <v>6330</v>
      </c>
      <c r="I812" s="140" t="s">
        <v>6313</v>
      </c>
      <c r="J812" s="140" t="s">
        <v>6319</v>
      </c>
      <c r="K812" s="140" t="s">
        <v>7357</v>
      </c>
    </row>
    <row r="813">
      <c r="A813" s="140" t="s">
        <v>7357</v>
      </c>
      <c r="B813" s="140" t="s">
        <v>7419</v>
      </c>
      <c r="C813" s="140" t="s">
        <v>7420</v>
      </c>
      <c r="D813" s="140" t="s">
        <v>6309</v>
      </c>
      <c r="E813" s="140" t="s">
        <v>56</v>
      </c>
      <c r="F813" s="140" t="s">
        <v>64</v>
      </c>
      <c r="G813" s="141" t="s">
        <v>6401</v>
      </c>
      <c r="H813" s="146" t="s">
        <v>6330</v>
      </c>
      <c r="I813" s="140" t="s">
        <v>6313</v>
      </c>
      <c r="J813" s="140" t="s">
        <v>6319</v>
      </c>
      <c r="K813" s="140" t="s">
        <v>7357</v>
      </c>
    </row>
    <row r="814">
      <c r="A814" s="140" t="s">
        <v>7357</v>
      </c>
      <c r="B814" s="140" t="s">
        <v>2525</v>
      </c>
      <c r="C814" s="140" t="s">
        <v>7421</v>
      </c>
      <c r="D814" s="140" t="s">
        <v>6309</v>
      </c>
      <c r="E814" s="140" t="s">
        <v>56</v>
      </c>
      <c r="F814" s="140" t="s">
        <v>64</v>
      </c>
      <c r="G814" s="141" t="s">
        <v>6401</v>
      </c>
      <c r="H814" s="140" t="s">
        <v>6330</v>
      </c>
      <c r="I814" s="140" t="s">
        <v>6313</v>
      </c>
      <c r="J814" s="140" t="s">
        <v>6319</v>
      </c>
      <c r="K814" s="140" t="s">
        <v>7357</v>
      </c>
    </row>
    <row r="815">
      <c r="A815" s="140" t="s">
        <v>7357</v>
      </c>
      <c r="B815" s="140" t="s">
        <v>4613</v>
      </c>
      <c r="C815" s="140" t="s">
        <v>7422</v>
      </c>
      <c r="D815" s="140" t="s">
        <v>6309</v>
      </c>
      <c r="E815" s="140" t="s">
        <v>56</v>
      </c>
      <c r="F815" s="140" t="s">
        <v>64</v>
      </c>
      <c r="G815" s="141" t="s">
        <v>6401</v>
      </c>
      <c r="H815" s="140" t="s">
        <v>6312</v>
      </c>
      <c r="I815" s="140" t="s">
        <v>6313</v>
      </c>
      <c r="J815" s="140" t="s">
        <v>6319</v>
      </c>
      <c r="K815" s="140" t="s">
        <v>7357</v>
      </c>
    </row>
    <row r="816">
      <c r="A816" s="140" t="s">
        <v>7357</v>
      </c>
      <c r="B816" s="140" t="s">
        <v>7423</v>
      </c>
      <c r="C816" s="140" t="s">
        <v>7424</v>
      </c>
      <c r="D816" s="140" t="s">
        <v>6309</v>
      </c>
      <c r="E816" s="140" t="s">
        <v>56</v>
      </c>
      <c r="F816" s="140" t="s">
        <v>64</v>
      </c>
      <c r="G816" s="141" t="s">
        <v>6401</v>
      </c>
      <c r="H816" s="140" t="s">
        <v>6312</v>
      </c>
      <c r="I816" s="140" t="s">
        <v>6313</v>
      </c>
      <c r="J816" s="140" t="s">
        <v>6319</v>
      </c>
      <c r="K816" s="140" t="s">
        <v>7357</v>
      </c>
    </row>
    <row r="817">
      <c r="A817" s="140" t="s">
        <v>7357</v>
      </c>
      <c r="B817" s="140" t="s">
        <v>7425</v>
      </c>
      <c r="C817" s="140" t="s">
        <v>7426</v>
      </c>
      <c r="D817" s="140" t="s">
        <v>6309</v>
      </c>
      <c r="E817" s="140" t="s">
        <v>56</v>
      </c>
      <c r="F817" s="140" t="s">
        <v>64</v>
      </c>
      <c r="G817" s="141" t="s">
        <v>6401</v>
      </c>
      <c r="H817" s="140" t="s">
        <v>6312</v>
      </c>
      <c r="I817" s="140" t="s">
        <v>6313</v>
      </c>
      <c r="J817" s="140" t="s">
        <v>6319</v>
      </c>
      <c r="K817" s="140" t="s">
        <v>7357</v>
      </c>
    </row>
    <row r="818">
      <c r="A818" s="140" t="s">
        <v>7357</v>
      </c>
      <c r="B818" s="140" t="s">
        <v>7427</v>
      </c>
      <c r="C818" s="140" t="s">
        <v>7428</v>
      </c>
      <c r="D818" s="140" t="s">
        <v>6309</v>
      </c>
      <c r="E818" s="140" t="s">
        <v>56</v>
      </c>
      <c r="F818" s="140" t="s">
        <v>64</v>
      </c>
      <c r="G818" s="141" t="s">
        <v>6401</v>
      </c>
      <c r="H818" s="140" t="s">
        <v>6330</v>
      </c>
      <c r="I818" s="140" t="s">
        <v>6313</v>
      </c>
      <c r="J818" s="140" t="s">
        <v>6319</v>
      </c>
      <c r="K818" s="140" t="s">
        <v>7357</v>
      </c>
    </row>
    <row r="819">
      <c r="A819" s="140" t="s">
        <v>7357</v>
      </c>
      <c r="B819" s="140" t="s">
        <v>7429</v>
      </c>
      <c r="C819" s="140" t="s">
        <v>7430</v>
      </c>
      <c r="D819" s="140" t="s">
        <v>6309</v>
      </c>
      <c r="E819" s="140" t="s">
        <v>56</v>
      </c>
      <c r="F819" s="140" t="s">
        <v>64</v>
      </c>
      <c r="G819" s="141" t="s">
        <v>6401</v>
      </c>
      <c r="H819" s="140" t="s">
        <v>6330</v>
      </c>
      <c r="I819" s="140" t="s">
        <v>6313</v>
      </c>
      <c r="J819" s="140" t="s">
        <v>6319</v>
      </c>
      <c r="K819" s="140" t="s">
        <v>7357</v>
      </c>
    </row>
    <row r="820">
      <c r="A820" s="140" t="s">
        <v>7357</v>
      </c>
      <c r="B820" s="140" t="s">
        <v>2905</v>
      </c>
      <c r="C820" s="140" t="s">
        <v>7431</v>
      </c>
      <c r="D820" s="140" t="s">
        <v>6309</v>
      </c>
      <c r="E820" s="140" t="s">
        <v>56</v>
      </c>
      <c r="F820" s="140" t="s">
        <v>64</v>
      </c>
      <c r="G820" s="141" t="s">
        <v>6668</v>
      </c>
      <c r="H820" s="140" t="s">
        <v>6330</v>
      </c>
      <c r="I820" s="140" t="s">
        <v>6313</v>
      </c>
      <c r="J820" s="140" t="s">
        <v>6319</v>
      </c>
      <c r="K820" s="140" t="s">
        <v>7357</v>
      </c>
    </row>
    <row r="821">
      <c r="A821" s="140" t="s">
        <v>7357</v>
      </c>
      <c r="B821" s="140" t="s">
        <v>7432</v>
      </c>
      <c r="C821" s="140" t="s">
        <v>7433</v>
      </c>
      <c r="D821" s="140" t="s">
        <v>6309</v>
      </c>
      <c r="E821" s="140" t="s">
        <v>56</v>
      </c>
      <c r="F821" s="140" t="s">
        <v>64</v>
      </c>
      <c r="G821" s="141" t="s">
        <v>6664</v>
      </c>
      <c r="H821" s="140" t="s">
        <v>6330</v>
      </c>
      <c r="I821" s="140" t="s">
        <v>6313</v>
      </c>
      <c r="J821" s="140" t="s">
        <v>6319</v>
      </c>
      <c r="K821" s="140" t="s">
        <v>7357</v>
      </c>
    </row>
    <row r="822">
      <c r="A822" s="140" t="s">
        <v>7357</v>
      </c>
      <c r="B822" s="140" t="s">
        <v>4609</v>
      </c>
      <c r="C822" s="140" t="s">
        <v>7434</v>
      </c>
      <c r="D822" s="140" t="s">
        <v>6309</v>
      </c>
      <c r="E822" s="140" t="s">
        <v>56</v>
      </c>
      <c r="F822" s="140" t="s">
        <v>64</v>
      </c>
      <c r="G822" s="141" t="s">
        <v>6401</v>
      </c>
      <c r="H822" s="140" t="s">
        <v>6330</v>
      </c>
      <c r="I822" s="140" t="s">
        <v>6313</v>
      </c>
      <c r="J822" s="140" t="s">
        <v>6319</v>
      </c>
      <c r="K822" s="140" t="s">
        <v>7357</v>
      </c>
    </row>
    <row r="823">
      <c r="A823" s="140" t="s">
        <v>7357</v>
      </c>
      <c r="B823" s="140" t="s">
        <v>7435</v>
      </c>
      <c r="C823" s="140" t="s">
        <v>7436</v>
      </c>
      <c r="D823" s="140" t="s">
        <v>6309</v>
      </c>
      <c r="E823" s="140" t="s">
        <v>56</v>
      </c>
      <c r="F823" s="140" t="s">
        <v>64</v>
      </c>
      <c r="G823" s="141" t="s">
        <v>6401</v>
      </c>
      <c r="H823" s="140" t="s">
        <v>6330</v>
      </c>
      <c r="I823" s="140" t="s">
        <v>6313</v>
      </c>
      <c r="J823" s="140" t="s">
        <v>6319</v>
      </c>
      <c r="K823" s="140" t="s">
        <v>7357</v>
      </c>
    </row>
    <row r="824">
      <c r="A824" s="140" t="s">
        <v>7357</v>
      </c>
      <c r="B824" s="140" t="s">
        <v>7437</v>
      </c>
      <c r="C824" s="140" t="s">
        <v>7438</v>
      </c>
      <c r="D824" s="140" t="s">
        <v>6309</v>
      </c>
      <c r="E824" s="140" t="s">
        <v>56</v>
      </c>
      <c r="F824" s="140" t="s">
        <v>64</v>
      </c>
      <c r="G824" s="141" t="s">
        <v>6401</v>
      </c>
      <c r="H824" s="140" t="s">
        <v>6312</v>
      </c>
      <c r="I824" s="140" t="s">
        <v>6313</v>
      </c>
      <c r="J824" s="140" t="s">
        <v>6319</v>
      </c>
      <c r="K824" s="140" t="s">
        <v>7357</v>
      </c>
    </row>
    <row r="825">
      <c r="A825" s="140" t="s">
        <v>7357</v>
      </c>
      <c r="B825" s="140" t="s">
        <v>7439</v>
      </c>
      <c r="C825" s="140" t="s">
        <v>7440</v>
      </c>
      <c r="D825" s="140" t="s">
        <v>6309</v>
      </c>
      <c r="E825" s="140" t="s">
        <v>56</v>
      </c>
      <c r="F825" s="140" t="s">
        <v>64</v>
      </c>
      <c r="G825" s="141" t="s">
        <v>6401</v>
      </c>
      <c r="H825" s="140" t="s">
        <v>6312</v>
      </c>
      <c r="I825" s="140" t="s">
        <v>6313</v>
      </c>
      <c r="J825" s="140" t="s">
        <v>6319</v>
      </c>
      <c r="K825" s="140" t="s">
        <v>7357</v>
      </c>
    </row>
    <row r="826">
      <c r="A826" s="140" t="s">
        <v>7357</v>
      </c>
      <c r="B826" s="140" t="s">
        <v>7441</v>
      </c>
      <c r="C826" s="140" t="s">
        <v>7442</v>
      </c>
      <c r="D826" s="140" t="s">
        <v>6309</v>
      </c>
      <c r="E826" s="140" t="s">
        <v>56</v>
      </c>
      <c r="F826" s="140" t="s">
        <v>64</v>
      </c>
      <c r="G826" s="141" t="s">
        <v>6401</v>
      </c>
      <c r="H826" s="147" t="s">
        <v>6312</v>
      </c>
      <c r="I826" s="140" t="s">
        <v>6313</v>
      </c>
      <c r="J826" s="140" t="s">
        <v>6319</v>
      </c>
      <c r="K826" s="140" t="s">
        <v>7357</v>
      </c>
    </row>
    <row r="827">
      <c r="A827" s="140" t="s">
        <v>7357</v>
      </c>
      <c r="B827" s="140" t="s">
        <v>7443</v>
      </c>
      <c r="C827" s="140" t="s">
        <v>7444</v>
      </c>
      <c r="D827" s="140" t="s">
        <v>6309</v>
      </c>
      <c r="E827" s="140" t="s">
        <v>56</v>
      </c>
      <c r="F827" s="140" t="s">
        <v>64</v>
      </c>
      <c r="G827" s="141" t="s">
        <v>6401</v>
      </c>
      <c r="H827" s="140" t="s">
        <v>6312</v>
      </c>
      <c r="I827" s="140" t="s">
        <v>6313</v>
      </c>
      <c r="J827" s="140" t="s">
        <v>6319</v>
      </c>
      <c r="K827" s="140" t="s">
        <v>7357</v>
      </c>
    </row>
    <row r="828">
      <c r="A828" s="140" t="s">
        <v>7357</v>
      </c>
      <c r="B828" s="140" t="s">
        <v>3574</v>
      </c>
      <c r="C828" s="140" t="s">
        <v>7445</v>
      </c>
      <c r="D828" s="140" t="s">
        <v>6309</v>
      </c>
      <c r="E828" s="140" t="s">
        <v>56</v>
      </c>
      <c r="F828" s="140" t="s">
        <v>64</v>
      </c>
      <c r="G828" s="141" t="s">
        <v>6401</v>
      </c>
      <c r="H828" s="140" t="s">
        <v>6312</v>
      </c>
      <c r="I828" s="140" t="s">
        <v>6313</v>
      </c>
      <c r="J828" s="140" t="s">
        <v>6319</v>
      </c>
      <c r="K828" s="140" t="s">
        <v>7357</v>
      </c>
    </row>
    <row r="829">
      <c r="A829" s="140" t="s">
        <v>7357</v>
      </c>
      <c r="B829" s="140" t="s">
        <v>7446</v>
      </c>
      <c r="C829" s="140" t="s">
        <v>7447</v>
      </c>
      <c r="D829" s="140" t="s">
        <v>6309</v>
      </c>
      <c r="E829" s="140" t="s">
        <v>56</v>
      </c>
      <c r="F829" s="140" t="s">
        <v>64</v>
      </c>
      <c r="G829" s="141" t="s">
        <v>6401</v>
      </c>
      <c r="H829" s="140" t="s">
        <v>6330</v>
      </c>
      <c r="I829" s="140" t="s">
        <v>6313</v>
      </c>
      <c r="J829" s="140" t="s">
        <v>6319</v>
      </c>
      <c r="K829" s="140" t="s">
        <v>7357</v>
      </c>
    </row>
    <row r="830">
      <c r="A830" s="140" t="s">
        <v>7357</v>
      </c>
      <c r="B830" s="140" t="s">
        <v>7448</v>
      </c>
      <c r="C830" s="140" t="s">
        <v>7449</v>
      </c>
      <c r="D830" s="140" t="s">
        <v>6309</v>
      </c>
      <c r="E830" s="140" t="s">
        <v>56</v>
      </c>
      <c r="F830" s="140" t="s">
        <v>64</v>
      </c>
      <c r="G830" s="141" t="s">
        <v>6401</v>
      </c>
      <c r="H830" s="140" t="s">
        <v>6312</v>
      </c>
      <c r="I830" s="140" t="s">
        <v>6313</v>
      </c>
      <c r="J830" s="140" t="s">
        <v>6319</v>
      </c>
      <c r="K830" s="140" t="s">
        <v>7357</v>
      </c>
    </row>
    <row r="831">
      <c r="A831" s="140" t="s">
        <v>7357</v>
      </c>
      <c r="B831" s="140" t="s">
        <v>7450</v>
      </c>
      <c r="C831" s="140" t="s">
        <v>7451</v>
      </c>
      <c r="D831" s="140" t="s">
        <v>6309</v>
      </c>
      <c r="E831" s="140" t="s">
        <v>56</v>
      </c>
      <c r="F831" s="140" t="s">
        <v>64</v>
      </c>
      <c r="G831" s="141" t="s">
        <v>6401</v>
      </c>
      <c r="H831" s="140" t="s">
        <v>6312</v>
      </c>
      <c r="I831" s="140" t="s">
        <v>6313</v>
      </c>
      <c r="J831" s="140" t="s">
        <v>6319</v>
      </c>
      <c r="K831" s="140" t="s">
        <v>7357</v>
      </c>
    </row>
    <row r="832">
      <c r="A832" s="140" t="s">
        <v>7357</v>
      </c>
      <c r="B832" s="140" t="s">
        <v>2519</v>
      </c>
      <c r="C832" s="140" t="s">
        <v>7452</v>
      </c>
      <c r="D832" s="140" t="s">
        <v>6309</v>
      </c>
      <c r="E832" s="140" t="s">
        <v>56</v>
      </c>
      <c r="F832" s="140" t="s">
        <v>64</v>
      </c>
      <c r="G832" s="141" t="s">
        <v>6664</v>
      </c>
      <c r="H832" s="140" t="s">
        <v>6330</v>
      </c>
      <c r="I832" s="140" t="s">
        <v>6313</v>
      </c>
      <c r="J832" s="140" t="s">
        <v>6319</v>
      </c>
      <c r="K832" s="140" t="s">
        <v>7357</v>
      </c>
    </row>
    <row r="833">
      <c r="A833" s="140" t="s">
        <v>7357</v>
      </c>
      <c r="B833" s="140" t="s">
        <v>7453</v>
      </c>
      <c r="C833" s="140" t="s">
        <v>7454</v>
      </c>
      <c r="D833" s="140" t="s">
        <v>6309</v>
      </c>
      <c r="E833" s="140" t="s">
        <v>56</v>
      </c>
      <c r="F833" s="140" t="s">
        <v>64</v>
      </c>
      <c r="G833" s="141" t="s">
        <v>6401</v>
      </c>
      <c r="H833" s="140" t="s">
        <v>6312</v>
      </c>
      <c r="I833" s="140" t="s">
        <v>6313</v>
      </c>
      <c r="J833" s="140" t="s">
        <v>6319</v>
      </c>
      <c r="K833" s="140" t="s">
        <v>7357</v>
      </c>
    </row>
    <row r="834">
      <c r="A834" s="140" t="s">
        <v>7357</v>
      </c>
      <c r="B834" s="140" t="s">
        <v>7455</v>
      </c>
      <c r="C834" s="140" t="s">
        <v>7456</v>
      </c>
      <c r="D834" s="140" t="s">
        <v>6309</v>
      </c>
      <c r="E834" s="140" t="s">
        <v>56</v>
      </c>
      <c r="F834" s="140" t="s">
        <v>64</v>
      </c>
      <c r="G834" s="141" t="s">
        <v>6401</v>
      </c>
      <c r="H834" s="140" t="s">
        <v>6312</v>
      </c>
      <c r="I834" s="140" t="s">
        <v>6313</v>
      </c>
      <c r="J834" s="140" t="s">
        <v>6319</v>
      </c>
      <c r="K834" s="140" t="s">
        <v>7357</v>
      </c>
    </row>
    <row r="835">
      <c r="A835" s="140" t="s">
        <v>7357</v>
      </c>
      <c r="B835" s="140" t="s">
        <v>3139</v>
      </c>
      <c r="C835" s="140" t="s">
        <v>7457</v>
      </c>
      <c r="D835" s="140" t="s">
        <v>6309</v>
      </c>
      <c r="E835" s="140" t="s">
        <v>56</v>
      </c>
      <c r="F835" s="140" t="s">
        <v>64</v>
      </c>
      <c r="G835" s="141" t="s">
        <v>6668</v>
      </c>
      <c r="H835" s="140" t="s">
        <v>6330</v>
      </c>
      <c r="I835" s="140" t="s">
        <v>6313</v>
      </c>
      <c r="J835" s="140" t="s">
        <v>6319</v>
      </c>
      <c r="K835" s="140" t="s">
        <v>7357</v>
      </c>
    </row>
    <row r="836">
      <c r="A836" s="140" t="s">
        <v>7357</v>
      </c>
      <c r="B836" s="140" t="s">
        <v>7458</v>
      </c>
      <c r="C836" s="140" t="s">
        <v>7457</v>
      </c>
      <c r="D836" s="140" t="s">
        <v>6309</v>
      </c>
      <c r="E836" s="140" t="s">
        <v>56</v>
      </c>
      <c r="F836" s="140" t="s">
        <v>64</v>
      </c>
      <c r="G836" s="141" t="s">
        <v>6304</v>
      </c>
      <c r="H836" s="140" t="s">
        <v>6312</v>
      </c>
      <c r="I836" s="140" t="s">
        <v>6527</v>
      </c>
      <c r="J836" s="140" t="s">
        <v>6319</v>
      </c>
      <c r="K836" s="140" t="s">
        <v>7357</v>
      </c>
    </row>
    <row r="837">
      <c r="A837" s="140" t="s">
        <v>7357</v>
      </c>
      <c r="B837" s="140" t="s">
        <v>7459</v>
      </c>
      <c r="C837" s="140" t="s">
        <v>7460</v>
      </c>
      <c r="D837" s="140" t="s">
        <v>6309</v>
      </c>
      <c r="E837" s="140" t="s">
        <v>56</v>
      </c>
      <c r="F837" s="140" t="s">
        <v>64</v>
      </c>
      <c r="G837" s="141" t="s">
        <v>6401</v>
      </c>
      <c r="H837" s="140" t="s">
        <v>6312</v>
      </c>
      <c r="I837" s="140" t="s">
        <v>6313</v>
      </c>
      <c r="J837" s="140" t="s">
        <v>6319</v>
      </c>
      <c r="K837" s="140" t="s">
        <v>7357</v>
      </c>
    </row>
    <row r="838">
      <c r="A838" s="140" t="s">
        <v>7357</v>
      </c>
      <c r="B838" s="140" t="s">
        <v>7461</v>
      </c>
      <c r="C838" s="140" t="s">
        <v>7462</v>
      </c>
      <c r="D838" s="140" t="s">
        <v>6309</v>
      </c>
      <c r="E838" s="140" t="s">
        <v>56</v>
      </c>
      <c r="F838" s="140" t="s">
        <v>64</v>
      </c>
      <c r="G838" s="141" t="s">
        <v>6401</v>
      </c>
      <c r="H838" s="146" t="s">
        <v>6330</v>
      </c>
      <c r="I838" s="140" t="s">
        <v>6313</v>
      </c>
      <c r="J838" s="140" t="s">
        <v>6319</v>
      </c>
      <c r="K838" s="140" t="s">
        <v>7357</v>
      </c>
    </row>
    <row r="839">
      <c r="A839" s="140" t="s">
        <v>7357</v>
      </c>
      <c r="B839" s="140" t="s">
        <v>7463</v>
      </c>
      <c r="C839" s="140" t="s">
        <v>7464</v>
      </c>
      <c r="D839" s="140" t="s">
        <v>6309</v>
      </c>
      <c r="E839" s="140" t="s">
        <v>56</v>
      </c>
      <c r="F839" s="140" t="s">
        <v>64</v>
      </c>
      <c r="G839" s="141" t="s">
        <v>6401</v>
      </c>
      <c r="H839" s="146" t="s">
        <v>6330</v>
      </c>
      <c r="I839" s="140" t="s">
        <v>6313</v>
      </c>
      <c r="J839" s="140" t="s">
        <v>6319</v>
      </c>
      <c r="K839" s="140" t="s">
        <v>7357</v>
      </c>
    </row>
    <row r="840">
      <c r="A840" s="140" t="s">
        <v>7357</v>
      </c>
      <c r="B840" s="140" t="s">
        <v>7465</v>
      </c>
      <c r="C840" s="140" t="s">
        <v>7466</v>
      </c>
      <c r="D840" s="140" t="s">
        <v>6309</v>
      </c>
      <c r="E840" s="140" t="s">
        <v>56</v>
      </c>
      <c r="F840" s="140" t="s">
        <v>64</v>
      </c>
      <c r="G840" s="141" t="s">
        <v>6401</v>
      </c>
      <c r="H840" s="140" t="s">
        <v>6312</v>
      </c>
      <c r="I840" s="140" t="s">
        <v>6313</v>
      </c>
      <c r="J840" s="140" t="s">
        <v>6319</v>
      </c>
      <c r="K840" s="140" t="s">
        <v>7357</v>
      </c>
    </row>
    <row r="841">
      <c r="A841" s="140" t="s">
        <v>7357</v>
      </c>
      <c r="B841" s="140" t="s">
        <v>2521</v>
      </c>
      <c r="C841" s="140" t="s">
        <v>7467</v>
      </c>
      <c r="D841" s="140" t="s">
        <v>6309</v>
      </c>
      <c r="E841" s="140" t="s">
        <v>56</v>
      </c>
      <c r="F841" s="140" t="s">
        <v>64</v>
      </c>
      <c r="G841" s="141" t="s">
        <v>6668</v>
      </c>
      <c r="H841" s="140" t="s">
        <v>6330</v>
      </c>
      <c r="I841" s="140" t="s">
        <v>6313</v>
      </c>
      <c r="J841" s="140" t="s">
        <v>6319</v>
      </c>
      <c r="K841" s="140" t="s">
        <v>7357</v>
      </c>
    </row>
    <row r="842">
      <c r="A842" s="140" t="s">
        <v>7357</v>
      </c>
      <c r="B842" s="140" t="s">
        <v>7468</v>
      </c>
      <c r="C842" s="140" t="s">
        <v>7467</v>
      </c>
      <c r="D842" s="140" t="s">
        <v>6309</v>
      </c>
      <c r="E842" s="140" t="s">
        <v>56</v>
      </c>
      <c r="F842" s="140" t="s">
        <v>64</v>
      </c>
      <c r="G842" s="141" t="s">
        <v>6304</v>
      </c>
      <c r="H842" s="140" t="s">
        <v>6312</v>
      </c>
      <c r="I842" s="140" t="s">
        <v>6527</v>
      </c>
      <c r="J842" s="140" t="s">
        <v>6319</v>
      </c>
      <c r="K842" s="140" t="s">
        <v>7357</v>
      </c>
    </row>
    <row r="843">
      <c r="A843" s="140" t="s">
        <v>7357</v>
      </c>
      <c r="B843" s="140" t="s">
        <v>7469</v>
      </c>
      <c r="C843" s="140" t="s">
        <v>7470</v>
      </c>
      <c r="D843" s="140" t="s">
        <v>6309</v>
      </c>
      <c r="E843" s="140" t="s">
        <v>56</v>
      </c>
      <c r="F843" s="140" t="s">
        <v>64</v>
      </c>
      <c r="G843" s="141" t="s">
        <v>6401</v>
      </c>
      <c r="H843" s="140" t="s">
        <v>6312</v>
      </c>
      <c r="I843" s="140" t="s">
        <v>6313</v>
      </c>
      <c r="J843" s="140" t="s">
        <v>6319</v>
      </c>
      <c r="K843" s="140" t="s">
        <v>7357</v>
      </c>
    </row>
    <row r="844">
      <c r="A844" s="140" t="s">
        <v>7357</v>
      </c>
      <c r="B844" s="140" t="s">
        <v>7471</v>
      </c>
      <c r="C844" s="140" t="s">
        <v>7472</v>
      </c>
      <c r="D844" s="140" t="s">
        <v>6309</v>
      </c>
      <c r="E844" s="140" t="s">
        <v>56</v>
      </c>
      <c r="F844" s="140" t="s">
        <v>64</v>
      </c>
      <c r="G844" s="141" t="s">
        <v>6401</v>
      </c>
      <c r="H844" s="140" t="s">
        <v>6312</v>
      </c>
      <c r="I844" s="140" t="s">
        <v>6313</v>
      </c>
      <c r="J844" s="140" t="s">
        <v>6319</v>
      </c>
      <c r="K844" s="140" t="s">
        <v>7357</v>
      </c>
    </row>
    <row r="845">
      <c r="A845" s="140" t="s">
        <v>7357</v>
      </c>
      <c r="B845" s="140" t="s">
        <v>7473</v>
      </c>
      <c r="C845" s="140" t="s">
        <v>7474</v>
      </c>
      <c r="D845" s="140" t="s">
        <v>6309</v>
      </c>
      <c r="E845" s="140" t="s">
        <v>56</v>
      </c>
      <c r="F845" s="140" t="s">
        <v>64</v>
      </c>
      <c r="G845" s="141" t="s">
        <v>6401</v>
      </c>
      <c r="H845" s="140" t="s">
        <v>6312</v>
      </c>
      <c r="I845" s="140" t="s">
        <v>6313</v>
      </c>
      <c r="J845" s="140" t="s">
        <v>6319</v>
      </c>
      <c r="K845" s="140" t="s">
        <v>7357</v>
      </c>
    </row>
    <row r="846">
      <c r="A846" s="140" t="s">
        <v>7357</v>
      </c>
      <c r="B846" s="140" t="s">
        <v>2523</v>
      </c>
      <c r="C846" s="140" t="s">
        <v>7475</v>
      </c>
      <c r="D846" s="140" t="s">
        <v>6309</v>
      </c>
      <c r="E846" s="140" t="s">
        <v>56</v>
      </c>
      <c r="F846" s="140" t="s">
        <v>64</v>
      </c>
      <c r="G846" s="141" t="s">
        <v>6668</v>
      </c>
      <c r="H846" s="140" t="s">
        <v>6330</v>
      </c>
      <c r="I846" s="140" t="s">
        <v>6313</v>
      </c>
      <c r="J846" s="140" t="s">
        <v>6319</v>
      </c>
      <c r="K846" s="140" t="s">
        <v>7357</v>
      </c>
    </row>
    <row r="847">
      <c r="A847" s="140" t="s">
        <v>7357</v>
      </c>
      <c r="B847" s="140" t="s">
        <v>7476</v>
      </c>
      <c r="C847" s="140" t="s">
        <v>7475</v>
      </c>
      <c r="D847" s="140" t="s">
        <v>6309</v>
      </c>
      <c r="E847" s="140" t="s">
        <v>56</v>
      </c>
      <c r="F847" s="140" t="s">
        <v>64</v>
      </c>
      <c r="G847" s="141" t="s">
        <v>6304</v>
      </c>
      <c r="H847" s="140" t="s">
        <v>6312</v>
      </c>
      <c r="I847" s="140" t="s">
        <v>6527</v>
      </c>
      <c r="J847" s="140" t="s">
        <v>6319</v>
      </c>
      <c r="K847" s="140" t="s">
        <v>7357</v>
      </c>
    </row>
    <row r="848">
      <c r="A848" s="140" t="s">
        <v>7357</v>
      </c>
      <c r="B848" s="140" t="s">
        <v>7477</v>
      </c>
      <c r="C848" s="140" t="s">
        <v>7478</v>
      </c>
      <c r="D848" s="140" t="s">
        <v>6309</v>
      </c>
      <c r="E848" s="140" t="s">
        <v>56</v>
      </c>
      <c r="F848" s="140" t="s">
        <v>64</v>
      </c>
      <c r="G848" s="141" t="s">
        <v>6401</v>
      </c>
      <c r="H848" s="140" t="s">
        <v>6312</v>
      </c>
      <c r="I848" s="140" t="s">
        <v>6313</v>
      </c>
      <c r="J848" s="140" t="s">
        <v>6319</v>
      </c>
      <c r="K848" s="140" t="s">
        <v>7357</v>
      </c>
    </row>
    <row r="849">
      <c r="A849" s="140" t="s">
        <v>7357</v>
      </c>
      <c r="B849" s="140" t="s">
        <v>7479</v>
      </c>
      <c r="C849" s="140" t="s">
        <v>7480</v>
      </c>
      <c r="D849" s="140" t="s">
        <v>6309</v>
      </c>
      <c r="E849" s="140" t="s">
        <v>56</v>
      </c>
      <c r="F849" s="140" t="s">
        <v>64</v>
      </c>
      <c r="G849" s="141" t="s">
        <v>6401</v>
      </c>
      <c r="H849" s="140" t="s">
        <v>6312</v>
      </c>
      <c r="I849" s="140" t="s">
        <v>6313</v>
      </c>
      <c r="J849" s="140" t="s">
        <v>6319</v>
      </c>
      <c r="K849" s="140" t="s">
        <v>7357</v>
      </c>
    </row>
    <row r="850">
      <c r="A850" s="140" t="s">
        <v>7357</v>
      </c>
      <c r="B850" s="140" t="s">
        <v>4607</v>
      </c>
      <c r="C850" s="140" t="s">
        <v>7481</v>
      </c>
      <c r="D850" s="140" t="s">
        <v>6309</v>
      </c>
      <c r="E850" s="140" t="s">
        <v>56</v>
      </c>
      <c r="F850" s="140" t="s">
        <v>64</v>
      </c>
      <c r="G850" s="141" t="s">
        <v>6742</v>
      </c>
      <c r="H850" s="140" t="s">
        <v>6330</v>
      </c>
      <c r="I850" s="140" t="s">
        <v>6313</v>
      </c>
      <c r="J850" s="140" t="s">
        <v>6319</v>
      </c>
      <c r="K850" s="140" t="s">
        <v>7357</v>
      </c>
    </row>
    <row r="851">
      <c r="A851" s="140" t="s">
        <v>7357</v>
      </c>
      <c r="B851" s="140" t="s">
        <v>5639</v>
      </c>
      <c r="C851" s="140" t="s">
        <v>7482</v>
      </c>
      <c r="D851" s="140" t="s">
        <v>6309</v>
      </c>
      <c r="E851" s="140" t="s">
        <v>56</v>
      </c>
      <c r="F851" s="140" t="s">
        <v>64</v>
      </c>
      <c r="G851" s="141" t="s">
        <v>6668</v>
      </c>
      <c r="H851" s="140" t="s">
        <v>6330</v>
      </c>
      <c r="I851" s="140" t="s">
        <v>6313</v>
      </c>
      <c r="J851" s="140" t="s">
        <v>6319</v>
      </c>
      <c r="K851" s="140" t="s">
        <v>7357</v>
      </c>
    </row>
    <row r="852">
      <c r="A852" s="140" t="s">
        <v>7357</v>
      </c>
      <c r="B852" s="140" t="s">
        <v>7483</v>
      </c>
      <c r="C852" s="140" t="s">
        <v>7484</v>
      </c>
      <c r="D852" s="140" t="s">
        <v>6309</v>
      </c>
      <c r="E852" s="140" t="s">
        <v>56</v>
      </c>
      <c r="F852" s="140" t="s">
        <v>64</v>
      </c>
      <c r="G852" s="141" t="s">
        <v>6311</v>
      </c>
      <c r="H852" s="140" t="s">
        <v>6330</v>
      </c>
      <c r="I852" s="140" t="s">
        <v>6313</v>
      </c>
      <c r="J852" s="140" t="s">
        <v>6319</v>
      </c>
      <c r="K852" s="140" t="s">
        <v>7357</v>
      </c>
    </row>
    <row r="853">
      <c r="A853" s="140" t="s">
        <v>7357</v>
      </c>
      <c r="B853" s="140" t="s">
        <v>4615</v>
      </c>
      <c r="C853" s="140" t="s">
        <v>7485</v>
      </c>
      <c r="D853" s="140" t="s">
        <v>6309</v>
      </c>
      <c r="E853" s="140" t="s">
        <v>56</v>
      </c>
      <c r="F853" s="140" t="s">
        <v>64</v>
      </c>
      <c r="G853" s="141" t="s">
        <v>6401</v>
      </c>
      <c r="H853" s="140" t="s">
        <v>6330</v>
      </c>
      <c r="I853" s="140" t="s">
        <v>6313</v>
      </c>
      <c r="J853" s="140" t="s">
        <v>6319</v>
      </c>
      <c r="K853" s="140" t="s">
        <v>7357</v>
      </c>
    </row>
    <row r="854">
      <c r="A854" s="140" t="s">
        <v>7357</v>
      </c>
      <c r="B854" s="140" t="s">
        <v>7486</v>
      </c>
      <c r="C854" s="140" t="s">
        <v>7487</v>
      </c>
      <c r="D854" s="140" t="s">
        <v>6309</v>
      </c>
      <c r="E854" s="140" t="s">
        <v>56</v>
      </c>
      <c r="F854" s="140" t="s">
        <v>64</v>
      </c>
      <c r="G854" s="141" t="s">
        <v>6401</v>
      </c>
      <c r="H854" s="140" t="s">
        <v>6312</v>
      </c>
      <c r="I854" s="140" t="s">
        <v>6313</v>
      </c>
      <c r="J854" s="140" t="s">
        <v>6319</v>
      </c>
      <c r="K854" s="140" t="s">
        <v>7357</v>
      </c>
    </row>
    <row r="855">
      <c r="A855" s="140" t="s">
        <v>7357</v>
      </c>
      <c r="B855" s="140" t="s">
        <v>4617</v>
      </c>
      <c r="C855" s="140" t="s">
        <v>7488</v>
      </c>
      <c r="D855" s="140" t="s">
        <v>6309</v>
      </c>
      <c r="E855" s="140" t="s">
        <v>56</v>
      </c>
      <c r="F855" s="140" t="s">
        <v>64</v>
      </c>
      <c r="G855" s="141" t="s">
        <v>6401</v>
      </c>
      <c r="H855" s="140" t="s">
        <v>6330</v>
      </c>
      <c r="I855" s="140" t="s">
        <v>6313</v>
      </c>
      <c r="J855" s="140" t="s">
        <v>6319</v>
      </c>
      <c r="K855" s="140" t="s">
        <v>7357</v>
      </c>
    </row>
    <row r="856">
      <c r="A856" s="140" t="s">
        <v>7357</v>
      </c>
      <c r="B856" s="140" t="s">
        <v>7489</v>
      </c>
      <c r="C856" s="140" t="s">
        <v>7490</v>
      </c>
      <c r="D856" s="140" t="s">
        <v>6309</v>
      </c>
      <c r="E856" s="140" t="s">
        <v>56</v>
      </c>
      <c r="F856" s="140" t="s">
        <v>64</v>
      </c>
      <c r="G856" s="141" t="s">
        <v>6401</v>
      </c>
      <c r="H856" s="146" t="s">
        <v>6330</v>
      </c>
      <c r="I856" s="140" t="s">
        <v>6313</v>
      </c>
      <c r="J856" s="140" t="s">
        <v>6319</v>
      </c>
      <c r="K856" s="140" t="s">
        <v>7357</v>
      </c>
    </row>
    <row r="857">
      <c r="A857" s="140" t="s">
        <v>7357</v>
      </c>
      <c r="B857" s="140" t="s">
        <v>7491</v>
      </c>
      <c r="C857" s="140" t="s">
        <v>7492</v>
      </c>
      <c r="D857" s="140" t="s">
        <v>6309</v>
      </c>
      <c r="E857" s="140" t="s">
        <v>56</v>
      </c>
      <c r="F857" s="140" t="s">
        <v>64</v>
      </c>
      <c r="G857" s="141" t="s">
        <v>6401</v>
      </c>
      <c r="H857" s="140" t="s">
        <v>6312</v>
      </c>
      <c r="I857" s="140" t="s">
        <v>6313</v>
      </c>
      <c r="J857" s="140" t="s">
        <v>6319</v>
      </c>
      <c r="K857" s="140" t="s">
        <v>7357</v>
      </c>
    </row>
    <row r="858">
      <c r="A858" s="140" t="s">
        <v>7357</v>
      </c>
      <c r="B858" s="140" t="s">
        <v>4619</v>
      </c>
      <c r="C858" s="140" t="s">
        <v>7493</v>
      </c>
      <c r="D858" s="140" t="s">
        <v>6309</v>
      </c>
      <c r="E858" s="140" t="s">
        <v>56</v>
      </c>
      <c r="F858" s="140" t="s">
        <v>64</v>
      </c>
      <c r="G858" s="141" t="s">
        <v>6401</v>
      </c>
      <c r="H858" s="140" t="s">
        <v>6330</v>
      </c>
      <c r="I858" s="140" t="s">
        <v>6313</v>
      </c>
      <c r="J858" s="140" t="s">
        <v>6319</v>
      </c>
      <c r="K858" s="140" t="s">
        <v>7357</v>
      </c>
    </row>
    <row r="859">
      <c r="A859" s="140" t="s">
        <v>7357</v>
      </c>
      <c r="B859" s="140" t="s">
        <v>4627</v>
      </c>
      <c r="C859" s="140" t="s">
        <v>7494</v>
      </c>
      <c r="D859" s="140" t="s">
        <v>6309</v>
      </c>
      <c r="E859" s="140" t="s">
        <v>56</v>
      </c>
      <c r="F859" s="140" t="s">
        <v>64</v>
      </c>
      <c r="G859" s="141" t="s">
        <v>6401</v>
      </c>
      <c r="H859" s="140" t="s">
        <v>6330</v>
      </c>
      <c r="I859" s="140" t="s">
        <v>6313</v>
      </c>
      <c r="J859" s="140" t="s">
        <v>6319</v>
      </c>
      <c r="K859" s="140" t="s">
        <v>7357</v>
      </c>
    </row>
    <row r="860">
      <c r="A860" s="140" t="s">
        <v>7357</v>
      </c>
      <c r="B860" s="140" t="s">
        <v>3137</v>
      </c>
      <c r="C860" s="140" t="s">
        <v>7495</v>
      </c>
      <c r="D860" s="140" t="s">
        <v>6309</v>
      </c>
      <c r="E860" s="140" t="s">
        <v>56</v>
      </c>
      <c r="F860" s="140" t="s">
        <v>64</v>
      </c>
      <c r="G860" s="141" t="s">
        <v>6401</v>
      </c>
      <c r="H860" s="140" t="s">
        <v>6330</v>
      </c>
      <c r="I860" s="140" t="s">
        <v>6313</v>
      </c>
      <c r="J860" s="140" t="s">
        <v>6319</v>
      </c>
      <c r="K860" s="140" t="s">
        <v>7357</v>
      </c>
    </row>
    <row r="861">
      <c r="A861" s="140" t="s">
        <v>7357</v>
      </c>
      <c r="B861" s="140" t="s">
        <v>7496</v>
      </c>
      <c r="C861" s="140" t="s">
        <v>7495</v>
      </c>
      <c r="D861" s="140" t="s">
        <v>6309</v>
      </c>
      <c r="E861" s="140" t="s">
        <v>56</v>
      </c>
      <c r="F861" s="140" t="s">
        <v>64</v>
      </c>
      <c r="G861" s="141" t="s">
        <v>6304</v>
      </c>
      <c r="H861" s="140" t="s">
        <v>6312</v>
      </c>
      <c r="I861" s="140" t="s">
        <v>6527</v>
      </c>
      <c r="J861" s="140" t="s">
        <v>6319</v>
      </c>
      <c r="K861" s="140" t="s">
        <v>7357</v>
      </c>
    </row>
    <row r="862">
      <c r="A862" s="140" t="s">
        <v>7357</v>
      </c>
      <c r="B862" s="140" t="s">
        <v>7497</v>
      </c>
      <c r="C862" s="140" t="s">
        <v>7498</v>
      </c>
      <c r="D862" s="140" t="s">
        <v>6309</v>
      </c>
      <c r="E862" s="140" t="s">
        <v>56</v>
      </c>
      <c r="F862" s="140" t="s">
        <v>64</v>
      </c>
      <c r="G862" s="141" t="s">
        <v>6401</v>
      </c>
      <c r="H862" s="140" t="s">
        <v>6330</v>
      </c>
      <c r="I862" s="140" t="s">
        <v>6313</v>
      </c>
      <c r="J862" s="140" t="s">
        <v>6319</v>
      </c>
      <c r="K862" s="140" t="s">
        <v>7357</v>
      </c>
    </row>
    <row r="863">
      <c r="A863" s="140" t="s">
        <v>7357</v>
      </c>
      <c r="B863" s="140" t="s">
        <v>2899</v>
      </c>
      <c r="C863" s="140" t="s">
        <v>7499</v>
      </c>
      <c r="D863" s="140" t="s">
        <v>6309</v>
      </c>
      <c r="E863" s="140" t="s">
        <v>56</v>
      </c>
      <c r="F863" s="140" t="s">
        <v>64</v>
      </c>
      <c r="G863" s="141" t="s">
        <v>6401</v>
      </c>
      <c r="H863" s="140" t="s">
        <v>6312</v>
      </c>
      <c r="I863" s="140" t="s">
        <v>6313</v>
      </c>
      <c r="J863" s="140" t="s">
        <v>6319</v>
      </c>
      <c r="K863" s="140" t="s">
        <v>7357</v>
      </c>
    </row>
    <row r="864">
      <c r="A864" s="140" t="s">
        <v>7357</v>
      </c>
      <c r="B864" s="140" t="s">
        <v>3334</v>
      </c>
      <c r="C864" s="140" t="s">
        <v>7500</v>
      </c>
      <c r="D864" s="140" t="s">
        <v>6309</v>
      </c>
      <c r="E864" s="140" t="s">
        <v>56</v>
      </c>
      <c r="F864" s="140" t="s">
        <v>64</v>
      </c>
      <c r="G864" s="141" t="s">
        <v>6401</v>
      </c>
      <c r="H864" s="140" t="s">
        <v>6330</v>
      </c>
      <c r="I864" s="140" t="s">
        <v>6313</v>
      </c>
      <c r="J864" s="140" t="s">
        <v>6319</v>
      </c>
      <c r="K864" s="140" t="s">
        <v>7357</v>
      </c>
    </row>
    <row r="865">
      <c r="A865" s="140" t="s">
        <v>7357</v>
      </c>
      <c r="B865" s="140" t="s">
        <v>7501</v>
      </c>
      <c r="C865" s="140" t="s">
        <v>7502</v>
      </c>
      <c r="D865" s="140" t="s">
        <v>6309</v>
      </c>
      <c r="E865" s="140" t="s">
        <v>56</v>
      </c>
      <c r="F865" s="140" t="s">
        <v>64</v>
      </c>
      <c r="G865" s="141" t="s">
        <v>6401</v>
      </c>
      <c r="H865" s="140" t="s">
        <v>6312</v>
      </c>
      <c r="I865" s="140" t="s">
        <v>6313</v>
      </c>
      <c r="J865" s="140" t="s">
        <v>6319</v>
      </c>
      <c r="K865" s="140" t="s">
        <v>7357</v>
      </c>
    </row>
    <row r="866">
      <c r="A866" s="140" t="s">
        <v>7357</v>
      </c>
      <c r="B866" s="140" t="s">
        <v>4623</v>
      </c>
      <c r="C866" s="140" t="s">
        <v>7503</v>
      </c>
      <c r="D866" s="140" t="s">
        <v>6309</v>
      </c>
      <c r="E866" s="140" t="s">
        <v>56</v>
      </c>
      <c r="F866" s="140" t="s">
        <v>64</v>
      </c>
      <c r="G866" s="141" t="s">
        <v>6668</v>
      </c>
      <c r="H866" s="140" t="s">
        <v>6312</v>
      </c>
      <c r="I866" s="140" t="s">
        <v>6313</v>
      </c>
      <c r="J866" s="140" t="s">
        <v>6319</v>
      </c>
      <c r="K866" s="140" t="s">
        <v>7357</v>
      </c>
    </row>
    <row r="867">
      <c r="A867" s="140" t="s">
        <v>7357</v>
      </c>
      <c r="B867" s="140" t="s">
        <v>7504</v>
      </c>
      <c r="C867" s="140" t="s">
        <v>7505</v>
      </c>
      <c r="D867" s="140" t="s">
        <v>6309</v>
      </c>
      <c r="E867" s="140" t="s">
        <v>56</v>
      </c>
      <c r="F867" s="140" t="s">
        <v>64</v>
      </c>
      <c r="G867" s="141" t="s">
        <v>6311</v>
      </c>
      <c r="H867" s="140" t="s">
        <v>6330</v>
      </c>
      <c r="I867" s="140" t="s">
        <v>6313</v>
      </c>
      <c r="J867" s="140" t="s">
        <v>6319</v>
      </c>
      <c r="K867" s="140" t="s">
        <v>7357</v>
      </c>
    </row>
    <row r="868">
      <c r="A868" s="140" t="s">
        <v>7357</v>
      </c>
      <c r="B868" s="140" t="s">
        <v>7506</v>
      </c>
      <c r="C868" s="140" t="s">
        <v>7507</v>
      </c>
      <c r="D868" s="140" t="s">
        <v>6309</v>
      </c>
      <c r="E868" s="140" t="s">
        <v>56</v>
      </c>
      <c r="F868" s="140" t="s">
        <v>64</v>
      </c>
      <c r="G868" s="141" t="s">
        <v>6401</v>
      </c>
      <c r="H868" s="140" t="s">
        <v>6312</v>
      </c>
      <c r="I868" s="140" t="s">
        <v>6313</v>
      </c>
      <c r="J868" s="140" t="s">
        <v>6319</v>
      </c>
      <c r="K868" s="140" t="s">
        <v>7357</v>
      </c>
    </row>
    <row r="869">
      <c r="A869" s="140" t="s">
        <v>7357</v>
      </c>
      <c r="B869" s="140" t="s">
        <v>3576</v>
      </c>
      <c r="C869" s="140" t="s">
        <v>7508</v>
      </c>
      <c r="D869" s="140" t="s">
        <v>6309</v>
      </c>
      <c r="E869" s="140" t="s">
        <v>56</v>
      </c>
      <c r="F869" s="140" t="s">
        <v>64</v>
      </c>
      <c r="G869" s="141" t="s">
        <v>6664</v>
      </c>
      <c r="H869" s="140" t="s">
        <v>6330</v>
      </c>
      <c r="I869" s="140" t="s">
        <v>6313</v>
      </c>
      <c r="J869" s="140" t="s">
        <v>6319</v>
      </c>
      <c r="K869" s="140" t="s">
        <v>7357</v>
      </c>
    </row>
    <row r="870">
      <c r="A870" s="140" t="s">
        <v>7357</v>
      </c>
      <c r="B870" s="140" t="s">
        <v>3336</v>
      </c>
      <c r="C870" s="140" t="s">
        <v>7509</v>
      </c>
      <c r="D870" s="140" t="s">
        <v>6309</v>
      </c>
      <c r="E870" s="140" t="s">
        <v>56</v>
      </c>
      <c r="F870" s="140" t="s">
        <v>64</v>
      </c>
      <c r="G870" s="141" t="s">
        <v>6664</v>
      </c>
      <c r="H870" s="140" t="s">
        <v>6330</v>
      </c>
      <c r="I870" s="140" t="s">
        <v>6313</v>
      </c>
      <c r="J870" s="140" t="s">
        <v>6319</v>
      </c>
      <c r="K870" s="140" t="s">
        <v>7357</v>
      </c>
    </row>
    <row r="871">
      <c r="A871" s="140" t="s">
        <v>7357</v>
      </c>
      <c r="B871" s="140" t="s">
        <v>3121</v>
      </c>
      <c r="C871" s="140" t="s">
        <v>7510</v>
      </c>
      <c r="D871" s="140" t="s">
        <v>6309</v>
      </c>
      <c r="E871" s="140" t="s">
        <v>56</v>
      </c>
      <c r="F871" s="140" t="s">
        <v>64</v>
      </c>
      <c r="G871" s="141" t="s">
        <v>6664</v>
      </c>
      <c r="H871" s="140" t="s">
        <v>6330</v>
      </c>
      <c r="I871" s="140" t="s">
        <v>6313</v>
      </c>
      <c r="J871" s="140" t="s">
        <v>6319</v>
      </c>
      <c r="K871" s="140" t="s">
        <v>7357</v>
      </c>
    </row>
    <row r="872">
      <c r="A872" s="140" t="s">
        <v>7357</v>
      </c>
      <c r="B872" s="140" t="s">
        <v>7511</v>
      </c>
      <c r="C872" s="140" t="s">
        <v>7512</v>
      </c>
      <c r="D872" s="140" t="s">
        <v>6309</v>
      </c>
      <c r="E872" s="140" t="s">
        <v>56</v>
      </c>
      <c r="F872" s="140" t="s">
        <v>64</v>
      </c>
      <c r="G872" s="141" t="s">
        <v>6401</v>
      </c>
      <c r="H872" s="140" t="s">
        <v>6312</v>
      </c>
      <c r="I872" s="140" t="s">
        <v>6313</v>
      </c>
      <c r="J872" s="140" t="s">
        <v>6319</v>
      </c>
      <c r="K872" s="140" t="s">
        <v>7357</v>
      </c>
    </row>
    <row r="873">
      <c r="A873" s="140" t="s">
        <v>7357</v>
      </c>
      <c r="B873" s="140" t="s">
        <v>3404</v>
      </c>
      <c r="C873" s="140" t="s">
        <v>7513</v>
      </c>
      <c r="D873" s="140" t="s">
        <v>6309</v>
      </c>
      <c r="E873" s="140" t="s">
        <v>56</v>
      </c>
      <c r="F873" s="140" t="s">
        <v>64</v>
      </c>
      <c r="G873" s="141" t="s">
        <v>6401</v>
      </c>
      <c r="H873" s="140" t="s">
        <v>6330</v>
      </c>
      <c r="I873" s="140" t="s">
        <v>6313</v>
      </c>
      <c r="J873" s="140" t="s">
        <v>6319</v>
      </c>
      <c r="K873" s="140" t="s">
        <v>7357</v>
      </c>
    </row>
    <row r="874">
      <c r="A874" s="140" t="s">
        <v>7357</v>
      </c>
      <c r="B874" s="140" t="s">
        <v>2975</v>
      </c>
      <c r="C874" s="140" t="s">
        <v>7514</v>
      </c>
      <c r="D874" s="140" t="s">
        <v>6309</v>
      </c>
      <c r="E874" s="140" t="s">
        <v>56</v>
      </c>
      <c r="F874" s="140" t="s">
        <v>64</v>
      </c>
      <c r="G874" s="141" t="s">
        <v>6664</v>
      </c>
      <c r="H874" s="140" t="s">
        <v>6330</v>
      </c>
      <c r="I874" s="140" t="s">
        <v>6313</v>
      </c>
      <c r="J874" s="140" t="s">
        <v>6319</v>
      </c>
      <c r="K874" s="140" t="s">
        <v>7357</v>
      </c>
    </row>
    <row r="875">
      <c r="A875" s="140" t="s">
        <v>7357</v>
      </c>
      <c r="B875" s="140" t="s">
        <v>7515</v>
      </c>
      <c r="C875" s="140" t="s">
        <v>7516</v>
      </c>
      <c r="D875" s="140" t="s">
        <v>6309</v>
      </c>
      <c r="E875" s="140" t="s">
        <v>56</v>
      </c>
      <c r="F875" s="140" t="s">
        <v>64</v>
      </c>
      <c r="G875" s="141" t="s">
        <v>6668</v>
      </c>
      <c r="H875" s="140" t="s">
        <v>6330</v>
      </c>
      <c r="I875" s="140" t="s">
        <v>6313</v>
      </c>
      <c r="J875" s="140" t="s">
        <v>6319</v>
      </c>
      <c r="K875" s="140" t="s">
        <v>7357</v>
      </c>
    </row>
    <row r="876">
      <c r="A876" s="140" t="s">
        <v>7357</v>
      </c>
      <c r="B876" s="140" t="s">
        <v>7517</v>
      </c>
      <c r="C876" s="140" t="s">
        <v>7518</v>
      </c>
      <c r="D876" s="140" t="s">
        <v>6309</v>
      </c>
      <c r="E876" s="140" t="s">
        <v>56</v>
      </c>
      <c r="F876" s="140" t="s">
        <v>64</v>
      </c>
      <c r="G876" s="141" t="s">
        <v>6401</v>
      </c>
      <c r="H876" s="146" t="s">
        <v>6330</v>
      </c>
      <c r="I876" s="140" t="s">
        <v>6313</v>
      </c>
      <c r="J876" s="140" t="s">
        <v>6319</v>
      </c>
      <c r="K876" s="140" t="s">
        <v>7357</v>
      </c>
    </row>
    <row r="877">
      <c r="A877" s="140" t="s">
        <v>7357</v>
      </c>
      <c r="B877" s="140" t="s">
        <v>7519</v>
      </c>
      <c r="C877" s="140" t="s">
        <v>7520</v>
      </c>
      <c r="D877" s="140" t="s">
        <v>6309</v>
      </c>
      <c r="E877" s="140" t="s">
        <v>56</v>
      </c>
      <c r="F877" s="140" t="s">
        <v>64</v>
      </c>
      <c r="G877" s="141" t="s">
        <v>6401</v>
      </c>
      <c r="H877" s="146" t="s">
        <v>6330</v>
      </c>
      <c r="I877" s="140" t="s">
        <v>6313</v>
      </c>
      <c r="J877" s="140" t="s">
        <v>6319</v>
      </c>
      <c r="K877" s="140" t="s">
        <v>7357</v>
      </c>
    </row>
    <row r="878">
      <c r="A878" s="140" t="s">
        <v>7357</v>
      </c>
      <c r="B878" s="140" t="s">
        <v>7521</v>
      </c>
      <c r="C878" s="140" t="s">
        <v>7522</v>
      </c>
      <c r="D878" s="140" t="s">
        <v>6309</v>
      </c>
      <c r="E878" s="140" t="s">
        <v>56</v>
      </c>
      <c r="F878" s="140" t="s">
        <v>64</v>
      </c>
      <c r="G878" s="141" t="s">
        <v>6401</v>
      </c>
      <c r="H878" s="146" t="s">
        <v>6330</v>
      </c>
      <c r="I878" s="140" t="s">
        <v>6313</v>
      </c>
      <c r="J878" s="140" t="s">
        <v>6319</v>
      </c>
      <c r="K878" s="140" t="s">
        <v>7357</v>
      </c>
    </row>
    <row r="879">
      <c r="A879" s="140" t="s">
        <v>7357</v>
      </c>
      <c r="B879" s="140" t="s">
        <v>7523</v>
      </c>
      <c r="C879" s="140" t="s">
        <v>7524</v>
      </c>
      <c r="D879" s="140" t="s">
        <v>6309</v>
      </c>
      <c r="E879" s="140" t="s">
        <v>56</v>
      </c>
      <c r="F879" s="140" t="s">
        <v>64</v>
      </c>
      <c r="G879" s="141" t="s">
        <v>6401</v>
      </c>
      <c r="H879" s="146" t="s">
        <v>6330</v>
      </c>
      <c r="I879" s="140" t="s">
        <v>6313</v>
      </c>
      <c r="J879" s="140" t="s">
        <v>6319</v>
      </c>
      <c r="K879" s="140" t="s">
        <v>7357</v>
      </c>
    </row>
    <row r="880">
      <c r="A880" s="140" t="s">
        <v>7357</v>
      </c>
      <c r="B880" s="140" t="s">
        <v>2698</v>
      </c>
      <c r="C880" s="140" t="s">
        <v>7525</v>
      </c>
      <c r="D880" s="140" t="s">
        <v>6309</v>
      </c>
      <c r="E880" s="140" t="s">
        <v>56</v>
      </c>
      <c r="F880" s="140" t="s">
        <v>64</v>
      </c>
      <c r="G880" s="141" t="s">
        <v>6401</v>
      </c>
      <c r="H880" s="140" t="s">
        <v>6330</v>
      </c>
      <c r="I880" s="140" t="s">
        <v>6313</v>
      </c>
      <c r="J880" s="140" t="s">
        <v>6319</v>
      </c>
      <c r="K880" s="140" t="s">
        <v>7357</v>
      </c>
    </row>
    <row r="881">
      <c r="A881" s="140" t="s">
        <v>7357</v>
      </c>
      <c r="B881" s="140" t="s">
        <v>7526</v>
      </c>
      <c r="C881" s="140" t="s">
        <v>7527</v>
      </c>
      <c r="D881" s="140" t="s">
        <v>6309</v>
      </c>
      <c r="E881" s="140" t="s">
        <v>56</v>
      </c>
      <c r="F881" s="140" t="s">
        <v>64</v>
      </c>
      <c r="G881" s="141" t="s">
        <v>6401</v>
      </c>
      <c r="H881" s="146" t="s">
        <v>6330</v>
      </c>
      <c r="I881" s="140" t="s">
        <v>6313</v>
      </c>
      <c r="J881" s="140" t="s">
        <v>6319</v>
      </c>
      <c r="K881" s="140" t="s">
        <v>7357</v>
      </c>
    </row>
    <row r="882">
      <c r="A882" s="140" t="s">
        <v>7357</v>
      </c>
      <c r="B882" s="140" t="s">
        <v>7528</v>
      </c>
      <c r="C882" s="140" t="s">
        <v>7529</v>
      </c>
      <c r="D882" s="140" t="s">
        <v>6309</v>
      </c>
      <c r="E882" s="140" t="s">
        <v>56</v>
      </c>
      <c r="F882" s="140" t="s">
        <v>64</v>
      </c>
      <c r="G882" s="141" t="s">
        <v>6311</v>
      </c>
      <c r="H882" s="140" t="s">
        <v>6330</v>
      </c>
      <c r="I882" s="140" t="s">
        <v>6313</v>
      </c>
      <c r="J882" s="140" t="s">
        <v>6319</v>
      </c>
      <c r="K882" s="140" t="s">
        <v>7357</v>
      </c>
    </row>
    <row r="883">
      <c r="A883" s="140" t="s">
        <v>7357</v>
      </c>
      <c r="B883" s="140" t="s">
        <v>4372</v>
      </c>
      <c r="C883" s="140" t="s">
        <v>7530</v>
      </c>
      <c r="D883" s="140" t="s">
        <v>6309</v>
      </c>
      <c r="E883" s="140" t="s">
        <v>56</v>
      </c>
      <c r="F883" s="140" t="s">
        <v>64</v>
      </c>
      <c r="G883" s="141" t="s">
        <v>6311</v>
      </c>
      <c r="H883" s="140" t="s">
        <v>6330</v>
      </c>
      <c r="I883" s="140" t="s">
        <v>6313</v>
      </c>
      <c r="J883" s="140" t="s">
        <v>6319</v>
      </c>
      <c r="K883" s="140" t="s">
        <v>7357</v>
      </c>
    </row>
    <row r="884">
      <c r="A884" s="140" t="s">
        <v>7357</v>
      </c>
      <c r="B884" s="140" t="s">
        <v>4374</v>
      </c>
      <c r="C884" s="140" t="s">
        <v>7531</v>
      </c>
      <c r="D884" s="140" t="s">
        <v>6309</v>
      </c>
      <c r="E884" s="140" t="s">
        <v>56</v>
      </c>
      <c r="F884" s="140" t="s">
        <v>64</v>
      </c>
      <c r="G884" s="141" t="s">
        <v>6401</v>
      </c>
      <c r="H884" s="140" t="s">
        <v>6330</v>
      </c>
      <c r="I884" s="140" t="s">
        <v>6313</v>
      </c>
      <c r="J884" s="140" t="s">
        <v>6319</v>
      </c>
      <c r="K884" s="140" t="s">
        <v>7357</v>
      </c>
    </row>
    <row r="885">
      <c r="A885" s="140" t="s">
        <v>7357</v>
      </c>
      <c r="B885" s="140" t="s">
        <v>7532</v>
      </c>
      <c r="C885" s="140" t="s">
        <v>7533</v>
      </c>
      <c r="D885" s="140" t="s">
        <v>6309</v>
      </c>
      <c r="E885" s="140" t="s">
        <v>56</v>
      </c>
      <c r="F885" s="140" t="s">
        <v>64</v>
      </c>
      <c r="G885" s="141" t="s">
        <v>6401</v>
      </c>
      <c r="H885" s="140" t="s">
        <v>6330</v>
      </c>
      <c r="I885" s="140" t="s">
        <v>6313</v>
      </c>
      <c r="J885" s="140" t="s">
        <v>6319</v>
      </c>
      <c r="K885" s="140" t="s">
        <v>7357</v>
      </c>
    </row>
    <row r="886">
      <c r="A886" s="140" t="s">
        <v>7357</v>
      </c>
      <c r="B886" s="140" t="s">
        <v>7534</v>
      </c>
      <c r="C886" s="140" t="s">
        <v>7535</v>
      </c>
      <c r="D886" s="140" t="s">
        <v>6309</v>
      </c>
      <c r="E886" s="140" t="s">
        <v>56</v>
      </c>
      <c r="F886" s="140" t="s">
        <v>64</v>
      </c>
      <c r="G886" s="141" t="s">
        <v>6401</v>
      </c>
      <c r="H886" s="140" t="s">
        <v>6330</v>
      </c>
      <c r="I886" s="140" t="s">
        <v>6313</v>
      </c>
      <c r="J886" s="140" t="s">
        <v>6319</v>
      </c>
      <c r="K886" s="140" t="s">
        <v>7357</v>
      </c>
    </row>
    <row r="887">
      <c r="A887" s="140" t="s">
        <v>7357</v>
      </c>
      <c r="B887" s="140" t="s">
        <v>4427</v>
      </c>
      <c r="C887" s="140" t="s">
        <v>7536</v>
      </c>
      <c r="D887" s="140" t="s">
        <v>6309</v>
      </c>
      <c r="E887" s="140" t="s">
        <v>56</v>
      </c>
      <c r="F887" s="140" t="s">
        <v>64</v>
      </c>
      <c r="G887" s="141" t="s">
        <v>6401</v>
      </c>
      <c r="H887" s="140" t="s">
        <v>6330</v>
      </c>
      <c r="I887" s="140" t="s">
        <v>6313</v>
      </c>
      <c r="J887" s="140" t="s">
        <v>6319</v>
      </c>
      <c r="K887" s="140" t="s">
        <v>7357</v>
      </c>
    </row>
    <row r="888">
      <c r="A888" s="140" t="s">
        <v>7357</v>
      </c>
      <c r="B888" s="140" t="s">
        <v>2686</v>
      </c>
      <c r="C888" s="140" t="s">
        <v>7537</v>
      </c>
      <c r="D888" s="140" t="s">
        <v>6309</v>
      </c>
      <c r="E888" s="140" t="s">
        <v>56</v>
      </c>
      <c r="F888" s="140" t="s">
        <v>64</v>
      </c>
      <c r="G888" s="141" t="s">
        <v>6668</v>
      </c>
      <c r="H888" s="140" t="s">
        <v>6330</v>
      </c>
      <c r="I888" s="140" t="s">
        <v>6313</v>
      </c>
      <c r="J888" s="140" t="s">
        <v>6319</v>
      </c>
      <c r="K888" s="140" t="s">
        <v>7357</v>
      </c>
    </row>
    <row r="889">
      <c r="A889" s="140" t="s">
        <v>7357</v>
      </c>
      <c r="B889" s="140" t="s">
        <v>7538</v>
      </c>
      <c r="C889" s="140" t="s">
        <v>7539</v>
      </c>
      <c r="D889" s="140" t="s">
        <v>6309</v>
      </c>
      <c r="E889" s="140" t="s">
        <v>56</v>
      </c>
      <c r="F889" s="140" t="s">
        <v>64</v>
      </c>
      <c r="G889" s="141" t="s">
        <v>6401</v>
      </c>
      <c r="H889" s="140" t="s">
        <v>6312</v>
      </c>
      <c r="I889" s="140" t="s">
        <v>6313</v>
      </c>
      <c r="J889" s="140" t="s">
        <v>6319</v>
      </c>
      <c r="K889" s="140" t="s">
        <v>7357</v>
      </c>
    </row>
    <row r="890">
      <c r="A890" s="140" t="s">
        <v>7357</v>
      </c>
      <c r="B890" s="140" t="s">
        <v>7540</v>
      </c>
      <c r="C890" s="140" t="s">
        <v>7541</v>
      </c>
      <c r="D890" s="140" t="s">
        <v>6309</v>
      </c>
      <c r="E890" s="140" t="s">
        <v>56</v>
      </c>
      <c r="F890" s="140" t="s">
        <v>64</v>
      </c>
      <c r="G890" s="141" t="s">
        <v>6401</v>
      </c>
      <c r="H890" s="140" t="s">
        <v>6330</v>
      </c>
      <c r="I890" s="140" t="s">
        <v>6313</v>
      </c>
      <c r="J890" s="140" t="s">
        <v>6319</v>
      </c>
      <c r="K890" s="140" t="s">
        <v>7357</v>
      </c>
    </row>
    <row r="891">
      <c r="A891" s="140" t="s">
        <v>7357</v>
      </c>
      <c r="B891" s="140" t="s">
        <v>7542</v>
      </c>
      <c r="C891" s="140" t="s">
        <v>7543</v>
      </c>
      <c r="D891" s="140" t="s">
        <v>6309</v>
      </c>
      <c r="E891" s="140" t="s">
        <v>56</v>
      </c>
      <c r="F891" s="140" t="s">
        <v>64</v>
      </c>
      <c r="G891" s="141" t="s">
        <v>6401</v>
      </c>
      <c r="H891" s="140" t="s">
        <v>6312</v>
      </c>
      <c r="I891" s="140" t="s">
        <v>6313</v>
      </c>
      <c r="J891" s="140" t="s">
        <v>6319</v>
      </c>
      <c r="K891" s="140" t="s">
        <v>7357</v>
      </c>
    </row>
    <row r="892">
      <c r="A892" s="140" t="s">
        <v>7357</v>
      </c>
      <c r="B892" s="140" t="s">
        <v>7544</v>
      </c>
      <c r="C892" s="140" t="s">
        <v>7545</v>
      </c>
      <c r="D892" s="140" t="s">
        <v>6309</v>
      </c>
      <c r="E892" s="140" t="s">
        <v>56</v>
      </c>
      <c r="F892" s="140" t="s">
        <v>64</v>
      </c>
      <c r="G892" s="141" t="s">
        <v>6401</v>
      </c>
      <c r="H892" s="140" t="s">
        <v>6312</v>
      </c>
      <c r="I892" s="140" t="s">
        <v>6313</v>
      </c>
      <c r="J892" s="140" t="s">
        <v>6319</v>
      </c>
      <c r="K892" s="140" t="s">
        <v>7357</v>
      </c>
    </row>
    <row r="893">
      <c r="A893" s="140" t="s">
        <v>7357</v>
      </c>
      <c r="B893" s="140" t="s">
        <v>7546</v>
      </c>
      <c r="C893" s="140" t="s">
        <v>7547</v>
      </c>
      <c r="D893" s="140" t="s">
        <v>6309</v>
      </c>
      <c r="E893" s="140" t="s">
        <v>56</v>
      </c>
      <c r="F893" s="140" t="s">
        <v>64</v>
      </c>
      <c r="G893" s="141" t="s">
        <v>6401</v>
      </c>
      <c r="H893" s="140" t="s">
        <v>6312</v>
      </c>
      <c r="I893" s="140" t="s">
        <v>6313</v>
      </c>
      <c r="J893" s="140" t="s">
        <v>6319</v>
      </c>
      <c r="K893" s="140" t="s">
        <v>7357</v>
      </c>
    </row>
    <row r="894">
      <c r="A894" s="140" t="s">
        <v>7357</v>
      </c>
      <c r="B894" s="140" t="s">
        <v>4461</v>
      </c>
      <c r="C894" s="140" t="s">
        <v>7548</v>
      </c>
      <c r="D894" s="140" t="s">
        <v>6309</v>
      </c>
      <c r="E894" s="140" t="s">
        <v>56</v>
      </c>
      <c r="F894" s="140" t="s">
        <v>64</v>
      </c>
      <c r="G894" s="141" t="s">
        <v>6401</v>
      </c>
      <c r="H894" s="140" t="s">
        <v>6330</v>
      </c>
      <c r="I894" s="140" t="s">
        <v>6313</v>
      </c>
      <c r="J894" s="140" t="s">
        <v>6319</v>
      </c>
      <c r="K894" s="140" t="s">
        <v>7357</v>
      </c>
    </row>
    <row r="895">
      <c r="A895" s="140" t="s">
        <v>7357</v>
      </c>
      <c r="B895" s="140" t="s">
        <v>4459</v>
      </c>
      <c r="C895" s="140" t="s">
        <v>7549</v>
      </c>
      <c r="D895" s="140" t="s">
        <v>6309</v>
      </c>
      <c r="E895" s="140" t="s">
        <v>56</v>
      </c>
      <c r="F895" s="140" t="s">
        <v>64</v>
      </c>
      <c r="G895" s="141" t="s">
        <v>6401</v>
      </c>
      <c r="H895" s="140" t="s">
        <v>6330</v>
      </c>
      <c r="I895" s="140" t="s">
        <v>6313</v>
      </c>
      <c r="J895" s="140" t="s">
        <v>6319</v>
      </c>
      <c r="K895" s="140" t="s">
        <v>7357</v>
      </c>
    </row>
    <row r="896">
      <c r="A896" s="140" t="s">
        <v>7357</v>
      </c>
      <c r="B896" s="140" t="s">
        <v>7550</v>
      </c>
      <c r="C896" s="140" t="s">
        <v>7551</v>
      </c>
      <c r="D896" s="140" t="s">
        <v>6309</v>
      </c>
      <c r="E896" s="140" t="s">
        <v>56</v>
      </c>
      <c r="F896" s="140" t="s">
        <v>64</v>
      </c>
      <c r="G896" s="141" t="s">
        <v>6401</v>
      </c>
      <c r="H896" s="147" t="s">
        <v>6312</v>
      </c>
      <c r="I896" s="140" t="s">
        <v>6313</v>
      </c>
      <c r="J896" s="140" t="s">
        <v>6319</v>
      </c>
      <c r="K896" s="140" t="s">
        <v>7357</v>
      </c>
    </row>
    <row r="897">
      <c r="A897" s="140" t="s">
        <v>7357</v>
      </c>
      <c r="B897" s="140" t="s">
        <v>2700</v>
      </c>
      <c r="C897" s="140" t="s">
        <v>7552</v>
      </c>
      <c r="D897" s="140" t="s">
        <v>6309</v>
      </c>
      <c r="E897" s="140" t="s">
        <v>56</v>
      </c>
      <c r="F897" s="140" t="s">
        <v>64</v>
      </c>
      <c r="G897" s="141" t="s">
        <v>6401</v>
      </c>
      <c r="H897" s="140" t="s">
        <v>6330</v>
      </c>
      <c r="I897" s="140" t="s">
        <v>6313</v>
      </c>
      <c r="J897" s="140" t="s">
        <v>6319</v>
      </c>
      <c r="K897" s="140" t="s">
        <v>7357</v>
      </c>
    </row>
    <row r="898">
      <c r="A898" s="140" t="s">
        <v>7357</v>
      </c>
      <c r="B898" s="140" t="s">
        <v>2702</v>
      </c>
      <c r="C898" s="140" t="s">
        <v>7553</v>
      </c>
      <c r="D898" s="140" t="s">
        <v>6309</v>
      </c>
      <c r="E898" s="140" t="s">
        <v>56</v>
      </c>
      <c r="F898" s="140" t="s">
        <v>64</v>
      </c>
      <c r="G898" s="141" t="s">
        <v>6401</v>
      </c>
      <c r="H898" s="140" t="s">
        <v>6330</v>
      </c>
      <c r="I898" s="140" t="s">
        <v>6313</v>
      </c>
      <c r="J898" s="140" t="s">
        <v>6319</v>
      </c>
      <c r="K898" s="140" t="s">
        <v>7357</v>
      </c>
    </row>
    <row r="899">
      <c r="A899" s="140" t="s">
        <v>7357</v>
      </c>
      <c r="B899" s="140" t="s">
        <v>7554</v>
      </c>
      <c r="C899" s="140" t="s">
        <v>7555</v>
      </c>
      <c r="D899" s="140" t="s">
        <v>6309</v>
      </c>
      <c r="E899" s="140" t="s">
        <v>56</v>
      </c>
      <c r="F899" s="140" t="s">
        <v>64</v>
      </c>
      <c r="G899" s="141" t="s">
        <v>6401</v>
      </c>
      <c r="H899" s="140" t="s">
        <v>6312</v>
      </c>
      <c r="I899" s="140" t="s">
        <v>6313</v>
      </c>
      <c r="J899" s="140" t="s">
        <v>6319</v>
      </c>
      <c r="K899" s="140" t="s">
        <v>7357</v>
      </c>
    </row>
    <row r="900">
      <c r="A900" s="140" t="s">
        <v>7357</v>
      </c>
      <c r="B900" s="140" t="s">
        <v>5186</v>
      </c>
      <c r="C900" s="140" t="s">
        <v>7556</v>
      </c>
      <c r="D900" s="140" t="s">
        <v>6309</v>
      </c>
      <c r="E900" s="140" t="s">
        <v>56</v>
      </c>
      <c r="F900" s="140" t="s">
        <v>64</v>
      </c>
      <c r="G900" s="141" t="s">
        <v>6401</v>
      </c>
      <c r="H900" s="140" t="s">
        <v>6312</v>
      </c>
      <c r="I900" s="140" t="s">
        <v>6313</v>
      </c>
      <c r="J900" s="140" t="s">
        <v>6319</v>
      </c>
      <c r="K900" s="140" t="s">
        <v>7357</v>
      </c>
    </row>
    <row r="901">
      <c r="A901" s="140" t="s">
        <v>7357</v>
      </c>
      <c r="B901" s="140" t="s">
        <v>5188</v>
      </c>
      <c r="C901" s="140" t="s">
        <v>7557</v>
      </c>
      <c r="D901" s="140" t="s">
        <v>6309</v>
      </c>
      <c r="E901" s="140" t="s">
        <v>56</v>
      </c>
      <c r="F901" s="140" t="s">
        <v>64</v>
      </c>
      <c r="G901" s="141" t="s">
        <v>6401</v>
      </c>
      <c r="H901" s="140" t="s">
        <v>6312</v>
      </c>
      <c r="I901" s="140" t="s">
        <v>6313</v>
      </c>
      <c r="J901" s="140" t="s">
        <v>6319</v>
      </c>
      <c r="K901" s="140" t="s">
        <v>7357</v>
      </c>
    </row>
    <row r="902">
      <c r="A902" s="140" t="s">
        <v>7357</v>
      </c>
      <c r="B902" s="140" t="s">
        <v>7558</v>
      </c>
      <c r="C902" s="140" t="s">
        <v>7559</v>
      </c>
      <c r="D902" s="140" t="s">
        <v>6309</v>
      </c>
      <c r="E902" s="140" t="s">
        <v>56</v>
      </c>
      <c r="F902" s="140" t="s">
        <v>64</v>
      </c>
      <c r="G902" s="141" t="s">
        <v>6401</v>
      </c>
      <c r="H902" s="146" t="s">
        <v>6330</v>
      </c>
      <c r="I902" s="140" t="s">
        <v>6313</v>
      </c>
      <c r="J902" s="140" t="s">
        <v>6319</v>
      </c>
      <c r="K902" s="140" t="s">
        <v>7357</v>
      </c>
    </row>
    <row r="903">
      <c r="A903" s="140" t="s">
        <v>7357</v>
      </c>
      <c r="B903" s="140" t="s">
        <v>2696</v>
      </c>
      <c r="C903" s="140" t="s">
        <v>7560</v>
      </c>
      <c r="D903" s="140" t="s">
        <v>6309</v>
      </c>
      <c r="E903" s="140" t="s">
        <v>56</v>
      </c>
      <c r="F903" s="140" t="s">
        <v>64</v>
      </c>
      <c r="G903" s="141" t="s">
        <v>6401</v>
      </c>
      <c r="H903" s="140" t="s">
        <v>6330</v>
      </c>
      <c r="I903" s="140" t="s">
        <v>6313</v>
      </c>
      <c r="J903" s="140" t="s">
        <v>6319</v>
      </c>
      <c r="K903" s="140" t="s">
        <v>7357</v>
      </c>
    </row>
    <row r="904">
      <c r="A904" s="140" t="s">
        <v>7357</v>
      </c>
      <c r="B904" s="140" t="s">
        <v>4625</v>
      </c>
      <c r="C904" s="140" t="s">
        <v>7561</v>
      </c>
      <c r="D904" s="140" t="s">
        <v>6309</v>
      </c>
      <c r="E904" s="140" t="s">
        <v>56</v>
      </c>
      <c r="F904" s="140" t="s">
        <v>64</v>
      </c>
      <c r="G904" s="141" t="s">
        <v>6401</v>
      </c>
      <c r="H904" s="140" t="s">
        <v>6330</v>
      </c>
      <c r="I904" s="140" t="s">
        <v>6313</v>
      </c>
      <c r="J904" s="140" t="s">
        <v>6319</v>
      </c>
      <c r="K904" s="140" t="s">
        <v>7357</v>
      </c>
    </row>
    <row r="905">
      <c r="A905" s="140" t="s">
        <v>7357</v>
      </c>
      <c r="B905" s="140" t="s">
        <v>7562</v>
      </c>
      <c r="C905" s="140" t="s">
        <v>7563</v>
      </c>
      <c r="D905" s="140" t="s">
        <v>6309</v>
      </c>
      <c r="E905" s="140" t="s">
        <v>56</v>
      </c>
      <c r="F905" s="140" t="s">
        <v>64</v>
      </c>
      <c r="G905" s="141" t="s">
        <v>6401</v>
      </c>
      <c r="H905" s="140" t="s">
        <v>6312</v>
      </c>
      <c r="I905" s="140" t="s">
        <v>6313</v>
      </c>
      <c r="J905" s="140" t="s">
        <v>6319</v>
      </c>
      <c r="K905" s="140" t="s">
        <v>7357</v>
      </c>
    </row>
    <row r="906">
      <c r="A906" s="140" t="s">
        <v>7357</v>
      </c>
      <c r="B906" s="140" t="s">
        <v>5473</v>
      </c>
      <c r="C906" s="140" t="s">
        <v>7564</v>
      </c>
      <c r="D906" s="140" t="s">
        <v>6309</v>
      </c>
      <c r="E906" s="140" t="s">
        <v>56</v>
      </c>
      <c r="F906" s="140" t="s">
        <v>64</v>
      </c>
      <c r="G906" s="141" t="s">
        <v>6401</v>
      </c>
      <c r="H906" s="140" t="s">
        <v>6330</v>
      </c>
      <c r="I906" s="140" t="s">
        <v>6313</v>
      </c>
      <c r="J906" s="140" t="s">
        <v>6319</v>
      </c>
      <c r="K906" s="140" t="s">
        <v>7357</v>
      </c>
    </row>
    <row r="907">
      <c r="A907" s="140" t="s">
        <v>7357</v>
      </c>
      <c r="B907" s="140" t="s">
        <v>7565</v>
      </c>
      <c r="C907" s="140" t="s">
        <v>7566</v>
      </c>
      <c r="D907" s="140" t="s">
        <v>6309</v>
      </c>
      <c r="E907" s="140" t="s">
        <v>56</v>
      </c>
      <c r="F907" s="140" t="s">
        <v>64</v>
      </c>
      <c r="G907" s="141" t="s">
        <v>6401</v>
      </c>
      <c r="H907" s="140" t="s">
        <v>6312</v>
      </c>
      <c r="I907" s="140" t="s">
        <v>6313</v>
      </c>
      <c r="J907" s="140" t="s">
        <v>6319</v>
      </c>
      <c r="K907" s="140" t="s">
        <v>7357</v>
      </c>
    </row>
    <row r="908">
      <c r="A908" s="140" t="s">
        <v>7567</v>
      </c>
      <c r="B908" s="143">
        <v>6.90222E12</v>
      </c>
      <c r="C908" s="140" t="s">
        <v>7568</v>
      </c>
      <c r="D908" s="140" t="s">
        <v>6718</v>
      </c>
      <c r="E908" s="140">
        <v>0.0</v>
      </c>
      <c r="F908" s="140" t="s">
        <v>7569</v>
      </c>
      <c r="G908" s="141" t="s">
        <v>6401</v>
      </c>
      <c r="H908" s="140" t="s">
        <v>6312</v>
      </c>
      <c r="I908" s="140" t="s">
        <v>6313</v>
      </c>
      <c r="J908" s="140" t="s">
        <v>6314</v>
      </c>
      <c r="K908" s="140" t="s">
        <v>7567</v>
      </c>
    </row>
    <row r="909">
      <c r="A909" s="140" t="s">
        <v>7567</v>
      </c>
      <c r="B909" s="143">
        <v>6.90222E12</v>
      </c>
      <c r="C909" s="140" t="s">
        <v>7570</v>
      </c>
      <c r="D909" s="140" t="s">
        <v>6718</v>
      </c>
      <c r="E909" s="140">
        <v>0.0</v>
      </c>
      <c r="F909" s="140" t="s">
        <v>7569</v>
      </c>
      <c r="G909" s="141" t="s">
        <v>6401</v>
      </c>
      <c r="H909" s="140" t="s">
        <v>6312</v>
      </c>
      <c r="I909" s="140" t="s">
        <v>6313</v>
      </c>
      <c r="J909" s="140" t="s">
        <v>6314</v>
      </c>
      <c r="K909" s="140" t="s">
        <v>7567</v>
      </c>
    </row>
    <row r="910">
      <c r="A910" s="140" t="s">
        <v>7567</v>
      </c>
      <c r="B910" s="143">
        <v>6.90222E12</v>
      </c>
      <c r="C910" s="140" t="s">
        <v>7571</v>
      </c>
      <c r="D910" s="140" t="s">
        <v>6318</v>
      </c>
      <c r="E910" s="140">
        <v>0.0</v>
      </c>
      <c r="F910" s="140" t="s">
        <v>7572</v>
      </c>
      <c r="G910" s="141" t="s">
        <v>6401</v>
      </c>
      <c r="H910" s="140" t="s">
        <v>6312</v>
      </c>
      <c r="I910" s="140" t="s">
        <v>6313</v>
      </c>
      <c r="J910" s="140" t="s">
        <v>6314</v>
      </c>
      <c r="K910" s="140" t="s">
        <v>7567</v>
      </c>
    </row>
    <row r="911">
      <c r="A911" s="140" t="s">
        <v>7567</v>
      </c>
      <c r="B911" s="143">
        <v>6.90222E12</v>
      </c>
      <c r="C911" s="140" t="s">
        <v>7573</v>
      </c>
      <c r="D911" s="140" t="s">
        <v>6318</v>
      </c>
      <c r="E911" s="140">
        <v>0.0</v>
      </c>
      <c r="F911" s="140" t="s">
        <v>7572</v>
      </c>
      <c r="G911" s="141" t="s">
        <v>6401</v>
      </c>
      <c r="H911" s="140" t="s">
        <v>6312</v>
      </c>
      <c r="I911" s="140" t="s">
        <v>6313</v>
      </c>
      <c r="J911" s="140" t="s">
        <v>6314</v>
      </c>
      <c r="K911" s="140" t="s">
        <v>7567</v>
      </c>
    </row>
    <row r="912">
      <c r="A912" s="140" t="s">
        <v>7567</v>
      </c>
      <c r="B912" s="143">
        <v>6.90222E12</v>
      </c>
      <c r="C912" s="140" t="s">
        <v>7574</v>
      </c>
      <c r="D912" s="140" t="s">
        <v>6318</v>
      </c>
      <c r="E912" s="140">
        <v>0.0</v>
      </c>
      <c r="F912" s="140" t="s">
        <v>7575</v>
      </c>
      <c r="G912" s="141" t="s">
        <v>6401</v>
      </c>
      <c r="H912" s="140" t="s">
        <v>6312</v>
      </c>
      <c r="I912" s="140" t="s">
        <v>6313</v>
      </c>
      <c r="J912" s="140" t="s">
        <v>6314</v>
      </c>
      <c r="K912" s="140" t="s">
        <v>7567</v>
      </c>
    </row>
    <row r="913">
      <c r="A913" s="140" t="s">
        <v>7567</v>
      </c>
      <c r="B913" s="143">
        <v>6.90222E12</v>
      </c>
      <c r="C913" s="140" t="s">
        <v>7576</v>
      </c>
      <c r="D913" s="140" t="s">
        <v>6318</v>
      </c>
      <c r="E913" s="140">
        <v>0.0</v>
      </c>
      <c r="F913" s="140" t="s">
        <v>7575</v>
      </c>
      <c r="G913" s="141" t="s">
        <v>6401</v>
      </c>
      <c r="H913" s="140" t="s">
        <v>6312</v>
      </c>
      <c r="I913" s="140" t="s">
        <v>6313</v>
      </c>
      <c r="J913" s="140" t="s">
        <v>6314</v>
      </c>
      <c r="K913" s="140" t="s">
        <v>7567</v>
      </c>
    </row>
    <row r="914">
      <c r="A914" s="140" t="s">
        <v>7567</v>
      </c>
      <c r="B914" s="143">
        <v>6.90222E12</v>
      </c>
      <c r="C914" s="140" t="s">
        <v>7577</v>
      </c>
      <c r="D914" s="140" t="s">
        <v>6318</v>
      </c>
      <c r="E914" s="140">
        <v>0.0</v>
      </c>
      <c r="F914" s="140" t="s">
        <v>7575</v>
      </c>
      <c r="G914" s="141" t="s">
        <v>6401</v>
      </c>
      <c r="H914" s="140" t="s">
        <v>6312</v>
      </c>
      <c r="I914" s="140" t="s">
        <v>6313</v>
      </c>
      <c r="J914" s="140" t="s">
        <v>6314</v>
      </c>
      <c r="K914" s="140" t="s">
        <v>7567</v>
      </c>
    </row>
    <row r="915">
      <c r="A915" s="140" t="s">
        <v>7567</v>
      </c>
      <c r="B915" s="143">
        <v>6.90222E12</v>
      </c>
      <c r="C915" s="140" t="s">
        <v>7578</v>
      </c>
      <c r="D915" s="140" t="s">
        <v>6601</v>
      </c>
      <c r="E915" s="140">
        <v>0.0</v>
      </c>
      <c r="F915" s="140" t="s">
        <v>7579</v>
      </c>
      <c r="G915" s="141" t="s">
        <v>6401</v>
      </c>
      <c r="H915" s="140" t="s">
        <v>6312</v>
      </c>
      <c r="I915" s="140" t="s">
        <v>6313</v>
      </c>
      <c r="J915" s="140" t="s">
        <v>6314</v>
      </c>
      <c r="K915" s="140" t="s">
        <v>7567</v>
      </c>
    </row>
    <row r="916">
      <c r="A916" s="140" t="s">
        <v>7567</v>
      </c>
      <c r="B916" s="143">
        <v>6.90222E12</v>
      </c>
      <c r="C916" s="140" t="s">
        <v>7580</v>
      </c>
      <c r="D916" s="140" t="s">
        <v>6318</v>
      </c>
      <c r="E916" s="140">
        <v>0.0</v>
      </c>
      <c r="F916" s="140" t="s">
        <v>7581</v>
      </c>
      <c r="G916" s="141" t="s">
        <v>6401</v>
      </c>
      <c r="H916" s="140" t="s">
        <v>6312</v>
      </c>
      <c r="I916" s="140" t="s">
        <v>6313</v>
      </c>
      <c r="J916" s="140" t="s">
        <v>6314</v>
      </c>
      <c r="K916" s="140" t="s">
        <v>7567</v>
      </c>
    </row>
    <row r="917">
      <c r="A917" s="140" t="s">
        <v>7567</v>
      </c>
      <c r="B917" s="143">
        <v>6.90222E12</v>
      </c>
      <c r="C917" s="140" t="s">
        <v>7582</v>
      </c>
      <c r="D917" s="140" t="s">
        <v>6318</v>
      </c>
      <c r="E917" s="140">
        <v>0.0</v>
      </c>
      <c r="F917" s="140" t="s">
        <v>7581</v>
      </c>
      <c r="G917" s="141" t="s">
        <v>6401</v>
      </c>
      <c r="H917" s="140" t="s">
        <v>6312</v>
      </c>
      <c r="I917" s="140" t="s">
        <v>6313</v>
      </c>
      <c r="J917" s="140" t="s">
        <v>6314</v>
      </c>
      <c r="K917" s="140" t="s">
        <v>7567</v>
      </c>
    </row>
    <row r="918">
      <c r="A918" s="140" t="s">
        <v>7567</v>
      </c>
      <c r="B918" s="143">
        <v>6.90222E12</v>
      </c>
      <c r="C918" s="140" t="s">
        <v>7583</v>
      </c>
      <c r="D918" s="140" t="s">
        <v>6318</v>
      </c>
      <c r="E918" s="140">
        <v>0.0</v>
      </c>
      <c r="F918" s="140" t="s">
        <v>7581</v>
      </c>
      <c r="G918" s="141" t="s">
        <v>6401</v>
      </c>
      <c r="H918" s="140" t="s">
        <v>6312</v>
      </c>
      <c r="I918" s="140" t="s">
        <v>6313</v>
      </c>
      <c r="J918" s="140" t="s">
        <v>6314</v>
      </c>
      <c r="K918" s="140" t="s">
        <v>7567</v>
      </c>
    </row>
    <row r="919">
      <c r="A919" s="140" t="s">
        <v>7567</v>
      </c>
      <c r="B919" s="143">
        <v>6.90222E12</v>
      </c>
      <c r="C919" s="140" t="s">
        <v>7584</v>
      </c>
      <c r="D919" s="140" t="s">
        <v>6318</v>
      </c>
      <c r="E919" s="140">
        <v>0.0</v>
      </c>
      <c r="F919" s="140" t="s">
        <v>7581</v>
      </c>
      <c r="G919" s="141" t="s">
        <v>6401</v>
      </c>
      <c r="H919" s="140" t="s">
        <v>6312</v>
      </c>
      <c r="I919" s="140" t="s">
        <v>6313</v>
      </c>
      <c r="J919" s="140" t="s">
        <v>6314</v>
      </c>
      <c r="K919" s="140" t="s">
        <v>7567</v>
      </c>
    </row>
    <row r="920">
      <c r="A920" s="140" t="s">
        <v>7567</v>
      </c>
      <c r="B920" s="143">
        <v>6.90222E12</v>
      </c>
      <c r="C920" s="140" t="s">
        <v>7585</v>
      </c>
      <c r="D920" s="140" t="s">
        <v>6318</v>
      </c>
      <c r="E920" s="140">
        <v>0.0</v>
      </c>
      <c r="F920" s="140" t="s">
        <v>7586</v>
      </c>
      <c r="G920" s="141" t="s">
        <v>6401</v>
      </c>
      <c r="H920" s="140" t="s">
        <v>6312</v>
      </c>
      <c r="I920" s="140" t="s">
        <v>6313</v>
      </c>
      <c r="J920" s="140" t="s">
        <v>6314</v>
      </c>
      <c r="K920" s="140" t="s">
        <v>7567</v>
      </c>
    </row>
    <row r="921">
      <c r="A921" s="140" t="s">
        <v>7567</v>
      </c>
      <c r="B921" s="143">
        <v>6.90222E12</v>
      </c>
      <c r="C921" s="140" t="s">
        <v>7587</v>
      </c>
      <c r="D921" s="140" t="s">
        <v>6318</v>
      </c>
      <c r="E921" s="140">
        <v>0.0</v>
      </c>
      <c r="F921" s="140" t="s">
        <v>7586</v>
      </c>
      <c r="G921" s="141" t="s">
        <v>6401</v>
      </c>
      <c r="H921" s="140" t="s">
        <v>6312</v>
      </c>
      <c r="I921" s="140" t="s">
        <v>6313</v>
      </c>
      <c r="J921" s="140" t="s">
        <v>6314</v>
      </c>
      <c r="K921" s="140" t="s">
        <v>7567</v>
      </c>
    </row>
    <row r="922">
      <c r="A922" s="140" t="s">
        <v>7567</v>
      </c>
      <c r="B922" s="143">
        <v>6.90222E12</v>
      </c>
      <c r="C922" s="140" t="s">
        <v>7588</v>
      </c>
      <c r="D922" s="140" t="s">
        <v>6318</v>
      </c>
      <c r="E922" s="140">
        <v>0.0</v>
      </c>
      <c r="F922" s="140" t="s">
        <v>7586</v>
      </c>
      <c r="G922" s="141" t="s">
        <v>6401</v>
      </c>
      <c r="H922" s="140" t="s">
        <v>6312</v>
      </c>
      <c r="I922" s="140" t="s">
        <v>6313</v>
      </c>
      <c r="J922" s="140" t="s">
        <v>6314</v>
      </c>
      <c r="K922" s="140" t="s">
        <v>7567</v>
      </c>
    </row>
    <row r="923">
      <c r="A923" s="140" t="s">
        <v>7567</v>
      </c>
      <c r="B923" s="143">
        <v>6.90222E12</v>
      </c>
      <c r="C923" s="140" t="s">
        <v>7589</v>
      </c>
      <c r="D923" s="140" t="s">
        <v>6318</v>
      </c>
      <c r="E923" s="140">
        <v>0.0</v>
      </c>
      <c r="F923" s="140" t="s">
        <v>1340</v>
      </c>
      <c r="G923" s="141" t="s">
        <v>6401</v>
      </c>
      <c r="H923" s="140" t="s">
        <v>6312</v>
      </c>
      <c r="I923" s="140" t="s">
        <v>6313</v>
      </c>
      <c r="J923" s="140" t="s">
        <v>6314</v>
      </c>
      <c r="K923" s="140" t="s">
        <v>7567</v>
      </c>
    </row>
    <row r="924">
      <c r="A924" s="140" t="s">
        <v>7567</v>
      </c>
      <c r="B924" s="143">
        <v>6.90222E12</v>
      </c>
      <c r="C924" s="140" t="s">
        <v>7590</v>
      </c>
      <c r="D924" s="140" t="s">
        <v>6318</v>
      </c>
      <c r="E924" s="140">
        <v>0.0</v>
      </c>
      <c r="F924" s="140" t="s">
        <v>1340</v>
      </c>
      <c r="G924" s="141" t="s">
        <v>6401</v>
      </c>
      <c r="H924" s="140" t="s">
        <v>6312</v>
      </c>
      <c r="I924" s="140" t="s">
        <v>6313</v>
      </c>
      <c r="J924" s="140" t="s">
        <v>6314</v>
      </c>
      <c r="K924" s="140" t="s">
        <v>7567</v>
      </c>
    </row>
    <row r="925">
      <c r="A925" s="140" t="s">
        <v>7567</v>
      </c>
      <c r="B925" s="143">
        <v>6.90222E12</v>
      </c>
      <c r="C925" s="140" t="s">
        <v>7591</v>
      </c>
      <c r="D925" s="140" t="s">
        <v>6318</v>
      </c>
      <c r="E925" s="140">
        <v>0.0</v>
      </c>
      <c r="F925" s="140" t="s">
        <v>1340</v>
      </c>
      <c r="G925" s="141" t="s">
        <v>6401</v>
      </c>
      <c r="H925" s="140" t="s">
        <v>6312</v>
      </c>
      <c r="I925" s="140" t="s">
        <v>6313</v>
      </c>
      <c r="J925" s="140" t="s">
        <v>6314</v>
      </c>
      <c r="K925" s="140" t="s">
        <v>7567</v>
      </c>
    </row>
    <row r="926">
      <c r="A926" s="140" t="s">
        <v>7567</v>
      </c>
      <c r="B926" s="143">
        <v>6.90222E12</v>
      </c>
      <c r="C926" s="140" t="s">
        <v>7592</v>
      </c>
      <c r="D926" s="140" t="s">
        <v>6318</v>
      </c>
      <c r="E926" s="140">
        <v>0.0</v>
      </c>
      <c r="F926" s="140" t="s">
        <v>1340</v>
      </c>
      <c r="G926" s="141" t="s">
        <v>6401</v>
      </c>
      <c r="H926" s="140" t="s">
        <v>6312</v>
      </c>
      <c r="I926" s="140" t="s">
        <v>6313</v>
      </c>
      <c r="J926" s="140" t="s">
        <v>6314</v>
      </c>
      <c r="K926" s="140" t="s">
        <v>7567</v>
      </c>
    </row>
    <row r="927">
      <c r="A927" s="140" t="s">
        <v>7567</v>
      </c>
      <c r="B927" s="143">
        <v>6.90222E12</v>
      </c>
      <c r="C927" s="140" t="s">
        <v>7593</v>
      </c>
      <c r="D927" s="140" t="s">
        <v>6318</v>
      </c>
      <c r="E927" s="140">
        <v>0.0</v>
      </c>
      <c r="F927" s="140" t="s">
        <v>1340</v>
      </c>
      <c r="G927" s="141" t="s">
        <v>6401</v>
      </c>
      <c r="H927" s="140" t="s">
        <v>6312</v>
      </c>
      <c r="I927" s="140" t="s">
        <v>6313</v>
      </c>
      <c r="J927" s="140" t="s">
        <v>6314</v>
      </c>
      <c r="K927" s="140" t="s">
        <v>7567</v>
      </c>
    </row>
    <row r="928">
      <c r="A928" s="140" t="s">
        <v>7567</v>
      </c>
      <c r="B928" s="143">
        <v>6.90222E12</v>
      </c>
      <c r="C928" s="140" t="s">
        <v>7594</v>
      </c>
      <c r="D928" s="140" t="s">
        <v>6318</v>
      </c>
      <c r="E928" s="140">
        <v>0.0</v>
      </c>
      <c r="F928" s="140" t="s">
        <v>1340</v>
      </c>
      <c r="G928" s="141" t="s">
        <v>6401</v>
      </c>
      <c r="H928" s="140" t="s">
        <v>6312</v>
      </c>
      <c r="I928" s="140" t="s">
        <v>6313</v>
      </c>
      <c r="J928" s="140" t="s">
        <v>6314</v>
      </c>
      <c r="K928" s="140" t="s">
        <v>7567</v>
      </c>
    </row>
    <row r="929">
      <c r="A929" s="140" t="s">
        <v>7567</v>
      </c>
      <c r="B929" s="143">
        <v>6.90222E12</v>
      </c>
      <c r="C929" s="140" t="s">
        <v>7595</v>
      </c>
      <c r="D929" s="140" t="s">
        <v>6318</v>
      </c>
      <c r="E929" s="140">
        <v>0.0</v>
      </c>
      <c r="F929" s="140" t="s">
        <v>1340</v>
      </c>
      <c r="G929" s="141" t="s">
        <v>6401</v>
      </c>
      <c r="H929" s="140" t="s">
        <v>6312</v>
      </c>
      <c r="I929" s="140" t="s">
        <v>6313</v>
      </c>
      <c r="J929" s="140" t="s">
        <v>6314</v>
      </c>
      <c r="K929" s="140" t="s">
        <v>7567</v>
      </c>
    </row>
    <row r="930">
      <c r="A930" s="140" t="s">
        <v>7567</v>
      </c>
      <c r="B930" s="143">
        <v>6.90222E12</v>
      </c>
      <c r="C930" s="140" t="s">
        <v>7596</v>
      </c>
      <c r="D930" s="140" t="s">
        <v>6318</v>
      </c>
      <c r="E930" s="140">
        <v>0.0</v>
      </c>
      <c r="F930" s="140" t="s">
        <v>1340</v>
      </c>
      <c r="G930" s="141" t="s">
        <v>6401</v>
      </c>
      <c r="H930" s="140" t="s">
        <v>6312</v>
      </c>
      <c r="I930" s="140" t="s">
        <v>6313</v>
      </c>
      <c r="J930" s="140" t="s">
        <v>6314</v>
      </c>
      <c r="K930" s="140" t="s">
        <v>7567</v>
      </c>
    </row>
    <row r="931">
      <c r="A931" s="140" t="s">
        <v>7567</v>
      </c>
      <c r="B931" s="143">
        <v>6.90222E12</v>
      </c>
      <c r="C931" s="140" t="s">
        <v>7597</v>
      </c>
      <c r="D931" s="140" t="s">
        <v>6318</v>
      </c>
      <c r="E931" s="140">
        <v>0.0</v>
      </c>
      <c r="F931" s="140" t="s">
        <v>1340</v>
      </c>
      <c r="G931" s="141" t="s">
        <v>6401</v>
      </c>
      <c r="H931" s="140" t="s">
        <v>6312</v>
      </c>
      <c r="I931" s="140" t="s">
        <v>6313</v>
      </c>
      <c r="J931" s="140" t="s">
        <v>6314</v>
      </c>
      <c r="K931" s="140" t="s">
        <v>7567</v>
      </c>
    </row>
    <row r="932">
      <c r="A932" s="140" t="s">
        <v>7567</v>
      </c>
      <c r="B932" s="143">
        <v>6.90952E12</v>
      </c>
      <c r="C932" s="140" t="s">
        <v>7598</v>
      </c>
      <c r="D932" s="140" t="s">
        <v>6318</v>
      </c>
      <c r="E932" s="140">
        <v>0.0</v>
      </c>
      <c r="F932" s="140" t="s">
        <v>7599</v>
      </c>
      <c r="G932" s="141" t="s">
        <v>6401</v>
      </c>
      <c r="H932" s="140" t="s">
        <v>6312</v>
      </c>
      <c r="I932" s="140" t="s">
        <v>6313</v>
      </c>
      <c r="J932" s="140" t="s">
        <v>6314</v>
      </c>
      <c r="K932" s="140" t="s">
        <v>7567</v>
      </c>
    </row>
    <row r="933">
      <c r="A933" s="140" t="s">
        <v>7567</v>
      </c>
      <c r="B933" s="143">
        <v>6.90942E12</v>
      </c>
      <c r="C933" s="140" t="s">
        <v>7600</v>
      </c>
      <c r="D933" s="140" t="s">
        <v>6318</v>
      </c>
      <c r="E933" s="140">
        <v>0.0</v>
      </c>
      <c r="F933" s="140" t="s">
        <v>7599</v>
      </c>
      <c r="G933" s="141" t="s">
        <v>6401</v>
      </c>
      <c r="H933" s="140" t="s">
        <v>6312</v>
      </c>
      <c r="I933" s="140" t="s">
        <v>6313</v>
      </c>
      <c r="J933" s="140" t="s">
        <v>6314</v>
      </c>
      <c r="K933" s="140" t="s">
        <v>7567</v>
      </c>
    </row>
    <row r="934">
      <c r="A934" s="140" t="s">
        <v>7567</v>
      </c>
      <c r="B934" s="143">
        <v>6.90222E12</v>
      </c>
      <c r="C934" s="140" t="s">
        <v>7601</v>
      </c>
      <c r="D934" s="140" t="s">
        <v>6318</v>
      </c>
      <c r="E934" s="140">
        <v>0.0</v>
      </c>
      <c r="F934" s="140" t="s">
        <v>1190</v>
      </c>
      <c r="G934" s="141" t="s">
        <v>6401</v>
      </c>
      <c r="H934" s="140" t="s">
        <v>6312</v>
      </c>
      <c r="I934" s="140" t="s">
        <v>6313</v>
      </c>
      <c r="J934" s="140" t="s">
        <v>6314</v>
      </c>
      <c r="K934" s="140" t="s">
        <v>7567</v>
      </c>
    </row>
    <row r="935">
      <c r="A935" s="140" t="s">
        <v>7567</v>
      </c>
      <c r="B935" s="143">
        <v>6.90222E12</v>
      </c>
      <c r="C935" s="140" t="s">
        <v>7602</v>
      </c>
      <c r="D935" s="140" t="s">
        <v>6318</v>
      </c>
      <c r="E935" s="140">
        <v>0.0</v>
      </c>
      <c r="F935" s="140" t="s">
        <v>1190</v>
      </c>
      <c r="G935" s="141" t="s">
        <v>6401</v>
      </c>
      <c r="H935" s="140" t="s">
        <v>6312</v>
      </c>
      <c r="I935" s="140" t="s">
        <v>6313</v>
      </c>
      <c r="J935" s="140" t="s">
        <v>6314</v>
      </c>
      <c r="K935" s="140" t="s">
        <v>7567</v>
      </c>
    </row>
    <row r="936">
      <c r="A936" s="140" t="s">
        <v>7567</v>
      </c>
      <c r="B936" s="143">
        <v>6.90222E12</v>
      </c>
      <c r="C936" s="140" t="s">
        <v>7603</v>
      </c>
      <c r="D936" s="140" t="s">
        <v>6318</v>
      </c>
      <c r="E936" s="140">
        <v>0.0</v>
      </c>
      <c r="F936" s="140" t="s">
        <v>7604</v>
      </c>
      <c r="G936" s="141" t="s">
        <v>6401</v>
      </c>
      <c r="H936" s="140" t="s">
        <v>6312</v>
      </c>
      <c r="I936" s="140" t="s">
        <v>6313</v>
      </c>
      <c r="J936" s="140" t="s">
        <v>6314</v>
      </c>
      <c r="K936" s="140" t="s">
        <v>7567</v>
      </c>
    </row>
    <row r="937">
      <c r="A937" s="140" t="s">
        <v>7567</v>
      </c>
      <c r="B937" s="143">
        <v>6.90922E12</v>
      </c>
      <c r="C937" s="140" t="s">
        <v>7605</v>
      </c>
      <c r="D937" s="140" t="s">
        <v>6318</v>
      </c>
      <c r="E937" s="140">
        <v>0.0</v>
      </c>
      <c r="F937" s="140" t="s">
        <v>1371</v>
      </c>
      <c r="G937" s="141" t="s">
        <v>6401</v>
      </c>
      <c r="H937" s="140" t="s">
        <v>6312</v>
      </c>
      <c r="I937" s="140" t="s">
        <v>6313</v>
      </c>
      <c r="J937" s="140" t="s">
        <v>6314</v>
      </c>
      <c r="K937" s="140" t="s">
        <v>7567</v>
      </c>
    </row>
    <row r="938">
      <c r="A938" s="140" t="s">
        <v>7567</v>
      </c>
      <c r="B938" s="143">
        <v>6.90932E12</v>
      </c>
      <c r="C938" s="140" t="s">
        <v>7606</v>
      </c>
      <c r="D938" s="140" t="s">
        <v>6318</v>
      </c>
      <c r="E938" s="140">
        <v>0.0</v>
      </c>
      <c r="F938" s="140" t="s">
        <v>1371</v>
      </c>
      <c r="G938" s="141" t="s">
        <v>6401</v>
      </c>
      <c r="H938" s="140" t="s">
        <v>6312</v>
      </c>
      <c r="I938" s="140" t="s">
        <v>6313</v>
      </c>
      <c r="J938" s="140" t="s">
        <v>6314</v>
      </c>
      <c r="K938" s="140" t="s">
        <v>7567</v>
      </c>
    </row>
    <row r="939">
      <c r="A939" s="140" t="s">
        <v>7567</v>
      </c>
      <c r="B939" s="143">
        <v>6.90222E12</v>
      </c>
      <c r="C939" s="140" t="s">
        <v>7607</v>
      </c>
      <c r="D939" s="140" t="s">
        <v>6601</v>
      </c>
      <c r="E939" s="140">
        <v>0.0</v>
      </c>
      <c r="F939" s="140" t="s">
        <v>6609</v>
      </c>
      <c r="G939" s="141" t="s">
        <v>6401</v>
      </c>
      <c r="H939" s="140" t="s">
        <v>6312</v>
      </c>
      <c r="I939" s="140" t="s">
        <v>6313</v>
      </c>
      <c r="J939" s="140" t="s">
        <v>6314</v>
      </c>
      <c r="K939" s="140" t="s">
        <v>7567</v>
      </c>
    </row>
    <row r="940">
      <c r="A940" s="140" t="s">
        <v>7567</v>
      </c>
      <c r="B940" s="143">
        <v>6.90222E12</v>
      </c>
      <c r="C940" s="140" t="s">
        <v>7608</v>
      </c>
      <c r="D940" s="140" t="s">
        <v>6601</v>
      </c>
      <c r="E940" s="140">
        <v>0.0</v>
      </c>
      <c r="F940" s="140" t="s">
        <v>6609</v>
      </c>
      <c r="G940" s="141" t="s">
        <v>6401</v>
      </c>
      <c r="H940" s="140" t="s">
        <v>6312</v>
      </c>
      <c r="I940" s="140" t="s">
        <v>6313</v>
      </c>
      <c r="J940" s="140" t="s">
        <v>6314</v>
      </c>
      <c r="K940" s="140" t="s">
        <v>7567</v>
      </c>
    </row>
    <row r="941">
      <c r="A941" s="140" t="s">
        <v>7567</v>
      </c>
      <c r="B941" s="143">
        <v>6.90222E12</v>
      </c>
      <c r="C941" s="140" t="s">
        <v>7609</v>
      </c>
      <c r="D941" s="140" t="s">
        <v>6601</v>
      </c>
      <c r="E941" s="140">
        <v>0.0</v>
      </c>
      <c r="F941" s="140" t="s">
        <v>6609</v>
      </c>
      <c r="G941" s="141" t="s">
        <v>6401</v>
      </c>
      <c r="H941" s="140" t="s">
        <v>6312</v>
      </c>
      <c r="I941" s="140" t="s">
        <v>6313</v>
      </c>
      <c r="J941" s="140" t="s">
        <v>6314</v>
      </c>
      <c r="K941" s="140" t="s">
        <v>7567</v>
      </c>
    </row>
    <row r="942">
      <c r="A942" s="140" t="s">
        <v>7567</v>
      </c>
      <c r="B942" s="143">
        <v>6.90222E12</v>
      </c>
      <c r="C942" s="140" t="s">
        <v>7610</v>
      </c>
      <c r="D942" s="140" t="s">
        <v>6601</v>
      </c>
      <c r="E942" s="140">
        <v>0.0</v>
      </c>
      <c r="F942" s="140" t="s">
        <v>6609</v>
      </c>
      <c r="G942" s="141" t="s">
        <v>6401</v>
      </c>
      <c r="H942" s="140" t="s">
        <v>6312</v>
      </c>
      <c r="I942" s="140" t="s">
        <v>6313</v>
      </c>
      <c r="J942" s="140" t="s">
        <v>6314</v>
      </c>
      <c r="K942" s="140" t="s">
        <v>7567</v>
      </c>
    </row>
    <row r="943">
      <c r="A943" s="140" t="s">
        <v>7567</v>
      </c>
      <c r="B943" s="143">
        <v>6.90222E12</v>
      </c>
      <c r="C943" s="140" t="s">
        <v>7611</v>
      </c>
      <c r="D943" s="140" t="s">
        <v>6601</v>
      </c>
      <c r="E943" s="140">
        <v>0.0</v>
      </c>
      <c r="F943" s="140" t="s">
        <v>6609</v>
      </c>
      <c r="G943" s="141" t="s">
        <v>6401</v>
      </c>
      <c r="H943" s="140" t="s">
        <v>6312</v>
      </c>
      <c r="I943" s="140" t="s">
        <v>6313</v>
      </c>
      <c r="J943" s="140" t="s">
        <v>6314</v>
      </c>
      <c r="K943" s="140" t="s">
        <v>7567</v>
      </c>
    </row>
    <row r="944">
      <c r="A944" s="140" t="s">
        <v>7567</v>
      </c>
      <c r="B944" s="143">
        <v>6.90222E12</v>
      </c>
      <c r="C944" s="140" t="s">
        <v>7612</v>
      </c>
      <c r="D944" s="140" t="s">
        <v>6309</v>
      </c>
      <c r="E944" s="140">
        <v>0.0</v>
      </c>
      <c r="F944" s="140" t="s">
        <v>7613</v>
      </c>
      <c r="G944" s="141" t="s">
        <v>6401</v>
      </c>
      <c r="H944" s="140" t="s">
        <v>6312</v>
      </c>
      <c r="I944" s="140" t="s">
        <v>6313</v>
      </c>
      <c r="J944" s="140" t="s">
        <v>6314</v>
      </c>
      <c r="K944" s="140" t="s">
        <v>7567</v>
      </c>
    </row>
    <row r="945">
      <c r="A945" s="140" t="s">
        <v>7567</v>
      </c>
      <c r="B945" s="143">
        <v>6.90222E12</v>
      </c>
      <c r="C945" s="140" t="s">
        <v>7614</v>
      </c>
      <c r="D945" s="140" t="s">
        <v>6318</v>
      </c>
      <c r="E945" s="140">
        <v>0.0</v>
      </c>
      <c r="F945" s="140" t="s">
        <v>7152</v>
      </c>
      <c r="G945" s="141" t="s">
        <v>6401</v>
      </c>
      <c r="H945" s="140" t="s">
        <v>6312</v>
      </c>
      <c r="I945" s="140" t="s">
        <v>6313</v>
      </c>
      <c r="J945" s="140" t="s">
        <v>6314</v>
      </c>
      <c r="K945" s="140" t="s">
        <v>7567</v>
      </c>
    </row>
    <row r="946">
      <c r="A946" s="140" t="s">
        <v>7567</v>
      </c>
      <c r="B946" s="143">
        <v>6.90222E12</v>
      </c>
      <c r="C946" s="140" t="s">
        <v>7615</v>
      </c>
      <c r="D946" s="140" t="s">
        <v>6318</v>
      </c>
      <c r="E946" s="140">
        <v>0.0</v>
      </c>
      <c r="F946" s="140" t="s">
        <v>7152</v>
      </c>
      <c r="G946" s="141" t="s">
        <v>6401</v>
      </c>
      <c r="H946" s="140" t="s">
        <v>6312</v>
      </c>
      <c r="I946" s="140" t="s">
        <v>6313</v>
      </c>
      <c r="J946" s="140" t="s">
        <v>6314</v>
      </c>
      <c r="K946" s="140" t="s">
        <v>7567</v>
      </c>
    </row>
    <row r="947">
      <c r="A947" s="140" t="s">
        <v>7567</v>
      </c>
      <c r="B947" s="143">
        <v>6.90222E12</v>
      </c>
      <c r="C947" s="140" t="s">
        <v>7616</v>
      </c>
      <c r="D947" s="140" t="s">
        <v>6318</v>
      </c>
      <c r="E947" s="140">
        <v>0.0</v>
      </c>
      <c r="F947" s="140" t="s">
        <v>7152</v>
      </c>
      <c r="G947" s="141" t="s">
        <v>6401</v>
      </c>
      <c r="H947" s="140" t="s">
        <v>6312</v>
      </c>
      <c r="I947" s="140" t="s">
        <v>6313</v>
      </c>
      <c r="J947" s="140" t="s">
        <v>6314</v>
      </c>
      <c r="K947" s="140" t="s">
        <v>7567</v>
      </c>
    </row>
    <row r="948">
      <c r="A948" s="140" t="s">
        <v>7567</v>
      </c>
      <c r="B948" s="143">
        <v>6.90222E12</v>
      </c>
      <c r="C948" s="140" t="s">
        <v>7616</v>
      </c>
      <c r="D948" s="140" t="s">
        <v>6318</v>
      </c>
      <c r="E948" s="140">
        <v>0.0</v>
      </c>
      <c r="F948" s="140" t="s">
        <v>7152</v>
      </c>
      <c r="G948" s="141" t="s">
        <v>6401</v>
      </c>
      <c r="H948" s="140" t="s">
        <v>6312</v>
      </c>
      <c r="I948" s="140" t="s">
        <v>6313</v>
      </c>
      <c r="J948" s="140" t="s">
        <v>6314</v>
      </c>
      <c r="K948" s="140" t="s">
        <v>7567</v>
      </c>
    </row>
    <row r="949">
      <c r="A949" s="140" t="s">
        <v>7567</v>
      </c>
      <c r="B949" s="143">
        <v>6.90222E12</v>
      </c>
      <c r="C949" s="140" t="s">
        <v>7617</v>
      </c>
      <c r="D949" s="140" t="s">
        <v>6318</v>
      </c>
      <c r="E949" s="140">
        <v>0.0</v>
      </c>
      <c r="F949" s="140" t="s">
        <v>7152</v>
      </c>
      <c r="G949" s="141" t="s">
        <v>6401</v>
      </c>
      <c r="H949" s="140" t="s">
        <v>6312</v>
      </c>
      <c r="I949" s="140" t="s">
        <v>6313</v>
      </c>
      <c r="J949" s="140" t="s">
        <v>6314</v>
      </c>
      <c r="K949" s="140" t="s">
        <v>7567</v>
      </c>
    </row>
    <row r="950">
      <c r="A950" s="140" t="s">
        <v>7567</v>
      </c>
      <c r="B950" s="143">
        <v>6.90222E12</v>
      </c>
      <c r="C950" s="140" t="s">
        <v>7618</v>
      </c>
      <c r="D950" s="140" t="s">
        <v>6318</v>
      </c>
      <c r="E950" s="140">
        <v>0.0</v>
      </c>
      <c r="F950" s="140" t="s">
        <v>7152</v>
      </c>
      <c r="G950" s="141" t="s">
        <v>6401</v>
      </c>
      <c r="H950" s="140" t="s">
        <v>6312</v>
      </c>
      <c r="I950" s="140" t="s">
        <v>6313</v>
      </c>
      <c r="J950" s="140" t="s">
        <v>6314</v>
      </c>
      <c r="K950" s="140" t="s">
        <v>7567</v>
      </c>
    </row>
    <row r="951">
      <c r="A951" s="140" t="s">
        <v>7567</v>
      </c>
      <c r="B951" s="143">
        <v>6.90222E12</v>
      </c>
      <c r="C951" s="140" t="s">
        <v>7619</v>
      </c>
      <c r="D951" s="140" t="s">
        <v>6318</v>
      </c>
      <c r="E951" s="140">
        <v>0.0</v>
      </c>
      <c r="F951" s="140" t="s">
        <v>7165</v>
      </c>
      <c r="G951" s="141" t="s">
        <v>6401</v>
      </c>
      <c r="H951" s="140" t="s">
        <v>6312</v>
      </c>
      <c r="I951" s="140" t="s">
        <v>6313</v>
      </c>
      <c r="J951" s="140" t="s">
        <v>6314</v>
      </c>
      <c r="K951" s="140" t="s">
        <v>7567</v>
      </c>
    </row>
    <row r="952">
      <c r="A952" s="140" t="s">
        <v>7567</v>
      </c>
      <c r="B952" s="143">
        <v>6.90222E12</v>
      </c>
      <c r="C952" s="140" t="s">
        <v>7620</v>
      </c>
      <c r="D952" s="140" t="s">
        <v>6318</v>
      </c>
      <c r="E952" s="140">
        <v>0.0</v>
      </c>
      <c r="F952" s="140" t="s">
        <v>7165</v>
      </c>
      <c r="G952" s="141" t="s">
        <v>6401</v>
      </c>
      <c r="H952" s="140" t="s">
        <v>6312</v>
      </c>
      <c r="I952" s="140" t="s">
        <v>6313</v>
      </c>
      <c r="J952" s="140" t="s">
        <v>6314</v>
      </c>
      <c r="K952" s="140" t="s">
        <v>7567</v>
      </c>
    </row>
    <row r="953">
      <c r="A953" s="140" t="s">
        <v>7567</v>
      </c>
      <c r="B953" s="143">
        <v>6.90222E12</v>
      </c>
      <c r="C953" s="140" t="s">
        <v>7621</v>
      </c>
      <c r="D953" s="140" t="s">
        <v>6318</v>
      </c>
      <c r="E953" s="140">
        <v>0.0</v>
      </c>
      <c r="F953" s="140" t="s">
        <v>7165</v>
      </c>
      <c r="G953" s="141" t="s">
        <v>6401</v>
      </c>
      <c r="H953" s="140" t="s">
        <v>6312</v>
      </c>
      <c r="I953" s="140" t="s">
        <v>6313</v>
      </c>
      <c r="J953" s="140" t="s">
        <v>6314</v>
      </c>
      <c r="K953" s="140" t="s">
        <v>7567</v>
      </c>
    </row>
    <row r="954">
      <c r="A954" s="140" t="s">
        <v>7567</v>
      </c>
      <c r="B954" s="143">
        <v>6.90222E12</v>
      </c>
      <c r="C954" s="140" t="s">
        <v>7622</v>
      </c>
      <c r="D954" s="140" t="s">
        <v>6318</v>
      </c>
      <c r="E954" s="140">
        <v>0.0</v>
      </c>
      <c r="F954" s="140" t="s">
        <v>6790</v>
      </c>
      <c r="G954" s="141" t="s">
        <v>6401</v>
      </c>
      <c r="H954" s="140" t="s">
        <v>6312</v>
      </c>
      <c r="I954" s="140" t="s">
        <v>6313</v>
      </c>
      <c r="J954" s="140" t="s">
        <v>6314</v>
      </c>
      <c r="K954" s="140" t="s">
        <v>7567</v>
      </c>
    </row>
    <row r="955">
      <c r="A955" s="140" t="s">
        <v>7567</v>
      </c>
      <c r="B955" s="143">
        <v>6.90222E12</v>
      </c>
      <c r="C955" s="140" t="s">
        <v>7623</v>
      </c>
      <c r="D955" s="140" t="s">
        <v>6318</v>
      </c>
      <c r="E955" s="140">
        <v>0.0</v>
      </c>
      <c r="F955" s="140" t="s">
        <v>6790</v>
      </c>
      <c r="G955" s="141" t="s">
        <v>6401</v>
      </c>
      <c r="H955" s="140" t="s">
        <v>6312</v>
      </c>
      <c r="I955" s="140" t="s">
        <v>6313</v>
      </c>
      <c r="J955" s="140" t="s">
        <v>6314</v>
      </c>
      <c r="K955" s="140" t="s">
        <v>7567</v>
      </c>
    </row>
    <row r="956">
      <c r="A956" s="140" t="s">
        <v>7567</v>
      </c>
      <c r="B956" s="143">
        <v>6.90222E12</v>
      </c>
      <c r="C956" s="140" t="s">
        <v>7624</v>
      </c>
      <c r="D956" s="140" t="s">
        <v>6318</v>
      </c>
      <c r="E956" s="140">
        <v>0.0</v>
      </c>
      <c r="F956" s="140" t="s">
        <v>6790</v>
      </c>
      <c r="G956" s="141" t="s">
        <v>6401</v>
      </c>
      <c r="H956" s="140" t="s">
        <v>6312</v>
      </c>
      <c r="I956" s="140" t="s">
        <v>6313</v>
      </c>
      <c r="J956" s="140" t="s">
        <v>6314</v>
      </c>
      <c r="K956" s="140" t="s">
        <v>7567</v>
      </c>
    </row>
    <row r="957">
      <c r="A957" s="140" t="s">
        <v>7567</v>
      </c>
      <c r="B957" s="143">
        <v>6.90222E12</v>
      </c>
      <c r="C957" s="140" t="s">
        <v>7625</v>
      </c>
      <c r="D957" s="140" t="s">
        <v>6318</v>
      </c>
      <c r="E957" s="140">
        <v>0.0</v>
      </c>
      <c r="F957" s="140" t="s">
        <v>6790</v>
      </c>
      <c r="G957" s="141" t="s">
        <v>6401</v>
      </c>
      <c r="H957" s="140" t="s">
        <v>6312</v>
      </c>
      <c r="I957" s="140" t="s">
        <v>6313</v>
      </c>
      <c r="J957" s="140" t="s">
        <v>6314</v>
      </c>
      <c r="K957" s="140" t="s">
        <v>7567</v>
      </c>
    </row>
    <row r="958">
      <c r="A958" s="140" t="s">
        <v>7567</v>
      </c>
      <c r="B958" s="143">
        <v>6.90222E12</v>
      </c>
      <c r="C958" s="140" t="s">
        <v>7626</v>
      </c>
      <c r="D958" s="140" t="s">
        <v>6318</v>
      </c>
      <c r="E958" s="140">
        <v>0.0</v>
      </c>
      <c r="F958" s="140" t="s">
        <v>6790</v>
      </c>
      <c r="G958" s="141" t="s">
        <v>6401</v>
      </c>
      <c r="H958" s="140" t="s">
        <v>6312</v>
      </c>
      <c r="I958" s="140" t="s">
        <v>6313</v>
      </c>
      <c r="J958" s="140" t="s">
        <v>6314</v>
      </c>
      <c r="K958" s="140" t="s">
        <v>7567</v>
      </c>
    </row>
    <row r="959">
      <c r="A959" s="140" t="s">
        <v>7567</v>
      </c>
      <c r="B959" s="143">
        <v>6.90222E12</v>
      </c>
      <c r="C959" s="140" t="s">
        <v>7627</v>
      </c>
      <c r="D959" s="140" t="s">
        <v>6318</v>
      </c>
      <c r="E959" s="140">
        <v>0.0</v>
      </c>
      <c r="F959" s="140" t="s">
        <v>6790</v>
      </c>
      <c r="G959" s="141" t="s">
        <v>6401</v>
      </c>
      <c r="H959" s="140" t="s">
        <v>6312</v>
      </c>
      <c r="I959" s="140" t="s">
        <v>6313</v>
      </c>
      <c r="J959" s="140" t="s">
        <v>6314</v>
      </c>
      <c r="K959" s="140" t="s">
        <v>7567</v>
      </c>
    </row>
    <row r="960">
      <c r="A960" s="140" t="s">
        <v>7567</v>
      </c>
      <c r="B960" s="140" t="s">
        <v>7628</v>
      </c>
      <c r="C960" s="140" t="s">
        <v>7629</v>
      </c>
      <c r="D960" s="140" t="s">
        <v>6318</v>
      </c>
      <c r="E960" s="140">
        <v>0.0</v>
      </c>
      <c r="F960" s="140" t="s">
        <v>6790</v>
      </c>
      <c r="G960" s="141" t="s">
        <v>6401</v>
      </c>
      <c r="H960" s="140" t="s">
        <v>6312</v>
      </c>
      <c r="I960" s="140" t="s">
        <v>6313</v>
      </c>
      <c r="J960" s="140" t="s">
        <v>6314</v>
      </c>
      <c r="K960" s="140" t="s">
        <v>7567</v>
      </c>
    </row>
    <row r="961">
      <c r="A961" s="140" t="s">
        <v>7567</v>
      </c>
      <c r="B961" s="143">
        <v>6.90222E12</v>
      </c>
      <c r="C961" s="140" t="s">
        <v>7630</v>
      </c>
      <c r="D961" s="140" t="s">
        <v>6318</v>
      </c>
      <c r="E961" s="140">
        <v>0.0</v>
      </c>
      <c r="F961" s="140" t="s">
        <v>6790</v>
      </c>
      <c r="G961" s="141" t="s">
        <v>6401</v>
      </c>
      <c r="H961" s="140" t="s">
        <v>6312</v>
      </c>
      <c r="I961" s="140" t="s">
        <v>6313</v>
      </c>
      <c r="J961" s="140" t="s">
        <v>6314</v>
      </c>
      <c r="K961" s="140" t="s">
        <v>7567</v>
      </c>
    </row>
    <row r="962">
      <c r="A962" s="140" t="s">
        <v>7567</v>
      </c>
      <c r="B962" s="143">
        <v>6.90222E12</v>
      </c>
      <c r="C962" s="140" t="s">
        <v>7631</v>
      </c>
      <c r="D962" s="140" t="s">
        <v>6318</v>
      </c>
      <c r="E962" s="140">
        <v>0.0</v>
      </c>
      <c r="F962" s="140" t="s">
        <v>6790</v>
      </c>
      <c r="G962" s="141" t="s">
        <v>6401</v>
      </c>
      <c r="H962" s="140" t="s">
        <v>6312</v>
      </c>
      <c r="I962" s="140" t="s">
        <v>6313</v>
      </c>
      <c r="J962" s="140" t="s">
        <v>6314</v>
      </c>
      <c r="K962" s="140" t="s">
        <v>7567</v>
      </c>
    </row>
    <row r="963">
      <c r="A963" s="140" t="s">
        <v>7567</v>
      </c>
      <c r="B963" s="143">
        <v>6.90222E12</v>
      </c>
      <c r="C963" s="140" t="s">
        <v>7632</v>
      </c>
      <c r="D963" s="140" t="s">
        <v>6318</v>
      </c>
      <c r="E963" s="140">
        <v>0.0</v>
      </c>
      <c r="F963" s="140" t="s">
        <v>6790</v>
      </c>
      <c r="G963" s="141" t="s">
        <v>6401</v>
      </c>
      <c r="H963" s="140" t="s">
        <v>6312</v>
      </c>
      <c r="I963" s="140" t="s">
        <v>6313</v>
      </c>
      <c r="J963" s="140" t="s">
        <v>6314</v>
      </c>
      <c r="K963" s="140" t="s">
        <v>7567</v>
      </c>
    </row>
    <row r="964">
      <c r="A964" s="140" t="s">
        <v>7567</v>
      </c>
      <c r="B964" s="143">
        <v>6.90222E12</v>
      </c>
      <c r="C964" s="140" t="s">
        <v>7633</v>
      </c>
      <c r="D964" s="140" t="s">
        <v>6309</v>
      </c>
      <c r="E964" s="140">
        <v>0.0</v>
      </c>
      <c r="F964" s="140" t="s">
        <v>7634</v>
      </c>
      <c r="G964" s="141" t="s">
        <v>6401</v>
      </c>
      <c r="H964" s="140" t="s">
        <v>6312</v>
      </c>
      <c r="I964" s="140" t="s">
        <v>6313</v>
      </c>
      <c r="J964" s="140" t="s">
        <v>6314</v>
      </c>
      <c r="K964" s="140" t="s">
        <v>7567</v>
      </c>
    </row>
    <row r="965">
      <c r="A965" s="140" t="s">
        <v>7567</v>
      </c>
      <c r="B965" s="143">
        <v>6.90222E12</v>
      </c>
      <c r="C965" s="140" t="s">
        <v>7635</v>
      </c>
      <c r="D965" s="140" t="s">
        <v>6309</v>
      </c>
      <c r="E965" s="140">
        <v>0.0</v>
      </c>
      <c r="F965" s="140" t="s">
        <v>7634</v>
      </c>
      <c r="G965" s="141" t="s">
        <v>6401</v>
      </c>
      <c r="H965" s="140" t="s">
        <v>6312</v>
      </c>
      <c r="I965" s="140" t="s">
        <v>6313</v>
      </c>
      <c r="J965" s="140" t="s">
        <v>6314</v>
      </c>
      <c r="K965" s="140" t="s">
        <v>7567</v>
      </c>
    </row>
    <row r="966">
      <c r="A966" s="140" t="s">
        <v>7567</v>
      </c>
      <c r="B966" s="143">
        <v>6.90222E12</v>
      </c>
      <c r="C966" s="140" t="s">
        <v>7636</v>
      </c>
      <c r="D966" s="140" t="s">
        <v>6309</v>
      </c>
      <c r="E966" s="140">
        <v>0.0</v>
      </c>
      <c r="F966" s="140" t="s">
        <v>7634</v>
      </c>
      <c r="G966" s="141" t="s">
        <v>6401</v>
      </c>
      <c r="H966" s="140" t="s">
        <v>6312</v>
      </c>
      <c r="I966" s="140" t="s">
        <v>6313</v>
      </c>
      <c r="J966" s="140" t="s">
        <v>6314</v>
      </c>
      <c r="K966" s="140" t="s">
        <v>7567</v>
      </c>
    </row>
    <row r="967">
      <c r="A967" s="140" t="s">
        <v>7567</v>
      </c>
      <c r="B967" s="143">
        <v>6.90222E12</v>
      </c>
      <c r="C967" s="140" t="s">
        <v>7637</v>
      </c>
      <c r="D967" s="140" t="s">
        <v>7347</v>
      </c>
      <c r="E967" s="140">
        <v>0.0</v>
      </c>
      <c r="F967" s="140" t="s">
        <v>7638</v>
      </c>
      <c r="G967" s="141" t="s">
        <v>6401</v>
      </c>
      <c r="H967" s="140" t="s">
        <v>6312</v>
      </c>
      <c r="I967" s="140" t="s">
        <v>6313</v>
      </c>
      <c r="J967" s="140" t="s">
        <v>6314</v>
      </c>
      <c r="K967" s="140" t="s">
        <v>7567</v>
      </c>
    </row>
    <row r="968">
      <c r="A968" s="140" t="s">
        <v>7567</v>
      </c>
      <c r="B968" s="143">
        <v>6.90222E12</v>
      </c>
      <c r="C968" s="140" t="s">
        <v>7639</v>
      </c>
      <c r="D968" s="140" t="s">
        <v>7347</v>
      </c>
      <c r="E968" s="140">
        <v>0.0</v>
      </c>
      <c r="F968" s="140" t="s">
        <v>7638</v>
      </c>
      <c r="G968" s="141" t="s">
        <v>6401</v>
      </c>
      <c r="H968" s="140" t="s">
        <v>6312</v>
      </c>
      <c r="I968" s="140" t="s">
        <v>6313</v>
      </c>
      <c r="J968" s="140" t="s">
        <v>6314</v>
      </c>
      <c r="K968" s="140" t="s">
        <v>7567</v>
      </c>
    </row>
    <row r="969">
      <c r="A969" s="140" t="s">
        <v>7567</v>
      </c>
      <c r="B969" s="143">
        <v>6.90222E12</v>
      </c>
      <c r="C969" s="140" t="s">
        <v>7640</v>
      </c>
      <c r="D969" s="140" t="s">
        <v>7347</v>
      </c>
      <c r="E969" s="140">
        <v>0.0</v>
      </c>
      <c r="F969" s="140" t="s">
        <v>7638</v>
      </c>
      <c r="G969" s="141" t="s">
        <v>6401</v>
      </c>
      <c r="H969" s="140" t="s">
        <v>6312</v>
      </c>
      <c r="I969" s="140" t="s">
        <v>6313</v>
      </c>
      <c r="J969" s="140" t="s">
        <v>6314</v>
      </c>
      <c r="K969" s="140" t="s">
        <v>7567</v>
      </c>
    </row>
    <row r="970">
      <c r="A970" s="140" t="s">
        <v>7567</v>
      </c>
      <c r="B970" s="143">
        <v>6.90222E12</v>
      </c>
      <c r="C970" s="140" t="s">
        <v>7641</v>
      </c>
      <c r="D970" s="140" t="s">
        <v>6718</v>
      </c>
      <c r="E970" s="140">
        <v>0.0</v>
      </c>
      <c r="F970" s="140" t="s">
        <v>7642</v>
      </c>
      <c r="G970" s="141" t="s">
        <v>6401</v>
      </c>
      <c r="H970" s="140" t="s">
        <v>6312</v>
      </c>
      <c r="I970" s="140" t="s">
        <v>6313</v>
      </c>
      <c r="J970" s="140" t="s">
        <v>6314</v>
      </c>
      <c r="K970" s="140" t="s">
        <v>7567</v>
      </c>
    </row>
    <row r="971">
      <c r="A971" s="140" t="s">
        <v>7567</v>
      </c>
      <c r="B971" s="143">
        <v>6.90222E12</v>
      </c>
      <c r="C971" s="140" t="s">
        <v>7643</v>
      </c>
      <c r="D971" s="140" t="s">
        <v>6318</v>
      </c>
      <c r="E971" s="140">
        <v>0.0</v>
      </c>
      <c r="F971" s="140" t="s">
        <v>7644</v>
      </c>
      <c r="G971" s="141" t="s">
        <v>6401</v>
      </c>
      <c r="H971" s="140" t="s">
        <v>6312</v>
      </c>
      <c r="I971" s="140" t="s">
        <v>6313</v>
      </c>
      <c r="J971" s="140" t="s">
        <v>6314</v>
      </c>
      <c r="K971" s="140" t="s">
        <v>7567</v>
      </c>
    </row>
    <row r="972">
      <c r="A972" s="140" t="s">
        <v>7567</v>
      </c>
      <c r="B972" s="143">
        <v>6.90222E12</v>
      </c>
      <c r="C972" s="140" t="s">
        <v>7645</v>
      </c>
      <c r="D972" s="140" t="s">
        <v>6318</v>
      </c>
      <c r="E972" s="140">
        <v>0.0</v>
      </c>
      <c r="F972" s="140" t="s">
        <v>7646</v>
      </c>
      <c r="G972" s="141" t="s">
        <v>6401</v>
      </c>
      <c r="H972" s="140" t="s">
        <v>6312</v>
      </c>
      <c r="I972" s="140" t="s">
        <v>6313</v>
      </c>
      <c r="J972" s="140" t="s">
        <v>6314</v>
      </c>
      <c r="K972" s="140" t="s">
        <v>7567</v>
      </c>
    </row>
    <row r="973">
      <c r="A973" s="140" t="s">
        <v>7567</v>
      </c>
      <c r="B973" s="143">
        <v>6.90222E12</v>
      </c>
      <c r="C973" s="140" t="s">
        <v>7647</v>
      </c>
      <c r="D973" s="140" t="s">
        <v>6318</v>
      </c>
      <c r="E973" s="140">
        <v>0.0</v>
      </c>
      <c r="F973" s="140" t="s">
        <v>6800</v>
      </c>
      <c r="G973" s="141" t="s">
        <v>6401</v>
      </c>
      <c r="H973" s="140" t="s">
        <v>6312</v>
      </c>
      <c r="I973" s="140" t="s">
        <v>6313</v>
      </c>
      <c r="J973" s="140" t="s">
        <v>6314</v>
      </c>
      <c r="K973" s="140" t="s">
        <v>7567</v>
      </c>
    </row>
    <row r="974">
      <c r="A974" s="140" t="s">
        <v>7567</v>
      </c>
      <c r="B974" s="143">
        <v>6.90222E12</v>
      </c>
      <c r="C974" s="140" t="s">
        <v>7648</v>
      </c>
      <c r="D974" s="140" t="s">
        <v>6318</v>
      </c>
      <c r="E974" s="140">
        <v>0.0</v>
      </c>
      <c r="F974" s="140" t="s">
        <v>6800</v>
      </c>
      <c r="G974" s="141" t="s">
        <v>6401</v>
      </c>
      <c r="H974" s="140" t="s">
        <v>6312</v>
      </c>
      <c r="I974" s="140" t="s">
        <v>6313</v>
      </c>
      <c r="J974" s="140" t="s">
        <v>6314</v>
      </c>
      <c r="K974" s="140" t="s">
        <v>7567</v>
      </c>
    </row>
    <row r="975">
      <c r="A975" s="140" t="s">
        <v>7567</v>
      </c>
      <c r="B975" s="143">
        <v>6.90222E12</v>
      </c>
      <c r="C975" s="140" t="s">
        <v>7649</v>
      </c>
      <c r="D975" s="140" t="s">
        <v>6318</v>
      </c>
      <c r="E975" s="140">
        <v>0.0</v>
      </c>
      <c r="F975" s="140" t="s">
        <v>6800</v>
      </c>
      <c r="G975" s="141" t="s">
        <v>6401</v>
      </c>
      <c r="H975" s="140" t="s">
        <v>6312</v>
      </c>
      <c r="I975" s="140" t="s">
        <v>6313</v>
      </c>
      <c r="J975" s="140" t="s">
        <v>6314</v>
      </c>
      <c r="K975" s="140" t="s">
        <v>7567</v>
      </c>
    </row>
    <row r="976">
      <c r="A976" s="140" t="s">
        <v>7567</v>
      </c>
      <c r="B976" s="143">
        <v>6.90222E12</v>
      </c>
      <c r="C976" s="140" t="s">
        <v>7650</v>
      </c>
      <c r="D976" s="140" t="s">
        <v>6318</v>
      </c>
      <c r="E976" s="140">
        <v>0.0</v>
      </c>
      <c r="F976" s="140" t="s">
        <v>6800</v>
      </c>
      <c r="G976" s="141" t="s">
        <v>6401</v>
      </c>
      <c r="H976" s="140" t="s">
        <v>6312</v>
      </c>
      <c r="I976" s="140" t="s">
        <v>6313</v>
      </c>
      <c r="J976" s="140" t="s">
        <v>6314</v>
      </c>
      <c r="K976" s="140" t="s">
        <v>7567</v>
      </c>
    </row>
    <row r="977">
      <c r="A977" s="140" t="s">
        <v>7567</v>
      </c>
      <c r="B977" s="143">
        <v>6.90222E12</v>
      </c>
      <c r="C977" s="140" t="s">
        <v>7651</v>
      </c>
      <c r="D977" s="140" t="s">
        <v>6318</v>
      </c>
      <c r="E977" s="140">
        <v>0.0</v>
      </c>
      <c r="F977" s="140" t="s">
        <v>6800</v>
      </c>
      <c r="G977" s="141" t="s">
        <v>6401</v>
      </c>
      <c r="H977" s="140" t="s">
        <v>6312</v>
      </c>
      <c r="I977" s="140" t="s">
        <v>6313</v>
      </c>
      <c r="J977" s="140" t="s">
        <v>6314</v>
      </c>
      <c r="K977" s="140" t="s">
        <v>7567</v>
      </c>
    </row>
    <row r="978">
      <c r="A978" s="140" t="s">
        <v>7567</v>
      </c>
      <c r="B978" s="143">
        <v>6.90222E12</v>
      </c>
      <c r="C978" s="140" t="s">
        <v>7652</v>
      </c>
      <c r="D978" s="140" t="s">
        <v>6318</v>
      </c>
      <c r="E978" s="140">
        <v>0.0</v>
      </c>
      <c r="F978" s="140" t="s">
        <v>6800</v>
      </c>
      <c r="G978" s="141" t="s">
        <v>6401</v>
      </c>
      <c r="H978" s="140" t="s">
        <v>6312</v>
      </c>
      <c r="I978" s="140" t="s">
        <v>6313</v>
      </c>
      <c r="J978" s="140" t="s">
        <v>6314</v>
      </c>
      <c r="K978" s="140" t="s">
        <v>7567</v>
      </c>
    </row>
    <row r="979">
      <c r="A979" s="140" t="s">
        <v>7567</v>
      </c>
      <c r="B979" s="143">
        <v>6.90222E12</v>
      </c>
      <c r="C979" s="140" t="s">
        <v>7653</v>
      </c>
      <c r="D979" s="140" t="s">
        <v>6318</v>
      </c>
      <c r="E979" s="140">
        <v>0.0</v>
      </c>
      <c r="F979" s="140" t="s">
        <v>6800</v>
      </c>
      <c r="G979" s="141" t="s">
        <v>6401</v>
      </c>
      <c r="H979" s="140" t="s">
        <v>6312</v>
      </c>
      <c r="I979" s="140" t="s">
        <v>6313</v>
      </c>
      <c r="J979" s="140" t="s">
        <v>6314</v>
      </c>
      <c r="K979" s="140" t="s">
        <v>7567</v>
      </c>
    </row>
    <row r="980">
      <c r="A980" s="140" t="s">
        <v>7567</v>
      </c>
      <c r="B980" s="143">
        <v>6.90222E12</v>
      </c>
      <c r="C980" s="140" t="s">
        <v>7654</v>
      </c>
      <c r="D980" s="140" t="s">
        <v>6318</v>
      </c>
      <c r="E980" s="140">
        <v>0.0</v>
      </c>
      <c r="F980" s="140" t="s">
        <v>6800</v>
      </c>
      <c r="G980" s="141" t="s">
        <v>6401</v>
      </c>
      <c r="H980" s="140" t="s">
        <v>6312</v>
      </c>
      <c r="I980" s="140" t="s">
        <v>6313</v>
      </c>
      <c r="J980" s="140" t="s">
        <v>6314</v>
      </c>
      <c r="K980" s="140" t="s">
        <v>7567</v>
      </c>
    </row>
    <row r="981">
      <c r="A981" s="140" t="s">
        <v>7567</v>
      </c>
      <c r="B981" s="143">
        <v>6.90222E12</v>
      </c>
      <c r="C981" s="140" t="s">
        <v>7655</v>
      </c>
      <c r="D981" s="140" t="s">
        <v>6318</v>
      </c>
      <c r="E981" s="140">
        <v>0.0</v>
      </c>
      <c r="F981" s="140" t="s">
        <v>6800</v>
      </c>
      <c r="G981" s="141" t="s">
        <v>6401</v>
      </c>
      <c r="H981" s="140" t="s">
        <v>6312</v>
      </c>
      <c r="I981" s="140" t="s">
        <v>6313</v>
      </c>
      <c r="J981" s="140" t="s">
        <v>6314</v>
      </c>
      <c r="K981" s="140" t="s">
        <v>7567</v>
      </c>
    </row>
    <row r="982">
      <c r="A982" s="140" t="s">
        <v>7567</v>
      </c>
      <c r="B982" s="143">
        <v>6.90222E12</v>
      </c>
      <c r="C982" s="140" t="s">
        <v>7656</v>
      </c>
      <c r="D982" s="140" t="s">
        <v>6318</v>
      </c>
      <c r="E982" s="140">
        <v>0.0</v>
      </c>
      <c r="F982" s="140" t="s">
        <v>6800</v>
      </c>
      <c r="G982" s="141" t="s">
        <v>6401</v>
      </c>
      <c r="H982" s="140" t="s">
        <v>6312</v>
      </c>
      <c r="I982" s="140" t="s">
        <v>6313</v>
      </c>
      <c r="J982" s="140" t="s">
        <v>6314</v>
      </c>
      <c r="K982" s="140" t="s">
        <v>7567</v>
      </c>
    </row>
    <row r="983">
      <c r="A983" s="140" t="s">
        <v>7567</v>
      </c>
      <c r="B983" s="143">
        <v>6.90222E12</v>
      </c>
      <c r="C983" s="140" t="s">
        <v>7657</v>
      </c>
      <c r="D983" s="140" t="s">
        <v>6318</v>
      </c>
      <c r="E983" s="140">
        <v>0.0</v>
      </c>
      <c r="F983" s="140" t="s">
        <v>6800</v>
      </c>
      <c r="G983" s="141" t="s">
        <v>6401</v>
      </c>
      <c r="H983" s="140" t="s">
        <v>6312</v>
      </c>
      <c r="I983" s="140" t="s">
        <v>6313</v>
      </c>
      <c r="J983" s="140" t="s">
        <v>6314</v>
      </c>
      <c r="K983" s="140" t="s">
        <v>7567</v>
      </c>
    </row>
    <row r="984">
      <c r="A984" s="140" t="s">
        <v>7567</v>
      </c>
      <c r="B984" s="143">
        <v>6.90222E12</v>
      </c>
      <c r="C984" s="140" t="s">
        <v>7658</v>
      </c>
      <c r="D984" s="140" t="s">
        <v>6318</v>
      </c>
      <c r="E984" s="140">
        <v>0.0</v>
      </c>
      <c r="F984" s="140" t="s">
        <v>6800</v>
      </c>
      <c r="G984" s="141" t="s">
        <v>6401</v>
      </c>
      <c r="H984" s="140" t="s">
        <v>6312</v>
      </c>
      <c r="I984" s="140" t="s">
        <v>6313</v>
      </c>
      <c r="J984" s="140" t="s">
        <v>6314</v>
      </c>
      <c r="K984" s="140" t="s">
        <v>7567</v>
      </c>
    </row>
    <row r="985">
      <c r="A985" s="140" t="s">
        <v>7567</v>
      </c>
      <c r="B985" s="143">
        <v>6.90222E12</v>
      </c>
      <c r="C985" s="140" t="s">
        <v>7659</v>
      </c>
      <c r="D985" s="140" t="s">
        <v>6318</v>
      </c>
      <c r="E985" s="140">
        <v>0.0</v>
      </c>
      <c r="F985" s="140" t="s">
        <v>6800</v>
      </c>
      <c r="G985" s="141" t="s">
        <v>6401</v>
      </c>
      <c r="H985" s="140" t="s">
        <v>6312</v>
      </c>
      <c r="I985" s="140" t="s">
        <v>6313</v>
      </c>
      <c r="J985" s="140" t="s">
        <v>6314</v>
      </c>
      <c r="K985" s="140" t="s">
        <v>7567</v>
      </c>
    </row>
    <row r="986">
      <c r="A986" s="140" t="s">
        <v>7567</v>
      </c>
      <c r="B986" s="143">
        <v>6.90222E12</v>
      </c>
      <c r="C986" s="140" t="s">
        <v>7660</v>
      </c>
      <c r="D986" s="140" t="s">
        <v>6318</v>
      </c>
      <c r="E986" s="140">
        <v>0.0</v>
      </c>
      <c r="F986" s="140" t="s">
        <v>6800</v>
      </c>
      <c r="G986" s="141" t="s">
        <v>6401</v>
      </c>
      <c r="H986" s="140" t="s">
        <v>6312</v>
      </c>
      <c r="I986" s="140" t="s">
        <v>6313</v>
      </c>
      <c r="J986" s="140" t="s">
        <v>6314</v>
      </c>
      <c r="K986" s="140" t="s">
        <v>7567</v>
      </c>
    </row>
    <row r="987">
      <c r="A987" s="140" t="s">
        <v>7567</v>
      </c>
      <c r="B987" s="143">
        <v>6.90222E12</v>
      </c>
      <c r="C987" s="140" t="s">
        <v>7661</v>
      </c>
      <c r="D987" s="140" t="s">
        <v>6318</v>
      </c>
      <c r="E987" s="140">
        <v>0.0</v>
      </c>
      <c r="F987" s="140" t="s">
        <v>735</v>
      </c>
      <c r="G987" s="141" t="s">
        <v>6401</v>
      </c>
      <c r="H987" s="140" t="s">
        <v>6312</v>
      </c>
      <c r="I987" s="140" t="s">
        <v>6313</v>
      </c>
      <c r="J987" s="140" t="s">
        <v>6314</v>
      </c>
      <c r="K987" s="140" t="s">
        <v>7567</v>
      </c>
    </row>
    <row r="988">
      <c r="A988" s="140" t="s">
        <v>7567</v>
      </c>
      <c r="B988" s="143">
        <v>6.90222E12</v>
      </c>
      <c r="C988" s="140" t="s">
        <v>7662</v>
      </c>
      <c r="D988" s="140" t="s">
        <v>6318</v>
      </c>
      <c r="E988" s="140">
        <v>0.0</v>
      </c>
      <c r="F988" s="140" t="s">
        <v>735</v>
      </c>
      <c r="G988" s="141" t="s">
        <v>6401</v>
      </c>
      <c r="H988" s="140" t="s">
        <v>6312</v>
      </c>
      <c r="I988" s="140" t="s">
        <v>6313</v>
      </c>
      <c r="J988" s="140" t="s">
        <v>6314</v>
      </c>
      <c r="K988" s="140" t="s">
        <v>7567</v>
      </c>
    </row>
    <row r="989">
      <c r="A989" s="140" t="s">
        <v>7567</v>
      </c>
      <c r="B989" s="143">
        <v>6.90222E12</v>
      </c>
      <c r="C989" s="140" t="s">
        <v>7663</v>
      </c>
      <c r="D989" s="140" t="s">
        <v>6318</v>
      </c>
      <c r="E989" s="140">
        <v>0.0</v>
      </c>
      <c r="F989" s="140" t="s">
        <v>735</v>
      </c>
      <c r="G989" s="141" t="s">
        <v>6401</v>
      </c>
      <c r="H989" s="140" t="s">
        <v>6312</v>
      </c>
      <c r="I989" s="140" t="s">
        <v>6313</v>
      </c>
      <c r="J989" s="140" t="s">
        <v>6314</v>
      </c>
      <c r="K989" s="140" t="s">
        <v>7567</v>
      </c>
    </row>
    <row r="990">
      <c r="A990" s="140" t="s">
        <v>7567</v>
      </c>
      <c r="B990" s="143">
        <v>6.90222E12</v>
      </c>
      <c r="C990" s="140" t="s">
        <v>7664</v>
      </c>
      <c r="D990" s="140" t="s">
        <v>6318</v>
      </c>
      <c r="E990" s="140">
        <v>0.0</v>
      </c>
      <c r="F990" s="140" t="s">
        <v>735</v>
      </c>
      <c r="G990" s="141" t="s">
        <v>6401</v>
      </c>
      <c r="H990" s="140" t="s">
        <v>6312</v>
      </c>
      <c r="I990" s="140" t="s">
        <v>6313</v>
      </c>
      <c r="J990" s="140" t="s">
        <v>6314</v>
      </c>
      <c r="K990" s="140" t="s">
        <v>7567</v>
      </c>
    </row>
    <row r="991">
      <c r="A991" s="140" t="s">
        <v>7567</v>
      </c>
      <c r="B991" s="143">
        <v>6.90222E12</v>
      </c>
      <c r="C991" s="140" t="s">
        <v>7665</v>
      </c>
      <c r="D991" s="140" t="s">
        <v>6318</v>
      </c>
      <c r="E991" s="140">
        <v>0.0</v>
      </c>
      <c r="F991" s="140" t="s">
        <v>6324</v>
      </c>
      <c r="G991" s="141" t="s">
        <v>6401</v>
      </c>
      <c r="H991" s="140" t="s">
        <v>6312</v>
      </c>
      <c r="I991" s="140" t="s">
        <v>6313</v>
      </c>
      <c r="J991" s="140" t="s">
        <v>6314</v>
      </c>
      <c r="K991" s="140" t="s">
        <v>7567</v>
      </c>
    </row>
    <row r="992">
      <c r="A992" s="140" t="s">
        <v>7567</v>
      </c>
      <c r="B992" s="143">
        <v>6.90222E12</v>
      </c>
      <c r="C992" s="140" t="s">
        <v>7666</v>
      </c>
      <c r="D992" s="140" t="s">
        <v>6318</v>
      </c>
      <c r="E992" s="140">
        <v>0.0</v>
      </c>
      <c r="F992" s="140" t="s">
        <v>6324</v>
      </c>
      <c r="G992" s="141" t="s">
        <v>6401</v>
      </c>
      <c r="H992" s="140" t="s">
        <v>6312</v>
      </c>
      <c r="I992" s="140" t="s">
        <v>6313</v>
      </c>
      <c r="J992" s="140" t="s">
        <v>6314</v>
      </c>
      <c r="K992" s="140" t="s">
        <v>7567</v>
      </c>
    </row>
    <row r="993">
      <c r="A993" s="140" t="s">
        <v>7567</v>
      </c>
      <c r="B993" s="143">
        <v>6.90222E12</v>
      </c>
      <c r="C993" s="140" t="s">
        <v>7667</v>
      </c>
      <c r="D993" s="140" t="s">
        <v>6318</v>
      </c>
      <c r="E993" s="140">
        <v>0.0</v>
      </c>
      <c r="F993" s="140" t="s">
        <v>6324</v>
      </c>
      <c r="G993" s="141" t="s">
        <v>6401</v>
      </c>
      <c r="H993" s="140" t="s">
        <v>6312</v>
      </c>
      <c r="I993" s="140" t="s">
        <v>6313</v>
      </c>
      <c r="J993" s="140" t="s">
        <v>6314</v>
      </c>
      <c r="K993" s="140" t="s">
        <v>7567</v>
      </c>
    </row>
    <row r="994">
      <c r="A994" s="140" t="s">
        <v>7567</v>
      </c>
      <c r="B994" s="143">
        <v>6.90222E12</v>
      </c>
      <c r="C994" s="140" t="s">
        <v>7668</v>
      </c>
      <c r="D994" s="140" t="s">
        <v>6318</v>
      </c>
      <c r="E994" s="140">
        <v>0.0</v>
      </c>
      <c r="F994" s="140" t="s">
        <v>6324</v>
      </c>
      <c r="G994" s="141" t="s">
        <v>6401</v>
      </c>
      <c r="H994" s="140" t="s">
        <v>6312</v>
      </c>
      <c r="I994" s="140" t="s">
        <v>6313</v>
      </c>
      <c r="J994" s="140" t="s">
        <v>6314</v>
      </c>
      <c r="K994" s="140" t="s">
        <v>7567</v>
      </c>
    </row>
    <row r="995">
      <c r="A995" s="140" t="s">
        <v>7567</v>
      </c>
      <c r="B995" s="143">
        <v>6.90222E12</v>
      </c>
      <c r="C995" s="140" t="s">
        <v>7669</v>
      </c>
      <c r="D995" s="140" t="s">
        <v>6601</v>
      </c>
      <c r="E995" s="140" t="s">
        <v>303</v>
      </c>
      <c r="F995" s="140" t="s">
        <v>345</v>
      </c>
      <c r="G995" s="141" t="s">
        <v>6401</v>
      </c>
      <c r="H995" s="140" t="s">
        <v>6312</v>
      </c>
      <c r="I995" s="140" t="s">
        <v>6313</v>
      </c>
      <c r="J995" s="140" t="s">
        <v>6314</v>
      </c>
      <c r="K995" s="140" t="s">
        <v>7567</v>
      </c>
    </row>
    <row r="996">
      <c r="A996" s="140" t="s">
        <v>7567</v>
      </c>
      <c r="B996" s="143">
        <v>6.90222E12</v>
      </c>
      <c r="C996" s="140" t="s">
        <v>7670</v>
      </c>
      <c r="D996" s="140" t="s">
        <v>6601</v>
      </c>
      <c r="E996" s="140" t="s">
        <v>303</v>
      </c>
      <c r="F996" s="140" t="s">
        <v>345</v>
      </c>
      <c r="G996" s="141" t="s">
        <v>6401</v>
      </c>
      <c r="H996" s="140" t="s">
        <v>6312</v>
      </c>
      <c r="I996" s="140" t="s">
        <v>6313</v>
      </c>
      <c r="J996" s="140" t="s">
        <v>6314</v>
      </c>
      <c r="K996" s="140" t="s">
        <v>7567</v>
      </c>
    </row>
    <row r="997">
      <c r="A997" s="140" t="s">
        <v>7567</v>
      </c>
      <c r="B997" s="143">
        <v>6.90222E12</v>
      </c>
      <c r="C997" s="140" t="s">
        <v>7671</v>
      </c>
      <c r="D997" s="140" t="s">
        <v>6601</v>
      </c>
      <c r="E997" s="140" t="s">
        <v>303</v>
      </c>
      <c r="F997" s="140" t="s">
        <v>345</v>
      </c>
      <c r="G997" s="141" t="s">
        <v>6401</v>
      </c>
      <c r="H997" s="140" t="s">
        <v>6312</v>
      </c>
      <c r="I997" s="140" t="s">
        <v>6313</v>
      </c>
      <c r="J997" s="140" t="s">
        <v>6314</v>
      </c>
      <c r="K997" s="140" t="s">
        <v>7567</v>
      </c>
    </row>
    <row r="998">
      <c r="A998" s="140" t="s">
        <v>7567</v>
      </c>
      <c r="B998" s="143">
        <v>6.90222E12</v>
      </c>
      <c r="C998" s="140" t="s">
        <v>7672</v>
      </c>
      <c r="D998" s="140" t="s">
        <v>6601</v>
      </c>
      <c r="E998" s="140" t="s">
        <v>303</v>
      </c>
      <c r="F998" s="140" t="s">
        <v>345</v>
      </c>
      <c r="G998" s="141" t="s">
        <v>6401</v>
      </c>
      <c r="H998" s="140" t="s">
        <v>6312</v>
      </c>
      <c r="I998" s="140" t="s">
        <v>6313</v>
      </c>
      <c r="J998" s="140" t="s">
        <v>6314</v>
      </c>
      <c r="K998" s="140" t="s">
        <v>7567</v>
      </c>
    </row>
    <row r="999">
      <c r="A999" s="140" t="s">
        <v>7567</v>
      </c>
      <c r="B999" s="140">
        <v>2.210284045E10</v>
      </c>
      <c r="C999" s="140" t="s">
        <v>7673</v>
      </c>
      <c r="D999" s="140" t="s">
        <v>6718</v>
      </c>
      <c r="E999" s="140" t="s">
        <v>140</v>
      </c>
      <c r="F999" s="140" t="s">
        <v>7674</v>
      </c>
      <c r="G999" s="141" t="s">
        <v>6401</v>
      </c>
      <c r="H999" s="140" t="s">
        <v>6312</v>
      </c>
      <c r="I999" s="140" t="s">
        <v>6313</v>
      </c>
      <c r="J999" s="140" t="s">
        <v>6314</v>
      </c>
      <c r="K999" s="140" t="s">
        <v>7567</v>
      </c>
    </row>
    <row r="1000">
      <c r="A1000" s="140" t="s">
        <v>7567</v>
      </c>
      <c r="B1000" s="140">
        <v>2.2103356544E10</v>
      </c>
      <c r="C1000" s="140" t="s">
        <v>7675</v>
      </c>
      <c r="D1000" s="140" t="s">
        <v>6718</v>
      </c>
      <c r="E1000" s="140" t="s">
        <v>140</v>
      </c>
      <c r="F1000" s="140" t="s">
        <v>7674</v>
      </c>
      <c r="G1000" s="141" t="s">
        <v>6401</v>
      </c>
      <c r="H1000" s="140" t="s">
        <v>6312</v>
      </c>
      <c r="I1000" s="140" t="s">
        <v>6313</v>
      </c>
      <c r="J1000" s="140" t="s">
        <v>6314</v>
      </c>
      <c r="K1000" s="140" t="s">
        <v>7567</v>
      </c>
    </row>
    <row r="1001">
      <c r="A1001" s="140" t="s">
        <v>7567</v>
      </c>
      <c r="B1001" s="140">
        <v>2.2100000521E10</v>
      </c>
      <c r="C1001" s="140" t="s">
        <v>7676</v>
      </c>
      <c r="D1001" s="140" t="s">
        <v>6718</v>
      </c>
      <c r="E1001" s="140" t="s">
        <v>140</v>
      </c>
      <c r="F1001" s="140" t="s">
        <v>7674</v>
      </c>
      <c r="G1001" s="141" t="s">
        <v>6401</v>
      </c>
      <c r="H1001" s="140" t="s">
        <v>6312</v>
      </c>
      <c r="I1001" s="140" t="s">
        <v>6313</v>
      </c>
      <c r="J1001" s="140" t="s">
        <v>6314</v>
      </c>
      <c r="K1001" s="140" t="s">
        <v>7567</v>
      </c>
    </row>
    <row r="1002">
      <c r="A1002" s="140" t="s">
        <v>7567</v>
      </c>
      <c r="B1002" s="143">
        <v>6.90222E12</v>
      </c>
      <c r="C1002" s="140" t="s">
        <v>7677</v>
      </c>
      <c r="D1002" s="140" t="s">
        <v>6718</v>
      </c>
      <c r="E1002" s="140" t="s">
        <v>140</v>
      </c>
      <c r="F1002" s="140" t="s">
        <v>7674</v>
      </c>
      <c r="G1002" s="141" t="s">
        <v>6401</v>
      </c>
      <c r="H1002" s="140" t="s">
        <v>6312</v>
      </c>
      <c r="I1002" s="140" t="s">
        <v>6313</v>
      </c>
      <c r="J1002" s="140" t="s">
        <v>6314</v>
      </c>
      <c r="K1002" s="140" t="s">
        <v>7567</v>
      </c>
    </row>
    <row r="1003">
      <c r="A1003" s="140" t="s">
        <v>7567</v>
      </c>
      <c r="B1003" s="140">
        <v>2.2103356545E10</v>
      </c>
      <c r="C1003" s="140" t="s">
        <v>7678</v>
      </c>
      <c r="D1003" s="140" t="s">
        <v>6718</v>
      </c>
      <c r="E1003" s="140" t="s">
        <v>140</v>
      </c>
      <c r="F1003" s="140" t="s">
        <v>7674</v>
      </c>
      <c r="G1003" s="141" t="s">
        <v>6401</v>
      </c>
      <c r="H1003" s="140" t="s">
        <v>6312</v>
      </c>
      <c r="I1003" s="140" t="s">
        <v>6313</v>
      </c>
      <c r="J1003" s="140" t="s">
        <v>6314</v>
      </c>
      <c r="K1003" s="140" t="s">
        <v>7567</v>
      </c>
    </row>
    <row r="1004">
      <c r="A1004" s="140" t="s">
        <v>7567</v>
      </c>
      <c r="B1004" s="143">
        <v>6.90222E12</v>
      </c>
      <c r="C1004" s="140" t="s">
        <v>7679</v>
      </c>
      <c r="D1004" s="140" t="s">
        <v>6740</v>
      </c>
      <c r="E1004" s="140" t="s">
        <v>6741</v>
      </c>
      <c r="F1004" s="140" t="s">
        <v>7680</v>
      </c>
      <c r="G1004" s="141" t="s">
        <v>6401</v>
      </c>
      <c r="H1004" s="140" t="s">
        <v>6312</v>
      </c>
      <c r="I1004" s="140" t="s">
        <v>6313</v>
      </c>
      <c r="J1004" s="140" t="s">
        <v>6314</v>
      </c>
      <c r="K1004" s="140" t="s">
        <v>7567</v>
      </c>
    </row>
    <row r="1005">
      <c r="A1005" s="140" t="s">
        <v>7567</v>
      </c>
      <c r="B1005" s="143">
        <v>6.90222E12</v>
      </c>
      <c r="C1005" s="140" t="s">
        <v>7681</v>
      </c>
      <c r="D1005" s="140" t="s">
        <v>6740</v>
      </c>
      <c r="E1005" s="140" t="s">
        <v>6741</v>
      </c>
      <c r="F1005" s="140" t="s">
        <v>7680</v>
      </c>
      <c r="G1005" s="141" t="s">
        <v>6401</v>
      </c>
      <c r="H1005" s="140" t="s">
        <v>6312</v>
      </c>
      <c r="I1005" s="140" t="s">
        <v>6313</v>
      </c>
      <c r="J1005" s="140" t="s">
        <v>6314</v>
      </c>
      <c r="K1005" s="140" t="s">
        <v>7567</v>
      </c>
    </row>
    <row r="1006">
      <c r="A1006" s="140" t="s">
        <v>7567</v>
      </c>
      <c r="B1006" s="143">
        <v>6.90222E12</v>
      </c>
      <c r="C1006" s="140" t="s">
        <v>7682</v>
      </c>
      <c r="D1006" s="140" t="s">
        <v>6740</v>
      </c>
      <c r="E1006" s="140" t="s">
        <v>6741</v>
      </c>
      <c r="F1006" s="140" t="s">
        <v>7680</v>
      </c>
      <c r="G1006" s="141" t="s">
        <v>6401</v>
      </c>
      <c r="H1006" s="140" t="s">
        <v>6312</v>
      </c>
      <c r="I1006" s="140" t="s">
        <v>6313</v>
      </c>
      <c r="J1006" s="140" t="s">
        <v>6314</v>
      </c>
      <c r="K1006" s="140" t="s">
        <v>7567</v>
      </c>
    </row>
    <row r="1007">
      <c r="A1007" s="140" t="s">
        <v>7567</v>
      </c>
      <c r="B1007" s="143">
        <v>6.90222E12</v>
      </c>
      <c r="C1007" s="140" t="s">
        <v>7683</v>
      </c>
      <c r="D1007" s="140" t="s">
        <v>6740</v>
      </c>
      <c r="E1007" s="140" t="s">
        <v>6741</v>
      </c>
      <c r="F1007" s="140" t="s">
        <v>7680</v>
      </c>
      <c r="G1007" s="141" t="s">
        <v>6401</v>
      </c>
      <c r="H1007" s="140" t="s">
        <v>6312</v>
      </c>
      <c r="I1007" s="140" t="s">
        <v>6313</v>
      </c>
      <c r="J1007" s="140" t="s">
        <v>6314</v>
      </c>
      <c r="K1007" s="140" t="s">
        <v>7567</v>
      </c>
    </row>
    <row r="1008">
      <c r="A1008" s="140" t="s">
        <v>7567</v>
      </c>
      <c r="B1008" s="143">
        <v>6.90222E12</v>
      </c>
      <c r="C1008" s="140" t="s">
        <v>7684</v>
      </c>
      <c r="D1008" s="140" t="s">
        <v>224</v>
      </c>
      <c r="E1008" s="140" t="s">
        <v>7685</v>
      </c>
      <c r="F1008" s="140" t="s">
        <v>7686</v>
      </c>
      <c r="G1008" s="141" t="s">
        <v>6401</v>
      </c>
      <c r="H1008" s="140" t="s">
        <v>6312</v>
      </c>
      <c r="I1008" s="140" t="s">
        <v>6313</v>
      </c>
      <c r="J1008" s="140" t="s">
        <v>6314</v>
      </c>
      <c r="K1008" s="140" t="s">
        <v>7567</v>
      </c>
    </row>
    <row r="1009">
      <c r="A1009" s="140" t="s">
        <v>7567</v>
      </c>
      <c r="B1009" s="143">
        <v>6.90222E12</v>
      </c>
      <c r="C1009" s="140" t="s">
        <v>7687</v>
      </c>
      <c r="D1009" s="140" t="s">
        <v>224</v>
      </c>
      <c r="E1009" s="140" t="s">
        <v>7685</v>
      </c>
      <c r="F1009" s="140" t="s">
        <v>7686</v>
      </c>
      <c r="G1009" s="141" t="s">
        <v>6401</v>
      </c>
      <c r="H1009" s="140" t="s">
        <v>6312</v>
      </c>
      <c r="I1009" s="140" t="s">
        <v>6313</v>
      </c>
      <c r="J1009" s="140" t="s">
        <v>6314</v>
      </c>
      <c r="K1009" s="140" t="s">
        <v>7567</v>
      </c>
    </row>
    <row r="1010">
      <c r="A1010" s="140" t="s">
        <v>7567</v>
      </c>
      <c r="B1010" s="143">
        <v>6.90222E12</v>
      </c>
      <c r="C1010" s="140" t="s">
        <v>7688</v>
      </c>
      <c r="D1010" s="140" t="s">
        <v>224</v>
      </c>
      <c r="E1010" s="140" t="s">
        <v>7685</v>
      </c>
      <c r="F1010" s="140" t="s">
        <v>7686</v>
      </c>
      <c r="G1010" s="141" t="s">
        <v>6401</v>
      </c>
      <c r="H1010" s="140" t="s">
        <v>6312</v>
      </c>
      <c r="I1010" s="140" t="s">
        <v>6313</v>
      </c>
      <c r="J1010" s="140" t="s">
        <v>6314</v>
      </c>
      <c r="K1010" s="140" t="s">
        <v>7567</v>
      </c>
    </row>
    <row r="1011">
      <c r="A1011" s="140" t="s">
        <v>7567</v>
      </c>
      <c r="B1011" s="143">
        <v>6.90222E12</v>
      </c>
      <c r="C1011" s="140" t="s">
        <v>7689</v>
      </c>
      <c r="D1011" s="140" t="s">
        <v>224</v>
      </c>
      <c r="E1011" s="140" t="s">
        <v>7685</v>
      </c>
      <c r="F1011" s="140" t="s">
        <v>7686</v>
      </c>
      <c r="G1011" s="141" t="s">
        <v>6401</v>
      </c>
      <c r="H1011" s="140" t="s">
        <v>6312</v>
      </c>
      <c r="I1011" s="140" t="s">
        <v>6313</v>
      </c>
      <c r="J1011" s="140" t="s">
        <v>6314</v>
      </c>
      <c r="K1011" s="140" t="s">
        <v>7567</v>
      </c>
    </row>
    <row r="1012">
      <c r="A1012" s="140" t="s">
        <v>7567</v>
      </c>
      <c r="B1012" s="143">
        <v>6.90222E12</v>
      </c>
      <c r="C1012" s="140" t="s">
        <v>7690</v>
      </c>
      <c r="D1012" s="140" t="s">
        <v>224</v>
      </c>
      <c r="E1012" s="140" t="s">
        <v>7685</v>
      </c>
      <c r="F1012" s="140" t="s">
        <v>7686</v>
      </c>
      <c r="G1012" s="141" t="s">
        <v>6401</v>
      </c>
      <c r="H1012" s="140" t="s">
        <v>6312</v>
      </c>
      <c r="I1012" s="140" t="s">
        <v>6313</v>
      </c>
      <c r="J1012" s="140" t="s">
        <v>6314</v>
      </c>
      <c r="K1012" s="140" t="s">
        <v>7567</v>
      </c>
    </row>
    <row r="1013">
      <c r="A1013" s="140" t="s">
        <v>7567</v>
      </c>
      <c r="B1013" s="143">
        <v>6.90222E12</v>
      </c>
      <c r="C1013" s="140" t="s">
        <v>7691</v>
      </c>
      <c r="D1013" s="140" t="s">
        <v>224</v>
      </c>
      <c r="E1013" s="140" t="s">
        <v>7685</v>
      </c>
      <c r="F1013" s="140" t="s">
        <v>7686</v>
      </c>
      <c r="G1013" s="141" t="s">
        <v>6401</v>
      </c>
      <c r="H1013" s="140" t="s">
        <v>6312</v>
      </c>
      <c r="I1013" s="140" t="s">
        <v>6313</v>
      </c>
      <c r="J1013" s="140" t="s">
        <v>6314</v>
      </c>
      <c r="K1013" s="140" t="s">
        <v>7567</v>
      </c>
    </row>
    <row r="1014">
      <c r="A1014" s="140" t="s">
        <v>7567</v>
      </c>
      <c r="B1014" s="143">
        <v>6.90222E12</v>
      </c>
      <c r="C1014" s="140" t="s">
        <v>7692</v>
      </c>
      <c r="D1014" s="140" t="s">
        <v>224</v>
      </c>
      <c r="E1014" s="140" t="s">
        <v>7685</v>
      </c>
      <c r="F1014" s="140" t="s">
        <v>7686</v>
      </c>
      <c r="G1014" s="141" t="s">
        <v>6401</v>
      </c>
      <c r="H1014" s="140" t="s">
        <v>6312</v>
      </c>
      <c r="I1014" s="140" t="s">
        <v>6313</v>
      </c>
      <c r="J1014" s="140" t="s">
        <v>6314</v>
      </c>
      <c r="K1014" s="140" t="s">
        <v>7567</v>
      </c>
    </row>
    <row r="1015">
      <c r="A1015" s="140" t="s">
        <v>7567</v>
      </c>
      <c r="B1015" s="143">
        <v>6.90222E12</v>
      </c>
      <c r="C1015" s="140" t="s">
        <v>7693</v>
      </c>
      <c r="D1015" s="140" t="s">
        <v>224</v>
      </c>
      <c r="E1015" s="140" t="s">
        <v>7685</v>
      </c>
      <c r="F1015" s="140" t="s">
        <v>7694</v>
      </c>
      <c r="G1015" s="141" t="s">
        <v>6401</v>
      </c>
      <c r="H1015" s="140" t="s">
        <v>6312</v>
      </c>
      <c r="I1015" s="140" t="s">
        <v>6313</v>
      </c>
      <c r="J1015" s="140" t="s">
        <v>6314</v>
      </c>
      <c r="K1015" s="140" t="s">
        <v>7567</v>
      </c>
    </row>
    <row r="1016">
      <c r="A1016" s="140" t="s">
        <v>7567</v>
      </c>
      <c r="B1016" s="143">
        <v>6.90222E12</v>
      </c>
      <c r="C1016" s="140" t="s">
        <v>7695</v>
      </c>
      <c r="D1016" s="140" t="s">
        <v>224</v>
      </c>
      <c r="E1016" s="140" t="s">
        <v>7685</v>
      </c>
      <c r="F1016" s="140" t="s">
        <v>7694</v>
      </c>
      <c r="G1016" s="141" t="s">
        <v>6401</v>
      </c>
      <c r="H1016" s="140" t="s">
        <v>6312</v>
      </c>
      <c r="I1016" s="140" t="s">
        <v>6313</v>
      </c>
      <c r="J1016" s="140" t="s">
        <v>6314</v>
      </c>
      <c r="K1016" s="140" t="s">
        <v>7567</v>
      </c>
    </row>
    <row r="1017">
      <c r="A1017" s="140" t="s">
        <v>7567</v>
      </c>
      <c r="B1017" s="143">
        <v>6.90222E12</v>
      </c>
      <c r="C1017" s="140" t="s">
        <v>7696</v>
      </c>
      <c r="D1017" s="140" t="s">
        <v>224</v>
      </c>
      <c r="E1017" s="140" t="s">
        <v>7685</v>
      </c>
      <c r="F1017" s="140" t="s">
        <v>7694</v>
      </c>
      <c r="G1017" s="141" t="s">
        <v>6401</v>
      </c>
      <c r="H1017" s="140" t="s">
        <v>6312</v>
      </c>
      <c r="I1017" s="140" t="s">
        <v>6313</v>
      </c>
      <c r="J1017" s="140" t="s">
        <v>6314</v>
      </c>
      <c r="K1017" s="140" t="s">
        <v>7567</v>
      </c>
    </row>
    <row r="1018">
      <c r="A1018" s="140" t="s">
        <v>7567</v>
      </c>
      <c r="B1018" s="140" t="s">
        <v>7697</v>
      </c>
      <c r="C1018" s="140" t="s">
        <v>7698</v>
      </c>
      <c r="D1018" s="140" t="s">
        <v>224</v>
      </c>
      <c r="E1018" s="140" t="s">
        <v>7685</v>
      </c>
      <c r="F1018" s="140" t="s">
        <v>7699</v>
      </c>
      <c r="G1018" s="141" t="s">
        <v>6401</v>
      </c>
      <c r="H1018" s="140" t="s">
        <v>6312</v>
      </c>
      <c r="I1018" s="140" t="s">
        <v>6313</v>
      </c>
      <c r="J1018" s="140" t="s">
        <v>6314</v>
      </c>
      <c r="K1018" s="140" t="s">
        <v>7567</v>
      </c>
    </row>
    <row r="1019">
      <c r="A1019" s="140" t="s">
        <v>7567</v>
      </c>
      <c r="B1019" s="143">
        <v>6.90222E12</v>
      </c>
      <c r="C1019" s="140" t="s">
        <v>7700</v>
      </c>
      <c r="D1019" s="140" t="s">
        <v>224</v>
      </c>
      <c r="E1019" s="140" t="s">
        <v>7685</v>
      </c>
      <c r="F1019" s="140" t="s">
        <v>7699</v>
      </c>
      <c r="G1019" s="141" t="s">
        <v>6401</v>
      </c>
      <c r="H1019" s="140" t="s">
        <v>6312</v>
      </c>
      <c r="I1019" s="140" t="s">
        <v>6313</v>
      </c>
      <c r="J1019" s="140" t="s">
        <v>6314</v>
      </c>
      <c r="K1019" s="140" t="s">
        <v>7567</v>
      </c>
    </row>
    <row r="1020">
      <c r="A1020" s="140" t="s">
        <v>7567</v>
      </c>
      <c r="B1020" s="143">
        <v>6.90222E12</v>
      </c>
      <c r="C1020" s="140" t="s">
        <v>7701</v>
      </c>
      <c r="D1020" s="140" t="s">
        <v>224</v>
      </c>
      <c r="E1020" s="140" t="s">
        <v>7685</v>
      </c>
      <c r="F1020" s="140" t="s">
        <v>7699</v>
      </c>
      <c r="G1020" s="141" t="s">
        <v>6401</v>
      </c>
      <c r="H1020" s="140" t="s">
        <v>6312</v>
      </c>
      <c r="I1020" s="140" t="s">
        <v>6313</v>
      </c>
      <c r="J1020" s="140" t="s">
        <v>6314</v>
      </c>
      <c r="K1020" s="140" t="s">
        <v>7567</v>
      </c>
    </row>
    <row r="1021">
      <c r="A1021" s="140" t="s">
        <v>7567</v>
      </c>
      <c r="B1021" s="143">
        <v>6.90222E12</v>
      </c>
      <c r="C1021" s="140" t="s">
        <v>7702</v>
      </c>
      <c r="D1021" s="140" t="s">
        <v>224</v>
      </c>
      <c r="E1021" s="140" t="s">
        <v>7685</v>
      </c>
      <c r="F1021" s="140" t="s">
        <v>7699</v>
      </c>
      <c r="G1021" s="141" t="s">
        <v>6401</v>
      </c>
      <c r="H1021" s="140" t="s">
        <v>6312</v>
      </c>
      <c r="I1021" s="140" t="s">
        <v>6313</v>
      </c>
      <c r="J1021" s="140" t="s">
        <v>6314</v>
      </c>
      <c r="K1021" s="140" t="s">
        <v>7567</v>
      </c>
    </row>
    <row r="1022">
      <c r="A1022" s="140" t="s">
        <v>7567</v>
      </c>
      <c r="B1022" s="143">
        <v>6.90222E12</v>
      </c>
      <c r="C1022" s="140" t="s">
        <v>7703</v>
      </c>
      <c r="D1022" s="140" t="s">
        <v>224</v>
      </c>
      <c r="E1022" s="140" t="s">
        <v>7685</v>
      </c>
      <c r="F1022" s="140" t="s">
        <v>7699</v>
      </c>
      <c r="G1022" s="141" t="s">
        <v>6401</v>
      </c>
      <c r="H1022" s="140" t="s">
        <v>6312</v>
      </c>
      <c r="I1022" s="140" t="s">
        <v>6313</v>
      </c>
      <c r="J1022" s="140" t="s">
        <v>6314</v>
      </c>
      <c r="K1022" s="140" t="s">
        <v>7567</v>
      </c>
    </row>
    <row r="1023">
      <c r="A1023" s="140" t="s">
        <v>7567</v>
      </c>
      <c r="B1023" s="143">
        <v>6.90222E12</v>
      </c>
      <c r="C1023" s="140" t="s">
        <v>7704</v>
      </c>
      <c r="D1023" s="140" t="s">
        <v>224</v>
      </c>
      <c r="E1023" s="140" t="s">
        <v>7685</v>
      </c>
      <c r="F1023" s="140" t="s">
        <v>7699</v>
      </c>
      <c r="G1023" s="141" t="s">
        <v>6401</v>
      </c>
      <c r="H1023" s="140" t="s">
        <v>6312</v>
      </c>
      <c r="I1023" s="140" t="s">
        <v>6313</v>
      </c>
      <c r="J1023" s="140" t="s">
        <v>6314</v>
      </c>
      <c r="K1023" s="140" t="s">
        <v>7567</v>
      </c>
    </row>
    <row r="1024">
      <c r="A1024" s="140" t="s">
        <v>7567</v>
      </c>
      <c r="B1024" s="143">
        <v>6.90222E12</v>
      </c>
      <c r="C1024" s="140" t="s">
        <v>7705</v>
      </c>
      <c r="D1024" s="140" t="s">
        <v>224</v>
      </c>
      <c r="E1024" s="140" t="s">
        <v>7685</v>
      </c>
      <c r="F1024" s="140" t="s">
        <v>7699</v>
      </c>
      <c r="G1024" s="141" t="s">
        <v>6401</v>
      </c>
      <c r="H1024" s="140" t="s">
        <v>6312</v>
      </c>
      <c r="I1024" s="140" t="s">
        <v>6313</v>
      </c>
      <c r="J1024" s="140" t="s">
        <v>6314</v>
      </c>
      <c r="K1024" s="140" t="s">
        <v>7567</v>
      </c>
    </row>
    <row r="1025">
      <c r="A1025" s="140" t="s">
        <v>7567</v>
      </c>
      <c r="B1025" s="143">
        <v>6.90222E12</v>
      </c>
      <c r="C1025" s="140" t="s">
        <v>7706</v>
      </c>
      <c r="D1025" s="140" t="s">
        <v>224</v>
      </c>
      <c r="E1025" s="140" t="s">
        <v>7685</v>
      </c>
      <c r="F1025" s="140" t="s">
        <v>7699</v>
      </c>
      <c r="G1025" s="141" t="s">
        <v>6401</v>
      </c>
      <c r="H1025" s="140" t="s">
        <v>6312</v>
      </c>
      <c r="I1025" s="140" t="s">
        <v>6313</v>
      </c>
      <c r="J1025" s="140" t="s">
        <v>6314</v>
      </c>
      <c r="K1025" s="140" t="s">
        <v>7567</v>
      </c>
    </row>
    <row r="1026">
      <c r="A1026" s="140" t="s">
        <v>7567</v>
      </c>
      <c r="B1026" s="143">
        <v>6.90222E12</v>
      </c>
      <c r="C1026" s="140" t="s">
        <v>7707</v>
      </c>
      <c r="D1026" s="140" t="s">
        <v>224</v>
      </c>
      <c r="E1026" s="140" t="s">
        <v>7685</v>
      </c>
      <c r="F1026" s="140" t="s">
        <v>7699</v>
      </c>
      <c r="G1026" s="141" t="s">
        <v>6401</v>
      </c>
      <c r="H1026" s="140" t="s">
        <v>6312</v>
      </c>
      <c r="I1026" s="140" t="s">
        <v>6313</v>
      </c>
      <c r="J1026" s="140" t="s">
        <v>6314</v>
      </c>
      <c r="K1026" s="140" t="s">
        <v>7567</v>
      </c>
    </row>
    <row r="1027">
      <c r="A1027" s="140" t="s">
        <v>7567</v>
      </c>
      <c r="B1027" s="143">
        <v>6.90222E12</v>
      </c>
      <c r="C1027" s="140" t="s">
        <v>7708</v>
      </c>
      <c r="D1027" s="140" t="s">
        <v>224</v>
      </c>
      <c r="E1027" s="140" t="s">
        <v>7685</v>
      </c>
      <c r="F1027" s="140" t="s">
        <v>7699</v>
      </c>
      <c r="G1027" s="141" t="s">
        <v>6401</v>
      </c>
      <c r="H1027" s="140" t="s">
        <v>6312</v>
      </c>
      <c r="I1027" s="140" t="s">
        <v>6313</v>
      </c>
      <c r="J1027" s="140" t="s">
        <v>6314</v>
      </c>
      <c r="K1027" s="140" t="s">
        <v>7567</v>
      </c>
    </row>
    <row r="1028">
      <c r="A1028" s="140" t="s">
        <v>7567</v>
      </c>
      <c r="B1028" s="143">
        <v>6.90222E12</v>
      </c>
      <c r="C1028" s="140" t="s">
        <v>7709</v>
      </c>
      <c r="D1028" s="140" t="s">
        <v>224</v>
      </c>
      <c r="E1028" s="140" t="s">
        <v>7685</v>
      </c>
      <c r="F1028" s="140" t="s">
        <v>7699</v>
      </c>
      <c r="G1028" s="141" t="s">
        <v>6401</v>
      </c>
      <c r="H1028" s="140" t="s">
        <v>6312</v>
      </c>
      <c r="I1028" s="140" t="s">
        <v>6313</v>
      </c>
      <c r="J1028" s="140" t="s">
        <v>6314</v>
      </c>
      <c r="K1028" s="140" t="s">
        <v>7567</v>
      </c>
    </row>
    <row r="1029">
      <c r="A1029" s="140" t="s">
        <v>7567</v>
      </c>
      <c r="B1029" s="143">
        <v>6.90222E12</v>
      </c>
      <c r="C1029" s="140" t="s">
        <v>7710</v>
      </c>
      <c r="D1029" s="140" t="s">
        <v>224</v>
      </c>
      <c r="E1029" s="140" t="s">
        <v>7685</v>
      </c>
      <c r="F1029" s="140" t="s">
        <v>7699</v>
      </c>
      <c r="G1029" s="141" t="s">
        <v>6401</v>
      </c>
      <c r="H1029" s="140" t="s">
        <v>6312</v>
      </c>
      <c r="I1029" s="140" t="s">
        <v>6313</v>
      </c>
      <c r="J1029" s="140" t="s">
        <v>6314</v>
      </c>
      <c r="K1029" s="140" t="s">
        <v>7567</v>
      </c>
    </row>
    <row r="1030">
      <c r="A1030" s="140" t="s">
        <v>7567</v>
      </c>
      <c r="B1030" s="143">
        <v>6.90222E12</v>
      </c>
      <c r="C1030" s="140" t="s">
        <v>7695</v>
      </c>
      <c r="D1030" s="140" t="s">
        <v>224</v>
      </c>
      <c r="E1030" s="140" t="s">
        <v>7685</v>
      </c>
      <c r="F1030" s="140" t="s">
        <v>7699</v>
      </c>
      <c r="G1030" s="141" t="s">
        <v>6401</v>
      </c>
      <c r="H1030" s="140" t="s">
        <v>6312</v>
      </c>
      <c r="I1030" s="140" t="s">
        <v>6313</v>
      </c>
      <c r="J1030" s="140" t="s">
        <v>6314</v>
      </c>
      <c r="K1030" s="140" t="s">
        <v>7567</v>
      </c>
    </row>
    <row r="1031">
      <c r="A1031" s="140" t="s">
        <v>7567</v>
      </c>
      <c r="B1031" s="143">
        <v>6.90222E12</v>
      </c>
      <c r="C1031" s="140" t="s">
        <v>7711</v>
      </c>
      <c r="D1031" s="140" t="s">
        <v>224</v>
      </c>
      <c r="E1031" s="140" t="s">
        <v>7685</v>
      </c>
      <c r="F1031" s="140" t="s">
        <v>7699</v>
      </c>
      <c r="G1031" s="141" t="s">
        <v>6401</v>
      </c>
      <c r="H1031" s="140" t="s">
        <v>6312</v>
      </c>
      <c r="I1031" s="140" t="s">
        <v>6313</v>
      </c>
      <c r="J1031" s="140" t="s">
        <v>6314</v>
      </c>
      <c r="K1031" s="140" t="s">
        <v>7567</v>
      </c>
    </row>
    <row r="1032">
      <c r="A1032" s="140" t="s">
        <v>7567</v>
      </c>
      <c r="B1032" s="143">
        <v>6.90222E12</v>
      </c>
      <c r="C1032" s="140" t="s">
        <v>7712</v>
      </c>
      <c r="D1032" s="140" t="s">
        <v>224</v>
      </c>
      <c r="E1032" s="140" t="s">
        <v>7685</v>
      </c>
      <c r="F1032" s="140" t="s">
        <v>7699</v>
      </c>
      <c r="G1032" s="141" t="s">
        <v>6401</v>
      </c>
      <c r="H1032" s="140" t="s">
        <v>6312</v>
      </c>
      <c r="I1032" s="140" t="s">
        <v>6313</v>
      </c>
      <c r="J1032" s="140" t="s">
        <v>6314</v>
      </c>
      <c r="K1032" s="140" t="s">
        <v>7567</v>
      </c>
    </row>
    <row r="1033">
      <c r="A1033" s="140" t="s">
        <v>7567</v>
      </c>
      <c r="B1033" s="143">
        <v>6.90222E12</v>
      </c>
      <c r="C1033" s="140" t="s">
        <v>7713</v>
      </c>
      <c r="D1033" s="140" t="s">
        <v>224</v>
      </c>
      <c r="E1033" s="140" t="s">
        <v>7685</v>
      </c>
      <c r="F1033" s="140" t="s">
        <v>7699</v>
      </c>
      <c r="G1033" s="141" t="s">
        <v>6401</v>
      </c>
      <c r="H1033" s="140" t="s">
        <v>6312</v>
      </c>
      <c r="I1033" s="140" t="s">
        <v>6313</v>
      </c>
      <c r="J1033" s="140" t="s">
        <v>6314</v>
      </c>
      <c r="K1033" s="140" t="s">
        <v>7567</v>
      </c>
    </row>
    <row r="1034">
      <c r="A1034" s="140" t="s">
        <v>7567</v>
      </c>
      <c r="B1034" s="143">
        <v>6.90222E12</v>
      </c>
      <c r="C1034" s="140" t="s">
        <v>7714</v>
      </c>
      <c r="D1034" s="140" t="s">
        <v>224</v>
      </c>
      <c r="E1034" s="140" t="s">
        <v>7685</v>
      </c>
      <c r="F1034" s="140" t="s">
        <v>7699</v>
      </c>
      <c r="G1034" s="141" t="s">
        <v>6401</v>
      </c>
      <c r="H1034" s="140" t="s">
        <v>6312</v>
      </c>
      <c r="I1034" s="140" t="s">
        <v>6313</v>
      </c>
      <c r="J1034" s="140" t="s">
        <v>6314</v>
      </c>
      <c r="K1034" s="140" t="s">
        <v>7567</v>
      </c>
    </row>
    <row r="1035">
      <c r="A1035" s="140" t="s">
        <v>7567</v>
      </c>
      <c r="B1035" s="143">
        <v>6.90222E12</v>
      </c>
      <c r="C1035" s="140" t="s">
        <v>7715</v>
      </c>
      <c r="D1035" s="140" t="s">
        <v>224</v>
      </c>
      <c r="E1035" s="140" t="s">
        <v>7685</v>
      </c>
      <c r="F1035" s="140" t="s">
        <v>7699</v>
      </c>
      <c r="G1035" s="141" t="s">
        <v>6401</v>
      </c>
      <c r="H1035" s="140" t="s">
        <v>6312</v>
      </c>
      <c r="I1035" s="140" t="s">
        <v>6313</v>
      </c>
      <c r="J1035" s="140" t="s">
        <v>6314</v>
      </c>
      <c r="K1035" s="140" t="s">
        <v>7567</v>
      </c>
    </row>
    <row r="1036">
      <c r="A1036" s="140" t="s">
        <v>7567</v>
      </c>
      <c r="B1036" s="143">
        <v>6.90222E12</v>
      </c>
      <c r="C1036" s="140" t="s">
        <v>7716</v>
      </c>
      <c r="D1036" s="140" t="s">
        <v>224</v>
      </c>
      <c r="E1036" s="140" t="s">
        <v>7685</v>
      </c>
      <c r="F1036" s="140" t="s">
        <v>7699</v>
      </c>
      <c r="G1036" s="141" t="s">
        <v>6401</v>
      </c>
      <c r="H1036" s="140" t="s">
        <v>6312</v>
      </c>
      <c r="I1036" s="140" t="s">
        <v>6313</v>
      </c>
      <c r="J1036" s="140" t="s">
        <v>6314</v>
      </c>
      <c r="K1036" s="140" t="s">
        <v>7567</v>
      </c>
    </row>
    <row r="1037">
      <c r="A1037" s="140" t="s">
        <v>7567</v>
      </c>
      <c r="B1037" s="143">
        <v>6.90222E12</v>
      </c>
      <c r="C1037" s="140" t="s">
        <v>7717</v>
      </c>
      <c r="D1037" s="140" t="s">
        <v>224</v>
      </c>
      <c r="E1037" s="140" t="s">
        <v>7685</v>
      </c>
      <c r="F1037" s="140" t="s">
        <v>7718</v>
      </c>
      <c r="G1037" s="141" t="s">
        <v>6401</v>
      </c>
      <c r="H1037" s="140" t="s">
        <v>6312</v>
      </c>
      <c r="I1037" s="140" t="s">
        <v>6313</v>
      </c>
      <c r="J1037" s="140" t="s">
        <v>6314</v>
      </c>
      <c r="K1037" s="140" t="s">
        <v>7567</v>
      </c>
    </row>
    <row r="1038">
      <c r="A1038" s="140" t="s">
        <v>7567</v>
      </c>
      <c r="B1038" s="143">
        <v>6.90222E12</v>
      </c>
      <c r="C1038" s="140" t="s">
        <v>7719</v>
      </c>
      <c r="D1038" s="140" t="s">
        <v>224</v>
      </c>
      <c r="E1038" s="140" t="s">
        <v>7685</v>
      </c>
      <c r="F1038" s="140" t="s">
        <v>7718</v>
      </c>
      <c r="G1038" s="141" t="s">
        <v>6401</v>
      </c>
      <c r="H1038" s="140" t="s">
        <v>6312</v>
      </c>
      <c r="I1038" s="140" t="s">
        <v>6313</v>
      </c>
      <c r="J1038" s="140" t="s">
        <v>6314</v>
      </c>
      <c r="K1038" s="140" t="s">
        <v>7567</v>
      </c>
    </row>
    <row r="1039">
      <c r="A1039" s="140" t="s">
        <v>7567</v>
      </c>
      <c r="B1039" s="143">
        <v>6.90222E12</v>
      </c>
      <c r="C1039" s="140" t="s">
        <v>7720</v>
      </c>
      <c r="D1039" s="140" t="s">
        <v>224</v>
      </c>
      <c r="E1039" s="140" t="s">
        <v>7685</v>
      </c>
      <c r="F1039" s="140" t="s">
        <v>7718</v>
      </c>
      <c r="G1039" s="141" t="s">
        <v>6401</v>
      </c>
      <c r="H1039" s="140" t="s">
        <v>6312</v>
      </c>
      <c r="I1039" s="140" t="s">
        <v>6313</v>
      </c>
      <c r="J1039" s="140" t="s">
        <v>6314</v>
      </c>
      <c r="K1039" s="140" t="s">
        <v>7567</v>
      </c>
    </row>
    <row r="1040">
      <c r="A1040" s="140" t="s">
        <v>7567</v>
      </c>
      <c r="B1040" s="143">
        <v>6.90222E12</v>
      </c>
      <c r="C1040" s="140" t="s">
        <v>7721</v>
      </c>
      <c r="D1040" s="140" t="s">
        <v>224</v>
      </c>
      <c r="E1040" s="140" t="s">
        <v>7685</v>
      </c>
      <c r="F1040" s="140" t="s">
        <v>7718</v>
      </c>
      <c r="G1040" s="141" t="s">
        <v>6401</v>
      </c>
      <c r="H1040" s="140" t="s">
        <v>6312</v>
      </c>
      <c r="I1040" s="140" t="s">
        <v>6313</v>
      </c>
      <c r="J1040" s="140" t="s">
        <v>6314</v>
      </c>
      <c r="K1040" s="140" t="s">
        <v>7567</v>
      </c>
    </row>
    <row r="1041">
      <c r="A1041" s="140" t="s">
        <v>7567</v>
      </c>
      <c r="B1041" s="143">
        <v>6.90222E12</v>
      </c>
      <c r="C1041" s="140" t="s">
        <v>7722</v>
      </c>
      <c r="D1041" s="140" t="s">
        <v>224</v>
      </c>
      <c r="E1041" s="140" t="s">
        <v>7685</v>
      </c>
      <c r="F1041" s="140" t="s">
        <v>7718</v>
      </c>
      <c r="G1041" s="141" t="s">
        <v>6401</v>
      </c>
      <c r="H1041" s="140" t="s">
        <v>6312</v>
      </c>
      <c r="I1041" s="140" t="s">
        <v>6313</v>
      </c>
      <c r="J1041" s="140" t="s">
        <v>6314</v>
      </c>
      <c r="K1041" s="140" t="s">
        <v>7567</v>
      </c>
    </row>
    <row r="1042">
      <c r="A1042" s="140" t="s">
        <v>7567</v>
      </c>
      <c r="B1042" s="143">
        <v>6.90222E12</v>
      </c>
      <c r="C1042" s="140" t="s">
        <v>7723</v>
      </c>
      <c r="D1042" s="140" t="s">
        <v>224</v>
      </c>
      <c r="E1042" s="140" t="s">
        <v>7685</v>
      </c>
      <c r="F1042" s="140" t="s">
        <v>7718</v>
      </c>
      <c r="G1042" s="141" t="s">
        <v>6401</v>
      </c>
      <c r="H1042" s="140" t="s">
        <v>6312</v>
      </c>
      <c r="I1042" s="140" t="s">
        <v>6313</v>
      </c>
      <c r="J1042" s="140" t="s">
        <v>6314</v>
      </c>
      <c r="K1042" s="140" t="s">
        <v>7567</v>
      </c>
    </row>
    <row r="1043">
      <c r="A1043" s="140" t="s">
        <v>7567</v>
      </c>
      <c r="B1043" s="143">
        <v>6.90222E12</v>
      </c>
      <c r="C1043" s="140" t="s">
        <v>7724</v>
      </c>
      <c r="D1043" s="140" t="s">
        <v>224</v>
      </c>
      <c r="E1043" s="140" t="s">
        <v>7685</v>
      </c>
      <c r="F1043" s="140" t="s">
        <v>7718</v>
      </c>
      <c r="G1043" s="141" t="s">
        <v>6401</v>
      </c>
      <c r="H1043" s="140" t="s">
        <v>6312</v>
      </c>
      <c r="I1043" s="140" t="s">
        <v>6313</v>
      </c>
      <c r="J1043" s="140" t="s">
        <v>6314</v>
      </c>
      <c r="K1043" s="140" t="s">
        <v>7567</v>
      </c>
    </row>
    <row r="1044">
      <c r="A1044" s="140" t="s">
        <v>7567</v>
      </c>
      <c r="B1044" s="143">
        <v>6.90222E12</v>
      </c>
      <c r="C1044" s="140" t="s">
        <v>7725</v>
      </c>
      <c r="D1044" s="140" t="s">
        <v>224</v>
      </c>
      <c r="E1044" s="140" t="s">
        <v>7685</v>
      </c>
      <c r="F1044" s="140" t="s">
        <v>7718</v>
      </c>
      <c r="G1044" s="141" t="s">
        <v>6401</v>
      </c>
      <c r="H1044" s="140" t="s">
        <v>6312</v>
      </c>
      <c r="I1044" s="140" t="s">
        <v>6313</v>
      </c>
      <c r="J1044" s="140" t="s">
        <v>6314</v>
      </c>
      <c r="K1044" s="140" t="s">
        <v>7567</v>
      </c>
    </row>
    <row r="1045">
      <c r="A1045" s="140" t="s">
        <v>7567</v>
      </c>
      <c r="B1045" s="143">
        <v>6.90222E12</v>
      </c>
      <c r="C1045" s="140" t="s">
        <v>7726</v>
      </c>
      <c r="D1045" s="140" t="s">
        <v>224</v>
      </c>
      <c r="E1045" s="140" t="s">
        <v>7685</v>
      </c>
      <c r="F1045" s="140" t="s">
        <v>7718</v>
      </c>
      <c r="G1045" s="141" t="s">
        <v>6401</v>
      </c>
      <c r="H1045" s="140" t="s">
        <v>6312</v>
      </c>
      <c r="I1045" s="140" t="s">
        <v>6313</v>
      </c>
      <c r="J1045" s="140" t="s">
        <v>6314</v>
      </c>
      <c r="K1045" s="140" t="s">
        <v>7567</v>
      </c>
    </row>
    <row r="1046">
      <c r="A1046" s="140" t="s">
        <v>7567</v>
      </c>
      <c r="B1046" s="143">
        <v>6.90222E12</v>
      </c>
      <c r="C1046" s="140" t="s">
        <v>7727</v>
      </c>
      <c r="D1046" s="140" t="s">
        <v>224</v>
      </c>
      <c r="E1046" s="140" t="s">
        <v>7685</v>
      </c>
      <c r="F1046" s="140" t="s">
        <v>7718</v>
      </c>
      <c r="G1046" s="141" t="s">
        <v>6401</v>
      </c>
      <c r="H1046" s="140" t="s">
        <v>6312</v>
      </c>
      <c r="I1046" s="140" t="s">
        <v>6313</v>
      </c>
      <c r="J1046" s="140" t="s">
        <v>6314</v>
      </c>
      <c r="K1046" s="140" t="s">
        <v>7567</v>
      </c>
    </row>
    <row r="1047">
      <c r="A1047" s="140" t="s">
        <v>7567</v>
      </c>
      <c r="B1047" s="143">
        <v>6.90222E12</v>
      </c>
      <c r="C1047" s="140" t="s">
        <v>7728</v>
      </c>
      <c r="D1047" s="140" t="s">
        <v>224</v>
      </c>
      <c r="E1047" s="140" t="s">
        <v>7685</v>
      </c>
      <c r="F1047" s="140" t="s">
        <v>7718</v>
      </c>
      <c r="G1047" s="141" t="s">
        <v>6401</v>
      </c>
      <c r="H1047" s="140" t="s">
        <v>6312</v>
      </c>
      <c r="I1047" s="140" t="s">
        <v>6313</v>
      </c>
      <c r="J1047" s="140" t="s">
        <v>6314</v>
      </c>
      <c r="K1047" s="140" t="s">
        <v>7567</v>
      </c>
    </row>
    <row r="1048">
      <c r="A1048" s="140" t="s">
        <v>7567</v>
      </c>
      <c r="B1048" s="143">
        <v>6.90222E12</v>
      </c>
      <c r="C1048" s="140" t="s">
        <v>7729</v>
      </c>
      <c r="D1048" s="140" t="s">
        <v>224</v>
      </c>
      <c r="E1048" s="140" t="s">
        <v>7685</v>
      </c>
      <c r="F1048" s="140" t="s">
        <v>7718</v>
      </c>
      <c r="G1048" s="141" t="s">
        <v>6401</v>
      </c>
      <c r="H1048" s="140" t="s">
        <v>6312</v>
      </c>
      <c r="I1048" s="140" t="s">
        <v>6313</v>
      </c>
      <c r="J1048" s="140" t="s">
        <v>6314</v>
      </c>
      <c r="K1048" s="140" t="s">
        <v>7567</v>
      </c>
    </row>
    <row r="1049">
      <c r="A1049" s="140" t="s">
        <v>7567</v>
      </c>
      <c r="B1049" s="143">
        <v>6.90222E12</v>
      </c>
      <c r="C1049" s="140" t="s">
        <v>7730</v>
      </c>
      <c r="D1049" s="140" t="s">
        <v>224</v>
      </c>
      <c r="E1049" s="140" t="s">
        <v>7685</v>
      </c>
      <c r="F1049" s="140" t="s">
        <v>7718</v>
      </c>
      <c r="G1049" s="141" t="s">
        <v>6401</v>
      </c>
      <c r="H1049" s="140" t="s">
        <v>6312</v>
      </c>
      <c r="I1049" s="140" t="s">
        <v>6313</v>
      </c>
      <c r="J1049" s="140" t="s">
        <v>6314</v>
      </c>
      <c r="K1049" s="140" t="s">
        <v>7567</v>
      </c>
    </row>
    <row r="1050">
      <c r="A1050" s="140" t="s">
        <v>7567</v>
      </c>
      <c r="B1050" s="143">
        <v>6.90222E12</v>
      </c>
      <c r="C1050" s="140" t="s">
        <v>7731</v>
      </c>
      <c r="D1050" s="140" t="s">
        <v>224</v>
      </c>
      <c r="E1050" s="140" t="s">
        <v>7685</v>
      </c>
      <c r="F1050" s="140" t="s">
        <v>7718</v>
      </c>
      <c r="G1050" s="141" t="s">
        <v>6401</v>
      </c>
      <c r="H1050" s="140" t="s">
        <v>6312</v>
      </c>
      <c r="I1050" s="140" t="s">
        <v>6313</v>
      </c>
      <c r="J1050" s="140" t="s">
        <v>6314</v>
      </c>
      <c r="K1050" s="140" t="s">
        <v>7567</v>
      </c>
    </row>
    <row r="1051">
      <c r="A1051" s="140" t="s">
        <v>7567</v>
      </c>
      <c r="B1051" s="143">
        <v>6.90222E12</v>
      </c>
      <c r="C1051" s="140" t="s">
        <v>7732</v>
      </c>
      <c r="D1051" s="140" t="s">
        <v>224</v>
      </c>
      <c r="E1051" s="140" t="s">
        <v>7685</v>
      </c>
      <c r="F1051" s="140" t="s">
        <v>7733</v>
      </c>
      <c r="G1051" s="141" t="s">
        <v>6401</v>
      </c>
      <c r="H1051" s="140" t="s">
        <v>6312</v>
      </c>
      <c r="I1051" s="140" t="s">
        <v>6313</v>
      </c>
      <c r="J1051" s="140" t="s">
        <v>6314</v>
      </c>
      <c r="K1051" s="140" t="s">
        <v>7567</v>
      </c>
    </row>
    <row r="1052">
      <c r="A1052" s="140" t="s">
        <v>7567</v>
      </c>
      <c r="B1052" s="143">
        <v>6.90222E12</v>
      </c>
      <c r="C1052" s="140" t="s">
        <v>7734</v>
      </c>
      <c r="D1052" s="140" t="s">
        <v>224</v>
      </c>
      <c r="E1052" s="140" t="s">
        <v>7685</v>
      </c>
      <c r="F1052" s="140" t="s">
        <v>7733</v>
      </c>
      <c r="G1052" s="141" t="s">
        <v>6401</v>
      </c>
      <c r="H1052" s="140" t="s">
        <v>6312</v>
      </c>
      <c r="I1052" s="140" t="s">
        <v>6313</v>
      </c>
      <c r="J1052" s="140" t="s">
        <v>6314</v>
      </c>
      <c r="K1052" s="140" t="s">
        <v>7567</v>
      </c>
    </row>
    <row r="1053">
      <c r="A1053" s="140" t="s">
        <v>7567</v>
      </c>
      <c r="B1053" s="143">
        <v>6.90222E12</v>
      </c>
      <c r="C1053" s="140" t="s">
        <v>7735</v>
      </c>
      <c r="D1053" s="140" t="s">
        <v>224</v>
      </c>
      <c r="E1053" s="140" t="s">
        <v>7685</v>
      </c>
      <c r="F1053" s="140" t="s">
        <v>7733</v>
      </c>
      <c r="G1053" s="141" t="s">
        <v>6401</v>
      </c>
      <c r="H1053" s="140" t="s">
        <v>6312</v>
      </c>
      <c r="I1053" s="140" t="s">
        <v>6313</v>
      </c>
      <c r="J1053" s="140" t="s">
        <v>6314</v>
      </c>
      <c r="K1053" s="140" t="s">
        <v>7567</v>
      </c>
    </row>
    <row r="1054">
      <c r="A1054" s="140" t="s">
        <v>7567</v>
      </c>
      <c r="B1054" s="143">
        <v>6.90222E12</v>
      </c>
      <c r="C1054" s="140" t="s">
        <v>7736</v>
      </c>
      <c r="D1054" s="140" t="s">
        <v>224</v>
      </c>
      <c r="E1054" s="140" t="s">
        <v>7685</v>
      </c>
      <c r="F1054" s="140" t="s">
        <v>7737</v>
      </c>
      <c r="G1054" s="141" t="s">
        <v>6401</v>
      </c>
      <c r="H1054" s="140" t="s">
        <v>6312</v>
      </c>
      <c r="I1054" s="140" t="s">
        <v>6313</v>
      </c>
      <c r="J1054" s="140" t="s">
        <v>6314</v>
      </c>
      <c r="K1054" s="140" t="s">
        <v>7567</v>
      </c>
    </row>
    <row r="1055">
      <c r="A1055" s="140" t="s">
        <v>7567</v>
      </c>
      <c r="B1055" s="143">
        <v>6.90222E12</v>
      </c>
      <c r="C1055" s="140" t="s">
        <v>7738</v>
      </c>
      <c r="D1055" s="140" t="s">
        <v>224</v>
      </c>
      <c r="E1055" s="140" t="s">
        <v>7685</v>
      </c>
      <c r="F1055" s="140" t="s">
        <v>7737</v>
      </c>
      <c r="G1055" s="141" t="s">
        <v>6401</v>
      </c>
      <c r="H1055" s="140" t="s">
        <v>6312</v>
      </c>
      <c r="I1055" s="140" t="s">
        <v>6313</v>
      </c>
      <c r="J1055" s="140" t="s">
        <v>6314</v>
      </c>
      <c r="K1055" s="140" t="s">
        <v>7567</v>
      </c>
    </row>
    <row r="1056">
      <c r="A1056" s="140" t="s">
        <v>7567</v>
      </c>
      <c r="B1056" s="143">
        <v>6.90222E12</v>
      </c>
      <c r="C1056" s="140" t="s">
        <v>7739</v>
      </c>
      <c r="D1056" s="140" t="s">
        <v>224</v>
      </c>
      <c r="E1056" s="140" t="s">
        <v>7685</v>
      </c>
      <c r="F1056" s="140" t="s">
        <v>7737</v>
      </c>
      <c r="G1056" s="141" t="s">
        <v>6401</v>
      </c>
      <c r="H1056" s="140" t="s">
        <v>6312</v>
      </c>
      <c r="I1056" s="140" t="s">
        <v>6313</v>
      </c>
      <c r="J1056" s="140" t="s">
        <v>6314</v>
      </c>
      <c r="K1056" s="140" t="s">
        <v>7567</v>
      </c>
    </row>
    <row r="1057">
      <c r="A1057" s="140" t="s">
        <v>7567</v>
      </c>
      <c r="B1057" s="143">
        <v>6.90222E12</v>
      </c>
      <c r="C1057" s="140" t="s">
        <v>7740</v>
      </c>
      <c r="D1057" s="140" t="s">
        <v>224</v>
      </c>
      <c r="E1057" s="140" t="s">
        <v>7685</v>
      </c>
      <c r="F1057" s="140" t="s">
        <v>7741</v>
      </c>
      <c r="G1057" s="141" t="s">
        <v>6401</v>
      </c>
      <c r="H1057" s="140" t="s">
        <v>6312</v>
      </c>
      <c r="I1057" s="140" t="s">
        <v>6313</v>
      </c>
      <c r="J1057" s="140" t="s">
        <v>6314</v>
      </c>
      <c r="K1057" s="140" t="s">
        <v>7567</v>
      </c>
    </row>
    <row r="1058">
      <c r="A1058" s="140" t="s">
        <v>7567</v>
      </c>
      <c r="B1058" s="143">
        <v>6.90222E12</v>
      </c>
      <c r="C1058" s="140" t="s">
        <v>7742</v>
      </c>
      <c r="D1058" s="140" t="s">
        <v>224</v>
      </c>
      <c r="E1058" s="140" t="s">
        <v>7685</v>
      </c>
      <c r="F1058" s="140" t="s">
        <v>7741</v>
      </c>
      <c r="G1058" s="141" t="s">
        <v>6401</v>
      </c>
      <c r="H1058" s="140" t="s">
        <v>6312</v>
      </c>
      <c r="I1058" s="140" t="s">
        <v>6313</v>
      </c>
      <c r="J1058" s="140" t="s">
        <v>6314</v>
      </c>
      <c r="K1058" s="140" t="s">
        <v>7567</v>
      </c>
    </row>
    <row r="1059">
      <c r="A1059" s="140" t="s">
        <v>7567</v>
      </c>
      <c r="B1059" s="140" t="s">
        <v>7743</v>
      </c>
      <c r="C1059" s="140" t="s">
        <v>7744</v>
      </c>
      <c r="D1059" s="140" t="s">
        <v>224</v>
      </c>
      <c r="E1059" s="140" t="s">
        <v>7685</v>
      </c>
      <c r="F1059" s="140" t="s">
        <v>7741</v>
      </c>
      <c r="G1059" s="141" t="s">
        <v>6401</v>
      </c>
      <c r="H1059" s="140" t="s">
        <v>6312</v>
      </c>
      <c r="I1059" s="140" t="s">
        <v>6313</v>
      </c>
      <c r="J1059" s="140" t="s">
        <v>6314</v>
      </c>
      <c r="K1059" s="140" t="s">
        <v>7567</v>
      </c>
    </row>
    <row r="1060">
      <c r="A1060" s="140" t="s">
        <v>7567</v>
      </c>
      <c r="B1060" s="143">
        <v>6.90222E12</v>
      </c>
      <c r="C1060" s="140" t="s">
        <v>7745</v>
      </c>
      <c r="D1060" s="140" t="s">
        <v>224</v>
      </c>
      <c r="E1060" s="140" t="s">
        <v>7685</v>
      </c>
      <c r="F1060" s="140" t="s">
        <v>7741</v>
      </c>
      <c r="G1060" s="141" t="s">
        <v>6401</v>
      </c>
      <c r="H1060" s="140" t="s">
        <v>6312</v>
      </c>
      <c r="I1060" s="140" t="s">
        <v>6313</v>
      </c>
      <c r="J1060" s="140" t="s">
        <v>6314</v>
      </c>
      <c r="K1060" s="140" t="s">
        <v>7567</v>
      </c>
    </row>
    <row r="1061">
      <c r="A1061" s="140" t="s">
        <v>7567</v>
      </c>
      <c r="B1061" s="143">
        <v>6.90222E12</v>
      </c>
      <c r="C1061" s="140" t="s">
        <v>7746</v>
      </c>
      <c r="D1061" s="140" t="s">
        <v>224</v>
      </c>
      <c r="E1061" s="140" t="s">
        <v>7685</v>
      </c>
      <c r="F1061" s="140" t="s">
        <v>7741</v>
      </c>
      <c r="G1061" s="141" t="s">
        <v>6401</v>
      </c>
      <c r="H1061" s="140" t="s">
        <v>6312</v>
      </c>
      <c r="I1061" s="140" t="s">
        <v>6313</v>
      </c>
      <c r="J1061" s="140" t="s">
        <v>6314</v>
      </c>
      <c r="K1061" s="140" t="s">
        <v>7567</v>
      </c>
    </row>
    <row r="1062">
      <c r="A1062" s="140" t="s">
        <v>7567</v>
      </c>
      <c r="B1062" s="143">
        <v>6.90222E12</v>
      </c>
      <c r="C1062" s="140" t="s">
        <v>7747</v>
      </c>
      <c r="D1062" s="140" t="s">
        <v>224</v>
      </c>
      <c r="E1062" s="140" t="s">
        <v>7685</v>
      </c>
      <c r="F1062" s="140" t="s">
        <v>7741</v>
      </c>
      <c r="G1062" s="141" t="s">
        <v>6401</v>
      </c>
      <c r="H1062" s="140" t="s">
        <v>6312</v>
      </c>
      <c r="I1062" s="140" t="s">
        <v>6313</v>
      </c>
      <c r="J1062" s="140" t="s">
        <v>6314</v>
      </c>
      <c r="K1062" s="140" t="s">
        <v>7567</v>
      </c>
    </row>
    <row r="1063">
      <c r="A1063" s="140" t="s">
        <v>7567</v>
      </c>
      <c r="B1063" s="143">
        <v>6.90222E12</v>
      </c>
      <c r="C1063" s="140" t="s">
        <v>7748</v>
      </c>
      <c r="D1063" s="140" t="s">
        <v>224</v>
      </c>
      <c r="E1063" s="140" t="s">
        <v>7685</v>
      </c>
      <c r="F1063" s="140" t="s">
        <v>7741</v>
      </c>
      <c r="G1063" s="141" t="s">
        <v>6401</v>
      </c>
      <c r="H1063" s="140" t="s">
        <v>6312</v>
      </c>
      <c r="I1063" s="140" t="s">
        <v>6313</v>
      </c>
      <c r="J1063" s="140" t="s">
        <v>6314</v>
      </c>
      <c r="K1063" s="140" t="s">
        <v>7567</v>
      </c>
    </row>
    <row r="1064">
      <c r="A1064" s="140" t="s">
        <v>7567</v>
      </c>
      <c r="B1064" s="143">
        <v>6.90222E12</v>
      </c>
      <c r="C1064" s="140" t="s">
        <v>7749</v>
      </c>
      <c r="D1064" s="140" t="s">
        <v>224</v>
      </c>
      <c r="E1064" s="140" t="s">
        <v>7685</v>
      </c>
      <c r="F1064" s="140" t="s">
        <v>7741</v>
      </c>
      <c r="G1064" s="141" t="s">
        <v>6401</v>
      </c>
      <c r="H1064" s="140" t="s">
        <v>6312</v>
      </c>
      <c r="I1064" s="140" t="s">
        <v>6313</v>
      </c>
      <c r="J1064" s="140" t="s">
        <v>6314</v>
      </c>
      <c r="K1064" s="140" t="s">
        <v>7567</v>
      </c>
    </row>
    <row r="1065">
      <c r="A1065" s="140" t="s">
        <v>7567</v>
      </c>
      <c r="B1065" s="143">
        <v>6.90222E12</v>
      </c>
      <c r="C1065" s="140" t="s">
        <v>7750</v>
      </c>
      <c r="D1065" s="140" t="s">
        <v>224</v>
      </c>
      <c r="E1065" s="140" t="s">
        <v>7685</v>
      </c>
      <c r="F1065" s="140" t="s">
        <v>7741</v>
      </c>
      <c r="G1065" s="141" t="s">
        <v>6401</v>
      </c>
      <c r="H1065" s="140" t="s">
        <v>6312</v>
      </c>
      <c r="I1065" s="140" t="s">
        <v>6313</v>
      </c>
      <c r="J1065" s="140" t="s">
        <v>6314</v>
      </c>
      <c r="K1065" s="140" t="s">
        <v>7567</v>
      </c>
    </row>
    <row r="1066">
      <c r="A1066" s="140" t="s">
        <v>7567</v>
      </c>
      <c r="B1066" s="143">
        <v>6.90222E12</v>
      </c>
      <c r="C1066" s="140" t="s">
        <v>7751</v>
      </c>
      <c r="D1066" s="140" t="s">
        <v>224</v>
      </c>
      <c r="E1066" s="140" t="s">
        <v>7685</v>
      </c>
      <c r="F1066" s="140" t="s">
        <v>7741</v>
      </c>
      <c r="G1066" s="141" t="s">
        <v>6401</v>
      </c>
      <c r="H1066" s="140" t="s">
        <v>6312</v>
      </c>
      <c r="I1066" s="140" t="s">
        <v>6313</v>
      </c>
      <c r="J1066" s="140" t="s">
        <v>6314</v>
      </c>
      <c r="K1066" s="140" t="s">
        <v>7567</v>
      </c>
    </row>
    <row r="1067">
      <c r="A1067" s="140" t="s">
        <v>7567</v>
      </c>
      <c r="B1067" s="143">
        <v>6.90222E12</v>
      </c>
      <c r="C1067" s="140" t="s">
        <v>7752</v>
      </c>
      <c r="D1067" s="140" t="s">
        <v>224</v>
      </c>
      <c r="E1067" s="140" t="s">
        <v>7685</v>
      </c>
      <c r="F1067" s="140" t="s">
        <v>7741</v>
      </c>
      <c r="G1067" s="141" t="s">
        <v>6401</v>
      </c>
      <c r="H1067" s="140" t="s">
        <v>6312</v>
      </c>
      <c r="I1067" s="140" t="s">
        <v>6313</v>
      </c>
      <c r="J1067" s="140" t="s">
        <v>6314</v>
      </c>
      <c r="K1067" s="140" t="s">
        <v>7567</v>
      </c>
    </row>
    <row r="1068">
      <c r="A1068" s="140" t="s">
        <v>7567</v>
      </c>
      <c r="B1068" s="143">
        <v>6.90222E12</v>
      </c>
      <c r="C1068" s="140" t="s">
        <v>7753</v>
      </c>
      <c r="D1068" s="140" t="s">
        <v>224</v>
      </c>
      <c r="E1068" s="140" t="s">
        <v>7685</v>
      </c>
      <c r="F1068" s="140" t="s">
        <v>7741</v>
      </c>
      <c r="G1068" s="141" t="s">
        <v>6401</v>
      </c>
      <c r="H1068" s="140" t="s">
        <v>6312</v>
      </c>
      <c r="I1068" s="140" t="s">
        <v>6313</v>
      </c>
      <c r="J1068" s="140" t="s">
        <v>6314</v>
      </c>
      <c r="K1068" s="140" t="s">
        <v>7567</v>
      </c>
    </row>
    <row r="1069">
      <c r="A1069" s="140" t="s">
        <v>7567</v>
      </c>
      <c r="B1069" s="143">
        <v>6.90222E12</v>
      </c>
      <c r="C1069" s="140" t="s">
        <v>7754</v>
      </c>
      <c r="D1069" s="140" t="s">
        <v>224</v>
      </c>
      <c r="E1069" s="140" t="s">
        <v>7685</v>
      </c>
      <c r="F1069" s="140" t="s">
        <v>7755</v>
      </c>
      <c r="G1069" s="141" t="s">
        <v>6401</v>
      </c>
      <c r="H1069" s="140" t="s">
        <v>6312</v>
      </c>
      <c r="I1069" s="140" t="s">
        <v>6313</v>
      </c>
      <c r="J1069" s="140" t="s">
        <v>6314</v>
      </c>
      <c r="K1069" s="140" t="s">
        <v>7567</v>
      </c>
    </row>
    <row r="1070">
      <c r="A1070" s="140" t="s">
        <v>7567</v>
      </c>
      <c r="B1070" s="143">
        <v>6.90222E12</v>
      </c>
      <c r="C1070" s="140" t="s">
        <v>7756</v>
      </c>
      <c r="D1070" s="140" t="s">
        <v>224</v>
      </c>
      <c r="E1070" s="140" t="s">
        <v>7685</v>
      </c>
      <c r="F1070" s="140" t="s">
        <v>7755</v>
      </c>
      <c r="G1070" s="141" t="s">
        <v>6401</v>
      </c>
      <c r="H1070" s="140" t="s">
        <v>6312</v>
      </c>
      <c r="I1070" s="140" t="s">
        <v>6313</v>
      </c>
      <c r="J1070" s="140" t="s">
        <v>6314</v>
      </c>
      <c r="K1070" s="140" t="s">
        <v>7567</v>
      </c>
    </row>
    <row r="1071">
      <c r="A1071" s="140" t="s">
        <v>7567</v>
      </c>
      <c r="B1071" s="143">
        <v>6.90222E12</v>
      </c>
      <c r="C1071" s="140" t="s">
        <v>7757</v>
      </c>
      <c r="D1071" s="140" t="s">
        <v>224</v>
      </c>
      <c r="E1071" s="140" t="s">
        <v>7685</v>
      </c>
      <c r="F1071" s="140" t="s">
        <v>7755</v>
      </c>
      <c r="G1071" s="141" t="s">
        <v>6401</v>
      </c>
      <c r="H1071" s="140" t="s">
        <v>6312</v>
      </c>
      <c r="I1071" s="140" t="s">
        <v>6313</v>
      </c>
      <c r="J1071" s="140" t="s">
        <v>6314</v>
      </c>
      <c r="K1071" s="140" t="s">
        <v>7567</v>
      </c>
    </row>
    <row r="1072">
      <c r="A1072" s="140" t="s">
        <v>7567</v>
      </c>
      <c r="B1072" s="143">
        <v>6.90222E12</v>
      </c>
      <c r="C1072" s="140" t="s">
        <v>7758</v>
      </c>
      <c r="D1072" s="140" t="s">
        <v>224</v>
      </c>
      <c r="E1072" s="140" t="s">
        <v>7685</v>
      </c>
      <c r="F1072" s="140" t="s">
        <v>7755</v>
      </c>
      <c r="G1072" s="141" t="s">
        <v>6401</v>
      </c>
      <c r="H1072" s="140" t="s">
        <v>6312</v>
      </c>
      <c r="I1072" s="140" t="s">
        <v>6313</v>
      </c>
      <c r="J1072" s="140" t="s">
        <v>6314</v>
      </c>
      <c r="K1072" s="140" t="s">
        <v>7567</v>
      </c>
    </row>
    <row r="1073">
      <c r="A1073" s="140" t="s">
        <v>7567</v>
      </c>
      <c r="B1073" s="143">
        <v>6.90222E12</v>
      </c>
      <c r="C1073" s="140" t="s">
        <v>7759</v>
      </c>
      <c r="D1073" s="140" t="s">
        <v>224</v>
      </c>
      <c r="E1073" s="140" t="s">
        <v>7685</v>
      </c>
      <c r="F1073" s="140" t="s">
        <v>7755</v>
      </c>
      <c r="G1073" s="141" t="s">
        <v>6401</v>
      </c>
      <c r="H1073" s="140" t="s">
        <v>6312</v>
      </c>
      <c r="I1073" s="140" t="s">
        <v>6313</v>
      </c>
      <c r="J1073" s="140" t="s">
        <v>6314</v>
      </c>
      <c r="K1073" s="140" t="s">
        <v>7567</v>
      </c>
    </row>
    <row r="1074">
      <c r="A1074" s="140" t="s">
        <v>7567</v>
      </c>
      <c r="B1074" s="143">
        <v>6.90902E12</v>
      </c>
      <c r="C1074" s="140" t="s">
        <v>7760</v>
      </c>
      <c r="D1074" s="140" t="s">
        <v>224</v>
      </c>
      <c r="E1074" s="140" t="s">
        <v>7685</v>
      </c>
      <c r="F1074" s="140" t="s">
        <v>7761</v>
      </c>
      <c r="G1074" s="141" t="s">
        <v>6401</v>
      </c>
      <c r="H1074" s="140" t="s">
        <v>6312</v>
      </c>
      <c r="I1074" s="140" t="s">
        <v>6313</v>
      </c>
      <c r="J1074" s="140" t="s">
        <v>6314</v>
      </c>
      <c r="K1074" s="140" t="s">
        <v>7567</v>
      </c>
    </row>
    <row r="1075">
      <c r="A1075" s="140" t="s">
        <v>7567</v>
      </c>
      <c r="B1075" s="143">
        <v>6.90222E12</v>
      </c>
      <c r="C1075" s="140" t="s">
        <v>7762</v>
      </c>
      <c r="D1075" s="140" t="s">
        <v>6718</v>
      </c>
      <c r="E1075" s="140" t="s">
        <v>456</v>
      </c>
      <c r="F1075" s="140" t="s">
        <v>457</v>
      </c>
      <c r="G1075" s="141" t="s">
        <v>6401</v>
      </c>
      <c r="H1075" s="140" t="s">
        <v>6312</v>
      </c>
      <c r="I1075" s="140" t="s">
        <v>6313</v>
      </c>
      <c r="J1075" s="140" t="s">
        <v>6314</v>
      </c>
      <c r="K1075" s="140" t="s">
        <v>7567</v>
      </c>
    </row>
    <row r="1076">
      <c r="A1076" s="140" t="s">
        <v>7567</v>
      </c>
      <c r="B1076" s="143">
        <v>6.90222E12</v>
      </c>
      <c r="C1076" s="140" t="s">
        <v>7763</v>
      </c>
      <c r="D1076" s="140" t="s">
        <v>7347</v>
      </c>
      <c r="E1076" s="140" t="s">
        <v>513</v>
      </c>
      <c r="F1076" s="140" t="s">
        <v>514</v>
      </c>
      <c r="G1076" s="141" t="s">
        <v>6401</v>
      </c>
      <c r="H1076" s="140" t="s">
        <v>6312</v>
      </c>
      <c r="I1076" s="140" t="s">
        <v>6313</v>
      </c>
      <c r="J1076" s="140" t="s">
        <v>6314</v>
      </c>
      <c r="K1076" s="140" t="s">
        <v>7567</v>
      </c>
    </row>
    <row r="1077">
      <c r="A1077" s="140" t="s">
        <v>7567</v>
      </c>
      <c r="B1077" s="143">
        <v>6.90222E12</v>
      </c>
      <c r="C1077" s="140" t="s">
        <v>7764</v>
      </c>
      <c r="D1077" s="140" t="s">
        <v>7347</v>
      </c>
      <c r="E1077" s="140" t="s">
        <v>513</v>
      </c>
      <c r="F1077" s="140" t="s">
        <v>514</v>
      </c>
      <c r="G1077" s="141" t="s">
        <v>6401</v>
      </c>
      <c r="H1077" s="140" t="s">
        <v>6312</v>
      </c>
      <c r="I1077" s="140" t="s">
        <v>6313</v>
      </c>
      <c r="J1077" s="140" t="s">
        <v>6314</v>
      </c>
      <c r="K1077" s="140" t="s">
        <v>7567</v>
      </c>
    </row>
    <row r="1078">
      <c r="A1078" s="140" t="s">
        <v>7567</v>
      </c>
      <c r="B1078" s="143">
        <v>6.90222E12</v>
      </c>
      <c r="C1078" s="140" t="s">
        <v>7765</v>
      </c>
      <c r="D1078" s="140" t="s">
        <v>7347</v>
      </c>
      <c r="E1078" s="140" t="s">
        <v>513</v>
      </c>
      <c r="F1078" s="140" t="s">
        <v>514</v>
      </c>
      <c r="G1078" s="141" t="s">
        <v>6401</v>
      </c>
      <c r="H1078" s="140" t="s">
        <v>6312</v>
      </c>
      <c r="I1078" s="140" t="s">
        <v>6313</v>
      </c>
      <c r="J1078" s="140" t="s">
        <v>6314</v>
      </c>
      <c r="K1078" s="140" t="s">
        <v>7567</v>
      </c>
    </row>
    <row r="1079">
      <c r="A1079" s="140" t="s">
        <v>7567</v>
      </c>
      <c r="B1079" s="143">
        <v>6.90222E12</v>
      </c>
      <c r="C1079" s="140" t="s">
        <v>7766</v>
      </c>
      <c r="D1079" s="140" t="s">
        <v>7347</v>
      </c>
      <c r="E1079" s="140" t="s">
        <v>513</v>
      </c>
      <c r="F1079" s="140" t="s">
        <v>514</v>
      </c>
      <c r="G1079" s="141" t="s">
        <v>6401</v>
      </c>
      <c r="H1079" s="140" t="s">
        <v>6312</v>
      </c>
      <c r="I1079" s="140" t="s">
        <v>6313</v>
      </c>
      <c r="J1079" s="140" t="s">
        <v>6314</v>
      </c>
      <c r="K1079" s="140" t="s">
        <v>7567</v>
      </c>
    </row>
    <row r="1080">
      <c r="A1080" s="140" t="s">
        <v>7567</v>
      </c>
      <c r="B1080" s="143">
        <v>6.90222E12</v>
      </c>
      <c r="C1080" s="140" t="s">
        <v>7767</v>
      </c>
      <c r="D1080" s="140" t="s">
        <v>7347</v>
      </c>
      <c r="E1080" s="140" t="s">
        <v>513</v>
      </c>
      <c r="F1080" s="140" t="s">
        <v>514</v>
      </c>
      <c r="G1080" s="141" t="s">
        <v>6401</v>
      </c>
      <c r="H1080" s="140" t="s">
        <v>6312</v>
      </c>
      <c r="I1080" s="140" t="s">
        <v>6313</v>
      </c>
      <c r="J1080" s="140" t="s">
        <v>6314</v>
      </c>
      <c r="K1080" s="140" t="s">
        <v>7567</v>
      </c>
    </row>
    <row r="1081">
      <c r="A1081" s="140" t="s">
        <v>7567</v>
      </c>
      <c r="B1081" s="143">
        <v>6.90222E12</v>
      </c>
      <c r="C1081" s="140" t="s">
        <v>7768</v>
      </c>
      <c r="D1081" s="140" t="s">
        <v>7347</v>
      </c>
      <c r="E1081" s="140" t="s">
        <v>513</v>
      </c>
      <c r="F1081" s="140" t="s">
        <v>514</v>
      </c>
      <c r="G1081" s="141" t="s">
        <v>6401</v>
      </c>
      <c r="H1081" s="140" t="s">
        <v>6312</v>
      </c>
      <c r="I1081" s="140" t="s">
        <v>6313</v>
      </c>
      <c r="J1081" s="140" t="s">
        <v>6314</v>
      </c>
      <c r="K1081" s="140" t="s">
        <v>7567</v>
      </c>
    </row>
    <row r="1082">
      <c r="A1082" s="140" t="s">
        <v>7567</v>
      </c>
      <c r="B1082" s="143">
        <v>6.90222E12</v>
      </c>
      <c r="C1082" s="140" t="s">
        <v>7769</v>
      </c>
      <c r="D1082" s="140" t="s">
        <v>7347</v>
      </c>
      <c r="E1082" s="140" t="s">
        <v>7770</v>
      </c>
      <c r="F1082" s="140" t="s">
        <v>7771</v>
      </c>
      <c r="G1082" s="141" t="s">
        <v>6401</v>
      </c>
      <c r="H1082" s="140" t="s">
        <v>6312</v>
      </c>
      <c r="I1082" s="140" t="s">
        <v>6313</v>
      </c>
      <c r="J1082" s="140" t="s">
        <v>6314</v>
      </c>
      <c r="K1082" s="140" t="s">
        <v>7567</v>
      </c>
    </row>
    <row r="1083">
      <c r="A1083" s="140" t="s">
        <v>7567</v>
      </c>
      <c r="B1083" s="143">
        <v>6.90222E12</v>
      </c>
      <c r="C1083" s="140" t="s">
        <v>7772</v>
      </c>
      <c r="D1083" s="140" t="s">
        <v>7347</v>
      </c>
      <c r="E1083" s="140" t="s">
        <v>7770</v>
      </c>
      <c r="F1083" s="140" t="s">
        <v>7771</v>
      </c>
      <c r="G1083" s="141" t="s">
        <v>6401</v>
      </c>
      <c r="H1083" s="140" t="s">
        <v>6312</v>
      </c>
      <c r="I1083" s="140" t="s">
        <v>6313</v>
      </c>
      <c r="J1083" s="140" t="s">
        <v>6314</v>
      </c>
      <c r="K1083" s="140" t="s">
        <v>7567</v>
      </c>
    </row>
    <row r="1084">
      <c r="A1084" s="140" t="s">
        <v>7567</v>
      </c>
      <c r="B1084" s="143">
        <v>6.90222E12</v>
      </c>
      <c r="C1084" s="140" t="s">
        <v>7773</v>
      </c>
      <c r="D1084" s="140" t="s">
        <v>6318</v>
      </c>
      <c r="E1084" s="140" t="s">
        <v>1180</v>
      </c>
      <c r="F1084" s="140" t="s">
        <v>1181</v>
      </c>
      <c r="G1084" s="141" t="s">
        <v>6401</v>
      </c>
      <c r="H1084" s="140" t="s">
        <v>6312</v>
      </c>
      <c r="I1084" s="140" t="s">
        <v>6313</v>
      </c>
      <c r="J1084" s="140" t="s">
        <v>6314</v>
      </c>
      <c r="K1084" s="140" t="s">
        <v>7567</v>
      </c>
    </row>
    <row r="1085">
      <c r="A1085" s="140" t="s">
        <v>7567</v>
      </c>
      <c r="B1085" s="143">
        <v>6.90222E12</v>
      </c>
      <c r="C1085" s="140" t="s">
        <v>7774</v>
      </c>
      <c r="D1085" s="140" t="s">
        <v>6318</v>
      </c>
      <c r="E1085" s="140" t="s">
        <v>1180</v>
      </c>
      <c r="F1085" s="140" t="s">
        <v>1181</v>
      </c>
      <c r="G1085" s="141" t="s">
        <v>6401</v>
      </c>
      <c r="H1085" s="140" t="s">
        <v>6312</v>
      </c>
      <c r="I1085" s="140" t="s">
        <v>6313</v>
      </c>
      <c r="J1085" s="140" t="s">
        <v>6314</v>
      </c>
      <c r="K1085" s="140" t="s">
        <v>7567</v>
      </c>
    </row>
    <row r="1086">
      <c r="A1086" s="140" t="s">
        <v>7567</v>
      </c>
      <c r="B1086" s="143">
        <v>6.90222E12</v>
      </c>
      <c r="C1086" s="140" t="s">
        <v>7775</v>
      </c>
      <c r="D1086" s="140" t="s">
        <v>6318</v>
      </c>
      <c r="E1086" s="140" t="s">
        <v>1180</v>
      </c>
      <c r="F1086" s="140" t="s">
        <v>1181</v>
      </c>
      <c r="G1086" s="141" t="s">
        <v>6401</v>
      </c>
      <c r="H1086" s="140" t="s">
        <v>6312</v>
      </c>
      <c r="I1086" s="140" t="s">
        <v>6313</v>
      </c>
      <c r="J1086" s="140" t="s">
        <v>6314</v>
      </c>
      <c r="K1086" s="140" t="s">
        <v>7567</v>
      </c>
    </row>
    <row r="1087">
      <c r="A1087" s="140" t="s">
        <v>7567</v>
      </c>
      <c r="B1087" s="143">
        <v>6.90222E12</v>
      </c>
      <c r="C1087" s="140" t="s">
        <v>7776</v>
      </c>
      <c r="D1087" s="140" t="s">
        <v>6318</v>
      </c>
      <c r="E1087" s="140" t="s">
        <v>1180</v>
      </c>
      <c r="F1087" s="140" t="s">
        <v>5810</v>
      </c>
      <c r="G1087" s="141" t="s">
        <v>6401</v>
      </c>
      <c r="H1087" s="140" t="s">
        <v>6312</v>
      </c>
      <c r="I1087" s="140" t="s">
        <v>6313</v>
      </c>
      <c r="J1087" s="140" t="s">
        <v>6314</v>
      </c>
      <c r="K1087" s="140" t="s">
        <v>7567</v>
      </c>
    </row>
    <row r="1088">
      <c r="A1088" s="140" t="s">
        <v>7567</v>
      </c>
      <c r="B1088" s="143">
        <v>6.90222E12</v>
      </c>
      <c r="C1088" s="140" t="s">
        <v>7777</v>
      </c>
      <c r="D1088" s="140" t="s">
        <v>6318</v>
      </c>
      <c r="E1088" s="140" t="s">
        <v>1180</v>
      </c>
      <c r="F1088" s="140" t="s">
        <v>5810</v>
      </c>
      <c r="G1088" s="141" t="s">
        <v>6401</v>
      </c>
      <c r="H1088" s="140" t="s">
        <v>6312</v>
      </c>
      <c r="I1088" s="140" t="s">
        <v>6313</v>
      </c>
      <c r="J1088" s="140" t="s">
        <v>6314</v>
      </c>
      <c r="K1088" s="140" t="s">
        <v>7567</v>
      </c>
    </row>
    <row r="1089">
      <c r="A1089" s="140" t="s">
        <v>7567</v>
      </c>
      <c r="B1089" s="143">
        <v>6.90222E12</v>
      </c>
      <c r="C1089" s="140" t="s">
        <v>7778</v>
      </c>
      <c r="D1089" s="140" t="s">
        <v>6318</v>
      </c>
      <c r="E1089" s="140" t="s">
        <v>1180</v>
      </c>
      <c r="F1089" s="140" t="s">
        <v>5810</v>
      </c>
      <c r="G1089" s="141" t="s">
        <v>6401</v>
      </c>
      <c r="H1089" s="140" t="s">
        <v>6312</v>
      </c>
      <c r="I1089" s="140" t="s">
        <v>6313</v>
      </c>
      <c r="J1089" s="140" t="s">
        <v>6314</v>
      </c>
      <c r="K1089" s="140" t="s">
        <v>7567</v>
      </c>
    </row>
    <row r="1090">
      <c r="A1090" s="140" t="s">
        <v>7567</v>
      </c>
      <c r="B1090" s="143">
        <v>6.90222E12</v>
      </c>
      <c r="C1090" s="140" t="s">
        <v>7779</v>
      </c>
      <c r="D1090" s="140" t="s">
        <v>6318</v>
      </c>
      <c r="E1090" s="140" t="s">
        <v>1180</v>
      </c>
      <c r="F1090" s="140" t="s">
        <v>5810</v>
      </c>
      <c r="G1090" s="141" t="s">
        <v>6401</v>
      </c>
      <c r="H1090" s="140" t="s">
        <v>6312</v>
      </c>
      <c r="I1090" s="140" t="s">
        <v>6313</v>
      </c>
      <c r="J1090" s="140" t="s">
        <v>6314</v>
      </c>
      <c r="K1090" s="140" t="s">
        <v>7567</v>
      </c>
    </row>
    <row r="1091">
      <c r="A1091" s="140" t="s">
        <v>7567</v>
      </c>
      <c r="B1091" s="143">
        <v>6.90222E12</v>
      </c>
      <c r="C1091" s="140" t="s">
        <v>7780</v>
      </c>
      <c r="D1091" s="140" t="s">
        <v>6318</v>
      </c>
      <c r="E1091" s="140" t="s">
        <v>1180</v>
      </c>
      <c r="F1091" s="140" t="s">
        <v>1195</v>
      </c>
      <c r="G1091" s="141" t="s">
        <v>6401</v>
      </c>
      <c r="H1091" s="140" t="s">
        <v>6312</v>
      </c>
      <c r="I1091" s="140" t="s">
        <v>6313</v>
      </c>
      <c r="J1091" s="140" t="s">
        <v>6314</v>
      </c>
      <c r="K1091" s="140" t="s">
        <v>7567</v>
      </c>
    </row>
    <row r="1092">
      <c r="A1092" s="140" t="s">
        <v>7567</v>
      </c>
      <c r="B1092" s="143">
        <v>6.90222E12</v>
      </c>
      <c r="C1092" s="140" t="s">
        <v>7781</v>
      </c>
      <c r="D1092" s="140" t="s">
        <v>6318</v>
      </c>
      <c r="E1092" s="140" t="s">
        <v>1180</v>
      </c>
      <c r="F1092" s="140" t="s">
        <v>1195</v>
      </c>
      <c r="G1092" s="141" t="s">
        <v>6401</v>
      </c>
      <c r="H1092" s="140" t="s">
        <v>6312</v>
      </c>
      <c r="I1092" s="140" t="s">
        <v>6313</v>
      </c>
      <c r="J1092" s="140" t="s">
        <v>6314</v>
      </c>
      <c r="K1092" s="140" t="s">
        <v>7567</v>
      </c>
    </row>
    <row r="1093">
      <c r="A1093" s="140" t="s">
        <v>7567</v>
      </c>
      <c r="B1093" s="143">
        <v>6.90222E12</v>
      </c>
      <c r="C1093" s="140" t="s">
        <v>7782</v>
      </c>
      <c r="D1093" s="140" t="s">
        <v>6318</v>
      </c>
      <c r="E1093" s="140" t="s">
        <v>1180</v>
      </c>
      <c r="F1093" s="140" t="s">
        <v>1195</v>
      </c>
      <c r="G1093" s="141" t="s">
        <v>6401</v>
      </c>
      <c r="H1093" s="140" t="s">
        <v>6312</v>
      </c>
      <c r="I1093" s="140" t="s">
        <v>6313</v>
      </c>
      <c r="J1093" s="140" t="s">
        <v>6314</v>
      </c>
      <c r="K1093" s="140" t="s">
        <v>7567</v>
      </c>
    </row>
    <row r="1094">
      <c r="A1094" s="140" t="s">
        <v>7567</v>
      </c>
      <c r="B1094" s="143">
        <v>6.90222E12</v>
      </c>
      <c r="C1094" s="140" t="s">
        <v>7783</v>
      </c>
      <c r="D1094" s="140" t="s">
        <v>6318</v>
      </c>
      <c r="E1094" s="140" t="s">
        <v>1180</v>
      </c>
      <c r="F1094" s="140" t="s">
        <v>1195</v>
      </c>
      <c r="G1094" s="141" t="s">
        <v>6401</v>
      </c>
      <c r="H1094" s="140" t="s">
        <v>6312</v>
      </c>
      <c r="I1094" s="140" t="s">
        <v>6313</v>
      </c>
      <c r="J1094" s="140" t="s">
        <v>6314</v>
      </c>
      <c r="K1094" s="140" t="s">
        <v>7567</v>
      </c>
    </row>
    <row r="1095">
      <c r="A1095" s="140" t="s">
        <v>7567</v>
      </c>
      <c r="B1095" s="143">
        <v>6.90222E12</v>
      </c>
      <c r="C1095" s="140" t="s">
        <v>7784</v>
      </c>
      <c r="D1095" s="140" t="s">
        <v>6318</v>
      </c>
      <c r="E1095" s="140" t="s">
        <v>1180</v>
      </c>
      <c r="F1095" s="140" t="s">
        <v>1195</v>
      </c>
      <c r="G1095" s="141" t="s">
        <v>6401</v>
      </c>
      <c r="H1095" s="140" t="s">
        <v>6312</v>
      </c>
      <c r="I1095" s="140" t="s">
        <v>6313</v>
      </c>
      <c r="J1095" s="140" t="s">
        <v>6314</v>
      </c>
      <c r="K1095" s="140" t="s">
        <v>7567</v>
      </c>
    </row>
    <row r="1096">
      <c r="A1096" s="140" t="s">
        <v>7567</v>
      </c>
      <c r="B1096" s="143">
        <v>6.90222E12</v>
      </c>
      <c r="C1096" s="140" t="s">
        <v>7785</v>
      </c>
      <c r="D1096" s="140" t="s">
        <v>6318</v>
      </c>
      <c r="E1096" s="140" t="s">
        <v>1180</v>
      </c>
      <c r="F1096" s="140" t="s">
        <v>1195</v>
      </c>
      <c r="G1096" s="141" t="s">
        <v>6401</v>
      </c>
      <c r="H1096" s="140" t="s">
        <v>6312</v>
      </c>
      <c r="I1096" s="140" t="s">
        <v>6313</v>
      </c>
      <c r="J1096" s="140" t="s">
        <v>6314</v>
      </c>
      <c r="K1096" s="140" t="s">
        <v>7567</v>
      </c>
    </row>
    <row r="1097">
      <c r="A1097" s="140" t="s">
        <v>7567</v>
      </c>
      <c r="B1097" s="143">
        <v>6.90222E12</v>
      </c>
      <c r="C1097" s="140" t="s">
        <v>7786</v>
      </c>
      <c r="D1097" s="140" t="s">
        <v>6318</v>
      </c>
      <c r="E1097" s="140" t="s">
        <v>1180</v>
      </c>
      <c r="F1097" s="140" t="s">
        <v>1195</v>
      </c>
      <c r="G1097" s="141" t="s">
        <v>6401</v>
      </c>
      <c r="H1097" s="140" t="s">
        <v>6312</v>
      </c>
      <c r="I1097" s="140" t="s">
        <v>6313</v>
      </c>
      <c r="J1097" s="140" t="s">
        <v>6314</v>
      </c>
      <c r="K1097" s="140" t="s">
        <v>7567</v>
      </c>
    </row>
    <row r="1098">
      <c r="A1098" s="140" t="s">
        <v>7567</v>
      </c>
      <c r="B1098" s="143">
        <v>6.90912E12</v>
      </c>
      <c r="C1098" s="140" t="s">
        <v>7787</v>
      </c>
      <c r="D1098" s="140" t="s">
        <v>6318</v>
      </c>
      <c r="E1098" s="140" t="s">
        <v>1180</v>
      </c>
      <c r="F1098" s="140" t="s">
        <v>1195</v>
      </c>
      <c r="G1098" s="141" t="s">
        <v>6401</v>
      </c>
      <c r="H1098" s="140" t="s">
        <v>6312</v>
      </c>
      <c r="I1098" s="140" t="s">
        <v>6313</v>
      </c>
      <c r="J1098" s="140" t="s">
        <v>6314</v>
      </c>
      <c r="K1098" s="140" t="s">
        <v>7567</v>
      </c>
    </row>
    <row r="1099">
      <c r="A1099" s="140" t="s">
        <v>7567</v>
      </c>
      <c r="B1099" s="143">
        <v>6.90222E12</v>
      </c>
      <c r="C1099" s="140" t="s">
        <v>7788</v>
      </c>
      <c r="D1099" s="140" t="s">
        <v>6318</v>
      </c>
      <c r="E1099" s="140" t="s">
        <v>1180</v>
      </c>
      <c r="F1099" s="140" t="s">
        <v>1195</v>
      </c>
      <c r="G1099" s="141" t="s">
        <v>6401</v>
      </c>
      <c r="H1099" s="140" t="s">
        <v>6312</v>
      </c>
      <c r="I1099" s="140" t="s">
        <v>6313</v>
      </c>
      <c r="J1099" s="140" t="s">
        <v>6314</v>
      </c>
      <c r="K1099" s="140" t="s">
        <v>7567</v>
      </c>
    </row>
    <row r="1100">
      <c r="A1100" s="140" t="s">
        <v>7567</v>
      </c>
      <c r="B1100" s="143">
        <v>6.90222E12</v>
      </c>
      <c r="C1100" s="140" t="s">
        <v>7789</v>
      </c>
      <c r="D1100" s="140" t="s">
        <v>6318</v>
      </c>
      <c r="E1100" s="140" t="s">
        <v>1180</v>
      </c>
      <c r="F1100" s="140" t="s">
        <v>1195</v>
      </c>
      <c r="G1100" s="141" t="s">
        <v>6401</v>
      </c>
      <c r="H1100" s="140" t="s">
        <v>6312</v>
      </c>
      <c r="I1100" s="140" t="s">
        <v>6313</v>
      </c>
      <c r="J1100" s="140" t="s">
        <v>6314</v>
      </c>
      <c r="K1100" s="140" t="s">
        <v>7567</v>
      </c>
    </row>
    <row r="1101">
      <c r="A1101" s="140" t="s">
        <v>7567</v>
      </c>
      <c r="B1101" s="143">
        <v>6.90222E12</v>
      </c>
      <c r="C1101" s="140" t="s">
        <v>7790</v>
      </c>
      <c r="D1101" s="140" t="s">
        <v>6318</v>
      </c>
      <c r="E1101" s="140" t="s">
        <v>1180</v>
      </c>
      <c r="F1101" s="140" t="s">
        <v>1195</v>
      </c>
      <c r="G1101" s="141" t="s">
        <v>6401</v>
      </c>
      <c r="H1101" s="140" t="s">
        <v>6312</v>
      </c>
      <c r="I1101" s="140" t="s">
        <v>6313</v>
      </c>
      <c r="J1101" s="140" t="s">
        <v>6314</v>
      </c>
      <c r="K1101" s="140" t="s">
        <v>7567</v>
      </c>
    </row>
    <row r="1102">
      <c r="A1102" s="140" t="s">
        <v>7567</v>
      </c>
      <c r="B1102" s="143">
        <v>6.90222E12</v>
      </c>
      <c r="C1102" s="140" t="s">
        <v>7791</v>
      </c>
      <c r="D1102" s="140" t="s">
        <v>6318</v>
      </c>
      <c r="E1102" s="140" t="s">
        <v>1180</v>
      </c>
      <c r="F1102" s="140" t="s">
        <v>1195</v>
      </c>
      <c r="G1102" s="141" t="s">
        <v>6401</v>
      </c>
      <c r="H1102" s="140" t="s">
        <v>6312</v>
      </c>
      <c r="I1102" s="140" t="s">
        <v>6313</v>
      </c>
      <c r="J1102" s="140" t="s">
        <v>6314</v>
      </c>
      <c r="K1102" s="140" t="s">
        <v>7567</v>
      </c>
    </row>
    <row r="1103">
      <c r="A1103" s="140" t="s">
        <v>7567</v>
      </c>
      <c r="B1103" s="143">
        <v>6.90222E12</v>
      </c>
      <c r="C1103" s="140" t="s">
        <v>7792</v>
      </c>
      <c r="D1103" s="140" t="s">
        <v>6318</v>
      </c>
      <c r="E1103" s="140" t="s">
        <v>1180</v>
      </c>
      <c r="F1103" s="140" t="s">
        <v>1195</v>
      </c>
      <c r="G1103" s="141" t="s">
        <v>6401</v>
      </c>
      <c r="H1103" s="140" t="s">
        <v>6312</v>
      </c>
      <c r="I1103" s="140" t="s">
        <v>6313</v>
      </c>
      <c r="J1103" s="140" t="s">
        <v>6314</v>
      </c>
      <c r="K1103" s="140" t="s">
        <v>7567</v>
      </c>
    </row>
    <row r="1104">
      <c r="A1104" s="140" t="s">
        <v>7567</v>
      </c>
      <c r="B1104" s="143">
        <v>6.90222E12</v>
      </c>
      <c r="C1104" s="140" t="s">
        <v>7793</v>
      </c>
      <c r="D1104" s="140" t="s">
        <v>6318</v>
      </c>
      <c r="E1104" s="140" t="s">
        <v>1180</v>
      </c>
      <c r="F1104" s="140" t="s">
        <v>1195</v>
      </c>
      <c r="G1104" s="141" t="s">
        <v>6401</v>
      </c>
      <c r="H1104" s="140" t="s">
        <v>6312</v>
      </c>
      <c r="I1104" s="140" t="s">
        <v>6313</v>
      </c>
      <c r="J1104" s="140" t="s">
        <v>6314</v>
      </c>
      <c r="K1104" s="140" t="s">
        <v>7567</v>
      </c>
    </row>
    <row r="1105">
      <c r="A1105" s="140" t="s">
        <v>7567</v>
      </c>
      <c r="B1105" s="143">
        <v>6.90222E12</v>
      </c>
      <c r="C1105" s="140" t="s">
        <v>7794</v>
      </c>
      <c r="D1105" s="140" t="s">
        <v>6318</v>
      </c>
      <c r="E1105" s="140" t="s">
        <v>1180</v>
      </c>
      <c r="F1105" s="140" t="s">
        <v>1195</v>
      </c>
      <c r="G1105" s="141" t="s">
        <v>6401</v>
      </c>
      <c r="H1105" s="140" t="s">
        <v>6312</v>
      </c>
      <c r="I1105" s="140" t="s">
        <v>6313</v>
      </c>
      <c r="J1105" s="140" t="s">
        <v>6314</v>
      </c>
      <c r="K1105" s="140" t="s">
        <v>7567</v>
      </c>
    </row>
    <row r="1106">
      <c r="A1106" s="140" t="s">
        <v>7567</v>
      </c>
      <c r="B1106" s="143">
        <v>6.90222E12</v>
      </c>
      <c r="C1106" s="140" t="s">
        <v>7795</v>
      </c>
      <c r="D1106" s="140" t="s">
        <v>6318</v>
      </c>
      <c r="E1106" s="140" t="s">
        <v>1180</v>
      </c>
      <c r="F1106" s="140" t="s">
        <v>1195</v>
      </c>
      <c r="G1106" s="141" t="s">
        <v>6401</v>
      </c>
      <c r="H1106" s="140" t="s">
        <v>6312</v>
      </c>
      <c r="I1106" s="140" t="s">
        <v>6313</v>
      </c>
      <c r="J1106" s="140" t="s">
        <v>6314</v>
      </c>
      <c r="K1106" s="140" t="s">
        <v>7567</v>
      </c>
    </row>
    <row r="1107">
      <c r="A1107" s="140" t="s">
        <v>7567</v>
      </c>
      <c r="B1107" s="143">
        <v>6.90222E12</v>
      </c>
      <c r="C1107" s="140" t="s">
        <v>7796</v>
      </c>
      <c r="D1107" s="140" t="s">
        <v>6318</v>
      </c>
      <c r="E1107" s="140" t="s">
        <v>1180</v>
      </c>
      <c r="F1107" s="140" t="s">
        <v>1195</v>
      </c>
      <c r="G1107" s="141" t="s">
        <v>6401</v>
      </c>
      <c r="H1107" s="140" t="s">
        <v>6312</v>
      </c>
      <c r="I1107" s="140" t="s">
        <v>6313</v>
      </c>
      <c r="J1107" s="140" t="s">
        <v>6314</v>
      </c>
      <c r="K1107" s="140" t="s">
        <v>7567</v>
      </c>
    </row>
    <row r="1108">
      <c r="A1108" s="140" t="s">
        <v>7567</v>
      </c>
      <c r="B1108" s="143">
        <v>6.90222E12</v>
      </c>
      <c r="C1108" s="140" t="s">
        <v>7797</v>
      </c>
      <c r="D1108" s="140" t="s">
        <v>6620</v>
      </c>
      <c r="E1108" s="140" t="s">
        <v>6749</v>
      </c>
      <c r="F1108" s="140" t="s">
        <v>7798</v>
      </c>
      <c r="G1108" s="141" t="s">
        <v>6401</v>
      </c>
      <c r="H1108" s="140" t="s">
        <v>6312</v>
      </c>
      <c r="I1108" s="140" t="s">
        <v>6313</v>
      </c>
      <c r="J1108" s="140" t="s">
        <v>6314</v>
      </c>
      <c r="K1108" s="140" t="s">
        <v>7567</v>
      </c>
    </row>
    <row r="1109">
      <c r="A1109" s="140" t="s">
        <v>7567</v>
      </c>
      <c r="B1109" s="143">
        <v>6.90222E12</v>
      </c>
      <c r="C1109" s="140" t="s">
        <v>7799</v>
      </c>
      <c r="D1109" s="140" t="s">
        <v>6620</v>
      </c>
      <c r="E1109" s="140" t="s">
        <v>6749</v>
      </c>
      <c r="F1109" s="140" t="s">
        <v>7798</v>
      </c>
      <c r="G1109" s="141" t="s">
        <v>6401</v>
      </c>
      <c r="H1109" s="140" t="s">
        <v>6312</v>
      </c>
      <c r="I1109" s="140" t="s">
        <v>6313</v>
      </c>
      <c r="J1109" s="140" t="s">
        <v>6314</v>
      </c>
      <c r="K1109" s="140" t="s">
        <v>7567</v>
      </c>
    </row>
    <row r="1110">
      <c r="A1110" s="140" t="s">
        <v>7567</v>
      </c>
      <c r="B1110" s="143">
        <v>6.90222E12</v>
      </c>
      <c r="C1110" s="140" t="s">
        <v>7800</v>
      </c>
      <c r="D1110" s="140" t="s">
        <v>6620</v>
      </c>
      <c r="E1110" s="140" t="s">
        <v>6621</v>
      </c>
      <c r="F1110" s="140" t="s">
        <v>7801</v>
      </c>
      <c r="G1110" s="141" t="s">
        <v>6401</v>
      </c>
      <c r="H1110" s="140" t="s">
        <v>6312</v>
      </c>
      <c r="I1110" s="140" t="s">
        <v>6313</v>
      </c>
      <c r="J1110" s="140" t="s">
        <v>6314</v>
      </c>
      <c r="K1110" s="140" t="s">
        <v>7567</v>
      </c>
    </row>
    <row r="1111">
      <c r="A1111" s="140" t="s">
        <v>7567</v>
      </c>
      <c r="B1111" s="143">
        <v>6.90872E12</v>
      </c>
      <c r="C1111" s="140" t="s">
        <v>7802</v>
      </c>
      <c r="D1111" s="140" t="s">
        <v>6620</v>
      </c>
      <c r="E1111" s="140" t="s">
        <v>6621</v>
      </c>
      <c r="F1111" s="140" t="s">
        <v>7801</v>
      </c>
      <c r="G1111" s="141" t="s">
        <v>6401</v>
      </c>
      <c r="H1111" s="140" t="s">
        <v>6312</v>
      </c>
      <c r="I1111" s="140" t="s">
        <v>6313</v>
      </c>
      <c r="J1111" s="140" t="s">
        <v>6314</v>
      </c>
      <c r="K1111" s="140" t="s">
        <v>7567</v>
      </c>
    </row>
    <row r="1112">
      <c r="A1112" s="140" t="s">
        <v>7567</v>
      </c>
      <c r="B1112" s="143">
        <v>6.90222E12</v>
      </c>
      <c r="C1112" s="140" t="s">
        <v>7803</v>
      </c>
      <c r="D1112" s="140" t="s">
        <v>6620</v>
      </c>
      <c r="E1112" s="140" t="s">
        <v>6621</v>
      </c>
      <c r="F1112" s="140" t="s">
        <v>7804</v>
      </c>
      <c r="G1112" s="141" t="s">
        <v>6401</v>
      </c>
      <c r="H1112" s="140" t="s">
        <v>6312</v>
      </c>
      <c r="I1112" s="140" t="s">
        <v>6313</v>
      </c>
      <c r="J1112" s="140" t="s">
        <v>6314</v>
      </c>
      <c r="K1112" s="140" t="s">
        <v>7567</v>
      </c>
    </row>
    <row r="1113">
      <c r="A1113" s="140" t="s">
        <v>7567</v>
      </c>
      <c r="B1113" s="143">
        <v>6.90222E12</v>
      </c>
      <c r="C1113" s="140" t="s">
        <v>7805</v>
      </c>
      <c r="D1113" s="140" t="s">
        <v>6620</v>
      </c>
      <c r="E1113" s="140" t="s">
        <v>6621</v>
      </c>
      <c r="F1113" s="140" t="s">
        <v>7804</v>
      </c>
      <c r="G1113" s="141" t="s">
        <v>6401</v>
      </c>
      <c r="H1113" s="140" t="s">
        <v>6312</v>
      </c>
      <c r="I1113" s="140" t="s">
        <v>6313</v>
      </c>
      <c r="J1113" s="140" t="s">
        <v>6314</v>
      </c>
      <c r="K1113" s="140" t="s">
        <v>7567</v>
      </c>
    </row>
    <row r="1114">
      <c r="A1114" s="140" t="s">
        <v>7567</v>
      </c>
      <c r="B1114" s="143">
        <v>6.90222E12</v>
      </c>
      <c r="C1114" s="140" t="s">
        <v>7806</v>
      </c>
      <c r="D1114" s="140" t="s">
        <v>6620</v>
      </c>
      <c r="E1114" s="140" t="s">
        <v>6621</v>
      </c>
      <c r="F1114" s="140" t="s">
        <v>6761</v>
      </c>
      <c r="G1114" s="141" t="s">
        <v>6401</v>
      </c>
      <c r="H1114" s="140" t="s">
        <v>6312</v>
      </c>
      <c r="I1114" s="140" t="s">
        <v>6313</v>
      </c>
      <c r="J1114" s="140" t="s">
        <v>6314</v>
      </c>
      <c r="K1114" s="140" t="s">
        <v>7567</v>
      </c>
    </row>
    <row r="1115">
      <c r="A1115" s="140" t="s">
        <v>7567</v>
      </c>
      <c r="B1115" s="143">
        <v>6.90222E12</v>
      </c>
      <c r="C1115" s="140" t="s">
        <v>7807</v>
      </c>
      <c r="D1115" s="140" t="s">
        <v>6620</v>
      </c>
      <c r="E1115" s="140" t="s">
        <v>6621</v>
      </c>
      <c r="F1115" s="140" t="s">
        <v>7808</v>
      </c>
      <c r="G1115" s="141" t="s">
        <v>6401</v>
      </c>
      <c r="H1115" s="140" t="s">
        <v>6312</v>
      </c>
      <c r="I1115" s="140" t="s">
        <v>6313</v>
      </c>
      <c r="J1115" s="140" t="s">
        <v>6314</v>
      </c>
      <c r="K1115" s="140" t="s">
        <v>7567</v>
      </c>
    </row>
    <row r="1116">
      <c r="A1116" s="140" t="s">
        <v>7567</v>
      </c>
      <c r="B1116" s="143">
        <v>6.90222E12</v>
      </c>
      <c r="C1116" s="140" t="s">
        <v>7809</v>
      </c>
      <c r="D1116" s="140" t="s">
        <v>6620</v>
      </c>
      <c r="E1116" s="140" t="s">
        <v>6621</v>
      </c>
      <c r="F1116" s="140" t="s">
        <v>7808</v>
      </c>
      <c r="G1116" s="141" t="s">
        <v>6401</v>
      </c>
      <c r="H1116" s="140" t="s">
        <v>6312</v>
      </c>
      <c r="I1116" s="140" t="s">
        <v>6313</v>
      </c>
      <c r="J1116" s="140" t="s">
        <v>6314</v>
      </c>
      <c r="K1116" s="140" t="s">
        <v>7567</v>
      </c>
    </row>
    <row r="1117">
      <c r="A1117" s="140" t="s">
        <v>7567</v>
      </c>
      <c r="B1117" s="143">
        <v>6.90842E12</v>
      </c>
      <c r="C1117" s="140" t="s">
        <v>7810</v>
      </c>
      <c r="D1117" s="140" t="s">
        <v>6620</v>
      </c>
      <c r="E1117" s="140" t="s">
        <v>6621</v>
      </c>
      <c r="F1117" s="140" t="s">
        <v>7808</v>
      </c>
      <c r="G1117" s="141" t="s">
        <v>6401</v>
      </c>
      <c r="H1117" s="140" t="s">
        <v>6312</v>
      </c>
      <c r="I1117" s="140" t="s">
        <v>6313</v>
      </c>
      <c r="J1117" s="140" t="s">
        <v>6314</v>
      </c>
      <c r="K1117" s="140" t="s">
        <v>7567</v>
      </c>
    </row>
    <row r="1118">
      <c r="A1118" s="140" t="s">
        <v>7567</v>
      </c>
      <c r="B1118" s="143">
        <v>6.90832E12</v>
      </c>
      <c r="C1118" s="140" t="s">
        <v>7811</v>
      </c>
      <c r="D1118" s="140" t="s">
        <v>6620</v>
      </c>
      <c r="E1118" s="140" t="s">
        <v>6621</v>
      </c>
      <c r="F1118" s="140" t="s">
        <v>7808</v>
      </c>
      <c r="G1118" s="141" t="s">
        <v>6401</v>
      </c>
      <c r="H1118" s="140" t="s">
        <v>6312</v>
      </c>
      <c r="I1118" s="140" t="s">
        <v>6313</v>
      </c>
      <c r="J1118" s="140" t="s">
        <v>6314</v>
      </c>
      <c r="K1118" s="140" t="s">
        <v>7567</v>
      </c>
    </row>
    <row r="1119">
      <c r="A1119" s="140" t="s">
        <v>7567</v>
      </c>
      <c r="B1119" s="143">
        <v>6.90222E12</v>
      </c>
      <c r="C1119" s="140" t="s">
        <v>7812</v>
      </c>
      <c r="D1119" s="140" t="s">
        <v>6620</v>
      </c>
      <c r="E1119" s="140" t="s">
        <v>6621</v>
      </c>
      <c r="F1119" s="140" t="s">
        <v>7808</v>
      </c>
      <c r="G1119" s="141" t="s">
        <v>6401</v>
      </c>
      <c r="H1119" s="140" t="s">
        <v>6312</v>
      </c>
      <c r="I1119" s="140" t="s">
        <v>6313</v>
      </c>
      <c r="J1119" s="140" t="s">
        <v>6314</v>
      </c>
      <c r="K1119" s="140" t="s">
        <v>7567</v>
      </c>
    </row>
    <row r="1120">
      <c r="A1120" s="140" t="s">
        <v>7567</v>
      </c>
      <c r="B1120" s="143">
        <v>6.90222E12</v>
      </c>
      <c r="C1120" s="140" t="s">
        <v>7813</v>
      </c>
      <c r="D1120" s="140" t="s">
        <v>6620</v>
      </c>
      <c r="E1120" s="140" t="s">
        <v>6621</v>
      </c>
      <c r="F1120" s="140" t="s">
        <v>7808</v>
      </c>
      <c r="G1120" s="141" t="s">
        <v>6401</v>
      </c>
      <c r="H1120" s="140" t="s">
        <v>6312</v>
      </c>
      <c r="I1120" s="140" t="s">
        <v>6313</v>
      </c>
      <c r="J1120" s="140" t="s">
        <v>6314</v>
      </c>
      <c r="K1120" s="140" t="s">
        <v>7567</v>
      </c>
    </row>
    <row r="1121">
      <c r="A1121" s="140" t="s">
        <v>7567</v>
      </c>
      <c r="B1121" s="143">
        <v>6.90822E12</v>
      </c>
      <c r="C1121" s="140" t="s">
        <v>7814</v>
      </c>
      <c r="D1121" s="140" t="s">
        <v>6620</v>
      </c>
      <c r="E1121" s="140" t="s">
        <v>6621</v>
      </c>
      <c r="F1121" s="140" t="s">
        <v>7808</v>
      </c>
      <c r="G1121" s="141" t="s">
        <v>6401</v>
      </c>
      <c r="H1121" s="140" t="s">
        <v>6312</v>
      </c>
      <c r="I1121" s="140" t="s">
        <v>6313</v>
      </c>
      <c r="J1121" s="140" t="s">
        <v>6314</v>
      </c>
      <c r="K1121" s="140" t="s">
        <v>7567</v>
      </c>
    </row>
    <row r="1122">
      <c r="A1122" s="140" t="s">
        <v>7567</v>
      </c>
      <c r="B1122" s="143">
        <v>6.90812E12</v>
      </c>
      <c r="C1122" s="140" t="s">
        <v>7815</v>
      </c>
      <c r="D1122" s="140" t="s">
        <v>6620</v>
      </c>
      <c r="E1122" s="140" t="s">
        <v>6621</v>
      </c>
      <c r="F1122" s="140" t="s">
        <v>7808</v>
      </c>
      <c r="G1122" s="141" t="s">
        <v>6401</v>
      </c>
      <c r="H1122" s="140" t="s">
        <v>6312</v>
      </c>
      <c r="I1122" s="140" t="s">
        <v>6313</v>
      </c>
      <c r="J1122" s="140" t="s">
        <v>6314</v>
      </c>
      <c r="K1122" s="140" t="s">
        <v>7567</v>
      </c>
    </row>
    <row r="1123">
      <c r="A1123" s="140" t="s">
        <v>7567</v>
      </c>
      <c r="B1123" s="143">
        <v>6.90222E12</v>
      </c>
      <c r="C1123" s="140" t="s">
        <v>7816</v>
      </c>
      <c r="D1123" s="140" t="s">
        <v>6620</v>
      </c>
      <c r="E1123" s="140" t="s">
        <v>6621</v>
      </c>
      <c r="F1123" s="140" t="s">
        <v>6622</v>
      </c>
      <c r="G1123" s="141" t="s">
        <v>6401</v>
      </c>
      <c r="H1123" s="140" t="s">
        <v>6312</v>
      </c>
      <c r="I1123" s="140" t="s">
        <v>6313</v>
      </c>
      <c r="J1123" s="140" t="s">
        <v>6314</v>
      </c>
      <c r="K1123" s="140" t="s">
        <v>7567</v>
      </c>
    </row>
    <row r="1124">
      <c r="A1124" s="140" t="s">
        <v>7567</v>
      </c>
      <c r="B1124" s="140">
        <v>2.2103200515E10</v>
      </c>
      <c r="C1124" s="140" t="s">
        <v>7817</v>
      </c>
      <c r="D1124" s="140" t="s">
        <v>6620</v>
      </c>
      <c r="E1124" s="140" t="s">
        <v>6621</v>
      </c>
      <c r="F1124" s="140" t="s">
        <v>6622</v>
      </c>
      <c r="G1124" s="141" t="s">
        <v>6401</v>
      </c>
      <c r="H1124" s="140" t="s">
        <v>6312</v>
      </c>
      <c r="I1124" s="140" t="s">
        <v>6313</v>
      </c>
      <c r="J1124" s="140" t="s">
        <v>6314</v>
      </c>
      <c r="K1124" s="140" t="s">
        <v>7567</v>
      </c>
    </row>
    <row r="1125">
      <c r="A1125" s="140" t="s">
        <v>7567</v>
      </c>
      <c r="B1125" s="143">
        <v>6.90222E12</v>
      </c>
      <c r="C1125" s="140" t="s">
        <v>7818</v>
      </c>
      <c r="D1125" s="140" t="s">
        <v>6318</v>
      </c>
      <c r="E1125" s="140" t="s">
        <v>6323</v>
      </c>
      <c r="F1125" s="140" t="s">
        <v>5774</v>
      </c>
      <c r="G1125" s="141" t="s">
        <v>6401</v>
      </c>
      <c r="H1125" s="140" t="s">
        <v>6312</v>
      </c>
      <c r="I1125" s="140" t="s">
        <v>6313</v>
      </c>
      <c r="J1125" s="140" t="s">
        <v>6314</v>
      </c>
      <c r="K1125" s="140" t="s">
        <v>7567</v>
      </c>
    </row>
    <row r="1126">
      <c r="A1126" s="140" t="s">
        <v>7567</v>
      </c>
      <c r="B1126" s="143">
        <v>6.90222E12</v>
      </c>
      <c r="C1126" s="140" t="s">
        <v>7819</v>
      </c>
      <c r="D1126" s="140" t="s">
        <v>6318</v>
      </c>
      <c r="E1126" s="140" t="s">
        <v>6323</v>
      </c>
      <c r="F1126" s="140" t="s">
        <v>5774</v>
      </c>
      <c r="G1126" s="141" t="s">
        <v>6401</v>
      </c>
      <c r="H1126" s="140" t="s">
        <v>6312</v>
      </c>
      <c r="I1126" s="140" t="s">
        <v>6313</v>
      </c>
      <c r="J1126" s="140" t="s">
        <v>6314</v>
      </c>
      <c r="K1126" s="140" t="s">
        <v>7567</v>
      </c>
    </row>
    <row r="1127">
      <c r="A1127" s="140" t="s">
        <v>7567</v>
      </c>
      <c r="B1127" s="143">
        <v>6.90222E12</v>
      </c>
      <c r="C1127" s="140" t="s">
        <v>7820</v>
      </c>
      <c r="D1127" s="140" t="s">
        <v>6318</v>
      </c>
      <c r="E1127" s="140" t="s">
        <v>6323</v>
      </c>
      <c r="F1127" s="140" t="s">
        <v>5774</v>
      </c>
      <c r="G1127" s="141" t="s">
        <v>6401</v>
      </c>
      <c r="H1127" s="140" t="s">
        <v>6312</v>
      </c>
      <c r="I1127" s="140" t="s">
        <v>6313</v>
      </c>
      <c r="J1127" s="140" t="s">
        <v>6314</v>
      </c>
      <c r="K1127" s="140" t="s">
        <v>7567</v>
      </c>
    </row>
    <row r="1128">
      <c r="A1128" s="140" t="s">
        <v>7567</v>
      </c>
      <c r="B1128" s="143">
        <v>6.90222E12</v>
      </c>
      <c r="C1128" s="140" t="s">
        <v>7821</v>
      </c>
      <c r="D1128" s="140" t="s">
        <v>6318</v>
      </c>
      <c r="E1128" s="140" t="s">
        <v>6323</v>
      </c>
      <c r="F1128" s="140" t="s">
        <v>5774</v>
      </c>
      <c r="G1128" s="141" t="s">
        <v>6401</v>
      </c>
      <c r="H1128" s="140" t="s">
        <v>6312</v>
      </c>
      <c r="I1128" s="140" t="s">
        <v>6313</v>
      </c>
      <c r="J1128" s="140" t="s">
        <v>6314</v>
      </c>
      <c r="K1128" s="140" t="s">
        <v>7567</v>
      </c>
    </row>
    <row r="1129">
      <c r="A1129" s="140" t="s">
        <v>7567</v>
      </c>
      <c r="B1129" s="143">
        <v>6.90222E12</v>
      </c>
      <c r="C1129" s="140" t="s">
        <v>7822</v>
      </c>
      <c r="D1129" s="140" t="s">
        <v>6318</v>
      </c>
      <c r="E1129" s="140" t="s">
        <v>6323</v>
      </c>
      <c r="F1129" s="140" t="s">
        <v>5774</v>
      </c>
      <c r="G1129" s="141" t="s">
        <v>6401</v>
      </c>
      <c r="H1129" s="140" t="s">
        <v>6312</v>
      </c>
      <c r="I1129" s="140" t="s">
        <v>6313</v>
      </c>
      <c r="J1129" s="140" t="s">
        <v>6314</v>
      </c>
      <c r="K1129" s="140" t="s">
        <v>7567</v>
      </c>
    </row>
    <row r="1130">
      <c r="A1130" s="140" t="s">
        <v>7567</v>
      </c>
      <c r="B1130" s="143">
        <v>6.90222E12</v>
      </c>
      <c r="C1130" s="140" t="s">
        <v>7823</v>
      </c>
      <c r="D1130" s="140" t="s">
        <v>6318</v>
      </c>
      <c r="E1130" s="140" t="s">
        <v>6323</v>
      </c>
      <c r="F1130" s="140" t="s">
        <v>5774</v>
      </c>
      <c r="G1130" s="141" t="s">
        <v>6401</v>
      </c>
      <c r="H1130" s="140" t="s">
        <v>6312</v>
      </c>
      <c r="I1130" s="140" t="s">
        <v>6313</v>
      </c>
      <c r="J1130" s="140" t="s">
        <v>6314</v>
      </c>
      <c r="K1130" s="140" t="s">
        <v>7567</v>
      </c>
    </row>
    <row r="1131">
      <c r="A1131" s="140" t="s">
        <v>7567</v>
      </c>
      <c r="B1131" s="143">
        <v>6.90222E12</v>
      </c>
      <c r="C1131" s="140" t="s">
        <v>7824</v>
      </c>
      <c r="D1131" s="140" t="s">
        <v>6318</v>
      </c>
      <c r="E1131" s="140" t="s">
        <v>6323</v>
      </c>
      <c r="F1131" s="140" t="s">
        <v>5774</v>
      </c>
      <c r="G1131" s="141" t="s">
        <v>6401</v>
      </c>
      <c r="H1131" s="140" t="s">
        <v>6312</v>
      </c>
      <c r="I1131" s="140" t="s">
        <v>6313</v>
      </c>
      <c r="J1131" s="140" t="s">
        <v>6314</v>
      </c>
      <c r="K1131" s="140" t="s">
        <v>7567</v>
      </c>
    </row>
    <row r="1132">
      <c r="A1132" s="140" t="s">
        <v>7567</v>
      </c>
      <c r="B1132" s="140">
        <v>2.2100000508E10</v>
      </c>
      <c r="C1132" s="140" t="s">
        <v>7825</v>
      </c>
      <c r="D1132" s="140" t="s">
        <v>7347</v>
      </c>
      <c r="E1132" s="140" t="s">
        <v>523</v>
      </c>
      <c r="F1132" s="140" t="s">
        <v>524</v>
      </c>
      <c r="G1132" s="141" t="s">
        <v>6401</v>
      </c>
      <c r="H1132" s="140" t="s">
        <v>6312</v>
      </c>
      <c r="I1132" s="140" t="s">
        <v>6313</v>
      </c>
      <c r="J1132" s="140" t="s">
        <v>6314</v>
      </c>
      <c r="K1132" s="140" t="s">
        <v>7567</v>
      </c>
    </row>
    <row r="1133">
      <c r="A1133" s="140" t="s">
        <v>7567</v>
      </c>
      <c r="B1133" s="143">
        <v>6.90222E12</v>
      </c>
      <c r="C1133" s="140" t="s">
        <v>7826</v>
      </c>
      <c r="D1133" s="140" t="s">
        <v>7347</v>
      </c>
      <c r="E1133" s="140" t="s">
        <v>523</v>
      </c>
      <c r="F1133" s="140" t="s">
        <v>524</v>
      </c>
      <c r="G1133" s="141" t="s">
        <v>6401</v>
      </c>
      <c r="H1133" s="140" t="s">
        <v>6312</v>
      </c>
      <c r="I1133" s="140" t="s">
        <v>6313</v>
      </c>
      <c r="J1133" s="140" t="s">
        <v>6314</v>
      </c>
      <c r="K1133" s="140" t="s">
        <v>7567</v>
      </c>
    </row>
    <row r="1134">
      <c r="A1134" s="140" t="s">
        <v>7567</v>
      </c>
      <c r="B1134" s="143">
        <v>6.90222E12</v>
      </c>
      <c r="C1134" s="140" t="s">
        <v>7827</v>
      </c>
      <c r="D1134" s="140" t="s">
        <v>7347</v>
      </c>
      <c r="E1134" s="140" t="s">
        <v>523</v>
      </c>
      <c r="F1134" s="140" t="s">
        <v>524</v>
      </c>
      <c r="G1134" s="141" t="s">
        <v>6401</v>
      </c>
      <c r="H1134" s="140" t="s">
        <v>6312</v>
      </c>
      <c r="I1134" s="140" t="s">
        <v>6313</v>
      </c>
      <c r="J1134" s="140" t="s">
        <v>6314</v>
      </c>
      <c r="K1134" s="140" t="s">
        <v>7567</v>
      </c>
    </row>
    <row r="1135">
      <c r="A1135" s="140" t="s">
        <v>7567</v>
      </c>
      <c r="B1135" s="143">
        <v>6.90222E12</v>
      </c>
      <c r="C1135" s="140" t="s">
        <v>7828</v>
      </c>
      <c r="D1135" s="140" t="s">
        <v>7347</v>
      </c>
      <c r="E1135" s="140" t="s">
        <v>523</v>
      </c>
      <c r="F1135" s="140" t="s">
        <v>524</v>
      </c>
      <c r="G1135" s="141" t="s">
        <v>6401</v>
      </c>
      <c r="H1135" s="140" t="s">
        <v>6312</v>
      </c>
      <c r="I1135" s="140" t="s">
        <v>6313</v>
      </c>
      <c r="J1135" s="140" t="s">
        <v>6314</v>
      </c>
      <c r="K1135" s="140" t="s">
        <v>7567</v>
      </c>
    </row>
    <row r="1136">
      <c r="A1136" s="140" t="s">
        <v>7567</v>
      </c>
      <c r="B1136" s="143">
        <v>6.90222E12</v>
      </c>
      <c r="C1136" s="140" t="s">
        <v>7829</v>
      </c>
      <c r="D1136" s="140" t="s">
        <v>7347</v>
      </c>
      <c r="E1136" s="140" t="s">
        <v>523</v>
      </c>
      <c r="F1136" s="140" t="s">
        <v>524</v>
      </c>
      <c r="G1136" s="141" t="s">
        <v>6401</v>
      </c>
      <c r="H1136" s="140" t="s">
        <v>6312</v>
      </c>
      <c r="I1136" s="140" t="s">
        <v>6313</v>
      </c>
      <c r="J1136" s="140" t="s">
        <v>6314</v>
      </c>
      <c r="K1136" s="140" t="s">
        <v>7567</v>
      </c>
    </row>
    <row r="1137">
      <c r="A1137" s="140" t="s">
        <v>7567</v>
      </c>
      <c r="B1137" s="143">
        <v>6.90222E12</v>
      </c>
      <c r="C1137" s="140" t="s">
        <v>7830</v>
      </c>
      <c r="D1137" s="140" t="s">
        <v>7347</v>
      </c>
      <c r="E1137" s="140" t="s">
        <v>523</v>
      </c>
      <c r="F1137" s="140" t="s">
        <v>524</v>
      </c>
      <c r="G1137" s="141" t="s">
        <v>6401</v>
      </c>
      <c r="H1137" s="140" t="s">
        <v>6312</v>
      </c>
      <c r="I1137" s="140" t="s">
        <v>6313</v>
      </c>
      <c r="J1137" s="140" t="s">
        <v>6314</v>
      </c>
      <c r="K1137" s="140" t="s">
        <v>7567</v>
      </c>
    </row>
    <row r="1138">
      <c r="A1138" s="140" t="s">
        <v>7567</v>
      </c>
      <c r="B1138" s="143">
        <v>6.90222E12</v>
      </c>
      <c r="C1138" s="140" t="s">
        <v>7831</v>
      </c>
      <c r="D1138" s="140" t="s">
        <v>7347</v>
      </c>
      <c r="E1138" s="140" t="s">
        <v>523</v>
      </c>
      <c r="F1138" s="140" t="s">
        <v>524</v>
      </c>
      <c r="G1138" s="141" t="s">
        <v>6401</v>
      </c>
      <c r="H1138" s="140" t="s">
        <v>6312</v>
      </c>
      <c r="I1138" s="140" t="s">
        <v>6313</v>
      </c>
      <c r="J1138" s="140" t="s">
        <v>6314</v>
      </c>
      <c r="K1138" s="140" t="s">
        <v>7567</v>
      </c>
    </row>
    <row r="1139">
      <c r="A1139" s="140" t="s">
        <v>7567</v>
      </c>
      <c r="B1139" s="140">
        <v>2.2103200509E10</v>
      </c>
      <c r="C1139" s="140" t="s">
        <v>7832</v>
      </c>
      <c r="D1139" s="140" t="s">
        <v>7347</v>
      </c>
      <c r="E1139" s="140" t="s">
        <v>523</v>
      </c>
      <c r="F1139" s="140" t="s">
        <v>524</v>
      </c>
      <c r="G1139" s="141" t="s">
        <v>6401</v>
      </c>
      <c r="H1139" s="140" t="s">
        <v>6312</v>
      </c>
      <c r="I1139" s="140" t="s">
        <v>6313</v>
      </c>
      <c r="J1139" s="140" t="s">
        <v>6314</v>
      </c>
      <c r="K1139" s="140" t="s">
        <v>7567</v>
      </c>
    </row>
    <row r="1140">
      <c r="A1140" s="140" t="s">
        <v>7567</v>
      </c>
      <c r="B1140" s="143">
        <v>6.90222E12</v>
      </c>
      <c r="C1140" s="140" t="s">
        <v>7833</v>
      </c>
      <c r="D1140" s="140" t="s">
        <v>7347</v>
      </c>
      <c r="E1140" s="140" t="s">
        <v>523</v>
      </c>
      <c r="F1140" s="140" t="s">
        <v>524</v>
      </c>
      <c r="G1140" s="141" t="s">
        <v>6401</v>
      </c>
      <c r="H1140" s="140" t="s">
        <v>6312</v>
      </c>
      <c r="I1140" s="140" t="s">
        <v>6313</v>
      </c>
      <c r="J1140" s="140" t="s">
        <v>6314</v>
      </c>
      <c r="K1140" s="140" t="s">
        <v>7567</v>
      </c>
    </row>
    <row r="1141">
      <c r="A1141" s="140" t="s">
        <v>7567</v>
      </c>
      <c r="B1141" s="143">
        <v>6.90222E12</v>
      </c>
      <c r="C1141" s="140" t="s">
        <v>7834</v>
      </c>
      <c r="D1141" s="140" t="s">
        <v>7347</v>
      </c>
      <c r="E1141" s="140" t="s">
        <v>523</v>
      </c>
      <c r="F1141" s="140" t="s">
        <v>524</v>
      </c>
      <c r="G1141" s="141" t="s">
        <v>6401</v>
      </c>
      <c r="H1141" s="140" t="s">
        <v>6312</v>
      </c>
      <c r="I1141" s="140" t="s">
        <v>6313</v>
      </c>
      <c r="J1141" s="140" t="s">
        <v>6314</v>
      </c>
      <c r="K1141" s="140" t="s">
        <v>7567</v>
      </c>
    </row>
    <row r="1142">
      <c r="A1142" s="140" t="s">
        <v>7567</v>
      </c>
      <c r="B1142" s="143">
        <v>6.90222E12</v>
      </c>
      <c r="C1142" s="140" t="s">
        <v>7835</v>
      </c>
      <c r="D1142" s="140" t="s">
        <v>7347</v>
      </c>
      <c r="E1142" s="140" t="s">
        <v>523</v>
      </c>
      <c r="F1142" s="140" t="s">
        <v>524</v>
      </c>
      <c r="G1142" s="141" t="s">
        <v>6401</v>
      </c>
      <c r="H1142" s="140" t="s">
        <v>6312</v>
      </c>
      <c r="I1142" s="140" t="s">
        <v>6313</v>
      </c>
      <c r="J1142" s="140" t="s">
        <v>6314</v>
      </c>
      <c r="K1142" s="140" t="s">
        <v>7567</v>
      </c>
    </row>
    <row r="1143">
      <c r="A1143" s="140" t="s">
        <v>7567</v>
      </c>
      <c r="B1143" s="143">
        <v>6.90222E12</v>
      </c>
      <c r="C1143" s="140" t="s">
        <v>7836</v>
      </c>
      <c r="D1143" s="140" t="s">
        <v>7347</v>
      </c>
      <c r="E1143" s="140" t="s">
        <v>523</v>
      </c>
      <c r="F1143" s="140" t="s">
        <v>524</v>
      </c>
      <c r="G1143" s="141" t="s">
        <v>6401</v>
      </c>
      <c r="H1143" s="140" t="s">
        <v>6312</v>
      </c>
      <c r="I1143" s="140" t="s">
        <v>6313</v>
      </c>
      <c r="J1143" s="140" t="s">
        <v>6314</v>
      </c>
      <c r="K1143" s="140" t="s">
        <v>7567</v>
      </c>
    </row>
    <row r="1144">
      <c r="A1144" s="140" t="s">
        <v>7567</v>
      </c>
      <c r="B1144" s="143">
        <v>6.90222E12</v>
      </c>
      <c r="C1144" s="140" t="s">
        <v>7837</v>
      </c>
      <c r="D1144" s="140" t="s">
        <v>7347</v>
      </c>
      <c r="E1144" s="140" t="s">
        <v>523</v>
      </c>
      <c r="F1144" s="140" t="s">
        <v>524</v>
      </c>
      <c r="G1144" s="141" t="s">
        <v>6401</v>
      </c>
      <c r="H1144" s="140" t="s">
        <v>6312</v>
      </c>
      <c r="I1144" s="140" t="s">
        <v>6313</v>
      </c>
      <c r="J1144" s="140" t="s">
        <v>6314</v>
      </c>
      <c r="K1144" s="140" t="s">
        <v>7567</v>
      </c>
    </row>
    <row r="1145">
      <c r="A1145" s="140" t="s">
        <v>7567</v>
      </c>
      <c r="B1145" s="140">
        <v>2.2103200529E10</v>
      </c>
      <c r="C1145" s="140" t="s">
        <v>7838</v>
      </c>
      <c r="D1145" s="140" t="s">
        <v>7347</v>
      </c>
      <c r="E1145" s="140" t="s">
        <v>523</v>
      </c>
      <c r="F1145" s="140" t="s">
        <v>524</v>
      </c>
      <c r="G1145" s="141" t="s">
        <v>6401</v>
      </c>
      <c r="H1145" s="140" t="s">
        <v>6312</v>
      </c>
      <c r="I1145" s="140" t="s">
        <v>6313</v>
      </c>
      <c r="J1145" s="140" t="s">
        <v>6314</v>
      </c>
      <c r="K1145" s="140" t="s">
        <v>7567</v>
      </c>
    </row>
    <row r="1146">
      <c r="A1146" s="140" t="s">
        <v>7567</v>
      </c>
      <c r="B1146" s="143">
        <v>6.90222E12</v>
      </c>
      <c r="C1146" s="140" t="s">
        <v>7839</v>
      </c>
      <c r="D1146" s="140" t="s">
        <v>7347</v>
      </c>
      <c r="E1146" s="140" t="s">
        <v>523</v>
      </c>
      <c r="F1146" s="140" t="s">
        <v>524</v>
      </c>
      <c r="G1146" s="141" t="s">
        <v>6401</v>
      </c>
      <c r="H1146" s="140" t="s">
        <v>6312</v>
      </c>
      <c r="I1146" s="140" t="s">
        <v>6313</v>
      </c>
      <c r="J1146" s="140" t="s">
        <v>6314</v>
      </c>
      <c r="K1146" s="140" t="s">
        <v>7567</v>
      </c>
    </row>
    <row r="1147">
      <c r="A1147" s="140" t="s">
        <v>7567</v>
      </c>
      <c r="B1147" s="140">
        <v>2.2103200516E10</v>
      </c>
      <c r="C1147" s="140" t="s">
        <v>7840</v>
      </c>
      <c r="D1147" s="140" t="s">
        <v>7347</v>
      </c>
      <c r="E1147" s="140" t="s">
        <v>523</v>
      </c>
      <c r="F1147" s="140" t="s">
        <v>524</v>
      </c>
      <c r="G1147" s="141" t="s">
        <v>6401</v>
      </c>
      <c r="H1147" s="140" t="s">
        <v>6312</v>
      </c>
      <c r="I1147" s="140" t="s">
        <v>6313</v>
      </c>
      <c r="J1147" s="140" t="s">
        <v>6314</v>
      </c>
      <c r="K1147" s="140" t="s">
        <v>7567</v>
      </c>
    </row>
    <row r="1148">
      <c r="A1148" s="140" t="s">
        <v>7567</v>
      </c>
      <c r="B1148" s="143">
        <v>6.90222E12</v>
      </c>
      <c r="C1148" s="140" t="s">
        <v>7841</v>
      </c>
      <c r="D1148" s="140" t="s">
        <v>7347</v>
      </c>
      <c r="E1148" s="140" t="s">
        <v>523</v>
      </c>
      <c r="F1148" s="140" t="s">
        <v>524</v>
      </c>
      <c r="G1148" s="141" t="s">
        <v>6401</v>
      </c>
      <c r="H1148" s="140" t="s">
        <v>6312</v>
      </c>
      <c r="I1148" s="140" t="s">
        <v>6313</v>
      </c>
      <c r="J1148" s="140" t="s">
        <v>6314</v>
      </c>
      <c r="K1148" s="140" t="s">
        <v>7567</v>
      </c>
    </row>
    <row r="1149">
      <c r="A1149" s="140" t="s">
        <v>7567</v>
      </c>
      <c r="B1149" s="143">
        <v>6.90222E12</v>
      </c>
      <c r="C1149" s="140" t="s">
        <v>7842</v>
      </c>
      <c r="D1149" s="140" t="s">
        <v>7347</v>
      </c>
      <c r="E1149" s="140" t="s">
        <v>523</v>
      </c>
      <c r="F1149" s="140" t="s">
        <v>524</v>
      </c>
      <c r="G1149" s="141" t="s">
        <v>6401</v>
      </c>
      <c r="H1149" s="140" t="s">
        <v>6312</v>
      </c>
      <c r="I1149" s="140" t="s">
        <v>6313</v>
      </c>
      <c r="J1149" s="140" t="s">
        <v>6314</v>
      </c>
      <c r="K1149" s="140" t="s">
        <v>7567</v>
      </c>
    </row>
    <row r="1150">
      <c r="A1150" s="140" t="s">
        <v>7567</v>
      </c>
      <c r="B1150" s="140">
        <v>2.2103200518E10</v>
      </c>
      <c r="C1150" s="140" t="s">
        <v>7843</v>
      </c>
      <c r="D1150" s="140" t="s">
        <v>7347</v>
      </c>
      <c r="E1150" s="140" t="s">
        <v>523</v>
      </c>
      <c r="F1150" s="140" t="s">
        <v>524</v>
      </c>
      <c r="G1150" s="141" t="s">
        <v>6401</v>
      </c>
      <c r="H1150" s="140" t="s">
        <v>6312</v>
      </c>
      <c r="I1150" s="140" t="s">
        <v>6313</v>
      </c>
      <c r="J1150" s="140" t="s">
        <v>6314</v>
      </c>
      <c r="K1150" s="140" t="s">
        <v>7567</v>
      </c>
    </row>
    <row r="1151">
      <c r="A1151" s="140" t="s">
        <v>7567</v>
      </c>
      <c r="B1151" s="143">
        <v>6.90222E12</v>
      </c>
      <c r="C1151" s="140" t="s">
        <v>7844</v>
      </c>
      <c r="D1151" s="140" t="s">
        <v>7347</v>
      </c>
      <c r="E1151" s="140" t="s">
        <v>523</v>
      </c>
      <c r="F1151" s="140" t="s">
        <v>524</v>
      </c>
      <c r="G1151" s="141" t="s">
        <v>6401</v>
      </c>
      <c r="H1151" s="140" t="s">
        <v>6312</v>
      </c>
      <c r="I1151" s="140" t="s">
        <v>6313</v>
      </c>
      <c r="J1151" s="140" t="s">
        <v>6314</v>
      </c>
      <c r="K1151" s="140" t="s">
        <v>7567</v>
      </c>
    </row>
    <row r="1152">
      <c r="A1152" s="140" t="s">
        <v>7567</v>
      </c>
      <c r="B1152" s="140">
        <v>2.2102900527E10</v>
      </c>
      <c r="C1152" s="140" t="s">
        <v>7845</v>
      </c>
      <c r="D1152" s="140" t="s">
        <v>7347</v>
      </c>
      <c r="E1152" s="140" t="s">
        <v>523</v>
      </c>
      <c r="F1152" s="140" t="s">
        <v>524</v>
      </c>
      <c r="G1152" s="141" t="s">
        <v>6401</v>
      </c>
      <c r="H1152" s="140" t="s">
        <v>6312</v>
      </c>
      <c r="I1152" s="140" t="s">
        <v>6313</v>
      </c>
      <c r="J1152" s="140" t="s">
        <v>6314</v>
      </c>
      <c r="K1152" s="140" t="s">
        <v>7567</v>
      </c>
    </row>
    <row r="1153">
      <c r="A1153" s="140" t="s">
        <v>7567</v>
      </c>
      <c r="B1153" s="140">
        <v>2.2102900528E10</v>
      </c>
      <c r="C1153" s="140" t="s">
        <v>7846</v>
      </c>
      <c r="D1153" s="140" t="s">
        <v>7347</v>
      </c>
      <c r="E1153" s="140" t="s">
        <v>523</v>
      </c>
      <c r="F1153" s="140" t="s">
        <v>524</v>
      </c>
      <c r="G1153" s="141" t="s">
        <v>6401</v>
      </c>
      <c r="H1153" s="140" t="s">
        <v>6312</v>
      </c>
      <c r="I1153" s="140" t="s">
        <v>6313</v>
      </c>
      <c r="J1153" s="140" t="s">
        <v>6314</v>
      </c>
      <c r="K1153" s="140" t="s">
        <v>7567</v>
      </c>
    </row>
    <row r="1154">
      <c r="A1154" s="140" t="s">
        <v>7567</v>
      </c>
      <c r="B1154" s="143">
        <v>6.90222E12</v>
      </c>
      <c r="C1154" s="140" t="s">
        <v>7847</v>
      </c>
      <c r="D1154" s="140" t="s">
        <v>6718</v>
      </c>
      <c r="E1154" s="140" t="s">
        <v>1219</v>
      </c>
      <c r="F1154" s="140" t="s">
        <v>7848</v>
      </c>
      <c r="G1154" s="141" t="s">
        <v>6401</v>
      </c>
      <c r="H1154" s="140" t="s">
        <v>6312</v>
      </c>
      <c r="I1154" s="140" t="s">
        <v>6313</v>
      </c>
      <c r="J1154" s="140" t="s">
        <v>6314</v>
      </c>
      <c r="K1154" s="140" t="s">
        <v>7567</v>
      </c>
    </row>
    <row r="1155">
      <c r="A1155" s="140" t="s">
        <v>7567</v>
      </c>
      <c r="B1155" s="140">
        <v>2.2100000502E10</v>
      </c>
      <c r="C1155" s="140" t="s">
        <v>7849</v>
      </c>
      <c r="D1155" s="140" t="s">
        <v>6601</v>
      </c>
      <c r="E1155" s="140" t="s">
        <v>526</v>
      </c>
      <c r="F1155" s="140" t="s">
        <v>7099</v>
      </c>
      <c r="G1155" s="141" t="s">
        <v>6401</v>
      </c>
      <c r="H1155" s="140" t="s">
        <v>6312</v>
      </c>
      <c r="I1155" s="140" t="s">
        <v>6313</v>
      </c>
      <c r="J1155" s="140" t="s">
        <v>6314</v>
      </c>
      <c r="K1155" s="140" t="s">
        <v>7567</v>
      </c>
    </row>
    <row r="1156">
      <c r="A1156" s="140" t="s">
        <v>7567</v>
      </c>
      <c r="B1156" s="140">
        <v>2.2103100532E10</v>
      </c>
      <c r="C1156" s="140" t="s">
        <v>7850</v>
      </c>
      <c r="D1156" s="140" t="s">
        <v>6601</v>
      </c>
      <c r="E1156" s="140" t="s">
        <v>526</v>
      </c>
      <c r="F1156" s="140" t="s">
        <v>7099</v>
      </c>
      <c r="G1156" s="141" t="s">
        <v>6401</v>
      </c>
      <c r="H1156" s="140" t="s">
        <v>6312</v>
      </c>
      <c r="I1156" s="140" t="s">
        <v>6313</v>
      </c>
      <c r="J1156" s="140" t="s">
        <v>6314</v>
      </c>
      <c r="K1156" s="140" t="s">
        <v>7567</v>
      </c>
    </row>
    <row r="1157">
      <c r="A1157" s="140" t="s">
        <v>7567</v>
      </c>
      <c r="B1157" s="140">
        <v>2.2103100503E10</v>
      </c>
      <c r="C1157" s="140" t="s">
        <v>7851</v>
      </c>
      <c r="D1157" s="140" t="s">
        <v>6601</v>
      </c>
      <c r="E1157" s="140" t="s">
        <v>526</v>
      </c>
      <c r="F1157" s="140" t="s">
        <v>7099</v>
      </c>
      <c r="G1157" s="141" t="s">
        <v>6401</v>
      </c>
      <c r="H1157" s="140" t="s">
        <v>6312</v>
      </c>
      <c r="I1157" s="140" t="s">
        <v>6313</v>
      </c>
      <c r="J1157" s="140" t="s">
        <v>6314</v>
      </c>
      <c r="K1157" s="140" t="s">
        <v>7567</v>
      </c>
    </row>
    <row r="1158">
      <c r="A1158" s="140" t="s">
        <v>7567</v>
      </c>
      <c r="B1158" s="140">
        <v>2.2100000512E10</v>
      </c>
      <c r="C1158" s="140" t="s">
        <v>7852</v>
      </c>
      <c r="D1158" s="140" t="s">
        <v>6601</v>
      </c>
      <c r="E1158" s="140" t="s">
        <v>526</v>
      </c>
      <c r="F1158" s="140" t="s">
        <v>7099</v>
      </c>
      <c r="G1158" s="141" t="s">
        <v>6401</v>
      </c>
      <c r="H1158" s="140" t="s">
        <v>6312</v>
      </c>
      <c r="I1158" s="140" t="s">
        <v>6313</v>
      </c>
      <c r="J1158" s="140" t="s">
        <v>6314</v>
      </c>
      <c r="K1158" s="140" t="s">
        <v>7567</v>
      </c>
    </row>
    <row r="1159">
      <c r="A1159" s="140" t="s">
        <v>7567</v>
      </c>
      <c r="B1159" s="140">
        <v>2.210000052E10</v>
      </c>
      <c r="C1159" s="140" t="s">
        <v>7853</v>
      </c>
      <c r="D1159" s="140" t="s">
        <v>6601</v>
      </c>
      <c r="E1159" s="140" t="s">
        <v>526</v>
      </c>
      <c r="F1159" s="140" t="s">
        <v>7099</v>
      </c>
      <c r="G1159" s="141" t="s">
        <v>6401</v>
      </c>
      <c r="H1159" s="140" t="s">
        <v>6312</v>
      </c>
      <c r="I1159" s="140" t="s">
        <v>6313</v>
      </c>
      <c r="J1159" s="140" t="s">
        <v>6314</v>
      </c>
      <c r="K1159" s="140" t="s">
        <v>7567</v>
      </c>
    </row>
    <row r="1160">
      <c r="A1160" s="140" t="s">
        <v>7567</v>
      </c>
      <c r="B1160" s="143">
        <v>6.90222E12</v>
      </c>
      <c r="C1160" s="140" t="s">
        <v>7854</v>
      </c>
      <c r="D1160" s="140" t="s">
        <v>6601</v>
      </c>
      <c r="E1160" s="140" t="s">
        <v>526</v>
      </c>
      <c r="F1160" s="140" t="s">
        <v>7099</v>
      </c>
      <c r="G1160" s="141" t="s">
        <v>6401</v>
      </c>
      <c r="H1160" s="140" t="s">
        <v>6312</v>
      </c>
      <c r="I1160" s="140" t="s">
        <v>6313</v>
      </c>
      <c r="J1160" s="140" t="s">
        <v>6314</v>
      </c>
      <c r="K1160" s="140" t="s">
        <v>7567</v>
      </c>
    </row>
    <row r="1161">
      <c r="A1161" s="140" t="s">
        <v>7567</v>
      </c>
      <c r="B1161" s="140">
        <v>2.2100000524E10</v>
      </c>
      <c r="C1161" s="140" t="s">
        <v>7855</v>
      </c>
      <c r="D1161" s="140" t="s">
        <v>6601</v>
      </c>
      <c r="E1161" s="140" t="s">
        <v>526</v>
      </c>
      <c r="F1161" s="140" t="s">
        <v>7099</v>
      </c>
      <c r="G1161" s="141" t="s">
        <v>6401</v>
      </c>
      <c r="H1161" s="140" t="s">
        <v>6312</v>
      </c>
      <c r="I1161" s="140" t="s">
        <v>6313</v>
      </c>
      <c r="J1161" s="140" t="s">
        <v>6314</v>
      </c>
      <c r="K1161" s="140" t="s">
        <v>7567</v>
      </c>
    </row>
    <row r="1162">
      <c r="A1162" s="140" t="s">
        <v>7567</v>
      </c>
      <c r="B1162" s="140">
        <v>2.2100000525E10</v>
      </c>
      <c r="C1162" s="140" t="s">
        <v>7856</v>
      </c>
      <c r="D1162" s="140" t="s">
        <v>6601</v>
      </c>
      <c r="E1162" s="140" t="s">
        <v>526</v>
      </c>
      <c r="F1162" s="140" t="s">
        <v>7099</v>
      </c>
      <c r="G1162" s="141" t="s">
        <v>6401</v>
      </c>
      <c r="H1162" s="140" t="s">
        <v>6312</v>
      </c>
      <c r="I1162" s="140" t="s">
        <v>6313</v>
      </c>
      <c r="J1162" s="140" t="s">
        <v>6314</v>
      </c>
      <c r="K1162" s="140" t="s">
        <v>7567</v>
      </c>
    </row>
    <row r="1163">
      <c r="A1163" s="140" t="s">
        <v>7567</v>
      </c>
      <c r="B1163" s="140">
        <v>2.2100000526E10</v>
      </c>
      <c r="C1163" s="140" t="s">
        <v>7857</v>
      </c>
      <c r="D1163" s="140" t="s">
        <v>6601</v>
      </c>
      <c r="E1163" s="140" t="s">
        <v>526</v>
      </c>
      <c r="F1163" s="140" t="s">
        <v>7099</v>
      </c>
      <c r="G1163" s="141" t="s">
        <v>6401</v>
      </c>
      <c r="H1163" s="140" t="s">
        <v>6312</v>
      </c>
      <c r="I1163" s="140" t="s">
        <v>6313</v>
      </c>
      <c r="J1163" s="140" t="s">
        <v>6314</v>
      </c>
      <c r="K1163" s="140" t="s">
        <v>7567</v>
      </c>
    </row>
    <row r="1164">
      <c r="A1164" s="140" t="s">
        <v>7567</v>
      </c>
      <c r="B1164" s="143">
        <v>6.90222E12</v>
      </c>
      <c r="C1164" s="140" t="s">
        <v>7858</v>
      </c>
      <c r="D1164" s="140" t="s">
        <v>6601</v>
      </c>
      <c r="E1164" s="140" t="s">
        <v>526</v>
      </c>
      <c r="F1164" s="140" t="s">
        <v>527</v>
      </c>
      <c r="G1164" s="141" t="s">
        <v>6401</v>
      </c>
      <c r="H1164" s="140" t="s">
        <v>6312</v>
      </c>
      <c r="I1164" s="140" t="s">
        <v>6313</v>
      </c>
      <c r="J1164" s="140" t="s">
        <v>6314</v>
      </c>
      <c r="K1164" s="140" t="s">
        <v>7567</v>
      </c>
    </row>
    <row r="1165">
      <c r="A1165" s="140" t="s">
        <v>7567</v>
      </c>
      <c r="B1165" s="143">
        <v>6.90222E12</v>
      </c>
      <c r="C1165" s="140" t="s">
        <v>7859</v>
      </c>
      <c r="D1165" s="140" t="s">
        <v>6601</v>
      </c>
      <c r="E1165" s="140" t="s">
        <v>526</v>
      </c>
      <c r="F1165" s="140" t="s">
        <v>527</v>
      </c>
      <c r="G1165" s="141" t="s">
        <v>6401</v>
      </c>
      <c r="H1165" s="140" t="s">
        <v>6312</v>
      </c>
      <c r="I1165" s="140" t="s">
        <v>6313</v>
      </c>
      <c r="J1165" s="140" t="s">
        <v>6314</v>
      </c>
      <c r="K1165" s="140" t="s">
        <v>7567</v>
      </c>
    </row>
    <row r="1166">
      <c r="A1166" s="140" t="s">
        <v>7567</v>
      </c>
      <c r="B1166" s="143">
        <v>6.90222E12</v>
      </c>
      <c r="C1166" s="140" t="s">
        <v>7860</v>
      </c>
      <c r="D1166" s="140" t="s">
        <v>6601</v>
      </c>
      <c r="E1166" s="140" t="s">
        <v>526</v>
      </c>
      <c r="F1166" s="140" t="s">
        <v>527</v>
      </c>
      <c r="G1166" s="141" t="s">
        <v>6401</v>
      </c>
      <c r="H1166" s="140" t="s">
        <v>6312</v>
      </c>
      <c r="I1166" s="140" t="s">
        <v>6313</v>
      </c>
      <c r="J1166" s="140" t="s">
        <v>6314</v>
      </c>
      <c r="K1166" s="140" t="s">
        <v>7567</v>
      </c>
    </row>
    <row r="1167">
      <c r="A1167" s="140" t="s">
        <v>7567</v>
      </c>
      <c r="B1167" s="140">
        <v>2.2103000505E10</v>
      </c>
      <c r="C1167" s="140" t="s">
        <v>7861</v>
      </c>
      <c r="D1167" s="140" t="s">
        <v>6601</v>
      </c>
      <c r="E1167" s="140" t="s">
        <v>526</v>
      </c>
      <c r="F1167" s="140" t="s">
        <v>527</v>
      </c>
      <c r="G1167" s="141" t="s">
        <v>6401</v>
      </c>
      <c r="H1167" s="140" t="s">
        <v>6312</v>
      </c>
      <c r="I1167" s="140" t="s">
        <v>6313</v>
      </c>
      <c r="J1167" s="140" t="s">
        <v>6314</v>
      </c>
      <c r="K1167" s="140" t="s">
        <v>7567</v>
      </c>
    </row>
    <row r="1168">
      <c r="A1168" s="140" t="s">
        <v>7567</v>
      </c>
      <c r="B1168" s="143">
        <v>6.90222E12</v>
      </c>
      <c r="C1168" s="140" t="s">
        <v>7862</v>
      </c>
      <c r="D1168" s="140" t="s">
        <v>6601</v>
      </c>
      <c r="E1168" s="140" t="s">
        <v>526</v>
      </c>
      <c r="F1168" s="140" t="s">
        <v>7112</v>
      </c>
      <c r="G1168" s="141" t="s">
        <v>6401</v>
      </c>
      <c r="H1168" s="140" t="s">
        <v>6312</v>
      </c>
      <c r="I1168" s="140" t="s">
        <v>6313</v>
      </c>
      <c r="J1168" s="140" t="s">
        <v>6314</v>
      </c>
      <c r="K1168" s="140" t="s">
        <v>7567</v>
      </c>
    </row>
    <row r="1169">
      <c r="A1169" s="140" t="s">
        <v>7567</v>
      </c>
      <c r="B1169" s="143">
        <v>6.90222E12</v>
      </c>
      <c r="C1169" s="140" t="s">
        <v>7863</v>
      </c>
      <c r="D1169" s="140" t="s">
        <v>6601</v>
      </c>
      <c r="E1169" s="140" t="s">
        <v>526</v>
      </c>
      <c r="F1169" s="140" t="s">
        <v>7112</v>
      </c>
      <c r="G1169" s="141" t="s">
        <v>6401</v>
      </c>
      <c r="H1169" s="140" t="s">
        <v>6312</v>
      </c>
      <c r="I1169" s="140" t="s">
        <v>6313</v>
      </c>
      <c r="J1169" s="140" t="s">
        <v>6314</v>
      </c>
      <c r="K1169" s="140" t="s">
        <v>7567</v>
      </c>
    </row>
    <row r="1170">
      <c r="A1170" s="140" t="s">
        <v>7567</v>
      </c>
      <c r="B1170" s="143">
        <v>6.90222E12</v>
      </c>
      <c r="C1170" s="140" t="s">
        <v>7864</v>
      </c>
      <c r="D1170" s="140" t="s">
        <v>6601</v>
      </c>
      <c r="E1170" s="140" t="s">
        <v>526</v>
      </c>
      <c r="F1170" s="140" t="s">
        <v>7112</v>
      </c>
      <c r="G1170" s="141" t="s">
        <v>6401</v>
      </c>
      <c r="H1170" s="140" t="s">
        <v>6312</v>
      </c>
      <c r="I1170" s="140" t="s">
        <v>6313</v>
      </c>
      <c r="J1170" s="140" t="s">
        <v>6314</v>
      </c>
      <c r="K1170" s="140" t="s">
        <v>7567</v>
      </c>
    </row>
    <row r="1171">
      <c r="A1171" s="140" t="s">
        <v>7567</v>
      </c>
      <c r="B1171" s="143">
        <v>6.90222E12</v>
      </c>
      <c r="C1171" s="140" t="s">
        <v>7865</v>
      </c>
      <c r="D1171" s="140" t="s">
        <v>6601</v>
      </c>
      <c r="E1171" s="140" t="s">
        <v>526</v>
      </c>
      <c r="F1171" s="140" t="s">
        <v>7112</v>
      </c>
      <c r="G1171" s="141" t="s">
        <v>6401</v>
      </c>
      <c r="H1171" s="140" t="s">
        <v>6312</v>
      </c>
      <c r="I1171" s="140" t="s">
        <v>6313</v>
      </c>
      <c r="J1171" s="140" t="s">
        <v>6314</v>
      </c>
      <c r="K1171" s="140" t="s">
        <v>7567</v>
      </c>
    </row>
    <row r="1172">
      <c r="A1172" s="140" t="s">
        <v>7567</v>
      </c>
      <c r="B1172" s="143">
        <v>6.90222E12</v>
      </c>
      <c r="C1172" s="140" t="s">
        <v>7866</v>
      </c>
      <c r="D1172" s="140" t="s">
        <v>6601</v>
      </c>
      <c r="E1172" s="140" t="s">
        <v>526</v>
      </c>
      <c r="F1172" s="140" t="s">
        <v>175</v>
      </c>
      <c r="G1172" s="141" t="s">
        <v>6401</v>
      </c>
      <c r="H1172" s="140" t="s">
        <v>6312</v>
      </c>
      <c r="I1172" s="140" t="s">
        <v>6313</v>
      </c>
      <c r="J1172" s="140" t="s">
        <v>6314</v>
      </c>
      <c r="K1172" s="140" t="s">
        <v>7567</v>
      </c>
    </row>
    <row r="1173">
      <c r="A1173" s="140" t="s">
        <v>7567</v>
      </c>
      <c r="B1173" s="143">
        <v>6.90222E12</v>
      </c>
      <c r="C1173" s="140" t="s">
        <v>7867</v>
      </c>
      <c r="D1173" s="140" t="s">
        <v>6601</v>
      </c>
      <c r="E1173" s="140" t="s">
        <v>526</v>
      </c>
      <c r="F1173" s="140" t="s">
        <v>175</v>
      </c>
      <c r="G1173" s="141" t="s">
        <v>6401</v>
      </c>
      <c r="H1173" s="140" t="s">
        <v>6312</v>
      </c>
      <c r="I1173" s="140" t="s">
        <v>6313</v>
      </c>
      <c r="J1173" s="140" t="s">
        <v>6314</v>
      </c>
      <c r="K1173" s="140" t="s">
        <v>7567</v>
      </c>
    </row>
    <row r="1174">
      <c r="A1174" s="140" t="s">
        <v>7567</v>
      </c>
      <c r="B1174" s="143">
        <v>6.90222E12</v>
      </c>
      <c r="C1174" s="140" t="s">
        <v>7868</v>
      </c>
      <c r="D1174" s="140" t="s">
        <v>6601</v>
      </c>
      <c r="E1174" s="140" t="s">
        <v>526</v>
      </c>
      <c r="F1174" s="140" t="s">
        <v>175</v>
      </c>
      <c r="G1174" s="141" t="s">
        <v>6401</v>
      </c>
      <c r="H1174" s="140" t="s">
        <v>6312</v>
      </c>
      <c r="I1174" s="140" t="s">
        <v>6313</v>
      </c>
      <c r="J1174" s="140" t="s">
        <v>6314</v>
      </c>
      <c r="K1174" s="140" t="s">
        <v>7567</v>
      </c>
    </row>
    <row r="1175">
      <c r="A1175" s="140" t="s">
        <v>7567</v>
      </c>
      <c r="B1175" s="143">
        <v>6.90222E12</v>
      </c>
      <c r="C1175" s="140" t="s">
        <v>7869</v>
      </c>
      <c r="D1175" s="140" t="s">
        <v>6601</v>
      </c>
      <c r="E1175" s="140" t="s">
        <v>526</v>
      </c>
      <c r="F1175" s="140" t="s">
        <v>175</v>
      </c>
      <c r="G1175" s="141" t="s">
        <v>6401</v>
      </c>
      <c r="H1175" s="140" t="s">
        <v>6312</v>
      </c>
      <c r="I1175" s="140" t="s">
        <v>6313</v>
      </c>
      <c r="J1175" s="140" t="s">
        <v>6314</v>
      </c>
      <c r="K1175" s="140" t="s">
        <v>7567</v>
      </c>
    </row>
    <row r="1176">
      <c r="A1176" s="140" t="s">
        <v>7567</v>
      </c>
      <c r="B1176" s="143">
        <v>6.90222E12</v>
      </c>
      <c r="C1176" s="140" t="s">
        <v>7870</v>
      </c>
      <c r="D1176" s="140" t="s">
        <v>6601</v>
      </c>
      <c r="E1176" s="140" t="s">
        <v>526</v>
      </c>
      <c r="F1176" s="140" t="s">
        <v>175</v>
      </c>
      <c r="G1176" s="141" t="s">
        <v>6401</v>
      </c>
      <c r="H1176" s="140" t="s">
        <v>6312</v>
      </c>
      <c r="I1176" s="140" t="s">
        <v>6313</v>
      </c>
      <c r="J1176" s="140" t="s">
        <v>6314</v>
      </c>
      <c r="K1176" s="140" t="s">
        <v>7567</v>
      </c>
    </row>
    <row r="1177">
      <c r="A1177" s="140" t="s">
        <v>7567</v>
      </c>
      <c r="B1177" s="143">
        <v>6.90222E12</v>
      </c>
      <c r="C1177" s="140" t="s">
        <v>7871</v>
      </c>
      <c r="D1177" s="140" t="s">
        <v>6601</v>
      </c>
      <c r="E1177" s="140" t="s">
        <v>526</v>
      </c>
      <c r="F1177" s="140" t="s">
        <v>175</v>
      </c>
      <c r="G1177" s="141" t="s">
        <v>6401</v>
      </c>
      <c r="H1177" s="140" t="s">
        <v>6312</v>
      </c>
      <c r="I1177" s="140" t="s">
        <v>6313</v>
      </c>
      <c r="J1177" s="140" t="s">
        <v>6314</v>
      </c>
      <c r="K1177" s="140" t="s">
        <v>7567</v>
      </c>
    </row>
    <row r="1178">
      <c r="A1178" s="140" t="s">
        <v>7567</v>
      </c>
      <c r="B1178" s="143">
        <v>6.90222E12</v>
      </c>
      <c r="C1178" s="140" t="s">
        <v>7872</v>
      </c>
      <c r="D1178" s="140" t="s">
        <v>6601</v>
      </c>
      <c r="E1178" s="140" t="s">
        <v>526</v>
      </c>
      <c r="F1178" s="140" t="s">
        <v>591</v>
      </c>
      <c r="G1178" s="141" t="s">
        <v>6401</v>
      </c>
      <c r="H1178" s="140" t="s">
        <v>6312</v>
      </c>
      <c r="I1178" s="140" t="s">
        <v>6313</v>
      </c>
      <c r="J1178" s="140" t="s">
        <v>6314</v>
      </c>
      <c r="K1178" s="140" t="s">
        <v>7567</v>
      </c>
    </row>
    <row r="1179">
      <c r="A1179" s="140" t="s">
        <v>7567</v>
      </c>
      <c r="B1179" s="143">
        <v>6.90222E12</v>
      </c>
      <c r="C1179" s="140" t="s">
        <v>7873</v>
      </c>
      <c r="D1179" s="140" t="s">
        <v>7874</v>
      </c>
      <c r="E1179" s="140" t="s">
        <v>87</v>
      </c>
      <c r="F1179" s="140" t="s">
        <v>7875</v>
      </c>
      <c r="G1179" s="141" t="s">
        <v>6401</v>
      </c>
      <c r="H1179" s="140" t="s">
        <v>6312</v>
      </c>
      <c r="I1179" s="140" t="s">
        <v>6313</v>
      </c>
      <c r="J1179" s="140" t="s">
        <v>6314</v>
      </c>
      <c r="K1179" s="140" t="s">
        <v>7567</v>
      </c>
    </row>
    <row r="1180">
      <c r="A1180" s="140" t="s">
        <v>7567</v>
      </c>
      <c r="B1180" s="143">
        <v>6.90222E12</v>
      </c>
      <c r="C1180" s="140" t="s">
        <v>7876</v>
      </c>
      <c r="D1180" s="140" t="s">
        <v>7874</v>
      </c>
      <c r="E1180" s="140" t="s">
        <v>87</v>
      </c>
      <c r="F1180" s="140" t="s">
        <v>7877</v>
      </c>
      <c r="G1180" s="141" t="s">
        <v>6401</v>
      </c>
      <c r="H1180" s="140" t="s">
        <v>6312</v>
      </c>
      <c r="I1180" s="140" t="s">
        <v>6313</v>
      </c>
      <c r="J1180" s="140" t="s">
        <v>6314</v>
      </c>
      <c r="K1180" s="140" t="s">
        <v>7567</v>
      </c>
    </row>
    <row r="1181">
      <c r="A1181" s="140" t="s">
        <v>7567</v>
      </c>
      <c r="B1181" s="143">
        <v>6.90222E12</v>
      </c>
      <c r="C1181" s="140" t="s">
        <v>7878</v>
      </c>
      <c r="D1181" s="140" t="s">
        <v>7874</v>
      </c>
      <c r="E1181" s="140" t="s">
        <v>7879</v>
      </c>
      <c r="F1181" s="140" t="s">
        <v>7880</v>
      </c>
      <c r="G1181" s="141" t="s">
        <v>6401</v>
      </c>
      <c r="H1181" s="140" t="s">
        <v>6312</v>
      </c>
      <c r="I1181" s="140" t="s">
        <v>6313</v>
      </c>
      <c r="J1181" s="140" t="s">
        <v>6314</v>
      </c>
      <c r="K1181" s="140" t="s">
        <v>7567</v>
      </c>
    </row>
    <row r="1182">
      <c r="A1182" s="140" t="s">
        <v>7567</v>
      </c>
      <c r="B1182" s="143">
        <v>6.90222E12</v>
      </c>
      <c r="C1182" s="140" t="s">
        <v>7881</v>
      </c>
      <c r="D1182" s="140" t="s">
        <v>7874</v>
      </c>
      <c r="E1182" s="140" t="s">
        <v>7879</v>
      </c>
      <c r="F1182" s="140" t="s">
        <v>7882</v>
      </c>
      <c r="G1182" s="141" t="s">
        <v>6401</v>
      </c>
      <c r="H1182" s="140" t="s">
        <v>6312</v>
      </c>
      <c r="I1182" s="140" t="s">
        <v>6313</v>
      </c>
      <c r="J1182" s="140" t="s">
        <v>6314</v>
      </c>
      <c r="K1182" s="140" t="s">
        <v>7567</v>
      </c>
    </row>
    <row r="1183">
      <c r="A1183" s="140" t="s">
        <v>7567</v>
      </c>
      <c r="B1183" s="143">
        <v>6.90222E12</v>
      </c>
      <c r="C1183" s="140" t="s">
        <v>7883</v>
      </c>
      <c r="D1183" s="140" t="s">
        <v>7874</v>
      </c>
      <c r="E1183" s="140" t="s">
        <v>7879</v>
      </c>
      <c r="F1183" s="140" t="s">
        <v>7882</v>
      </c>
      <c r="G1183" s="141" t="s">
        <v>6401</v>
      </c>
      <c r="H1183" s="140" t="s">
        <v>6312</v>
      </c>
      <c r="I1183" s="140" t="s">
        <v>6313</v>
      </c>
      <c r="J1183" s="140" t="s">
        <v>6314</v>
      </c>
      <c r="K1183" s="140" t="s">
        <v>7567</v>
      </c>
    </row>
    <row r="1184">
      <c r="A1184" s="140" t="s">
        <v>7567</v>
      </c>
      <c r="B1184" s="143">
        <v>6.90222E12</v>
      </c>
      <c r="C1184" s="140" t="s">
        <v>7884</v>
      </c>
      <c r="D1184" s="140" t="s">
        <v>7874</v>
      </c>
      <c r="E1184" s="140" t="s">
        <v>7879</v>
      </c>
      <c r="F1184" s="140" t="s">
        <v>7882</v>
      </c>
      <c r="G1184" s="141" t="s">
        <v>6401</v>
      </c>
      <c r="H1184" s="140" t="s">
        <v>6312</v>
      </c>
      <c r="I1184" s="140" t="s">
        <v>6313</v>
      </c>
      <c r="J1184" s="140" t="s">
        <v>6314</v>
      </c>
      <c r="K1184" s="140" t="s">
        <v>7567</v>
      </c>
    </row>
    <row r="1185">
      <c r="A1185" s="140" t="s">
        <v>7567</v>
      </c>
      <c r="B1185" s="140">
        <v>2.2100000511E10</v>
      </c>
      <c r="C1185" s="140" t="s">
        <v>7885</v>
      </c>
      <c r="D1185" s="140" t="s">
        <v>7874</v>
      </c>
      <c r="E1185" s="140" t="s">
        <v>7879</v>
      </c>
      <c r="F1185" s="140" t="s">
        <v>7886</v>
      </c>
      <c r="G1185" s="141" t="s">
        <v>6401</v>
      </c>
      <c r="H1185" s="140" t="s">
        <v>6312</v>
      </c>
      <c r="I1185" s="140" t="s">
        <v>6313</v>
      </c>
      <c r="J1185" s="140" t="s">
        <v>6314</v>
      </c>
      <c r="K1185" s="140" t="s">
        <v>7567</v>
      </c>
    </row>
    <row r="1186">
      <c r="A1186" s="140" t="s">
        <v>7567</v>
      </c>
      <c r="B1186" s="143">
        <v>6.90222E12</v>
      </c>
      <c r="C1186" s="140" t="s">
        <v>7887</v>
      </c>
      <c r="D1186" s="140" t="s">
        <v>7874</v>
      </c>
      <c r="E1186" s="140" t="s">
        <v>7879</v>
      </c>
      <c r="F1186" s="140" t="s">
        <v>7888</v>
      </c>
      <c r="G1186" s="141" t="s">
        <v>6401</v>
      </c>
      <c r="H1186" s="140" t="s">
        <v>6312</v>
      </c>
      <c r="I1186" s="140" t="s">
        <v>6313</v>
      </c>
      <c r="J1186" s="140" t="s">
        <v>6314</v>
      </c>
      <c r="K1186" s="140" t="s">
        <v>7567</v>
      </c>
    </row>
    <row r="1187">
      <c r="A1187" s="140" t="s">
        <v>7567</v>
      </c>
      <c r="B1187" s="143">
        <v>6.90222E12</v>
      </c>
      <c r="C1187" s="140" t="s">
        <v>7889</v>
      </c>
      <c r="D1187" s="140" t="s">
        <v>7874</v>
      </c>
      <c r="E1187" s="140" t="s">
        <v>7879</v>
      </c>
      <c r="F1187" s="140" t="s">
        <v>7890</v>
      </c>
      <c r="G1187" s="141" t="s">
        <v>6401</v>
      </c>
      <c r="H1187" s="140" t="s">
        <v>6312</v>
      </c>
      <c r="I1187" s="140" t="s">
        <v>6313</v>
      </c>
      <c r="J1187" s="140" t="s">
        <v>6314</v>
      </c>
      <c r="K1187" s="140" t="s">
        <v>7567</v>
      </c>
    </row>
    <row r="1188">
      <c r="A1188" s="140" t="s">
        <v>7567</v>
      </c>
      <c r="B1188" s="143">
        <v>6.90222E12</v>
      </c>
      <c r="C1188" s="140" t="s">
        <v>7891</v>
      </c>
      <c r="D1188" s="140" t="s">
        <v>7874</v>
      </c>
      <c r="E1188" s="140" t="s">
        <v>7879</v>
      </c>
      <c r="F1188" s="140" t="s">
        <v>7892</v>
      </c>
      <c r="G1188" s="141" t="s">
        <v>6401</v>
      </c>
      <c r="H1188" s="140" t="s">
        <v>6312</v>
      </c>
      <c r="I1188" s="140" t="s">
        <v>6313</v>
      </c>
      <c r="J1188" s="140" t="s">
        <v>6314</v>
      </c>
      <c r="K1188" s="140" t="s">
        <v>7567</v>
      </c>
    </row>
    <row r="1189">
      <c r="A1189" s="140" t="s">
        <v>7567</v>
      </c>
      <c r="B1189" s="143">
        <v>6.90222E12</v>
      </c>
      <c r="C1189" s="140" t="s">
        <v>7893</v>
      </c>
      <c r="D1189" s="140" t="s">
        <v>6318</v>
      </c>
      <c r="E1189" s="140" t="s">
        <v>598</v>
      </c>
      <c r="F1189" s="140" t="s">
        <v>6338</v>
      </c>
      <c r="G1189" s="141" t="s">
        <v>6401</v>
      </c>
      <c r="H1189" s="140" t="s">
        <v>6312</v>
      </c>
      <c r="I1189" s="140" t="s">
        <v>6313</v>
      </c>
      <c r="J1189" s="140" t="s">
        <v>6314</v>
      </c>
      <c r="K1189" s="140" t="s">
        <v>7567</v>
      </c>
    </row>
    <row r="1190">
      <c r="A1190" s="140" t="s">
        <v>7567</v>
      </c>
      <c r="B1190" s="143">
        <v>6.90222E12</v>
      </c>
      <c r="C1190" s="140" t="s">
        <v>7894</v>
      </c>
      <c r="D1190" s="140" t="s">
        <v>6318</v>
      </c>
      <c r="E1190" s="140" t="s">
        <v>598</v>
      </c>
      <c r="F1190" s="140" t="s">
        <v>6338</v>
      </c>
      <c r="G1190" s="141" t="s">
        <v>6401</v>
      </c>
      <c r="H1190" s="140" t="s">
        <v>6312</v>
      </c>
      <c r="I1190" s="140" t="s">
        <v>6313</v>
      </c>
      <c r="J1190" s="140" t="s">
        <v>6314</v>
      </c>
      <c r="K1190" s="140" t="s">
        <v>7567</v>
      </c>
    </row>
    <row r="1191">
      <c r="A1191" s="140" t="s">
        <v>7567</v>
      </c>
      <c r="B1191" s="143">
        <v>6.90222E12</v>
      </c>
      <c r="C1191" s="140" t="s">
        <v>7895</v>
      </c>
      <c r="D1191" s="140" t="s">
        <v>6318</v>
      </c>
      <c r="E1191" s="140" t="s">
        <v>598</v>
      </c>
      <c r="F1191" s="140" t="s">
        <v>6338</v>
      </c>
      <c r="G1191" s="141" t="s">
        <v>6401</v>
      </c>
      <c r="H1191" s="140" t="s">
        <v>6312</v>
      </c>
      <c r="I1191" s="140" t="s">
        <v>6313</v>
      </c>
      <c r="J1191" s="140" t="s">
        <v>6314</v>
      </c>
      <c r="K1191" s="140" t="s">
        <v>7567</v>
      </c>
    </row>
    <row r="1192">
      <c r="A1192" s="140" t="s">
        <v>7567</v>
      </c>
      <c r="B1192" s="143">
        <v>6.90222E12</v>
      </c>
      <c r="C1192" s="140" t="s">
        <v>7896</v>
      </c>
      <c r="D1192" s="140" t="s">
        <v>6318</v>
      </c>
      <c r="E1192" s="140" t="s">
        <v>598</v>
      </c>
      <c r="F1192" s="140" t="s">
        <v>6338</v>
      </c>
      <c r="G1192" s="141" t="s">
        <v>6401</v>
      </c>
      <c r="H1192" s="140" t="s">
        <v>6312</v>
      </c>
      <c r="I1192" s="140" t="s">
        <v>6313</v>
      </c>
      <c r="J1192" s="140" t="s">
        <v>6314</v>
      </c>
      <c r="K1192" s="140" t="s">
        <v>7567</v>
      </c>
    </row>
    <row r="1193">
      <c r="A1193" s="140" t="s">
        <v>7567</v>
      </c>
      <c r="B1193" s="143">
        <v>6.90222E12</v>
      </c>
      <c r="C1193" s="140" t="s">
        <v>7897</v>
      </c>
      <c r="D1193" s="140" t="s">
        <v>6318</v>
      </c>
      <c r="E1193" s="140" t="s">
        <v>598</v>
      </c>
      <c r="F1193" s="140" t="s">
        <v>6338</v>
      </c>
      <c r="G1193" s="141" t="s">
        <v>6401</v>
      </c>
      <c r="H1193" s="140" t="s">
        <v>6312</v>
      </c>
      <c r="I1193" s="140" t="s">
        <v>6313</v>
      </c>
      <c r="J1193" s="140" t="s">
        <v>6314</v>
      </c>
      <c r="K1193" s="140" t="s">
        <v>7567</v>
      </c>
    </row>
    <row r="1194">
      <c r="A1194" s="140" t="s">
        <v>7567</v>
      </c>
      <c r="B1194" s="143">
        <v>6.90222E12</v>
      </c>
      <c r="C1194" s="140" t="s">
        <v>7898</v>
      </c>
      <c r="D1194" s="140" t="s">
        <v>6318</v>
      </c>
      <c r="E1194" s="140" t="s">
        <v>598</v>
      </c>
      <c r="F1194" s="140" t="s">
        <v>6338</v>
      </c>
      <c r="G1194" s="141" t="s">
        <v>6401</v>
      </c>
      <c r="H1194" s="140" t="s">
        <v>6312</v>
      </c>
      <c r="I1194" s="140" t="s">
        <v>6313</v>
      </c>
      <c r="J1194" s="140" t="s">
        <v>6314</v>
      </c>
      <c r="K1194" s="140" t="s">
        <v>7567</v>
      </c>
    </row>
    <row r="1195">
      <c r="A1195" s="140" t="s">
        <v>7567</v>
      </c>
      <c r="B1195" s="143">
        <v>6.90222E12</v>
      </c>
      <c r="C1195" s="140" t="s">
        <v>7899</v>
      </c>
      <c r="D1195" s="140" t="s">
        <v>6318</v>
      </c>
      <c r="E1195" s="140" t="s">
        <v>598</v>
      </c>
      <c r="F1195" s="140" t="s">
        <v>6338</v>
      </c>
      <c r="G1195" s="141" t="s">
        <v>6401</v>
      </c>
      <c r="H1195" s="140" t="s">
        <v>6312</v>
      </c>
      <c r="I1195" s="140" t="s">
        <v>6313</v>
      </c>
      <c r="J1195" s="140" t="s">
        <v>6314</v>
      </c>
      <c r="K1195" s="140" t="s">
        <v>7567</v>
      </c>
    </row>
    <row r="1196">
      <c r="A1196" s="140" t="s">
        <v>7567</v>
      </c>
      <c r="B1196" s="143">
        <v>6.90222E12</v>
      </c>
      <c r="C1196" s="140" t="s">
        <v>7900</v>
      </c>
      <c r="D1196" s="140" t="s">
        <v>6318</v>
      </c>
      <c r="E1196" s="140" t="s">
        <v>598</v>
      </c>
      <c r="F1196" s="140" t="s">
        <v>6338</v>
      </c>
      <c r="G1196" s="141" t="s">
        <v>6401</v>
      </c>
      <c r="H1196" s="140" t="s">
        <v>6312</v>
      </c>
      <c r="I1196" s="140" t="s">
        <v>6313</v>
      </c>
      <c r="J1196" s="140" t="s">
        <v>6314</v>
      </c>
      <c r="K1196" s="140" t="s">
        <v>7567</v>
      </c>
    </row>
    <row r="1197">
      <c r="A1197" s="140" t="s">
        <v>7567</v>
      </c>
      <c r="B1197" s="143">
        <v>6.90222E12</v>
      </c>
      <c r="C1197" s="140" t="s">
        <v>7901</v>
      </c>
      <c r="D1197" s="140" t="s">
        <v>6318</v>
      </c>
      <c r="E1197" s="140" t="s">
        <v>598</v>
      </c>
      <c r="F1197" s="140" t="s">
        <v>6338</v>
      </c>
      <c r="G1197" s="141" t="s">
        <v>6401</v>
      </c>
      <c r="H1197" s="140" t="s">
        <v>6312</v>
      </c>
      <c r="I1197" s="140" t="s">
        <v>6313</v>
      </c>
      <c r="J1197" s="140" t="s">
        <v>6314</v>
      </c>
      <c r="K1197" s="140" t="s">
        <v>7567</v>
      </c>
    </row>
    <row r="1198">
      <c r="A1198" s="140" t="s">
        <v>7567</v>
      </c>
      <c r="B1198" s="143">
        <v>6.90222E12</v>
      </c>
      <c r="C1198" s="140" t="s">
        <v>7902</v>
      </c>
      <c r="D1198" s="140" t="s">
        <v>6318</v>
      </c>
      <c r="E1198" s="140" t="s">
        <v>598</v>
      </c>
      <c r="F1198" s="140" t="s">
        <v>6338</v>
      </c>
      <c r="G1198" s="141" t="s">
        <v>6401</v>
      </c>
      <c r="H1198" s="140" t="s">
        <v>6312</v>
      </c>
      <c r="I1198" s="140" t="s">
        <v>6313</v>
      </c>
      <c r="J1198" s="140" t="s">
        <v>6314</v>
      </c>
      <c r="K1198" s="140" t="s">
        <v>7567</v>
      </c>
    </row>
    <row r="1199">
      <c r="A1199" s="140" t="s">
        <v>7567</v>
      </c>
      <c r="B1199" s="143">
        <v>6.90222E12</v>
      </c>
      <c r="C1199" s="140" t="s">
        <v>7903</v>
      </c>
      <c r="D1199" s="140" t="s">
        <v>6318</v>
      </c>
      <c r="E1199" s="140" t="s">
        <v>598</v>
      </c>
      <c r="F1199" s="140" t="s">
        <v>6338</v>
      </c>
      <c r="G1199" s="141" t="s">
        <v>6401</v>
      </c>
      <c r="H1199" s="140" t="s">
        <v>6312</v>
      </c>
      <c r="I1199" s="140" t="s">
        <v>6313</v>
      </c>
      <c r="J1199" s="140" t="s">
        <v>6314</v>
      </c>
      <c r="K1199" s="140" t="s">
        <v>7567</v>
      </c>
    </row>
    <row r="1200">
      <c r="A1200" s="140" t="s">
        <v>7567</v>
      </c>
      <c r="B1200" s="143">
        <v>6.90222E12</v>
      </c>
      <c r="C1200" s="140" t="s">
        <v>7904</v>
      </c>
      <c r="D1200" s="140" t="s">
        <v>6318</v>
      </c>
      <c r="E1200" s="140" t="s">
        <v>598</v>
      </c>
      <c r="F1200" s="140" t="s">
        <v>6338</v>
      </c>
      <c r="G1200" s="141" t="s">
        <v>6401</v>
      </c>
      <c r="H1200" s="140" t="s">
        <v>6312</v>
      </c>
      <c r="I1200" s="140" t="s">
        <v>6313</v>
      </c>
      <c r="J1200" s="140" t="s">
        <v>6314</v>
      </c>
      <c r="K1200" s="140" t="s">
        <v>7567</v>
      </c>
    </row>
    <row r="1201">
      <c r="A1201" s="140" t="s">
        <v>7567</v>
      </c>
      <c r="B1201" s="143">
        <v>6.90222E12</v>
      </c>
      <c r="C1201" s="140" t="s">
        <v>7905</v>
      </c>
      <c r="D1201" s="140" t="s">
        <v>6318</v>
      </c>
      <c r="E1201" s="140" t="s">
        <v>598</v>
      </c>
      <c r="F1201" s="140" t="s">
        <v>6338</v>
      </c>
      <c r="G1201" s="141" t="s">
        <v>6401</v>
      </c>
      <c r="H1201" s="140" t="s">
        <v>6312</v>
      </c>
      <c r="I1201" s="140" t="s">
        <v>6313</v>
      </c>
      <c r="J1201" s="140" t="s">
        <v>6314</v>
      </c>
      <c r="K1201" s="140" t="s">
        <v>7567</v>
      </c>
    </row>
    <row r="1202">
      <c r="A1202" s="140" t="s">
        <v>7567</v>
      </c>
      <c r="B1202" s="143">
        <v>6.90222E12</v>
      </c>
      <c r="C1202" s="140" t="s">
        <v>7906</v>
      </c>
      <c r="D1202" s="140" t="s">
        <v>6318</v>
      </c>
      <c r="E1202" s="140" t="s">
        <v>598</v>
      </c>
      <c r="F1202" s="140" t="s">
        <v>6338</v>
      </c>
      <c r="G1202" s="141" t="s">
        <v>6401</v>
      </c>
      <c r="H1202" s="140" t="s">
        <v>6312</v>
      </c>
      <c r="I1202" s="140" t="s">
        <v>6313</v>
      </c>
      <c r="J1202" s="140" t="s">
        <v>6314</v>
      </c>
      <c r="K1202" s="140" t="s">
        <v>7567</v>
      </c>
    </row>
    <row r="1203">
      <c r="A1203" s="140" t="s">
        <v>7567</v>
      </c>
      <c r="B1203" s="143">
        <v>6.90222E12</v>
      </c>
      <c r="C1203" s="140" t="s">
        <v>7907</v>
      </c>
      <c r="D1203" s="140" t="s">
        <v>6318</v>
      </c>
      <c r="E1203" s="140" t="s">
        <v>598</v>
      </c>
      <c r="F1203" s="140" t="s">
        <v>6338</v>
      </c>
      <c r="G1203" s="141" t="s">
        <v>6401</v>
      </c>
      <c r="H1203" s="140" t="s">
        <v>6312</v>
      </c>
      <c r="I1203" s="140" t="s">
        <v>6313</v>
      </c>
      <c r="J1203" s="140" t="s">
        <v>6314</v>
      </c>
      <c r="K1203" s="140" t="s">
        <v>7567</v>
      </c>
    </row>
    <row r="1204">
      <c r="A1204" s="140" t="s">
        <v>7567</v>
      </c>
      <c r="B1204" s="143">
        <v>6.90222E12</v>
      </c>
      <c r="C1204" s="140" t="s">
        <v>7908</v>
      </c>
      <c r="D1204" s="140" t="s">
        <v>6318</v>
      </c>
      <c r="E1204" s="140" t="s">
        <v>598</v>
      </c>
      <c r="F1204" s="140" t="s">
        <v>6338</v>
      </c>
      <c r="G1204" s="141" t="s">
        <v>6401</v>
      </c>
      <c r="H1204" s="140" t="s">
        <v>6312</v>
      </c>
      <c r="I1204" s="140" t="s">
        <v>6313</v>
      </c>
      <c r="J1204" s="140" t="s">
        <v>6314</v>
      </c>
      <c r="K1204" s="140" t="s">
        <v>7567</v>
      </c>
    </row>
    <row r="1205">
      <c r="A1205" s="140" t="s">
        <v>7567</v>
      </c>
      <c r="B1205" s="143">
        <v>6.90222E12</v>
      </c>
      <c r="C1205" s="140" t="s">
        <v>7909</v>
      </c>
      <c r="D1205" s="140" t="s">
        <v>6318</v>
      </c>
      <c r="E1205" s="140" t="s">
        <v>598</v>
      </c>
      <c r="F1205" s="140" t="s">
        <v>6338</v>
      </c>
      <c r="G1205" s="141" t="s">
        <v>6401</v>
      </c>
      <c r="H1205" s="140" t="s">
        <v>6312</v>
      </c>
      <c r="I1205" s="140" t="s">
        <v>6313</v>
      </c>
      <c r="J1205" s="140" t="s">
        <v>6314</v>
      </c>
      <c r="K1205" s="140" t="s">
        <v>7567</v>
      </c>
    </row>
    <row r="1206">
      <c r="A1206" s="140" t="s">
        <v>7567</v>
      </c>
      <c r="B1206" s="143">
        <v>6.90222E12</v>
      </c>
      <c r="C1206" s="140" t="s">
        <v>7910</v>
      </c>
      <c r="D1206" s="140" t="s">
        <v>6318</v>
      </c>
      <c r="E1206" s="140" t="s">
        <v>598</v>
      </c>
      <c r="F1206" s="140" t="s">
        <v>6338</v>
      </c>
      <c r="G1206" s="141" t="s">
        <v>6401</v>
      </c>
      <c r="H1206" s="140" t="s">
        <v>6312</v>
      </c>
      <c r="I1206" s="140" t="s">
        <v>6313</v>
      </c>
      <c r="J1206" s="140" t="s">
        <v>6314</v>
      </c>
      <c r="K1206" s="140" t="s">
        <v>7567</v>
      </c>
    </row>
    <row r="1207">
      <c r="A1207" s="140" t="s">
        <v>7567</v>
      </c>
      <c r="B1207" s="143">
        <v>6.90222E12</v>
      </c>
      <c r="C1207" s="140" t="s">
        <v>7911</v>
      </c>
      <c r="D1207" s="140" t="s">
        <v>6318</v>
      </c>
      <c r="E1207" s="140" t="s">
        <v>598</v>
      </c>
      <c r="F1207" s="140" t="s">
        <v>6338</v>
      </c>
      <c r="G1207" s="141" t="s">
        <v>6401</v>
      </c>
      <c r="H1207" s="140" t="s">
        <v>6312</v>
      </c>
      <c r="I1207" s="140" t="s">
        <v>6313</v>
      </c>
      <c r="J1207" s="140" t="s">
        <v>6314</v>
      </c>
      <c r="K1207" s="140" t="s">
        <v>7567</v>
      </c>
    </row>
    <row r="1208">
      <c r="A1208" s="140" t="s">
        <v>7567</v>
      </c>
      <c r="B1208" s="143">
        <v>6.90222E12</v>
      </c>
      <c r="C1208" s="140" t="s">
        <v>7912</v>
      </c>
      <c r="D1208" s="140" t="s">
        <v>6318</v>
      </c>
      <c r="E1208" s="140" t="s">
        <v>598</v>
      </c>
      <c r="F1208" s="140" t="s">
        <v>6338</v>
      </c>
      <c r="G1208" s="141" t="s">
        <v>6401</v>
      </c>
      <c r="H1208" s="140" t="s">
        <v>6312</v>
      </c>
      <c r="I1208" s="140" t="s">
        <v>6313</v>
      </c>
      <c r="J1208" s="140" t="s">
        <v>6314</v>
      </c>
      <c r="K1208" s="140" t="s">
        <v>7567</v>
      </c>
    </row>
    <row r="1209">
      <c r="A1209" s="140" t="s">
        <v>7567</v>
      </c>
      <c r="B1209" s="143">
        <v>6.90222E12</v>
      </c>
      <c r="C1209" s="140" t="s">
        <v>7913</v>
      </c>
      <c r="D1209" s="140" t="s">
        <v>6318</v>
      </c>
      <c r="E1209" s="140" t="s">
        <v>598</v>
      </c>
      <c r="F1209" s="140" t="s">
        <v>6338</v>
      </c>
      <c r="G1209" s="141" t="s">
        <v>6401</v>
      </c>
      <c r="H1209" s="140" t="s">
        <v>6312</v>
      </c>
      <c r="I1209" s="140" t="s">
        <v>6313</v>
      </c>
      <c r="J1209" s="140" t="s">
        <v>6314</v>
      </c>
      <c r="K1209" s="140" t="s">
        <v>7567</v>
      </c>
    </row>
    <row r="1210">
      <c r="A1210" s="140" t="s">
        <v>7567</v>
      </c>
      <c r="B1210" s="143">
        <v>6.90222E12</v>
      </c>
      <c r="C1210" s="140" t="s">
        <v>7914</v>
      </c>
      <c r="D1210" s="140" t="s">
        <v>6318</v>
      </c>
      <c r="E1210" s="140" t="s">
        <v>598</v>
      </c>
      <c r="F1210" s="140" t="s">
        <v>6338</v>
      </c>
      <c r="G1210" s="141" t="s">
        <v>6401</v>
      </c>
      <c r="H1210" s="140" t="s">
        <v>6312</v>
      </c>
      <c r="I1210" s="140" t="s">
        <v>6313</v>
      </c>
      <c r="J1210" s="140" t="s">
        <v>6314</v>
      </c>
      <c r="K1210" s="140" t="s">
        <v>7567</v>
      </c>
    </row>
    <row r="1211">
      <c r="A1211" s="140" t="s">
        <v>7567</v>
      </c>
      <c r="B1211" s="143">
        <v>6.90222E12</v>
      </c>
      <c r="C1211" s="140" t="s">
        <v>7915</v>
      </c>
      <c r="D1211" s="140" t="s">
        <v>6318</v>
      </c>
      <c r="E1211" s="140" t="s">
        <v>598</v>
      </c>
      <c r="F1211" s="140" t="s">
        <v>6338</v>
      </c>
      <c r="G1211" s="141" t="s">
        <v>6401</v>
      </c>
      <c r="H1211" s="140" t="s">
        <v>6312</v>
      </c>
      <c r="I1211" s="140" t="s">
        <v>6313</v>
      </c>
      <c r="J1211" s="140" t="s">
        <v>6314</v>
      </c>
      <c r="K1211" s="140" t="s">
        <v>7567</v>
      </c>
    </row>
    <row r="1212">
      <c r="A1212" s="140" t="s">
        <v>7567</v>
      </c>
      <c r="B1212" s="143">
        <v>6.90222E12</v>
      </c>
      <c r="C1212" s="140" t="s">
        <v>7916</v>
      </c>
      <c r="D1212" s="140" t="s">
        <v>6318</v>
      </c>
      <c r="E1212" s="140" t="s">
        <v>598</v>
      </c>
      <c r="F1212" s="140" t="s">
        <v>6338</v>
      </c>
      <c r="G1212" s="141" t="s">
        <v>6401</v>
      </c>
      <c r="H1212" s="140" t="s">
        <v>6312</v>
      </c>
      <c r="I1212" s="140" t="s">
        <v>6313</v>
      </c>
      <c r="J1212" s="140" t="s">
        <v>6314</v>
      </c>
      <c r="K1212" s="140" t="s">
        <v>7567</v>
      </c>
    </row>
    <row r="1213">
      <c r="A1213" s="140" t="s">
        <v>7567</v>
      </c>
      <c r="B1213" s="143">
        <v>6.90222E12</v>
      </c>
      <c r="C1213" s="140" t="s">
        <v>7917</v>
      </c>
      <c r="D1213" s="140" t="s">
        <v>6318</v>
      </c>
      <c r="E1213" s="140" t="s">
        <v>598</v>
      </c>
      <c r="F1213" s="140" t="s">
        <v>6338</v>
      </c>
      <c r="G1213" s="141" t="s">
        <v>6401</v>
      </c>
      <c r="H1213" s="140" t="s">
        <v>6312</v>
      </c>
      <c r="I1213" s="140" t="s">
        <v>6313</v>
      </c>
      <c r="J1213" s="140" t="s">
        <v>6314</v>
      </c>
      <c r="K1213" s="140" t="s">
        <v>7567</v>
      </c>
    </row>
    <row r="1214">
      <c r="A1214" s="140" t="s">
        <v>7567</v>
      </c>
      <c r="B1214" s="143">
        <v>6.90222E12</v>
      </c>
      <c r="C1214" s="140" t="s">
        <v>7918</v>
      </c>
      <c r="D1214" s="140" t="s">
        <v>6318</v>
      </c>
      <c r="E1214" s="140" t="s">
        <v>598</v>
      </c>
      <c r="F1214" s="140" t="s">
        <v>6338</v>
      </c>
      <c r="G1214" s="141" t="s">
        <v>6401</v>
      </c>
      <c r="H1214" s="140" t="s">
        <v>6312</v>
      </c>
      <c r="I1214" s="140" t="s">
        <v>6313</v>
      </c>
      <c r="J1214" s="140" t="s">
        <v>6314</v>
      </c>
      <c r="K1214" s="140" t="s">
        <v>7567</v>
      </c>
    </row>
    <row r="1215">
      <c r="A1215" s="140" t="s">
        <v>7567</v>
      </c>
      <c r="B1215" s="143">
        <v>6.90222E12</v>
      </c>
      <c r="C1215" s="140" t="s">
        <v>7919</v>
      </c>
      <c r="D1215" s="140" t="s">
        <v>6318</v>
      </c>
      <c r="E1215" s="140" t="s">
        <v>598</v>
      </c>
      <c r="F1215" s="140" t="s">
        <v>6338</v>
      </c>
      <c r="G1215" s="141" t="s">
        <v>6401</v>
      </c>
      <c r="H1215" s="140" t="s">
        <v>6312</v>
      </c>
      <c r="I1215" s="140" t="s">
        <v>6313</v>
      </c>
      <c r="J1215" s="140" t="s">
        <v>6314</v>
      </c>
      <c r="K1215" s="140" t="s">
        <v>7567</v>
      </c>
    </row>
    <row r="1216">
      <c r="A1216" s="140" t="s">
        <v>7567</v>
      </c>
      <c r="B1216" s="143">
        <v>6.90222E12</v>
      </c>
      <c r="C1216" s="140" t="s">
        <v>7920</v>
      </c>
      <c r="D1216" s="140" t="s">
        <v>6318</v>
      </c>
      <c r="E1216" s="140" t="s">
        <v>598</v>
      </c>
      <c r="F1216" s="140" t="s">
        <v>6338</v>
      </c>
      <c r="G1216" s="141" t="s">
        <v>6401</v>
      </c>
      <c r="H1216" s="140" t="s">
        <v>6312</v>
      </c>
      <c r="I1216" s="140" t="s">
        <v>6313</v>
      </c>
      <c r="J1216" s="140" t="s">
        <v>6314</v>
      </c>
      <c r="K1216" s="140" t="s">
        <v>7567</v>
      </c>
    </row>
    <row r="1217">
      <c r="A1217" s="140" t="s">
        <v>7567</v>
      </c>
      <c r="B1217" s="143">
        <v>6.90222E12</v>
      </c>
      <c r="C1217" s="140" t="s">
        <v>7921</v>
      </c>
      <c r="D1217" s="140" t="s">
        <v>6318</v>
      </c>
      <c r="E1217" s="140" t="s">
        <v>598</v>
      </c>
      <c r="F1217" s="140" t="s">
        <v>6338</v>
      </c>
      <c r="G1217" s="141" t="s">
        <v>6401</v>
      </c>
      <c r="H1217" s="140" t="s">
        <v>6312</v>
      </c>
      <c r="I1217" s="140" t="s">
        <v>6313</v>
      </c>
      <c r="J1217" s="140" t="s">
        <v>6314</v>
      </c>
      <c r="K1217" s="140" t="s">
        <v>7567</v>
      </c>
    </row>
    <row r="1218">
      <c r="A1218" s="140" t="s">
        <v>7567</v>
      </c>
      <c r="B1218" s="143">
        <v>6.90222E12</v>
      </c>
      <c r="C1218" s="140" t="s">
        <v>7922</v>
      </c>
      <c r="D1218" s="140" t="s">
        <v>6318</v>
      </c>
      <c r="E1218" s="140" t="s">
        <v>598</v>
      </c>
      <c r="F1218" s="140" t="s">
        <v>6338</v>
      </c>
      <c r="G1218" s="141" t="s">
        <v>6401</v>
      </c>
      <c r="H1218" s="140" t="s">
        <v>6312</v>
      </c>
      <c r="I1218" s="140" t="s">
        <v>6313</v>
      </c>
      <c r="J1218" s="140" t="s">
        <v>6314</v>
      </c>
      <c r="K1218" s="140" t="s">
        <v>7567</v>
      </c>
    </row>
    <row r="1219">
      <c r="A1219" s="140" t="s">
        <v>7567</v>
      </c>
      <c r="B1219" s="143">
        <v>6.90222E12</v>
      </c>
      <c r="C1219" s="140" t="s">
        <v>7923</v>
      </c>
      <c r="D1219" s="140" t="s">
        <v>6318</v>
      </c>
      <c r="E1219" s="140" t="s">
        <v>598</v>
      </c>
      <c r="F1219" s="140" t="s">
        <v>6338</v>
      </c>
      <c r="G1219" s="141" t="s">
        <v>6401</v>
      </c>
      <c r="H1219" s="140" t="s">
        <v>6312</v>
      </c>
      <c r="I1219" s="140" t="s">
        <v>6313</v>
      </c>
      <c r="J1219" s="140" t="s">
        <v>6314</v>
      </c>
      <c r="K1219" s="140" t="s">
        <v>7567</v>
      </c>
    </row>
    <row r="1220">
      <c r="A1220" s="140" t="s">
        <v>7567</v>
      </c>
      <c r="B1220" s="143">
        <v>6.90222E12</v>
      </c>
      <c r="C1220" s="140" t="s">
        <v>7924</v>
      </c>
      <c r="D1220" s="140" t="s">
        <v>6318</v>
      </c>
      <c r="E1220" s="140" t="s">
        <v>598</v>
      </c>
      <c r="F1220" s="140" t="s">
        <v>6338</v>
      </c>
      <c r="G1220" s="141" t="s">
        <v>6401</v>
      </c>
      <c r="H1220" s="140" t="s">
        <v>6312</v>
      </c>
      <c r="I1220" s="140" t="s">
        <v>6313</v>
      </c>
      <c r="J1220" s="140" t="s">
        <v>6314</v>
      </c>
      <c r="K1220" s="140" t="s">
        <v>7567</v>
      </c>
    </row>
    <row r="1221">
      <c r="A1221" s="140" t="s">
        <v>7567</v>
      </c>
      <c r="B1221" s="143">
        <v>6.90222E12</v>
      </c>
      <c r="C1221" s="140" t="s">
        <v>7925</v>
      </c>
      <c r="D1221" s="140" t="s">
        <v>6318</v>
      </c>
      <c r="E1221" s="140" t="s">
        <v>598</v>
      </c>
      <c r="F1221" s="140" t="s">
        <v>6338</v>
      </c>
      <c r="G1221" s="141" t="s">
        <v>6401</v>
      </c>
      <c r="H1221" s="140" t="s">
        <v>6312</v>
      </c>
      <c r="I1221" s="140" t="s">
        <v>6313</v>
      </c>
      <c r="J1221" s="140" t="s">
        <v>6314</v>
      </c>
      <c r="K1221" s="140" t="s">
        <v>7567</v>
      </c>
    </row>
    <row r="1222">
      <c r="A1222" s="140" t="s">
        <v>7567</v>
      </c>
      <c r="B1222" s="143">
        <v>6.90222E12</v>
      </c>
      <c r="C1222" s="140" t="s">
        <v>7926</v>
      </c>
      <c r="D1222" s="140" t="s">
        <v>6318</v>
      </c>
      <c r="E1222" s="140" t="s">
        <v>598</v>
      </c>
      <c r="F1222" s="140" t="s">
        <v>6338</v>
      </c>
      <c r="G1222" s="141" t="s">
        <v>6401</v>
      </c>
      <c r="H1222" s="140" t="s">
        <v>6312</v>
      </c>
      <c r="I1222" s="140" t="s">
        <v>6313</v>
      </c>
      <c r="J1222" s="140" t="s">
        <v>6314</v>
      </c>
      <c r="K1222" s="140" t="s">
        <v>7567</v>
      </c>
    </row>
    <row r="1223">
      <c r="A1223" s="140" t="s">
        <v>7567</v>
      </c>
      <c r="B1223" s="143">
        <v>6.90222E12</v>
      </c>
      <c r="C1223" s="140" t="s">
        <v>7927</v>
      </c>
      <c r="D1223" s="140" t="s">
        <v>6318</v>
      </c>
      <c r="E1223" s="140" t="s">
        <v>598</v>
      </c>
      <c r="F1223" s="140" t="s">
        <v>6338</v>
      </c>
      <c r="G1223" s="141" t="s">
        <v>6401</v>
      </c>
      <c r="H1223" s="140" t="s">
        <v>6312</v>
      </c>
      <c r="I1223" s="140" t="s">
        <v>6313</v>
      </c>
      <c r="J1223" s="140" t="s">
        <v>6314</v>
      </c>
      <c r="K1223" s="140" t="s">
        <v>7567</v>
      </c>
    </row>
    <row r="1224">
      <c r="A1224" s="140" t="s">
        <v>7567</v>
      </c>
      <c r="B1224" s="143">
        <v>6.90222E12</v>
      </c>
      <c r="C1224" s="140" t="s">
        <v>7928</v>
      </c>
      <c r="D1224" s="140" t="s">
        <v>6318</v>
      </c>
      <c r="E1224" s="140" t="s">
        <v>598</v>
      </c>
      <c r="F1224" s="140" t="s">
        <v>599</v>
      </c>
      <c r="G1224" s="141" t="s">
        <v>6401</v>
      </c>
      <c r="H1224" s="140" t="s">
        <v>6312</v>
      </c>
      <c r="I1224" s="140" t="s">
        <v>6313</v>
      </c>
      <c r="J1224" s="140" t="s">
        <v>6314</v>
      </c>
      <c r="K1224" s="140" t="s">
        <v>7567</v>
      </c>
    </row>
    <row r="1225">
      <c r="A1225" s="140" t="s">
        <v>7567</v>
      </c>
      <c r="B1225" s="143">
        <v>6.90222E12</v>
      </c>
      <c r="C1225" s="140" t="s">
        <v>7929</v>
      </c>
      <c r="D1225" s="140" t="s">
        <v>6318</v>
      </c>
      <c r="E1225" s="140" t="s">
        <v>598</v>
      </c>
      <c r="F1225" s="140" t="s">
        <v>599</v>
      </c>
      <c r="G1225" s="141" t="s">
        <v>6401</v>
      </c>
      <c r="H1225" s="140" t="s">
        <v>6312</v>
      </c>
      <c r="I1225" s="140" t="s">
        <v>6313</v>
      </c>
      <c r="J1225" s="140" t="s">
        <v>6314</v>
      </c>
      <c r="K1225" s="140" t="s">
        <v>7567</v>
      </c>
    </row>
    <row r="1226">
      <c r="A1226" s="140" t="s">
        <v>7567</v>
      </c>
      <c r="B1226" s="143">
        <v>6.90222E12</v>
      </c>
      <c r="C1226" s="140" t="s">
        <v>7930</v>
      </c>
      <c r="D1226" s="140" t="s">
        <v>6318</v>
      </c>
      <c r="E1226" s="140" t="s">
        <v>598</v>
      </c>
      <c r="F1226" s="140" t="s">
        <v>599</v>
      </c>
      <c r="G1226" s="141" t="s">
        <v>6401</v>
      </c>
      <c r="H1226" s="140" t="s">
        <v>6312</v>
      </c>
      <c r="I1226" s="140" t="s">
        <v>6313</v>
      </c>
      <c r="J1226" s="140" t="s">
        <v>6314</v>
      </c>
      <c r="K1226" s="140" t="s">
        <v>7567</v>
      </c>
    </row>
    <row r="1227">
      <c r="A1227" s="140" t="s">
        <v>7567</v>
      </c>
      <c r="B1227" s="143">
        <v>6.90222E12</v>
      </c>
      <c r="C1227" s="140" t="s">
        <v>7931</v>
      </c>
      <c r="D1227" s="140" t="s">
        <v>6318</v>
      </c>
      <c r="E1227" s="140" t="s">
        <v>598</v>
      </c>
      <c r="F1227" s="140" t="s">
        <v>599</v>
      </c>
      <c r="G1227" s="141" t="s">
        <v>6401</v>
      </c>
      <c r="H1227" s="140" t="s">
        <v>6312</v>
      </c>
      <c r="I1227" s="140" t="s">
        <v>6313</v>
      </c>
      <c r="J1227" s="140" t="s">
        <v>6314</v>
      </c>
      <c r="K1227" s="140" t="s">
        <v>7567</v>
      </c>
    </row>
    <row r="1228">
      <c r="A1228" s="140" t="s">
        <v>7567</v>
      </c>
      <c r="B1228" s="143">
        <v>6.90222E12</v>
      </c>
      <c r="C1228" s="140" t="s">
        <v>7932</v>
      </c>
      <c r="D1228" s="140" t="s">
        <v>6318</v>
      </c>
      <c r="E1228" s="140" t="s">
        <v>598</v>
      </c>
      <c r="F1228" s="140" t="s">
        <v>599</v>
      </c>
      <c r="G1228" s="141" t="s">
        <v>6401</v>
      </c>
      <c r="H1228" s="140" t="s">
        <v>6312</v>
      </c>
      <c r="I1228" s="140" t="s">
        <v>6313</v>
      </c>
      <c r="J1228" s="140" t="s">
        <v>6314</v>
      </c>
      <c r="K1228" s="140" t="s">
        <v>7567</v>
      </c>
    </row>
    <row r="1229">
      <c r="A1229" s="140" t="s">
        <v>7567</v>
      </c>
      <c r="B1229" s="143">
        <v>6.90222E12</v>
      </c>
      <c r="C1229" s="140" t="s">
        <v>7933</v>
      </c>
      <c r="D1229" s="140" t="s">
        <v>6318</v>
      </c>
      <c r="E1229" s="140" t="s">
        <v>598</v>
      </c>
      <c r="F1229" s="140" t="s">
        <v>599</v>
      </c>
      <c r="G1229" s="141" t="s">
        <v>6401</v>
      </c>
      <c r="H1229" s="140" t="s">
        <v>6312</v>
      </c>
      <c r="I1229" s="140" t="s">
        <v>6313</v>
      </c>
      <c r="J1229" s="140" t="s">
        <v>6314</v>
      </c>
      <c r="K1229" s="140" t="s">
        <v>7567</v>
      </c>
    </row>
    <row r="1230">
      <c r="A1230" s="140" t="s">
        <v>7567</v>
      </c>
      <c r="B1230" s="143">
        <v>6.90222E12</v>
      </c>
      <c r="C1230" s="140" t="s">
        <v>7934</v>
      </c>
      <c r="D1230" s="140" t="s">
        <v>6318</v>
      </c>
      <c r="E1230" s="140" t="s">
        <v>598</v>
      </c>
      <c r="F1230" s="140" t="s">
        <v>599</v>
      </c>
      <c r="G1230" s="141" t="s">
        <v>6401</v>
      </c>
      <c r="H1230" s="140" t="s">
        <v>6312</v>
      </c>
      <c r="I1230" s="140" t="s">
        <v>6313</v>
      </c>
      <c r="J1230" s="140" t="s">
        <v>6314</v>
      </c>
      <c r="K1230" s="140" t="s">
        <v>7567</v>
      </c>
    </row>
    <row r="1231">
      <c r="A1231" s="140" t="s">
        <v>7567</v>
      </c>
      <c r="B1231" s="143">
        <v>6.90222E12</v>
      </c>
      <c r="C1231" s="140" t="s">
        <v>7935</v>
      </c>
      <c r="D1231" s="140" t="s">
        <v>6318</v>
      </c>
      <c r="E1231" s="140" t="s">
        <v>598</v>
      </c>
      <c r="F1231" s="140" t="s">
        <v>599</v>
      </c>
      <c r="G1231" s="141" t="s">
        <v>6401</v>
      </c>
      <c r="H1231" s="140" t="s">
        <v>6312</v>
      </c>
      <c r="I1231" s="140" t="s">
        <v>6313</v>
      </c>
      <c r="J1231" s="140" t="s">
        <v>6314</v>
      </c>
      <c r="K1231" s="140" t="s">
        <v>7567</v>
      </c>
    </row>
    <row r="1232">
      <c r="A1232" s="140" t="s">
        <v>7567</v>
      </c>
      <c r="B1232" s="143">
        <v>6.90222E12</v>
      </c>
      <c r="C1232" s="140" t="s">
        <v>7936</v>
      </c>
      <c r="D1232" s="140" t="s">
        <v>6318</v>
      </c>
      <c r="E1232" s="140" t="s">
        <v>6142</v>
      </c>
      <c r="F1232" s="140" t="s">
        <v>5760</v>
      </c>
      <c r="G1232" s="141" t="s">
        <v>6401</v>
      </c>
      <c r="H1232" s="140" t="s">
        <v>6312</v>
      </c>
      <c r="I1232" s="140" t="s">
        <v>6313</v>
      </c>
      <c r="J1232" s="140" t="s">
        <v>6314</v>
      </c>
      <c r="K1232" s="140" t="s">
        <v>7567</v>
      </c>
    </row>
    <row r="1233">
      <c r="A1233" s="140" t="s">
        <v>7567</v>
      </c>
      <c r="B1233" s="143">
        <v>6.90222E12</v>
      </c>
      <c r="C1233" s="140" t="s">
        <v>7937</v>
      </c>
      <c r="D1233" s="140" t="s">
        <v>6318</v>
      </c>
      <c r="E1233" s="140" t="s">
        <v>7938</v>
      </c>
      <c r="F1233" s="140" t="s">
        <v>7939</v>
      </c>
      <c r="G1233" s="141" t="s">
        <v>6401</v>
      </c>
      <c r="H1233" s="140" t="s">
        <v>6312</v>
      </c>
      <c r="I1233" s="140" t="s">
        <v>6313</v>
      </c>
      <c r="J1233" s="140" t="s">
        <v>6314</v>
      </c>
      <c r="K1233" s="140" t="s">
        <v>7567</v>
      </c>
    </row>
    <row r="1234">
      <c r="A1234" s="140" t="s">
        <v>7567</v>
      </c>
      <c r="B1234" s="143">
        <v>6.90222E12</v>
      </c>
      <c r="C1234" s="140" t="s">
        <v>7937</v>
      </c>
      <c r="D1234" s="140" t="s">
        <v>6318</v>
      </c>
      <c r="E1234" s="140" t="s">
        <v>7938</v>
      </c>
      <c r="F1234" s="140" t="s">
        <v>7939</v>
      </c>
      <c r="G1234" s="141" t="s">
        <v>6401</v>
      </c>
      <c r="H1234" s="140" t="s">
        <v>6312</v>
      </c>
      <c r="I1234" s="140" t="s">
        <v>6313</v>
      </c>
      <c r="J1234" s="140" t="s">
        <v>6314</v>
      </c>
      <c r="K1234" s="140" t="s">
        <v>7567</v>
      </c>
    </row>
    <row r="1235">
      <c r="A1235" s="140" t="s">
        <v>7567</v>
      </c>
      <c r="B1235" s="143">
        <v>6.90222E12</v>
      </c>
      <c r="C1235" s="140" t="s">
        <v>7940</v>
      </c>
      <c r="D1235" s="140" t="s">
        <v>6318</v>
      </c>
      <c r="E1235" s="140" t="s">
        <v>7938</v>
      </c>
      <c r="F1235" s="140" t="s">
        <v>7939</v>
      </c>
      <c r="G1235" s="141" t="s">
        <v>6401</v>
      </c>
      <c r="H1235" s="140" t="s">
        <v>6312</v>
      </c>
      <c r="I1235" s="140" t="s">
        <v>6313</v>
      </c>
      <c r="J1235" s="140" t="s">
        <v>6314</v>
      </c>
      <c r="K1235" s="140" t="s">
        <v>7567</v>
      </c>
    </row>
    <row r="1236">
      <c r="A1236" s="140" t="s">
        <v>7567</v>
      </c>
      <c r="B1236" s="143">
        <v>6.90222E12</v>
      </c>
      <c r="C1236" s="140" t="s">
        <v>7941</v>
      </c>
      <c r="D1236" s="140" t="s">
        <v>6318</v>
      </c>
      <c r="E1236" s="140" t="s">
        <v>7938</v>
      </c>
      <c r="F1236" s="140" t="s">
        <v>7939</v>
      </c>
      <c r="G1236" s="141" t="s">
        <v>6401</v>
      </c>
      <c r="H1236" s="140" t="s">
        <v>6312</v>
      </c>
      <c r="I1236" s="140" t="s">
        <v>6313</v>
      </c>
      <c r="J1236" s="140" t="s">
        <v>6314</v>
      </c>
      <c r="K1236" s="140" t="s">
        <v>7567</v>
      </c>
    </row>
    <row r="1237">
      <c r="A1237" s="140" t="s">
        <v>7567</v>
      </c>
      <c r="B1237" s="143">
        <v>6.90222E12</v>
      </c>
      <c r="C1237" s="140" t="s">
        <v>7942</v>
      </c>
      <c r="D1237" s="140" t="s">
        <v>6318</v>
      </c>
      <c r="E1237" s="140" t="s">
        <v>7938</v>
      </c>
      <c r="F1237" s="140" t="s">
        <v>7939</v>
      </c>
      <c r="G1237" s="141" t="s">
        <v>6401</v>
      </c>
      <c r="H1237" s="140" t="s">
        <v>6312</v>
      </c>
      <c r="I1237" s="140" t="s">
        <v>6313</v>
      </c>
      <c r="J1237" s="140" t="s">
        <v>6314</v>
      </c>
      <c r="K1237" s="140" t="s">
        <v>7567</v>
      </c>
    </row>
    <row r="1238">
      <c r="A1238" s="140" t="s">
        <v>7567</v>
      </c>
      <c r="B1238" s="143">
        <v>6.90222E12</v>
      </c>
      <c r="C1238" s="140" t="s">
        <v>7943</v>
      </c>
      <c r="D1238" s="140" t="s">
        <v>6318</v>
      </c>
      <c r="E1238" s="140" t="s">
        <v>7938</v>
      </c>
      <c r="F1238" s="140" t="s">
        <v>7939</v>
      </c>
      <c r="G1238" s="141" t="s">
        <v>6401</v>
      </c>
      <c r="H1238" s="140" t="s">
        <v>6312</v>
      </c>
      <c r="I1238" s="140" t="s">
        <v>6313</v>
      </c>
      <c r="J1238" s="140" t="s">
        <v>6314</v>
      </c>
      <c r="K1238" s="140" t="s">
        <v>7567</v>
      </c>
    </row>
    <row r="1239">
      <c r="A1239" s="140" t="s">
        <v>7567</v>
      </c>
      <c r="B1239" s="143">
        <v>6.90222E12</v>
      </c>
      <c r="C1239" s="140" t="s">
        <v>7944</v>
      </c>
      <c r="D1239" s="140" t="s">
        <v>6318</v>
      </c>
      <c r="E1239" s="140" t="s">
        <v>7938</v>
      </c>
      <c r="F1239" s="140" t="s">
        <v>7939</v>
      </c>
      <c r="G1239" s="141" t="s">
        <v>6401</v>
      </c>
      <c r="H1239" s="140" t="s">
        <v>6312</v>
      </c>
      <c r="I1239" s="140" t="s">
        <v>6313</v>
      </c>
      <c r="J1239" s="140" t="s">
        <v>6314</v>
      </c>
      <c r="K1239" s="140" t="s">
        <v>7567</v>
      </c>
    </row>
    <row r="1240">
      <c r="A1240" s="140" t="s">
        <v>7567</v>
      </c>
      <c r="B1240" s="143">
        <v>6.90222E12</v>
      </c>
      <c r="C1240" s="140" t="s">
        <v>7945</v>
      </c>
      <c r="D1240" s="140" t="s">
        <v>6318</v>
      </c>
      <c r="E1240" s="140" t="s">
        <v>7938</v>
      </c>
      <c r="F1240" s="140" t="s">
        <v>7939</v>
      </c>
      <c r="G1240" s="141" t="s">
        <v>6401</v>
      </c>
      <c r="H1240" s="140" t="s">
        <v>6312</v>
      </c>
      <c r="I1240" s="140" t="s">
        <v>6313</v>
      </c>
      <c r="J1240" s="140" t="s">
        <v>6314</v>
      </c>
      <c r="K1240" s="140" t="s">
        <v>7567</v>
      </c>
    </row>
    <row r="1241">
      <c r="A1241" s="140" t="s">
        <v>7567</v>
      </c>
      <c r="B1241" s="143">
        <v>6.90222E12</v>
      </c>
      <c r="C1241" s="140" t="s">
        <v>7946</v>
      </c>
      <c r="D1241" s="140" t="s">
        <v>6318</v>
      </c>
      <c r="E1241" s="140" t="s">
        <v>7938</v>
      </c>
      <c r="F1241" s="140" t="s">
        <v>7939</v>
      </c>
      <c r="G1241" s="141" t="s">
        <v>6401</v>
      </c>
      <c r="H1241" s="140" t="s">
        <v>6312</v>
      </c>
      <c r="I1241" s="140" t="s">
        <v>6313</v>
      </c>
      <c r="J1241" s="140" t="s">
        <v>6314</v>
      </c>
      <c r="K1241" s="140" t="s">
        <v>7567</v>
      </c>
    </row>
    <row r="1242">
      <c r="A1242" s="140" t="s">
        <v>7567</v>
      </c>
      <c r="B1242" s="143">
        <v>6.90222E12</v>
      </c>
      <c r="C1242" s="140" t="s">
        <v>7947</v>
      </c>
      <c r="D1242" s="140" t="s">
        <v>6318</v>
      </c>
      <c r="E1242" s="140" t="s">
        <v>7938</v>
      </c>
      <c r="F1242" s="140" t="s">
        <v>7939</v>
      </c>
      <c r="G1242" s="141" t="s">
        <v>6401</v>
      </c>
      <c r="H1242" s="140" t="s">
        <v>6312</v>
      </c>
      <c r="I1242" s="140" t="s">
        <v>6313</v>
      </c>
      <c r="J1242" s="140" t="s">
        <v>6314</v>
      </c>
      <c r="K1242" s="140" t="s">
        <v>7567</v>
      </c>
    </row>
    <row r="1243">
      <c r="A1243" s="140" t="s">
        <v>7567</v>
      </c>
      <c r="B1243" s="143">
        <v>6.90222E12</v>
      </c>
      <c r="C1243" s="140" t="s">
        <v>7948</v>
      </c>
      <c r="D1243" s="140" t="s">
        <v>6309</v>
      </c>
      <c r="E1243" s="140" t="s">
        <v>1223</v>
      </c>
      <c r="F1243" s="140" t="s">
        <v>6414</v>
      </c>
      <c r="G1243" s="141" t="s">
        <v>6401</v>
      </c>
      <c r="H1243" s="140" t="s">
        <v>6312</v>
      </c>
      <c r="I1243" s="140" t="s">
        <v>6313</v>
      </c>
      <c r="J1243" s="140" t="s">
        <v>6314</v>
      </c>
      <c r="K1243" s="140" t="s">
        <v>7567</v>
      </c>
    </row>
    <row r="1244">
      <c r="A1244" s="140" t="s">
        <v>7567</v>
      </c>
      <c r="B1244" s="143">
        <v>6.90222E12</v>
      </c>
      <c r="C1244" s="140" t="s">
        <v>7949</v>
      </c>
      <c r="D1244" s="140" t="s">
        <v>6309</v>
      </c>
      <c r="E1244" s="140" t="s">
        <v>1223</v>
      </c>
      <c r="F1244" s="140" t="s">
        <v>1223</v>
      </c>
      <c r="G1244" s="141" t="s">
        <v>6401</v>
      </c>
      <c r="H1244" s="140" t="s">
        <v>6312</v>
      </c>
      <c r="I1244" s="140" t="s">
        <v>6313</v>
      </c>
      <c r="J1244" s="140" t="s">
        <v>6314</v>
      </c>
      <c r="K1244" s="140" t="s">
        <v>7567</v>
      </c>
    </row>
    <row r="1245">
      <c r="A1245" s="140" t="s">
        <v>7567</v>
      </c>
      <c r="B1245" s="143">
        <v>6.90222E12</v>
      </c>
      <c r="C1245" s="140" t="s">
        <v>7950</v>
      </c>
      <c r="D1245" s="140" t="s">
        <v>6309</v>
      </c>
      <c r="E1245" s="140" t="s">
        <v>1223</v>
      </c>
      <c r="F1245" s="140" t="s">
        <v>1223</v>
      </c>
      <c r="G1245" s="141" t="s">
        <v>6401</v>
      </c>
      <c r="H1245" s="140" t="s">
        <v>6312</v>
      </c>
      <c r="I1245" s="140" t="s">
        <v>6313</v>
      </c>
      <c r="J1245" s="140" t="s">
        <v>6314</v>
      </c>
      <c r="K1245" s="140" t="s">
        <v>7567</v>
      </c>
    </row>
    <row r="1246">
      <c r="A1246" s="140" t="s">
        <v>7567</v>
      </c>
      <c r="B1246" s="143">
        <v>6.90222E12</v>
      </c>
      <c r="C1246" s="140" t="s">
        <v>7951</v>
      </c>
      <c r="D1246" s="140" t="s">
        <v>6309</v>
      </c>
      <c r="E1246" s="140" t="s">
        <v>1223</v>
      </c>
      <c r="F1246" s="140" t="s">
        <v>1223</v>
      </c>
      <c r="G1246" s="141" t="s">
        <v>6401</v>
      </c>
      <c r="H1246" s="140" t="s">
        <v>6312</v>
      </c>
      <c r="I1246" s="140" t="s">
        <v>6313</v>
      </c>
      <c r="J1246" s="140" t="s">
        <v>6314</v>
      </c>
      <c r="K1246" s="140" t="s">
        <v>7567</v>
      </c>
    </row>
    <row r="1247">
      <c r="A1247" s="140" t="s">
        <v>7567</v>
      </c>
      <c r="B1247" s="143">
        <v>6.90222E12</v>
      </c>
      <c r="C1247" s="140" t="s">
        <v>7952</v>
      </c>
      <c r="D1247" s="140" t="s">
        <v>6309</v>
      </c>
      <c r="E1247" s="140" t="s">
        <v>1223</v>
      </c>
      <c r="F1247" s="140" t="s">
        <v>1223</v>
      </c>
      <c r="G1247" s="141" t="s">
        <v>6401</v>
      </c>
      <c r="H1247" s="140" t="s">
        <v>6312</v>
      </c>
      <c r="I1247" s="140" t="s">
        <v>6313</v>
      </c>
      <c r="J1247" s="140" t="s">
        <v>6314</v>
      </c>
      <c r="K1247" s="140" t="s">
        <v>7567</v>
      </c>
    </row>
    <row r="1248">
      <c r="A1248" s="140" t="s">
        <v>7567</v>
      </c>
      <c r="B1248" s="143">
        <v>6.90222E12</v>
      </c>
      <c r="C1248" s="140" t="s">
        <v>7953</v>
      </c>
      <c r="D1248" s="140" t="s">
        <v>6309</v>
      </c>
      <c r="E1248" s="140" t="s">
        <v>1223</v>
      </c>
      <c r="F1248" s="140" t="s">
        <v>1223</v>
      </c>
      <c r="G1248" s="141" t="s">
        <v>6401</v>
      </c>
      <c r="H1248" s="140" t="s">
        <v>6312</v>
      </c>
      <c r="I1248" s="140" t="s">
        <v>6313</v>
      </c>
      <c r="J1248" s="140" t="s">
        <v>6314</v>
      </c>
      <c r="K1248" s="140" t="s">
        <v>7567</v>
      </c>
    </row>
    <row r="1249">
      <c r="A1249" s="140" t="s">
        <v>7567</v>
      </c>
      <c r="B1249" s="143">
        <v>6.90222E12</v>
      </c>
      <c r="C1249" s="140" t="s">
        <v>7954</v>
      </c>
      <c r="D1249" s="140" t="s">
        <v>6309</v>
      </c>
      <c r="E1249" s="140" t="s">
        <v>1223</v>
      </c>
      <c r="F1249" s="140" t="s">
        <v>1223</v>
      </c>
      <c r="G1249" s="141" t="s">
        <v>6401</v>
      </c>
      <c r="H1249" s="140" t="s">
        <v>6312</v>
      </c>
      <c r="I1249" s="140" t="s">
        <v>6313</v>
      </c>
      <c r="J1249" s="140" t="s">
        <v>6314</v>
      </c>
      <c r="K1249" s="140" t="s">
        <v>7567</v>
      </c>
    </row>
    <row r="1250">
      <c r="A1250" s="140" t="s">
        <v>7567</v>
      </c>
      <c r="B1250" s="143">
        <v>6.90222E12</v>
      </c>
      <c r="C1250" s="140" t="s">
        <v>7955</v>
      </c>
      <c r="D1250" s="140" t="s">
        <v>6309</v>
      </c>
      <c r="E1250" s="140" t="s">
        <v>1223</v>
      </c>
      <c r="F1250" s="140" t="s">
        <v>1223</v>
      </c>
      <c r="G1250" s="141" t="s">
        <v>6401</v>
      </c>
      <c r="H1250" s="140" t="s">
        <v>6312</v>
      </c>
      <c r="I1250" s="140" t="s">
        <v>6313</v>
      </c>
      <c r="J1250" s="140" t="s">
        <v>6314</v>
      </c>
      <c r="K1250" s="140" t="s">
        <v>7567</v>
      </c>
    </row>
    <row r="1251">
      <c r="A1251" s="140" t="s">
        <v>7567</v>
      </c>
      <c r="B1251" s="143">
        <v>6.90222E12</v>
      </c>
      <c r="C1251" s="140" t="s">
        <v>7956</v>
      </c>
      <c r="D1251" s="140" t="s">
        <v>6309</v>
      </c>
      <c r="E1251" s="140" t="s">
        <v>1223</v>
      </c>
      <c r="F1251" s="140" t="s">
        <v>1223</v>
      </c>
      <c r="G1251" s="141" t="s">
        <v>6401</v>
      </c>
      <c r="H1251" s="140" t="s">
        <v>6312</v>
      </c>
      <c r="I1251" s="140" t="s">
        <v>6313</v>
      </c>
      <c r="J1251" s="140" t="s">
        <v>6314</v>
      </c>
      <c r="K1251" s="140" t="s">
        <v>7567</v>
      </c>
    </row>
    <row r="1252">
      <c r="A1252" s="140" t="s">
        <v>7567</v>
      </c>
      <c r="B1252" s="143">
        <v>6.90222E12</v>
      </c>
      <c r="C1252" s="140" t="s">
        <v>7957</v>
      </c>
      <c r="D1252" s="140" t="s">
        <v>6309</v>
      </c>
      <c r="E1252" s="140" t="s">
        <v>47</v>
      </c>
      <c r="F1252" s="140" t="s">
        <v>7376</v>
      </c>
      <c r="G1252" s="141" t="s">
        <v>6401</v>
      </c>
      <c r="H1252" s="140" t="s">
        <v>6312</v>
      </c>
      <c r="I1252" s="140" t="s">
        <v>6313</v>
      </c>
      <c r="J1252" s="140" t="s">
        <v>6314</v>
      </c>
      <c r="K1252" s="140" t="s">
        <v>7567</v>
      </c>
    </row>
    <row r="1253">
      <c r="A1253" s="140" t="s">
        <v>7567</v>
      </c>
      <c r="B1253" s="143">
        <v>6.90222E12</v>
      </c>
      <c r="C1253" s="140" t="s">
        <v>7958</v>
      </c>
      <c r="D1253" s="140" t="s">
        <v>6309</v>
      </c>
      <c r="E1253" s="140" t="s">
        <v>47</v>
      </c>
      <c r="F1253" s="140" t="s">
        <v>7376</v>
      </c>
      <c r="G1253" s="141" t="s">
        <v>6401</v>
      </c>
      <c r="H1253" s="140" t="s">
        <v>6312</v>
      </c>
      <c r="I1253" s="140" t="s">
        <v>6313</v>
      </c>
      <c r="J1253" s="140" t="s">
        <v>6314</v>
      </c>
      <c r="K1253" s="140" t="s">
        <v>7567</v>
      </c>
    </row>
    <row r="1254">
      <c r="A1254" s="140" t="s">
        <v>7567</v>
      </c>
      <c r="B1254" s="143">
        <v>6.90222E12</v>
      </c>
      <c r="C1254" s="140" t="s">
        <v>7959</v>
      </c>
      <c r="D1254" s="140" t="s">
        <v>6309</v>
      </c>
      <c r="E1254" s="140" t="s">
        <v>56</v>
      </c>
      <c r="F1254" s="140" t="s">
        <v>64</v>
      </c>
      <c r="G1254" s="141" t="s">
        <v>6401</v>
      </c>
      <c r="H1254" s="140" t="s">
        <v>6312</v>
      </c>
      <c r="I1254" s="140" t="s">
        <v>6313</v>
      </c>
      <c r="J1254" s="140" t="s">
        <v>6314</v>
      </c>
      <c r="K1254" s="140" t="s">
        <v>7567</v>
      </c>
    </row>
    <row r="1255">
      <c r="A1255" s="140" t="s">
        <v>7567</v>
      </c>
      <c r="B1255" s="143">
        <v>6.90222E12</v>
      </c>
      <c r="C1255" s="140" t="s">
        <v>7960</v>
      </c>
      <c r="D1255" s="140" t="s">
        <v>6309</v>
      </c>
      <c r="E1255" s="140" t="s">
        <v>56</v>
      </c>
      <c r="F1255" s="140" t="s">
        <v>64</v>
      </c>
      <c r="G1255" s="141" t="s">
        <v>6401</v>
      </c>
      <c r="H1255" s="140" t="s">
        <v>6312</v>
      </c>
      <c r="I1255" s="140" t="s">
        <v>6313</v>
      </c>
      <c r="J1255" s="140" t="s">
        <v>6314</v>
      </c>
      <c r="K1255" s="140" t="s">
        <v>7567</v>
      </c>
    </row>
    <row r="1256">
      <c r="A1256" s="140" t="s">
        <v>7567</v>
      </c>
      <c r="B1256" s="143">
        <v>6.90222E12</v>
      </c>
      <c r="C1256" s="140" t="s">
        <v>7961</v>
      </c>
      <c r="D1256" s="140" t="s">
        <v>6309</v>
      </c>
      <c r="E1256" s="140" t="s">
        <v>56</v>
      </c>
      <c r="F1256" s="140" t="s">
        <v>64</v>
      </c>
      <c r="G1256" s="141" t="s">
        <v>6401</v>
      </c>
      <c r="H1256" s="140" t="s">
        <v>6312</v>
      </c>
      <c r="I1256" s="140" t="s">
        <v>6313</v>
      </c>
      <c r="J1256" s="140" t="s">
        <v>6314</v>
      </c>
      <c r="K1256" s="140" t="s">
        <v>7567</v>
      </c>
    </row>
    <row r="1257">
      <c r="A1257" s="140" t="s">
        <v>7567</v>
      </c>
      <c r="B1257" s="143">
        <v>6.90222E12</v>
      </c>
      <c r="C1257" s="140" t="s">
        <v>7962</v>
      </c>
      <c r="D1257" s="140" t="s">
        <v>6309</v>
      </c>
      <c r="E1257" s="140" t="s">
        <v>56</v>
      </c>
      <c r="F1257" s="140" t="s">
        <v>64</v>
      </c>
      <c r="G1257" s="141" t="s">
        <v>6401</v>
      </c>
      <c r="H1257" s="140" t="s">
        <v>6312</v>
      </c>
      <c r="I1257" s="140" t="s">
        <v>6313</v>
      </c>
      <c r="J1257" s="140" t="s">
        <v>6314</v>
      </c>
      <c r="K1257" s="140" t="s">
        <v>7567</v>
      </c>
    </row>
    <row r="1258">
      <c r="A1258" s="140" t="s">
        <v>7567</v>
      </c>
      <c r="B1258" s="143">
        <v>6.90222E12</v>
      </c>
      <c r="C1258" s="140" t="s">
        <v>7963</v>
      </c>
      <c r="D1258" s="140" t="s">
        <v>6309</v>
      </c>
      <c r="E1258" s="140" t="s">
        <v>56</v>
      </c>
      <c r="F1258" s="140" t="s">
        <v>64</v>
      </c>
      <c r="G1258" s="141" t="s">
        <v>6401</v>
      </c>
      <c r="H1258" s="140" t="s">
        <v>6312</v>
      </c>
      <c r="I1258" s="140" t="s">
        <v>6313</v>
      </c>
      <c r="J1258" s="140" t="s">
        <v>6314</v>
      </c>
      <c r="K1258" s="140" t="s">
        <v>7567</v>
      </c>
    </row>
    <row r="1259">
      <c r="A1259" s="140" t="s">
        <v>7567</v>
      </c>
      <c r="B1259" s="143">
        <v>6.90222E12</v>
      </c>
      <c r="C1259" s="140" t="s">
        <v>7964</v>
      </c>
      <c r="D1259" s="140" t="s">
        <v>6309</v>
      </c>
      <c r="E1259" s="140" t="s">
        <v>56</v>
      </c>
      <c r="F1259" s="140" t="s">
        <v>64</v>
      </c>
      <c r="G1259" s="141" t="s">
        <v>6401</v>
      </c>
      <c r="H1259" s="140" t="s">
        <v>6312</v>
      </c>
      <c r="I1259" s="140" t="s">
        <v>6313</v>
      </c>
      <c r="J1259" s="140" t="s">
        <v>6314</v>
      </c>
      <c r="K1259" s="140" t="s">
        <v>7567</v>
      </c>
    </row>
    <row r="1260">
      <c r="A1260" s="140" t="s">
        <v>7567</v>
      </c>
      <c r="B1260" s="143">
        <v>6.90222E12</v>
      </c>
      <c r="C1260" s="140" t="s">
        <v>7965</v>
      </c>
      <c r="D1260" s="140" t="s">
        <v>6309</v>
      </c>
      <c r="E1260" s="140" t="s">
        <v>56</v>
      </c>
      <c r="F1260" s="140" t="s">
        <v>64</v>
      </c>
      <c r="G1260" s="141" t="s">
        <v>6401</v>
      </c>
      <c r="H1260" s="140" t="s">
        <v>6312</v>
      </c>
      <c r="I1260" s="140" t="s">
        <v>6313</v>
      </c>
      <c r="J1260" s="140" t="s">
        <v>6314</v>
      </c>
      <c r="K1260" s="140" t="s">
        <v>7567</v>
      </c>
    </row>
    <row r="1261">
      <c r="A1261" s="140" t="s">
        <v>7567</v>
      </c>
      <c r="B1261" s="143">
        <v>6.90222E12</v>
      </c>
      <c r="C1261" s="140" t="s">
        <v>7966</v>
      </c>
      <c r="D1261" s="140" t="s">
        <v>6309</v>
      </c>
      <c r="E1261" s="140" t="s">
        <v>56</v>
      </c>
      <c r="F1261" s="140" t="s">
        <v>64</v>
      </c>
      <c r="G1261" s="141" t="s">
        <v>6401</v>
      </c>
      <c r="H1261" s="140" t="s">
        <v>6312</v>
      </c>
      <c r="I1261" s="140" t="s">
        <v>6313</v>
      </c>
      <c r="J1261" s="140" t="s">
        <v>6314</v>
      </c>
      <c r="K1261" s="140" t="s">
        <v>7567</v>
      </c>
    </row>
    <row r="1262">
      <c r="A1262" s="140" t="s">
        <v>7567</v>
      </c>
      <c r="B1262" s="143">
        <v>6.90222E12</v>
      </c>
      <c r="C1262" s="140" t="s">
        <v>7967</v>
      </c>
      <c r="D1262" s="140" t="s">
        <v>6620</v>
      </c>
      <c r="E1262" s="140" t="s">
        <v>7268</v>
      </c>
      <c r="F1262" s="140" t="s">
        <v>7269</v>
      </c>
      <c r="G1262" s="141" t="s">
        <v>6401</v>
      </c>
      <c r="H1262" s="140" t="s">
        <v>6312</v>
      </c>
      <c r="I1262" s="140" t="s">
        <v>6313</v>
      </c>
      <c r="J1262" s="140" t="s">
        <v>6314</v>
      </c>
      <c r="K1262" s="140" t="s">
        <v>7567</v>
      </c>
    </row>
    <row r="1263">
      <c r="A1263" s="140" t="s">
        <v>7567</v>
      </c>
      <c r="B1263" s="143">
        <v>6.90222E12</v>
      </c>
      <c r="C1263" s="140" t="s">
        <v>7968</v>
      </c>
      <c r="D1263" s="140" t="s">
        <v>6620</v>
      </c>
      <c r="E1263" s="140" t="s">
        <v>7268</v>
      </c>
      <c r="F1263" s="140" t="s">
        <v>7269</v>
      </c>
      <c r="G1263" s="141" t="s">
        <v>6401</v>
      </c>
      <c r="H1263" s="140" t="s">
        <v>6312</v>
      </c>
      <c r="I1263" s="140" t="s">
        <v>6313</v>
      </c>
      <c r="J1263" s="140" t="s">
        <v>6314</v>
      </c>
      <c r="K1263" s="140" t="s">
        <v>7567</v>
      </c>
    </row>
    <row r="1264">
      <c r="A1264" s="140" t="s">
        <v>7567</v>
      </c>
      <c r="B1264" s="143">
        <v>6.90222E12</v>
      </c>
      <c r="C1264" s="140" t="s">
        <v>7969</v>
      </c>
      <c r="D1264" s="140" t="s">
        <v>6620</v>
      </c>
      <c r="E1264" s="140" t="s">
        <v>7268</v>
      </c>
      <c r="F1264" s="140" t="s">
        <v>7269</v>
      </c>
      <c r="G1264" s="141" t="s">
        <v>6401</v>
      </c>
      <c r="H1264" s="140" t="s">
        <v>6312</v>
      </c>
      <c r="I1264" s="140" t="s">
        <v>6313</v>
      </c>
      <c r="J1264" s="140" t="s">
        <v>6314</v>
      </c>
      <c r="K1264" s="140" t="s">
        <v>7567</v>
      </c>
    </row>
    <row r="1265">
      <c r="A1265" s="140" t="s">
        <v>7567</v>
      </c>
      <c r="B1265" s="143">
        <v>6.90792E12</v>
      </c>
      <c r="C1265" s="140" t="s">
        <v>7970</v>
      </c>
      <c r="D1265" s="140" t="s">
        <v>6620</v>
      </c>
      <c r="E1265" s="140" t="s">
        <v>7268</v>
      </c>
      <c r="F1265" s="140" t="s">
        <v>7269</v>
      </c>
      <c r="G1265" s="141" t="s">
        <v>6401</v>
      </c>
      <c r="H1265" s="140" t="s">
        <v>6312</v>
      </c>
      <c r="I1265" s="140" t="s">
        <v>6313</v>
      </c>
      <c r="J1265" s="140" t="s">
        <v>6314</v>
      </c>
      <c r="K1265" s="140" t="s">
        <v>7567</v>
      </c>
    </row>
    <row r="1266">
      <c r="A1266" s="140" t="s">
        <v>7567</v>
      </c>
      <c r="B1266" s="143">
        <v>6.90222E12</v>
      </c>
      <c r="C1266" s="140" t="s">
        <v>7971</v>
      </c>
      <c r="D1266" s="140" t="s">
        <v>6620</v>
      </c>
      <c r="E1266" s="140" t="s">
        <v>7268</v>
      </c>
      <c r="F1266" s="140" t="s">
        <v>7269</v>
      </c>
      <c r="G1266" s="141" t="s">
        <v>6401</v>
      </c>
      <c r="H1266" s="140" t="s">
        <v>6312</v>
      </c>
      <c r="I1266" s="140" t="s">
        <v>6313</v>
      </c>
      <c r="J1266" s="140" t="s">
        <v>6314</v>
      </c>
      <c r="K1266" s="140" t="s">
        <v>7567</v>
      </c>
    </row>
    <row r="1267">
      <c r="A1267" s="140" t="s">
        <v>7567</v>
      </c>
      <c r="B1267" s="143">
        <v>6.90802E12</v>
      </c>
      <c r="C1267" s="140" t="s">
        <v>7972</v>
      </c>
      <c r="D1267" s="140" t="s">
        <v>6620</v>
      </c>
      <c r="E1267" s="140" t="s">
        <v>7268</v>
      </c>
      <c r="F1267" s="140" t="s">
        <v>7269</v>
      </c>
      <c r="G1267" s="141" t="s">
        <v>6401</v>
      </c>
      <c r="H1267" s="140" t="s">
        <v>6312</v>
      </c>
      <c r="I1267" s="140" t="s">
        <v>6313</v>
      </c>
      <c r="J1267" s="140" t="s">
        <v>6314</v>
      </c>
      <c r="K1267" s="140" t="s">
        <v>7567</v>
      </c>
    </row>
    <row r="1268">
      <c r="A1268" s="140" t="s">
        <v>7567</v>
      </c>
      <c r="B1268" s="143">
        <v>6.90222E12</v>
      </c>
      <c r="C1268" s="140" t="s">
        <v>7973</v>
      </c>
      <c r="D1268" s="140" t="s">
        <v>6620</v>
      </c>
      <c r="E1268" s="140" t="s">
        <v>7268</v>
      </c>
      <c r="F1268" s="140" t="s">
        <v>7269</v>
      </c>
      <c r="G1268" s="141" t="s">
        <v>6401</v>
      </c>
      <c r="H1268" s="140" t="s">
        <v>6312</v>
      </c>
      <c r="I1268" s="140" t="s">
        <v>6313</v>
      </c>
      <c r="J1268" s="140" t="s">
        <v>6314</v>
      </c>
      <c r="K1268" s="140" t="s">
        <v>7567</v>
      </c>
    </row>
    <row r="1269">
      <c r="A1269" s="140" t="s">
        <v>7567</v>
      </c>
      <c r="B1269" s="143">
        <v>6.90222E12</v>
      </c>
      <c r="C1269" s="140" t="s">
        <v>7974</v>
      </c>
      <c r="D1269" s="140" t="s">
        <v>6620</v>
      </c>
      <c r="E1269" s="140" t="s">
        <v>7268</v>
      </c>
      <c r="F1269" s="140" t="s">
        <v>7269</v>
      </c>
      <c r="G1269" s="141" t="s">
        <v>6401</v>
      </c>
      <c r="H1269" s="140" t="s">
        <v>6312</v>
      </c>
      <c r="I1269" s="140" t="s">
        <v>6313</v>
      </c>
      <c r="J1269" s="140" t="s">
        <v>6314</v>
      </c>
      <c r="K1269" s="140" t="s">
        <v>7567</v>
      </c>
    </row>
    <row r="1270">
      <c r="A1270" s="140" t="s">
        <v>7567</v>
      </c>
      <c r="B1270" s="143">
        <v>6.90222E12</v>
      </c>
      <c r="C1270" s="140" t="s">
        <v>7975</v>
      </c>
      <c r="D1270" s="140" t="s">
        <v>6620</v>
      </c>
      <c r="E1270" s="140" t="s">
        <v>7268</v>
      </c>
      <c r="F1270" s="140" t="s">
        <v>7269</v>
      </c>
      <c r="G1270" s="141" t="s">
        <v>6401</v>
      </c>
      <c r="H1270" s="140" t="s">
        <v>6312</v>
      </c>
      <c r="I1270" s="140" t="s">
        <v>6313</v>
      </c>
      <c r="J1270" s="140" t="s">
        <v>6314</v>
      </c>
      <c r="K1270" s="140" t="s">
        <v>7567</v>
      </c>
    </row>
    <row r="1271">
      <c r="A1271" s="140" t="s">
        <v>7567</v>
      </c>
      <c r="B1271" s="143">
        <v>6.90222E12</v>
      </c>
      <c r="C1271" s="140" t="s">
        <v>7976</v>
      </c>
      <c r="D1271" s="140" t="s">
        <v>6620</v>
      </c>
      <c r="E1271" s="140" t="s">
        <v>7268</v>
      </c>
      <c r="F1271" s="140" t="s">
        <v>7269</v>
      </c>
      <c r="G1271" s="141" t="s">
        <v>6401</v>
      </c>
      <c r="H1271" s="140" t="s">
        <v>6312</v>
      </c>
      <c r="I1271" s="140" t="s">
        <v>6313</v>
      </c>
      <c r="J1271" s="140" t="s">
        <v>6314</v>
      </c>
      <c r="K1271" s="140" t="s">
        <v>7567</v>
      </c>
    </row>
    <row r="1272">
      <c r="A1272" s="140" t="s">
        <v>7567</v>
      </c>
      <c r="B1272" s="143">
        <v>6.90222E12</v>
      </c>
      <c r="C1272" s="140" t="s">
        <v>7977</v>
      </c>
      <c r="D1272" s="140" t="s">
        <v>6620</v>
      </c>
      <c r="E1272" s="140" t="s">
        <v>7268</v>
      </c>
      <c r="F1272" s="140" t="s">
        <v>7269</v>
      </c>
      <c r="G1272" s="141" t="s">
        <v>6401</v>
      </c>
      <c r="H1272" s="140" t="s">
        <v>6312</v>
      </c>
      <c r="I1272" s="140" t="s">
        <v>6313</v>
      </c>
      <c r="J1272" s="140" t="s">
        <v>6314</v>
      </c>
      <c r="K1272" s="140" t="s">
        <v>7567</v>
      </c>
    </row>
    <row r="1273">
      <c r="A1273" s="140" t="s">
        <v>7567</v>
      </c>
      <c r="B1273" s="143">
        <v>6.90222E12</v>
      </c>
      <c r="C1273" s="140" t="s">
        <v>7978</v>
      </c>
      <c r="D1273" s="140" t="s">
        <v>6620</v>
      </c>
      <c r="E1273" s="140" t="s">
        <v>7268</v>
      </c>
      <c r="F1273" s="140" t="s">
        <v>7269</v>
      </c>
      <c r="G1273" s="141" t="s">
        <v>6401</v>
      </c>
      <c r="H1273" s="140" t="s">
        <v>6312</v>
      </c>
      <c r="I1273" s="140" t="s">
        <v>6313</v>
      </c>
      <c r="J1273" s="140" t="s">
        <v>6314</v>
      </c>
      <c r="K1273" s="140" t="s">
        <v>7567</v>
      </c>
    </row>
    <row r="1274">
      <c r="A1274" s="140" t="s">
        <v>7567</v>
      </c>
      <c r="B1274" s="143">
        <v>6.90222E12</v>
      </c>
      <c r="C1274" s="140" t="s">
        <v>7979</v>
      </c>
      <c r="D1274" s="140" t="s">
        <v>6620</v>
      </c>
      <c r="E1274" s="140" t="s">
        <v>7268</v>
      </c>
      <c r="F1274" s="140" t="s">
        <v>7269</v>
      </c>
      <c r="G1274" s="141" t="s">
        <v>6401</v>
      </c>
      <c r="H1274" s="140" t="s">
        <v>6312</v>
      </c>
      <c r="I1274" s="140" t="s">
        <v>6313</v>
      </c>
      <c r="J1274" s="140" t="s">
        <v>6314</v>
      </c>
      <c r="K1274" s="140" t="s">
        <v>7567</v>
      </c>
    </row>
    <row r="1275">
      <c r="A1275" s="140" t="s">
        <v>7567</v>
      </c>
      <c r="B1275" s="143">
        <v>6.90222E12</v>
      </c>
      <c r="C1275" s="140" t="s">
        <v>7980</v>
      </c>
      <c r="D1275" s="140" t="s">
        <v>6620</v>
      </c>
      <c r="E1275" s="140" t="s">
        <v>7268</v>
      </c>
      <c r="F1275" s="140" t="s">
        <v>7269</v>
      </c>
      <c r="G1275" s="141" t="s">
        <v>6401</v>
      </c>
      <c r="H1275" s="140" t="s">
        <v>6312</v>
      </c>
      <c r="I1275" s="140" t="s">
        <v>6313</v>
      </c>
      <c r="J1275" s="140" t="s">
        <v>6314</v>
      </c>
      <c r="K1275" s="140" t="s">
        <v>7567</v>
      </c>
    </row>
    <row r="1276">
      <c r="A1276" s="140" t="s">
        <v>7567</v>
      </c>
      <c r="B1276" s="143">
        <v>6.90222E12</v>
      </c>
      <c r="C1276" s="140" t="s">
        <v>7981</v>
      </c>
      <c r="D1276" s="140" t="s">
        <v>6620</v>
      </c>
      <c r="E1276" s="140" t="s">
        <v>7268</v>
      </c>
      <c r="F1276" s="140" t="s">
        <v>7269</v>
      </c>
      <c r="G1276" s="141" t="s">
        <v>6401</v>
      </c>
      <c r="H1276" s="140" t="s">
        <v>6312</v>
      </c>
      <c r="I1276" s="140" t="s">
        <v>6313</v>
      </c>
      <c r="J1276" s="140" t="s">
        <v>6314</v>
      </c>
      <c r="K1276" s="140" t="s">
        <v>7567</v>
      </c>
    </row>
    <row r="1277">
      <c r="A1277" s="140" t="s">
        <v>7567</v>
      </c>
      <c r="B1277" s="143">
        <v>6.90222E12</v>
      </c>
      <c r="C1277" s="140" t="s">
        <v>7982</v>
      </c>
      <c r="D1277" s="140" t="s">
        <v>6620</v>
      </c>
      <c r="E1277" s="140" t="s">
        <v>7268</v>
      </c>
      <c r="F1277" s="140" t="s">
        <v>7269</v>
      </c>
      <c r="G1277" s="141" t="s">
        <v>6401</v>
      </c>
      <c r="H1277" s="140" t="s">
        <v>6312</v>
      </c>
      <c r="I1277" s="140" t="s">
        <v>6313</v>
      </c>
      <c r="J1277" s="140" t="s">
        <v>6314</v>
      </c>
      <c r="K1277" s="140" t="s">
        <v>7567</v>
      </c>
    </row>
    <row r="1278">
      <c r="A1278" s="140" t="s">
        <v>7567</v>
      </c>
      <c r="B1278" s="143">
        <v>6.90222E12</v>
      </c>
      <c r="C1278" s="140" t="s">
        <v>7983</v>
      </c>
      <c r="D1278" s="140" t="s">
        <v>6620</v>
      </c>
      <c r="E1278" s="140" t="s">
        <v>7268</v>
      </c>
      <c r="F1278" s="140" t="s">
        <v>7269</v>
      </c>
      <c r="G1278" s="141" t="s">
        <v>6401</v>
      </c>
      <c r="H1278" s="140" t="s">
        <v>6312</v>
      </c>
      <c r="I1278" s="140" t="s">
        <v>6313</v>
      </c>
      <c r="J1278" s="140" t="s">
        <v>6314</v>
      </c>
      <c r="K1278" s="140" t="s">
        <v>7567</v>
      </c>
    </row>
    <row r="1279">
      <c r="A1279" s="140" t="s">
        <v>7567</v>
      </c>
      <c r="B1279" s="143">
        <v>6.90222E12</v>
      </c>
      <c r="C1279" s="140" t="s">
        <v>7984</v>
      </c>
      <c r="D1279" s="140" t="s">
        <v>6620</v>
      </c>
      <c r="E1279" s="140" t="s">
        <v>7268</v>
      </c>
      <c r="F1279" s="140" t="s">
        <v>7269</v>
      </c>
      <c r="G1279" s="141" t="s">
        <v>6401</v>
      </c>
      <c r="H1279" s="140" t="s">
        <v>6312</v>
      </c>
      <c r="I1279" s="140" t="s">
        <v>6313</v>
      </c>
      <c r="J1279" s="140" t="s">
        <v>6314</v>
      </c>
      <c r="K1279" s="140" t="s">
        <v>7567</v>
      </c>
    </row>
    <row r="1280">
      <c r="A1280" s="140" t="s">
        <v>7567</v>
      </c>
      <c r="B1280" s="143">
        <v>6.90222E12</v>
      </c>
      <c r="C1280" s="140" t="s">
        <v>7985</v>
      </c>
      <c r="D1280" s="140" t="s">
        <v>6620</v>
      </c>
      <c r="E1280" s="140" t="s">
        <v>7268</v>
      </c>
      <c r="F1280" s="140" t="s">
        <v>7269</v>
      </c>
      <c r="G1280" s="141" t="s">
        <v>6401</v>
      </c>
      <c r="H1280" s="140" t="s">
        <v>6312</v>
      </c>
      <c r="I1280" s="140" t="s">
        <v>6313</v>
      </c>
      <c r="J1280" s="140" t="s">
        <v>6314</v>
      </c>
      <c r="K1280" s="140" t="s">
        <v>7567</v>
      </c>
    </row>
    <row r="1281">
      <c r="A1281" s="140" t="s">
        <v>7567</v>
      </c>
      <c r="B1281" s="143">
        <v>6.90222E12</v>
      </c>
      <c r="C1281" s="140" t="s">
        <v>7986</v>
      </c>
      <c r="D1281" s="140" t="s">
        <v>6620</v>
      </c>
      <c r="E1281" s="140" t="s">
        <v>7268</v>
      </c>
      <c r="F1281" s="140" t="s">
        <v>7269</v>
      </c>
      <c r="G1281" s="141" t="s">
        <v>6401</v>
      </c>
      <c r="H1281" s="140" t="s">
        <v>6312</v>
      </c>
      <c r="I1281" s="140" t="s">
        <v>6313</v>
      </c>
      <c r="J1281" s="140" t="s">
        <v>6314</v>
      </c>
      <c r="K1281" s="140" t="s">
        <v>7567</v>
      </c>
    </row>
    <row r="1282">
      <c r="A1282" s="140" t="s">
        <v>7567</v>
      </c>
      <c r="B1282" s="143">
        <v>6.90222E12</v>
      </c>
      <c r="C1282" s="140" t="s">
        <v>7987</v>
      </c>
      <c r="D1282" s="140" t="s">
        <v>6620</v>
      </c>
      <c r="E1282" s="140" t="s">
        <v>7268</v>
      </c>
      <c r="F1282" s="140" t="s">
        <v>7269</v>
      </c>
      <c r="G1282" s="141" t="s">
        <v>6401</v>
      </c>
      <c r="H1282" s="140" t="s">
        <v>6312</v>
      </c>
      <c r="I1282" s="140" t="s">
        <v>6313</v>
      </c>
      <c r="J1282" s="140" t="s">
        <v>6314</v>
      </c>
      <c r="K1282" s="140" t="s">
        <v>7567</v>
      </c>
    </row>
    <row r="1283">
      <c r="A1283" s="140" t="s">
        <v>7567</v>
      </c>
      <c r="B1283" s="143">
        <v>6.90222E12</v>
      </c>
      <c r="C1283" s="140" t="s">
        <v>7988</v>
      </c>
      <c r="D1283" s="140" t="s">
        <v>6620</v>
      </c>
      <c r="E1283" s="140" t="s">
        <v>7268</v>
      </c>
      <c r="F1283" s="140" t="s">
        <v>7269</v>
      </c>
      <c r="G1283" s="141" t="s">
        <v>6401</v>
      </c>
      <c r="H1283" s="140" t="s">
        <v>6312</v>
      </c>
      <c r="I1283" s="140" t="s">
        <v>6313</v>
      </c>
      <c r="J1283" s="140" t="s">
        <v>6314</v>
      </c>
      <c r="K1283" s="140" t="s">
        <v>7567</v>
      </c>
    </row>
    <row r="1284">
      <c r="A1284" s="140" t="s">
        <v>7567</v>
      </c>
      <c r="B1284" s="143">
        <v>6.90222E12</v>
      </c>
      <c r="C1284" s="140" t="s">
        <v>7989</v>
      </c>
      <c r="D1284" s="140" t="s">
        <v>6620</v>
      </c>
      <c r="E1284" s="140" t="s">
        <v>7268</v>
      </c>
      <c r="F1284" s="140" t="s">
        <v>7269</v>
      </c>
      <c r="G1284" s="141" t="s">
        <v>6401</v>
      </c>
      <c r="H1284" s="140" t="s">
        <v>6312</v>
      </c>
      <c r="I1284" s="140" t="s">
        <v>6313</v>
      </c>
      <c r="J1284" s="140" t="s">
        <v>6314</v>
      </c>
      <c r="K1284" s="140" t="s">
        <v>7567</v>
      </c>
    </row>
    <row r="1285">
      <c r="A1285" s="140" t="s">
        <v>7567</v>
      </c>
      <c r="B1285" s="143">
        <v>6.90222E12</v>
      </c>
      <c r="C1285" s="140" t="s">
        <v>7990</v>
      </c>
      <c r="D1285" s="140" t="s">
        <v>6620</v>
      </c>
      <c r="E1285" s="140" t="s">
        <v>7268</v>
      </c>
      <c r="F1285" s="140" t="s">
        <v>7269</v>
      </c>
      <c r="G1285" s="141" t="s">
        <v>6401</v>
      </c>
      <c r="H1285" s="140" t="s">
        <v>6312</v>
      </c>
      <c r="I1285" s="140" t="s">
        <v>6313</v>
      </c>
      <c r="J1285" s="140" t="s">
        <v>6314</v>
      </c>
      <c r="K1285" s="140" t="s">
        <v>7567</v>
      </c>
    </row>
    <row r="1286">
      <c r="A1286" s="140" t="s">
        <v>7567</v>
      </c>
      <c r="B1286" s="143">
        <v>6.90222E12</v>
      </c>
      <c r="C1286" s="140" t="s">
        <v>7991</v>
      </c>
      <c r="D1286" s="140" t="s">
        <v>6620</v>
      </c>
      <c r="E1286" s="140" t="s">
        <v>7268</v>
      </c>
      <c r="F1286" s="140" t="s">
        <v>7269</v>
      </c>
      <c r="G1286" s="141" t="s">
        <v>6401</v>
      </c>
      <c r="H1286" s="140" t="s">
        <v>6312</v>
      </c>
      <c r="I1286" s="140" t="s">
        <v>6313</v>
      </c>
      <c r="J1286" s="140" t="s">
        <v>6314</v>
      </c>
      <c r="K1286" s="140" t="s">
        <v>7567</v>
      </c>
    </row>
    <row r="1287">
      <c r="A1287" s="140" t="s">
        <v>7567</v>
      </c>
      <c r="B1287" s="143">
        <v>6.90222E12</v>
      </c>
      <c r="C1287" s="140" t="s">
        <v>7992</v>
      </c>
      <c r="D1287" s="140" t="s">
        <v>6620</v>
      </c>
      <c r="E1287" s="140" t="s">
        <v>7268</v>
      </c>
      <c r="F1287" s="140" t="s">
        <v>7269</v>
      </c>
      <c r="G1287" s="141" t="s">
        <v>6401</v>
      </c>
      <c r="H1287" s="140" t="s">
        <v>6312</v>
      </c>
      <c r="I1287" s="140" t="s">
        <v>6313</v>
      </c>
      <c r="J1287" s="140" t="s">
        <v>6314</v>
      </c>
      <c r="K1287" s="140" t="s">
        <v>7567</v>
      </c>
    </row>
    <row r="1288">
      <c r="A1288" s="140" t="s">
        <v>7567</v>
      </c>
      <c r="B1288" s="143">
        <v>6.90222E12</v>
      </c>
      <c r="C1288" s="140" t="s">
        <v>7993</v>
      </c>
      <c r="D1288" s="140" t="s">
        <v>6620</v>
      </c>
      <c r="E1288" s="140" t="s">
        <v>7268</v>
      </c>
      <c r="F1288" s="140" t="s">
        <v>7269</v>
      </c>
      <c r="G1288" s="141" t="s">
        <v>6401</v>
      </c>
      <c r="H1288" s="140" t="s">
        <v>6312</v>
      </c>
      <c r="I1288" s="140" t="s">
        <v>6313</v>
      </c>
      <c r="J1288" s="140" t="s">
        <v>6314</v>
      </c>
      <c r="K1288" s="140" t="s">
        <v>7567</v>
      </c>
    </row>
    <row r="1289">
      <c r="A1289" s="140" t="s">
        <v>7567</v>
      </c>
      <c r="B1289" s="143">
        <v>6.90222E12</v>
      </c>
      <c r="C1289" s="140" t="s">
        <v>7994</v>
      </c>
      <c r="D1289" s="140" t="s">
        <v>6620</v>
      </c>
      <c r="E1289" s="140" t="s">
        <v>7268</v>
      </c>
      <c r="F1289" s="140" t="s">
        <v>7269</v>
      </c>
      <c r="G1289" s="141" t="s">
        <v>6401</v>
      </c>
      <c r="H1289" s="140" t="s">
        <v>6312</v>
      </c>
      <c r="I1289" s="140" t="s">
        <v>6313</v>
      </c>
      <c r="J1289" s="140" t="s">
        <v>6314</v>
      </c>
      <c r="K1289" s="140" t="s">
        <v>7567</v>
      </c>
    </row>
    <row r="1290">
      <c r="A1290" s="140" t="s">
        <v>7567</v>
      </c>
      <c r="B1290" s="143">
        <v>6.90222E12</v>
      </c>
      <c r="C1290" s="140" t="s">
        <v>7995</v>
      </c>
      <c r="D1290" s="140" t="s">
        <v>7996</v>
      </c>
      <c r="E1290" s="140" t="s">
        <v>7997</v>
      </c>
      <c r="F1290" s="140" t="s">
        <v>7998</v>
      </c>
      <c r="G1290" s="141" t="s">
        <v>6401</v>
      </c>
      <c r="H1290" s="140" t="s">
        <v>6312</v>
      </c>
      <c r="I1290" s="140" t="s">
        <v>6313</v>
      </c>
      <c r="J1290" s="140" t="s">
        <v>6314</v>
      </c>
      <c r="K1290" s="140" t="s">
        <v>7567</v>
      </c>
    </row>
    <row r="1291">
      <c r="A1291" s="140" t="s">
        <v>7567</v>
      </c>
      <c r="B1291" s="143">
        <v>6.90222E12</v>
      </c>
      <c r="C1291" s="140" t="s">
        <v>7999</v>
      </c>
      <c r="D1291" s="140" t="s">
        <v>6318</v>
      </c>
      <c r="E1291" s="140" t="s">
        <v>8000</v>
      </c>
      <c r="F1291" s="140" t="s">
        <v>8001</v>
      </c>
      <c r="G1291" s="141" t="s">
        <v>6401</v>
      </c>
      <c r="H1291" s="140" t="s">
        <v>6312</v>
      </c>
      <c r="I1291" s="140" t="s">
        <v>6313</v>
      </c>
      <c r="J1291" s="140" t="s">
        <v>6314</v>
      </c>
      <c r="K1291" s="140" t="s">
        <v>7567</v>
      </c>
    </row>
    <row r="1292">
      <c r="A1292" s="140" t="s">
        <v>7567</v>
      </c>
      <c r="B1292" s="143">
        <v>6.90222E12</v>
      </c>
      <c r="C1292" s="140" t="s">
        <v>8002</v>
      </c>
      <c r="D1292" s="140" t="s">
        <v>6318</v>
      </c>
      <c r="E1292" s="140" t="s">
        <v>8000</v>
      </c>
      <c r="F1292" s="140" t="s">
        <v>8001</v>
      </c>
      <c r="G1292" s="141" t="s">
        <v>6401</v>
      </c>
      <c r="H1292" s="140" t="s">
        <v>6312</v>
      </c>
      <c r="I1292" s="140" t="s">
        <v>6313</v>
      </c>
      <c r="J1292" s="140" t="s">
        <v>6314</v>
      </c>
      <c r="K1292" s="140" t="s">
        <v>7567</v>
      </c>
    </row>
    <row r="1293">
      <c r="A1293" s="140" t="s">
        <v>7567</v>
      </c>
      <c r="B1293" s="143">
        <v>6.90222E12</v>
      </c>
      <c r="C1293" s="140" t="s">
        <v>8003</v>
      </c>
      <c r="D1293" s="140" t="s">
        <v>6318</v>
      </c>
      <c r="E1293" s="140" t="s">
        <v>8000</v>
      </c>
      <c r="F1293" s="140" t="s">
        <v>8001</v>
      </c>
      <c r="G1293" s="141" t="s">
        <v>6401</v>
      </c>
      <c r="H1293" s="140" t="s">
        <v>6312</v>
      </c>
      <c r="I1293" s="140" t="s">
        <v>6313</v>
      </c>
      <c r="J1293" s="140" t="s">
        <v>6314</v>
      </c>
      <c r="K1293" s="140" t="s">
        <v>7567</v>
      </c>
    </row>
    <row r="1294">
      <c r="A1294" s="140" t="s">
        <v>7567</v>
      </c>
      <c r="B1294" s="143">
        <v>6.90222E12</v>
      </c>
      <c r="C1294" s="140" t="s">
        <v>8004</v>
      </c>
      <c r="D1294" s="140" t="s">
        <v>6318</v>
      </c>
      <c r="E1294" s="140" t="s">
        <v>8000</v>
      </c>
      <c r="F1294" s="140" t="s">
        <v>8001</v>
      </c>
      <c r="G1294" s="141" t="s">
        <v>6401</v>
      </c>
      <c r="H1294" s="140" t="s">
        <v>6312</v>
      </c>
      <c r="I1294" s="140" t="s">
        <v>6313</v>
      </c>
      <c r="J1294" s="140" t="s">
        <v>6314</v>
      </c>
      <c r="K1294" s="140" t="s">
        <v>7567</v>
      </c>
    </row>
    <row r="1295">
      <c r="A1295" s="140" t="s">
        <v>7567</v>
      </c>
      <c r="B1295" s="143">
        <v>6.90222E12</v>
      </c>
      <c r="C1295" s="140" t="s">
        <v>8005</v>
      </c>
      <c r="D1295" s="140" t="s">
        <v>6318</v>
      </c>
      <c r="E1295" s="140" t="s">
        <v>8000</v>
      </c>
      <c r="F1295" s="140" t="s">
        <v>8001</v>
      </c>
      <c r="G1295" s="141" t="s">
        <v>6401</v>
      </c>
      <c r="H1295" s="140" t="s">
        <v>6312</v>
      </c>
      <c r="I1295" s="140" t="s">
        <v>6313</v>
      </c>
      <c r="J1295" s="140" t="s">
        <v>6314</v>
      </c>
      <c r="K1295" s="140" t="s">
        <v>7567</v>
      </c>
    </row>
    <row r="1296">
      <c r="A1296" s="140" t="s">
        <v>7567</v>
      </c>
      <c r="B1296" s="143">
        <v>6.90222E12</v>
      </c>
      <c r="C1296" s="140" t="s">
        <v>8006</v>
      </c>
      <c r="D1296" s="140" t="s">
        <v>6318</v>
      </c>
      <c r="E1296" s="140" t="s">
        <v>8000</v>
      </c>
      <c r="F1296" s="140" t="s">
        <v>8001</v>
      </c>
      <c r="G1296" s="141" t="s">
        <v>6401</v>
      </c>
      <c r="H1296" s="140" t="s">
        <v>6312</v>
      </c>
      <c r="I1296" s="140" t="s">
        <v>6313</v>
      </c>
      <c r="J1296" s="140" t="s">
        <v>6314</v>
      </c>
      <c r="K1296" s="140" t="s">
        <v>7567</v>
      </c>
    </row>
    <row r="1297">
      <c r="A1297" s="140" t="s">
        <v>7567</v>
      </c>
      <c r="B1297" s="143">
        <v>6.90222E12</v>
      </c>
      <c r="C1297" s="140" t="s">
        <v>8007</v>
      </c>
      <c r="D1297" s="140" t="s">
        <v>6318</v>
      </c>
      <c r="E1297" s="140" t="s">
        <v>8000</v>
      </c>
      <c r="F1297" s="140" t="s">
        <v>8001</v>
      </c>
      <c r="G1297" s="141" t="s">
        <v>6401</v>
      </c>
      <c r="H1297" s="140" t="s">
        <v>6312</v>
      </c>
      <c r="I1297" s="140" t="s">
        <v>6313</v>
      </c>
      <c r="J1297" s="140" t="s">
        <v>6314</v>
      </c>
      <c r="K1297" s="140" t="s">
        <v>7567</v>
      </c>
    </row>
    <row r="1298">
      <c r="A1298" s="140" t="s">
        <v>7567</v>
      </c>
      <c r="B1298" s="143">
        <v>6.90962E12</v>
      </c>
      <c r="C1298" s="140" t="s">
        <v>8008</v>
      </c>
      <c r="D1298" s="140" t="s">
        <v>6318</v>
      </c>
      <c r="E1298" s="140" t="s">
        <v>8000</v>
      </c>
      <c r="F1298" s="140" t="s">
        <v>8001</v>
      </c>
      <c r="G1298" s="141" t="s">
        <v>6401</v>
      </c>
      <c r="H1298" s="140" t="s">
        <v>6312</v>
      </c>
      <c r="I1298" s="140" t="s">
        <v>6313</v>
      </c>
      <c r="J1298" s="140" t="s">
        <v>6314</v>
      </c>
      <c r="K1298" s="140" t="s">
        <v>7567</v>
      </c>
    </row>
    <row r="1299">
      <c r="A1299" s="140" t="s">
        <v>7567</v>
      </c>
      <c r="B1299" s="143">
        <v>6.90222E12</v>
      </c>
      <c r="C1299" s="140" t="s">
        <v>8009</v>
      </c>
      <c r="D1299" s="140" t="s">
        <v>6318</v>
      </c>
      <c r="E1299" s="140" t="s">
        <v>1225</v>
      </c>
      <c r="F1299" s="140" t="s">
        <v>1226</v>
      </c>
      <c r="G1299" s="141" t="s">
        <v>6401</v>
      </c>
      <c r="H1299" s="140" t="s">
        <v>6312</v>
      </c>
      <c r="I1299" s="140" t="s">
        <v>6313</v>
      </c>
      <c r="J1299" s="140" t="s">
        <v>6314</v>
      </c>
      <c r="K1299" s="140" t="s">
        <v>7567</v>
      </c>
    </row>
    <row r="1300">
      <c r="A1300" s="140" t="s">
        <v>7567</v>
      </c>
      <c r="B1300" s="143">
        <v>6.90222E12</v>
      </c>
      <c r="C1300" s="140" t="s">
        <v>8010</v>
      </c>
      <c r="D1300" s="140" t="s">
        <v>6318</v>
      </c>
      <c r="E1300" s="140" t="s">
        <v>1225</v>
      </c>
      <c r="F1300" s="140" t="s">
        <v>1226</v>
      </c>
      <c r="G1300" s="141" t="s">
        <v>6401</v>
      </c>
      <c r="H1300" s="140" t="s">
        <v>6312</v>
      </c>
      <c r="I1300" s="140" t="s">
        <v>6313</v>
      </c>
      <c r="J1300" s="140" t="s">
        <v>6314</v>
      </c>
      <c r="K1300" s="140" t="s">
        <v>7567</v>
      </c>
    </row>
    <row r="1301">
      <c r="A1301" s="140" t="s">
        <v>7567</v>
      </c>
      <c r="B1301" s="143">
        <v>6.90222E12</v>
      </c>
      <c r="C1301" s="140" t="s">
        <v>8011</v>
      </c>
      <c r="D1301" s="140" t="s">
        <v>6318</v>
      </c>
      <c r="E1301" s="140" t="s">
        <v>1225</v>
      </c>
      <c r="F1301" s="140" t="s">
        <v>1226</v>
      </c>
      <c r="G1301" s="141" t="s">
        <v>6401</v>
      </c>
      <c r="H1301" s="140" t="s">
        <v>6312</v>
      </c>
      <c r="I1301" s="140" t="s">
        <v>6313</v>
      </c>
      <c r="J1301" s="140" t="s">
        <v>6314</v>
      </c>
      <c r="K1301" s="140" t="s">
        <v>7567</v>
      </c>
    </row>
    <row r="1302">
      <c r="A1302" s="140" t="s">
        <v>7567</v>
      </c>
      <c r="B1302" s="143">
        <v>6.90222E12</v>
      </c>
      <c r="C1302" s="140" t="s">
        <v>8012</v>
      </c>
      <c r="D1302" s="140" t="s">
        <v>6318</v>
      </c>
      <c r="E1302" s="140" t="s">
        <v>1225</v>
      </c>
      <c r="F1302" s="140" t="s">
        <v>1226</v>
      </c>
      <c r="G1302" s="141" t="s">
        <v>6401</v>
      </c>
      <c r="H1302" s="140" t="s">
        <v>6312</v>
      </c>
      <c r="I1302" s="140" t="s">
        <v>6313</v>
      </c>
      <c r="J1302" s="140" t="s">
        <v>6314</v>
      </c>
      <c r="K1302" s="140" t="s">
        <v>7567</v>
      </c>
    </row>
    <row r="1303">
      <c r="A1303" s="140" t="s">
        <v>7567</v>
      </c>
      <c r="B1303" s="143">
        <v>6.90222E12</v>
      </c>
      <c r="C1303" s="140" t="s">
        <v>8013</v>
      </c>
      <c r="D1303" s="140" t="s">
        <v>6318</v>
      </c>
      <c r="E1303" s="140" t="s">
        <v>1225</v>
      </c>
      <c r="F1303" s="140" t="s">
        <v>1243</v>
      </c>
      <c r="G1303" s="141" t="s">
        <v>6401</v>
      </c>
      <c r="H1303" s="140" t="s">
        <v>6312</v>
      </c>
      <c r="I1303" s="140" t="s">
        <v>6313</v>
      </c>
      <c r="J1303" s="140" t="s">
        <v>6314</v>
      </c>
      <c r="K1303" s="140" t="s">
        <v>7567</v>
      </c>
    </row>
    <row r="1304">
      <c r="A1304" s="140" t="s">
        <v>7567</v>
      </c>
      <c r="B1304" s="143">
        <v>6.90222E12</v>
      </c>
      <c r="C1304" s="140" t="s">
        <v>8014</v>
      </c>
      <c r="D1304" s="140" t="s">
        <v>6318</v>
      </c>
      <c r="E1304" s="140" t="s">
        <v>1225</v>
      </c>
      <c r="F1304" s="140" t="s">
        <v>1243</v>
      </c>
      <c r="G1304" s="141" t="s">
        <v>6401</v>
      </c>
      <c r="H1304" s="140" t="s">
        <v>6312</v>
      </c>
      <c r="I1304" s="140" t="s">
        <v>6313</v>
      </c>
      <c r="J1304" s="140" t="s">
        <v>6314</v>
      </c>
      <c r="K1304" s="140" t="s">
        <v>7567</v>
      </c>
    </row>
    <row r="1305">
      <c r="A1305" s="140" t="s">
        <v>7567</v>
      </c>
      <c r="B1305" s="143">
        <v>6.90222E12</v>
      </c>
      <c r="C1305" s="140" t="s">
        <v>8015</v>
      </c>
      <c r="D1305" s="140" t="s">
        <v>6318</v>
      </c>
      <c r="E1305" s="140" t="s">
        <v>1225</v>
      </c>
      <c r="F1305" s="140" t="s">
        <v>1243</v>
      </c>
      <c r="G1305" s="141" t="s">
        <v>6401</v>
      </c>
      <c r="H1305" s="140" t="s">
        <v>6312</v>
      </c>
      <c r="I1305" s="140" t="s">
        <v>6313</v>
      </c>
      <c r="J1305" s="140" t="s">
        <v>6314</v>
      </c>
      <c r="K1305" s="140" t="s">
        <v>7567</v>
      </c>
    </row>
    <row r="1306">
      <c r="A1306" s="140" t="s">
        <v>7567</v>
      </c>
      <c r="B1306" s="143">
        <v>6.90222E12</v>
      </c>
      <c r="C1306" s="140" t="s">
        <v>8016</v>
      </c>
      <c r="D1306" s="140" t="s">
        <v>6318</v>
      </c>
      <c r="E1306" s="140" t="s">
        <v>1225</v>
      </c>
      <c r="F1306" s="140" t="s">
        <v>1243</v>
      </c>
      <c r="G1306" s="141" t="s">
        <v>6401</v>
      </c>
      <c r="H1306" s="140" t="s">
        <v>6312</v>
      </c>
      <c r="I1306" s="140" t="s">
        <v>6313</v>
      </c>
      <c r="J1306" s="140" t="s">
        <v>6314</v>
      </c>
      <c r="K1306" s="140" t="s">
        <v>7567</v>
      </c>
    </row>
    <row r="1307">
      <c r="A1307" s="140" t="s">
        <v>7567</v>
      </c>
      <c r="B1307" s="143">
        <v>6.90222E12</v>
      </c>
      <c r="C1307" s="140" t="s">
        <v>8017</v>
      </c>
      <c r="D1307" s="140" t="s">
        <v>6318</v>
      </c>
      <c r="E1307" s="140" t="s">
        <v>1225</v>
      </c>
      <c r="F1307" s="140" t="s">
        <v>1243</v>
      </c>
      <c r="G1307" s="141" t="s">
        <v>6401</v>
      </c>
      <c r="H1307" s="140" t="s">
        <v>6312</v>
      </c>
      <c r="I1307" s="140" t="s">
        <v>6313</v>
      </c>
      <c r="J1307" s="140" t="s">
        <v>6314</v>
      </c>
      <c r="K1307" s="140" t="s">
        <v>7567</v>
      </c>
    </row>
    <row r="1308">
      <c r="A1308" s="140" t="s">
        <v>7567</v>
      </c>
      <c r="B1308" s="143">
        <v>6.90222E12</v>
      </c>
      <c r="C1308" s="140" t="s">
        <v>8018</v>
      </c>
      <c r="D1308" s="140" t="s">
        <v>6318</v>
      </c>
      <c r="E1308" s="140" t="s">
        <v>1225</v>
      </c>
      <c r="F1308" s="140" t="s">
        <v>1243</v>
      </c>
      <c r="G1308" s="141" t="s">
        <v>6401</v>
      </c>
      <c r="H1308" s="140" t="s">
        <v>6312</v>
      </c>
      <c r="I1308" s="140" t="s">
        <v>6313</v>
      </c>
      <c r="J1308" s="140" t="s">
        <v>6314</v>
      </c>
      <c r="K1308" s="140" t="s">
        <v>7567</v>
      </c>
    </row>
    <row r="1309">
      <c r="A1309" s="140" t="s">
        <v>7567</v>
      </c>
      <c r="B1309" s="143">
        <v>6.90222E12</v>
      </c>
      <c r="C1309" s="140" t="s">
        <v>8019</v>
      </c>
      <c r="D1309" s="140" t="s">
        <v>6318</v>
      </c>
      <c r="E1309" s="140" t="s">
        <v>1225</v>
      </c>
      <c r="F1309" s="140" t="s">
        <v>1243</v>
      </c>
      <c r="G1309" s="141" t="s">
        <v>6401</v>
      </c>
      <c r="H1309" s="140" t="s">
        <v>6312</v>
      </c>
      <c r="I1309" s="140" t="s">
        <v>6313</v>
      </c>
      <c r="J1309" s="140" t="s">
        <v>6314</v>
      </c>
      <c r="K1309" s="140" t="s">
        <v>7567</v>
      </c>
    </row>
    <row r="1310">
      <c r="A1310" s="140" t="s">
        <v>7567</v>
      </c>
      <c r="B1310" s="143">
        <v>6.90222E12</v>
      </c>
      <c r="C1310" s="140" t="s">
        <v>8020</v>
      </c>
      <c r="D1310" s="140" t="s">
        <v>6318</v>
      </c>
      <c r="E1310" s="140" t="s">
        <v>1225</v>
      </c>
      <c r="F1310" s="140" t="s">
        <v>1243</v>
      </c>
      <c r="G1310" s="141" t="s">
        <v>6401</v>
      </c>
      <c r="H1310" s="140" t="s">
        <v>6312</v>
      </c>
      <c r="I1310" s="140" t="s">
        <v>6313</v>
      </c>
      <c r="J1310" s="140" t="s">
        <v>6314</v>
      </c>
      <c r="K1310" s="140" t="s">
        <v>7567</v>
      </c>
    </row>
    <row r="1311">
      <c r="A1311" s="140" t="s">
        <v>7567</v>
      </c>
      <c r="B1311" s="143">
        <v>6.90222E12</v>
      </c>
      <c r="C1311" s="140" t="s">
        <v>8021</v>
      </c>
      <c r="D1311" s="140" t="s">
        <v>6318</v>
      </c>
      <c r="E1311" s="140" t="s">
        <v>1225</v>
      </c>
      <c r="F1311" s="140" t="s">
        <v>1243</v>
      </c>
      <c r="G1311" s="141" t="s">
        <v>6401</v>
      </c>
      <c r="H1311" s="140" t="s">
        <v>6312</v>
      </c>
      <c r="I1311" s="140" t="s">
        <v>6313</v>
      </c>
      <c r="J1311" s="140" t="s">
        <v>6314</v>
      </c>
      <c r="K1311" s="140" t="s">
        <v>7567</v>
      </c>
    </row>
    <row r="1312">
      <c r="A1312" s="140" t="s">
        <v>7567</v>
      </c>
      <c r="B1312" s="143">
        <v>6.90222E12</v>
      </c>
      <c r="C1312" s="140" t="s">
        <v>8022</v>
      </c>
      <c r="D1312" s="140" t="s">
        <v>6318</v>
      </c>
      <c r="E1312" s="140" t="s">
        <v>1225</v>
      </c>
      <c r="F1312" s="140" t="s">
        <v>1243</v>
      </c>
      <c r="G1312" s="141" t="s">
        <v>6401</v>
      </c>
      <c r="H1312" s="140" t="s">
        <v>6312</v>
      </c>
      <c r="I1312" s="140" t="s">
        <v>6313</v>
      </c>
      <c r="J1312" s="140" t="s">
        <v>6314</v>
      </c>
      <c r="K1312" s="140" t="s">
        <v>7567</v>
      </c>
    </row>
    <row r="1313">
      <c r="A1313" s="140" t="s">
        <v>7567</v>
      </c>
      <c r="B1313" s="143">
        <v>6.90222E12</v>
      </c>
      <c r="C1313" s="140" t="s">
        <v>8023</v>
      </c>
      <c r="D1313" s="140" t="s">
        <v>6318</v>
      </c>
      <c r="E1313" s="140" t="s">
        <v>1225</v>
      </c>
      <c r="F1313" s="140" t="s">
        <v>1243</v>
      </c>
      <c r="G1313" s="141" t="s">
        <v>6401</v>
      </c>
      <c r="H1313" s="140" t="s">
        <v>6312</v>
      </c>
      <c r="I1313" s="140" t="s">
        <v>6313</v>
      </c>
      <c r="J1313" s="140" t="s">
        <v>6314</v>
      </c>
      <c r="K1313" s="140" t="s">
        <v>7567</v>
      </c>
    </row>
    <row r="1314">
      <c r="A1314" s="140" t="s">
        <v>7567</v>
      </c>
      <c r="B1314" s="143">
        <v>6.90222E12</v>
      </c>
      <c r="C1314" s="140" t="s">
        <v>8024</v>
      </c>
      <c r="D1314" s="140" t="s">
        <v>6318</v>
      </c>
      <c r="E1314" s="140" t="s">
        <v>1225</v>
      </c>
      <c r="F1314" s="140" t="s">
        <v>1243</v>
      </c>
      <c r="G1314" s="141" t="s">
        <v>6401</v>
      </c>
      <c r="H1314" s="140" t="s">
        <v>6312</v>
      </c>
      <c r="I1314" s="140" t="s">
        <v>6313</v>
      </c>
      <c r="J1314" s="140" t="s">
        <v>6314</v>
      </c>
      <c r="K1314" s="140" t="s">
        <v>7567</v>
      </c>
    </row>
    <row r="1315">
      <c r="A1315" s="140" t="s">
        <v>7567</v>
      </c>
      <c r="B1315" s="143">
        <v>6.90222E12</v>
      </c>
      <c r="C1315" s="140" t="s">
        <v>8025</v>
      </c>
      <c r="D1315" s="140" t="s">
        <v>6318</v>
      </c>
      <c r="E1315" s="140" t="s">
        <v>1225</v>
      </c>
      <c r="F1315" s="140" t="s">
        <v>1243</v>
      </c>
      <c r="G1315" s="141" t="s">
        <v>6401</v>
      </c>
      <c r="H1315" s="140" t="s">
        <v>6312</v>
      </c>
      <c r="I1315" s="140" t="s">
        <v>6313</v>
      </c>
      <c r="J1315" s="140" t="s">
        <v>6314</v>
      </c>
      <c r="K1315" s="140" t="s">
        <v>7567</v>
      </c>
    </row>
    <row r="1316">
      <c r="A1316" s="140" t="s">
        <v>7567</v>
      </c>
      <c r="B1316" s="140">
        <v>2.2141997133E10</v>
      </c>
      <c r="C1316" s="140" t="s">
        <v>8026</v>
      </c>
      <c r="D1316" s="140" t="s">
        <v>6318</v>
      </c>
      <c r="E1316" s="140" t="s">
        <v>1225</v>
      </c>
      <c r="F1316" s="140" t="s">
        <v>1243</v>
      </c>
      <c r="G1316" s="141" t="s">
        <v>6401</v>
      </c>
      <c r="H1316" s="140" t="s">
        <v>6312</v>
      </c>
      <c r="I1316" s="140" t="s">
        <v>6313</v>
      </c>
      <c r="J1316" s="140" t="s">
        <v>6314</v>
      </c>
      <c r="K1316" s="140" t="s">
        <v>7567</v>
      </c>
    </row>
    <row r="1317">
      <c r="A1317" s="140" t="s">
        <v>7567</v>
      </c>
      <c r="B1317" s="143">
        <v>6.90222E12</v>
      </c>
      <c r="C1317" s="140" t="s">
        <v>8027</v>
      </c>
      <c r="D1317" s="140" t="s">
        <v>6318</v>
      </c>
      <c r="E1317" s="140" t="s">
        <v>1225</v>
      </c>
      <c r="F1317" s="140" t="s">
        <v>1243</v>
      </c>
      <c r="G1317" s="141" t="s">
        <v>6401</v>
      </c>
      <c r="H1317" s="140" t="s">
        <v>6312</v>
      </c>
      <c r="I1317" s="140" t="s">
        <v>6313</v>
      </c>
      <c r="J1317" s="140" t="s">
        <v>6314</v>
      </c>
      <c r="K1317" s="140" t="s">
        <v>7567</v>
      </c>
    </row>
    <row r="1318">
      <c r="A1318" s="140" t="s">
        <v>7567</v>
      </c>
      <c r="B1318" s="143">
        <v>6.90222E12</v>
      </c>
      <c r="C1318" s="140" t="s">
        <v>8028</v>
      </c>
      <c r="D1318" s="140" t="s">
        <v>6318</v>
      </c>
      <c r="E1318" s="140" t="s">
        <v>1225</v>
      </c>
      <c r="F1318" s="140" t="s">
        <v>1243</v>
      </c>
      <c r="G1318" s="141" t="s">
        <v>6401</v>
      </c>
      <c r="H1318" s="140" t="s">
        <v>6312</v>
      </c>
      <c r="I1318" s="140" t="s">
        <v>6313</v>
      </c>
      <c r="J1318" s="140" t="s">
        <v>6314</v>
      </c>
      <c r="K1318" s="140" t="s">
        <v>7567</v>
      </c>
    </row>
    <row r="1319">
      <c r="A1319" s="140" t="s">
        <v>7567</v>
      </c>
      <c r="B1319" s="143">
        <v>6.90222E12</v>
      </c>
      <c r="C1319" s="140" t="s">
        <v>8029</v>
      </c>
      <c r="D1319" s="140" t="s">
        <v>6318</v>
      </c>
      <c r="E1319" s="140" t="s">
        <v>1225</v>
      </c>
      <c r="F1319" s="140" t="s">
        <v>1243</v>
      </c>
      <c r="G1319" s="141" t="s">
        <v>6401</v>
      </c>
      <c r="H1319" s="140" t="s">
        <v>6312</v>
      </c>
      <c r="I1319" s="140" t="s">
        <v>6313</v>
      </c>
      <c r="J1319" s="140" t="s">
        <v>6314</v>
      </c>
      <c r="K1319" s="140" t="s">
        <v>7567</v>
      </c>
    </row>
    <row r="1320">
      <c r="A1320" s="140" t="s">
        <v>7567</v>
      </c>
      <c r="B1320" s="143">
        <v>6.90222E12</v>
      </c>
      <c r="C1320" s="140" t="s">
        <v>8030</v>
      </c>
      <c r="D1320" s="140" t="s">
        <v>6318</v>
      </c>
      <c r="E1320" s="140" t="s">
        <v>1225</v>
      </c>
      <c r="F1320" s="140" t="s">
        <v>1275</v>
      </c>
      <c r="G1320" s="141" t="s">
        <v>6401</v>
      </c>
      <c r="H1320" s="140" t="s">
        <v>6312</v>
      </c>
      <c r="I1320" s="140" t="s">
        <v>6313</v>
      </c>
      <c r="J1320" s="140" t="s">
        <v>6314</v>
      </c>
      <c r="K1320" s="140" t="s">
        <v>7567</v>
      </c>
    </row>
    <row r="1321">
      <c r="A1321" s="140" t="s">
        <v>7567</v>
      </c>
      <c r="B1321" s="143">
        <v>6.90222E12</v>
      </c>
      <c r="C1321" s="140" t="s">
        <v>8031</v>
      </c>
      <c r="D1321" s="140" t="s">
        <v>6318</v>
      </c>
      <c r="E1321" s="140" t="s">
        <v>1225</v>
      </c>
      <c r="F1321" s="140" t="s">
        <v>1275</v>
      </c>
      <c r="G1321" s="141" t="s">
        <v>6401</v>
      </c>
      <c r="H1321" s="140" t="s">
        <v>6312</v>
      </c>
      <c r="I1321" s="140" t="s">
        <v>6313</v>
      </c>
      <c r="J1321" s="140" t="s">
        <v>6314</v>
      </c>
      <c r="K1321" s="140" t="s">
        <v>7567</v>
      </c>
    </row>
    <row r="1322">
      <c r="A1322" s="140" t="s">
        <v>7567</v>
      </c>
      <c r="B1322" s="143">
        <v>6.90222E12</v>
      </c>
      <c r="C1322" s="140" t="s">
        <v>8032</v>
      </c>
      <c r="D1322" s="140" t="s">
        <v>6318</v>
      </c>
      <c r="E1322" s="140" t="s">
        <v>1225</v>
      </c>
      <c r="F1322" s="140" t="s">
        <v>1275</v>
      </c>
      <c r="G1322" s="141" t="s">
        <v>6401</v>
      </c>
      <c r="H1322" s="140" t="s">
        <v>6312</v>
      </c>
      <c r="I1322" s="140" t="s">
        <v>6313</v>
      </c>
      <c r="J1322" s="140" t="s">
        <v>6314</v>
      </c>
      <c r="K1322" s="140" t="s">
        <v>7567</v>
      </c>
    </row>
    <row r="1323">
      <c r="A1323" s="140" t="s">
        <v>7567</v>
      </c>
      <c r="B1323" s="143">
        <v>6.90222E12</v>
      </c>
      <c r="C1323" s="140" t="s">
        <v>8033</v>
      </c>
      <c r="D1323" s="140" t="s">
        <v>6318</v>
      </c>
      <c r="E1323" s="140" t="s">
        <v>1225</v>
      </c>
      <c r="F1323" s="140" t="s">
        <v>1286</v>
      </c>
      <c r="G1323" s="141" t="s">
        <v>6401</v>
      </c>
      <c r="H1323" s="140" t="s">
        <v>6312</v>
      </c>
      <c r="I1323" s="140" t="s">
        <v>6313</v>
      </c>
      <c r="J1323" s="140" t="s">
        <v>6314</v>
      </c>
      <c r="K1323" s="140" t="s">
        <v>7567</v>
      </c>
    </row>
    <row r="1324">
      <c r="A1324" s="140" t="s">
        <v>7567</v>
      </c>
      <c r="B1324" s="143">
        <v>6.90222E12</v>
      </c>
      <c r="C1324" s="140" t="s">
        <v>8034</v>
      </c>
      <c r="D1324" s="140" t="s">
        <v>6318</v>
      </c>
      <c r="E1324" s="140" t="s">
        <v>1225</v>
      </c>
      <c r="F1324" s="140" t="s">
        <v>1286</v>
      </c>
      <c r="G1324" s="141" t="s">
        <v>6401</v>
      </c>
      <c r="H1324" s="140" t="s">
        <v>6312</v>
      </c>
      <c r="I1324" s="140" t="s">
        <v>6313</v>
      </c>
      <c r="J1324" s="140" t="s">
        <v>6314</v>
      </c>
      <c r="K1324" s="140" t="s">
        <v>7567</v>
      </c>
    </row>
    <row r="1325">
      <c r="A1325" s="140" t="s">
        <v>7567</v>
      </c>
      <c r="B1325" s="143">
        <v>6.90222E12</v>
      </c>
      <c r="C1325" s="140" t="s">
        <v>8035</v>
      </c>
      <c r="D1325" s="140" t="s">
        <v>6318</v>
      </c>
      <c r="E1325" s="140" t="s">
        <v>1225</v>
      </c>
      <c r="F1325" s="140" t="s">
        <v>1293</v>
      </c>
      <c r="G1325" s="141" t="s">
        <v>6401</v>
      </c>
      <c r="H1325" s="140" t="s">
        <v>6312</v>
      </c>
      <c r="I1325" s="140" t="s">
        <v>6313</v>
      </c>
      <c r="J1325" s="140" t="s">
        <v>6314</v>
      </c>
      <c r="K1325" s="140" t="s">
        <v>7567</v>
      </c>
    </row>
    <row r="1326">
      <c r="A1326" s="140" t="s">
        <v>7567</v>
      </c>
      <c r="B1326" s="143">
        <v>6.90222E12</v>
      </c>
      <c r="C1326" s="140" t="s">
        <v>8036</v>
      </c>
      <c r="D1326" s="140" t="s">
        <v>6318</v>
      </c>
      <c r="E1326" s="140" t="s">
        <v>1225</v>
      </c>
      <c r="F1326" s="140" t="s">
        <v>1293</v>
      </c>
      <c r="G1326" s="141" t="s">
        <v>6401</v>
      </c>
      <c r="H1326" s="140" t="s">
        <v>6312</v>
      </c>
      <c r="I1326" s="140" t="s">
        <v>6313</v>
      </c>
      <c r="J1326" s="140" t="s">
        <v>6314</v>
      </c>
      <c r="K1326" s="140" t="s">
        <v>7567</v>
      </c>
    </row>
    <row r="1327">
      <c r="A1327" s="140" t="s">
        <v>7567</v>
      </c>
      <c r="B1327" s="143">
        <v>6.90222E12</v>
      </c>
      <c r="C1327" s="140" t="s">
        <v>8037</v>
      </c>
      <c r="D1327" s="140" t="s">
        <v>6318</v>
      </c>
      <c r="E1327" s="140" t="s">
        <v>1225</v>
      </c>
      <c r="F1327" s="140" t="s">
        <v>1293</v>
      </c>
      <c r="G1327" s="141" t="s">
        <v>6401</v>
      </c>
      <c r="H1327" s="140" t="s">
        <v>6312</v>
      </c>
      <c r="I1327" s="140" t="s">
        <v>6313</v>
      </c>
      <c r="J1327" s="140" t="s">
        <v>6314</v>
      </c>
      <c r="K1327" s="140" t="s">
        <v>7567</v>
      </c>
    </row>
    <row r="1328">
      <c r="A1328" s="140" t="s">
        <v>7567</v>
      </c>
      <c r="B1328" s="143">
        <v>6.90222E12</v>
      </c>
      <c r="C1328" s="140" t="s">
        <v>8038</v>
      </c>
      <c r="D1328" s="140" t="s">
        <v>6318</v>
      </c>
      <c r="E1328" s="140" t="s">
        <v>1225</v>
      </c>
      <c r="F1328" s="140" t="s">
        <v>1293</v>
      </c>
      <c r="G1328" s="141" t="s">
        <v>6401</v>
      </c>
      <c r="H1328" s="140" t="s">
        <v>6312</v>
      </c>
      <c r="I1328" s="140" t="s">
        <v>6313</v>
      </c>
      <c r="J1328" s="140" t="s">
        <v>6314</v>
      </c>
      <c r="K1328" s="140" t="s">
        <v>7567</v>
      </c>
    </row>
    <row r="1329">
      <c r="A1329" s="140" t="s">
        <v>7567</v>
      </c>
      <c r="B1329" s="143">
        <v>6.90222E12</v>
      </c>
      <c r="C1329" s="140" t="s">
        <v>8039</v>
      </c>
      <c r="D1329" s="140" t="s">
        <v>6318</v>
      </c>
      <c r="E1329" s="140" t="s">
        <v>1225</v>
      </c>
      <c r="F1329" s="140" t="s">
        <v>1293</v>
      </c>
      <c r="G1329" s="141" t="s">
        <v>6401</v>
      </c>
      <c r="H1329" s="140" t="s">
        <v>6312</v>
      </c>
      <c r="I1329" s="140" t="s">
        <v>6313</v>
      </c>
      <c r="J1329" s="140" t="s">
        <v>6314</v>
      </c>
      <c r="K1329" s="140" t="s">
        <v>7567</v>
      </c>
    </row>
    <row r="1330">
      <c r="A1330" s="140" t="s">
        <v>7567</v>
      </c>
      <c r="B1330" s="143">
        <v>6.90222E12</v>
      </c>
      <c r="C1330" s="140" t="s">
        <v>8040</v>
      </c>
      <c r="D1330" s="140" t="s">
        <v>6318</v>
      </c>
      <c r="E1330" s="140" t="s">
        <v>1225</v>
      </c>
      <c r="F1330" s="140" t="s">
        <v>1293</v>
      </c>
      <c r="G1330" s="141" t="s">
        <v>6401</v>
      </c>
      <c r="H1330" s="140" t="s">
        <v>6312</v>
      </c>
      <c r="I1330" s="140" t="s">
        <v>6313</v>
      </c>
      <c r="J1330" s="140" t="s">
        <v>6314</v>
      </c>
      <c r="K1330" s="140" t="s">
        <v>7567</v>
      </c>
    </row>
    <row r="1331">
      <c r="A1331" s="140" t="s">
        <v>7567</v>
      </c>
      <c r="B1331" s="143">
        <v>6.90222E12</v>
      </c>
      <c r="C1331" s="140" t="s">
        <v>8041</v>
      </c>
      <c r="D1331" s="140" t="s">
        <v>6318</v>
      </c>
      <c r="E1331" s="140" t="s">
        <v>1225</v>
      </c>
      <c r="F1331" s="140" t="s">
        <v>1293</v>
      </c>
      <c r="G1331" s="141" t="s">
        <v>6401</v>
      </c>
      <c r="H1331" s="140" t="s">
        <v>6312</v>
      </c>
      <c r="I1331" s="140" t="s">
        <v>6313</v>
      </c>
      <c r="J1331" s="140" t="s">
        <v>6314</v>
      </c>
      <c r="K1331" s="140" t="s">
        <v>7567</v>
      </c>
    </row>
    <row r="1332">
      <c r="A1332" s="140" t="s">
        <v>7567</v>
      </c>
      <c r="B1332" s="143">
        <v>6.90222E12</v>
      </c>
      <c r="C1332" s="140" t="s">
        <v>8042</v>
      </c>
      <c r="D1332" s="140" t="s">
        <v>6318</v>
      </c>
      <c r="E1332" s="140" t="s">
        <v>1225</v>
      </c>
      <c r="F1332" s="140" t="s">
        <v>1293</v>
      </c>
      <c r="G1332" s="141" t="s">
        <v>6401</v>
      </c>
      <c r="H1332" s="140" t="s">
        <v>6312</v>
      </c>
      <c r="I1332" s="140" t="s">
        <v>6313</v>
      </c>
      <c r="J1332" s="140" t="s">
        <v>6314</v>
      </c>
      <c r="K1332" s="140" t="s">
        <v>7567</v>
      </c>
    </row>
    <row r="1333">
      <c r="A1333" s="140" t="s">
        <v>7567</v>
      </c>
      <c r="B1333" s="143">
        <v>6.90222E12</v>
      </c>
      <c r="C1333" s="140" t="s">
        <v>8043</v>
      </c>
      <c r="D1333" s="140" t="s">
        <v>6318</v>
      </c>
      <c r="E1333" s="140" t="s">
        <v>1225</v>
      </c>
      <c r="F1333" s="140" t="s">
        <v>1293</v>
      </c>
      <c r="G1333" s="141" t="s">
        <v>6401</v>
      </c>
      <c r="H1333" s="140" t="s">
        <v>6312</v>
      </c>
      <c r="I1333" s="140" t="s">
        <v>6313</v>
      </c>
      <c r="J1333" s="140" t="s">
        <v>6314</v>
      </c>
      <c r="K1333" s="140" t="s">
        <v>7567</v>
      </c>
    </row>
    <row r="1334">
      <c r="A1334" s="140" t="s">
        <v>7567</v>
      </c>
      <c r="B1334" s="143">
        <v>6.90222E12</v>
      </c>
      <c r="C1334" s="140" t="s">
        <v>8044</v>
      </c>
      <c r="D1334" s="140" t="s">
        <v>6318</v>
      </c>
      <c r="E1334" s="140" t="s">
        <v>1225</v>
      </c>
      <c r="F1334" s="140" t="s">
        <v>1293</v>
      </c>
      <c r="G1334" s="141" t="s">
        <v>6401</v>
      </c>
      <c r="H1334" s="140" t="s">
        <v>6312</v>
      </c>
      <c r="I1334" s="140" t="s">
        <v>6313</v>
      </c>
      <c r="J1334" s="140" t="s">
        <v>6314</v>
      </c>
      <c r="K1334" s="140" t="s">
        <v>7567</v>
      </c>
    </row>
    <row r="1335">
      <c r="A1335" s="140" t="s">
        <v>7567</v>
      </c>
      <c r="B1335" s="143">
        <v>6.90222E12</v>
      </c>
      <c r="C1335" s="140" t="s">
        <v>8045</v>
      </c>
      <c r="D1335" s="140" t="s">
        <v>6318</v>
      </c>
      <c r="E1335" s="140" t="s">
        <v>1225</v>
      </c>
      <c r="F1335" s="140" t="s">
        <v>1293</v>
      </c>
      <c r="G1335" s="141" t="s">
        <v>6401</v>
      </c>
      <c r="H1335" s="140" t="s">
        <v>6312</v>
      </c>
      <c r="I1335" s="140" t="s">
        <v>6313</v>
      </c>
      <c r="J1335" s="140" t="s">
        <v>6314</v>
      </c>
      <c r="K1335" s="140" t="s">
        <v>7567</v>
      </c>
    </row>
    <row r="1336">
      <c r="A1336" s="140" t="s">
        <v>7567</v>
      </c>
      <c r="B1336" s="143">
        <v>6.90222E12</v>
      </c>
      <c r="C1336" s="140" t="s">
        <v>8046</v>
      </c>
      <c r="D1336" s="140" t="s">
        <v>6318</v>
      </c>
      <c r="E1336" s="140" t="s">
        <v>1225</v>
      </c>
      <c r="F1336" s="140" t="s">
        <v>1293</v>
      </c>
      <c r="G1336" s="141" t="s">
        <v>6401</v>
      </c>
      <c r="H1336" s="140" t="s">
        <v>6312</v>
      </c>
      <c r="I1336" s="140" t="s">
        <v>6313</v>
      </c>
      <c r="J1336" s="140" t="s">
        <v>6314</v>
      </c>
      <c r="K1336" s="140" t="s">
        <v>7567</v>
      </c>
    </row>
    <row r="1337">
      <c r="A1337" s="140" t="s">
        <v>7567</v>
      </c>
      <c r="B1337" s="143">
        <v>6.90222E12</v>
      </c>
      <c r="C1337" s="140" t="s">
        <v>8047</v>
      </c>
      <c r="D1337" s="140" t="s">
        <v>6318</v>
      </c>
      <c r="E1337" s="140" t="s">
        <v>1225</v>
      </c>
      <c r="F1337" s="140" t="s">
        <v>1293</v>
      </c>
      <c r="G1337" s="141" t="s">
        <v>6401</v>
      </c>
      <c r="H1337" s="140" t="s">
        <v>6312</v>
      </c>
      <c r="I1337" s="140" t="s">
        <v>6313</v>
      </c>
      <c r="J1337" s="140" t="s">
        <v>6314</v>
      </c>
      <c r="K1337" s="140" t="s">
        <v>7567</v>
      </c>
    </row>
    <row r="1338">
      <c r="A1338" s="140" t="s">
        <v>7567</v>
      </c>
      <c r="B1338" s="143">
        <v>6.90222E12</v>
      </c>
      <c r="C1338" s="140" t="s">
        <v>8048</v>
      </c>
      <c r="D1338" s="140" t="s">
        <v>6318</v>
      </c>
      <c r="E1338" s="140" t="s">
        <v>1225</v>
      </c>
      <c r="F1338" s="140" t="s">
        <v>1293</v>
      </c>
      <c r="G1338" s="141" t="s">
        <v>6401</v>
      </c>
      <c r="H1338" s="140" t="s">
        <v>6312</v>
      </c>
      <c r="I1338" s="140" t="s">
        <v>6313</v>
      </c>
      <c r="J1338" s="140" t="s">
        <v>6314</v>
      </c>
      <c r="K1338" s="140" t="s">
        <v>7567</v>
      </c>
    </row>
    <row r="1339">
      <c r="A1339" s="140" t="s">
        <v>7567</v>
      </c>
      <c r="B1339" s="143">
        <v>6.90222E12</v>
      </c>
      <c r="C1339" s="140" t="s">
        <v>8049</v>
      </c>
      <c r="D1339" s="140" t="s">
        <v>6318</v>
      </c>
      <c r="E1339" s="140" t="s">
        <v>1225</v>
      </c>
      <c r="F1339" s="140" t="s">
        <v>1293</v>
      </c>
      <c r="G1339" s="141" t="s">
        <v>6401</v>
      </c>
      <c r="H1339" s="140" t="s">
        <v>6312</v>
      </c>
      <c r="I1339" s="140" t="s">
        <v>6313</v>
      </c>
      <c r="J1339" s="140" t="s">
        <v>6314</v>
      </c>
      <c r="K1339" s="140" t="s">
        <v>7567</v>
      </c>
    </row>
    <row r="1340">
      <c r="A1340" s="140" t="s">
        <v>7567</v>
      </c>
      <c r="B1340" s="143">
        <v>6.90222E12</v>
      </c>
      <c r="C1340" s="140" t="s">
        <v>8050</v>
      </c>
      <c r="D1340" s="140" t="s">
        <v>6318</v>
      </c>
      <c r="E1340" s="140" t="s">
        <v>1225</v>
      </c>
      <c r="F1340" s="140" t="s">
        <v>1293</v>
      </c>
      <c r="G1340" s="141" t="s">
        <v>6401</v>
      </c>
      <c r="H1340" s="140" t="s">
        <v>6312</v>
      </c>
      <c r="I1340" s="140" t="s">
        <v>6313</v>
      </c>
      <c r="J1340" s="140" t="s">
        <v>6314</v>
      </c>
      <c r="K1340" s="140" t="s">
        <v>7567</v>
      </c>
    </row>
    <row r="1341">
      <c r="A1341" s="140" t="s">
        <v>7567</v>
      </c>
      <c r="B1341" s="143">
        <v>6.90222E12</v>
      </c>
      <c r="C1341" s="140" t="s">
        <v>8051</v>
      </c>
      <c r="D1341" s="140" t="s">
        <v>6318</v>
      </c>
      <c r="E1341" s="140" t="s">
        <v>1225</v>
      </c>
      <c r="F1341" s="140" t="s">
        <v>1293</v>
      </c>
      <c r="G1341" s="141" t="s">
        <v>6401</v>
      </c>
      <c r="H1341" s="140" t="s">
        <v>6312</v>
      </c>
      <c r="I1341" s="140" t="s">
        <v>6313</v>
      </c>
      <c r="J1341" s="140" t="s">
        <v>6314</v>
      </c>
      <c r="K1341" s="140" t="s">
        <v>7567</v>
      </c>
    </row>
    <row r="1342">
      <c r="A1342" s="140" t="s">
        <v>7567</v>
      </c>
      <c r="B1342" s="143">
        <v>6.90222E12</v>
      </c>
      <c r="C1342" s="140" t="s">
        <v>8052</v>
      </c>
      <c r="D1342" s="140" t="s">
        <v>6318</v>
      </c>
      <c r="E1342" s="140" t="s">
        <v>1225</v>
      </c>
      <c r="F1342" s="140" t="s">
        <v>1293</v>
      </c>
      <c r="G1342" s="141" t="s">
        <v>6401</v>
      </c>
      <c r="H1342" s="140" t="s">
        <v>6312</v>
      </c>
      <c r="I1342" s="140" t="s">
        <v>6313</v>
      </c>
      <c r="J1342" s="140" t="s">
        <v>6314</v>
      </c>
      <c r="K1342" s="140" t="s">
        <v>7567</v>
      </c>
    </row>
    <row r="1343">
      <c r="A1343" s="140" t="s">
        <v>7567</v>
      </c>
      <c r="B1343" s="143">
        <v>6.90222E12</v>
      </c>
      <c r="C1343" s="140" t="s">
        <v>8053</v>
      </c>
      <c r="D1343" s="140" t="s">
        <v>6318</v>
      </c>
      <c r="E1343" s="140" t="s">
        <v>1225</v>
      </c>
      <c r="F1343" s="140" t="s">
        <v>1293</v>
      </c>
      <c r="G1343" s="141" t="s">
        <v>6401</v>
      </c>
      <c r="H1343" s="140" t="s">
        <v>6312</v>
      </c>
      <c r="I1343" s="140" t="s">
        <v>6313</v>
      </c>
      <c r="J1343" s="140" t="s">
        <v>6314</v>
      </c>
      <c r="K1343" s="140" t="s">
        <v>7567</v>
      </c>
    </row>
    <row r="1344">
      <c r="A1344" s="140" t="s">
        <v>7567</v>
      </c>
      <c r="B1344" s="143">
        <v>6.90222E12</v>
      </c>
      <c r="C1344" s="140" t="s">
        <v>8054</v>
      </c>
      <c r="D1344" s="140" t="s">
        <v>6318</v>
      </c>
      <c r="E1344" s="140" t="s">
        <v>1225</v>
      </c>
      <c r="F1344" s="140" t="s">
        <v>1293</v>
      </c>
      <c r="G1344" s="141" t="s">
        <v>6401</v>
      </c>
      <c r="H1344" s="140" t="s">
        <v>6312</v>
      </c>
      <c r="I1344" s="140" t="s">
        <v>6313</v>
      </c>
      <c r="J1344" s="140" t="s">
        <v>6314</v>
      </c>
      <c r="K1344" s="140" t="s">
        <v>7567</v>
      </c>
    </row>
    <row r="1345">
      <c r="A1345" s="140" t="s">
        <v>7567</v>
      </c>
      <c r="B1345" s="143">
        <v>6.90222E12</v>
      </c>
      <c r="C1345" s="140" t="s">
        <v>8055</v>
      </c>
      <c r="D1345" s="140" t="s">
        <v>6318</v>
      </c>
      <c r="E1345" s="140" t="s">
        <v>1225</v>
      </c>
      <c r="F1345" s="140" t="s">
        <v>1293</v>
      </c>
      <c r="G1345" s="141" t="s">
        <v>6401</v>
      </c>
      <c r="H1345" s="140" t="s">
        <v>6312</v>
      </c>
      <c r="I1345" s="140" t="s">
        <v>6313</v>
      </c>
      <c r="J1345" s="140" t="s">
        <v>6314</v>
      </c>
      <c r="K1345" s="140" t="s">
        <v>7567</v>
      </c>
    </row>
    <row r="1346">
      <c r="A1346" s="140" t="s">
        <v>7567</v>
      </c>
      <c r="B1346" s="143">
        <v>6.90222E12</v>
      </c>
      <c r="C1346" s="140" t="s">
        <v>8056</v>
      </c>
      <c r="D1346" s="140" t="s">
        <v>6318</v>
      </c>
      <c r="E1346" s="140" t="s">
        <v>1225</v>
      </c>
      <c r="F1346" s="140" t="s">
        <v>1293</v>
      </c>
      <c r="G1346" s="141" t="s">
        <v>6401</v>
      </c>
      <c r="H1346" s="140" t="s">
        <v>6312</v>
      </c>
      <c r="I1346" s="140" t="s">
        <v>6313</v>
      </c>
      <c r="J1346" s="140" t="s">
        <v>6314</v>
      </c>
      <c r="K1346" s="140" t="s">
        <v>7567</v>
      </c>
    </row>
    <row r="1347">
      <c r="A1347" s="140" t="s">
        <v>7567</v>
      </c>
      <c r="B1347" s="143">
        <v>6.90222E12</v>
      </c>
      <c r="C1347" s="140" t="s">
        <v>8057</v>
      </c>
      <c r="D1347" s="140" t="s">
        <v>6318</v>
      </c>
      <c r="E1347" s="140" t="s">
        <v>1225</v>
      </c>
      <c r="F1347" s="140" t="s">
        <v>1293</v>
      </c>
      <c r="G1347" s="141" t="s">
        <v>6401</v>
      </c>
      <c r="H1347" s="140" t="s">
        <v>6312</v>
      </c>
      <c r="I1347" s="140" t="s">
        <v>6313</v>
      </c>
      <c r="J1347" s="140" t="s">
        <v>6314</v>
      </c>
      <c r="K1347" s="140" t="s">
        <v>7567</v>
      </c>
    </row>
    <row r="1348">
      <c r="A1348" s="140" t="s">
        <v>7567</v>
      </c>
      <c r="B1348" s="143">
        <v>6.90222E12</v>
      </c>
      <c r="C1348" s="140" t="s">
        <v>8058</v>
      </c>
      <c r="D1348" s="140" t="s">
        <v>6318</v>
      </c>
      <c r="E1348" s="140" t="s">
        <v>1225</v>
      </c>
      <c r="F1348" s="140" t="s">
        <v>1293</v>
      </c>
      <c r="G1348" s="141" t="s">
        <v>6401</v>
      </c>
      <c r="H1348" s="140" t="s">
        <v>6312</v>
      </c>
      <c r="I1348" s="140" t="s">
        <v>6313</v>
      </c>
      <c r="J1348" s="140" t="s">
        <v>6314</v>
      </c>
      <c r="K1348" s="140" t="s">
        <v>7567</v>
      </c>
    </row>
    <row r="1349">
      <c r="A1349" s="140" t="s">
        <v>7567</v>
      </c>
      <c r="B1349" s="143">
        <v>6.90222E12</v>
      </c>
      <c r="C1349" s="140" t="s">
        <v>8059</v>
      </c>
      <c r="D1349" s="140" t="s">
        <v>6318</v>
      </c>
      <c r="E1349" s="140" t="s">
        <v>1225</v>
      </c>
      <c r="F1349" s="140" t="s">
        <v>6362</v>
      </c>
      <c r="G1349" s="141" t="s">
        <v>6401</v>
      </c>
      <c r="H1349" s="140" t="s">
        <v>6312</v>
      </c>
      <c r="I1349" s="140" t="s">
        <v>6313</v>
      </c>
      <c r="J1349" s="140" t="s">
        <v>6314</v>
      </c>
      <c r="K1349" s="140" t="s">
        <v>7567</v>
      </c>
    </row>
    <row r="1350">
      <c r="A1350" s="140" t="s">
        <v>7567</v>
      </c>
      <c r="B1350" s="143">
        <v>6.90222E12</v>
      </c>
      <c r="C1350" s="140" t="s">
        <v>8060</v>
      </c>
      <c r="D1350" s="140" t="s">
        <v>6318</v>
      </c>
      <c r="E1350" s="140" t="s">
        <v>1225</v>
      </c>
      <c r="F1350" s="140" t="s">
        <v>6362</v>
      </c>
      <c r="G1350" s="141" t="s">
        <v>6401</v>
      </c>
      <c r="H1350" s="140" t="s">
        <v>6312</v>
      </c>
      <c r="I1350" s="140" t="s">
        <v>6313</v>
      </c>
      <c r="J1350" s="140" t="s">
        <v>6314</v>
      </c>
      <c r="K1350" s="140" t="s">
        <v>7567</v>
      </c>
    </row>
    <row r="1351">
      <c r="A1351" s="140" t="s">
        <v>7567</v>
      </c>
      <c r="B1351" s="143">
        <v>6.90222E12</v>
      </c>
      <c r="C1351" s="140" t="s">
        <v>8061</v>
      </c>
      <c r="D1351" s="140" t="s">
        <v>6318</v>
      </c>
      <c r="E1351" s="140" t="s">
        <v>1225</v>
      </c>
      <c r="F1351" s="140" t="s">
        <v>6362</v>
      </c>
      <c r="G1351" s="141" t="s">
        <v>6401</v>
      </c>
      <c r="H1351" s="140" t="s">
        <v>6312</v>
      </c>
      <c r="I1351" s="140" t="s">
        <v>6313</v>
      </c>
      <c r="J1351" s="140" t="s">
        <v>6314</v>
      </c>
      <c r="K1351" s="140" t="s">
        <v>7567</v>
      </c>
    </row>
    <row r="1352">
      <c r="A1352" s="140" t="s">
        <v>7567</v>
      </c>
      <c r="B1352" s="143">
        <v>6.90222E12</v>
      </c>
      <c r="C1352" s="140" t="s">
        <v>8062</v>
      </c>
      <c r="D1352" s="140" t="s">
        <v>6318</v>
      </c>
      <c r="E1352" s="140" t="s">
        <v>1225</v>
      </c>
      <c r="F1352" s="140" t="s">
        <v>6362</v>
      </c>
      <c r="G1352" s="141" t="s">
        <v>6401</v>
      </c>
      <c r="H1352" s="140" t="s">
        <v>6312</v>
      </c>
      <c r="I1352" s="140" t="s">
        <v>6313</v>
      </c>
      <c r="J1352" s="140" t="s">
        <v>6314</v>
      </c>
      <c r="K1352" s="140" t="s">
        <v>7567</v>
      </c>
    </row>
    <row r="1353">
      <c r="A1353" s="140" t="s">
        <v>7567</v>
      </c>
      <c r="B1353" s="143">
        <v>6.90222E12</v>
      </c>
      <c r="C1353" s="140" t="s">
        <v>8063</v>
      </c>
      <c r="D1353" s="140" t="s">
        <v>6601</v>
      </c>
      <c r="E1353" s="140" t="s">
        <v>165</v>
      </c>
      <c r="F1353" s="140" t="s">
        <v>166</v>
      </c>
      <c r="G1353" s="141" t="s">
        <v>6401</v>
      </c>
      <c r="H1353" s="140" t="s">
        <v>6312</v>
      </c>
      <c r="I1353" s="140" t="s">
        <v>6313</v>
      </c>
      <c r="J1353" s="140" t="s">
        <v>6314</v>
      </c>
      <c r="K1353" s="140" t="s">
        <v>7567</v>
      </c>
    </row>
    <row r="1354">
      <c r="A1354" s="140" t="s">
        <v>7567</v>
      </c>
      <c r="B1354" s="143">
        <v>6.90222E12</v>
      </c>
      <c r="C1354" s="140" t="s">
        <v>8064</v>
      </c>
      <c r="D1354" s="140" t="s">
        <v>6601</v>
      </c>
      <c r="E1354" s="140" t="s">
        <v>165</v>
      </c>
      <c r="F1354" s="140" t="s">
        <v>166</v>
      </c>
      <c r="G1354" s="141" t="s">
        <v>6401</v>
      </c>
      <c r="H1354" s="140" t="s">
        <v>6312</v>
      </c>
      <c r="I1354" s="140" t="s">
        <v>6313</v>
      </c>
      <c r="J1354" s="140" t="s">
        <v>6314</v>
      </c>
      <c r="K1354" s="140" t="s">
        <v>7567</v>
      </c>
    </row>
    <row r="1355">
      <c r="A1355" s="140" t="s">
        <v>7567</v>
      </c>
      <c r="B1355" s="143">
        <v>6.90222E12</v>
      </c>
      <c r="C1355" s="140" t="s">
        <v>8065</v>
      </c>
      <c r="D1355" s="140" t="s">
        <v>6318</v>
      </c>
      <c r="E1355" s="140" t="s">
        <v>5721</v>
      </c>
      <c r="F1355" s="140" t="s">
        <v>5792</v>
      </c>
      <c r="G1355" s="141" t="s">
        <v>6401</v>
      </c>
      <c r="H1355" s="140" t="s">
        <v>6312</v>
      </c>
      <c r="I1355" s="140" t="s">
        <v>6313</v>
      </c>
      <c r="J1355" s="140" t="s">
        <v>6314</v>
      </c>
      <c r="K1355" s="140" t="s">
        <v>7567</v>
      </c>
    </row>
    <row r="1356">
      <c r="A1356" s="140" t="s">
        <v>7567</v>
      </c>
      <c r="B1356" s="143">
        <v>6.90222E12</v>
      </c>
      <c r="C1356" s="140" t="s">
        <v>8066</v>
      </c>
      <c r="D1356" s="140" t="s">
        <v>6318</v>
      </c>
      <c r="E1356" s="140" t="s">
        <v>5721</v>
      </c>
      <c r="F1356" s="140" t="s">
        <v>5792</v>
      </c>
      <c r="G1356" s="141" t="s">
        <v>6401</v>
      </c>
      <c r="H1356" s="140" t="s">
        <v>6312</v>
      </c>
      <c r="I1356" s="140" t="s">
        <v>6313</v>
      </c>
      <c r="J1356" s="140" t="s">
        <v>6314</v>
      </c>
      <c r="K1356" s="140" t="s">
        <v>7567</v>
      </c>
    </row>
    <row r="1357">
      <c r="A1357" s="140" t="s">
        <v>7567</v>
      </c>
      <c r="B1357" s="143">
        <v>6.90222E12</v>
      </c>
      <c r="C1357" s="140" t="s">
        <v>8067</v>
      </c>
      <c r="D1357" s="140" t="s">
        <v>6318</v>
      </c>
      <c r="E1357" s="140" t="s">
        <v>5721</v>
      </c>
      <c r="F1357" s="140" t="s">
        <v>5792</v>
      </c>
      <c r="G1357" s="141" t="s">
        <v>6401</v>
      </c>
      <c r="H1357" s="140" t="s">
        <v>6312</v>
      </c>
      <c r="I1357" s="140" t="s">
        <v>6313</v>
      </c>
      <c r="J1357" s="140" t="s">
        <v>6314</v>
      </c>
      <c r="K1357" s="140" t="s">
        <v>7567</v>
      </c>
    </row>
    <row r="1358">
      <c r="A1358" s="140" t="s">
        <v>7567</v>
      </c>
      <c r="B1358" s="143">
        <v>6.90222E12</v>
      </c>
      <c r="C1358" s="140" t="s">
        <v>8068</v>
      </c>
      <c r="D1358" s="140" t="s">
        <v>6318</v>
      </c>
      <c r="E1358" s="140" t="s">
        <v>5721</v>
      </c>
      <c r="F1358" s="140" t="s">
        <v>6372</v>
      </c>
      <c r="G1358" s="141" t="s">
        <v>6401</v>
      </c>
      <c r="H1358" s="140" t="s">
        <v>6312</v>
      </c>
      <c r="I1358" s="140" t="s">
        <v>6313</v>
      </c>
      <c r="J1358" s="140" t="s">
        <v>6314</v>
      </c>
      <c r="K1358" s="140" t="s">
        <v>7567</v>
      </c>
    </row>
    <row r="1359">
      <c r="A1359" s="140" t="s">
        <v>7567</v>
      </c>
      <c r="B1359" s="143">
        <v>6.90222E12</v>
      </c>
      <c r="C1359" s="140" t="s">
        <v>8069</v>
      </c>
      <c r="D1359" s="140" t="s">
        <v>6318</v>
      </c>
      <c r="E1359" s="140" t="s">
        <v>5721</v>
      </c>
      <c r="F1359" s="140" t="s">
        <v>6372</v>
      </c>
      <c r="G1359" s="141" t="s">
        <v>6401</v>
      </c>
      <c r="H1359" s="140" t="s">
        <v>6312</v>
      </c>
      <c r="I1359" s="140" t="s">
        <v>6313</v>
      </c>
      <c r="J1359" s="140" t="s">
        <v>6314</v>
      </c>
      <c r="K1359" s="140" t="s">
        <v>7567</v>
      </c>
    </row>
    <row r="1360">
      <c r="A1360" s="140" t="s">
        <v>7567</v>
      </c>
      <c r="B1360" s="143">
        <v>6.90222E12</v>
      </c>
      <c r="C1360" s="140" t="s">
        <v>8070</v>
      </c>
      <c r="D1360" s="140" t="s">
        <v>6318</v>
      </c>
      <c r="E1360" s="140" t="s">
        <v>5721</v>
      </c>
      <c r="F1360" s="140" t="s">
        <v>6372</v>
      </c>
      <c r="G1360" s="141" t="s">
        <v>6401</v>
      </c>
      <c r="H1360" s="140" t="s">
        <v>6312</v>
      </c>
      <c r="I1360" s="140" t="s">
        <v>6313</v>
      </c>
      <c r="J1360" s="140" t="s">
        <v>6314</v>
      </c>
      <c r="K1360" s="140" t="s">
        <v>7567</v>
      </c>
    </row>
    <row r="1361">
      <c r="A1361" s="140" t="s">
        <v>7567</v>
      </c>
      <c r="B1361" s="143">
        <v>6.90222E12</v>
      </c>
      <c r="C1361" s="140" t="s">
        <v>8071</v>
      </c>
      <c r="D1361" s="140" t="s">
        <v>6318</v>
      </c>
      <c r="E1361" s="140" t="s">
        <v>5721</v>
      </c>
      <c r="F1361" s="140" t="s">
        <v>6372</v>
      </c>
      <c r="G1361" s="141" t="s">
        <v>6401</v>
      </c>
      <c r="H1361" s="140" t="s">
        <v>6312</v>
      </c>
      <c r="I1361" s="140" t="s">
        <v>6313</v>
      </c>
      <c r="J1361" s="140" t="s">
        <v>6314</v>
      </c>
      <c r="K1361" s="140" t="s">
        <v>7567</v>
      </c>
    </row>
    <row r="1362">
      <c r="A1362" s="140" t="s">
        <v>7567</v>
      </c>
      <c r="B1362" s="143">
        <v>6.90222E12</v>
      </c>
      <c r="C1362" s="140" t="s">
        <v>8072</v>
      </c>
      <c r="D1362" s="140" t="s">
        <v>6318</v>
      </c>
      <c r="E1362" s="140" t="s">
        <v>5721</v>
      </c>
      <c r="F1362" s="140" t="s">
        <v>6372</v>
      </c>
      <c r="G1362" s="141" t="s">
        <v>6401</v>
      </c>
      <c r="H1362" s="140" t="s">
        <v>6312</v>
      </c>
      <c r="I1362" s="140" t="s">
        <v>6313</v>
      </c>
      <c r="J1362" s="140" t="s">
        <v>6314</v>
      </c>
      <c r="K1362" s="140" t="s">
        <v>7567</v>
      </c>
    </row>
    <row r="1363">
      <c r="A1363" s="140" t="s">
        <v>7567</v>
      </c>
      <c r="B1363" s="143">
        <v>6.90222E12</v>
      </c>
      <c r="C1363" s="140" t="s">
        <v>8073</v>
      </c>
      <c r="D1363" s="140" t="s">
        <v>6318</v>
      </c>
      <c r="E1363" s="140" t="s">
        <v>1301</v>
      </c>
      <c r="F1363" s="140" t="s">
        <v>1302</v>
      </c>
      <c r="G1363" s="141" t="s">
        <v>6401</v>
      </c>
      <c r="H1363" s="140" t="s">
        <v>6312</v>
      </c>
      <c r="I1363" s="140" t="s">
        <v>6313</v>
      </c>
      <c r="J1363" s="140" t="s">
        <v>6314</v>
      </c>
      <c r="K1363" s="140" t="s">
        <v>7567</v>
      </c>
    </row>
    <row r="1364">
      <c r="A1364" s="140" t="s">
        <v>7567</v>
      </c>
      <c r="B1364" s="143">
        <v>6.90222E12</v>
      </c>
      <c r="C1364" s="140" t="s">
        <v>8074</v>
      </c>
      <c r="D1364" s="140" t="s">
        <v>6318</v>
      </c>
      <c r="E1364" s="140" t="s">
        <v>1301</v>
      </c>
      <c r="F1364" s="140" t="s">
        <v>1308</v>
      </c>
      <c r="G1364" s="141" t="s">
        <v>6401</v>
      </c>
      <c r="H1364" s="140" t="s">
        <v>6312</v>
      </c>
      <c r="I1364" s="140" t="s">
        <v>6313</v>
      </c>
      <c r="J1364" s="140" t="s">
        <v>6314</v>
      </c>
      <c r="K1364" s="140" t="s">
        <v>7567</v>
      </c>
    </row>
    <row r="1365">
      <c r="A1365" s="140" t="s">
        <v>7567</v>
      </c>
      <c r="B1365" s="143">
        <v>6.90222E12</v>
      </c>
      <c r="C1365" s="140" t="s">
        <v>8075</v>
      </c>
      <c r="D1365" s="140" t="s">
        <v>6318</v>
      </c>
      <c r="E1365" s="140" t="s">
        <v>1301</v>
      </c>
      <c r="F1365" s="140" t="s">
        <v>1308</v>
      </c>
      <c r="G1365" s="141" t="s">
        <v>6401</v>
      </c>
      <c r="H1365" s="140" t="s">
        <v>6312</v>
      </c>
      <c r="I1365" s="140" t="s">
        <v>6313</v>
      </c>
      <c r="J1365" s="140" t="s">
        <v>6314</v>
      </c>
      <c r="K1365" s="140" t="s">
        <v>7567</v>
      </c>
    </row>
    <row r="1366">
      <c r="A1366" s="140" t="s">
        <v>7567</v>
      </c>
      <c r="B1366" s="143">
        <v>6.90222E12</v>
      </c>
      <c r="C1366" s="140" t="s">
        <v>8076</v>
      </c>
      <c r="D1366" s="140" t="s">
        <v>6318</v>
      </c>
      <c r="E1366" s="140" t="s">
        <v>1301</v>
      </c>
      <c r="F1366" s="140" t="s">
        <v>1308</v>
      </c>
      <c r="G1366" s="141" t="s">
        <v>6401</v>
      </c>
      <c r="H1366" s="140" t="s">
        <v>6312</v>
      </c>
      <c r="I1366" s="140" t="s">
        <v>6313</v>
      </c>
      <c r="J1366" s="140" t="s">
        <v>6314</v>
      </c>
      <c r="K1366" s="140" t="s">
        <v>7567</v>
      </c>
    </row>
    <row r="1367">
      <c r="A1367" s="140" t="s">
        <v>7567</v>
      </c>
      <c r="B1367" s="143">
        <v>6.90222E12</v>
      </c>
      <c r="C1367" s="140" t="s">
        <v>8077</v>
      </c>
      <c r="D1367" s="140" t="s">
        <v>6318</v>
      </c>
      <c r="E1367" s="140" t="s">
        <v>1301</v>
      </c>
      <c r="F1367" s="140" t="s">
        <v>1308</v>
      </c>
      <c r="G1367" s="141" t="s">
        <v>6401</v>
      </c>
      <c r="H1367" s="140" t="s">
        <v>6312</v>
      </c>
      <c r="I1367" s="140" t="s">
        <v>6313</v>
      </c>
      <c r="J1367" s="140" t="s">
        <v>6314</v>
      </c>
      <c r="K1367" s="140" t="s">
        <v>7567</v>
      </c>
    </row>
    <row r="1368">
      <c r="A1368" s="140" t="s">
        <v>7567</v>
      </c>
      <c r="B1368" s="143">
        <v>6.90222E12</v>
      </c>
      <c r="C1368" s="140" t="s">
        <v>8078</v>
      </c>
      <c r="D1368" s="140" t="s">
        <v>6318</v>
      </c>
      <c r="E1368" s="140" t="s">
        <v>1301</v>
      </c>
      <c r="F1368" s="140" t="s">
        <v>1308</v>
      </c>
      <c r="G1368" s="141" t="s">
        <v>6401</v>
      </c>
      <c r="H1368" s="140" t="s">
        <v>6312</v>
      </c>
      <c r="I1368" s="140" t="s">
        <v>6313</v>
      </c>
      <c r="J1368" s="140" t="s">
        <v>6314</v>
      </c>
      <c r="K1368" s="140" t="s">
        <v>7567</v>
      </c>
    </row>
    <row r="1369">
      <c r="A1369" s="140" t="s">
        <v>7567</v>
      </c>
      <c r="B1369" s="143">
        <v>6.90222E12</v>
      </c>
      <c r="C1369" s="140" t="s">
        <v>8079</v>
      </c>
      <c r="D1369" s="140" t="s">
        <v>6318</v>
      </c>
      <c r="E1369" s="140" t="s">
        <v>1301</v>
      </c>
      <c r="F1369" s="140" t="s">
        <v>1308</v>
      </c>
      <c r="G1369" s="141" t="s">
        <v>6401</v>
      </c>
      <c r="H1369" s="140" t="s">
        <v>6312</v>
      </c>
      <c r="I1369" s="140" t="s">
        <v>6313</v>
      </c>
      <c r="J1369" s="140" t="s">
        <v>6314</v>
      </c>
      <c r="K1369" s="140" t="s">
        <v>7567</v>
      </c>
    </row>
    <row r="1370">
      <c r="A1370" s="140" t="s">
        <v>7567</v>
      </c>
      <c r="B1370" s="143">
        <v>6.90222E12</v>
      </c>
      <c r="C1370" s="140" t="s">
        <v>8080</v>
      </c>
      <c r="D1370" s="140" t="s">
        <v>6318</v>
      </c>
      <c r="E1370" s="140" t="s">
        <v>1301</v>
      </c>
      <c r="F1370" s="140" t="s">
        <v>735</v>
      </c>
      <c r="G1370" s="141" t="s">
        <v>6401</v>
      </c>
      <c r="H1370" s="140" t="s">
        <v>6312</v>
      </c>
      <c r="I1370" s="140" t="s">
        <v>6313</v>
      </c>
      <c r="J1370" s="140" t="s">
        <v>6314</v>
      </c>
      <c r="K1370" s="140" t="s">
        <v>7567</v>
      </c>
    </row>
    <row r="1371">
      <c r="A1371" s="140" t="s">
        <v>7567</v>
      </c>
      <c r="B1371" s="143">
        <v>6.90222E12</v>
      </c>
      <c r="C1371" s="140" t="s">
        <v>8081</v>
      </c>
      <c r="D1371" s="140" t="s">
        <v>6318</v>
      </c>
      <c r="E1371" s="140" t="s">
        <v>1301</v>
      </c>
      <c r="F1371" s="140" t="s">
        <v>735</v>
      </c>
      <c r="G1371" s="141" t="s">
        <v>6401</v>
      </c>
      <c r="H1371" s="140" t="s">
        <v>6312</v>
      </c>
      <c r="I1371" s="140" t="s">
        <v>6313</v>
      </c>
      <c r="J1371" s="140" t="s">
        <v>6314</v>
      </c>
      <c r="K1371" s="140" t="s">
        <v>7567</v>
      </c>
    </row>
    <row r="1372">
      <c r="A1372" s="140" t="s">
        <v>7567</v>
      </c>
      <c r="B1372" s="143">
        <v>6.90222E12</v>
      </c>
      <c r="C1372" s="140" t="s">
        <v>8082</v>
      </c>
      <c r="D1372" s="140" t="s">
        <v>6318</v>
      </c>
      <c r="E1372" s="140" t="s">
        <v>1301</v>
      </c>
      <c r="F1372" s="140" t="s">
        <v>735</v>
      </c>
      <c r="G1372" s="141" t="s">
        <v>6401</v>
      </c>
      <c r="H1372" s="140" t="s">
        <v>6312</v>
      </c>
      <c r="I1372" s="140" t="s">
        <v>6313</v>
      </c>
      <c r="J1372" s="140" t="s">
        <v>6314</v>
      </c>
      <c r="K1372" s="140" t="s">
        <v>7567</v>
      </c>
    </row>
    <row r="1373">
      <c r="A1373" s="140" t="s">
        <v>7567</v>
      </c>
      <c r="B1373" s="143">
        <v>6.90222E12</v>
      </c>
      <c r="C1373" s="140" t="s">
        <v>8083</v>
      </c>
      <c r="D1373" s="140" t="s">
        <v>6318</v>
      </c>
      <c r="E1373" s="140" t="s">
        <v>1301</v>
      </c>
      <c r="F1373" s="140" t="s">
        <v>735</v>
      </c>
      <c r="G1373" s="141" t="s">
        <v>6401</v>
      </c>
      <c r="H1373" s="140" t="s">
        <v>6312</v>
      </c>
      <c r="I1373" s="140" t="s">
        <v>6313</v>
      </c>
      <c r="J1373" s="140" t="s">
        <v>6314</v>
      </c>
      <c r="K1373" s="140" t="s">
        <v>7567</v>
      </c>
    </row>
    <row r="1374">
      <c r="A1374" s="140" t="s">
        <v>7567</v>
      </c>
      <c r="B1374" s="143">
        <v>6.90222E12</v>
      </c>
      <c r="C1374" s="140" t="s">
        <v>8084</v>
      </c>
      <c r="D1374" s="140" t="s">
        <v>6318</v>
      </c>
      <c r="E1374" s="140" t="s">
        <v>1301</v>
      </c>
      <c r="F1374" s="140" t="s">
        <v>735</v>
      </c>
      <c r="G1374" s="141" t="s">
        <v>6401</v>
      </c>
      <c r="H1374" s="140" t="s">
        <v>6312</v>
      </c>
      <c r="I1374" s="140" t="s">
        <v>6313</v>
      </c>
      <c r="J1374" s="140" t="s">
        <v>6314</v>
      </c>
      <c r="K1374" s="140" t="s">
        <v>7567</v>
      </c>
    </row>
    <row r="1375">
      <c r="A1375" s="140" t="s">
        <v>7567</v>
      </c>
      <c r="B1375" s="143">
        <v>6.90222E12</v>
      </c>
      <c r="C1375" s="140" t="s">
        <v>8085</v>
      </c>
      <c r="D1375" s="140" t="s">
        <v>6318</v>
      </c>
      <c r="E1375" s="140" t="s">
        <v>1301</v>
      </c>
      <c r="F1375" s="140" t="s">
        <v>735</v>
      </c>
      <c r="G1375" s="141" t="s">
        <v>6401</v>
      </c>
      <c r="H1375" s="140" t="s">
        <v>6312</v>
      </c>
      <c r="I1375" s="140" t="s">
        <v>6313</v>
      </c>
      <c r="J1375" s="140" t="s">
        <v>6314</v>
      </c>
      <c r="K1375" s="140" t="s">
        <v>7567</v>
      </c>
    </row>
    <row r="1376">
      <c r="A1376" s="140" t="s">
        <v>7567</v>
      </c>
      <c r="B1376" s="143">
        <v>6.90222E12</v>
      </c>
      <c r="C1376" s="140" t="s">
        <v>8086</v>
      </c>
      <c r="D1376" s="140" t="s">
        <v>6318</v>
      </c>
      <c r="E1376" s="140" t="s">
        <v>1301</v>
      </c>
      <c r="F1376" s="140" t="s">
        <v>735</v>
      </c>
      <c r="G1376" s="141" t="s">
        <v>6401</v>
      </c>
      <c r="H1376" s="140" t="s">
        <v>6312</v>
      </c>
      <c r="I1376" s="140" t="s">
        <v>6313</v>
      </c>
      <c r="J1376" s="140" t="s">
        <v>6314</v>
      </c>
      <c r="K1376" s="140" t="s">
        <v>7567</v>
      </c>
    </row>
    <row r="1377">
      <c r="A1377" s="140" t="s">
        <v>7567</v>
      </c>
      <c r="B1377" s="143">
        <v>6.90222E12</v>
      </c>
      <c r="C1377" s="140" t="s">
        <v>8087</v>
      </c>
      <c r="D1377" s="140" t="s">
        <v>6318</v>
      </c>
      <c r="E1377" s="140" t="s">
        <v>1301</v>
      </c>
      <c r="F1377" s="140" t="s">
        <v>735</v>
      </c>
      <c r="G1377" s="141" t="s">
        <v>6401</v>
      </c>
      <c r="H1377" s="140" t="s">
        <v>6312</v>
      </c>
      <c r="I1377" s="140" t="s">
        <v>6313</v>
      </c>
      <c r="J1377" s="140" t="s">
        <v>6314</v>
      </c>
      <c r="K1377" s="140" t="s">
        <v>7567</v>
      </c>
    </row>
    <row r="1378">
      <c r="A1378" s="140" t="s">
        <v>7567</v>
      </c>
      <c r="B1378" s="143">
        <v>6.90222E12</v>
      </c>
      <c r="C1378" s="140" t="s">
        <v>8088</v>
      </c>
      <c r="D1378" s="140" t="s">
        <v>6318</v>
      </c>
      <c r="E1378" s="140" t="s">
        <v>1301</v>
      </c>
      <c r="F1378" s="140" t="s">
        <v>735</v>
      </c>
      <c r="G1378" s="141" t="s">
        <v>6401</v>
      </c>
      <c r="H1378" s="140" t="s">
        <v>6312</v>
      </c>
      <c r="I1378" s="140" t="s">
        <v>6313</v>
      </c>
      <c r="J1378" s="140" t="s">
        <v>6314</v>
      </c>
      <c r="K1378" s="140" t="s">
        <v>7567</v>
      </c>
    </row>
    <row r="1379">
      <c r="A1379" s="140" t="s">
        <v>7567</v>
      </c>
      <c r="B1379" s="143">
        <v>6.90222E12</v>
      </c>
      <c r="C1379" s="140" t="s">
        <v>8089</v>
      </c>
      <c r="D1379" s="140" t="s">
        <v>6318</v>
      </c>
      <c r="E1379" s="140" t="s">
        <v>1301</v>
      </c>
      <c r="F1379" s="140" t="s">
        <v>735</v>
      </c>
      <c r="G1379" s="141" t="s">
        <v>6401</v>
      </c>
      <c r="H1379" s="140" t="s">
        <v>6312</v>
      </c>
      <c r="I1379" s="140" t="s">
        <v>6313</v>
      </c>
      <c r="J1379" s="140" t="s">
        <v>6314</v>
      </c>
      <c r="K1379" s="140" t="s">
        <v>7567</v>
      </c>
    </row>
    <row r="1380">
      <c r="A1380" s="140" t="s">
        <v>7567</v>
      </c>
      <c r="B1380" s="143">
        <v>6.90222E12</v>
      </c>
      <c r="C1380" s="140" t="s">
        <v>8090</v>
      </c>
      <c r="D1380" s="140" t="s">
        <v>6318</v>
      </c>
      <c r="E1380" s="140" t="s">
        <v>1301</v>
      </c>
      <c r="F1380" s="140" t="s">
        <v>735</v>
      </c>
      <c r="G1380" s="141" t="s">
        <v>6401</v>
      </c>
      <c r="H1380" s="140" t="s">
        <v>6312</v>
      </c>
      <c r="I1380" s="140" t="s">
        <v>6313</v>
      </c>
      <c r="J1380" s="140" t="s">
        <v>6314</v>
      </c>
      <c r="K1380" s="140" t="s">
        <v>7567</v>
      </c>
    </row>
    <row r="1381">
      <c r="A1381" s="140" t="s">
        <v>7567</v>
      </c>
      <c r="B1381" s="143">
        <v>6.90222E12</v>
      </c>
      <c r="C1381" s="140" t="s">
        <v>8091</v>
      </c>
      <c r="D1381" s="140" t="s">
        <v>6318</v>
      </c>
      <c r="E1381" s="140" t="s">
        <v>1301</v>
      </c>
      <c r="F1381" s="140" t="s">
        <v>735</v>
      </c>
      <c r="G1381" s="141" t="s">
        <v>6401</v>
      </c>
      <c r="H1381" s="140" t="s">
        <v>6312</v>
      </c>
      <c r="I1381" s="140" t="s">
        <v>6313</v>
      </c>
      <c r="J1381" s="140" t="s">
        <v>6314</v>
      </c>
      <c r="K1381" s="140" t="s">
        <v>7567</v>
      </c>
    </row>
    <row r="1382">
      <c r="A1382" s="140" t="s">
        <v>7567</v>
      </c>
      <c r="B1382" s="143">
        <v>6.90222E12</v>
      </c>
      <c r="C1382" s="140" t="s">
        <v>8092</v>
      </c>
      <c r="D1382" s="140" t="s">
        <v>6318</v>
      </c>
      <c r="E1382" s="140" t="s">
        <v>1301</v>
      </c>
      <c r="F1382" s="140" t="s">
        <v>735</v>
      </c>
      <c r="G1382" s="141" t="s">
        <v>6401</v>
      </c>
      <c r="H1382" s="140" t="s">
        <v>6312</v>
      </c>
      <c r="I1382" s="140" t="s">
        <v>6313</v>
      </c>
      <c r="J1382" s="140" t="s">
        <v>6314</v>
      </c>
      <c r="K1382" s="140" t="s">
        <v>7567</v>
      </c>
    </row>
    <row r="1383">
      <c r="A1383" s="140" t="s">
        <v>7567</v>
      </c>
      <c r="B1383" s="143">
        <v>6.90222E12</v>
      </c>
      <c r="C1383" s="140" t="s">
        <v>8093</v>
      </c>
      <c r="D1383" s="140" t="s">
        <v>6318</v>
      </c>
      <c r="E1383" s="140" t="s">
        <v>1301</v>
      </c>
      <c r="F1383" s="140" t="s">
        <v>735</v>
      </c>
      <c r="G1383" s="141" t="s">
        <v>6401</v>
      </c>
      <c r="H1383" s="140" t="s">
        <v>6312</v>
      </c>
      <c r="I1383" s="140" t="s">
        <v>6313</v>
      </c>
      <c r="J1383" s="140" t="s">
        <v>6314</v>
      </c>
      <c r="K1383" s="140" t="s">
        <v>7567</v>
      </c>
    </row>
    <row r="1384">
      <c r="A1384" s="140" t="s">
        <v>7567</v>
      </c>
      <c r="B1384" s="143">
        <v>6.90222E12</v>
      </c>
      <c r="C1384" s="140" t="s">
        <v>8094</v>
      </c>
      <c r="D1384" s="140" t="s">
        <v>6318</v>
      </c>
      <c r="E1384" s="140" t="s">
        <v>1301</v>
      </c>
      <c r="F1384" s="140" t="s">
        <v>735</v>
      </c>
      <c r="G1384" s="141" t="s">
        <v>6401</v>
      </c>
      <c r="H1384" s="140" t="s">
        <v>6312</v>
      </c>
      <c r="I1384" s="140" t="s">
        <v>6313</v>
      </c>
      <c r="J1384" s="140" t="s">
        <v>6314</v>
      </c>
      <c r="K1384" s="140" t="s">
        <v>7567</v>
      </c>
    </row>
    <row r="1385">
      <c r="A1385" s="140" t="s">
        <v>7567</v>
      </c>
      <c r="B1385" s="143">
        <v>6.90222E12</v>
      </c>
      <c r="C1385" s="140" t="s">
        <v>8095</v>
      </c>
      <c r="D1385" s="140" t="s">
        <v>6318</v>
      </c>
      <c r="E1385" s="140" t="s">
        <v>1301</v>
      </c>
      <c r="F1385" s="140" t="s">
        <v>735</v>
      </c>
      <c r="G1385" s="141" t="s">
        <v>6401</v>
      </c>
      <c r="H1385" s="140" t="s">
        <v>6312</v>
      </c>
      <c r="I1385" s="140" t="s">
        <v>6313</v>
      </c>
      <c r="J1385" s="140" t="s">
        <v>6314</v>
      </c>
      <c r="K1385" s="140" t="s">
        <v>7567</v>
      </c>
    </row>
    <row r="1386">
      <c r="A1386" s="140" t="s">
        <v>7567</v>
      </c>
      <c r="B1386" s="143">
        <v>6.90222E12</v>
      </c>
      <c r="C1386" s="140" t="s">
        <v>8096</v>
      </c>
      <c r="D1386" s="140" t="s">
        <v>6318</v>
      </c>
      <c r="E1386" s="140" t="s">
        <v>1301</v>
      </c>
      <c r="F1386" s="140" t="s">
        <v>735</v>
      </c>
      <c r="G1386" s="141" t="s">
        <v>6401</v>
      </c>
      <c r="H1386" s="140" t="s">
        <v>6312</v>
      </c>
      <c r="I1386" s="140" t="s">
        <v>6313</v>
      </c>
      <c r="J1386" s="140" t="s">
        <v>6314</v>
      </c>
      <c r="K1386" s="140" t="s">
        <v>7567</v>
      </c>
    </row>
    <row r="1387">
      <c r="A1387" s="140" t="s">
        <v>7567</v>
      </c>
      <c r="B1387" s="143">
        <v>6.90222E12</v>
      </c>
      <c r="C1387" s="140" t="s">
        <v>8097</v>
      </c>
      <c r="D1387" s="140" t="s">
        <v>6318</v>
      </c>
      <c r="E1387" s="140" t="s">
        <v>1301</v>
      </c>
      <c r="F1387" s="140" t="s">
        <v>735</v>
      </c>
      <c r="G1387" s="141" t="s">
        <v>6401</v>
      </c>
      <c r="H1387" s="140" t="s">
        <v>6312</v>
      </c>
      <c r="I1387" s="140" t="s">
        <v>6313</v>
      </c>
      <c r="J1387" s="140" t="s">
        <v>6314</v>
      </c>
      <c r="K1387" s="140" t="s">
        <v>7567</v>
      </c>
    </row>
    <row r="1388">
      <c r="A1388" s="140" t="s">
        <v>7567</v>
      </c>
      <c r="B1388" s="143">
        <v>6.90222E12</v>
      </c>
      <c r="C1388" s="140" t="s">
        <v>8098</v>
      </c>
      <c r="D1388" s="140" t="s">
        <v>6318</v>
      </c>
      <c r="E1388" s="140" t="s">
        <v>1301</v>
      </c>
      <c r="F1388" s="140" t="s">
        <v>735</v>
      </c>
      <c r="G1388" s="141" t="s">
        <v>6401</v>
      </c>
      <c r="H1388" s="140" t="s">
        <v>6312</v>
      </c>
      <c r="I1388" s="140" t="s">
        <v>6313</v>
      </c>
      <c r="J1388" s="140" t="s">
        <v>6314</v>
      </c>
      <c r="K1388" s="140" t="s">
        <v>7567</v>
      </c>
    </row>
    <row r="1389">
      <c r="A1389" s="140" t="s">
        <v>7567</v>
      </c>
      <c r="B1389" s="143">
        <v>6.90222E12</v>
      </c>
      <c r="C1389" s="140" t="s">
        <v>8099</v>
      </c>
      <c r="D1389" s="140" t="s">
        <v>6318</v>
      </c>
      <c r="E1389" s="140" t="s">
        <v>1301</v>
      </c>
      <c r="F1389" s="140" t="s">
        <v>735</v>
      </c>
      <c r="G1389" s="141" t="s">
        <v>6401</v>
      </c>
      <c r="H1389" s="140" t="s">
        <v>6312</v>
      </c>
      <c r="I1389" s="140" t="s">
        <v>6313</v>
      </c>
      <c r="J1389" s="140" t="s">
        <v>6314</v>
      </c>
      <c r="K1389" s="140" t="s">
        <v>7567</v>
      </c>
    </row>
    <row r="1390">
      <c r="A1390" s="140" t="s">
        <v>7567</v>
      </c>
      <c r="B1390" s="143">
        <v>6.90222E12</v>
      </c>
      <c r="C1390" s="140" t="s">
        <v>8100</v>
      </c>
      <c r="D1390" s="140" t="s">
        <v>6318</v>
      </c>
      <c r="E1390" s="140" t="s">
        <v>1301</v>
      </c>
      <c r="F1390" s="140" t="s">
        <v>735</v>
      </c>
      <c r="G1390" s="141" t="s">
        <v>6401</v>
      </c>
      <c r="H1390" s="140" t="s">
        <v>6312</v>
      </c>
      <c r="I1390" s="140" t="s">
        <v>6313</v>
      </c>
      <c r="J1390" s="140" t="s">
        <v>6314</v>
      </c>
      <c r="K1390" s="140" t="s">
        <v>7567</v>
      </c>
    </row>
    <row r="1391">
      <c r="A1391" s="140" t="s">
        <v>7567</v>
      </c>
      <c r="B1391" s="143">
        <v>6.90222E12</v>
      </c>
      <c r="C1391" s="140" t="s">
        <v>8101</v>
      </c>
      <c r="D1391" s="140" t="s">
        <v>6318</v>
      </c>
      <c r="E1391" s="140" t="s">
        <v>1301</v>
      </c>
      <c r="F1391" s="140" t="s">
        <v>735</v>
      </c>
      <c r="G1391" s="141" t="s">
        <v>6401</v>
      </c>
      <c r="H1391" s="140" t="s">
        <v>6312</v>
      </c>
      <c r="I1391" s="140" t="s">
        <v>6313</v>
      </c>
      <c r="J1391" s="140" t="s">
        <v>6314</v>
      </c>
      <c r="K1391" s="140" t="s">
        <v>7567</v>
      </c>
    </row>
    <row r="1392">
      <c r="A1392" s="140" t="s">
        <v>7567</v>
      </c>
      <c r="B1392" s="143">
        <v>6.90222E12</v>
      </c>
      <c r="C1392" s="140" t="s">
        <v>8102</v>
      </c>
      <c r="D1392" s="140" t="s">
        <v>6318</v>
      </c>
      <c r="E1392" s="140" t="s">
        <v>1301</v>
      </c>
      <c r="F1392" s="140" t="s">
        <v>735</v>
      </c>
      <c r="G1392" s="141" t="s">
        <v>6401</v>
      </c>
      <c r="H1392" s="140" t="s">
        <v>6312</v>
      </c>
      <c r="I1392" s="140" t="s">
        <v>6313</v>
      </c>
      <c r="J1392" s="140" t="s">
        <v>6314</v>
      </c>
      <c r="K1392" s="140" t="s">
        <v>7567</v>
      </c>
    </row>
    <row r="1393">
      <c r="A1393" s="140" t="s">
        <v>7567</v>
      </c>
      <c r="B1393" s="143">
        <v>6.90222E12</v>
      </c>
      <c r="C1393" s="140" t="s">
        <v>8103</v>
      </c>
      <c r="D1393" s="140" t="s">
        <v>6318</v>
      </c>
      <c r="E1393" s="140" t="s">
        <v>1301</v>
      </c>
      <c r="F1393" s="140" t="s">
        <v>735</v>
      </c>
      <c r="G1393" s="141" t="s">
        <v>6401</v>
      </c>
      <c r="H1393" s="140" t="s">
        <v>6312</v>
      </c>
      <c r="I1393" s="140" t="s">
        <v>6313</v>
      </c>
      <c r="J1393" s="140" t="s">
        <v>6314</v>
      </c>
      <c r="K1393" s="140" t="s">
        <v>7567</v>
      </c>
    </row>
    <row r="1394">
      <c r="A1394" s="140" t="s">
        <v>7567</v>
      </c>
      <c r="B1394" s="143">
        <v>6.90222E12</v>
      </c>
      <c r="C1394" s="140" t="s">
        <v>8104</v>
      </c>
      <c r="D1394" s="140" t="s">
        <v>6318</v>
      </c>
      <c r="E1394" s="140" t="s">
        <v>1301</v>
      </c>
      <c r="F1394" s="140" t="s">
        <v>735</v>
      </c>
      <c r="G1394" s="141" t="s">
        <v>6401</v>
      </c>
      <c r="H1394" s="140" t="s">
        <v>6312</v>
      </c>
      <c r="I1394" s="140" t="s">
        <v>6313</v>
      </c>
      <c r="J1394" s="140" t="s">
        <v>6314</v>
      </c>
      <c r="K1394" s="140" t="s">
        <v>7567</v>
      </c>
    </row>
    <row r="1395">
      <c r="A1395" s="140" t="s">
        <v>7567</v>
      </c>
      <c r="B1395" s="143">
        <v>6.90222E12</v>
      </c>
      <c r="C1395" s="140" t="s">
        <v>8105</v>
      </c>
      <c r="D1395" s="140" t="s">
        <v>6318</v>
      </c>
      <c r="E1395" s="140" t="s">
        <v>1301</v>
      </c>
      <c r="F1395" s="140" t="s">
        <v>735</v>
      </c>
      <c r="G1395" s="141" t="s">
        <v>6401</v>
      </c>
      <c r="H1395" s="140" t="s">
        <v>6312</v>
      </c>
      <c r="I1395" s="140" t="s">
        <v>6313</v>
      </c>
      <c r="J1395" s="140" t="s">
        <v>6314</v>
      </c>
      <c r="K1395" s="140" t="s">
        <v>7567</v>
      </c>
    </row>
    <row r="1396">
      <c r="A1396" s="140" t="s">
        <v>7567</v>
      </c>
      <c r="B1396" s="143">
        <v>6.90222E12</v>
      </c>
      <c r="C1396" s="140" t="s">
        <v>8106</v>
      </c>
      <c r="D1396" s="140" t="s">
        <v>6318</v>
      </c>
      <c r="E1396" s="140" t="s">
        <v>1301</v>
      </c>
      <c r="F1396" s="140" t="s">
        <v>735</v>
      </c>
      <c r="G1396" s="141" t="s">
        <v>6401</v>
      </c>
      <c r="H1396" s="140" t="s">
        <v>6312</v>
      </c>
      <c r="I1396" s="140" t="s">
        <v>6313</v>
      </c>
      <c r="J1396" s="140" t="s">
        <v>6314</v>
      </c>
      <c r="K1396" s="140" t="s">
        <v>7567</v>
      </c>
    </row>
    <row r="1397">
      <c r="A1397" s="140" t="s">
        <v>7567</v>
      </c>
      <c r="B1397" s="143">
        <v>6.90222E12</v>
      </c>
      <c r="C1397" s="140" t="s">
        <v>8107</v>
      </c>
      <c r="D1397" s="140" t="s">
        <v>6318</v>
      </c>
      <c r="E1397" s="140" t="s">
        <v>1301</v>
      </c>
      <c r="F1397" s="140" t="s">
        <v>8108</v>
      </c>
      <c r="G1397" s="141" t="s">
        <v>6401</v>
      </c>
      <c r="H1397" s="140" t="s">
        <v>6312</v>
      </c>
      <c r="I1397" s="140" t="s">
        <v>6313</v>
      </c>
      <c r="J1397" s="140" t="s">
        <v>6314</v>
      </c>
      <c r="K1397" s="140" t="s">
        <v>7567</v>
      </c>
    </row>
    <row r="1398">
      <c r="A1398" s="140" t="s">
        <v>7567</v>
      </c>
      <c r="B1398" s="143">
        <v>6.90222E12</v>
      </c>
      <c r="C1398" s="140" t="s">
        <v>8109</v>
      </c>
      <c r="D1398" s="140" t="s">
        <v>6318</v>
      </c>
      <c r="E1398" s="140" t="s">
        <v>1301</v>
      </c>
      <c r="F1398" s="140" t="s">
        <v>6863</v>
      </c>
      <c r="G1398" s="141" t="s">
        <v>6401</v>
      </c>
      <c r="H1398" s="140" t="s">
        <v>6312</v>
      </c>
      <c r="I1398" s="140" t="s">
        <v>6313</v>
      </c>
      <c r="J1398" s="140" t="s">
        <v>6314</v>
      </c>
      <c r="K1398" s="140" t="s">
        <v>7567</v>
      </c>
    </row>
    <row r="1399">
      <c r="A1399" s="140" t="s">
        <v>7567</v>
      </c>
      <c r="B1399" s="143">
        <v>6.90222E12</v>
      </c>
      <c r="C1399" s="140" t="s">
        <v>8110</v>
      </c>
      <c r="D1399" s="140" t="s">
        <v>6318</v>
      </c>
      <c r="E1399" s="140" t="s">
        <v>1323</v>
      </c>
      <c r="F1399" s="140" t="s">
        <v>1324</v>
      </c>
      <c r="G1399" s="141" t="s">
        <v>6401</v>
      </c>
      <c r="H1399" s="140" t="s">
        <v>6312</v>
      </c>
      <c r="I1399" s="140" t="s">
        <v>6313</v>
      </c>
      <c r="J1399" s="140" t="s">
        <v>6314</v>
      </c>
      <c r="K1399" s="140" t="s">
        <v>7567</v>
      </c>
    </row>
    <row r="1400">
      <c r="A1400" s="140" t="s">
        <v>7567</v>
      </c>
      <c r="B1400" s="143">
        <v>6.90222E12</v>
      </c>
      <c r="C1400" s="140" t="s">
        <v>8111</v>
      </c>
      <c r="D1400" s="140" t="s">
        <v>6318</v>
      </c>
      <c r="E1400" s="140" t="s">
        <v>1323</v>
      </c>
      <c r="F1400" s="140" t="s">
        <v>1324</v>
      </c>
      <c r="G1400" s="141" t="s">
        <v>6401</v>
      </c>
      <c r="H1400" s="140" t="s">
        <v>6312</v>
      </c>
      <c r="I1400" s="140" t="s">
        <v>6313</v>
      </c>
      <c r="J1400" s="140" t="s">
        <v>6314</v>
      </c>
      <c r="K1400" s="140" t="s">
        <v>7567</v>
      </c>
    </row>
    <row r="1401">
      <c r="A1401" s="140" t="s">
        <v>7567</v>
      </c>
      <c r="B1401" s="143">
        <v>6.90222E12</v>
      </c>
      <c r="C1401" s="140" t="s">
        <v>8112</v>
      </c>
      <c r="D1401" s="140" t="s">
        <v>6318</v>
      </c>
      <c r="E1401" s="140" t="s">
        <v>1323</v>
      </c>
      <c r="F1401" s="140" t="s">
        <v>1324</v>
      </c>
      <c r="G1401" s="141" t="s">
        <v>6401</v>
      </c>
      <c r="H1401" s="140" t="s">
        <v>6312</v>
      </c>
      <c r="I1401" s="140" t="s">
        <v>6313</v>
      </c>
      <c r="J1401" s="140" t="s">
        <v>6314</v>
      </c>
      <c r="K1401" s="140" t="s">
        <v>7567</v>
      </c>
    </row>
    <row r="1402">
      <c r="A1402" s="140" t="s">
        <v>7567</v>
      </c>
      <c r="B1402" s="143">
        <v>6.90222E12</v>
      </c>
      <c r="C1402" s="140" t="s">
        <v>8113</v>
      </c>
      <c r="D1402" s="140" t="s">
        <v>6318</v>
      </c>
      <c r="E1402" s="140" t="s">
        <v>1323</v>
      </c>
      <c r="F1402" s="140" t="s">
        <v>1324</v>
      </c>
      <c r="G1402" s="141" t="s">
        <v>6401</v>
      </c>
      <c r="H1402" s="140" t="s">
        <v>6312</v>
      </c>
      <c r="I1402" s="140" t="s">
        <v>6313</v>
      </c>
      <c r="J1402" s="140" t="s">
        <v>6314</v>
      </c>
      <c r="K1402" s="140" t="s">
        <v>7567</v>
      </c>
    </row>
    <row r="1403">
      <c r="A1403" s="140" t="s">
        <v>7567</v>
      </c>
      <c r="B1403" s="143">
        <v>6.90222E12</v>
      </c>
      <c r="C1403" s="140" t="s">
        <v>8114</v>
      </c>
      <c r="D1403" s="140" t="s">
        <v>6318</v>
      </c>
      <c r="E1403" s="140" t="s">
        <v>1323</v>
      </c>
      <c r="F1403" s="140" t="s">
        <v>1324</v>
      </c>
      <c r="G1403" s="141" t="s">
        <v>6401</v>
      </c>
      <c r="H1403" s="140" t="s">
        <v>6312</v>
      </c>
      <c r="I1403" s="140" t="s">
        <v>6313</v>
      </c>
      <c r="J1403" s="140" t="s">
        <v>6314</v>
      </c>
      <c r="K1403" s="140" t="s">
        <v>7567</v>
      </c>
    </row>
    <row r="1404">
      <c r="A1404" s="140" t="s">
        <v>7567</v>
      </c>
      <c r="B1404" s="143">
        <v>6.90222E12</v>
      </c>
      <c r="C1404" s="140" t="s">
        <v>8115</v>
      </c>
      <c r="D1404" s="140" t="s">
        <v>6318</v>
      </c>
      <c r="E1404" s="140" t="s">
        <v>1323</v>
      </c>
      <c r="F1404" s="140" t="s">
        <v>1324</v>
      </c>
      <c r="G1404" s="141" t="s">
        <v>6401</v>
      </c>
      <c r="H1404" s="140" t="s">
        <v>6312</v>
      </c>
      <c r="I1404" s="140" t="s">
        <v>6313</v>
      </c>
      <c r="J1404" s="140" t="s">
        <v>6314</v>
      </c>
      <c r="K1404" s="140" t="s">
        <v>7567</v>
      </c>
    </row>
    <row r="1405">
      <c r="A1405" s="140" t="s">
        <v>7567</v>
      </c>
      <c r="B1405" s="143">
        <v>6.90222E12</v>
      </c>
      <c r="C1405" s="140" t="s">
        <v>8116</v>
      </c>
      <c r="D1405" s="140" t="s">
        <v>6318</v>
      </c>
      <c r="E1405" s="140" t="s">
        <v>1323</v>
      </c>
      <c r="F1405" s="140" t="s">
        <v>1333</v>
      </c>
      <c r="G1405" s="141" t="s">
        <v>6401</v>
      </c>
      <c r="H1405" s="140" t="s">
        <v>6312</v>
      </c>
      <c r="I1405" s="140" t="s">
        <v>6313</v>
      </c>
      <c r="J1405" s="140" t="s">
        <v>6314</v>
      </c>
      <c r="K1405" s="140" t="s">
        <v>7567</v>
      </c>
    </row>
    <row r="1406">
      <c r="A1406" s="140" t="s">
        <v>7567</v>
      </c>
      <c r="B1406" s="143">
        <v>6.90222E12</v>
      </c>
      <c r="C1406" s="140" t="s">
        <v>8117</v>
      </c>
      <c r="D1406" s="140" t="s">
        <v>6318</v>
      </c>
      <c r="E1406" s="140" t="s">
        <v>1323</v>
      </c>
      <c r="F1406" s="140" t="s">
        <v>5780</v>
      </c>
      <c r="G1406" s="141" t="s">
        <v>6401</v>
      </c>
      <c r="H1406" s="140" t="s">
        <v>6312</v>
      </c>
      <c r="I1406" s="140" t="s">
        <v>6313</v>
      </c>
      <c r="J1406" s="140" t="s">
        <v>6314</v>
      </c>
      <c r="K1406" s="140" t="s">
        <v>7567</v>
      </c>
    </row>
    <row r="1407">
      <c r="A1407" s="140" t="s">
        <v>7567</v>
      </c>
      <c r="B1407" s="143">
        <v>6.90222E12</v>
      </c>
      <c r="C1407" s="140" t="s">
        <v>8118</v>
      </c>
      <c r="D1407" s="140" t="s">
        <v>6318</v>
      </c>
      <c r="E1407" s="140" t="s">
        <v>1323</v>
      </c>
      <c r="F1407" s="140" t="s">
        <v>5780</v>
      </c>
      <c r="G1407" s="141" t="s">
        <v>6401</v>
      </c>
      <c r="H1407" s="140" t="s">
        <v>6312</v>
      </c>
      <c r="I1407" s="140" t="s">
        <v>6313</v>
      </c>
      <c r="J1407" s="140" t="s">
        <v>6314</v>
      </c>
      <c r="K1407" s="140" t="s">
        <v>7567</v>
      </c>
    </row>
    <row r="1408">
      <c r="A1408" s="140" t="s">
        <v>7567</v>
      </c>
      <c r="B1408" s="143">
        <v>6.90222E12</v>
      </c>
      <c r="C1408" s="140" t="s">
        <v>8119</v>
      </c>
      <c r="D1408" s="140" t="s">
        <v>6318</v>
      </c>
      <c r="E1408" s="140" t="s">
        <v>1323</v>
      </c>
      <c r="F1408" s="140" t="s">
        <v>5780</v>
      </c>
      <c r="G1408" s="141" t="s">
        <v>6401</v>
      </c>
      <c r="H1408" s="140" t="s">
        <v>6312</v>
      </c>
      <c r="I1408" s="140" t="s">
        <v>6313</v>
      </c>
      <c r="J1408" s="140" t="s">
        <v>6314</v>
      </c>
      <c r="K1408" s="140" t="s">
        <v>7567</v>
      </c>
    </row>
    <row r="1409">
      <c r="A1409" s="140" t="s">
        <v>7567</v>
      </c>
      <c r="B1409" s="143">
        <v>6.90982E12</v>
      </c>
      <c r="C1409" s="140" t="s">
        <v>8120</v>
      </c>
      <c r="D1409" s="140" t="s">
        <v>6318</v>
      </c>
      <c r="E1409" s="140" t="s">
        <v>1323</v>
      </c>
      <c r="F1409" s="140" t="s">
        <v>1340</v>
      </c>
      <c r="G1409" s="141" t="s">
        <v>6401</v>
      </c>
      <c r="H1409" s="140" t="s">
        <v>6312</v>
      </c>
      <c r="I1409" s="140" t="s">
        <v>6313</v>
      </c>
      <c r="J1409" s="140" t="s">
        <v>6314</v>
      </c>
      <c r="K1409" s="140" t="s">
        <v>7567</v>
      </c>
    </row>
    <row r="1410">
      <c r="A1410" s="140" t="s">
        <v>7567</v>
      </c>
      <c r="B1410" s="143">
        <v>6.90222E12</v>
      </c>
      <c r="C1410" s="140" t="s">
        <v>8121</v>
      </c>
      <c r="D1410" s="140" t="s">
        <v>6318</v>
      </c>
      <c r="E1410" s="140" t="s">
        <v>1323</v>
      </c>
      <c r="F1410" s="140" t="s">
        <v>1340</v>
      </c>
      <c r="G1410" s="141" t="s">
        <v>6401</v>
      </c>
      <c r="H1410" s="140" t="s">
        <v>6312</v>
      </c>
      <c r="I1410" s="140" t="s">
        <v>6313</v>
      </c>
      <c r="J1410" s="140" t="s">
        <v>6314</v>
      </c>
      <c r="K1410" s="140" t="s">
        <v>7567</v>
      </c>
    </row>
    <row r="1411">
      <c r="A1411" s="140" t="s">
        <v>7567</v>
      </c>
      <c r="B1411" s="143">
        <v>6.90972E12</v>
      </c>
      <c r="C1411" s="140" t="s">
        <v>8122</v>
      </c>
      <c r="D1411" s="140" t="s">
        <v>6318</v>
      </c>
      <c r="E1411" s="140" t="s">
        <v>1323</v>
      </c>
      <c r="F1411" s="140" t="s">
        <v>1340</v>
      </c>
      <c r="G1411" s="141" t="s">
        <v>6401</v>
      </c>
      <c r="H1411" s="140" t="s">
        <v>6312</v>
      </c>
      <c r="I1411" s="140" t="s">
        <v>6313</v>
      </c>
      <c r="J1411" s="140" t="s">
        <v>6314</v>
      </c>
      <c r="K1411" s="140" t="s">
        <v>7567</v>
      </c>
    </row>
    <row r="1412">
      <c r="A1412" s="140" t="s">
        <v>7567</v>
      </c>
      <c r="B1412" s="143">
        <v>6.90992E12</v>
      </c>
      <c r="C1412" s="140" t="s">
        <v>8123</v>
      </c>
      <c r="D1412" s="140" t="s">
        <v>6318</v>
      </c>
      <c r="E1412" s="140" t="s">
        <v>1323</v>
      </c>
      <c r="F1412" s="140" t="s">
        <v>1340</v>
      </c>
      <c r="G1412" s="141" t="s">
        <v>6401</v>
      </c>
      <c r="H1412" s="140" t="s">
        <v>6312</v>
      </c>
      <c r="I1412" s="140" t="s">
        <v>6313</v>
      </c>
      <c r="J1412" s="140" t="s">
        <v>6314</v>
      </c>
      <c r="K1412" s="140" t="s">
        <v>7567</v>
      </c>
    </row>
    <row r="1413">
      <c r="A1413" s="140" t="s">
        <v>7567</v>
      </c>
      <c r="B1413" s="143">
        <v>6.90222E12</v>
      </c>
      <c r="C1413" s="140" t="s">
        <v>8124</v>
      </c>
      <c r="D1413" s="140" t="s">
        <v>6318</v>
      </c>
      <c r="E1413" s="140" t="s">
        <v>1323</v>
      </c>
      <c r="F1413" s="140" t="s">
        <v>1340</v>
      </c>
      <c r="G1413" s="141" t="s">
        <v>6401</v>
      </c>
      <c r="H1413" s="140" t="s">
        <v>6312</v>
      </c>
      <c r="I1413" s="140" t="s">
        <v>6313</v>
      </c>
      <c r="J1413" s="140" t="s">
        <v>6314</v>
      </c>
      <c r="K1413" s="140" t="s">
        <v>7567</v>
      </c>
    </row>
    <row r="1414">
      <c r="A1414" s="140" t="s">
        <v>7567</v>
      </c>
      <c r="B1414" s="143">
        <v>6.90222E12</v>
      </c>
      <c r="C1414" s="140" t="s">
        <v>8125</v>
      </c>
      <c r="D1414" s="140" t="s">
        <v>6318</v>
      </c>
      <c r="E1414" s="140" t="s">
        <v>1323</v>
      </c>
      <c r="F1414" s="140" t="s">
        <v>1340</v>
      </c>
      <c r="G1414" s="141" t="s">
        <v>6401</v>
      </c>
      <c r="H1414" s="140" t="s">
        <v>6312</v>
      </c>
      <c r="I1414" s="140" t="s">
        <v>6313</v>
      </c>
      <c r="J1414" s="140" t="s">
        <v>6314</v>
      </c>
      <c r="K1414" s="140" t="s">
        <v>7567</v>
      </c>
    </row>
    <row r="1415">
      <c r="A1415" s="140" t="s">
        <v>7567</v>
      </c>
      <c r="B1415" s="143">
        <v>6.90222E12</v>
      </c>
      <c r="C1415" s="140" t="s">
        <v>8126</v>
      </c>
      <c r="D1415" s="140" t="s">
        <v>6318</v>
      </c>
      <c r="E1415" s="140" t="s">
        <v>1323</v>
      </c>
      <c r="F1415" s="140" t="s">
        <v>1340</v>
      </c>
      <c r="G1415" s="141" t="s">
        <v>6401</v>
      </c>
      <c r="H1415" s="140" t="s">
        <v>6312</v>
      </c>
      <c r="I1415" s="140" t="s">
        <v>6313</v>
      </c>
      <c r="J1415" s="140" t="s">
        <v>6314</v>
      </c>
      <c r="K1415" s="140" t="s">
        <v>7567</v>
      </c>
    </row>
    <row r="1416">
      <c r="A1416" s="140" t="s">
        <v>7567</v>
      </c>
      <c r="B1416" s="143">
        <v>6.90222E12</v>
      </c>
      <c r="C1416" s="140" t="s">
        <v>8127</v>
      </c>
      <c r="D1416" s="140" t="s">
        <v>6318</v>
      </c>
      <c r="E1416" s="140" t="s">
        <v>1323</v>
      </c>
      <c r="F1416" s="140" t="s">
        <v>1340</v>
      </c>
      <c r="G1416" s="141" t="s">
        <v>6401</v>
      </c>
      <c r="H1416" s="140" t="s">
        <v>6312</v>
      </c>
      <c r="I1416" s="140" t="s">
        <v>6313</v>
      </c>
      <c r="J1416" s="140" t="s">
        <v>6314</v>
      </c>
      <c r="K1416" s="140" t="s">
        <v>7567</v>
      </c>
    </row>
    <row r="1417">
      <c r="A1417" s="140" t="s">
        <v>7567</v>
      </c>
      <c r="B1417" s="143">
        <v>6.90222E12</v>
      </c>
      <c r="C1417" s="140" t="s">
        <v>8128</v>
      </c>
      <c r="D1417" s="140" t="s">
        <v>6318</v>
      </c>
      <c r="E1417" s="140" t="s">
        <v>1323</v>
      </c>
      <c r="F1417" s="140" t="s">
        <v>1340</v>
      </c>
      <c r="G1417" s="141" t="s">
        <v>6401</v>
      </c>
      <c r="H1417" s="140" t="s">
        <v>6312</v>
      </c>
      <c r="I1417" s="140" t="s">
        <v>6313</v>
      </c>
      <c r="J1417" s="140" t="s">
        <v>6314</v>
      </c>
      <c r="K1417" s="140" t="s">
        <v>7567</v>
      </c>
    </row>
    <row r="1418">
      <c r="A1418" s="140" t="s">
        <v>7567</v>
      </c>
      <c r="B1418" s="143">
        <v>6.90222E12</v>
      </c>
      <c r="C1418" s="140" t="s">
        <v>8129</v>
      </c>
      <c r="D1418" s="140" t="s">
        <v>6318</v>
      </c>
      <c r="E1418" s="140" t="s">
        <v>1323</v>
      </c>
      <c r="F1418" s="140" t="s">
        <v>1340</v>
      </c>
      <c r="G1418" s="141" t="s">
        <v>6401</v>
      </c>
      <c r="H1418" s="140" t="s">
        <v>6312</v>
      </c>
      <c r="I1418" s="140" t="s">
        <v>6313</v>
      </c>
      <c r="J1418" s="140" t="s">
        <v>6314</v>
      </c>
      <c r="K1418" s="140" t="s">
        <v>7567</v>
      </c>
    </row>
    <row r="1419">
      <c r="A1419" s="140" t="s">
        <v>7567</v>
      </c>
      <c r="B1419" s="143">
        <v>6.90222E12</v>
      </c>
      <c r="C1419" s="140" t="s">
        <v>8130</v>
      </c>
      <c r="D1419" s="140" t="s">
        <v>6318</v>
      </c>
      <c r="E1419" s="140" t="s">
        <v>1323</v>
      </c>
      <c r="F1419" s="140" t="s">
        <v>1340</v>
      </c>
      <c r="G1419" s="141" t="s">
        <v>6401</v>
      </c>
      <c r="H1419" s="140" t="s">
        <v>6312</v>
      </c>
      <c r="I1419" s="140" t="s">
        <v>6313</v>
      </c>
      <c r="J1419" s="140" t="s">
        <v>6314</v>
      </c>
      <c r="K1419" s="140" t="s">
        <v>7567</v>
      </c>
    </row>
    <row r="1420">
      <c r="A1420" s="140" t="s">
        <v>7567</v>
      </c>
      <c r="B1420" s="143">
        <v>6.90222E12</v>
      </c>
      <c r="C1420" s="140" t="s">
        <v>8131</v>
      </c>
      <c r="D1420" s="140" t="s">
        <v>6318</v>
      </c>
      <c r="E1420" s="140" t="s">
        <v>1323</v>
      </c>
      <c r="F1420" s="140" t="s">
        <v>1340</v>
      </c>
      <c r="G1420" s="141" t="s">
        <v>6401</v>
      </c>
      <c r="H1420" s="140" t="s">
        <v>6312</v>
      </c>
      <c r="I1420" s="140" t="s">
        <v>6313</v>
      </c>
      <c r="J1420" s="140" t="s">
        <v>6314</v>
      </c>
      <c r="K1420" s="140" t="s">
        <v>7567</v>
      </c>
    </row>
    <row r="1421">
      <c r="A1421" s="140" t="s">
        <v>7567</v>
      </c>
      <c r="B1421" s="143">
        <v>6.90222E12</v>
      </c>
      <c r="C1421" s="140" t="s">
        <v>8132</v>
      </c>
      <c r="D1421" s="140" t="s">
        <v>6318</v>
      </c>
      <c r="E1421" s="140" t="s">
        <v>1323</v>
      </c>
      <c r="F1421" s="140" t="s">
        <v>1340</v>
      </c>
      <c r="G1421" s="141" t="s">
        <v>6401</v>
      </c>
      <c r="H1421" s="140" t="s">
        <v>6312</v>
      </c>
      <c r="I1421" s="140" t="s">
        <v>6313</v>
      </c>
      <c r="J1421" s="140" t="s">
        <v>6314</v>
      </c>
      <c r="K1421" s="140" t="s">
        <v>7567</v>
      </c>
    </row>
    <row r="1422">
      <c r="A1422" s="140" t="s">
        <v>7567</v>
      </c>
      <c r="B1422" s="143">
        <v>6.90222E12</v>
      </c>
      <c r="C1422" s="140" t="s">
        <v>8133</v>
      </c>
      <c r="D1422" s="140" t="s">
        <v>6318</v>
      </c>
      <c r="E1422" s="140" t="s">
        <v>1323</v>
      </c>
      <c r="F1422" s="140" t="s">
        <v>1340</v>
      </c>
      <c r="G1422" s="141" t="s">
        <v>6401</v>
      </c>
      <c r="H1422" s="140" t="s">
        <v>6312</v>
      </c>
      <c r="I1422" s="140" t="s">
        <v>6313</v>
      </c>
      <c r="J1422" s="140" t="s">
        <v>6314</v>
      </c>
      <c r="K1422" s="140" t="s">
        <v>7567</v>
      </c>
    </row>
    <row r="1423">
      <c r="A1423" s="140" t="s">
        <v>7567</v>
      </c>
      <c r="B1423" s="143">
        <v>6.90222E12</v>
      </c>
      <c r="C1423" s="140" t="s">
        <v>8134</v>
      </c>
      <c r="D1423" s="140" t="s">
        <v>6318</v>
      </c>
      <c r="E1423" s="140" t="s">
        <v>1323</v>
      </c>
      <c r="F1423" s="140" t="s">
        <v>1340</v>
      </c>
      <c r="G1423" s="141" t="s">
        <v>6401</v>
      </c>
      <c r="H1423" s="140" t="s">
        <v>6312</v>
      </c>
      <c r="I1423" s="140" t="s">
        <v>6313</v>
      </c>
      <c r="J1423" s="140" t="s">
        <v>6314</v>
      </c>
      <c r="K1423" s="140" t="s">
        <v>7567</v>
      </c>
    </row>
    <row r="1424">
      <c r="A1424" s="140" t="s">
        <v>7567</v>
      </c>
      <c r="B1424" s="143">
        <v>6.90222E12</v>
      </c>
      <c r="C1424" s="140" t="s">
        <v>8135</v>
      </c>
      <c r="D1424" s="140" t="s">
        <v>6318</v>
      </c>
      <c r="E1424" s="140" t="s">
        <v>1323</v>
      </c>
      <c r="F1424" s="140" t="s">
        <v>1340</v>
      </c>
      <c r="G1424" s="141" t="s">
        <v>6401</v>
      </c>
      <c r="H1424" s="140" t="s">
        <v>6312</v>
      </c>
      <c r="I1424" s="140" t="s">
        <v>6313</v>
      </c>
      <c r="J1424" s="140" t="s">
        <v>6314</v>
      </c>
      <c r="K1424" s="140" t="s">
        <v>7567</v>
      </c>
    </row>
    <row r="1425">
      <c r="A1425" s="140" t="s">
        <v>7567</v>
      </c>
      <c r="B1425" s="143">
        <v>6.90222E12</v>
      </c>
      <c r="C1425" s="140" t="s">
        <v>8136</v>
      </c>
      <c r="D1425" s="140" t="s">
        <v>6318</v>
      </c>
      <c r="E1425" s="140" t="s">
        <v>1323</v>
      </c>
      <c r="F1425" s="140" t="s">
        <v>1340</v>
      </c>
      <c r="G1425" s="141" t="s">
        <v>6401</v>
      </c>
      <c r="H1425" s="140" t="s">
        <v>6312</v>
      </c>
      <c r="I1425" s="140" t="s">
        <v>6313</v>
      </c>
      <c r="J1425" s="140" t="s">
        <v>6314</v>
      </c>
      <c r="K1425" s="140" t="s">
        <v>7567</v>
      </c>
    </row>
    <row r="1426">
      <c r="A1426" s="140" t="s">
        <v>7567</v>
      </c>
      <c r="B1426" s="143">
        <v>6.90222E12</v>
      </c>
      <c r="C1426" s="140" t="s">
        <v>8137</v>
      </c>
      <c r="D1426" s="140" t="s">
        <v>6318</v>
      </c>
      <c r="E1426" s="140" t="s">
        <v>1323</v>
      </c>
      <c r="F1426" s="140" t="s">
        <v>1340</v>
      </c>
      <c r="G1426" s="141" t="s">
        <v>6401</v>
      </c>
      <c r="H1426" s="140" t="s">
        <v>6312</v>
      </c>
      <c r="I1426" s="140" t="s">
        <v>6313</v>
      </c>
      <c r="J1426" s="140" t="s">
        <v>6314</v>
      </c>
      <c r="K1426" s="140" t="s">
        <v>7567</v>
      </c>
    </row>
    <row r="1427">
      <c r="A1427" s="140" t="s">
        <v>7567</v>
      </c>
      <c r="B1427" s="143">
        <v>6.90222E12</v>
      </c>
      <c r="C1427" s="140" t="s">
        <v>8138</v>
      </c>
      <c r="D1427" s="140" t="s">
        <v>6318</v>
      </c>
      <c r="E1427" s="140" t="s">
        <v>1323</v>
      </c>
      <c r="F1427" s="140" t="s">
        <v>1340</v>
      </c>
      <c r="G1427" s="141" t="s">
        <v>6401</v>
      </c>
      <c r="H1427" s="140" t="s">
        <v>6312</v>
      </c>
      <c r="I1427" s="140" t="s">
        <v>6313</v>
      </c>
      <c r="J1427" s="140" t="s">
        <v>6314</v>
      </c>
      <c r="K1427" s="140" t="s">
        <v>7567</v>
      </c>
    </row>
    <row r="1428">
      <c r="A1428" s="140" t="s">
        <v>7567</v>
      </c>
      <c r="B1428" s="143">
        <v>6.90222E12</v>
      </c>
      <c r="C1428" s="140" t="s">
        <v>8139</v>
      </c>
      <c r="D1428" s="140" t="s">
        <v>6309</v>
      </c>
      <c r="E1428" s="140" t="s">
        <v>1323</v>
      </c>
      <c r="F1428" s="140" t="s">
        <v>8140</v>
      </c>
      <c r="G1428" s="141" t="s">
        <v>6401</v>
      </c>
      <c r="H1428" s="140" t="s">
        <v>6312</v>
      </c>
      <c r="I1428" s="140" t="s">
        <v>6313</v>
      </c>
      <c r="J1428" s="140" t="s">
        <v>6314</v>
      </c>
      <c r="K1428" s="140" t="s">
        <v>7567</v>
      </c>
    </row>
    <row r="1429">
      <c r="A1429" s="140" t="s">
        <v>7567</v>
      </c>
      <c r="B1429" s="143">
        <v>6.90222E12</v>
      </c>
      <c r="C1429" s="140" t="s">
        <v>8141</v>
      </c>
      <c r="D1429" s="140" t="s">
        <v>6309</v>
      </c>
      <c r="E1429" s="140" t="s">
        <v>1323</v>
      </c>
      <c r="F1429" s="140" t="s">
        <v>8140</v>
      </c>
      <c r="G1429" s="141" t="s">
        <v>6401</v>
      </c>
      <c r="H1429" s="140" t="s">
        <v>6312</v>
      </c>
      <c r="I1429" s="140" t="s">
        <v>6313</v>
      </c>
      <c r="J1429" s="140" t="s">
        <v>6314</v>
      </c>
      <c r="K1429" s="140" t="s">
        <v>7567</v>
      </c>
    </row>
    <row r="1430">
      <c r="A1430" s="140" t="s">
        <v>7567</v>
      </c>
      <c r="B1430" s="143">
        <v>6.90222E12</v>
      </c>
      <c r="C1430" s="140" t="s">
        <v>8142</v>
      </c>
      <c r="D1430" s="140" t="s">
        <v>6309</v>
      </c>
      <c r="E1430" s="140" t="s">
        <v>1323</v>
      </c>
      <c r="F1430" s="140" t="s">
        <v>8140</v>
      </c>
      <c r="G1430" s="141" t="s">
        <v>6401</v>
      </c>
      <c r="H1430" s="140" t="s">
        <v>6312</v>
      </c>
      <c r="I1430" s="140" t="s">
        <v>6313</v>
      </c>
      <c r="J1430" s="140" t="s">
        <v>6314</v>
      </c>
      <c r="K1430" s="140" t="s">
        <v>7567</v>
      </c>
    </row>
    <row r="1431">
      <c r="A1431" s="140" t="s">
        <v>7567</v>
      </c>
      <c r="B1431" s="143">
        <v>6.90222E12</v>
      </c>
      <c r="C1431" s="140" t="s">
        <v>8143</v>
      </c>
      <c r="D1431" s="140" t="s">
        <v>6309</v>
      </c>
      <c r="E1431" s="140" t="s">
        <v>1323</v>
      </c>
      <c r="F1431" s="140" t="s">
        <v>8140</v>
      </c>
      <c r="G1431" s="141" t="s">
        <v>6401</v>
      </c>
      <c r="H1431" s="140" t="s">
        <v>6312</v>
      </c>
      <c r="I1431" s="140" t="s">
        <v>6313</v>
      </c>
      <c r="J1431" s="140" t="s">
        <v>6314</v>
      </c>
      <c r="K1431" s="140" t="s">
        <v>7567</v>
      </c>
    </row>
    <row r="1432">
      <c r="A1432" s="140" t="s">
        <v>7567</v>
      </c>
      <c r="B1432" s="143">
        <v>6.90222E12</v>
      </c>
      <c r="C1432" s="140" t="s">
        <v>8144</v>
      </c>
      <c r="D1432" s="140" t="s">
        <v>6309</v>
      </c>
      <c r="E1432" s="140" t="s">
        <v>1323</v>
      </c>
      <c r="F1432" s="140" t="s">
        <v>8140</v>
      </c>
      <c r="G1432" s="141" t="s">
        <v>6401</v>
      </c>
      <c r="H1432" s="140" t="s">
        <v>6312</v>
      </c>
      <c r="I1432" s="140" t="s">
        <v>6313</v>
      </c>
      <c r="J1432" s="140" t="s">
        <v>6314</v>
      </c>
      <c r="K1432" s="140" t="s">
        <v>7567</v>
      </c>
    </row>
    <row r="1433">
      <c r="A1433" s="140" t="s">
        <v>7567</v>
      </c>
      <c r="B1433" s="143">
        <v>6.90222E12</v>
      </c>
      <c r="C1433" s="140" t="s">
        <v>8145</v>
      </c>
      <c r="D1433" s="140" t="s">
        <v>6318</v>
      </c>
      <c r="E1433" s="140" t="s">
        <v>1323</v>
      </c>
      <c r="F1433" s="140" t="s">
        <v>1371</v>
      </c>
      <c r="G1433" s="141" t="s">
        <v>6401</v>
      </c>
      <c r="H1433" s="140" t="s">
        <v>6312</v>
      </c>
      <c r="I1433" s="140" t="s">
        <v>6313</v>
      </c>
      <c r="J1433" s="140" t="s">
        <v>6314</v>
      </c>
      <c r="K1433" s="140" t="s">
        <v>7567</v>
      </c>
    </row>
    <row r="1434">
      <c r="A1434" s="140" t="s">
        <v>7567</v>
      </c>
      <c r="B1434" s="143">
        <v>6.90222E12</v>
      </c>
      <c r="C1434" s="140" t="s">
        <v>8146</v>
      </c>
      <c r="D1434" s="140" t="s">
        <v>6318</v>
      </c>
      <c r="E1434" s="140" t="s">
        <v>1323</v>
      </c>
      <c r="F1434" s="140" t="s">
        <v>1371</v>
      </c>
      <c r="G1434" s="141" t="s">
        <v>6401</v>
      </c>
      <c r="H1434" s="140" t="s">
        <v>6312</v>
      </c>
      <c r="I1434" s="140" t="s">
        <v>6313</v>
      </c>
      <c r="J1434" s="140" t="s">
        <v>6314</v>
      </c>
      <c r="K1434" s="140" t="s">
        <v>7567</v>
      </c>
    </row>
    <row r="1435">
      <c r="A1435" s="140" t="s">
        <v>7567</v>
      </c>
      <c r="B1435" s="140" t="s">
        <v>8147</v>
      </c>
      <c r="C1435" s="140" t="s">
        <v>8148</v>
      </c>
      <c r="D1435" s="140" t="s">
        <v>6318</v>
      </c>
      <c r="E1435" s="140" t="s">
        <v>1323</v>
      </c>
      <c r="F1435" s="140" t="s">
        <v>8149</v>
      </c>
      <c r="G1435" s="141" t="s">
        <v>6401</v>
      </c>
      <c r="H1435" s="140" t="s">
        <v>6312</v>
      </c>
      <c r="I1435" s="140" t="s">
        <v>6313</v>
      </c>
      <c r="J1435" s="140" t="s">
        <v>6314</v>
      </c>
      <c r="K1435" s="140" t="s">
        <v>7567</v>
      </c>
    </row>
    <row r="1436">
      <c r="A1436" s="140" t="s">
        <v>7567</v>
      </c>
      <c r="B1436" s="143">
        <v>6.90222E12</v>
      </c>
      <c r="C1436" s="140" t="s">
        <v>8150</v>
      </c>
      <c r="D1436" s="140" t="s">
        <v>6318</v>
      </c>
      <c r="E1436" s="140" t="s">
        <v>1323</v>
      </c>
      <c r="F1436" s="140" t="s">
        <v>8149</v>
      </c>
      <c r="G1436" s="141" t="s">
        <v>6401</v>
      </c>
      <c r="H1436" s="140" t="s">
        <v>6312</v>
      </c>
      <c r="I1436" s="140" t="s">
        <v>6313</v>
      </c>
      <c r="J1436" s="140" t="s">
        <v>6314</v>
      </c>
      <c r="K1436" s="140" t="s">
        <v>7567</v>
      </c>
    </row>
    <row r="1437">
      <c r="A1437" s="140" t="s">
        <v>7567</v>
      </c>
      <c r="B1437" s="143">
        <v>6.90222E12</v>
      </c>
      <c r="C1437" s="140" t="s">
        <v>8151</v>
      </c>
      <c r="D1437" s="140" t="s">
        <v>6318</v>
      </c>
      <c r="E1437" s="140" t="s">
        <v>1323</v>
      </c>
      <c r="F1437" s="140" t="s">
        <v>8149</v>
      </c>
      <c r="G1437" s="141" t="s">
        <v>6401</v>
      </c>
      <c r="H1437" s="140" t="s">
        <v>6312</v>
      </c>
      <c r="I1437" s="140" t="s">
        <v>6313</v>
      </c>
      <c r="J1437" s="140" t="s">
        <v>6314</v>
      </c>
      <c r="K1437" s="140" t="s">
        <v>7567</v>
      </c>
    </row>
    <row r="1438">
      <c r="A1438" s="140" t="s">
        <v>7567</v>
      </c>
      <c r="B1438" s="143">
        <v>6.90222E12</v>
      </c>
      <c r="C1438" s="140" t="s">
        <v>8152</v>
      </c>
      <c r="D1438" s="140" t="s">
        <v>6318</v>
      </c>
      <c r="E1438" s="140" t="s">
        <v>1323</v>
      </c>
      <c r="F1438" s="140" t="s">
        <v>8149</v>
      </c>
      <c r="G1438" s="141" t="s">
        <v>6401</v>
      </c>
      <c r="H1438" s="140" t="s">
        <v>6312</v>
      </c>
      <c r="I1438" s="140" t="s">
        <v>6313</v>
      </c>
      <c r="J1438" s="140" t="s">
        <v>6314</v>
      </c>
      <c r="K1438" s="140" t="s">
        <v>7567</v>
      </c>
    </row>
    <row r="1439">
      <c r="A1439" s="140" t="s">
        <v>7567</v>
      </c>
      <c r="B1439" s="143">
        <v>6.90222E12</v>
      </c>
      <c r="C1439" s="140" t="s">
        <v>8153</v>
      </c>
      <c r="D1439" s="140" t="s">
        <v>6318</v>
      </c>
      <c r="E1439" s="140" t="s">
        <v>1323</v>
      </c>
      <c r="F1439" s="140" t="s">
        <v>8149</v>
      </c>
      <c r="G1439" s="141" t="s">
        <v>6401</v>
      </c>
      <c r="H1439" s="140" t="s">
        <v>6312</v>
      </c>
      <c r="I1439" s="140" t="s">
        <v>6313</v>
      </c>
      <c r="J1439" s="140" t="s">
        <v>6314</v>
      </c>
      <c r="K1439" s="140" t="s">
        <v>7567</v>
      </c>
    </row>
    <row r="1440">
      <c r="A1440" s="140" t="s">
        <v>7567</v>
      </c>
      <c r="B1440" s="143">
        <v>6.90222E12</v>
      </c>
      <c r="C1440" s="140" t="s">
        <v>8154</v>
      </c>
      <c r="D1440" s="140" t="s">
        <v>6786</v>
      </c>
      <c r="E1440" s="140" t="s">
        <v>6786</v>
      </c>
      <c r="F1440" s="140" t="s">
        <v>6787</v>
      </c>
      <c r="G1440" s="141" t="s">
        <v>6401</v>
      </c>
      <c r="H1440" s="140" t="s">
        <v>6312</v>
      </c>
      <c r="I1440" s="140" t="s">
        <v>6313</v>
      </c>
      <c r="J1440" s="140" t="s">
        <v>6314</v>
      </c>
      <c r="K1440" s="140" t="s">
        <v>7567</v>
      </c>
    </row>
    <row r="1441">
      <c r="A1441" s="140" t="s">
        <v>7567</v>
      </c>
      <c r="B1441" s="143">
        <v>6.90222E12</v>
      </c>
      <c r="C1441" s="140" t="s">
        <v>8155</v>
      </c>
      <c r="D1441" s="140" t="s">
        <v>6786</v>
      </c>
      <c r="E1441" s="140" t="s">
        <v>6786</v>
      </c>
      <c r="F1441" s="140" t="s">
        <v>6787</v>
      </c>
      <c r="G1441" s="141" t="s">
        <v>6401</v>
      </c>
      <c r="H1441" s="140" t="s">
        <v>6312</v>
      </c>
      <c r="I1441" s="140" t="s">
        <v>6313</v>
      </c>
      <c r="J1441" s="140" t="s">
        <v>6314</v>
      </c>
      <c r="K1441" s="140" t="s">
        <v>7567</v>
      </c>
    </row>
    <row r="1442">
      <c r="A1442" s="140" t="s">
        <v>7567</v>
      </c>
      <c r="B1442" s="143">
        <v>6.90222E12</v>
      </c>
      <c r="C1442" s="140" t="s">
        <v>8156</v>
      </c>
      <c r="D1442" s="140" t="s">
        <v>6318</v>
      </c>
      <c r="E1442" s="140" t="s">
        <v>6550</v>
      </c>
      <c r="F1442" s="140" t="s">
        <v>5714</v>
      </c>
      <c r="G1442" s="141" t="s">
        <v>6401</v>
      </c>
      <c r="H1442" s="140" t="s">
        <v>6312</v>
      </c>
      <c r="I1442" s="140" t="s">
        <v>6313</v>
      </c>
      <c r="J1442" s="140" t="s">
        <v>6314</v>
      </c>
      <c r="K1442" s="140" t="s">
        <v>7567</v>
      </c>
    </row>
    <row r="1443">
      <c r="A1443" s="140" t="s">
        <v>7567</v>
      </c>
      <c r="B1443" s="143">
        <v>6.90222E12</v>
      </c>
      <c r="C1443" s="140" t="s">
        <v>8157</v>
      </c>
      <c r="D1443" s="140" t="s">
        <v>6318</v>
      </c>
      <c r="E1443" s="140" t="s">
        <v>6550</v>
      </c>
      <c r="F1443" s="140" t="s">
        <v>7323</v>
      </c>
      <c r="G1443" s="141" t="s">
        <v>6401</v>
      </c>
      <c r="H1443" s="140" t="s">
        <v>6312</v>
      </c>
      <c r="I1443" s="140" t="s">
        <v>6313</v>
      </c>
      <c r="J1443" s="140" t="s">
        <v>6314</v>
      </c>
      <c r="K1443" s="140" t="s">
        <v>7567</v>
      </c>
    </row>
    <row r="1444">
      <c r="A1444" s="140" t="s">
        <v>7567</v>
      </c>
      <c r="B1444" s="143">
        <v>6.90222E12</v>
      </c>
      <c r="C1444" s="140" t="s">
        <v>8158</v>
      </c>
      <c r="D1444" s="140" t="s">
        <v>6318</v>
      </c>
      <c r="E1444" s="140" t="s">
        <v>6550</v>
      </c>
      <c r="F1444" s="140" t="s">
        <v>7323</v>
      </c>
      <c r="G1444" s="141" t="s">
        <v>6401</v>
      </c>
      <c r="H1444" s="140" t="s">
        <v>6312</v>
      </c>
      <c r="I1444" s="140" t="s">
        <v>6313</v>
      </c>
      <c r="J1444" s="140" t="s">
        <v>6314</v>
      </c>
      <c r="K1444" s="140" t="s">
        <v>7567</v>
      </c>
    </row>
    <row r="1445">
      <c r="A1445" s="140" t="s">
        <v>7567</v>
      </c>
      <c r="B1445" s="143">
        <v>6.90222E12</v>
      </c>
      <c r="C1445" s="140" t="s">
        <v>8159</v>
      </c>
      <c r="D1445" s="140" t="s">
        <v>6318</v>
      </c>
      <c r="E1445" s="140" t="s">
        <v>6550</v>
      </c>
      <c r="F1445" s="140" t="s">
        <v>7323</v>
      </c>
      <c r="G1445" s="141" t="s">
        <v>6401</v>
      </c>
      <c r="H1445" s="140" t="s">
        <v>6312</v>
      </c>
      <c r="I1445" s="140" t="s">
        <v>6313</v>
      </c>
      <c r="J1445" s="140" t="s">
        <v>6314</v>
      </c>
      <c r="K1445" s="140" t="s">
        <v>7567</v>
      </c>
    </row>
    <row r="1446">
      <c r="A1446" s="140" t="s">
        <v>7567</v>
      </c>
      <c r="B1446" s="143">
        <v>6.90222E12</v>
      </c>
      <c r="C1446" s="140" t="s">
        <v>8160</v>
      </c>
      <c r="D1446" s="140" t="s">
        <v>6318</v>
      </c>
      <c r="E1446" s="140" t="s">
        <v>6550</v>
      </c>
      <c r="F1446" s="140" t="s">
        <v>7323</v>
      </c>
      <c r="G1446" s="141" t="s">
        <v>6401</v>
      </c>
      <c r="H1446" s="140" t="s">
        <v>6312</v>
      </c>
      <c r="I1446" s="140" t="s">
        <v>6313</v>
      </c>
      <c r="J1446" s="140" t="s">
        <v>6314</v>
      </c>
      <c r="K1446" s="140" t="s">
        <v>7567</v>
      </c>
    </row>
    <row r="1447">
      <c r="A1447" s="140" t="s">
        <v>7567</v>
      </c>
      <c r="B1447" s="143">
        <v>6.90222E12</v>
      </c>
      <c r="C1447" s="140" t="s">
        <v>8161</v>
      </c>
      <c r="D1447" s="140" t="s">
        <v>6318</v>
      </c>
      <c r="E1447" s="140" t="s">
        <v>1395</v>
      </c>
      <c r="F1447" s="140" t="s">
        <v>1396</v>
      </c>
      <c r="G1447" s="141" t="s">
        <v>6401</v>
      </c>
      <c r="H1447" s="140" t="s">
        <v>6312</v>
      </c>
      <c r="I1447" s="140" t="s">
        <v>6313</v>
      </c>
      <c r="J1447" s="140" t="s">
        <v>6314</v>
      </c>
      <c r="K1447" s="140" t="s">
        <v>7567</v>
      </c>
    </row>
    <row r="1448">
      <c r="A1448" s="140" t="s">
        <v>7567</v>
      </c>
      <c r="B1448" s="143">
        <v>6.90222E12</v>
      </c>
      <c r="C1448" s="140" t="s">
        <v>8162</v>
      </c>
      <c r="D1448" s="140" t="s">
        <v>6318</v>
      </c>
      <c r="E1448" s="140" t="s">
        <v>1395</v>
      </c>
      <c r="F1448" s="140" t="s">
        <v>1396</v>
      </c>
      <c r="G1448" s="141" t="s">
        <v>6401</v>
      </c>
      <c r="H1448" s="140" t="s">
        <v>6312</v>
      </c>
      <c r="I1448" s="140" t="s">
        <v>6313</v>
      </c>
      <c r="J1448" s="140" t="s">
        <v>6314</v>
      </c>
      <c r="K1448" s="140" t="s">
        <v>7567</v>
      </c>
    </row>
    <row r="1449">
      <c r="A1449" s="140" t="s">
        <v>7567</v>
      </c>
      <c r="B1449" s="143">
        <v>6.90222E12</v>
      </c>
      <c r="C1449" s="140" t="s">
        <v>8163</v>
      </c>
      <c r="D1449" s="140" t="s">
        <v>6318</v>
      </c>
      <c r="E1449" s="140" t="s">
        <v>1395</v>
      </c>
      <c r="F1449" s="140" t="s">
        <v>1399</v>
      </c>
      <c r="G1449" s="141" t="s">
        <v>6401</v>
      </c>
      <c r="H1449" s="140" t="s">
        <v>6312</v>
      </c>
      <c r="I1449" s="140" t="s">
        <v>6313</v>
      </c>
      <c r="J1449" s="140" t="s">
        <v>6314</v>
      </c>
      <c r="K1449" s="140" t="s">
        <v>7567</v>
      </c>
    </row>
    <row r="1450">
      <c r="A1450" s="140" t="s">
        <v>7567</v>
      </c>
      <c r="B1450" s="143">
        <v>6.90222E12</v>
      </c>
      <c r="C1450" s="140" t="s">
        <v>8164</v>
      </c>
      <c r="D1450" s="140" t="s">
        <v>6318</v>
      </c>
      <c r="E1450" s="140" t="s">
        <v>1395</v>
      </c>
      <c r="F1450" s="140" t="s">
        <v>1399</v>
      </c>
      <c r="G1450" s="141" t="s">
        <v>6401</v>
      </c>
      <c r="H1450" s="140" t="s">
        <v>6312</v>
      </c>
      <c r="I1450" s="140" t="s">
        <v>6313</v>
      </c>
      <c r="J1450" s="140" t="s">
        <v>6314</v>
      </c>
      <c r="K1450" s="140" t="s">
        <v>7567</v>
      </c>
    </row>
    <row r="1451">
      <c r="A1451" s="140" t="s">
        <v>7567</v>
      </c>
      <c r="B1451" s="143">
        <v>6.90222E12</v>
      </c>
      <c r="C1451" s="140" t="s">
        <v>8165</v>
      </c>
      <c r="D1451" s="140" t="s">
        <v>6318</v>
      </c>
      <c r="E1451" s="140" t="s">
        <v>1395</v>
      </c>
      <c r="F1451" s="140" t="s">
        <v>1399</v>
      </c>
      <c r="G1451" s="141" t="s">
        <v>6401</v>
      </c>
      <c r="H1451" s="140" t="s">
        <v>6312</v>
      </c>
      <c r="I1451" s="140" t="s">
        <v>6313</v>
      </c>
      <c r="J1451" s="140" t="s">
        <v>6314</v>
      </c>
      <c r="K1451" s="140" t="s">
        <v>7567</v>
      </c>
    </row>
    <row r="1452">
      <c r="A1452" s="140" t="s">
        <v>7567</v>
      </c>
      <c r="B1452" s="143">
        <v>6.90222E12</v>
      </c>
      <c r="C1452" s="140" t="s">
        <v>8166</v>
      </c>
      <c r="D1452" s="140" t="s">
        <v>6318</v>
      </c>
      <c r="E1452" s="140" t="s">
        <v>1395</v>
      </c>
      <c r="F1452" s="140" t="s">
        <v>1399</v>
      </c>
      <c r="G1452" s="141" t="s">
        <v>6401</v>
      </c>
      <c r="H1452" s="140" t="s">
        <v>6312</v>
      </c>
      <c r="I1452" s="140" t="s">
        <v>6313</v>
      </c>
      <c r="J1452" s="140" t="s">
        <v>6314</v>
      </c>
      <c r="K1452" s="140" t="s">
        <v>7567</v>
      </c>
    </row>
    <row r="1453">
      <c r="A1453" s="140" t="s">
        <v>7567</v>
      </c>
      <c r="B1453" s="143">
        <v>6.90222E12</v>
      </c>
      <c r="C1453" s="140" t="s">
        <v>8167</v>
      </c>
      <c r="D1453" s="140" t="s">
        <v>6318</v>
      </c>
      <c r="E1453" s="140" t="s">
        <v>1395</v>
      </c>
      <c r="F1453" s="140" t="s">
        <v>1408</v>
      </c>
      <c r="G1453" s="141" t="s">
        <v>6401</v>
      </c>
      <c r="H1453" s="140" t="s">
        <v>6312</v>
      </c>
      <c r="I1453" s="140" t="s">
        <v>6313</v>
      </c>
      <c r="J1453" s="140" t="s">
        <v>6314</v>
      </c>
      <c r="K1453" s="140" t="s">
        <v>7567</v>
      </c>
    </row>
    <row r="1454">
      <c r="A1454" s="140" t="s">
        <v>7567</v>
      </c>
      <c r="B1454" s="143">
        <v>6.90222E12</v>
      </c>
      <c r="C1454" s="140" t="s">
        <v>8168</v>
      </c>
      <c r="D1454" s="140" t="s">
        <v>6318</v>
      </c>
      <c r="E1454" s="140" t="s">
        <v>1395</v>
      </c>
      <c r="F1454" s="140" t="s">
        <v>1421</v>
      </c>
      <c r="G1454" s="141" t="s">
        <v>6401</v>
      </c>
      <c r="H1454" s="140" t="s">
        <v>6312</v>
      </c>
      <c r="I1454" s="140" t="s">
        <v>6313</v>
      </c>
      <c r="J1454" s="140" t="s">
        <v>6314</v>
      </c>
      <c r="K1454" s="140" t="s">
        <v>7567</v>
      </c>
    </row>
    <row r="1455">
      <c r="A1455" s="140" t="s">
        <v>7567</v>
      </c>
      <c r="B1455" s="143">
        <v>6.90222E12</v>
      </c>
      <c r="C1455" s="140" t="s">
        <v>8169</v>
      </c>
      <c r="D1455" s="140" t="s">
        <v>6318</v>
      </c>
      <c r="E1455" s="140" t="s">
        <v>1395</v>
      </c>
      <c r="F1455" s="140" t="s">
        <v>1421</v>
      </c>
      <c r="G1455" s="141" t="s">
        <v>6401</v>
      </c>
      <c r="H1455" s="140" t="s">
        <v>6312</v>
      </c>
      <c r="I1455" s="140" t="s">
        <v>6313</v>
      </c>
      <c r="J1455" s="140" t="s">
        <v>6314</v>
      </c>
      <c r="K1455" s="140" t="s">
        <v>7567</v>
      </c>
    </row>
    <row r="1456">
      <c r="A1456" s="140" t="s">
        <v>7567</v>
      </c>
      <c r="B1456" s="143">
        <v>6.90222E12</v>
      </c>
      <c r="C1456" s="140" t="s">
        <v>8170</v>
      </c>
      <c r="D1456" s="140" t="s">
        <v>6318</v>
      </c>
      <c r="E1456" s="140" t="s">
        <v>1395</v>
      </c>
      <c r="F1456" s="140" t="s">
        <v>1421</v>
      </c>
      <c r="G1456" s="141" t="s">
        <v>6401</v>
      </c>
      <c r="H1456" s="140" t="s">
        <v>6312</v>
      </c>
      <c r="I1456" s="140" t="s">
        <v>6313</v>
      </c>
      <c r="J1456" s="140" t="s">
        <v>6314</v>
      </c>
      <c r="K1456" s="140" t="s">
        <v>7567</v>
      </c>
    </row>
    <row r="1457">
      <c r="A1457" s="140" t="s">
        <v>7567</v>
      </c>
      <c r="B1457" s="143">
        <v>6.90222E12</v>
      </c>
      <c r="C1457" s="140" t="s">
        <v>8171</v>
      </c>
      <c r="D1457" s="140" t="s">
        <v>6318</v>
      </c>
      <c r="E1457" s="140" t="s">
        <v>1395</v>
      </c>
      <c r="F1457" s="140" t="s">
        <v>1421</v>
      </c>
      <c r="G1457" s="141" t="s">
        <v>6401</v>
      </c>
      <c r="H1457" s="140" t="s">
        <v>6312</v>
      </c>
      <c r="I1457" s="140" t="s">
        <v>6313</v>
      </c>
      <c r="J1457" s="140" t="s">
        <v>6314</v>
      </c>
      <c r="K1457" s="140" t="s">
        <v>7567</v>
      </c>
    </row>
    <row r="1458">
      <c r="A1458" s="140" t="s">
        <v>7567</v>
      </c>
      <c r="B1458" s="143">
        <v>6.90222E12</v>
      </c>
      <c r="C1458" s="140" t="s">
        <v>8172</v>
      </c>
      <c r="D1458" s="140" t="s">
        <v>6318</v>
      </c>
      <c r="E1458" s="140" t="s">
        <v>1395</v>
      </c>
      <c r="F1458" s="140" t="s">
        <v>1421</v>
      </c>
      <c r="G1458" s="141" t="s">
        <v>6401</v>
      </c>
      <c r="H1458" s="140" t="s">
        <v>6312</v>
      </c>
      <c r="I1458" s="140" t="s">
        <v>6313</v>
      </c>
      <c r="J1458" s="140" t="s">
        <v>6314</v>
      </c>
      <c r="K1458" s="140" t="s">
        <v>7567</v>
      </c>
    </row>
    <row r="1459">
      <c r="A1459" s="140" t="s">
        <v>7567</v>
      </c>
      <c r="B1459" s="143">
        <v>6.90222E12</v>
      </c>
      <c r="C1459" s="140" t="s">
        <v>8173</v>
      </c>
      <c r="D1459" s="140" t="s">
        <v>6318</v>
      </c>
      <c r="E1459" s="140" t="s">
        <v>1395</v>
      </c>
      <c r="F1459" s="140" t="s">
        <v>1421</v>
      </c>
      <c r="G1459" s="141" t="s">
        <v>6401</v>
      </c>
      <c r="H1459" s="140" t="s">
        <v>6312</v>
      </c>
      <c r="I1459" s="140" t="s">
        <v>6313</v>
      </c>
      <c r="J1459" s="140" t="s">
        <v>6314</v>
      </c>
      <c r="K1459" s="140" t="s">
        <v>7567</v>
      </c>
    </row>
    <row r="1460">
      <c r="A1460" s="140" t="s">
        <v>7567</v>
      </c>
      <c r="B1460" s="143">
        <v>6.90222E12</v>
      </c>
      <c r="C1460" s="140" t="s">
        <v>8174</v>
      </c>
      <c r="D1460" s="140" t="s">
        <v>6318</v>
      </c>
      <c r="E1460" s="140" t="s">
        <v>1395</v>
      </c>
      <c r="F1460" s="140" t="s">
        <v>1421</v>
      </c>
      <c r="G1460" s="141" t="s">
        <v>6401</v>
      </c>
      <c r="H1460" s="140" t="s">
        <v>6312</v>
      </c>
      <c r="I1460" s="140" t="s">
        <v>6313</v>
      </c>
      <c r="J1460" s="140" t="s">
        <v>6314</v>
      </c>
      <c r="K1460" s="140" t="s">
        <v>7567</v>
      </c>
    </row>
    <row r="1461">
      <c r="A1461" s="140" t="s">
        <v>8175</v>
      </c>
      <c r="B1461" s="140" t="s">
        <v>8176</v>
      </c>
      <c r="C1461" s="140" t="s">
        <v>8177</v>
      </c>
      <c r="D1461" s="140" t="s">
        <v>6309</v>
      </c>
      <c r="E1461" s="140" t="s">
        <v>6741</v>
      </c>
      <c r="F1461" s="140" t="s">
        <v>8178</v>
      </c>
      <c r="G1461" s="141" t="s">
        <v>6311</v>
      </c>
      <c r="H1461" s="140" t="s">
        <v>6330</v>
      </c>
      <c r="I1461" s="140" t="s">
        <v>6313</v>
      </c>
      <c r="J1461" s="140" t="s">
        <v>6314</v>
      </c>
      <c r="K1461" s="140" t="s">
        <v>8175</v>
      </c>
    </row>
    <row r="1462">
      <c r="A1462" s="140" t="s">
        <v>8179</v>
      </c>
      <c r="B1462" s="143">
        <v>6.90222E12</v>
      </c>
      <c r="C1462" s="140" t="s">
        <v>8180</v>
      </c>
      <c r="D1462" s="140" t="s">
        <v>6601</v>
      </c>
      <c r="E1462" s="140">
        <v>0.0</v>
      </c>
      <c r="F1462" s="140" t="s">
        <v>8181</v>
      </c>
      <c r="G1462" s="141" t="s">
        <v>6401</v>
      </c>
      <c r="H1462" s="140" t="s">
        <v>6312</v>
      </c>
      <c r="I1462" s="140" t="s">
        <v>6313</v>
      </c>
      <c r="J1462" s="140" t="s">
        <v>6314</v>
      </c>
      <c r="K1462" s="140" t="s">
        <v>7088</v>
      </c>
    </row>
    <row r="1463">
      <c r="A1463" s="140" t="s">
        <v>8179</v>
      </c>
      <c r="B1463" s="143">
        <v>6.90222E12</v>
      </c>
      <c r="C1463" s="140" t="s">
        <v>8182</v>
      </c>
      <c r="D1463" s="140" t="s">
        <v>6601</v>
      </c>
      <c r="E1463" s="140">
        <v>0.0</v>
      </c>
      <c r="F1463" s="140" t="s">
        <v>8181</v>
      </c>
      <c r="G1463" s="141" t="s">
        <v>6401</v>
      </c>
      <c r="H1463" s="140" t="s">
        <v>6312</v>
      </c>
      <c r="I1463" s="140" t="s">
        <v>6313</v>
      </c>
      <c r="J1463" s="140" t="s">
        <v>6314</v>
      </c>
      <c r="K1463" s="140" t="s">
        <v>7088</v>
      </c>
    </row>
    <row r="1464">
      <c r="A1464" s="140" t="s">
        <v>8179</v>
      </c>
      <c r="B1464" s="143">
        <v>6.90222E12</v>
      </c>
      <c r="C1464" s="140" t="s">
        <v>8183</v>
      </c>
      <c r="D1464" s="140" t="s">
        <v>6601</v>
      </c>
      <c r="E1464" s="140">
        <v>0.0</v>
      </c>
      <c r="F1464" s="140" t="s">
        <v>8181</v>
      </c>
      <c r="G1464" s="141" t="s">
        <v>6401</v>
      </c>
      <c r="H1464" s="140" t="s">
        <v>6312</v>
      </c>
      <c r="I1464" s="140" t="s">
        <v>6313</v>
      </c>
      <c r="J1464" s="140" t="s">
        <v>6314</v>
      </c>
      <c r="K1464" s="140" t="s">
        <v>7088</v>
      </c>
    </row>
    <row r="1465">
      <c r="A1465" s="140" t="s">
        <v>8179</v>
      </c>
      <c r="B1465" s="143">
        <v>6.90222E12</v>
      </c>
      <c r="C1465" s="140" t="s">
        <v>8184</v>
      </c>
      <c r="D1465" s="140" t="s">
        <v>6601</v>
      </c>
      <c r="E1465" s="140">
        <v>0.0</v>
      </c>
      <c r="F1465" s="140" t="s">
        <v>8181</v>
      </c>
      <c r="G1465" s="141" t="s">
        <v>6401</v>
      </c>
      <c r="H1465" s="140" t="s">
        <v>6312</v>
      </c>
      <c r="I1465" s="140" t="s">
        <v>6313</v>
      </c>
      <c r="J1465" s="140" t="s">
        <v>6314</v>
      </c>
      <c r="K1465" s="140" t="s">
        <v>7088</v>
      </c>
    </row>
    <row r="1466">
      <c r="A1466" s="140" t="s">
        <v>8179</v>
      </c>
      <c r="B1466" s="143">
        <v>6.90222E12</v>
      </c>
      <c r="C1466" s="140" t="s">
        <v>8185</v>
      </c>
      <c r="D1466" s="140" t="s">
        <v>6601</v>
      </c>
      <c r="E1466" s="140">
        <v>0.0</v>
      </c>
      <c r="F1466" s="140" t="s">
        <v>8181</v>
      </c>
      <c r="G1466" s="141" t="s">
        <v>6401</v>
      </c>
      <c r="H1466" s="140" t="s">
        <v>6312</v>
      </c>
      <c r="I1466" s="140" t="s">
        <v>6313</v>
      </c>
      <c r="J1466" s="140" t="s">
        <v>6314</v>
      </c>
      <c r="K1466" s="140" t="s">
        <v>7088</v>
      </c>
    </row>
    <row r="1467">
      <c r="A1467" s="140" t="s">
        <v>8179</v>
      </c>
      <c r="B1467" s="143">
        <v>6.90222E12</v>
      </c>
      <c r="C1467" s="140" t="s">
        <v>8186</v>
      </c>
      <c r="D1467" s="140" t="s">
        <v>6601</v>
      </c>
      <c r="E1467" s="140">
        <v>0.0</v>
      </c>
      <c r="F1467" s="140" t="s">
        <v>8181</v>
      </c>
      <c r="G1467" s="141" t="s">
        <v>6401</v>
      </c>
      <c r="H1467" s="140" t="s">
        <v>6312</v>
      </c>
      <c r="I1467" s="140" t="s">
        <v>6313</v>
      </c>
      <c r="J1467" s="140" t="s">
        <v>6314</v>
      </c>
      <c r="K1467" s="140" t="s">
        <v>7088</v>
      </c>
    </row>
    <row r="1468">
      <c r="A1468" s="140" t="s">
        <v>8179</v>
      </c>
      <c r="B1468" s="143">
        <v>6.90222E12</v>
      </c>
      <c r="C1468" s="140" t="s">
        <v>8187</v>
      </c>
      <c r="D1468" s="140" t="s">
        <v>6601</v>
      </c>
      <c r="E1468" s="140">
        <v>0.0</v>
      </c>
      <c r="F1468" s="140" t="s">
        <v>8181</v>
      </c>
      <c r="G1468" s="141" t="s">
        <v>6668</v>
      </c>
      <c r="H1468" s="140" t="s">
        <v>6312</v>
      </c>
      <c r="I1468" s="140" t="s">
        <v>6313</v>
      </c>
      <c r="J1468" s="140" t="s">
        <v>6314</v>
      </c>
      <c r="K1468" s="140" t="s">
        <v>7088</v>
      </c>
    </row>
    <row r="1469">
      <c r="A1469" s="140" t="s">
        <v>8179</v>
      </c>
      <c r="B1469" s="143">
        <v>6.90222E12</v>
      </c>
      <c r="C1469" s="140" t="s">
        <v>8188</v>
      </c>
      <c r="D1469" s="140" t="s">
        <v>6601</v>
      </c>
      <c r="E1469" s="140">
        <v>0.0</v>
      </c>
      <c r="F1469" s="140" t="s">
        <v>304</v>
      </c>
      <c r="G1469" s="141" t="s">
        <v>6401</v>
      </c>
      <c r="H1469" s="140" t="s">
        <v>6312</v>
      </c>
      <c r="I1469" s="140" t="s">
        <v>6313</v>
      </c>
      <c r="J1469" s="140" t="s">
        <v>6314</v>
      </c>
      <c r="K1469" s="140" t="s">
        <v>7088</v>
      </c>
    </row>
    <row r="1470">
      <c r="A1470" s="140" t="s">
        <v>8179</v>
      </c>
      <c r="B1470" s="143">
        <v>6.90222E12</v>
      </c>
      <c r="C1470" s="140" t="s">
        <v>8189</v>
      </c>
      <c r="D1470" s="140" t="s">
        <v>6601</v>
      </c>
      <c r="E1470" s="140">
        <v>0.0</v>
      </c>
      <c r="F1470" s="140" t="s">
        <v>304</v>
      </c>
      <c r="G1470" s="141" t="s">
        <v>6401</v>
      </c>
      <c r="H1470" s="140" t="s">
        <v>6312</v>
      </c>
      <c r="I1470" s="140" t="s">
        <v>6313</v>
      </c>
      <c r="J1470" s="140" t="s">
        <v>6314</v>
      </c>
      <c r="K1470" s="140" t="s">
        <v>7088</v>
      </c>
    </row>
    <row r="1471">
      <c r="A1471" s="140" t="s">
        <v>8179</v>
      </c>
      <c r="B1471" s="143">
        <v>6.90222E12</v>
      </c>
      <c r="C1471" s="140" t="s">
        <v>8190</v>
      </c>
      <c r="D1471" s="140" t="s">
        <v>6601</v>
      </c>
      <c r="E1471" s="140">
        <v>0.0</v>
      </c>
      <c r="F1471" s="140" t="s">
        <v>8191</v>
      </c>
      <c r="G1471" s="141" t="s">
        <v>6401</v>
      </c>
      <c r="H1471" s="140" t="s">
        <v>6312</v>
      </c>
      <c r="I1471" s="140" t="s">
        <v>6313</v>
      </c>
      <c r="J1471" s="140" t="s">
        <v>6314</v>
      </c>
      <c r="K1471" s="140" t="s">
        <v>7088</v>
      </c>
    </row>
    <row r="1472">
      <c r="A1472" s="140" t="s">
        <v>8179</v>
      </c>
      <c r="B1472" s="143">
        <v>6.90222E12</v>
      </c>
      <c r="C1472" s="140" t="s">
        <v>8192</v>
      </c>
      <c r="D1472" s="140" t="s">
        <v>6601</v>
      </c>
      <c r="E1472" s="140">
        <v>0.0</v>
      </c>
      <c r="F1472" s="140" t="s">
        <v>8191</v>
      </c>
      <c r="G1472" s="141" t="s">
        <v>6401</v>
      </c>
      <c r="H1472" s="140" t="s">
        <v>6312</v>
      </c>
      <c r="I1472" s="140" t="s">
        <v>6313</v>
      </c>
      <c r="J1472" s="140" t="s">
        <v>6314</v>
      </c>
      <c r="K1472" s="140" t="s">
        <v>7088</v>
      </c>
    </row>
    <row r="1473">
      <c r="A1473" s="140" t="s">
        <v>8179</v>
      </c>
      <c r="B1473" s="143">
        <v>6.90222E12</v>
      </c>
      <c r="C1473" s="140" t="s">
        <v>8193</v>
      </c>
      <c r="D1473" s="140" t="s">
        <v>6601</v>
      </c>
      <c r="E1473" s="140">
        <v>0.0</v>
      </c>
      <c r="F1473" s="140" t="s">
        <v>8191</v>
      </c>
      <c r="G1473" s="141" t="s">
        <v>6401</v>
      </c>
      <c r="H1473" s="140" t="s">
        <v>6312</v>
      </c>
      <c r="I1473" s="140" t="s">
        <v>6313</v>
      </c>
      <c r="J1473" s="140" t="s">
        <v>6314</v>
      </c>
      <c r="K1473" s="140" t="s">
        <v>7088</v>
      </c>
    </row>
    <row r="1474">
      <c r="A1474" s="140" t="s">
        <v>8179</v>
      </c>
      <c r="B1474" s="143">
        <v>6.90222E12</v>
      </c>
      <c r="C1474" s="140" t="s">
        <v>8194</v>
      </c>
      <c r="D1474" s="140" t="s">
        <v>6601</v>
      </c>
      <c r="E1474" s="140">
        <v>0.0</v>
      </c>
      <c r="F1474" s="140" t="s">
        <v>8191</v>
      </c>
      <c r="G1474" s="141" t="s">
        <v>6401</v>
      </c>
      <c r="H1474" s="140" t="s">
        <v>6312</v>
      </c>
      <c r="I1474" s="140" t="s">
        <v>6313</v>
      </c>
      <c r="J1474" s="140" t="s">
        <v>6314</v>
      </c>
      <c r="K1474" s="140" t="s">
        <v>7088</v>
      </c>
    </row>
    <row r="1475">
      <c r="A1475" s="140" t="s">
        <v>8179</v>
      </c>
      <c r="B1475" s="143">
        <v>6.90222E12</v>
      </c>
      <c r="C1475" s="140" t="s">
        <v>8195</v>
      </c>
      <c r="D1475" s="140" t="s">
        <v>6601</v>
      </c>
      <c r="E1475" s="140">
        <v>0.0</v>
      </c>
      <c r="F1475" s="140" t="s">
        <v>8191</v>
      </c>
      <c r="G1475" s="141" t="s">
        <v>6401</v>
      </c>
      <c r="H1475" s="140" t="s">
        <v>6312</v>
      </c>
      <c r="I1475" s="140" t="s">
        <v>6313</v>
      </c>
      <c r="J1475" s="140" t="s">
        <v>6314</v>
      </c>
      <c r="K1475" s="140" t="s">
        <v>7088</v>
      </c>
    </row>
    <row r="1476">
      <c r="A1476" s="140" t="s">
        <v>8179</v>
      </c>
      <c r="B1476" s="143">
        <v>6.90222E12</v>
      </c>
      <c r="C1476" s="140" t="s">
        <v>8196</v>
      </c>
      <c r="D1476" s="140" t="s">
        <v>6601</v>
      </c>
      <c r="E1476" s="140">
        <v>0.0</v>
      </c>
      <c r="F1476" s="140" t="s">
        <v>8191</v>
      </c>
      <c r="G1476" s="141" t="s">
        <v>6401</v>
      </c>
      <c r="H1476" s="140" t="s">
        <v>6312</v>
      </c>
      <c r="I1476" s="140" t="s">
        <v>6313</v>
      </c>
      <c r="J1476" s="140" t="s">
        <v>6314</v>
      </c>
      <c r="K1476" s="140" t="s">
        <v>7088</v>
      </c>
    </row>
    <row r="1477">
      <c r="A1477" s="140" t="s">
        <v>8179</v>
      </c>
      <c r="B1477" s="143">
        <v>6.90222E12</v>
      </c>
      <c r="C1477" s="140" t="s">
        <v>8197</v>
      </c>
      <c r="D1477" s="140" t="s">
        <v>6601</v>
      </c>
      <c r="E1477" s="140">
        <v>0.0</v>
      </c>
      <c r="F1477" s="140" t="s">
        <v>8191</v>
      </c>
      <c r="G1477" s="141" t="s">
        <v>6401</v>
      </c>
      <c r="H1477" s="140" t="s">
        <v>6312</v>
      </c>
      <c r="I1477" s="140" t="s">
        <v>6313</v>
      </c>
      <c r="J1477" s="140" t="s">
        <v>6314</v>
      </c>
      <c r="K1477" s="140" t="s">
        <v>7088</v>
      </c>
    </row>
    <row r="1478">
      <c r="A1478" s="140" t="s">
        <v>8179</v>
      </c>
      <c r="B1478" s="143">
        <v>6.90222E12</v>
      </c>
      <c r="C1478" s="140" t="s">
        <v>8198</v>
      </c>
      <c r="D1478" s="140" t="s">
        <v>6601</v>
      </c>
      <c r="E1478" s="140">
        <v>0.0</v>
      </c>
      <c r="F1478" s="140" t="s">
        <v>8191</v>
      </c>
      <c r="G1478" s="141" t="s">
        <v>6401</v>
      </c>
      <c r="H1478" s="140" t="s">
        <v>6312</v>
      </c>
      <c r="I1478" s="140" t="s">
        <v>6313</v>
      </c>
      <c r="J1478" s="140" t="s">
        <v>6314</v>
      </c>
      <c r="K1478" s="140" t="s">
        <v>7088</v>
      </c>
    </row>
    <row r="1479">
      <c r="A1479" s="140" t="s">
        <v>8179</v>
      </c>
      <c r="B1479" s="143">
        <v>6.90222E12</v>
      </c>
      <c r="C1479" s="140" t="s">
        <v>8199</v>
      </c>
      <c r="D1479" s="140" t="s">
        <v>6601</v>
      </c>
      <c r="E1479" s="140">
        <v>0.0</v>
      </c>
      <c r="F1479" s="140" t="s">
        <v>8191</v>
      </c>
      <c r="G1479" s="141" t="s">
        <v>6401</v>
      </c>
      <c r="H1479" s="140" t="s">
        <v>6312</v>
      </c>
      <c r="I1479" s="140" t="s">
        <v>6313</v>
      </c>
      <c r="J1479" s="140" t="s">
        <v>6314</v>
      </c>
      <c r="K1479" s="140" t="s">
        <v>7088</v>
      </c>
    </row>
    <row r="1480">
      <c r="A1480" s="140" t="s">
        <v>8179</v>
      </c>
      <c r="B1480" s="143">
        <v>6.90222E12</v>
      </c>
      <c r="C1480" s="140" t="s">
        <v>8200</v>
      </c>
      <c r="D1480" s="140" t="s">
        <v>6601</v>
      </c>
      <c r="E1480" s="140">
        <v>0.0</v>
      </c>
      <c r="F1480" s="140" t="s">
        <v>7087</v>
      </c>
      <c r="G1480" s="141" t="s">
        <v>6401</v>
      </c>
      <c r="H1480" s="140" t="s">
        <v>6312</v>
      </c>
      <c r="I1480" s="140" t="s">
        <v>6313</v>
      </c>
      <c r="J1480" s="140" t="s">
        <v>6314</v>
      </c>
      <c r="K1480" s="140" t="s">
        <v>7088</v>
      </c>
    </row>
    <row r="1481">
      <c r="A1481" s="140" t="s">
        <v>8179</v>
      </c>
      <c r="B1481" s="143">
        <v>6.90222E12</v>
      </c>
      <c r="C1481" s="140" t="s">
        <v>8201</v>
      </c>
      <c r="D1481" s="140" t="s">
        <v>6601</v>
      </c>
      <c r="E1481" s="140">
        <v>0.0</v>
      </c>
      <c r="F1481" s="140" t="s">
        <v>7087</v>
      </c>
      <c r="G1481" s="141" t="s">
        <v>6401</v>
      </c>
      <c r="H1481" s="140" t="s">
        <v>6312</v>
      </c>
      <c r="I1481" s="140" t="s">
        <v>6313</v>
      </c>
      <c r="J1481" s="140" t="s">
        <v>6314</v>
      </c>
      <c r="K1481" s="140" t="s">
        <v>7088</v>
      </c>
    </row>
    <row r="1482">
      <c r="A1482" s="140" t="s">
        <v>8179</v>
      </c>
      <c r="B1482" s="143">
        <v>6.90222E12</v>
      </c>
      <c r="C1482" s="140" t="s">
        <v>8202</v>
      </c>
      <c r="D1482" s="140" t="s">
        <v>6601</v>
      </c>
      <c r="E1482" s="140">
        <v>0.0</v>
      </c>
      <c r="F1482" s="140" t="s">
        <v>7087</v>
      </c>
      <c r="G1482" s="141" t="s">
        <v>6401</v>
      </c>
      <c r="H1482" s="140" t="s">
        <v>6312</v>
      </c>
      <c r="I1482" s="140" t="s">
        <v>6313</v>
      </c>
      <c r="J1482" s="140" t="s">
        <v>6314</v>
      </c>
      <c r="K1482" s="140" t="s">
        <v>7088</v>
      </c>
    </row>
    <row r="1483">
      <c r="A1483" s="140" t="s">
        <v>8179</v>
      </c>
      <c r="B1483" s="143">
        <v>6.90222E12</v>
      </c>
      <c r="C1483" s="140" t="s">
        <v>8203</v>
      </c>
      <c r="D1483" s="140" t="s">
        <v>6601</v>
      </c>
      <c r="E1483" s="140">
        <v>0.0</v>
      </c>
      <c r="F1483" s="140" t="s">
        <v>7087</v>
      </c>
      <c r="G1483" s="141" t="s">
        <v>6401</v>
      </c>
      <c r="H1483" s="140" t="s">
        <v>6312</v>
      </c>
      <c r="I1483" s="140" t="s">
        <v>6313</v>
      </c>
      <c r="J1483" s="140" t="s">
        <v>6314</v>
      </c>
      <c r="K1483" s="140" t="s">
        <v>7088</v>
      </c>
    </row>
    <row r="1484">
      <c r="A1484" s="140" t="s">
        <v>8179</v>
      </c>
      <c r="B1484" s="143">
        <v>6.90222E12</v>
      </c>
      <c r="C1484" s="140" t="s">
        <v>8204</v>
      </c>
      <c r="D1484" s="140" t="s">
        <v>6601</v>
      </c>
      <c r="E1484" s="140">
        <v>0.0</v>
      </c>
      <c r="F1484" s="140" t="s">
        <v>7087</v>
      </c>
      <c r="G1484" s="141" t="s">
        <v>6401</v>
      </c>
      <c r="H1484" s="140" t="s">
        <v>6312</v>
      </c>
      <c r="I1484" s="140" t="s">
        <v>6313</v>
      </c>
      <c r="J1484" s="140" t="s">
        <v>6314</v>
      </c>
      <c r="K1484" s="140" t="s">
        <v>7088</v>
      </c>
    </row>
    <row r="1485">
      <c r="A1485" s="140" t="s">
        <v>8179</v>
      </c>
      <c r="B1485" s="143">
        <v>6.90222E12</v>
      </c>
      <c r="C1485" s="140" t="s">
        <v>8205</v>
      </c>
      <c r="D1485" s="140" t="s">
        <v>6601</v>
      </c>
      <c r="E1485" s="140">
        <v>0.0</v>
      </c>
      <c r="F1485" s="140" t="s">
        <v>7087</v>
      </c>
      <c r="G1485" s="141" t="s">
        <v>6401</v>
      </c>
      <c r="H1485" s="140" t="s">
        <v>6312</v>
      </c>
      <c r="I1485" s="140" t="s">
        <v>6313</v>
      </c>
      <c r="J1485" s="140" t="s">
        <v>6314</v>
      </c>
      <c r="K1485" s="140" t="s">
        <v>7088</v>
      </c>
    </row>
    <row r="1486">
      <c r="A1486" s="140" t="s">
        <v>8179</v>
      </c>
      <c r="B1486" s="143">
        <v>6.90222E12</v>
      </c>
      <c r="C1486" s="140" t="s">
        <v>8206</v>
      </c>
      <c r="D1486" s="140" t="s">
        <v>6601</v>
      </c>
      <c r="E1486" s="140">
        <v>0.0</v>
      </c>
      <c r="F1486" s="140" t="s">
        <v>7087</v>
      </c>
      <c r="G1486" s="141" t="s">
        <v>6401</v>
      </c>
      <c r="H1486" s="140" t="s">
        <v>6312</v>
      </c>
      <c r="I1486" s="140" t="s">
        <v>6313</v>
      </c>
      <c r="J1486" s="140" t="s">
        <v>6314</v>
      </c>
      <c r="K1486" s="140" t="s">
        <v>7088</v>
      </c>
    </row>
    <row r="1487">
      <c r="A1487" s="140" t="s">
        <v>8179</v>
      </c>
      <c r="B1487" s="143">
        <v>6.90222E12</v>
      </c>
      <c r="C1487" s="140" t="s">
        <v>8207</v>
      </c>
      <c r="D1487" s="140" t="s">
        <v>6601</v>
      </c>
      <c r="E1487" s="140">
        <v>0.0</v>
      </c>
      <c r="F1487" s="140" t="s">
        <v>7087</v>
      </c>
      <c r="G1487" s="141" t="s">
        <v>6401</v>
      </c>
      <c r="H1487" s="140" t="s">
        <v>6312</v>
      </c>
      <c r="I1487" s="140" t="s">
        <v>6313</v>
      </c>
      <c r="J1487" s="140" t="s">
        <v>6314</v>
      </c>
      <c r="K1487" s="140" t="s">
        <v>7088</v>
      </c>
    </row>
    <row r="1488">
      <c r="A1488" s="140" t="s">
        <v>8179</v>
      </c>
      <c r="B1488" s="143">
        <v>6.90222E12</v>
      </c>
      <c r="C1488" s="140" t="s">
        <v>8208</v>
      </c>
      <c r="D1488" s="140" t="s">
        <v>6601</v>
      </c>
      <c r="E1488" s="140">
        <v>0.0</v>
      </c>
      <c r="F1488" s="140" t="s">
        <v>7087</v>
      </c>
      <c r="G1488" s="141" t="s">
        <v>6401</v>
      </c>
      <c r="H1488" s="140" t="s">
        <v>6312</v>
      </c>
      <c r="I1488" s="140" t="s">
        <v>6313</v>
      </c>
      <c r="J1488" s="140" t="s">
        <v>6314</v>
      </c>
      <c r="K1488" s="140" t="s">
        <v>7088</v>
      </c>
    </row>
    <row r="1489">
      <c r="A1489" s="140" t="s">
        <v>8179</v>
      </c>
      <c r="B1489" s="143">
        <v>6.90222E12</v>
      </c>
      <c r="C1489" s="140" t="s">
        <v>8209</v>
      </c>
      <c r="D1489" s="140" t="s">
        <v>6601</v>
      </c>
      <c r="E1489" s="140">
        <v>0.0</v>
      </c>
      <c r="F1489" s="140" t="s">
        <v>7087</v>
      </c>
      <c r="G1489" s="141" t="s">
        <v>6401</v>
      </c>
      <c r="H1489" s="140" t="s">
        <v>6312</v>
      </c>
      <c r="I1489" s="140" t="s">
        <v>6313</v>
      </c>
      <c r="J1489" s="140" t="s">
        <v>6314</v>
      </c>
      <c r="K1489" s="140" t="s">
        <v>7088</v>
      </c>
    </row>
    <row r="1490">
      <c r="A1490" s="140" t="s">
        <v>8179</v>
      </c>
      <c r="B1490" s="143">
        <v>6.90222E12</v>
      </c>
      <c r="C1490" s="140" t="s">
        <v>8210</v>
      </c>
      <c r="D1490" s="140" t="s">
        <v>6601</v>
      </c>
      <c r="E1490" s="140">
        <v>0.0</v>
      </c>
      <c r="F1490" s="140" t="s">
        <v>7087</v>
      </c>
      <c r="G1490" s="141" t="s">
        <v>6401</v>
      </c>
      <c r="H1490" s="140" t="s">
        <v>6312</v>
      </c>
      <c r="I1490" s="140" t="s">
        <v>6313</v>
      </c>
      <c r="J1490" s="140" t="s">
        <v>6314</v>
      </c>
      <c r="K1490" s="140" t="s">
        <v>7088</v>
      </c>
    </row>
    <row r="1491">
      <c r="A1491" s="140" t="s">
        <v>8179</v>
      </c>
      <c r="B1491" s="143">
        <v>6.90222E12</v>
      </c>
      <c r="C1491" s="140" t="s">
        <v>8211</v>
      </c>
      <c r="D1491" s="140" t="s">
        <v>6601</v>
      </c>
      <c r="E1491" s="140">
        <v>0.0</v>
      </c>
      <c r="F1491" s="140" t="s">
        <v>7087</v>
      </c>
      <c r="G1491" s="141" t="s">
        <v>6401</v>
      </c>
      <c r="H1491" s="140" t="s">
        <v>6312</v>
      </c>
      <c r="I1491" s="140" t="s">
        <v>6313</v>
      </c>
      <c r="J1491" s="140" t="s">
        <v>6314</v>
      </c>
      <c r="K1491" s="140" t="s">
        <v>7088</v>
      </c>
    </row>
    <row r="1492">
      <c r="A1492" s="140" t="s">
        <v>8179</v>
      </c>
      <c r="B1492" s="143">
        <v>6.90222E12</v>
      </c>
      <c r="C1492" s="140" t="s">
        <v>8212</v>
      </c>
      <c r="D1492" s="140" t="s">
        <v>6601</v>
      </c>
      <c r="E1492" s="140">
        <v>0.0</v>
      </c>
      <c r="F1492" s="140" t="s">
        <v>7087</v>
      </c>
      <c r="G1492" s="141" t="s">
        <v>6401</v>
      </c>
      <c r="H1492" s="140" t="s">
        <v>6312</v>
      </c>
      <c r="I1492" s="140" t="s">
        <v>6313</v>
      </c>
      <c r="J1492" s="140" t="s">
        <v>6314</v>
      </c>
      <c r="K1492" s="140" t="s">
        <v>7088</v>
      </c>
    </row>
    <row r="1493">
      <c r="A1493" s="140" t="s">
        <v>8179</v>
      </c>
      <c r="B1493" s="143">
        <v>6.90222E12</v>
      </c>
      <c r="C1493" s="140" t="s">
        <v>8213</v>
      </c>
      <c r="D1493" s="140" t="s">
        <v>6601</v>
      </c>
      <c r="E1493" s="140">
        <v>0.0</v>
      </c>
      <c r="F1493" s="140" t="s">
        <v>7087</v>
      </c>
      <c r="G1493" s="141" t="s">
        <v>6401</v>
      </c>
      <c r="H1493" s="140" t="s">
        <v>6312</v>
      </c>
      <c r="I1493" s="140" t="s">
        <v>6313</v>
      </c>
      <c r="J1493" s="140" t="s">
        <v>6314</v>
      </c>
      <c r="K1493" s="140" t="s">
        <v>7088</v>
      </c>
    </row>
    <row r="1494">
      <c r="A1494" s="140" t="s">
        <v>8179</v>
      </c>
      <c r="B1494" s="143">
        <v>6.90222E12</v>
      </c>
      <c r="C1494" s="140" t="s">
        <v>8214</v>
      </c>
      <c r="D1494" s="140" t="s">
        <v>6601</v>
      </c>
      <c r="E1494" s="140">
        <v>0.0</v>
      </c>
      <c r="F1494" s="140" t="s">
        <v>7087</v>
      </c>
      <c r="G1494" s="141" t="s">
        <v>6401</v>
      </c>
      <c r="H1494" s="140" t="s">
        <v>6312</v>
      </c>
      <c r="I1494" s="140" t="s">
        <v>6313</v>
      </c>
      <c r="J1494" s="140" t="s">
        <v>6314</v>
      </c>
      <c r="K1494" s="140" t="s">
        <v>7088</v>
      </c>
    </row>
    <row r="1495">
      <c r="A1495" s="140" t="s">
        <v>8179</v>
      </c>
      <c r="B1495" s="143">
        <v>6.90222E12</v>
      </c>
      <c r="C1495" s="140" t="s">
        <v>8215</v>
      </c>
      <c r="D1495" s="140" t="s">
        <v>6601</v>
      </c>
      <c r="E1495" s="140">
        <v>0.0</v>
      </c>
      <c r="F1495" s="140" t="s">
        <v>7087</v>
      </c>
      <c r="G1495" s="141" t="s">
        <v>6401</v>
      </c>
      <c r="H1495" s="140" t="s">
        <v>6312</v>
      </c>
      <c r="I1495" s="140" t="s">
        <v>6313</v>
      </c>
      <c r="J1495" s="140" t="s">
        <v>6314</v>
      </c>
      <c r="K1495" s="140" t="s">
        <v>7088</v>
      </c>
    </row>
    <row r="1496">
      <c r="A1496" s="140" t="s">
        <v>8179</v>
      </c>
      <c r="B1496" s="143">
        <v>6.90222E12</v>
      </c>
      <c r="C1496" s="140" t="s">
        <v>8216</v>
      </c>
      <c r="D1496" s="140" t="s">
        <v>6601</v>
      </c>
      <c r="E1496" s="140">
        <v>0.0</v>
      </c>
      <c r="F1496" s="140" t="s">
        <v>7087</v>
      </c>
      <c r="G1496" s="141" t="s">
        <v>6401</v>
      </c>
      <c r="H1496" s="140" t="s">
        <v>6312</v>
      </c>
      <c r="I1496" s="140" t="s">
        <v>6313</v>
      </c>
      <c r="J1496" s="140" t="s">
        <v>6314</v>
      </c>
      <c r="K1496" s="140" t="s">
        <v>7088</v>
      </c>
    </row>
    <row r="1497">
      <c r="A1497" s="140" t="s">
        <v>8179</v>
      </c>
      <c r="B1497" s="143">
        <v>6.90222E12</v>
      </c>
      <c r="C1497" s="140" t="s">
        <v>8217</v>
      </c>
      <c r="D1497" s="140" t="s">
        <v>6601</v>
      </c>
      <c r="E1497" s="140">
        <v>0.0</v>
      </c>
      <c r="F1497" s="140" t="s">
        <v>7087</v>
      </c>
      <c r="G1497" s="141" t="s">
        <v>6401</v>
      </c>
      <c r="H1497" s="140" t="s">
        <v>6312</v>
      </c>
      <c r="I1497" s="140" t="s">
        <v>6313</v>
      </c>
      <c r="J1497" s="140" t="s">
        <v>6314</v>
      </c>
      <c r="K1497" s="140" t="s">
        <v>7088</v>
      </c>
    </row>
    <row r="1498">
      <c r="A1498" s="140" t="s">
        <v>8179</v>
      </c>
      <c r="B1498" s="143">
        <v>6.90222E12</v>
      </c>
      <c r="C1498" s="140" t="s">
        <v>8218</v>
      </c>
      <c r="D1498" s="140" t="s">
        <v>6601</v>
      </c>
      <c r="E1498" s="140">
        <v>0.0</v>
      </c>
      <c r="F1498" s="140" t="s">
        <v>7087</v>
      </c>
      <c r="G1498" s="141" t="s">
        <v>6401</v>
      </c>
      <c r="H1498" s="140" t="s">
        <v>6312</v>
      </c>
      <c r="I1498" s="140" t="s">
        <v>6313</v>
      </c>
      <c r="J1498" s="140" t="s">
        <v>6314</v>
      </c>
      <c r="K1498" s="140" t="s">
        <v>7088</v>
      </c>
    </row>
    <row r="1499">
      <c r="A1499" s="140" t="s">
        <v>8179</v>
      </c>
      <c r="B1499" s="143">
        <v>6.90222E12</v>
      </c>
      <c r="C1499" s="140" t="s">
        <v>8219</v>
      </c>
      <c r="D1499" s="140" t="s">
        <v>6601</v>
      </c>
      <c r="E1499" s="140">
        <v>0.0</v>
      </c>
      <c r="F1499" s="140" t="s">
        <v>7087</v>
      </c>
      <c r="G1499" s="141" t="s">
        <v>6401</v>
      </c>
      <c r="H1499" s="140" t="s">
        <v>6312</v>
      </c>
      <c r="I1499" s="140" t="s">
        <v>6313</v>
      </c>
      <c r="J1499" s="140" t="s">
        <v>6314</v>
      </c>
      <c r="K1499" s="140" t="s">
        <v>7088</v>
      </c>
    </row>
    <row r="1500">
      <c r="A1500" s="140" t="s">
        <v>8179</v>
      </c>
      <c r="B1500" s="143">
        <v>6.90222E12</v>
      </c>
      <c r="C1500" s="140" t="s">
        <v>8220</v>
      </c>
      <c r="D1500" s="140" t="s">
        <v>6601</v>
      </c>
      <c r="E1500" s="140">
        <v>0.0</v>
      </c>
      <c r="F1500" s="140" t="s">
        <v>7087</v>
      </c>
      <c r="G1500" s="141" t="s">
        <v>6401</v>
      </c>
      <c r="H1500" s="140" t="s">
        <v>6312</v>
      </c>
      <c r="I1500" s="140" t="s">
        <v>6313</v>
      </c>
      <c r="J1500" s="140" t="s">
        <v>6314</v>
      </c>
      <c r="K1500" s="140" t="s">
        <v>7088</v>
      </c>
    </row>
    <row r="1501">
      <c r="A1501" s="140" t="s">
        <v>8179</v>
      </c>
      <c r="B1501" s="143">
        <v>6.90222E12</v>
      </c>
      <c r="C1501" s="140" t="s">
        <v>8221</v>
      </c>
      <c r="D1501" s="140" t="s">
        <v>6601</v>
      </c>
      <c r="E1501" s="140">
        <v>0.0</v>
      </c>
      <c r="F1501" s="140" t="s">
        <v>7087</v>
      </c>
      <c r="G1501" s="141" t="s">
        <v>6401</v>
      </c>
      <c r="H1501" s="140" t="s">
        <v>6312</v>
      </c>
      <c r="I1501" s="140" t="s">
        <v>6313</v>
      </c>
      <c r="J1501" s="140" t="s">
        <v>6314</v>
      </c>
      <c r="K1501" s="140" t="s">
        <v>7088</v>
      </c>
    </row>
    <row r="1502">
      <c r="A1502" s="140" t="s">
        <v>8179</v>
      </c>
      <c r="B1502" s="143">
        <v>6.90222E12</v>
      </c>
      <c r="C1502" s="140" t="s">
        <v>8222</v>
      </c>
      <c r="D1502" s="140" t="s">
        <v>6601</v>
      </c>
      <c r="E1502" s="140">
        <v>0.0</v>
      </c>
      <c r="F1502" s="140" t="s">
        <v>7087</v>
      </c>
      <c r="G1502" s="141" t="s">
        <v>6401</v>
      </c>
      <c r="H1502" s="140" t="s">
        <v>6312</v>
      </c>
      <c r="I1502" s="140" t="s">
        <v>6313</v>
      </c>
      <c r="J1502" s="140" t="s">
        <v>6314</v>
      </c>
      <c r="K1502" s="140" t="s">
        <v>7088</v>
      </c>
    </row>
    <row r="1503">
      <c r="A1503" s="140" t="s">
        <v>8179</v>
      </c>
      <c r="B1503" s="143">
        <v>6.90222E12</v>
      </c>
      <c r="C1503" s="140" t="s">
        <v>8223</v>
      </c>
      <c r="D1503" s="140" t="s">
        <v>6601</v>
      </c>
      <c r="E1503" s="140">
        <v>0.0</v>
      </c>
      <c r="F1503" s="140" t="s">
        <v>7087</v>
      </c>
      <c r="G1503" s="141" t="s">
        <v>6401</v>
      </c>
      <c r="H1503" s="140" t="s">
        <v>6312</v>
      </c>
      <c r="I1503" s="140" t="s">
        <v>6313</v>
      </c>
      <c r="J1503" s="140" t="s">
        <v>6314</v>
      </c>
      <c r="K1503" s="140" t="s">
        <v>7088</v>
      </c>
    </row>
    <row r="1504">
      <c r="A1504" s="140" t="s">
        <v>8179</v>
      </c>
      <c r="B1504" s="143">
        <v>6.90222E12</v>
      </c>
      <c r="C1504" s="140" t="s">
        <v>8224</v>
      </c>
      <c r="D1504" s="140" t="s">
        <v>6601</v>
      </c>
      <c r="E1504" s="140">
        <v>0.0</v>
      </c>
      <c r="F1504" s="140" t="s">
        <v>7087</v>
      </c>
      <c r="G1504" s="141" t="s">
        <v>6401</v>
      </c>
      <c r="H1504" s="140" t="s">
        <v>6312</v>
      </c>
      <c r="I1504" s="140" t="s">
        <v>6313</v>
      </c>
      <c r="J1504" s="140" t="s">
        <v>6314</v>
      </c>
      <c r="K1504" s="140" t="s">
        <v>7088</v>
      </c>
    </row>
    <row r="1505">
      <c r="A1505" s="140" t="s">
        <v>8179</v>
      </c>
      <c r="B1505" s="143">
        <v>6.90222E12</v>
      </c>
      <c r="C1505" s="140" t="s">
        <v>8225</v>
      </c>
      <c r="D1505" s="140" t="s">
        <v>6601</v>
      </c>
      <c r="E1505" s="140">
        <v>0.0</v>
      </c>
      <c r="F1505" s="140" t="s">
        <v>7087</v>
      </c>
      <c r="G1505" s="141" t="s">
        <v>6668</v>
      </c>
      <c r="H1505" s="140" t="s">
        <v>6312</v>
      </c>
      <c r="I1505" s="140" t="s">
        <v>6313</v>
      </c>
      <c r="J1505" s="140" t="s">
        <v>6314</v>
      </c>
      <c r="K1505" s="140" t="s">
        <v>7088</v>
      </c>
    </row>
    <row r="1506">
      <c r="A1506" s="140" t="s">
        <v>8179</v>
      </c>
      <c r="B1506" s="143">
        <v>6.90222E12</v>
      </c>
      <c r="C1506" s="140" t="s">
        <v>8226</v>
      </c>
      <c r="D1506" s="140" t="s">
        <v>6601</v>
      </c>
      <c r="E1506" s="140">
        <v>0.0</v>
      </c>
      <c r="F1506" s="140" t="s">
        <v>7087</v>
      </c>
      <c r="G1506" s="141" t="s">
        <v>6742</v>
      </c>
      <c r="H1506" s="140" t="s">
        <v>6312</v>
      </c>
      <c r="I1506" s="140" t="s">
        <v>6313</v>
      </c>
      <c r="J1506" s="140" t="s">
        <v>6314</v>
      </c>
      <c r="K1506" s="140" t="s">
        <v>7088</v>
      </c>
    </row>
    <row r="1507">
      <c r="A1507" s="140" t="s">
        <v>8179</v>
      </c>
      <c r="B1507" s="143">
        <v>6.90222E12</v>
      </c>
      <c r="C1507" s="140" t="s">
        <v>8227</v>
      </c>
      <c r="D1507" s="140" t="s">
        <v>6601</v>
      </c>
      <c r="E1507" s="140">
        <v>0.0</v>
      </c>
      <c r="F1507" s="140" t="s">
        <v>7087</v>
      </c>
      <c r="G1507" s="141" t="s">
        <v>6401</v>
      </c>
      <c r="H1507" s="140" t="s">
        <v>6312</v>
      </c>
      <c r="I1507" s="140" t="s">
        <v>6313</v>
      </c>
      <c r="J1507" s="140" t="s">
        <v>6314</v>
      </c>
      <c r="K1507" s="140" t="s">
        <v>7088</v>
      </c>
    </row>
    <row r="1508">
      <c r="A1508" s="140" t="s">
        <v>8179</v>
      </c>
      <c r="B1508" s="143">
        <v>6.90222E12</v>
      </c>
      <c r="C1508" s="140" t="s">
        <v>8228</v>
      </c>
      <c r="D1508" s="140" t="s">
        <v>6601</v>
      </c>
      <c r="E1508" s="140">
        <v>0.0</v>
      </c>
      <c r="F1508" s="140" t="s">
        <v>7087</v>
      </c>
      <c r="G1508" s="141" t="s">
        <v>6401</v>
      </c>
      <c r="H1508" s="140" t="s">
        <v>6312</v>
      </c>
      <c r="I1508" s="140" t="s">
        <v>6313</v>
      </c>
      <c r="J1508" s="140" t="s">
        <v>6314</v>
      </c>
      <c r="K1508" s="140" t="s">
        <v>7088</v>
      </c>
    </row>
    <row r="1509">
      <c r="A1509" s="140" t="s">
        <v>8179</v>
      </c>
      <c r="B1509" s="143">
        <v>6.90222E12</v>
      </c>
      <c r="C1509" s="140" t="s">
        <v>8229</v>
      </c>
      <c r="D1509" s="140" t="s">
        <v>6601</v>
      </c>
      <c r="E1509" s="140">
        <v>0.0</v>
      </c>
      <c r="F1509" s="140" t="s">
        <v>7087</v>
      </c>
      <c r="G1509" s="141" t="s">
        <v>6401</v>
      </c>
      <c r="H1509" s="140" t="s">
        <v>6312</v>
      </c>
      <c r="I1509" s="140" t="s">
        <v>6313</v>
      </c>
      <c r="J1509" s="140" t="s">
        <v>6314</v>
      </c>
      <c r="K1509" s="140" t="s">
        <v>7088</v>
      </c>
    </row>
    <row r="1510">
      <c r="A1510" s="140" t="s">
        <v>8179</v>
      </c>
      <c r="B1510" s="143">
        <v>6.90222E12</v>
      </c>
      <c r="C1510" s="140" t="s">
        <v>8230</v>
      </c>
      <c r="D1510" s="140" t="s">
        <v>6601</v>
      </c>
      <c r="E1510" s="140">
        <v>0.0</v>
      </c>
      <c r="F1510" s="140" t="s">
        <v>7087</v>
      </c>
      <c r="G1510" s="141" t="s">
        <v>6401</v>
      </c>
      <c r="H1510" s="140" t="s">
        <v>6312</v>
      </c>
      <c r="I1510" s="140" t="s">
        <v>6313</v>
      </c>
      <c r="J1510" s="140" t="s">
        <v>6314</v>
      </c>
      <c r="K1510" s="140" t="s">
        <v>7088</v>
      </c>
    </row>
    <row r="1511">
      <c r="A1511" s="140" t="s">
        <v>8179</v>
      </c>
      <c r="B1511" s="143">
        <v>6.90222E12</v>
      </c>
      <c r="C1511" s="140" t="s">
        <v>8231</v>
      </c>
      <c r="D1511" s="140" t="s">
        <v>6601</v>
      </c>
      <c r="E1511" s="140">
        <v>0.0</v>
      </c>
      <c r="F1511" s="140" t="s">
        <v>7087</v>
      </c>
      <c r="G1511" s="141" t="s">
        <v>6401</v>
      </c>
      <c r="H1511" s="140" t="s">
        <v>6312</v>
      </c>
      <c r="I1511" s="140" t="s">
        <v>6313</v>
      </c>
      <c r="J1511" s="140" t="s">
        <v>6314</v>
      </c>
      <c r="K1511" s="140" t="s">
        <v>7088</v>
      </c>
    </row>
    <row r="1512">
      <c r="A1512" s="140" t="s">
        <v>8179</v>
      </c>
      <c r="B1512" s="143">
        <v>6.90222E12</v>
      </c>
      <c r="C1512" s="140" t="s">
        <v>8232</v>
      </c>
      <c r="D1512" s="140" t="s">
        <v>6601</v>
      </c>
      <c r="E1512" s="140">
        <v>0.0</v>
      </c>
      <c r="F1512" s="140" t="s">
        <v>7087</v>
      </c>
      <c r="G1512" s="141" t="s">
        <v>6401</v>
      </c>
      <c r="H1512" s="140" t="s">
        <v>6312</v>
      </c>
      <c r="I1512" s="140" t="s">
        <v>6313</v>
      </c>
      <c r="J1512" s="140" t="s">
        <v>6314</v>
      </c>
      <c r="K1512" s="140" t="s">
        <v>7088</v>
      </c>
    </row>
    <row r="1513">
      <c r="A1513" s="140" t="s">
        <v>8179</v>
      </c>
      <c r="B1513" s="143">
        <v>6.90222E12</v>
      </c>
      <c r="C1513" s="140" t="s">
        <v>8233</v>
      </c>
      <c r="D1513" s="140" t="s">
        <v>6601</v>
      </c>
      <c r="E1513" s="140">
        <v>0.0</v>
      </c>
      <c r="F1513" s="140" t="s">
        <v>7087</v>
      </c>
      <c r="G1513" s="141" t="s">
        <v>6401</v>
      </c>
      <c r="H1513" s="140" t="s">
        <v>6312</v>
      </c>
      <c r="I1513" s="140" t="s">
        <v>6313</v>
      </c>
      <c r="J1513" s="140" t="s">
        <v>6314</v>
      </c>
      <c r="K1513" s="140" t="s">
        <v>7088</v>
      </c>
    </row>
    <row r="1514">
      <c r="A1514" s="140" t="s">
        <v>8179</v>
      </c>
      <c r="B1514" s="143">
        <v>6.90222E12</v>
      </c>
      <c r="C1514" s="140" t="s">
        <v>8234</v>
      </c>
      <c r="D1514" s="140" t="s">
        <v>6601</v>
      </c>
      <c r="E1514" s="140">
        <v>0.0</v>
      </c>
      <c r="F1514" s="140" t="s">
        <v>7087</v>
      </c>
      <c r="G1514" s="141" t="s">
        <v>6664</v>
      </c>
      <c r="H1514" s="140" t="s">
        <v>6312</v>
      </c>
      <c r="I1514" s="140" t="s">
        <v>6313</v>
      </c>
      <c r="J1514" s="140" t="s">
        <v>6314</v>
      </c>
      <c r="K1514" s="140" t="s">
        <v>7088</v>
      </c>
    </row>
    <row r="1515">
      <c r="A1515" s="140" t="s">
        <v>8179</v>
      </c>
      <c r="B1515" s="143">
        <v>6.90222E12</v>
      </c>
      <c r="C1515" s="140" t="s">
        <v>8235</v>
      </c>
      <c r="D1515" s="140" t="s">
        <v>6601</v>
      </c>
      <c r="E1515" s="140">
        <v>0.0</v>
      </c>
      <c r="F1515" s="140" t="s">
        <v>7087</v>
      </c>
      <c r="G1515" s="141" t="s">
        <v>6401</v>
      </c>
      <c r="H1515" s="140" t="s">
        <v>6312</v>
      </c>
      <c r="I1515" s="140" t="s">
        <v>6313</v>
      </c>
      <c r="J1515" s="140" t="s">
        <v>6314</v>
      </c>
      <c r="K1515" s="140" t="s">
        <v>7088</v>
      </c>
    </row>
    <row r="1516">
      <c r="A1516" s="140" t="s">
        <v>8179</v>
      </c>
      <c r="B1516" s="143">
        <v>6.90222E12</v>
      </c>
      <c r="C1516" s="140" t="s">
        <v>8236</v>
      </c>
      <c r="D1516" s="140" t="s">
        <v>6601</v>
      </c>
      <c r="E1516" s="140">
        <v>0.0</v>
      </c>
      <c r="F1516" s="140" t="s">
        <v>7087</v>
      </c>
      <c r="G1516" s="141" t="s">
        <v>6401</v>
      </c>
      <c r="H1516" s="140" t="s">
        <v>6312</v>
      </c>
      <c r="I1516" s="140" t="s">
        <v>6313</v>
      </c>
      <c r="J1516" s="140" t="s">
        <v>6314</v>
      </c>
      <c r="K1516" s="140" t="s">
        <v>7088</v>
      </c>
    </row>
    <row r="1517">
      <c r="A1517" s="140" t="s">
        <v>8179</v>
      </c>
      <c r="B1517" s="143">
        <v>6.90222E12</v>
      </c>
      <c r="C1517" s="140" t="s">
        <v>8237</v>
      </c>
      <c r="D1517" s="140" t="s">
        <v>6601</v>
      </c>
      <c r="E1517" s="140">
        <v>0.0</v>
      </c>
      <c r="F1517" s="140" t="s">
        <v>7087</v>
      </c>
      <c r="G1517" s="141" t="s">
        <v>6401</v>
      </c>
      <c r="H1517" s="140" t="s">
        <v>6312</v>
      </c>
      <c r="I1517" s="140" t="s">
        <v>6313</v>
      </c>
      <c r="J1517" s="140" t="s">
        <v>6314</v>
      </c>
      <c r="K1517" s="140" t="s">
        <v>7088</v>
      </c>
    </row>
    <row r="1518">
      <c r="A1518" s="140" t="s">
        <v>8179</v>
      </c>
      <c r="B1518" s="143">
        <v>6.90222E12</v>
      </c>
      <c r="C1518" s="140" t="s">
        <v>8238</v>
      </c>
      <c r="D1518" s="140" t="s">
        <v>6601</v>
      </c>
      <c r="E1518" s="140">
        <v>0.0</v>
      </c>
      <c r="F1518" s="140" t="s">
        <v>7087</v>
      </c>
      <c r="G1518" s="141" t="s">
        <v>6401</v>
      </c>
      <c r="H1518" s="140" t="s">
        <v>6312</v>
      </c>
      <c r="I1518" s="140" t="s">
        <v>6313</v>
      </c>
      <c r="J1518" s="140" t="s">
        <v>6314</v>
      </c>
      <c r="K1518" s="140" t="s">
        <v>7088</v>
      </c>
    </row>
    <row r="1519">
      <c r="A1519" s="140" t="s">
        <v>8179</v>
      </c>
      <c r="B1519" s="143">
        <v>6.90222E12</v>
      </c>
      <c r="C1519" s="140" t="s">
        <v>8239</v>
      </c>
      <c r="D1519" s="140" t="s">
        <v>6601</v>
      </c>
      <c r="E1519" s="140">
        <v>0.0</v>
      </c>
      <c r="F1519" s="140" t="s">
        <v>7087</v>
      </c>
      <c r="G1519" s="141" t="s">
        <v>6401</v>
      </c>
      <c r="H1519" s="140" t="s">
        <v>6312</v>
      </c>
      <c r="I1519" s="140" t="s">
        <v>6313</v>
      </c>
      <c r="J1519" s="140" t="s">
        <v>6314</v>
      </c>
      <c r="K1519" s="140" t="s">
        <v>7088</v>
      </c>
    </row>
    <row r="1520">
      <c r="A1520" s="140" t="s">
        <v>8179</v>
      </c>
      <c r="B1520" s="143">
        <v>6.90222E12</v>
      </c>
      <c r="C1520" s="140" t="s">
        <v>8240</v>
      </c>
      <c r="D1520" s="140" t="s">
        <v>6601</v>
      </c>
      <c r="E1520" s="140">
        <v>0.0</v>
      </c>
      <c r="F1520" s="140" t="s">
        <v>7087</v>
      </c>
      <c r="G1520" s="141" t="s">
        <v>6401</v>
      </c>
      <c r="H1520" s="140" t="s">
        <v>6312</v>
      </c>
      <c r="I1520" s="140" t="s">
        <v>6313</v>
      </c>
      <c r="J1520" s="140" t="s">
        <v>6314</v>
      </c>
      <c r="K1520" s="140" t="s">
        <v>7088</v>
      </c>
    </row>
    <row r="1521">
      <c r="A1521" s="140" t="s">
        <v>8179</v>
      </c>
      <c r="B1521" s="143">
        <v>6.90222E12</v>
      </c>
      <c r="C1521" s="140" t="s">
        <v>8241</v>
      </c>
      <c r="D1521" s="140" t="s">
        <v>6601</v>
      </c>
      <c r="E1521" s="140">
        <v>0.0</v>
      </c>
      <c r="F1521" s="140" t="s">
        <v>7087</v>
      </c>
      <c r="G1521" s="141" t="s">
        <v>6401</v>
      </c>
      <c r="H1521" s="140" t="s">
        <v>6312</v>
      </c>
      <c r="I1521" s="140" t="s">
        <v>6313</v>
      </c>
      <c r="J1521" s="140" t="s">
        <v>6314</v>
      </c>
      <c r="K1521" s="140" t="s">
        <v>7088</v>
      </c>
    </row>
    <row r="1522">
      <c r="A1522" s="140" t="s">
        <v>8179</v>
      </c>
      <c r="B1522" s="143">
        <v>6.90222E12</v>
      </c>
      <c r="C1522" s="140" t="s">
        <v>8242</v>
      </c>
      <c r="D1522" s="140" t="s">
        <v>6601</v>
      </c>
      <c r="E1522" s="140">
        <v>0.0</v>
      </c>
      <c r="F1522" s="140" t="s">
        <v>7087</v>
      </c>
      <c r="G1522" s="141" t="s">
        <v>6401</v>
      </c>
      <c r="H1522" s="140" t="s">
        <v>6312</v>
      </c>
      <c r="I1522" s="140" t="s">
        <v>6313</v>
      </c>
      <c r="J1522" s="140" t="s">
        <v>6314</v>
      </c>
      <c r="K1522" s="140" t="s">
        <v>7088</v>
      </c>
    </row>
    <row r="1523">
      <c r="A1523" s="140" t="s">
        <v>8179</v>
      </c>
      <c r="B1523" s="143">
        <v>6.90222E12</v>
      </c>
      <c r="C1523" s="140" t="s">
        <v>8243</v>
      </c>
      <c r="D1523" s="140" t="s">
        <v>6601</v>
      </c>
      <c r="E1523" s="140">
        <v>0.0</v>
      </c>
      <c r="F1523" s="140" t="s">
        <v>7087</v>
      </c>
      <c r="G1523" s="141" t="s">
        <v>6401</v>
      </c>
      <c r="H1523" s="140" t="s">
        <v>6312</v>
      </c>
      <c r="I1523" s="140" t="s">
        <v>6313</v>
      </c>
      <c r="J1523" s="140" t="s">
        <v>6314</v>
      </c>
      <c r="K1523" s="140" t="s">
        <v>7088</v>
      </c>
    </row>
    <row r="1524">
      <c r="A1524" s="140" t="s">
        <v>8179</v>
      </c>
      <c r="B1524" s="143">
        <v>6.90222E12</v>
      </c>
      <c r="C1524" s="140" t="s">
        <v>8244</v>
      </c>
      <c r="D1524" s="140" t="s">
        <v>6601</v>
      </c>
      <c r="E1524" s="140">
        <v>0.0</v>
      </c>
      <c r="F1524" s="140" t="s">
        <v>7087</v>
      </c>
      <c r="G1524" s="141" t="s">
        <v>6401</v>
      </c>
      <c r="H1524" s="140" t="s">
        <v>6312</v>
      </c>
      <c r="I1524" s="140" t="s">
        <v>6313</v>
      </c>
      <c r="J1524" s="140" t="s">
        <v>6314</v>
      </c>
      <c r="K1524" s="140" t="s">
        <v>7088</v>
      </c>
    </row>
    <row r="1525">
      <c r="A1525" s="140" t="s">
        <v>8179</v>
      </c>
      <c r="B1525" s="143">
        <v>6.90222E12</v>
      </c>
      <c r="C1525" s="140" t="s">
        <v>8245</v>
      </c>
      <c r="D1525" s="140" t="s">
        <v>6601</v>
      </c>
      <c r="E1525" s="140">
        <v>0.0</v>
      </c>
      <c r="F1525" s="140" t="s">
        <v>7087</v>
      </c>
      <c r="G1525" s="141" t="s">
        <v>6401</v>
      </c>
      <c r="H1525" s="140" t="s">
        <v>6312</v>
      </c>
      <c r="I1525" s="140" t="s">
        <v>6313</v>
      </c>
      <c r="J1525" s="140" t="s">
        <v>6314</v>
      </c>
      <c r="K1525" s="140" t="s">
        <v>7088</v>
      </c>
    </row>
    <row r="1526">
      <c r="A1526" s="140" t="s">
        <v>8179</v>
      </c>
      <c r="B1526" s="143">
        <v>6.90222E12</v>
      </c>
      <c r="C1526" s="140" t="s">
        <v>8246</v>
      </c>
      <c r="D1526" s="140" t="s">
        <v>6601</v>
      </c>
      <c r="E1526" s="140">
        <v>0.0</v>
      </c>
      <c r="F1526" s="140" t="s">
        <v>7087</v>
      </c>
      <c r="G1526" s="141" t="s">
        <v>6401</v>
      </c>
      <c r="H1526" s="140" t="s">
        <v>6312</v>
      </c>
      <c r="I1526" s="140" t="s">
        <v>6313</v>
      </c>
      <c r="J1526" s="140" t="s">
        <v>6314</v>
      </c>
      <c r="K1526" s="140" t="s">
        <v>7088</v>
      </c>
    </row>
    <row r="1527">
      <c r="A1527" s="140" t="s">
        <v>8179</v>
      </c>
      <c r="B1527" s="143">
        <v>6.90222E12</v>
      </c>
      <c r="C1527" s="140" t="s">
        <v>8247</v>
      </c>
      <c r="D1527" s="140" t="s">
        <v>6601</v>
      </c>
      <c r="E1527" s="140">
        <v>0.0</v>
      </c>
      <c r="F1527" s="140" t="s">
        <v>7087</v>
      </c>
      <c r="G1527" s="141" t="s">
        <v>6401</v>
      </c>
      <c r="H1527" s="140" t="s">
        <v>6312</v>
      </c>
      <c r="I1527" s="140" t="s">
        <v>6313</v>
      </c>
      <c r="J1527" s="140" t="s">
        <v>6314</v>
      </c>
      <c r="K1527" s="140" t="s">
        <v>7088</v>
      </c>
    </row>
    <row r="1528">
      <c r="A1528" s="140" t="s">
        <v>8179</v>
      </c>
      <c r="B1528" s="143">
        <v>6.90222E12</v>
      </c>
      <c r="C1528" s="140" t="s">
        <v>8248</v>
      </c>
      <c r="D1528" s="140" t="s">
        <v>6601</v>
      </c>
      <c r="E1528" s="140">
        <v>0.0</v>
      </c>
      <c r="F1528" s="140" t="s">
        <v>7087</v>
      </c>
      <c r="G1528" s="141" t="s">
        <v>6401</v>
      </c>
      <c r="H1528" s="140" t="s">
        <v>6312</v>
      </c>
      <c r="I1528" s="140" t="s">
        <v>6313</v>
      </c>
      <c r="J1528" s="140" t="s">
        <v>6314</v>
      </c>
      <c r="K1528" s="140" t="s">
        <v>7088</v>
      </c>
    </row>
    <row r="1529">
      <c r="A1529" s="140" t="s">
        <v>8179</v>
      </c>
      <c r="B1529" s="143">
        <v>6.90222E12</v>
      </c>
      <c r="C1529" s="140" t="s">
        <v>8249</v>
      </c>
      <c r="D1529" s="140" t="s">
        <v>6601</v>
      </c>
      <c r="E1529" s="140">
        <v>0.0</v>
      </c>
      <c r="F1529" s="140" t="s">
        <v>6609</v>
      </c>
      <c r="G1529" s="141" t="s">
        <v>6401</v>
      </c>
      <c r="H1529" s="140" t="s">
        <v>6312</v>
      </c>
      <c r="I1529" s="140" t="s">
        <v>6313</v>
      </c>
      <c r="J1529" s="140" t="s">
        <v>6314</v>
      </c>
      <c r="K1529" s="140" t="s">
        <v>7088</v>
      </c>
    </row>
    <row r="1530">
      <c r="A1530" s="140" t="s">
        <v>8179</v>
      </c>
      <c r="B1530" s="143">
        <v>6.90222E12</v>
      </c>
      <c r="C1530" s="140" t="s">
        <v>8250</v>
      </c>
      <c r="D1530" s="140" t="s">
        <v>6601</v>
      </c>
      <c r="E1530" s="140">
        <v>0.0</v>
      </c>
      <c r="F1530" s="140" t="s">
        <v>6609</v>
      </c>
      <c r="G1530" s="141" t="s">
        <v>6401</v>
      </c>
      <c r="H1530" s="140" t="s">
        <v>6312</v>
      </c>
      <c r="I1530" s="140" t="s">
        <v>6313</v>
      </c>
      <c r="J1530" s="140" t="s">
        <v>6314</v>
      </c>
      <c r="K1530" s="140" t="s">
        <v>7088</v>
      </c>
    </row>
    <row r="1531">
      <c r="A1531" s="140" t="s">
        <v>8179</v>
      </c>
      <c r="B1531" s="143">
        <v>6.90222E12</v>
      </c>
      <c r="C1531" s="140" t="s">
        <v>8251</v>
      </c>
      <c r="D1531" s="140" t="s">
        <v>6601</v>
      </c>
      <c r="E1531" s="140">
        <v>0.0</v>
      </c>
      <c r="F1531" s="140" t="s">
        <v>6609</v>
      </c>
      <c r="G1531" s="141" t="s">
        <v>6401</v>
      </c>
      <c r="H1531" s="140" t="s">
        <v>6312</v>
      </c>
      <c r="I1531" s="140" t="s">
        <v>6313</v>
      </c>
      <c r="J1531" s="140" t="s">
        <v>6314</v>
      </c>
      <c r="K1531" s="140" t="s">
        <v>7088</v>
      </c>
    </row>
    <row r="1532">
      <c r="A1532" s="140" t="s">
        <v>8179</v>
      </c>
      <c r="B1532" s="143">
        <v>6.90222E12</v>
      </c>
      <c r="C1532" s="140" t="s">
        <v>8252</v>
      </c>
      <c r="D1532" s="140" t="s">
        <v>6601</v>
      </c>
      <c r="E1532" s="140">
        <v>0.0</v>
      </c>
      <c r="F1532" s="140" t="s">
        <v>6609</v>
      </c>
      <c r="G1532" s="141" t="s">
        <v>6401</v>
      </c>
      <c r="H1532" s="140" t="s">
        <v>6312</v>
      </c>
      <c r="I1532" s="140" t="s">
        <v>6313</v>
      </c>
      <c r="J1532" s="140" t="s">
        <v>6314</v>
      </c>
      <c r="K1532" s="140" t="s">
        <v>7088</v>
      </c>
    </row>
    <row r="1533">
      <c r="A1533" s="140" t="s">
        <v>8179</v>
      </c>
      <c r="B1533" s="143">
        <v>6.90222E12</v>
      </c>
      <c r="C1533" s="140" t="s">
        <v>8253</v>
      </c>
      <c r="D1533" s="140" t="s">
        <v>6601</v>
      </c>
      <c r="E1533" s="140">
        <v>0.0</v>
      </c>
      <c r="F1533" s="140" t="s">
        <v>6609</v>
      </c>
      <c r="G1533" s="141" t="s">
        <v>6401</v>
      </c>
      <c r="H1533" s="140" t="s">
        <v>6312</v>
      </c>
      <c r="I1533" s="140" t="s">
        <v>6313</v>
      </c>
      <c r="J1533" s="140" t="s">
        <v>6314</v>
      </c>
      <c r="K1533" s="140" t="s">
        <v>7088</v>
      </c>
    </row>
    <row r="1534">
      <c r="A1534" s="140" t="s">
        <v>8179</v>
      </c>
      <c r="B1534" s="143">
        <v>6.90222E12</v>
      </c>
      <c r="C1534" s="140" t="s">
        <v>8254</v>
      </c>
      <c r="D1534" s="140" t="s">
        <v>6601</v>
      </c>
      <c r="E1534" s="140">
        <v>0.0</v>
      </c>
      <c r="F1534" s="140" t="s">
        <v>6609</v>
      </c>
      <c r="G1534" s="141" t="s">
        <v>6401</v>
      </c>
      <c r="H1534" s="140" t="s">
        <v>6312</v>
      </c>
      <c r="I1534" s="140" t="s">
        <v>6313</v>
      </c>
      <c r="J1534" s="140" t="s">
        <v>6314</v>
      </c>
      <c r="K1534" s="140" t="s">
        <v>7088</v>
      </c>
    </row>
    <row r="1535">
      <c r="A1535" s="140" t="s">
        <v>8179</v>
      </c>
      <c r="B1535" s="143">
        <v>6.90222E12</v>
      </c>
      <c r="C1535" s="140" t="s">
        <v>8255</v>
      </c>
      <c r="D1535" s="140" t="s">
        <v>6601</v>
      </c>
      <c r="E1535" s="140">
        <v>0.0</v>
      </c>
      <c r="F1535" s="140" t="s">
        <v>6609</v>
      </c>
      <c r="G1535" s="141" t="s">
        <v>6401</v>
      </c>
      <c r="H1535" s="140" t="s">
        <v>6312</v>
      </c>
      <c r="I1535" s="140" t="s">
        <v>6313</v>
      </c>
      <c r="J1535" s="140" t="s">
        <v>6314</v>
      </c>
      <c r="K1535" s="140" t="s">
        <v>7088</v>
      </c>
    </row>
    <row r="1536">
      <c r="A1536" s="140" t="s">
        <v>8179</v>
      </c>
      <c r="B1536" s="143">
        <v>6.90222E12</v>
      </c>
      <c r="C1536" s="140" t="s">
        <v>8256</v>
      </c>
      <c r="D1536" s="140" t="s">
        <v>6601</v>
      </c>
      <c r="E1536" s="140">
        <v>0.0</v>
      </c>
      <c r="F1536" s="140" t="s">
        <v>6609</v>
      </c>
      <c r="G1536" s="141" t="s">
        <v>6401</v>
      </c>
      <c r="H1536" s="140" t="s">
        <v>6312</v>
      </c>
      <c r="I1536" s="140" t="s">
        <v>6313</v>
      </c>
      <c r="J1536" s="140" t="s">
        <v>6314</v>
      </c>
      <c r="K1536" s="140" t="s">
        <v>7088</v>
      </c>
    </row>
    <row r="1537">
      <c r="A1537" s="140" t="s">
        <v>8179</v>
      </c>
      <c r="B1537" s="143">
        <v>6.90222E12</v>
      </c>
      <c r="C1537" s="140" t="s">
        <v>8257</v>
      </c>
      <c r="D1537" s="140" t="s">
        <v>6601</v>
      </c>
      <c r="E1537" s="140">
        <v>0.0</v>
      </c>
      <c r="F1537" s="140" t="s">
        <v>6609</v>
      </c>
      <c r="G1537" s="141" t="s">
        <v>6401</v>
      </c>
      <c r="H1537" s="140" t="s">
        <v>6312</v>
      </c>
      <c r="I1537" s="140" t="s">
        <v>6313</v>
      </c>
      <c r="J1537" s="140" t="s">
        <v>6314</v>
      </c>
      <c r="K1537" s="140" t="s">
        <v>7088</v>
      </c>
    </row>
    <row r="1538">
      <c r="A1538" s="140" t="s">
        <v>8179</v>
      </c>
      <c r="B1538" s="143">
        <v>6.90222E12</v>
      </c>
      <c r="C1538" s="140" t="s">
        <v>8258</v>
      </c>
      <c r="D1538" s="140" t="s">
        <v>6601</v>
      </c>
      <c r="E1538" s="140">
        <v>0.0</v>
      </c>
      <c r="F1538" s="140" t="s">
        <v>6609</v>
      </c>
      <c r="G1538" s="141" t="s">
        <v>6401</v>
      </c>
      <c r="H1538" s="140" t="s">
        <v>6312</v>
      </c>
      <c r="I1538" s="140" t="s">
        <v>6313</v>
      </c>
      <c r="J1538" s="140" t="s">
        <v>6314</v>
      </c>
      <c r="K1538" s="140" t="s">
        <v>7088</v>
      </c>
    </row>
    <row r="1539">
      <c r="A1539" s="140" t="s">
        <v>8179</v>
      </c>
      <c r="B1539" s="143">
        <v>6.90222E12</v>
      </c>
      <c r="C1539" s="140" t="s">
        <v>8259</v>
      </c>
      <c r="D1539" s="140" t="s">
        <v>6601</v>
      </c>
      <c r="E1539" s="140">
        <v>0.0</v>
      </c>
      <c r="F1539" s="140" t="s">
        <v>6609</v>
      </c>
      <c r="G1539" s="141" t="s">
        <v>6401</v>
      </c>
      <c r="H1539" s="140" t="s">
        <v>6312</v>
      </c>
      <c r="I1539" s="140" t="s">
        <v>6313</v>
      </c>
      <c r="J1539" s="140" t="s">
        <v>6314</v>
      </c>
      <c r="K1539" s="140" t="s">
        <v>7088</v>
      </c>
    </row>
    <row r="1540">
      <c r="A1540" s="140" t="s">
        <v>8179</v>
      </c>
      <c r="B1540" s="143">
        <v>6.90222E12</v>
      </c>
      <c r="C1540" s="140" t="s">
        <v>8260</v>
      </c>
      <c r="D1540" s="140" t="s">
        <v>6601</v>
      </c>
      <c r="E1540" s="140">
        <v>0.0</v>
      </c>
      <c r="F1540" s="140" t="s">
        <v>6609</v>
      </c>
      <c r="G1540" s="141" t="s">
        <v>6401</v>
      </c>
      <c r="H1540" s="140" t="s">
        <v>6312</v>
      </c>
      <c r="I1540" s="140" t="s">
        <v>6313</v>
      </c>
      <c r="J1540" s="140" t="s">
        <v>6314</v>
      </c>
      <c r="K1540" s="140" t="s">
        <v>7088</v>
      </c>
    </row>
    <row r="1541">
      <c r="A1541" s="140" t="s">
        <v>8179</v>
      </c>
      <c r="B1541" s="143">
        <v>6.90222E12</v>
      </c>
      <c r="C1541" s="140" t="s">
        <v>8261</v>
      </c>
      <c r="D1541" s="140" t="s">
        <v>6601</v>
      </c>
      <c r="E1541" s="140">
        <v>0.0</v>
      </c>
      <c r="F1541" s="140" t="s">
        <v>6609</v>
      </c>
      <c r="G1541" s="141" t="s">
        <v>6401</v>
      </c>
      <c r="H1541" s="140" t="s">
        <v>6312</v>
      </c>
      <c r="I1541" s="140" t="s">
        <v>6313</v>
      </c>
      <c r="J1541" s="140" t="s">
        <v>6314</v>
      </c>
      <c r="K1541" s="140" t="s">
        <v>7088</v>
      </c>
    </row>
    <row r="1542">
      <c r="A1542" s="140" t="s">
        <v>8179</v>
      </c>
      <c r="B1542" s="140">
        <v>2.2130208591E10</v>
      </c>
      <c r="C1542" s="140" t="s">
        <v>8262</v>
      </c>
      <c r="D1542" s="140" t="s">
        <v>6601</v>
      </c>
      <c r="E1542" s="140">
        <v>0.0</v>
      </c>
      <c r="F1542" s="140" t="s">
        <v>6609</v>
      </c>
      <c r="G1542" s="141" t="s">
        <v>6401</v>
      </c>
      <c r="H1542" s="140" t="s">
        <v>6312</v>
      </c>
      <c r="I1542" s="140" t="s">
        <v>6313</v>
      </c>
      <c r="J1542" s="140" t="s">
        <v>6314</v>
      </c>
      <c r="K1542" s="140" t="s">
        <v>7088</v>
      </c>
    </row>
    <row r="1543">
      <c r="A1543" s="140" t="s">
        <v>8179</v>
      </c>
      <c r="B1543" s="140">
        <v>2.2130208589E10</v>
      </c>
      <c r="C1543" s="140" t="s">
        <v>8263</v>
      </c>
      <c r="D1543" s="140" t="s">
        <v>6601</v>
      </c>
      <c r="E1543" s="140">
        <v>0.0</v>
      </c>
      <c r="F1543" s="140" t="s">
        <v>6609</v>
      </c>
      <c r="G1543" s="141" t="s">
        <v>6401</v>
      </c>
      <c r="H1543" s="140" t="s">
        <v>6312</v>
      </c>
      <c r="I1543" s="140" t="s">
        <v>6313</v>
      </c>
      <c r="J1543" s="140" t="s">
        <v>6314</v>
      </c>
      <c r="K1543" s="140" t="s">
        <v>7088</v>
      </c>
    </row>
    <row r="1544">
      <c r="A1544" s="140" t="s">
        <v>8179</v>
      </c>
      <c r="B1544" s="140">
        <v>2.213020858E10</v>
      </c>
      <c r="C1544" s="140" t="s">
        <v>8264</v>
      </c>
      <c r="D1544" s="140" t="s">
        <v>6601</v>
      </c>
      <c r="E1544" s="140">
        <v>0.0</v>
      </c>
      <c r="F1544" s="140" t="s">
        <v>6609</v>
      </c>
      <c r="G1544" s="141" t="s">
        <v>6401</v>
      </c>
      <c r="H1544" s="140" t="s">
        <v>6312</v>
      </c>
      <c r="I1544" s="140" t="s">
        <v>6313</v>
      </c>
      <c r="J1544" s="140" t="s">
        <v>6314</v>
      </c>
      <c r="K1544" s="140" t="s">
        <v>7088</v>
      </c>
    </row>
    <row r="1545">
      <c r="A1545" s="140" t="s">
        <v>8179</v>
      </c>
      <c r="B1545" s="143">
        <v>6.90222E12</v>
      </c>
      <c r="C1545" s="140" t="s">
        <v>8265</v>
      </c>
      <c r="D1545" s="140" t="s">
        <v>6601</v>
      </c>
      <c r="E1545" s="140">
        <v>0.0</v>
      </c>
      <c r="F1545" s="140" t="s">
        <v>6609</v>
      </c>
      <c r="G1545" s="141" t="s">
        <v>6401</v>
      </c>
      <c r="H1545" s="140" t="s">
        <v>6312</v>
      </c>
      <c r="I1545" s="140" t="s">
        <v>6313</v>
      </c>
      <c r="J1545" s="140" t="s">
        <v>6314</v>
      </c>
      <c r="K1545" s="140" t="s">
        <v>7088</v>
      </c>
    </row>
    <row r="1546">
      <c r="A1546" s="140" t="s">
        <v>8179</v>
      </c>
      <c r="B1546" s="143">
        <v>6.90222E12</v>
      </c>
      <c r="C1546" s="140" t="s">
        <v>8266</v>
      </c>
      <c r="D1546" s="140" t="s">
        <v>6601</v>
      </c>
      <c r="E1546" s="140">
        <v>0.0</v>
      </c>
      <c r="F1546" s="140" t="s">
        <v>6609</v>
      </c>
      <c r="G1546" s="141" t="s">
        <v>6401</v>
      </c>
      <c r="H1546" s="140" t="s">
        <v>6312</v>
      </c>
      <c r="I1546" s="140" t="s">
        <v>6313</v>
      </c>
      <c r="J1546" s="140" t="s">
        <v>6314</v>
      </c>
      <c r="K1546" s="140" t="s">
        <v>7088</v>
      </c>
    </row>
    <row r="1547">
      <c r="A1547" s="140" t="s">
        <v>8179</v>
      </c>
      <c r="B1547" s="143">
        <v>6.90222E12</v>
      </c>
      <c r="C1547" s="140" t="s">
        <v>8267</v>
      </c>
      <c r="D1547" s="140" t="s">
        <v>6601</v>
      </c>
      <c r="E1547" s="140">
        <v>0.0</v>
      </c>
      <c r="F1547" s="140" t="s">
        <v>6609</v>
      </c>
      <c r="G1547" s="141" t="s">
        <v>6401</v>
      </c>
      <c r="H1547" s="140" t="s">
        <v>6312</v>
      </c>
      <c r="I1547" s="140" t="s">
        <v>6313</v>
      </c>
      <c r="J1547" s="140" t="s">
        <v>6314</v>
      </c>
      <c r="K1547" s="140" t="s">
        <v>7088</v>
      </c>
    </row>
    <row r="1548">
      <c r="A1548" s="140" t="s">
        <v>8179</v>
      </c>
      <c r="B1548" s="143">
        <v>6.90222E12</v>
      </c>
      <c r="C1548" s="140" t="s">
        <v>8268</v>
      </c>
      <c r="D1548" s="140" t="s">
        <v>6601</v>
      </c>
      <c r="E1548" s="140">
        <v>0.0</v>
      </c>
      <c r="F1548" s="140" t="s">
        <v>6609</v>
      </c>
      <c r="G1548" s="141" t="s">
        <v>6401</v>
      </c>
      <c r="H1548" s="140" t="s">
        <v>6312</v>
      </c>
      <c r="I1548" s="140" t="s">
        <v>6313</v>
      </c>
      <c r="J1548" s="140" t="s">
        <v>6314</v>
      </c>
      <c r="K1548" s="140" t="s">
        <v>7088</v>
      </c>
    </row>
    <row r="1549">
      <c r="A1549" s="140" t="s">
        <v>8179</v>
      </c>
      <c r="B1549" s="143">
        <v>6.90222E12</v>
      </c>
      <c r="C1549" s="140" t="s">
        <v>8269</v>
      </c>
      <c r="D1549" s="140" t="s">
        <v>6601</v>
      </c>
      <c r="E1549" s="140">
        <v>0.0</v>
      </c>
      <c r="F1549" s="140" t="s">
        <v>6609</v>
      </c>
      <c r="G1549" s="141" t="s">
        <v>6401</v>
      </c>
      <c r="H1549" s="140" t="s">
        <v>6312</v>
      </c>
      <c r="I1549" s="140" t="s">
        <v>6313</v>
      </c>
      <c r="J1549" s="140" t="s">
        <v>6314</v>
      </c>
      <c r="K1549" s="140" t="s">
        <v>7088</v>
      </c>
    </row>
    <row r="1550">
      <c r="A1550" s="140" t="s">
        <v>8179</v>
      </c>
      <c r="B1550" s="143">
        <v>6.90222E12</v>
      </c>
      <c r="C1550" s="140" t="s">
        <v>8270</v>
      </c>
      <c r="D1550" s="140" t="s">
        <v>6601</v>
      </c>
      <c r="E1550" s="140">
        <v>0.0</v>
      </c>
      <c r="F1550" s="140" t="s">
        <v>6609</v>
      </c>
      <c r="G1550" s="141" t="s">
        <v>6401</v>
      </c>
      <c r="H1550" s="140" t="s">
        <v>6312</v>
      </c>
      <c r="I1550" s="140" t="s">
        <v>6313</v>
      </c>
      <c r="J1550" s="140" t="s">
        <v>6314</v>
      </c>
      <c r="K1550" s="140" t="s">
        <v>7088</v>
      </c>
    </row>
    <row r="1551">
      <c r="A1551" s="140" t="s">
        <v>8179</v>
      </c>
      <c r="B1551" s="143">
        <v>6.90222E12</v>
      </c>
      <c r="C1551" s="140" t="s">
        <v>8271</v>
      </c>
      <c r="D1551" s="140" t="s">
        <v>6601</v>
      </c>
      <c r="E1551" s="140">
        <v>0.0</v>
      </c>
      <c r="F1551" s="140" t="s">
        <v>6609</v>
      </c>
      <c r="G1551" s="141" t="s">
        <v>6401</v>
      </c>
      <c r="H1551" s="140" t="s">
        <v>6312</v>
      </c>
      <c r="I1551" s="140" t="s">
        <v>6313</v>
      </c>
      <c r="J1551" s="140" t="s">
        <v>6314</v>
      </c>
      <c r="K1551" s="140" t="s">
        <v>7088</v>
      </c>
    </row>
    <row r="1552">
      <c r="A1552" s="140" t="s">
        <v>8179</v>
      </c>
      <c r="B1552" s="143">
        <v>6.90222E12</v>
      </c>
      <c r="C1552" s="140" t="s">
        <v>8272</v>
      </c>
      <c r="D1552" s="140" t="s">
        <v>6601</v>
      </c>
      <c r="E1552" s="140">
        <v>0.0</v>
      </c>
      <c r="F1552" s="140" t="s">
        <v>6609</v>
      </c>
      <c r="G1552" s="141" t="s">
        <v>6401</v>
      </c>
      <c r="H1552" s="140" t="s">
        <v>6312</v>
      </c>
      <c r="I1552" s="140" t="s">
        <v>6313</v>
      </c>
      <c r="J1552" s="140" t="s">
        <v>6314</v>
      </c>
      <c r="K1552" s="140" t="s">
        <v>7088</v>
      </c>
    </row>
    <row r="1553">
      <c r="A1553" s="140" t="s">
        <v>8179</v>
      </c>
      <c r="B1553" s="143">
        <v>6.90222E12</v>
      </c>
      <c r="C1553" s="140" t="s">
        <v>8273</v>
      </c>
      <c r="D1553" s="140" t="s">
        <v>6601</v>
      </c>
      <c r="E1553" s="140">
        <v>0.0</v>
      </c>
      <c r="F1553" s="140" t="s">
        <v>6609</v>
      </c>
      <c r="G1553" s="141" t="s">
        <v>6401</v>
      </c>
      <c r="H1553" s="140" t="s">
        <v>6312</v>
      </c>
      <c r="I1553" s="140" t="s">
        <v>6313</v>
      </c>
      <c r="J1553" s="140" t="s">
        <v>6314</v>
      </c>
      <c r="K1553" s="140" t="s">
        <v>7088</v>
      </c>
    </row>
    <row r="1554">
      <c r="A1554" s="140" t="s">
        <v>8179</v>
      </c>
      <c r="B1554" s="143">
        <v>6.90222E12</v>
      </c>
      <c r="C1554" s="140" t="s">
        <v>8273</v>
      </c>
      <c r="D1554" s="140" t="s">
        <v>6601</v>
      </c>
      <c r="E1554" s="140">
        <v>0.0</v>
      </c>
      <c r="F1554" s="140" t="s">
        <v>6609</v>
      </c>
      <c r="G1554" s="141" t="s">
        <v>6401</v>
      </c>
      <c r="H1554" s="140" t="s">
        <v>6312</v>
      </c>
      <c r="I1554" s="140" t="s">
        <v>6313</v>
      </c>
      <c r="J1554" s="140" t="s">
        <v>6314</v>
      </c>
      <c r="K1554" s="140" t="s">
        <v>7088</v>
      </c>
    </row>
    <row r="1555">
      <c r="A1555" s="140" t="s">
        <v>8179</v>
      </c>
      <c r="B1555" s="143">
        <v>6.90222E12</v>
      </c>
      <c r="C1555" s="140" t="s">
        <v>8274</v>
      </c>
      <c r="D1555" s="140" t="s">
        <v>6601</v>
      </c>
      <c r="E1555" s="140">
        <v>0.0</v>
      </c>
      <c r="F1555" s="140" t="s">
        <v>6609</v>
      </c>
      <c r="G1555" s="141" t="s">
        <v>6401</v>
      </c>
      <c r="H1555" s="140" t="s">
        <v>6312</v>
      </c>
      <c r="I1555" s="140" t="s">
        <v>6313</v>
      </c>
      <c r="J1555" s="140" t="s">
        <v>6314</v>
      </c>
      <c r="K1555" s="140" t="s">
        <v>7088</v>
      </c>
    </row>
    <row r="1556">
      <c r="A1556" s="140" t="s">
        <v>8179</v>
      </c>
      <c r="B1556" s="143">
        <v>6.90222E12</v>
      </c>
      <c r="C1556" s="140" t="s">
        <v>8275</v>
      </c>
      <c r="D1556" s="140" t="s">
        <v>6601</v>
      </c>
      <c r="E1556" s="140">
        <v>0.0</v>
      </c>
      <c r="F1556" s="140" t="s">
        <v>6609</v>
      </c>
      <c r="G1556" s="141" t="s">
        <v>6401</v>
      </c>
      <c r="H1556" s="140" t="s">
        <v>6312</v>
      </c>
      <c r="I1556" s="140" t="s">
        <v>6313</v>
      </c>
      <c r="J1556" s="140" t="s">
        <v>6314</v>
      </c>
      <c r="K1556" s="140" t="s">
        <v>7088</v>
      </c>
    </row>
    <row r="1557">
      <c r="A1557" s="140" t="s">
        <v>8179</v>
      </c>
      <c r="B1557" s="143">
        <v>6.90222E12</v>
      </c>
      <c r="C1557" s="140" t="s">
        <v>8276</v>
      </c>
      <c r="D1557" s="140" t="s">
        <v>6601</v>
      </c>
      <c r="E1557" s="140">
        <v>0.0</v>
      </c>
      <c r="F1557" s="140" t="s">
        <v>6609</v>
      </c>
      <c r="G1557" s="141" t="s">
        <v>6401</v>
      </c>
      <c r="H1557" s="140" t="s">
        <v>6312</v>
      </c>
      <c r="I1557" s="140" t="s">
        <v>6313</v>
      </c>
      <c r="J1557" s="140" t="s">
        <v>6314</v>
      </c>
      <c r="K1557" s="140" t="s">
        <v>7088</v>
      </c>
    </row>
    <row r="1558">
      <c r="A1558" s="140" t="s">
        <v>8179</v>
      </c>
      <c r="B1558" s="143">
        <v>6.90222E12</v>
      </c>
      <c r="C1558" s="140" t="s">
        <v>8277</v>
      </c>
      <c r="D1558" s="140" t="s">
        <v>6601</v>
      </c>
      <c r="E1558" s="140">
        <v>0.0</v>
      </c>
      <c r="F1558" s="140" t="s">
        <v>6609</v>
      </c>
      <c r="G1558" s="141" t="s">
        <v>6401</v>
      </c>
      <c r="H1558" s="140" t="s">
        <v>6312</v>
      </c>
      <c r="I1558" s="140" t="s">
        <v>6313</v>
      </c>
      <c r="J1558" s="140" t="s">
        <v>6314</v>
      </c>
      <c r="K1558" s="140" t="s">
        <v>7088</v>
      </c>
    </row>
    <row r="1559">
      <c r="A1559" s="140" t="s">
        <v>8179</v>
      </c>
      <c r="B1559" s="143">
        <v>6.90222E12</v>
      </c>
      <c r="C1559" s="140" t="s">
        <v>8278</v>
      </c>
      <c r="D1559" s="140" t="s">
        <v>6601</v>
      </c>
      <c r="E1559" s="140">
        <v>0.0</v>
      </c>
      <c r="F1559" s="140" t="s">
        <v>6609</v>
      </c>
      <c r="G1559" s="141" t="s">
        <v>6401</v>
      </c>
      <c r="H1559" s="140" t="s">
        <v>6312</v>
      </c>
      <c r="I1559" s="140" t="s">
        <v>6313</v>
      </c>
      <c r="J1559" s="140" t="s">
        <v>6314</v>
      </c>
      <c r="K1559" s="140" t="s">
        <v>7088</v>
      </c>
    </row>
    <row r="1560">
      <c r="A1560" s="140" t="s">
        <v>8179</v>
      </c>
      <c r="B1560" s="143">
        <v>6.90222E12</v>
      </c>
      <c r="C1560" s="140" t="s">
        <v>8279</v>
      </c>
      <c r="D1560" s="140" t="s">
        <v>6601</v>
      </c>
      <c r="E1560" s="140">
        <v>0.0</v>
      </c>
      <c r="F1560" s="140" t="s">
        <v>6609</v>
      </c>
      <c r="G1560" s="141" t="s">
        <v>6401</v>
      </c>
      <c r="H1560" s="140" t="s">
        <v>6312</v>
      </c>
      <c r="I1560" s="140" t="s">
        <v>6313</v>
      </c>
      <c r="J1560" s="140" t="s">
        <v>6314</v>
      </c>
      <c r="K1560" s="140" t="s">
        <v>7088</v>
      </c>
    </row>
    <row r="1561">
      <c r="A1561" s="140" t="s">
        <v>8179</v>
      </c>
      <c r="B1561" s="143">
        <v>6.90222E12</v>
      </c>
      <c r="C1561" s="140" t="s">
        <v>8280</v>
      </c>
      <c r="D1561" s="140" t="s">
        <v>6601</v>
      </c>
      <c r="E1561" s="140">
        <v>0.0</v>
      </c>
      <c r="F1561" s="140" t="s">
        <v>6609</v>
      </c>
      <c r="G1561" s="141" t="s">
        <v>6401</v>
      </c>
      <c r="H1561" s="140" t="s">
        <v>6312</v>
      </c>
      <c r="I1561" s="140" t="s">
        <v>6313</v>
      </c>
      <c r="J1561" s="140" t="s">
        <v>6314</v>
      </c>
      <c r="K1561" s="140" t="s">
        <v>7088</v>
      </c>
    </row>
    <row r="1562">
      <c r="A1562" s="140" t="s">
        <v>8179</v>
      </c>
      <c r="B1562" s="143">
        <v>6.90222E12</v>
      </c>
      <c r="C1562" s="140" t="s">
        <v>8281</v>
      </c>
      <c r="D1562" s="140" t="s">
        <v>6601</v>
      </c>
      <c r="E1562" s="140">
        <v>0.0</v>
      </c>
      <c r="F1562" s="140" t="s">
        <v>6609</v>
      </c>
      <c r="G1562" s="141" t="s">
        <v>6401</v>
      </c>
      <c r="H1562" s="140" t="s">
        <v>6312</v>
      </c>
      <c r="I1562" s="140" t="s">
        <v>6313</v>
      </c>
      <c r="J1562" s="140" t="s">
        <v>6314</v>
      </c>
      <c r="K1562" s="140" t="s">
        <v>7088</v>
      </c>
    </row>
    <row r="1563">
      <c r="A1563" s="140" t="s">
        <v>8179</v>
      </c>
      <c r="B1563" s="143">
        <v>6.90222E12</v>
      </c>
      <c r="C1563" s="140" t="s">
        <v>8282</v>
      </c>
      <c r="D1563" s="140" t="s">
        <v>6601</v>
      </c>
      <c r="E1563" s="140">
        <v>0.0</v>
      </c>
      <c r="F1563" s="140" t="s">
        <v>6609</v>
      </c>
      <c r="G1563" s="141" t="s">
        <v>6401</v>
      </c>
      <c r="H1563" s="140" t="s">
        <v>6312</v>
      </c>
      <c r="I1563" s="140" t="s">
        <v>6313</v>
      </c>
      <c r="J1563" s="140" t="s">
        <v>6314</v>
      </c>
      <c r="K1563" s="140" t="s">
        <v>7088</v>
      </c>
    </row>
    <row r="1564">
      <c r="A1564" s="140" t="s">
        <v>8179</v>
      </c>
      <c r="B1564" s="143">
        <v>6.90222E12</v>
      </c>
      <c r="C1564" s="140" t="s">
        <v>8283</v>
      </c>
      <c r="D1564" s="140" t="s">
        <v>6601</v>
      </c>
      <c r="E1564" s="140">
        <v>0.0</v>
      </c>
      <c r="F1564" s="140" t="s">
        <v>6609</v>
      </c>
      <c r="G1564" s="141" t="s">
        <v>6401</v>
      </c>
      <c r="H1564" s="140" t="s">
        <v>6312</v>
      </c>
      <c r="I1564" s="140" t="s">
        <v>6313</v>
      </c>
      <c r="J1564" s="140" t="s">
        <v>6314</v>
      </c>
      <c r="K1564" s="140" t="s">
        <v>7088</v>
      </c>
    </row>
    <row r="1565">
      <c r="A1565" s="140" t="s">
        <v>8179</v>
      </c>
      <c r="B1565" s="143">
        <v>6.90222E12</v>
      </c>
      <c r="C1565" s="140" t="s">
        <v>8284</v>
      </c>
      <c r="D1565" s="140" t="s">
        <v>6601</v>
      </c>
      <c r="E1565" s="140">
        <v>0.0</v>
      </c>
      <c r="F1565" s="140" t="s">
        <v>6609</v>
      </c>
      <c r="G1565" s="141" t="s">
        <v>6401</v>
      </c>
      <c r="H1565" s="140" t="s">
        <v>6312</v>
      </c>
      <c r="I1565" s="140" t="s">
        <v>6313</v>
      </c>
      <c r="J1565" s="140" t="s">
        <v>6314</v>
      </c>
      <c r="K1565" s="140" t="s">
        <v>7088</v>
      </c>
    </row>
    <row r="1566">
      <c r="A1566" s="140" t="s">
        <v>8179</v>
      </c>
      <c r="B1566" s="143">
        <v>6.90222E12</v>
      </c>
      <c r="C1566" s="140" t="s">
        <v>8285</v>
      </c>
      <c r="D1566" s="140" t="s">
        <v>6601</v>
      </c>
      <c r="E1566" s="140">
        <v>0.0</v>
      </c>
      <c r="F1566" s="140" t="s">
        <v>6609</v>
      </c>
      <c r="G1566" s="141" t="s">
        <v>6401</v>
      </c>
      <c r="H1566" s="140" t="s">
        <v>6312</v>
      </c>
      <c r="I1566" s="140" t="s">
        <v>6313</v>
      </c>
      <c r="J1566" s="140" t="s">
        <v>6314</v>
      </c>
      <c r="K1566" s="140" t="s">
        <v>7088</v>
      </c>
    </row>
    <row r="1567">
      <c r="A1567" s="140" t="s">
        <v>8179</v>
      </c>
      <c r="B1567" s="143">
        <v>6.90222E12</v>
      </c>
      <c r="C1567" s="140" t="s">
        <v>8286</v>
      </c>
      <c r="D1567" s="140" t="s">
        <v>6601</v>
      </c>
      <c r="E1567" s="140">
        <v>0.0</v>
      </c>
      <c r="F1567" s="140" t="s">
        <v>6609</v>
      </c>
      <c r="G1567" s="141" t="s">
        <v>6401</v>
      </c>
      <c r="H1567" s="140" t="s">
        <v>6312</v>
      </c>
      <c r="I1567" s="140" t="s">
        <v>6313</v>
      </c>
      <c r="J1567" s="140" t="s">
        <v>6314</v>
      </c>
      <c r="K1567" s="140" t="s">
        <v>7088</v>
      </c>
    </row>
    <row r="1568">
      <c r="A1568" s="140" t="s">
        <v>8179</v>
      </c>
      <c r="B1568" s="143">
        <v>6.90222E12</v>
      </c>
      <c r="C1568" s="140" t="s">
        <v>8287</v>
      </c>
      <c r="D1568" s="140" t="s">
        <v>6601</v>
      </c>
      <c r="E1568" s="140">
        <v>0.0</v>
      </c>
      <c r="F1568" s="140" t="s">
        <v>6609</v>
      </c>
      <c r="G1568" s="141" t="s">
        <v>6401</v>
      </c>
      <c r="H1568" s="140" t="s">
        <v>6312</v>
      </c>
      <c r="I1568" s="140" t="s">
        <v>6313</v>
      </c>
      <c r="J1568" s="140" t="s">
        <v>6314</v>
      </c>
      <c r="K1568" s="140" t="s">
        <v>7088</v>
      </c>
    </row>
    <row r="1569">
      <c r="A1569" s="140" t="s">
        <v>8179</v>
      </c>
      <c r="B1569" s="143">
        <v>6.90222E12</v>
      </c>
      <c r="C1569" s="140" t="s">
        <v>8288</v>
      </c>
      <c r="D1569" s="140" t="s">
        <v>6601</v>
      </c>
      <c r="E1569" s="140">
        <v>0.0</v>
      </c>
      <c r="F1569" s="140" t="s">
        <v>8289</v>
      </c>
      <c r="G1569" s="141" t="s">
        <v>6401</v>
      </c>
      <c r="H1569" s="140" t="s">
        <v>6312</v>
      </c>
      <c r="I1569" s="140" t="s">
        <v>6313</v>
      </c>
      <c r="J1569" s="140" t="s">
        <v>6314</v>
      </c>
      <c r="K1569" s="140" t="s">
        <v>7088</v>
      </c>
    </row>
    <row r="1570">
      <c r="A1570" s="140" t="s">
        <v>8179</v>
      </c>
      <c r="B1570" s="143">
        <v>6.90222E12</v>
      </c>
      <c r="C1570" s="140" t="s">
        <v>8290</v>
      </c>
      <c r="D1570" s="140" t="s">
        <v>6601</v>
      </c>
      <c r="E1570" s="140">
        <v>0.0</v>
      </c>
      <c r="F1570" s="140" t="s">
        <v>8289</v>
      </c>
      <c r="G1570" s="141" t="s">
        <v>6401</v>
      </c>
      <c r="H1570" s="140" t="s">
        <v>6312</v>
      </c>
      <c r="I1570" s="140" t="s">
        <v>6313</v>
      </c>
      <c r="J1570" s="140" t="s">
        <v>6314</v>
      </c>
      <c r="K1570" s="140" t="s">
        <v>7088</v>
      </c>
    </row>
    <row r="1571">
      <c r="A1571" s="140" t="s">
        <v>8179</v>
      </c>
      <c r="B1571" s="143">
        <v>6.90222E12</v>
      </c>
      <c r="C1571" s="140" t="s">
        <v>8291</v>
      </c>
      <c r="D1571" s="140" t="s">
        <v>6601</v>
      </c>
      <c r="E1571" s="140">
        <v>0.0</v>
      </c>
      <c r="F1571" s="140" t="s">
        <v>8289</v>
      </c>
      <c r="G1571" s="141" t="s">
        <v>6401</v>
      </c>
      <c r="H1571" s="140" t="s">
        <v>6312</v>
      </c>
      <c r="I1571" s="140" t="s">
        <v>6313</v>
      </c>
      <c r="J1571" s="140" t="s">
        <v>6314</v>
      </c>
      <c r="K1571" s="140" t="s">
        <v>7088</v>
      </c>
    </row>
    <row r="1572">
      <c r="A1572" s="140" t="s">
        <v>8179</v>
      </c>
      <c r="B1572" s="143">
        <v>6.90222E12</v>
      </c>
      <c r="C1572" s="140" t="s">
        <v>8292</v>
      </c>
      <c r="D1572" s="140" t="s">
        <v>6318</v>
      </c>
      <c r="E1572" s="140">
        <v>0.0</v>
      </c>
      <c r="F1572" s="140" t="s">
        <v>735</v>
      </c>
      <c r="G1572" s="141" t="s">
        <v>6401</v>
      </c>
      <c r="H1572" s="140" t="s">
        <v>6312</v>
      </c>
      <c r="I1572" s="140" t="s">
        <v>6313</v>
      </c>
      <c r="J1572" s="140" t="s">
        <v>6314</v>
      </c>
      <c r="K1572" s="140" t="s">
        <v>7088</v>
      </c>
    </row>
    <row r="1573">
      <c r="A1573" s="140" t="s">
        <v>8179</v>
      </c>
      <c r="B1573" s="143">
        <v>6.90222E12</v>
      </c>
      <c r="C1573" s="140" t="s">
        <v>8293</v>
      </c>
      <c r="D1573" s="140" t="s">
        <v>6318</v>
      </c>
      <c r="E1573" s="140">
        <v>0.0</v>
      </c>
      <c r="F1573" s="140" t="s">
        <v>735</v>
      </c>
      <c r="G1573" s="141" t="s">
        <v>6401</v>
      </c>
      <c r="H1573" s="140" t="s">
        <v>6312</v>
      </c>
      <c r="I1573" s="140" t="s">
        <v>6313</v>
      </c>
      <c r="J1573" s="140" t="s">
        <v>6314</v>
      </c>
      <c r="K1573" s="140" t="s">
        <v>7088</v>
      </c>
    </row>
    <row r="1574">
      <c r="A1574" s="140" t="s">
        <v>8179</v>
      </c>
      <c r="B1574" s="143">
        <v>6.90222E12</v>
      </c>
      <c r="C1574" s="140" t="s">
        <v>8294</v>
      </c>
      <c r="D1574" s="140" t="s">
        <v>6318</v>
      </c>
      <c r="E1574" s="140">
        <v>0.0</v>
      </c>
      <c r="F1574" s="140" t="s">
        <v>735</v>
      </c>
      <c r="G1574" s="141" t="s">
        <v>6401</v>
      </c>
      <c r="H1574" s="140" t="s">
        <v>6312</v>
      </c>
      <c r="I1574" s="140" t="s">
        <v>6313</v>
      </c>
      <c r="J1574" s="140" t="s">
        <v>6314</v>
      </c>
      <c r="K1574" s="140" t="s">
        <v>7088</v>
      </c>
    </row>
    <row r="1575">
      <c r="A1575" s="140" t="s">
        <v>8179</v>
      </c>
      <c r="B1575" s="143">
        <v>6.90222E12</v>
      </c>
      <c r="C1575" s="140" t="s">
        <v>8295</v>
      </c>
      <c r="D1575" s="140" t="s">
        <v>6318</v>
      </c>
      <c r="E1575" s="140">
        <v>0.0</v>
      </c>
      <c r="F1575" s="140" t="s">
        <v>735</v>
      </c>
      <c r="G1575" s="141" t="s">
        <v>6401</v>
      </c>
      <c r="H1575" s="140" t="s">
        <v>6312</v>
      </c>
      <c r="I1575" s="140" t="s">
        <v>6313</v>
      </c>
      <c r="J1575" s="140" t="s">
        <v>6314</v>
      </c>
      <c r="K1575" s="140" t="s">
        <v>7088</v>
      </c>
    </row>
    <row r="1576">
      <c r="A1576" s="140" t="s">
        <v>8179</v>
      </c>
      <c r="B1576" s="143">
        <v>6.90222E12</v>
      </c>
      <c r="C1576" s="140" t="s">
        <v>8296</v>
      </c>
      <c r="D1576" s="140" t="s">
        <v>6318</v>
      </c>
      <c r="E1576" s="140">
        <v>0.0</v>
      </c>
      <c r="F1576" s="140" t="s">
        <v>8297</v>
      </c>
      <c r="G1576" s="141" t="s">
        <v>6401</v>
      </c>
      <c r="H1576" s="140" t="s">
        <v>6312</v>
      </c>
      <c r="I1576" s="140" t="s">
        <v>6313</v>
      </c>
      <c r="J1576" s="140" t="s">
        <v>6314</v>
      </c>
      <c r="K1576" s="140" t="s">
        <v>7088</v>
      </c>
    </row>
    <row r="1577">
      <c r="A1577" s="140" t="s">
        <v>8179</v>
      </c>
      <c r="B1577" s="143">
        <v>6.90222E12</v>
      </c>
      <c r="C1577" s="140" t="s">
        <v>8298</v>
      </c>
      <c r="D1577" s="140" t="s">
        <v>6318</v>
      </c>
      <c r="E1577" s="140">
        <v>0.0</v>
      </c>
      <c r="F1577" s="140" t="s">
        <v>8297</v>
      </c>
      <c r="G1577" s="141" t="s">
        <v>6401</v>
      </c>
      <c r="H1577" s="140" t="s">
        <v>6312</v>
      </c>
      <c r="I1577" s="140" t="s">
        <v>6313</v>
      </c>
      <c r="J1577" s="140" t="s">
        <v>6314</v>
      </c>
      <c r="K1577" s="140" t="s">
        <v>7088</v>
      </c>
    </row>
    <row r="1578">
      <c r="A1578" s="140" t="s">
        <v>8179</v>
      </c>
      <c r="B1578" s="143">
        <v>6.90222E12</v>
      </c>
      <c r="C1578" s="140" t="s">
        <v>8299</v>
      </c>
      <c r="D1578" s="140" t="s">
        <v>6318</v>
      </c>
      <c r="E1578" s="140">
        <v>0.0</v>
      </c>
      <c r="F1578" s="140" t="s">
        <v>8297</v>
      </c>
      <c r="G1578" s="141" t="s">
        <v>6401</v>
      </c>
      <c r="H1578" s="140" t="s">
        <v>6312</v>
      </c>
      <c r="I1578" s="140" t="s">
        <v>6313</v>
      </c>
      <c r="J1578" s="140" t="s">
        <v>6314</v>
      </c>
      <c r="K1578" s="140" t="s">
        <v>7088</v>
      </c>
    </row>
    <row r="1579">
      <c r="A1579" s="140" t="s">
        <v>8179</v>
      </c>
      <c r="B1579" s="143">
        <v>6.90222E12</v>
      </c>
      <c r="C1579" s="140" t="s">
        <v>8300</v>
      </c>
      <c r="D1579" s="140" t="s">
        <v>6601</v>
      </c>
      <c r="E1579" s="140" t="s">
        <v>303</v>
      </c>
      <c r="F1579" s="140" t="s">
        <v>7087</v>
      </c>
      <c r="G1579" s="141" t="s">
        <v>6401</v>
      </c>
      <c r="H1579" s="140" t="s">
        <v>6312</v>
      </c>
      <c r="I1579" s="140" t="s">
        <v>6313</v>
      </c>
      <c r="J1579" s="140" t="s">
        <v>6314</v>
      </c>
      <c r="K1579" s="140" t="s">
        <v>7088</v>
      </c>
    </row>
    <row r="1580">
      <c r="A1580" s="140" t="s">
        <v>8179</v>
      </c>
      <c r="B1580" s="143">
        <v>6.90222E12</v>
      </c>
      <c r="C1580" s="140" t="s">
        <v>8301</v>
      </c>
      <c r="D1580" s="140" t="s">
        <v>6601</v>
      </c>
      <c r="E1580" s="140" t="s">
        <v>303</v>
      </c>
      <c r="F1580" s="140" t="s">
        <v>7087</v>
      </c>
      <c r="G1580" s="141" t="s">
        <v>6401</v>
      </c>
      <c r="H1580" s="140" t="s">
        <v>6312</v>
      </c>
      <c r="I1580" s="140" t="s">
        <v>6313</v>
      </c>
      <c r="J1580" s="140" t="s">
        <v>6314</v>
      </c>
      <c r="K1580" s="140" t="s">
        <v>7088</v>
      </c>
    </row>
    <row r="1581">
      <c r="A1581" s="140" t="s">
        <v>8179</v>
      </c>
      <c r="B1581" s="143">
        <v>6.90222E12</v>
      </c>
      <c r="C1581" s="140" t="s">
        <v>8302</v>
      </c>
      <c r="D1581" s="140" t="s">
        <v>6601</v>
      </c>
      <c r="E1581" s="140" t="s">
        <v>303</v>
      </c>
      <c r="F1581" s="140" t="s">
        <v>8303</v>
      </c>
      <c r="G1581" s="141" t="s">
        <v>6401</v>
      </c>
      <c r="H1581" s="140" t="s">
        <v>6312</v>
      </c>
      <c r="I1581" s="140" t="s">
        <v>6313</v>
      </c>
      <c r="J1581" s="140" t="s">
        <v>6314</v>
      </c>
      <c r="K1581" s="140" t="s">
        <v>7088</v>
      </c>
    </row>
    <row r="1582">
      <c r="A1582" s="140" t="s">
        <v>8179</v>
      </c>
      <c r="B1582" s="143">
        <v>6.90222E12</v>
      </c>
      <c r="C1582" s="140" t="s">
        <v>8304</v>
      </c>
      <c r="D1582" s="140" t="s">
        <v>6601</v>
      </c>
      <c r="E1582" s="140" t="s">
        <v>303</v>
      </c>
      <c r="F1582" s="140" t="s">
        <v>8303</v>
      </c>
      <c r="G1582" s="141" t="s">
        <v>6401</v>
      </c>
      <c r="H1582" s="140" t="s">
        <v>6312</v>
      </c>
      <c r="I1582" s="140" t="s">
        <v>6313</v>
      </c>
      <c r="J1582" s="140" t="s">
        <v>6314</v>
      </c>
      <c r="K1582" s="140" t="s">
        <v>7088</v>
      </c>
    </row>
    <row r="1583">
      <c r="A1583" s="140" t="s">
        <v>8179</v>
      </c>
      <c r="B1583" s="143">
        <v>6.90222E12</v>
      </c>
      <c r="C1583" s="140" t="s">
        <v>8305</v>
      </c>
      <c r="D1583" s="140" t="s">
        <v>6601</v>
      </c>
      <c r="E1583" s="140" t="s">
        <v>303</v>
      </c>
      <c r="F1583" s="140" t="s">
        <v>8303</v>
      </c>
      <c r="G1583" s="141" t="s">
        <v>6401</v>
      </c>
      <c r="H1583" s="140" t="s">
        <v>6312</v>
      </c>
      <c r="I1583" s="140" t="s">
        <v>6313</v>
      </c>
      <c r="J1583" s="140" t="s">
        <v>6314</v>
      </c>
      <c r="K1583" s="140" t="s">
        <v>7088</v>
      </c>
    </row>
    <row r="1584">
      <c r="A1584" s="140" t="s">
        <v>8179</v>
      </c>
      <c r="B1584" s="143">
        <v>6.90222E12</v>
      </c>
      <c r="C1584" s="140" t="s">
        <v>8306</v>
      </c>
      <c r="D1584" s="140" t="s">
        <v>6601</v>
      </c>
      <c r="E1584" s="140" t="s">
        <v>303</v>
      </c>
      <c r="F1584" s="140" t="s">
        <v>8303</v>
      </c>
      <c r="G1584" s="141" t="s">
        <v>6401</v>
      </c>
      <c r="H1584" s="140" t="s">
        <v>6312</v>
      </c>
      <c r="I1584" s="140" t="s">
        <v>6313</v>
      </c>
      <c r="J1584" s="140" t="s">
        <v>6314</v>
      </c>
      <c r="K1584" s="140" t="s">
        <v>7088</v>
      </c>
    </row>
    <row r="1585">
      <c r="A1585" s="140" t="s">
        <v>8179</v>
      </c>
      <c r="B1585" s="143">
        <v>6.90222E12</v>
      </c>
      <c r="C1585" s="140" t="s">
        <v>8307</v>
      </c>
      <c r="D1585" s="140" t="s">
        <v>6601</v>
      </c>
      <c r="E1585" s="140" t="s">
        <v>303</v>
      </c>
      <c r="F1585" s="140" t="s">
        <v>8303</v>
      </c>
      <c r="G1585" s="141" t="s">
        <v>6401</v>
      </c>
      <c r="H1585" s="140" t="s">
        <v>6312</v>
      </c>
      <c r="I1585" s="140" t="s">
        <v>6313</v>
      </c>
      <c r="J1585" s="140" t="s">
        <v>6314</v>
      </c>
      <c r="K1585" s="140" t="s">
        <v>7088</v>
      </c>
    </row>
    <row r="1586">
      <c r="A1586" s="140" t="s">
        <v>8179</v>
      </c>
      <c r="B1586" s="143">
        <v>6.90222E12</v>
      </c>
      <c r="C1586" s="140" t="s">
        <v>8308</v>
      </c>
      <c r="D1586" s="140" t="s">
        <v>6601</v>
      </c>
      <c r="E1586" s="140" t="s">
        <v>303</v>
      </c>
      <c r="F1586" s="140" t="s">
        <v>345</v>
      </c>
      <c r="G1586" s="141" t="s">
        <v>6401</v>
      </c>
      <c r="H1586" s="140" t="s">
        <v>6312</v>
      </c>
      <c r="I1586" s="140" t="s">
        <v>6313</v>
      </c>
      <c r="J1586" s="140" t="s">
        <v>6314</v>
      </c>
      <c r="K1586" s="140" t="s">
        <v>7088</v>
      </c>
    </row>
    <row r="1587">
      <c r="A1587" s="140" t="s">
        <v>8179</v>
      </c>
      <c r="B1587" s="143">
        <v>6.90222E12</v>
      </c>
      <c r="C1587" s="140" t="s">
        <v>8309</v>
      </c>
      <c r="D1587" s="140" t="s">
        <v>6601</v>
      </c>
      <c r="E1587" s="140" t="s">
        <v>303</v>
      </c>
      <c r="F1587" s="140" t="s">
        <v>345</v>
      </c>
      <c r="G1587" s="141" t="s">
        <v>6401</v>
      </c>
      <c r="H1587" s="140" t="s">
        <v>6312</v>
      </c>
      <c r="I1587" s="140" t="s">
        <v>6313</v>
      </c>
      <c r="J1587" s="140" t="s">
        <v>6314</v>
      </c>
      <c r="K1587" s="140" t="s">
        <v>7088</v>
      </c>
    </row>
    <row r="1588">
      <c r="A1588" s="140" t="s">
        <v>8179</v>
      </c>
      <c r="B1588" s="143">
        <v>6.90222E12</v>
      </c>
      <c r="C1588" s="140" t="s">
        <v>8310</v>
      </c>
      <c r="D1588" s="140" t="s">
        <v>6601</v>
      </c>
      <c r="E1588" s="140" t="s">
        <v>303</v>
      </c>
      <c r="F1588" s="140" t="s">
        <v>345</v>
      </c>
      <c r="G1588" s="141" t="s">
        <v>6401</v>
      </c>
      <c r="H1588" s="140" t="s">
        <v>6312</v>
      </c>
      <c r="I1588" s="140" t="s">
        <v>6313</v>
      </c>
      <c r="J1588" s="140" t="s">
        <v>6314</v>
      </c>
      <c r="K1588" s="140" t="s">
        <v>7088</v>
      </c>
    </row>
    <row r="1589">
      <c r="A1589" s="140" t="s">
        <v>8179</v>
      </c>
      <c r="B1589" s="143">
        <v>6.90222E12</v>
      </c>
      <c r="C1589" s="140" t="s">
        <v>8311</v>
      </c>
      <c r="D1589" s="140" t="s">
        <v>6601</v>
      </c>
      <c r="E1589" s="140" t="s">
        <v>303</v>
      </c>
      <c r="F1589" s="140" t="s">
        <v>345</v>
      </c>
      <c r="G1589" s="141" t="s">
        <v>6401</v>
      </c>
      <c r="H1589" s="140" t="s">
        <v>6312</v>
      </c>
      <c r="I1589" s="140" t="s">
        <v>6313</v>
      </c>
      <c r="J1589" s="140" t="s">
        <v>6314</v>
      </c>
      <c r="K1589" s="140" t="s">
        <v>7088</v>
      </c>
    </row>
    <row r="1590">
      <c r="A1590" s="140" t="s">
        <v>8179</v>
      </c>
      <c r="B1590" s="143">
        <v>6.90222E12</v>
      </c>
      <c r="C1590" s="140" t="s">
        <v>8312</v>
      </c>
      <c r="D1590" s="140" t="s">
        <v>6601</v>
      </c>
      <c r="E1590" s="140" t="s">
        <v>303</v>
      </c>
      <c r="F1590" s="140" t="s">
        <v>345</v>
      </c>
      <c r="G1590" s="141" t="s">
        <v>6401</v>
      </c>
      <c r="H1590" s="140" t="s">
        <v>6312</v>
      </c>
      <c r="I1590" s="140" t="s">
        <v>6313</v>
      </c>
      <c r="J1590" s="140" t="s">
        <v>6314</v>
      </c>
      <c r="K1590" s="140" t="s">
        <v>7088</v>
      </c>
    </row>
    <row r="1591">
      <c r="A1591" s="140" t="s">
        <v>8179</v>
      </c>
      <c r="B1591" s="143">
        <v>6.90222E12</v>
      </c>
      <c r="C1591" s="140" t="s">
        <v>8313</v>
      </c>
      <c r="D1591" s="140" t="s">
        <v>6601</v>
      </c>
      <c r="E1591" s="140" t="s">
        <v>303</v>
      </c>
      <c r="F1591" s="140" t="s">
        <v>345</v>
      </c>
      <c r="G1591" s="141" t="s">
        <v>6401</v>
      </c>
      <c r="H1591" s="140" t="s">
        <v>6312</v>
      </c>
      <c r="I1591" s="140" t="s">
        <v>6313</v>
      </c>
      <c r="J1591" s="140" t="s">
        <v>6314</v>
      </c>
      <c r="K1591" s="140" t="s">
        <v>7088</v>
      </c>
    </row>
    <row r="1592">
      <c r="A1592" s="140" t="s">
        <v>8179</v>
      </c>
      <c r="B1592" s="143">
        <v>6.90222E12</v>
      </c>
      <c r="C1592" s="140" t="s">
        <v>8314</v>
      </c>
      <c r="D1592" s="140" t="s">
        <v>6601</v>
      </c>
      <c r="E1592" s="140" t="s">
        <v>303</v>
      </c>
      <c r="F1592" s="140" t="s">
        <v>345</v>
      </c>
      <c r="G1592" s="141" t="s">
        <v>6401</v>
      </c>
      <c r="H1592" s="140" t="s">
        <v>6312</v>
      </c>
      <c r="I1592" s="140" t="s">
        <v>6313</v>
      </c>
      <c r="J1592" s="140" t="s">
        <v>6314</v>
      </c>
      <c r="K1592" s="140" t="s">
        <v>7088</v>
      </c>
    </row>
    <row r="1593">
      <c r="A1593" s="140" t="s">
        <v>8179</v>
      </c>
      <c r="B1593" s="143">
        <v>6.90222E12</v>
      </c>
      <c r="C1593" s="140" t="s">
        <v>8315</v>
      </c>
      <c r="D1593" s="140" t="s">
        <v>6601</v>
      </c>
      <c r="E1593" s="140" t="s">
        <v>303</v>
      </c>
      <c r="F1593" s="140" t="s">
        <v>345</v>
      </c>
      <c r="G1593" s="141" t="s">
        <v>6401</v>
      </c>
      <c r="H1593" s="140" t="s">
        <v>6312</v>
      </c>
      <c r="I1593" s="140" t="s">
        <v>6313</v>
      </c>
      <c r="J1593" s="140" t="s">
        <v>6314</v>
      </c>
      <c r="K1593" s="140" t="s">
        <v>7088</v>
      </c>
    </row>
    <row r="1594">
      <c r="A1594" s="140" t="s">
        <v>8179</v>
      </c>
      <c r="B1594" s="143">
        <v>6.90222E12</v>
      </c>
      <c r="C1594" s="140" t="s">
        <v>8316</v>
      </c>
      <c r="D1594" s="140" t="s">
        <v>6601</v>
      </c>
      <c r="E1594" s="140" t="s">
        <v>303</v>
      </c>
      <c r="F1594" s="140" t="s">
        <v>8317</v>
      </c>
      <c r="G1594" s="141" t="s">
        <v>6401</v>
      </c>
      <c r="H1594" s="140" t="s">
        <v>6312</v>
      </c>
      <c r="I1594" s="140" t="s">
        <v>6313</v>
      </c>
      <c r="J1594" s="140" t="s">
        <v>6314</v>
      </c>
      <c r="K1594" s="140" t="s">
        <v>7088</v>
      </c>
    </row>
    <row r="1595">
      <c r="A1595" s="140" t="s">
        <v>8179</v>
      </c>
      <c r="B1595" s="143">
        <v>6.90222E12</v>
      </c>
      <c r="C1595" s="140" t="s">
        <v>8318</v>
      </c>
      <c r="D1595" s="140" t="s">
        <v>6601</v>
      </c>
      <c r="E1595" s="140" t="s">
        <v>303</v>
      </c>
      <c r="F1595" s="140" t="s">
        <v>8317</v>
      </c>
      <c r="G1595" s="141" t="s">
        <v>6401</v>
      </c>
      <c r="H1595" s="140" t="s">
        <v>6312</v>
      </c>
      <c r="I1595" s="140" t="s">
        <v>6313</v>
      </c>
      <c r="J1595" s="140" t="s">
        <v>6314</v>
      </c>
      <c r="K1595" s="140" t="s">
        <v>7088</v>
      </c>
    </row>
    <row r="1596">
      <c r="A1596" s="140" t="s">
        <v>8179</v>
      </c>
      <c r="B1596" s="143">
        <v>6.90222E12</v>
      </c>
      <c r="C1596" s="140" t="s">
        <v>8319</v>
      </c>
      <c r="D1596" s="140" t="s">
        <v>6601</v>
      </c>
      <c r="E1596" s="140" t="s">
        <v>303</v>
      </c>
      <c r="F1596" s="140" t="s">
        <v>8317</v>
      </c>
      <c r="G1596" s="141" t="s">
        <v>6401</v>
      </c>
      <c r="H1596" s="140" t="s">
        <v>6312</v>
      </c>
      <c r="I1596" s="140" t="s">
        <v>6313</v>
      </c>
      <c r="J1596" s="140" t="s">
        <v>6314</v>
      </c>
      <c r="K1596" s="140" t="s">
        <v>7088</v>
      </c>
    </row>
    <row r="1597">
      <c r="A1597" s="140" t="s">
        <v>8179</v>
      </c>
      <c r="B1597" s="143">
        <v>6.90222E12</v>
      </c>
      <c r="C1597" s="140" t="s">
        <v>8320</v>
      </c>
      <c r="D1597" s="140" t="s">
        <v>6601</v>
      </c>
      <c r="E1597" s="140" t="s">
        <v>303</v>
      </c>
      <c r="F1597" s="140" t="s">
        <v>8317</v>
      </c>
      <c r="G1597" s="141" t="s">
        <v>6401</v>
      </c>
      <c r="H1597" s="140" t="s">
        <v>6312</v>
      </c>
      <c r="I1597" s="140" t="s">
        <v>6313</v>
      </c>
      <c r="J1597" s="140" t="s">
        <v>6314</v>
      </c>
      <c r="K1597" s="140" t="s">
        <v>7088</v>
      </c>
    </row>
    <row r="1598">
      <c r="A1598" s="140" t="s">
        <v>8179</v>
      </c>
      <c r="B1598" s="143">
        <v>6.90222E12</v>
      </c>
      <c r="C1598" s="140" t="s">
        <v>8321</v>
      </c>
      <c r="D1598" s="140" t="s">
        <v>6601</v>
      </c>
      <c r="E1598" s="140" t="s">
        <v>303</v>
      </c>
      <c r="F1598" s="140" t="s">
        <v>8317</v>
      </c>
      <c r="G1598" s="141" t="s">
        <v>6401</v>
      </c>
      <c r="H1598" s="140" t="s">
        <v>6312</v>
      </c>
      <c r="I1598" s="140" t="s">
        <v>6313</v>
      </c>
      <c r="J1598" s="140" t="s">
        <v>6314</v>
      </c>
      <c r="K1598" s="140" t="s">
        <v>7088</v>
      </c>
    </row>
    <row r="1599">
      <c r="A1599" s="140" t="s">
        <v>8179</v>
      </c>
      <c r="B1599" s="143">
        <v>6.90222E12</v>
      </c>
      <c r="C1599" s="140" t="s">
        <v>8322</v>
      </c>
      <c r="D1599" s="140" t="s">
        <v>6601</v>
      </c>
      <c r="E1599" s="140" t="s">
        <v>303</v>
      </c>
      <c r="F1599" s="140" t="s">
        <v>8317</v>
      </c>
      <c r="G1599" s="141" t="s">
        <v>6401</v>
      </c>
      <c r="H1599" s="140" t="s">
        <v>6312</v>
      </c>
      <c r="I1599" s="140" t="s">
        <v>6313</v>
      </c>
      <c r="J1599" s="140" t="s">
        <v>6314</v>
      </c>
      <c r="K1599" s="140" t="s">
        <v>7088</v>
      </c>
    </row>
    <row r="1600">
      <c r="A1600" s="140" t="s">
        <v>8179</v>
      </c>
      <c r="B1600" s="143">
        <v>6.90222E12</v>
      </c>
      <c r="C1600" s="140" t="s">
        <v>8323</v>
      </c>
      <c r="D1600" s="140" t="s">
        <v>6601</v>
      </c>
      <c r="E1600" s="140" t="s">
        <v>303</v>
      </c>
      <c r="F1600" s="140" t="s">
        <v>8317</v>
      </c>
      <c r="G1600" s="141" t="s">
        <v>6401</v>
      </c>
      <c r="H1600" s="140" t="s">
        <v>6312</v>
      </c>
      <c r="I1600" s="140" t="s">
        <v>6313</v>
      </c>
      <c r="J1600" s="140" t="s">
        <v>6314</v>
      </c>
      <c r="K1600" s="140" t="s">
        <v>7088</v>
      </c>
    </row>
    <row r="1601">
      <c r="A1601" s="140" t="s">
        <v>8179</v>
      </c>
      <c r="B1601" s="143">
        <v>6.90222E12</v>
      </c>
      <c r="C1601" s="140" t="s">
        <v>8324</v>
      </c>
      <c r="D1601" s="140" t="s">
        <v>6601</v>
      </c>
      <c r="E1601" s="140" t="s">
        <v>303</v>
      </c>
      <c r="F1601" s="140" t="s">
        <v>8317</v>
      </c>
      <c r="G1601" s="141" t="s">
        <v>6401</v>
      </c>
      <c r="H1601" s="140" t="s">
        <v>6312</v>
      </c>
      <c r="I1601" s="140" t="s">
        <v>6313</v>
      </c>
      <c r="J1601" s="140" t="s">
        <v>6314</v>
      </c>
      <c r="K1601" s="140" t="s">
        <v>7088</v>
      </c>
    </row>
    <row r="1602">
      <c r="A1602" s="140" t="s">
        <v>8179</v>
      </c>
      <c r="B1602" s="143">
        <v>6.90222E12</v>
      </c>
      <c r="C1602" s="140" t="s">
        <v>8325</v>
      </c>
      <c r="D1602" s="140" t="s">
        <v>6601</v>
      </c>
      <c r="E1602" s="140" t="s">
        <v>303</v>
      </c>
      <c r="F1602" s="140" t="s">
        <v>8317</v>
      </c>
      <c r="G1602" s="141" t="s">
        <v>6401</v>
      </c>
      <c r="H1602" s="140" t="s">
        <v>6312</v>
      </c>
      <c r="I1602" s="140" t="s">
        <v>6313</v>
      </c>
      <c r="J1602" s="140" t="s">
        <v>6314</v>
      </c>
      <c r="K1602" s="140" t="s">
        <v>7088</v>
      </c>
    </row>
    <row r="1603">
      <c r="A1603" s="140" t="s">
        <v>8179</v>
      </c>
      <c r="B1603" s="143">
        <v>6.90222E12</v>
      </c>
      <c r="C1603" s="140" t="s">
        <v>8326</v>
      </c>
      <c r="D1603" s="140" t="s">
        <v>6601</v>
      </c>
      <c r="E1603" s="140" t="s">
        <v>303</v>
      </c>
      <c r="F1603" s="140" t="s">
        <v>8317</v>
      </c>
      <c r="G1603" s="141" t="s">
        <v>6401</v>
      </c>
      <c r="H1603" s="140" t="s">
        <v>6312</v>
      </c>
      <c r="I1603" s="140" t="s">
        <v>6313</v>
      </c>
      <c r="J1603" s="140" t="s">
        <v>6314</v>
      </c>
      <c r="K1603" s="140" t="s">
        <v>7088</v>
      </c>
    </row>
    <row r="1604">
      <c r="A1604" s="140" t="s">
        <v>8179</v>
      </c>
      <c r="B1604" s="143">
        <v>6.90222E12</v>
      </c>
      <c r="C1604" s="140" t="s">
        <v>8327</v>
      </c>
      <c r="D1604" s="140" t="s">
        <v>6601</v>
      </c>
      <c r="E1604" s="140" t="s">
        <v>303</v>
      </c>
      <c r="F1604" s="140" t="s">
        <v>8317</v>
      </c>
      <c r="G1604" s="141" t="s">
        <v>6401</v>
      </c>
      <c r="H1604" s="140" t="s">
        <v>6312</v>
      </c>
      <c r="I1604" s="140" t="s">
        <v>6313</v>
      </c>
      <c r="J1604" s="140" t="s">
        <v>6314</v>
      </c>
      <c r="K1604" s="140" t="s">
        <v>7088</v>
      </c>
    </row>
    <row r="1605">
      <c r="A1605" s="140" t="s">
        <v>8179</v>
      </c>
      <c r="B1605" s="143">
        <v>6.90222E12</v>
      </c>
      <c r="C1605" s="140" t="s">
        <v>8328</v>
      </c>
      <c r="D1605" s="140" t="s">
        <v>6601</v>
      </c>
      <c r="E1605" s="140" t="s">
        <v>303</v>
      </c>
      <c r="F1605" s="140" t="s">
        <v>8329</v>
      </c>
      <c r="G1605" s="141" t="s">
        <v>6401</v>
      </c>
      <c r="H1605" s="140" t="s">
        <v>6312</v>
      </c>
      <c r="I1605" s="140" t="s">
        <v>6313</v>
      </c>
      <c r="J1605" s="140" t="s">
        <v>6314</v>
      </c>
      <c r="K1605" s="140" t="s">
        <v>7088</v>
      </c>
    </row>
    <row r="1606">
      <c r="A1606" s="140" t="s">
        <v>8179</v>
      </c>
      <c r="B1606" s="143">
        <v>6.90222E12</v>
      </c>
      <c r="C1606" s="140" t="s">
        <v>8330</v>
      </c>
      <c r="D1606" s="140" t="s">
        <v>6601</v>
      </c>
      <c r="E1606" s="140" t="s">
        <v>303</v>
      </c>
      <c r="F1606" s="140" t="s">
        <v>8329</v>
      </c>
      <c r="G1606" s="141" t="s">
        <v>6401</v>
      </c>
      <c r="H1606" s="140" t="s">
        <v>6312</v>
      </c>
      <c r="I1606" s="140" t="s">
        <v>6313</v>
      </c>
      <c r="J1606" s="140" t="s">
        <v>6314</v>
      </c>
      <c r="K1606" s="140" t="s">
        <v>7088</v>
      </c>
    </row>
    <row r="1607">
      <c r="A1607" s="140" t="s">
        <v>8179</v>
      </c>
      <c r="B1607" s="143">
        <v>6.90222E12</v>
      </c>
      <c r="C1607" s="140" t="s">
        <v>8331</v>
      </c>
      <c r="D1607" s="140" t="s">
        <v>6601</v>
      </c>
      <c r="E1607" s="140" t="s">
        <v>303</v>
      </c>
      <c r="F1607" s="140" t="s">
        <v>8329</v>
      </c>
      <c r="G1607" s="141" t="s">
        <v>6401</v>
      </c>
      <c r="H1607" s="140" t="s">
        <v>6312</v>
      </c>
      <c r="I1607" s="140" t="s">
        <v>6313</v>
      </c>
      <c r="J1607" s="140" t="s">
        <v>6314</v>
      </c>
      <c r="K1607" s="140" t="s">
        <v>7088</v>
      </c>
    </row>
    <row r="1608">
      <c r="A1608" s="140" t="s">
        <v>8179</v>
      </c>
      <c r="B1608" s="143">
        <v>6.90222E12</v>
      </c>
      <c r="C1608" s="140" t="s">
        <v>8332</v>
      </c>
      <c r="D1608" s="140" t="s">
        <v>6601</v>
      </c>
      <c r="E1608" s="140" t="s">
        <v>303</v>
      </c>
      <c r="F1608" s="140" t="s">
        <v>8329</v>
      </c>
      <c r="G1608" s="141" t="s">
        <v>6401</v>
      </c>
      <c r="H1608" s="140" t="s">
        <v>6312</v>
      </c>
      <c r="I1608" s="140" t="s">
        <v>6313</v>
      </c>
      <c r="J1608" s="140" t="s">
        <v>6314</v>
      </c>
      <c r="K1608" s="140" t="s">
        <v>7088</v>
      </c>
    </row>
    <row r="1609">
      <c r="A1609" s="140" t="s">
        <v>8179</v>
      </c>
      <c r="B1609" s="143">
        <v>6.90222E12</v>
      </c>
      <c r="C1609" s="140" t="s">
        <v>8333</v>
      </c>
      <c r="D1609" s="140" t="s">
        <v>6601</v>
      </c>
      <c r="E1609" s="140" t="s">
        <v>303</v>
      </c>
      <c r="F1609" s="140" t="s">
        <v>8329</v>
      </c>
      <c r="G1609" s="141" t="s">
        <v>6401</v>
      </c>
      <c r="H1609" s="140" t="s">
        <v>6312</v>
      </c>
      <c r="I1609" s="140" t="s">
        <v>6313</v>
      </c>
      <c r="J1609" s="140" t="s">
        <v>6314</v>
      </c>
      <c r="K1609" s="140" t="s">
        <v>7088</v>
      </c>
    </row>
    <row r="1610">
      <c r="A1610" s="140" t="s">
        <v>8179</v>
      </c>
      <c r="B1610" s="143">
        <v>6.90222E12</v>
      </c>
      <c r="C1610" s="140" t="s">
        <v>8334</v>
      </c>
      <c r="D1610" s="140" t="s">
        <v>224</v>
      </c>
      <c r="E1610" s="140" t="s">
        <v>7685</v>
      </c>
      <c r="F1610" s="140" t="s">
        <v>7686</v>
      </c>
      <c r="G1610" s="141" t="s">
        <v>6401</v>
      </c>
      <c r="H1610" s="140" t="s">
        <v>6312</v>
      </c>
      <c r="I1610" s="140" t="s">
        <v>6313</v>
      </c>
      <c r="J1610" s="140" t="s">
        <v>6314</v>
      </c>
      <c r="K1610" s="140" t="s">
        <v>7088</v>
      </c>
    </row>
    <row r="1611">
      <c r="A1611" s="140" t="s">
        <v>8179</v>
      </c>
      <c r="B1611" s="143">
        <v>6.90222E12</v>
      </c>
      <c r="C1611" s="140" t="s">
        <v>8335</v>
      </c>
      <c r="D1611" s="140" t="s">
        <v>224</v>
      </c>
      <c r="E1611" s="140" t="s">
        <v>7685</v>
      </c>
      <c r="F1611" s="140" t="s">
        <v>7686</v>
      </c>
      <c r="G1611" s="141" t="s">
        <v>6401</v>
      </c>
      <c r="H1611" s="140" t="s">
        <v>6312</v>
      </c>
      <c r="I1611" s="140" t="s">
        <v>6313</v>
      </c>
      <c r="J1611" s="140" t="s">
        <v>6314</v>
      </c>
      <c r="K1611" s="140" t="s">
        <v>7088</v>
      </c>
    </row>
    <row r="1612">
      <c r="A1612" s="140" t="s">
        <v>8179</v>
      </c>
      <c r="B1612" s="143">
        <v>6.90222E12</v>
      </c>
      <c r="C1612" s="140" t="s">
        <v>8336</v>
      </c>
      <c r="D1612" s="140" t="s">
        <v>224</v>
      </c>
      <c r="E1612" s="140" t="s">
        <v>7685</v>
      </c>
      <c r="F1612" s="140" t="s">
        <v>7686</v>
      </c>
      <c r="G1612" s="141" t="s">
        <v>6401</v>
      </c>
      <c r="H1612" s="140" t="s">
        <v>6312</v>
      </c>
      <c r="I1612" s="140" t="s">
        <v>6313</v>
      </c>
      <c r="J1612" s="140" t="s">
        <v>6314</v>
      </c>
      <c r="K1612" s="140" t="s">
        <v>7088</v>
      </c>
    </row>
    <row r="1613">
      <c r="A1613" s="140" t="s">
        <v>8179</v>
      </c>
      <c r="B1613" s="143">
        <v>6.90222E12</v>
      </c>
      <c r="C1613" s="140" t="s">
        <v>8337</v>
      </c>
      <c r="D1613" s="140" t="s">
        <v>224</v>
      </c>
      <c r="E1613" s="140" t="s">
        <v>7685</v>
      </c>
      <c r="F1613" s="140" t="s">
        <v>7686</v>
      </c>
      <c r="G1613" s="141" t="s">
        <v>6401</v>
      </c>
      <c r="H1613" s="140" t="s">
        <v>6312</v>
      </c>
      <c r="I1613" s="140" t="s">
        <v>6313</v>
      </c>
      <c r="J1613" s="140" t="s">
        <v>6314</v>
      </c>
      <c r="K1613" s="140" t="s">
        <v>7088</v>
      </c>
    </row>
    <row r="1614">
      <c r="A1614" s="140" t="s">
        <v>8179</v>
      </c>
      <c r="B1614" s="143">
        <v>6.90222E12</v>
      </c>
      <c r="C1614" s="140" t="s">
        <v>8338</v>
      </c>
      <c r="D1614" s="140" t="s">
        <v>224</v>
      </c>
      <c r="E1614" s="140" t="s">
        <v>7685</v>
      </c>
      <c r="F1614" s="140" t="s">
        <v>7686</v>
      </c>
      <c r="G1614" s="141" t="s">
        <v>6401</v>
      </c>
      <c r="H1614" s="140" t="s">
        <v>6312</v>
      </c>
      <c r="I1614" s="140" t="s">
        <v>6313</v>
      </c>
      <c r="J1614" s="140" t="s">
        <v>6314</v>
      </c>
      <c r="K1614" s="140" t="s">
        <v>7088</v>
      </c>
    </row>
    <row r="1615">
      <c r="A1615" s="140" t="s">
        <v>8179</v>
      </c>
      <c r="B1615" s="140" t="s">
        <v>8339</v>
      </c>
      <c r="C1615" s="140" t="s">
        <v>8340</v>
      </c>
      <c r="D1615" s="140" t="s">
        <v>224</v>
      </c>
      <c r="E1615" s="140" t="s">
        <v>7685</v>
      </c>
      <c r="F1615" s="140" t="s">
        <v>7699</v>
      </c>
      <c r="G1615" s="141" t="s">
        <v>6401</v>
      </c>
      <c r="H1615" s="140" t="s">
        <v>6312</v>
      </c>
      <c r="I1615" s="140" t="s">
        <v>6313</v>
      </c>
      <c r="J1615" s="140" t="s">
        <v>6314</v>
      </c>
      <c r="K1615" s="140" t="s">
        <v>7088</v>
      </c>
    </row>
    <row r="1616">
      <c r="A1616" s="140" t="s">
        <v>8179</v>
      </c>
      <c r="B1616" s="143">
        <v>6.90222E12</v>
      </c>
      <c r="C1616" s="140" t="s">
        <v>8341</v>
      </c>
      <c r="D1616" s="140" t="s">
        <v>224</v>
      </c>
      <c r="E1616" s="140" t="s">
        <v>7685</v>
      </c>
      <c r="F1616" s="140" t="s">
        <v>7699</v>
      </c>
      <c r="G1616" s="141" t="s">
        <v>6401</v>
      </c>
      <c r="H1616" s="140" t="s">
        <v>6312</v>
      </c>
      <c r="I1616" s="140" t="s">
        <v>6313</v>
      </c>
      <c r="J1616" s="140" t="s">
        <v>6314</v>
      </c>
      <c r="K1616" s="140" t="s">
        <v>7088</v>
      </c>
    </row>
    <row r="1617">
      <c r="A1617" s="140" t="s">
        <v>8179</v>
      </c>
      <c r="B1617" s="143">
        <v>6.90222E12</v>
      </c>
      <c r="C1617" s="140" t="s">
        <v>8342</v>
      </c>
      <c r="D1617" s="140" t="s">
        <v>224</v>
      </c>
      <c r="E1617" s="140" t="s">
        <v>7685</v>
      </c>
      <c r="F1617" s="140" t="s">
        <v>7699</v>
      </c>
      <c r="G1617" s="141" t="s">
        <v>6401</v>
      </c>
      <c r="H1617" s="140" t="s">
        <v>6312</v>
      </c>
      <c r="I1617" s="140" t="s">
        <v>6313</v>
      </c>
      <c r="J1617" s="140" t="s">
        <v>6314</v>
      </c>
      <c r="K1617" s="140" t="s">
        <v>7088</v>
      </c>
    </row>
    <row r="1618">
      <c r="A1618" s="140" t="s">
        <v>8179</v>
      </c>
      <c r="B1618" s="143">
        <v>6.90222E12</v>
      </c>
      <c r="C1618" s="140" t="s">
        <v>8343</v>
      </c>
      <c r="D1618" s="140" t="s">
        <v>224</v>
      </c>
      <c r="E1618" s="140" t="s">
        <v>7685</v>
      </c>
      <c r="F1618" s="140" t="s">
        <v>7699</v>
      </c>
      <c r="G1618" s="141" t="s">
        <v>6401</v>
      </c>
      <c r="H1618" s="140" t="s">
        <v>6312</v>
      </c>
      <c r="I1618" s="140" t="s">
        <v>6313</v>
      </c>
      <c r="J1618" s="140" t="s">
        <v>6314</v>
      </c>
      <c r="K1618" s="140" t="s">
        <v>7088</v>
      </c>
    </row>
    <row r="1619">
      <c r="A1619" s="140" t="s">
        <v>8179</v>
      </c>
      <c r="B1619" s="143">
        <v>6.90222E12</v>
      </c>
      <c r="C1619" s="140" t="s">
        <v>8344</v>
      </c>
      <c r="D1619" s="140" t="s">
        <v>224</v>
      </c>
      <c r="E1619" s="140" t="s">
        <v>7685</v>
      </c>
      <c r="F1619" s="140" t="s">
        <v>7699</v>
      </c>
      <c r="G1619" s="141" t="s">
        <v>6401</v>
      </c>
      <c r="H1619" s="140" t="s">
        <v>6312</v>
      </c>
      <c r="I1619" s="140" t="s">
        <v>6313</v>
      </c>
      <c r="J1619" s="140" t="s">
        <v>6314</v>
      </c>
      <c r="K1619" s="140" t="s">
        <v>7088</v>
      </c>
    </row>
    <row r="1620">
      <c r="A1620" s="140" t="s">
        <v>8179</v>
      </c>
      <c r="B1620" s="143">
        <v>6.90222E12</v>
      </c>
      <c r="C1620" s="140" t="s">
        <v>8345</v>
      </c>
      <c r="D1620" s="140" t="s">
        <v>6601</v>
      </c>
      <c r="E1620" s="140" t="s">
        <v>526</v>
      </c>
      <c r="F1620" s="140" t="s">
        <v>7099</v>
      </c>
      <c r="G1620" s="141" t="s">
        <v>6401</v>
      </c>
      <c r="H1620" s="140" t="s">
        <v>6312</v>
      </c>
      <c r="I1620" s="140" t="s">
        <v>6313</v>
      </c>
      <c r="J1620" s="140" t="s">
        <v>6314</v>
      </c>
      <c r="K1620" s="140" t="s">
        <v>7088</v>
      </c>
    </row>
    <row r="1621">
      <c r="A1621" s="140" t="s">
        <v>8179</v>
      </c>
      <c r="B1621" s="143">
        <v>6.90222E12</v>
      </c>
      <c r="C1621" s="140" t="s">
        <v>8346</v>
      </c>
      <c r="D1621" s="140" t="s">
        <v>6601</v>
      </c>
      <c r="E1621" s="140" t="s">
        <v>526</v>
      </c>
      <c r="F1621" s="140" t="s">
        <v>7099</v>
      </c>
      <c r="G1621" s="141" t="s">
        <v>6401</v>
      </c>
      <c r="H1621" s="140" t="s">
        <v>6312</v>
      </c>
      <c r="I1621" s="140" t="s">
        <v>6313</v>
      </c>
      <c r="J1621" s="140" t="s">
        <v>6314</v>
      </c>
      <c r="K1621" s="140" t="s">
        <v>7088</v>
      </c>
    </row>
    <row r="1622">
      <c r="A1622" s="140" t="s">
        <v>8179</v>
      </c>
      <c r="B1622" s="143">
        <v>6.90222E12</v>
      </c>
      <c r="C1622" s="140" t="s">
        <v>8347</v>
      </c>
      <c r="D1622" s="140" t="s">
        <v>6601</v>
      </c>
      <c r="E1622" s="140" t="s">
        <v>526</v>
      </c>
      <c r="F1622" s="140" t="s">
        <v>7099</v>
      </c>
      <c r="G1622" s="141" t="s">
        <v>6401</v>
      </c>
      <c r="H1622" s="140" t="s">
        <v>6312</v>
      </c>
      <c r="I1622" s="140" t="s">
        <v>6313</v>
      </c>
      <c r="J1622" s="140" t="s">
        <v>6314</v>
      </c>
      <c r="K1622" s="140" t="s">
        <v>7088</v>
      </c>
    </row>
    <row r="1623">
      <c r="A1623" s="140" t="s">
        <v>8179</v>
      </c>
      <c r="B1623" s="143">
        <v>6.90222E12</v>
      </c>
      <c r="C1623" s="140" t="s">
        <v>8348</v>
      </c>
      <c r="D1623" s="140" t="s">
        <v>6601</v>
      </c>
      <c r="E1623" s="140" t="s">
        <v>526</v>
      </c>
      <c r="F1623" s="140" t="s">
        <v>7099</v>
      </c>
      <c r="G1623" s="141" t="s">
        <v>6401</v>
      </c>
      <c r="H1623" s="140" t="s">
        <v>6312</v>
      </c>
      <c r="I1623" s="140" t="s">
        <v>6313</v>
      </c>
      <c r="J1623" s="140" t="s">
        <v>6314</v>
      </c>
      <c r="K1623" s="140" t="s">
        <v>7088</v>
      </c>
    </row>
    <row r="1624">
      <c r="A1624" s="140" t="s">
        <v>8179</v>
      </c>
      <c r="B1624" s="143">
        <v>6.90222E12</v>
      </c>
      <c r="C1624" s="140" t="s">
        <v>8349</v>
      </c>
      <c r="D1624" s="140" t="s">
        <v>6601</v>
      </c>
      <c r="E1624" s="140" t="s">
        <v>526</v>
      </c>
      <c r="F1624" s="140" t="s">
        <v>7099</v>
      </c>
      <c r="G1624" s="141" t="s">
        <v>6401</v>
      </c>
      <c r="H1624" s="140" t="s">
        <v>6312</v>
      </c>
      <c r="I1624" s="140" t="s">
        <v>6313</v>
      </c>
      <c r="J1624" s="140" t="s">
        <v>6314</v>
      </c>
      <c r="K1624" s="140" t="s">
        <v>7088</v>
      </c>
    </row>
    <row r="1625">
      <c r="A1625" s="140" t="s">
        <v>8179</v>
      </c>
      <c r="B1625" s="143">
        <v>6.90222E12</v>
      </c>
      <c r="C1625" s="140" t="s">
        <v>8350</v>
      </c>
      <c r="D1625" s="140" t="s">
        <v>6601</v>
      </c>
      <c r="E1625" s="140" t="s">
        <v>526</v>
      </c>
      <c r="F1625" s="140" t="s">
        <v>7099</v>
      </c>
      <c r="G1625" s="141" t="s">
        <v>6401</v>
      </c>
      <c r="H1625" s="140" t="s">
        <v>6312</v>
      </c>
      <c r="I1625" s="140" t="s">
        <v>6313</v>
      </c>
      <c r="J1625" s="140" t="s">
        <v>6314</v>
      </c>
      <c r="K1625" s="140" t="s">
        <v>7088</v>
      </c>
    </row>
    <row r="1626">
      <c r="A1626" s="140" t="s">
        <v>8179</v>
      </c>
      <c r="B1626" s="143">
        <v>6.90222E12</v>
      </c>
      <c r="C1626" s="140" t="s">
        <v>8351</v>
      </c>
      <c r="D1626" s="140" t="s">
        <v>6601</v>
      </c>
      <c r="E1626" s="140" t="s">
        <v>526</v>
      </c>
      <c r="F1626" s="140" t="s">
        <v>527</v>
      </c>
      <c r="G1626" s="141" t="s">
        <v>6668</v>
      </c>
      <c r="H1626" s="140" t="s">
        <v>6312</v>
      </c>
      <c r="I1626" s="140" t="s">
        <v>6313</v>
      </c>
      <c r="J1626" s="140" t="s">
        <v>6314</v>
      </c>
      <c r="K1626" s="140" t="s">
        <v>7088</v>
      </c>
    </row>
    <row r="1627">
      <c r="A1627" s="140" t="s">
        <v>8179</v>
      </c>
      <c r="B1627" s="143">
        <v>6.90222E12</v>
      </c>
      <c r="C1627" s="140" t="s">
        <v>8352</v>
      </c>
      <c r="D1627" s="140" t="s">
        <v>6601</v>
      </c>
      <c r="E1627" s="140" t="s">
        <v>526</v>
      </c>
      <c r="F1627" s="140" t="s">
        <v>527</v>
      </c>
      <c r="G1627" s="141" t="s">
        <v>6401</v>
      </c>
      <c r="H1627" s="140" t="s">
        <v>6312</v>
      </c>
      <c r="I1627" s="140" t="s">
        <v>6313</v>
      </c>
      <c r="J1627" s="140" t="s">
        <v>6314</v>
      </c>
      <c r="K1627" s="140" t="s">
        <v>7088</v>
      </c>
    </row>
    <row r="1628">
      <c r="A1628" s="140" t="s">
        <v>8179</v>
      </c>
      <c r="B1628" s="143">
        <v>6.90222E12</v>
      </c>
      <c r="C1628" s="140" t="s">
        <v>8353</v>
      </c>
      <c r="D1628" s="140" t="s">
        <v>6601</v>
      </c>
      <c r="E1628" s="140" t="s">
        <v>526</v>
      </c>
      <c r="F1628" s="140" t="s">
        <v>527</v>
      </c>
      <c r="G1628" s="141" t="s">
        <v>6401</v>
      </c>
      <c r="H1628" s="140" t="s">
        <v>6312</v>
      </c>
      <c r="I1628" s="140" t="s">
        <v>6313</v>
      </c>
      <c r="J1628" s="140" t="s">
        <v>6314</v>
      </c>
      <c r="K1628" s="140" t="s">
        <v>7088</v>
      </c>
    </row>
    <row r="1629">
      <c r="A1629" s="140" t="s">
        <v>8179</v>
      </c>
      <c r="B1629" s="143">
        <v>6.90222E12</v>
      </c>
      <c r="C1629" s="140" t="s">
        <v>8354</v>
      </c>
      <c r="D1629" s="140" t="s">
        <v>6601</v>
      </c>
      <c r="E1629" s="140" t="s">
        <v>526</v>
      </c>
      <c r="F1629" s="140" t="s">
        <v>527</v>
      </c>
      <c r="G1629" s="141" t="s">
        <v>6401</v>
      </c>
      <c r="H1629" s="140" t="s">
        <v>6312</v>
      </c>
      <c r="I1629" s="140" t="s">
        <v>6313</v>
      </c>
      <c r="J1629" s="140" t="s">
        <v>6314</v>
      </c>
      <c r="K1629" s="140" t="s">
        <v>7088</v>
      </c>
    </row>
    <row r="1630">
      <c r="A1630" s="140" t="s">
        <v>8179</v>
      </c>
      <c r="B1630" s="143">
        <v>6.90222E12</v>
      </c>
      <c r="C1630" s="140" t="s">
        <v>8355</v>
      </c>
      <c r="D1630" s="140" t="s">
        <v>6601</v>
      </c>
      <c r="E1630" s="140" t="s">
        <v>526</v>
      </c>
      <c r="F1630" s="140" t="s">
        <v>527</v>
      </c>
      <c r="G1630" s="141" t="s">
        <v>6664</v>
      </c>
      <c r="H1630" s="140" t="s">
        <v>6312</v>
      </c>
      <c r="I1630" s="140" t="s">
        <v>6313</v>
      </c>
      <c r="J1630" s="140" t="s">
        <v>6314</v>
      </c>
      <c r="K1630" s="140" t="s">
        <v>7088</v>
      </c>
    </row>
    <row r="1631">
      <c r="A1631" s="140" t="s">
        <v>8179</v>
      </c>
      <c r="B1631" s="143">
        <v>6.90222E12</v>
      </c>
      <c r="C1631" s="140" t="s">
        <v>8356</v>
      </c>
      <c r="D1631" s="140" t="s">
        <v>6601</v>
      </c>
      <c r="E1631" s="140" t="s">
        <v>526</v>
      </c>
      <c r="F1631" s="140" t="s">
        <v>527</v>
      </c>
      <c r="G1631" s="141" t="s">
        <v>6401</v>
      </c>
      <c r="H1631" s="140" t="s">
        <v>6312</v>
      </c>
      <c r="I1631" s="140" t="s">
        <v>6313</v>
      </c>
      <c r="J1631" s="140" t="s">
        <v>6314</v>
      </c>
      <c r="K1631" s="140" t="s">
        <v>7088</v>
      </c>
    </row>
    <row r="1632">
      <c r="A1632" s="140" t="s">
        <v>8179</v>
      </c>
      <c r="B1632" s="143">
        <v>6.90222E12</v>
      </c>
      <c r="C1632" s="140" t="s">
        <v>8357</v>
      </c>
      <c r="D1632" s="140" t="s">
        <v>6601</v>
      </c>
      <c r="E1632" s="140" t="s">
        <v>526</v>
      </c>
      <c r="F1632" s="140" t="s">
        <v>527</v>
      </c>
      <c r="G1632" s="141" t="s">
        <v>6401</v>
      </c>
      <c r="H1632" s="140" t="s">
        <v>6312</v>
      </c>
      <c r="I1632" s="140" t="s">
        <v>6313</v>
      </c>
      <c r="J1632" s="140" t="s">
        <v>6314</v>
      </c>
      <c r="K1632" s="140" t="s">
        <v>7088</v>
      </c>
    </row>
    <row r="1633">
      <c r="A1633" s="140" t="s">
        <v>8179</v>
      </c>
      <c r="B1633" s="143">
        <v>6.90222E12</v>
      </c>
      <c r="C1633" s="140" t="s">
        <v>8358</v>
      </c>
      <c r="D1633" s="140" t="s">
        <v>6601</v>
      </c>
      <c r="E1633" s="140" t="s">
        <v>526</v>
      </c>
      <c r="F1633" s="140" t="s">
        <v>527</v>
      </c>
      <c r="G1633" s="141" t="s">
        <v>6401</v>
      </c>
      <c r="H1633" s="140" t="s">
        <v>6312</v>
      </c>
      <c r="I1633" s="140" t="s">
        <v>6313</v>
      </c>
      <c r="J1633" s="140" t="s">
        <v>6314</v>
      </c>
      <c r="K1633" s="140" t="s">
        <v>7088</v>
      </c>
    </row>
    <row r="1634">
      <c r="A1634" s="140" t="s">
        <v>8179</v>
      </c>
      <c r="B1634" s="143">
        <v>6.90222E12</v>
      </c>
      <c r="C1634" s="140" t="s">
        <v>8359</v>
      </c>
      <c r="D1634" s="140" t="s">
        <v>6601</v>
      </c>
      <c r="E1634" s="140" t="s">
        <v>526</v>
      </c>
      <c r="F1634" s="140" t="s">
        <v>527</v>
      </c>
      <c r="G1634" s="141" t="s">
        <v>6401</v>
      </c>
      <c r="H1634" s="140" t="s">
        <v>6312</v>
      </c>
      <c r="I1634" s="140" t="s">
        <v>6313</v>
      </c>
      <c r="J1634" s="140" t="s">
        <v>6314</v>
      </c>
      <c r="K1634" s="140" t="s">
        <v>7088</v>
      </c>
    </row>
    <row r="1635">
      <c r="A1635" s="140" t="s">
        <v>8179</v>
      </c>
      <c r="B1635" s="143">
        <v>6.90222E12</v>
      </c>
      <c r="C1635" s="140" t="s">
        <v>8360</v>
      </c>
      <c r="D1635" s="140" t="s">
        <v>6601</v>
      </c>
      <c r="E1635" s="140" t="s">
        <v>526</v>
      </c>
      <c r="F1635" s="140" t="s">
        <v>527</v>
      </c>
      <c r="G1635" s="141" t="s">
        <v>6401</v>
      </c>
      <c r="H1635" s="140" t="s">
        <v>6312</v>
      </c>
      <c r="I1635" s="140" t="s">
        <v>6313</v>
      </c>
      <c r="J1635" s="140" t="s">
        <v>6314</v>
      </c>
      <c r="K1635" s="140" t="s">
        <v>7088</v>
      </c>
    </row>
    <row r="1636">
      <c r="A1636" s="140" t="s">
        <v>8179</v>
      </c>
      <c r="B1636" s="143">
        <v>6.90222E12</v>
      </c>
      <c r="C1636" s="140" t="s">
        <v>8361</v>
      </c>
      <c r="D1636" s="140" t="s">
        <v>6601</v>
      </c>
      <c r="E1636" s="140" t="s">
        <v>526</v>
      </c>
      <c r="F1636" s="140" t="s">
        <v>527</v>
      </c>
      <c r="G1636" s="141" t="s">
        <v>6401</v>
      </c>
      <c r="H1636" s="140" t="s">
        <v>6312</v>
      </c>
      <c r="I1636" s="140" t="s">
        <v>6313</v>
      </c>
      <c r="J1636" s="140" t="s">
        <v>6314</v>
      </c>
      <c r="K1636" s="140" t="s">
        <v>7088</v>
      </c>
    </row>
    <row r="1637">
      <c r="A1637" s="140" t="s">
        <v>8179</v>
      </c>
      <c r="B1637" s="143">
        <v>6.90222E12</v>
      </c>
      <c r="C1637" s="140" t="s">
        <v>8362</v>
      </c>
      <c r="D1637" s="140" t="s">
        <v>6601</v>
      </c>
      <c r="E1637" s="140" t="s">
        <v>526</v>
      </c>
      <c r="F1637" s="140" t="s">
        <v>527</v>
      </c>
      <c r="G1637" s="141" t="s">
        <v>6664</v>
      </c>
      <c r="H1637" s="140" t="s">
        <v>6312</v>
      </c>
      <c r="I1637" s="140" t="s">
        <v>6313</v>
      </c>
      <c r="J1637" s="140" t="s">
        <v>6314</v>
      </c>
      <c r="K1637" s="140" t="s">
        <v>7088</v>
      </c>
    </row>
    <row r="1638">
      <c r="A1638" s="140" t="s">
        <v>8179</v>
      </c>
      <c r="B1638" s="143">
        <v>6.90222E12</v>
      </c>
      <c r="C1638" s="140" t="s">
        <v>8363</v>
      </c>
      <c r="D1638" s="140" t="s">
        <v>6601</v>
      </c>
      <c r="E1638" s="140" t="s">
        <v>526</v>
      </c>
      <c r="F1638" s="140" t="s">
        <v>527</v>
      </c>
      <c r="G1638" s="141" t="s">
        <v>6401</v>
      </c>
      <c r="H1638" s="140" t="s">
        <v>6312</v>
      </c>
      <c r="I1638" s="140" t="s">
        <v>6313</v>
      </c>
      <c r="J1638" s="140" t="s">
        <v>6314</v>
      </c>
      <c r="K1638" s="140" t="s">
        <v>7088</v>
      </c>
    </row>
    <row r="1639">
      <c r="A1639" s="140" t="s">
        <v>8179</v>
      </c>
      <c r="B1639" s="143">
        <v>6.90222E12</v>
      </c>
      <c r="C1639" s="140" t="s">
        <v>8364</v>
      </c>
      <c r="D1639" s="140" t="s">
        <v>6601</v>
      </c>
      <c r="E1639" s="140" t="s">
        <v>526</v>
      </c>
      <c r="F1639" s="140" t="s">
        <v>527</v>
      </c>
      <c r="G1639" s="141" t="s">
        <v>6401</v>
      </c>
      <c r="H1639" s="140" t="s">
        <v>6312</v>
      </c>
      <c r="I1639" s="140" t="s">
        <v>6313</v>
      </c>
      <c r="J1639" s="140" t="s">
        <v>6314</v>
      </c>
      <c r="K1639" s="140" t="s">
        <v>7088</v>
      </c>
    </row>
    <row r="1640">
      <c r="A1640" s="140" t="s">
        <v>8179</v>
      </c>
      <c r="B1640" s="143">
        <v>6.90222E12</v>
      </c>
      <c r="C1640" s="140" t="s">
        <v>8365</v>
      </c>
      <c r="D1640" s="140" t="s">
        <v>6601</v>
      </c>
      <c r="E1640" s="140" t="s">
        <v>526</v>
      </c>
      <c r="F1640" s="140" t="s">
        <v>527</v>
      </c>
      <c r="G1640" s="141" t="s">
        <v>6401</v>
      </c>
      <c r="H1640" s="140" t="s">
        <v>6312</v>
      </c>
      <c r="I1640" s="140" t="s">
        <v>6313</v>
      </c>
      <c r="J1640" s="140" t="s">
        <v>6314</v>
      </c>
      <c r="K1640" s="140" t="s">
        <v>7088</v>
      </c>
    </row>
    <row r="1641">
      <c r="A1641" s="140" t="s">
        <v>8179</v>
      </c>
      <c r="B1641" s="143">
        <v>6.90222E12</v>
      </c>
      <c r="C1641" s="140" t="s">
        <v>8366</v>
      </c>
      <c r="D1641" s="140" t="s">
        <v>6601</v>
      </c>
      <c r="E1641" s="140" t="s">
        <v>526</v>
      </c>
      <c r="F1641" s="140" t="s">
        <v>527</v>
      </c>
      <c r="G1641" s="141" t="s">
        <v>6401</v>
      </c>
      <c r="H1641" s="140" t="s">
        <v>6312</v>
      </c>
      <c r="I1641" s="140" t="s">
        <v>6313</v>
      </c>
      <c r="J1641" s="140" t="s">
        <v>6314</v>
      </c>
      <c r="K1641" s="140" t="s">
        <v>7088</v>
      </c>
    </row>
    <row r="1642">
      <c r="A1642" s="140" t="s">
        <v>8179</v>
      </c>
      <c r="B1642" s="143">
        <v>6.90222E12</v>
      </c>
      <c r="C1642" s="140" t="s">
        <v>8367</v>
      </c>
      <c r="D1642" s="140" t="s">
        <v>6601</v>
      </c>
      <c r="E1642" s="140" t="s">
        <v>526</v>
      </c>
      <c r="F1642" s="140" t="s">
        <v>527</v>
      </c>
      <c r="G1642" s="141" t="s">
        <v>6401</v>
      </c>
      <c r="H1642" s="140" t="s">
        <v>6312</v>
      </c>
      <c r="I1642" s="140" t="s">
        <v>6313</v>
      </c>
      <c r="J1642" s="140" t="s">
        <v>6314</v>
      </c>
      <c r="K1642" s="140" t="s">
        <v>7088</v>
      </c>
    </row>
    <row r="1643">
      <c r="A1643" s="140" t="s">
        <v>8179</v>
      </c>
      <c r="B1643" s="143">
        <v>6.90222E12</v>
      </c>
      <c r="C1643" s="140" t="s">
        <v>8368</v>
      </c>
      <c r="D1643" s="140" t="s">
        <v>6601</v>
      </c>
      <c r="E1643" s="140" t="s">
        <v>526</v>
      </c>
      <c r="F1643" s="140" t="s">
        <v>527</v>
      </c>
      <c r="G1643" s="141" t="s">
        <v>6401</v>
      </c>
      <c r="H1643" s="140" t="s">
        <v>6312</v>
      </c>
      <c r="I1643" s="140" t="s">
        <v>6313</v>
      </c>
      <c r="J1643" s="140" t="s">
        <v>6314</v>
      </c>
      <c r="K1643" s="140" t="s">
        <v>7088</v>
      </c>
    </row>
    <row r="1644">
      <c r="A1644" s="140" t="s">
        <v>8179</v>
      </c>
      <c r="B1644" s="143">
        <v>6.90222E12</v>
      </c>
      <c r="C1644" s="140" t="s">
        <v>8369</v>
      </c>
      <c r="D1644" s="140" t="s">
        <v>6601</v>
      </c>
      <c r="E1644" s="140" t="s">
        <v>526</v>
      </c>
      <c r="F1644" s="140" t="s">
        <v>527</v>
      </c>
      <c r="G1644" s="141" t="s">
        <v>6401</v>
      </c>
      <c r="H1644" s="140" t="s">
        <v>6312</v>
      </c>
      <c r="I1644" s="140" t="s">
        <v>6313</v>
      </c>
      <c r="J1644" s="140" t="s">
        <v>6314</v>
      </c>
      <c r="K1644" s="140" t="s">
        <v>7088</v>
      </c>
    </row>
    <row r="1645">
      <c r="A1645" s="140" t="s">
        <v>8179</v>
      </c>
      <c r="B1645" s="143">
        <v>6.90222E12</v>
      </c>
      <c r="C1645" s="140" t="s">
        <v>8370</v>
      </c>
      <c r="D1645" s="140" t="s">
        <v>6601</v>
      </c>
      <c r="E1645" s="140" t="s">
        <v>526</v>
      </c>
      <c r="F1645" s="140" t="s">
        <v>527</v>
      </c>
      <c r="G1645" s="141" t="s">
        <v>6401</v>
      </c>
      <c r="H1645" s="140" t="s">
        <v>6312</v>
      </c>
      <c r="I1645" s="140" t="s">
        <v>6313</v>
      </c>
      <c r="J1645" s="140" t="s">
        <v>6314</v>
      </c>
      <c r="K1645" s="140" t="s">
        <v>7088</v>
      </c>
    </row>
    <row r="1646">
      <c r="A1646" s="140" t="s">
        <v>8179</v>
      </c>
      <c r="B1646" s="143">
        <v>6.90222E12</v>
      </c>
      <c r="C1646" s="140" t="s">
        <v>8371</v>
      </c>
      <c r="D1646" s="140" t="s">
        <v>6601</v>
      </c>
      <c r="E1646" s="140" t="s">
        <v>526</v>
      </c>
      <c r="F1646" s="140" t="s">
        <v>527</v>
      </c>
      <c r="G1646" s="141" t="s">
        <v>6401</v>
      </c>
      <c r="H1646" s="140" t="s">
        <v>6312</v>
      </c>
      <c r="I1646" s="140" t="s">
        <v>6313</v>
      </c>
      <c r="J1646" s="140" t="s">
        <v>6314</v>
      </c>
      <c r="K1646" s="140" t="s">
        <v>7088</v>
      </c>
    </row>
    <row r="1647">
      <c r="A1647" s="140" t="s">
        <v>8179</v>
      </c>
      <c r="B1647" s="143">
        <v>6.90222E12</v>
      </c>
      <c r="C1647" s="140" t="s">
        <v>8372</v>
      </c>
      <c r="D1647" s="140" t="s">
        <v>6601</v>
      </c>
      <c r="E1647" s="140" t="s">
        <v>526</v>
      </c>
      <c r="F1647" s="140" t="s">
        <v>527</v>
      </c>
      <c r="G1647" s="141" t="s">
        <v>6401</v>
      </c>
      <c r="H1647" s="140" t="s">
        <v>6312</v>
      </c>
      <c r="I1647" s="140" t="s">
        <v>6313</v>
      </c>
      <c r="J1647" s="140" t="s">
        <v>6314</v>
      </c>
      <c r="K1647" s="140" t="s">
        <v>7088</v>
      </c>
    </row>
    <row r="1648">
      <c r="A1648" s="140" t="s">
        <v>8179</v>
      </c>
      <c r="B1648" s="143">
        <v>6.90222E12</v>
      </c>
      <c r="C1648" s="140" t="s">
        <v>8373</v>
      </c>
      <c r="D1648" s="140" t="s">
        <v>6601</v>
      </c>
      <c r="E1648" s="140" t="s">
        <v>526</v>
      </c>
      <c r="F1648" s="140" t="s">
        <v>527</v>
      </c>
      <c r="G1648" s="141" t="s">
        <v>6401</v>
      </c>
      <c r="H1648" s="140" t="s">
        <v>6312</v>
      </c>
      <c r="I1648" s="140" t="s">
        <v>6313</v>
      </c>
      <c r="J1648" s="140" t="s">
        <v>6314</v>
      </c>
      <c r="K1648" s="140" t="s">
        <v>7088</v>
      </c>
    </row>
    <row r="1649">
      <c r="A1649" s="140" t="s">
        <v>8179</v>
      </c>
      <c r="B1649" s="143">
        <v>6.90222E12</v>
      </c>
      <c r="C1649" s="140" t="s">
        <v>8374</v>
      </c>
      <c r="D1649" s="140" t="s">
        <v>6601</v>
      </c>
      <c r="E1649" s="140" t="s">
        <v>526</v>
      </c>
      <c r="F1649" s="140" t="s">
        <v>527</v>
      </c>
      <c r="G1649" s="141" t="s">
        <v>6401</v>
      </c>
      <c r="H1649" s="140" t="s">
        <v>6312</v>
      </c>
      <c r="I1649" s="140" t="s">
        <v>6313</v>
      </c>
      <c r="J1649" s="140" t="s">
        <v>6314</v>
      </c>
      <c r="K1649" s="140" t="s">
        <v>7088</v>
      </c>
    </row>
    <row r="1650">
      <c r="A1650" s="140" t="s">
        <v>8179</v>
      </c>
      <c r="B1650" s="143">
        <v>6.90222E12</v>
      </c>
      <c r="C1650" s="140" t="s">
        <v>8375</v>
      </c>
      <c r="D1650" s="140" t="s">
        <v>6601</v>
      </c>
      <c r="E1650" s="140" t="s">
        <v>526</v>
      </c>
      <c r="F1650" s="140" t="s">
        <v>527</v>
      </c>
      <c r="G1650" s="141" t="s">
        <v>6401</v>
      </c>
      <c r="H1650" s="140" t="s">
        <v>6312</v>
      </c>
      <c r="I1650" s="140" t="s">
        <v>6313</v>
      </c>
      <c r="J1650" s="140" t="s">
        <v>6314</v>
      </c>
      <c r="K1650" s="140" t="s">
        <v>7088</v>
      </c>
    </row>
    <row r="1651">
      <c r="A1651" s="140" t="s">
        <v>8179</v>
      </c>
      <c r="B1651" s="143">
        <v>6.90222E12</v>
      </c>
      <c r="C1651" s="140" t="s">
        <v>8376</v>
      </c>
      <c r="D1651" s="140" t="s">
        <v>6601</v>
      </c>
      <c r="E1651" s="140" t="s">
        <v>526</v>
      </c>
      <c r="F1651" s="140" t="s">
        <v>527</v>
      </c>
      <c r="G1651" s="141" t="s">
        <v>6401</v>
      </c>
      <c r="H1651" s="140" t="s">
        <v>6312</v>
      </c>
      <c r="I1651" s="140" t="s">
        <v>6313</v>
      </c>
      <c r="J1651" s="140" t="s">
        <v>6314</v>
      </c>
      <c r="K1651" s="140" t="s">
        <v>7088</v>
      </c>
    </row>
    <row r="1652">
      <c r="A1652" s="140" t="s">
        <v>8179</v>
      </c>
      <c r="B1652" s="143">
        <v>6.90222E12</v>
      </c>
      <c r="C1652" s="140" t="s">
        <v>8377</v>
      </c>
      <c r="D1652" s="140" t="s">
        <v>6601</v>
      </c>
      <c r="E1652" s="140" t="s">
        <v>526</v>
      </c>
      <c r="F1652" s="140" t="s">
        <v>527</v>
      </c>
      <c r="G1652" s="141" t="s">
        <v>6401</v>
      </c>
      <c r="H1652" s="140" t="s">
        <v>6312</v>
      </c>
      <c r="I1652" s="140" t="s">
        <v>6313</v>
      </c>
      <c r="J1652" s="140" t="s">
        <v>6314</v>
      </c>
      <c r="K1652" s="140" t="s">
        <v>7088</v>
      </c>
    </row>
    <row r="1653">
      <c r="A1653" s="140" t="s">
        <v>8179</v>
      </c>
      <c r="B1653" s="143">
        <v>6.90222E12</v>
      </c>
      <c r="C1653" s="140" t="s">
        <v>8378</v>
      </c>
      <c r="D1653" s="140" t="s">
        <v>6601</v>
      </c>
      <c r="E1653" s="140" t="s">
        <v>526</v>
      </c>
      <c r="F1653" s="140" t="s">
        <v>527</v>
      </c>
      <c r="G1653" s="141" t="s">
        <v>6668</v>
      </c>
      <c r="H1653" s="140" t="s">
        <v>6312</v>
      </c>
      <c r="I1653" s="140" t="s">
        <v>6313</v>
      </c>
      <c r="J1653" s="140" t="s">
        <v>6314</v>
      </c>
      <c r="K1653" s="140" t="s">
        <v>7088</v>
      </c>
    </row>
    <row r="1654">
      <c r="A1654" s="140" t="s">
        <v>8179</v>
      </c>
      <c r="B1654" s="143">
        <v>6.90222E12</v>
      </c>
      <c r="C1654" s="140" t="s">
        <v>8379</v>
      </c>
      <c r="D1654" s="140" t="s">
        <v>6601</v>
      </c>
      <c r="E1654" s="140" t="s">
        <v>526</v>
      </c>
      <c r="F1654" s="140" t="s">
        <v>7105</v>
      </c>
      <c r="G1654" s="141" t="s">
        <v>6401</v>
      </c>
      <c r="H1654" s="140" t="s">
        <v>6312</v>
      </c>
      <c r="I1654" s="140" t="s">
        <v>6313</v>
      </c>
      <c r="J1654" s="140" t="s">
        <v>6314</v>
      </c>
      <c r="K1654" s="140" t="s">
        <v>7088</v>
      </c>
    </row>
    <row r="1655">
      <c r="A1655" s="140" t="s">
        <v>8179</v>
      </c>
      <c r="B1655" s="143">
        <v>6.90222E12</v>
      </c>
      <c r="C1655" s="140" t="s">
        <v>8380</v>
      </c>
      <c r="D1655" s="140" t="s">
        <v>6601</v>
      </c>
      <c r="E1655" s="140" t="s">
        <v>526</v>
      </c>
      <c r="F1655" s="140" t="s">
        <v>7105</v>
      </c>
      <c r="G1655" s="141" t="s">
        <v>6401</v>
      </c>
      <c r="H1655" s="140" t="s">
        <v>6312</v>
      </c>
      <c r="I1655" s="140" t="s">
        <v>6313</v>
      </c>
      <c r="J1655" s="140" t="s">
        <v>6314</v>
      </c>
      <c r="K1655" s="140" t="s">
        <v>7088</v>
      </c>
    </row>
    <row r="1656">
      <c r="A1656" s="140" t="s">
        <v>8179</v>
      </c>
      <c r="B1656" s="143">
        <v>6.90222E12</v>
      </c>
      <c r="C1656" s="140" t="s">
        <v>8381</v>
      </c>
      <c r="D1656" s="140" t="s">
        <v>6601</v>
      </c>
      <c r="E1656" s="140" t="s">
        <v>526</v>
      </c>
      <c r="F1656" s="140" t="s">
        <v>7105</v>
      </c>
      <c r="G1656" s="141" t="s">
        <v>6401</v>
      </c>
      <c r="H1656" s="140" t="s">
        <v>6312</v>
      </c>
      <c r="I1656" s="140" t="s">
        <v>6313</v>
      </c>
      <c r="J1656" s="140" t="s">
        <v>6314</v>
      </c>
      <c r="K1656" s="140" t="s">
        <v>7088</v>
      </c>
    </row>
    <row r="1657">
      <c r="A1657" s="140" t="s">
        <v>8179</v>
      </c>
      <c r="B1657" s="143">
        <v>6.90222E12</v>
      </c>
      <c r="C1657" s="140" t="s">
        <v>8382</v>
      </c>
      <c r="D1657" s="140" t="s">
        <v>6601</v>
      </c>
      <c r="E1657" s="140" t="s">
        <v>526</v>
      </c>
      <c r="F1657" s="140" t="s">
        <v>7105</v>
      </c>
      <c r="G1657" s="141" t="s">
        <v>6401</v>
      </c>
      <c r="H1657" s="140" t="s">
        <v>6312</v>
      </c>
      <c r="I1657" s="140" t="s">
        <v>6313</v>
      </c>
      <c r="J1657" s="140" t="s">
        <v>6314</v>
      </c>
      <c r="K1657" s="140" t="s">
        <v>7088</v>
      </c>
    </row>
    <row r="1658">
      <c r="A1658" s="140" t="s">
        <v>8179</v>
      </c>
      <c r="B1658" s="143">
        <v>6.90222E12</v>
      </c>
      <c r="C1658" s="140" t="s">
        <v>8383</v>
      </c>
      <c r="D1658" s="140" t="s">
        <v>6601</v>
      </c>
      <c r="E1658" s="140" t="s">
        <v>526</v>
      </c>
      <c r="F1658" s="140" t="s">
        <v>7105</v>
      </c>
      <c r="G1658" s="141" t="s">
        <v>6401</v>
      </c>
      <c r="H1658" s="140" t="s">
        <v>6312</v>
      </c>
      <c r="I1658" s="140" t="s">
        <v>6313</v>
      </c>
      <c r="J1658" s="140" t="s">
        <v>6314</v>
      </c>
      <c r="K1658" s="140" t="s">
        <v>7088</v>
      </c>
    </row>
    <row r="1659">
      <c r="A1659" s="140" t="s">
        <v>8179</v>
      </c>
      <c r="B1659" s="143">
        <v>6.90222E12</v>
      </c>
      <c r="C1659" s="140" t="s">
        <v>8384</v>
      </c>
      <c r="D1659" s="140" t="s">
        <v>6601</v>
      </c>
      <c r="E1659" s="140" t="s">
        <v>526</v>
      </c>
      <c r="F1659" s="140" t="s">
        <v>7105</v>
      </c>
      <c r="G1659" s="141" t="s">
        <v>6401</v>
      </c>
      <c r="H1659" s="140" t="s">
        <v>6312</v>
      </c>
      <c r="I1659" s="140" t="s">
        <v>6313</v>
      </c>
      <c r="J1659" s="140" t="s">
        <v>6314</v>
      </c>
      <c r="K1659" s="140" t="s">
        <v>7088</v>
      </c>
    </row>
    <row r="1660">
      <c r="A1660" s="140" t="s">
        <v>8179</v>
      </c>
      <c r="B1660" s="143">
        <v>6.90222E12</v>
      </c>
      <c r="C1660" s="140" t="s">
        <v>8385</v>
      </c>
      <c r="D1660" s="140" t="s">
        <v>6601</v>
      </c>
      <c r="E1660" s="140" t="s">
        <v>526</v>
      </c>
      <c r="F1660" s="140" t="s">
        <v>7105</v>
      </c>
      <c r="G1660" s="141" t="s">
        <v>6401</v>
      </c>
      <c r="H1660" s="140" t="s">
        <v>6312</v>
      </c>
      <c r="I1660" s="140" t="s">
        <v>6313</v>
      </c>
      <c r="J1660" s="140" t="s">
        <v>6314</v>
      </c>
      <c r="K1660" s="140" t="s">
        <v>7088</v>
      </c>
    </row>
    <row r="1661">
      <c r="A1661" s="140" t="s">
        <v>8179</v>
      </c>
      <c r="B1661" s="143">
        <v>6.90222E12</v>
      </c>
      <c r="C1661" s="140" t="s">
        <v>8386</v>
      </c>
      <c r="D1661" s="140" t="s">
        <v>6601</v>
      </c>
      <c r="E1661" s="140" t="s">
        <v>526</v>
      </c>
      <c r="F1661" s="140" t="s">
        <v>7105</v>
      </c>
      <c r="G1661" s="141" t="s">
        <v>6401</v>
      </c>
      <c r="H1661" s="140" t="s">
        <v>6312</v>
      </c>
      <c r="I1661" s="140" t="s">
        <v>6313</v>
      </c>
      <c r="J1661" s="140" t="s">
        <v>6314</v>
      </c>
      <c r="K1661" s="140" t="s">
        <v>7088</v>
      </c>
    </row>
    <row r="1662">
      <c r="A1662" s="140" t="s">
        <v>8179</v>
      </c>
      <c r="B1662" s="143">
        <v>6.90222E12</v>
      </c>
      <c r="C1662" s="140" t="s">
        <v>8387</v>
      </c>
      <c r="D1662" s="140" t="s">
        <v>6601</v>
      </c>
      <c r="E1662" s="140" t="s">
        <v>526</v>
      </c>
      <c r="F1662" s="140" t="s">
        <v>7105</v>
      </c>
      <c r="G1662" s="141" t="s">
        <v>6401</v>
      </c>
      <c r="H1662" s="140" t="s">
        <v>6312</v>
      </c>
      <c r="I1662" s="140" t="s">
        <v>6313</v>
      </c>
      <c r="J1662" s="140" t="s">
        <v>6314</v>
      </c>
      <c r="K1662" s="140" t="s">
        <v>7088</v>
      </c>
    </row>
    <row r="1663">
      <c r="A1663" s="140" t="s">
        <v>8179</v>
      </c>
      <c r="B1663" s="143">
        <v>6.90222E12</v>
      </c>
      <c r="C1663" s="140" t="s">
        <v>8388</v>
      </c>
      <c r="D1663" s="140" t="s">
        <v>6601</v>
      </c>
      <c r="E1663" s="140" t="s">
        <v>526</v>
      </c>
      <c r="F1663" s="140" t="s">
        <v>7105</v>
      </c>
      <c r="G1663" s="141" t="s">
        <v>6401</v>
      </c>
      <c r="H1663" s="140" t="s">
        <v>6312</v>
      </c>
      <c r="I1663" s="140" t="s">
        <v>6313</v>
      </c>
      <c r="J1663" s="140" t="s">
        <v>6314</v>
      </c>
      <c r="K1663" s="140" t="s">
        <v>7088</v>
      </c>
    </row>
    <row r="1664">
      <c r="A1664" s="140" t="s">
        <v>8179</v>
      </c>
      <c r="B1664" s="143">
        <v>6.90222E12</v>
      </c>
      <c r="C1664" s="140" t="s">
        <v>8389</v>
      </c>
      <c r="D1664" s="140" t="s">
        <v>6601</v>
      </c>
      <c r="E1664" s="140" t="s">
        <v>526</v>
      </c>
      <c r="F1664" s="140" t="s">
        <v>7105</v>
      </c>
      <c r="G1664" s="141" t="s">
        <v>6401</v>
      </c>
      <c r="H1664" s="140" t="s">
        <v>6312</v>
      </c>
      <c r="I1664" s="140" t="s">
        <v>6313</v>
      </c>
      <c r="J1664" s="140" t="s">
        <v>6314</v>
      </c>
      <c r="K1664" s="140" t="s">
        <v>7088</v>
      </c>
    </row>
    <row r="1665">
      <c r="A1665" s="140" t="s">
        <v>8179</v>
      </c>
      <c r="B1665" s="140">
        <v>2.213060878E10</v>
      </c>
      <c r="C1665" s="140" t="s">
        <v>8390</v>
      </c>
      <c r="D1665" s="140" t="s">
        <v>6601</v>
      </c>
      <c r="E1665" s="140" t="s">
        <v>526</v>
      </c>
      <c r="F1665" s="140" t="s">
        <v>7105</v>
      </c>
      <c r="G1665" s="141" t="s">
        <v>6742</v>
      </c>
      <c r="H1665" s="140" t="s">
        <v>6312</v>
      </c>
      <c r="I1665" s="140" t="s">
        <v>6313</v>
      </c>
      <c r="J1665" s="140" t="s">
        <v>6314</v>
      </c>
      <c r="K1665" s="140" t="s">
        <v>7088</v>
      </c>
    </row>
    <row r="1666">
      <c r="A1666" s="140" t="s">
        <v>8179</v>
      </c>
      <c r="B1666" s="143">
        <v>6.90222E12</v>
      </c>
      <c r="C1666" s="140" t="s">
        <v>8391</v>
      </c>
      <c r="D1666" s="140" t="s">
        <v>6601</v>
      </c>
      <c r="E1666" s="140" t="s">
        <v>526</v>
      </c>
      <c r="F1666" s="140" t="s">
        <v>7105</v>
      </c>
      <c r="G1666" s="141" t="s">
        <v>6668</v>
      </c>
      <c r="H1666" s="140" t="s">
        <v>6312</v>
      </c>
      <c r="I1666" s="140" t="s">
        <v>6313</v>
      </c>
      <c r="J1666" s="140" t="s">
        <v>6314</v>
      </c>
      <c r="K1666" s="140" t="s">
        <v>7088</v>
      </c>
    </row>
    <row r="1667">
      <c r="A1667" s="140" t="s">
        <v>8179</v>
      </c>
      <c r="B1667" s="143">
        <v>6.90222E12</v>
      </c>
      <c r="C1667" s="140" t="s">
        <v>8392</v>
      </c>
      <c r="D1667" s="140" t="s">
        <v>6601</v>
      </c>
      <c r="E1667" s="140" t="s">
        <v>526</v>
      </c>
      <c r="F1667" s="140" t="s">
        <v>7105</v>
      </c>
      <c r="G1667" s="141" t="s">
        <v>6401</v>
      </c>
      <c r="H1667" s="140" t="s">
        <v>6312</v>
      </c>
      <c r="I1667" s="140" t="s">
        <v>6313</v>
      </c>
      <c r="J1667" s="140" t="s">
        <v>6314</v>
      </c>
      <c r="K1667" s="140" t="s">
        <v>7088</v>
      </c>
    </row>
    <row r="1668">
      <c r="A1668" s="140" t="s">
        <v>8179</v>
      </c>
      <c r="B1668" s="140">
        <v>2.2130608777E10</v>
      </c>
      <c r="C1668" s="140" t="s">
        <v>8393</v>
      </c>
      <c r="D1668" s="140" t="s">
        <v>6601</v>
      </c>
      <c r="E1668" s="140" t="s">
        <v>526</v>
      </c>
      <c r="F1668" s="140" t="s">
        <v>7105</v>
      </c>
      <c r="G1668" s="141" t="s">
        <v>6401</v>
      </c>
      <c r="H1668" s="140" t="s">
        <v>6312</v>
      </c>
      <c r="I1668" s="140" t="s">
        <v>6313</v>
      </c>
      <c r="J1668" s="140" t="s">
        <v>6314</v>
      </c>
      <c r="K1668" s="140" t="s">
        <v>7088</v>
      </c>
    </row>
    <row r="1669">
      <c r="A1669" s="140" t="s">
        <v>8179</v>
      </c>
      <c r="B1669" s="140">
        <v>2.2130608785E10</v>
      </c>
      <c r="C1669" s="140" t="s">
        <v>8394</v>
      </c>
      <c r="D1669" s="140" t="s">
        <v>6601</v>
      </c>
      <c r="E1669" s="140" t="s">
        <v>526</v>
      </c>
      <c r="F1669" s="140" t="s">
        <v>7105</v>
      </c>
      <c r="G1669" s="141" t="s">
        <v>6401</v>
      </c>
      <c r="H1669" s="140" t="s">
        <v>6312</v>
      </c>
      <c r="I1669" s="140" t="s">
        <v>6313</v>
      </c>
      <c r="J1669" s="140" t="s">
        <v>6314</v>
      </c>
      <c r="K1669" s="140" t="s">
        <v>7088</v>
      </c>
    </row>
    <row r="1670">
      <c r="A1670" s="140" t="s">
        <v>8179</v>
      </c>
      <c r="B1670" s="140">
        <v>2.2130608779E10</v>
      </c>
      <c r="C1670" s="140" t="s">
        <v>8395</v>
      </c>
      <c r="D1670" s="140" t="s">
        <v>6601</v>
      </c>
      <c r="E1670" s="140" t="s">
        <v>526</v>
      </c>
      <c r="F1670" s="140" t="s">
        <v>7105</v>
      </c>
      <c r="G1670" s="141" t="s">
        <v>6401</v>
      </c>
      <c r="H1670" s="140" t="s">
        <v>6312</v>
      </c>
      <c r="I1670" s="140" t="s">
        <v>6313</v>
      </c>
      <c r="J1670" s="140" t="s">
        <v>6314</v>
      </c>
      <c r="K1670" s="140" t="s">
        <v>7088</v>
      </c>
    </row>
    <row r="1671">
      <c r="A1671" s="140" t="s">
        <v>8179</v>
      </c>
      <c r="B1671" s="143">
        <v>6.90222E12</v>
      </c>
      <c r="C1671" s="140" t="s">
        <v>8396</v>
      </c>
      <c r="D1671" s="140" t="s">
        <v>6601</v>
      </c>
      <c r="E1671" s="140" t="s">
        <v>526</v>
      </c>
      <c r="F1671" s="140" t="s">
        <v>7105</v>
      </c>
      <c r="G1671" s="141" t="s">
        <v>6401</v>
      </c>
      <c r="H1671" s="140" t="s">
        <v>6312</v>
      </c>
      <c r="I1671" s="140" t="s">
        <v>6313</v>
      </c>
      <c r="J1671" s="140" t="s">
        <v>6314</v>
      </c>
      <c r="K1671" s="140" t="s">
        <v>7088</v>
      </c>
    </row>
    <row r="1672">
      <c r="A1672" s="140" t="s">
        <v>8179</v>
      </c>
      <c r="B1672" s="140">
        <v>2.2130608787E10</v>
      </c>
      <c r="C1672" s="140" t="s">
        <v>8397</v>
      </c>
      <c r="D1672" s="140" t="s">
        <v>6601</v>
      </c>
      <c r="E1672" s="140" t="s">
        <v>526</v>
      </c>
      <c r="F1672" s="140" t="s">
        <v>7105</v>
      </c>
      <c r="G1672" s="141" t="s">
        <v>6401</v>
      </c>
      <c r="H1672" s="140" t="s">
        <v>6312</v>
      </c>
      <c r="I1672" s="140" t="s">
        <v>6313</v>
      </c>
      <c r="J1672" s="140" t="s">
        <v>6314</v>
      </c>
      <c r="K1672" s="140" t="s">
        <v>7088</v>
      </c>
    </row>
    <row r="1673">
      <c r="A1673" s="140" t="s">
        <v>8179</v>
      </c>
      <c r="B1673" s="143">
        <v>6.90222E12</v>
      </c>
      <c r="C1673" s="140" t="s">
        <v>8398</v>
      </c>
      <c r="D1673" s="140" t="s">
        <v>6601</v>
      </c>
      <c r="E1673" s="140" t="s">
        <v>526</v>
      </c>
      <c r="F1673" s="140" t="s">
        <v>7105</v>
      </c>
      <c r="G1673" s="141" t="s">
        <v>6401</v>
      </c>
      <c r="H1673" s="140" t="s">
        <v>6312</v>
      </c>
      <c r="I1673" s="140" t="s">
        <v>6313</v>
      </c>
      <c r="J1673" s="140" t="s">
        <v>6314</v>
      </c>
      <c r="K1673" s="140" t="s">
        <v>7088</v>
      </c>
    </row>
    <row r="1674">
      <c r="A1674" s="140" t="s">
        <v>8179</v>
      </c>
      <c r="B1674" s="143">
        <v>6.90222E12</v>
      </c>
      <c r="C1674" s="140" t="s">
        <v>8399</v>
      </c>
      <c r="D1674" s="140" t="s">
        <v>6601</v>
      </c>
      <c r="E1674" s="140" t="s">
        <v>526</v>
      </c>
      <c r="F1674" s="140" t="s">
        <v>7105</v>
      </c>
      <c r="G1674" s="141" t="s">
        <v>6401</v>
      </c>
      <c r="H1674" s="140" t="s">
        <v>6312</v>
      </c>
      <c r="I1674" s="140" t="s">
        <v>6313</v>
      </c>
      <c r="J1674" s="140" t="s">
        <v>6314</v>
      </c>
      <c r="K1674" s="140" t="s">
        <v>7088</v>
      </c>
    </row>
    <row r="1675">
      <c r="A1675" s="140" t="s">
        <v>8179</v>
      </c>
      <c r="B1675" s="143">
        <v>6.90222E12</v>
      </c>
      <c r="C1675" s="140" t="s">
        <v>8400</v>
      </c>
      <c r="D1675" s="140" t="s">
        <v>6601</v>
      </c>
      <c r="E1675" s="140" t="s">
        <v>526</v>
      </c>
      <c r="F1675" s="140" t="s">
        <v>7105</v>
      </c>
      <c r="G1675" s="141" t="s">
        <v>6401</v>
      </c>
      <c r="H1675" s="140" t="s">
        <v>6312</v>
      </c>
      <c r="I1675" s="140" t="s">
        <v>6313</v>
      </c>
      <c r="J1675" s="140" t="s">
        <v>6314</v>
      </c>
      <c r="K1675" s="140" t="s">
        <v>7088</v>
      </c>
    </row>
    <row r="1676">
      <c r="A1676" s="140" t="s">
        <v>8179</v>
      </c>
      <c r="B1676" s="143">
        <v>6.90222E12</v>
      </c>
      <c r="C1676" s="140" t="s">
        <v>8401</v>
      </c>
      <c r="D1676" s="140" t="s">
        <v>6601</v>
      </c>
      <c r="E1676" s="140" t="s">
        <v>526</v>
      </c>
      <c r="F1676" s="140" t="s">
        <v>7105</v>
      </c>
      <c r="G1676" s="141" t="s">
        <v>6401</v>
      </c>
      <c r="H1676" s="140" t="s">
        <v>6312</v>
      </c>
      <c r="I1676" s="140" t="s">
        <v>6313</v>
      </c>
      <c r="J1676" s="140" t="s">
        <v>6314</v>
      </c>
      <c r="K1676" s="140" t="s">
        <v>7088</v>
      </c>
    </row>
    <row r="1677">
      <c r="A1677" s="140" t="s">
        <v>8179</v>
      </c>
      <c r="B1677" s="140">
        <v>2.2130608612E10</v>
      </c>
      <c r="C1677" s="140" t="s">
        <v>8402</v>
      </c>
      <c r="D1677" s="140" t="s">
        <v>6601</v>
      </c>
      <c r="E1677" s="140" t="s">
        <v>526</v>
      </c>
      <c r="F1677" s="140" t="s">
        <v>7105</v>
      </c>
      <c r="G1677" s="141" t="s">
        <v>6401</v>
      </c>
      <c r="H1677" s="140" t="s">
        <v>6312</v>
      </c>
      <c r="I1677" s="140" t="s">
        <v>6313</v>
      </c>
      <c r="J1677" s="140" t="s">
        <v>6314</v>
      </c>
      <c r="K1677" s="140" t="s">
        <v>7088</v>
      </c>
    </row>
    <row r="1678">
      <c r="A1678" s="140" t="s">
        <v>8179</v>
      </c>
      <c r="B1678" s="143">
        <v>6.90222E12</v>
      </c>
      <c r="C1678" s="140" t="s">
        <v>8403</v>
      </c>
      <c r="D1678" s="140" t="s">
        <v>6601</v>
      </c>
      <c r="E1678" s="140" t="s">
        <v>526</v>
      </c>
      <c r="F1678" s="140" t="s">
        <v>7105</v>
      </c>
      <c r="G1678" s="141" t="s">
        <v>6401</v>
      </c>
      <c r="H1678" s="140" t="s">
        <v>6312</v>
      </c>
      <c r="I1678" s="140" t="s">
        <v>6313</v>
      </c>
      <c r="J1678" s="140" t="s">
        <v>6314</v>
      </c>
      <c r="K1678" s="140" t="s">
        <v>7088</v>
      </c>
    </row>
    <row r="1679">
      <c r="A1679" s="140" t="s">
        <v>8179</v>
      </c>
      <c r="B1679" s="143">
        <v>6.90222E12</v>
      </c>
      <c r="C1679" s="140" t="s">
        <v>8404</v>
      </c>
      <c r="D1679" s="140" t="s">
        <v>6601</v>
      </c>
      <c r="E1679" s="140" t="s">
        <v>526</v>
      </c>
      <c r="F1679" s="140" t="s">
        <v>7105</v>
      </c>
      <c r="G1679" s="141" t="s">
        <v>6401</v>
      </c>
      <c r="H1679" s="140" t="s">
        <v>6312</v>
      </c>
      <c r="I1679" s="140" t="s">
        <v>6313</v>
      </c>
      <c r="J1679" s="140" t="s">
        <v>6314</v>
      </c>
      <c r="K1679" s="140" t="s">
        <v>7088</v>
      </c>
    </row>
    <row r="1680">
      <c r="A1680" s="140" t="s">
        <v>8179</v>
      </c>
      <c r="B1680" s="140">
        <v>2.2130608615E10</v>
      </c>
      <c r="C1680" s="140" t="s">
        <v>8405</v>
      </c>
      <c r="D1680" s="140" t="s">
        <v>6601</v>
      </c>
      <c r="E1680" s="140" t="s">
        <v>526</v>
      </c>
      <c r="F1680" s="140" t="s">
        <v>7105</v>
      </c>
      <c r="G1680" s="141" t="s">
        <v>6401</v>
      </c>
      <c r="H1680" s="140" t="s">
        <v>6312</v>
      </c>
      <c r="I1680" s="140" t="s">
        <v>6313</v>
      </c>
      <c r="J1680" s="140" t="s">
        <v>6314</v>
      </c>
      <c r="K1680" s="140" t="s">
        <v>7088</v>
      </c>
    </row>
    <row r="1681">
      <c r="A1681" s="140" t="s">
        <v>8179</v>
      </c>
      <c r="B1681" s="143">
        <v>6.90222E12</v>
      </c>
      <c r="C1681" s="140" t="s">
        <v>8406</v>
      </c>
      <c r="D1681" s="140" t="s">
        <v>6601</v>
      </c>
      <c r="E1681" s="140" t="s">
        <v>526</v>
      </c>
      <c r="F1681" s="140" t="s">
        <v>7105</v>
      </c>
      <c r="G1681" s="141" t="s">
        <v>6401</v>
      </c>
      <c r="H1681" s="140" t="s">
        <v>6312</v>
      </c>
      <c r="I1681" s="140" t="s">
        <v>6313</v>
      </c>
      <c r="J1681" s="140" t="s">
        <v>6314</v>
      </c>
      <c r="K1681" s="140" t="s">
        <v>7088</v>
      </c>
    </row>
    <row r="1682">
      <c r="A1682" s="140" t="s">
        <v>8179</v>
      </c>
      <c r="B1682" s="143">
        <v>6.90222E12</v>
      </c>
      <c r="C1682" s="140" t="s">
        <v>8407</v>
      </c>
      <c r="D1682" s="140" t="s">
        <v>6601</v>
      </c>
      <c r="E1682" s="140" t="s">
        <v>526</v>
      </c>
      <c r="F1682" s="140" t="s">
        <v>7105</v>
      </c>
      <c r="G1682" s="141" t="s">
        <v>6401</v>
      </c>
      <c r="H1682" s="140" t="s">
        <v>6312</v>
      </c>
      <c r="I1682" s="140" t="s">
        <v>6313</v>
      </c>
      <c r="J1682" s="140" t="s">
        <v>6314</v>
      </c>
      <c r="K1682" s="140" t="s">
        <v>7088</v>
      </c>
    </row>
    <row r="1683">
      <c r="A1683" s="140" t="s">
        <v>8179</v>
      </c>
      <c r="B1683" s="143">
        <v>6.90222E12</v>
      </c>
      <c r="C1683" s="140" t="s">
        <v>8408</v>
      </c>
      <c r="D1683" s="140" t="s">
        <v>6601</v>
      </c>
      <c r="E1683" s="140" t="s">
        <v>526</v>
      </c>
      <c r="F1683" s="140" t="s">
        <v>7105</v>
      </c>
      <c r="G1683" s="141" t="s">
        <v>6401</v>
      </c>
      <c r="H1683" s="140" t="s">
        <v>6312</v>
      </c>
      <c r="I1683" s="140" t="s">
        <v>6313</v>
      </c>
      <c r="J1683" s="140" t="s">
        <v>6314</v>
      </c>
      <c r="K1683" s="140" t="s">
        <v>7088</v>
      </c>
    </row>
    <row r="1684">
      <c r="A1684" s="140" t="s">
        <v>8179</v>
      </c>
      <c r="B1684" s="143">
        <v>6.90222E12</v>
      </c>
      <c r="C1684" s="140" t="s">
        <v>8409</v>
      </c>
      <c r="D1684" s="140" t="s">
        <v>6601</v>
      </c>
      <c r="E1684" s="140" t="s">
        <v>526</v>
      </c>
      <c r="F1684" s="140" t="s">
        <v>7105</v>
      </c>
      <c r="G1684" s="141" t="s">
        <v>6401</v>
      </c>
      <c r="H1684" s="140" t="s">
        <v>6312</v>
      </c>
      <c r="I1684" s="140" t="s">
        <v>6313</v>
      </c>
      <c r="J1684" s="140" t="s">
        <v>6314</v>
      </c>
      <c r="K1684" s="140" t="s">
        <v>7088</v>
      </c>
    </row>
    <row r="1685">
      <c r="A1685" s="140" t="s">
        <v>8179</v>
      </c>
      <c r="B1685" s="143">
        <v>6.90222E12</v>
      </c>
      <c r="C1685" s="140" t="s">
        <v>8410</v>
      </c>
      <c r="D1685" s="140" t="s">
        <v>6601</v>
      </c>
      <c r="E1685" s="140" t="s">
        <v>526</v>
      </c>
      <c r="F1685" s="140" t="s">
        <v>7105</v>
      </c>
      <c r="G1685" s="141" t="s">
        <v>6401</v>
      </c>
      <c r="H1685" s="140" t="s">
        <v>6312</v>
      </c>
      <c r="I1685" s="140" t="s">
        <v>6313</v>
      </c>
      <c r="J1685" s="140" t="s">
        <v>6314</v>
      </c>
      <c r="K1685" s="140" t="s">
        <v>7088</v>
      </c>
    </row>
    <row r="1686">
      <c r="A1686" s="140" t="s">
        <v>8179</v>
      </c>
      <c r="B1686" s="143">
        <v>6.90222E12</v>
      </c>
      <c r="C1686" s="140" t="s">
        <v>8411</v>
      </c>
      <c r="D1686" s="140" t="s">
        <v>6601</v>
      </c>
      <c r="E1686" s="140" t="s">
        <v>526</v>
      </c>
      <c r="F1686" s="140" t="s">
        <v>7105</v>
      </c>
      <c r="G1686" s="141" t="s">
        <v>6401</v>
      </c>
      <c r="H1686" s="140" t="s">
        <v>6312</v>
      </c>
      <c r="I1686" s="140" t="s">
        <v>6313</v>
      </c>
      <c r="J1686" s="140" t="s">
        <v>6314</v>
      </c>
      <c r="K1686" s="140" t="s">
        <v>7088</v>
      </c>
    </row>
    <row r="1687">
      <c r="A1687" s="140" t="s">
        <v>8179</v>
      </c>
      <c r="B1687" s="143">
        <v>6.90222E12</v>
      </c>
      <c r="C1687" s="140" t="s">
        <v>8412</v>
      </c>
      <c r="D1687" s="140" t="s">
        <v>6601</v>
      </c>
      <c r="E1687" s="140" t="s">
        <v>526</v>
      </c>
      <c r="F1687" s="140" t="s">
        <v>7105</v>
      </c>
      <c r="G1687" s="141" t="s">
        <v>6401</v>
      </c>
      <c r="H1687" s="140" t="s">
        <v>6312</v>
      </c>
      <c r="I1687" s="140" t="s">
        <v>6313</v>
      </c>
      <c r="J1687" s="140" t="s">
        <v>6314</v>
      </c>
      <c r="K1687" s="140" t="s">
        <v>7088</v>
      </c>
    </row>
    <row r="1688">
      <c r="A1688" s="140" t="s">
        <v>8179</v>
      </c>
      <c r="B1688" s="143">
        <v>6.90222E12</v>
      </c>
      <c r="C1688" s="140" t="s">
        <v>8413</v>
      </c>
      <c r="D1688" s="140" t="s">
        <v>6601</v>
      </c>
      <c r="E1688" s="140" t="s">
        <v>526</v>
      </c>
      <c r="F1688" s="140" t="s">
        <v>7105</v>
      </c>
      <c r="G1688" s="141" t="s">
        <v>6401</v>
      </c>
      <c r="H1688" s="140" t="s">
        <v>6312</v>
      </c>
      <c r="I1688" s="140" t="s">
        <v>6313</v>
      </c>
      <c r="J1688" s="140" t="s">
        <v>6314</v>
      </c>
      <c r="K1688" s="140" t="s">
        <v>7088</v>
      </c>
    </row>
    <row r="1689">
      <c r="A1689" s="140" t="s">
        <v>8179</v>
      </c>
      <c r="B1689" s="143">
        <v>6.90222E12</v>
      </c>
      <c r="C1689" s="140" t="s">
        <v>8414</v>
      </c>
      <c r="D1689" s="140" t="s">
        <v>6601</v>
      </c>
      <c r="E1689" s="140" t="s">
        <v>526</v>
      </c>
      <c r="F1689" s="140" t="s">
        <v>7105</v>
      </c>
      <c r="G1689" s="141" t="s">
        <v>6401</v>
      </c>
      <c r="H1689" s="140" t="s">
        <v>6312</v>
      </c>
      <c r="I1689" s="140" t="s">
        <v>6313</v>
      </c>
      <c r="J1689" s="140" t="s">
        <v>6314</v>
      </c>
      <c r="K1689" s="140" t="s">
        <v>7088</v>
      </c>
    </row>
    <row r="1690">
      <c r="A1690" s="140" t="s">
        <v>8179</v>
      </c>
      <c r="B1690" s="143">
        <v>6.90222E12</v>
      </c>
      <c r="C1690" s="140" t="s">
        <v>8415</v>
      </c>
      <c r="D1690" s="140" t="s">
        <v>6601</v>
      </c>
      <c r="E1690" s="140" t="s">
        <v>526</v>
      </c>
      <c r="F1690" s="140" t="s">
        <v>7105</v>
      </c>
      <c r="G1690" s="141" t="s">
        <v>6401</v>
      </c>
      <c r="H1690" s="140" t="s">
        <v>6312</v>
      </c>
      <c r="I1690" s="140" t="s">
        <v>6313</v>
      </c>
      <c r="J1690" s="140" t="s">
        <v>6314</v>
      </c>
      <c r="K1690" s="140" t="s">
        <v>7088</v>
      </c>
    </row>
    <row r="1691">
      <c r="A1691" s="140" t="s">
        <v>8179</v>
      </c>
      <c r="B1691" s="143">
        <v>6.90222E12</v>
      </c>
      <c r="C1691" s="140" t="s">
        <v>8416</v>
      </c>
      <c r="D1691" s="140" t="s">
        <v>6601</v>
      </c>
      <c r="E1691" s="140" t="s">
        <v>526</v>
      </c>
      <c r="F1691" s="140" t="s">
        <v>7105</v>
      </c>
      <c r="G1691" s="141" t="s">
        <v>6401</v>
      </c>
      <c r="H1691" s="140" t="s">
        <v>6312</v>
      </c>
      <c r="I1691" s="140" t="s">
        <v>6313</v>
      </c>
      <c r="J1691" s="140" t="s">
        <v>6314</v>
      </c>
      <c r="K1691" s="140" t="s">
        <v>7088</v>
      </c>
    </row>
    <row r="1692">
      <c r="A1692" s="140" t="s">
        <v>8179</v>
      </c>
      <c r="B1692" s="143">
        <v>6.90222E12</v>
      </c>
      <c r="C1692" s="140" t="s">
        <v>8417</v>
      </c>
      <c r="D1692" s="140" t="s">
        <v>6601</v>
      </c>
      <c r="E1692" s="140" t="s">
        <v>526</v>
      </c>
      <c r="F1692" s="140" t="s">
        <v>7105</v>
      </c>
      <c r="G1692" s="141" t="s">
        <v>6401</v>
      </c>
      <c r="H1692" s="140" t="s">
        <v>6312</v>
      </c>
      <c r="I1692" s="140" t="s">
        <v>6313</v>
      </c>
      <c r="J1692" s="140" t="s">
        <v>6314</v>
      </c>
      <c r="K1692" s="140" t="s">
        <v>7088</v>
      </c>
    </row>
    <row r="1693">
      <c r="A1693" s="140" t="s">
        <v>8179</v>
      </c>
      <c r="B1693" s="143">
        <v>6.90222E12</v>
      </c>
      <c r="C1693" s="140" t="s">
        <v>8418</v>
      </c>
      <c r="D1693" s="140" t="s">
        <v>6601</v>
      </c>
      <c r="E1693" s="140" t="s">
        <v>526</v>
      </c>
      <c r="F1693" s="140" t="s">
        <v>7105</v>
      </c>
      <c r="G1693" s="141" t="s">
        <v>6401</v>
      </c>
      <c r="H1693" s="140" t="s">
        <v>6312</v>
      </c>
      <c r="I1693" s="140" t="s">
        <v>6313</v>
      </c>
      <c r="J1693" s="140" t="s">
        <v>6314</v>
      </c>
      <c r="K1693" s="140" t="s">
        <v>7088</v>
      </c>
    </row>
    <row r="1694">
      <c r="A1694" s="140" t="s">
        <v>8179</v>
      </c>
      <c r="B1694" s="143">
        <v>6.90222E12</v>
      </c>
      <c r="C1694" s="140" t="s">
        <v>8419</v>
      </c>
      <c r="D1694" s="140" t="s">
        <v>6601</v>
      </c>
      <c r="E1694" s="140" t="s">
        <v>526</v>
      </c>
      <c r="F1694" s="140" t="s">
        <v>7105</v>
      </c>
      <c r="G1694" s="141" t="s">
        <v>6401</v>
      </c>
      <c r="H1694" s="140" t="s">
        <v>6312</v>
      </c>
      <c r="I1694" s="140" t="s">
        <v>6313</v>
      </c>
      <c r="J1694" s="140" t="s">
        <v>6314</v>
      </c>
      <c r="K1694" s="140" t="s">
        <v>7088</v>
      </c>
    </row>
    <row r="1695">
      <c r="A1695" s="140" t="s">
        <v>8179</v>
      </c>
      <c r="B1695" s="143">
        <v>6.90222E12</v>
      </c>
      <c r="C1695" s="140" t="s">
        <v>8420</v>
      </c>
      <c r="D1695" s="140" t="s">
        <v>6601</v>
      </c>
      <c r="E1695" s="140" t="s">
        <v>526</v>
      </c>
      <c r="F1695" s="140" t="s">
        <v>7105</v>
      </c>
      <c r="G1695" s="141" t="s">
        <v>6401</v>
      </c>
      <c r="H1695" s="140" t="s">
        <v>6312</v>
      </c>
      <c r="I1695" s="140" t="s">
        <v>6313</v>
      </c>
      <c r="J1695" s="140" t="s">
        <v>6314</v>
      </c>
      <c r="K1695" s="140" t="s">
        <v>7088</v>
      </c>
    </row>
    <row r="1696">
      <c r="A1696" s="140" t="s">
        <v>8179</v>
      </c>
      <c r="B1696" s="143">
        <v>2.69022E12</v>
      </c>
      <c r="C1696" s="140" t="s">
        <v>8421</v>
      </c>
      <c r="D1696" s="140" t="s">
        <v>6601</v>
      </c>
      <c r="E1696" s="140" t="s">
        <v>526</v>
      </c>
      <c r="F1696" s="140" t="s">
        <v>7105</v>
      </c>
      <c r="G1696" s="141" t="s">
        <v>6401</v>
      </c>
      <c r="H1696" s="140" t="s">
        <v>6312</v>
      </c>
      <c r="I1696" s="140" t="s">
        <v>6313</v>
      </c>
      <c r="J1696" s="140" t="s">
        <v>6314</v>
      </c>
      <c r="K1696" s="140" t="s">
        <v>7088</v>
      </c>
    </row>
    <row r="1697">
      <c r="A1697" s="140" t="s">
        <v>8179</v>
      </c>
      <c r="B1697" s="143">
        <v>6.90222E12</v>
      </c>
      <c r="C1697" s="140" t="s">
        <v>8422</v>
      </c>
      <c r="D1697" s="140" t="s">
        <v>6601</v>
      </c>
      <c r="E1697" s="140" t="s">
        <v>526</v>
      </c>
      <c r="F1697" s="140" t="s">
        <v>7105</v>
      </c>
      <c r="G1697" s="141" t="s">
        <v>6401</v>
      </c>
      <c r="H1697" s="140" t="s">
        <v>6312</v>
      </c>
      <c r="I1697" s="140" t="s">
        <v>6313</v>
      </c>
      <c r="J1697" s="140" t="s">
        <v>6314</v>
      </c>
      <c r="K1697" s="140" t="s">
        <v>7088</v>
      </c>
    </row>
    <row r="1698">
      <c r="A1698" s="140" t="s">
        <v>8179</v>
      </c>
      <c r="B1698" s="143">
        <v>2.69022E12</v>
      </c>
      <c r="C1698" s="140" t="s">
        <v>8423</v>
      </c>
      <c r="D1698" s="140" t="s">
        <v>6601</v>
      </c>
      <c r="E1698" s="140" t="s">
        <v>526</v>
      </c>
      <c r="F1698" s="140" t="s">
        <v>7105</v>
      </c>
      <c r="G1698" s="141" t="s">
        <v>6401</v>
      </c>
      <c r="H1698" s="140" t="s">
        <v>6312</v>
      </c>
      <c r="I1698" s="140" t="s">
        <v>6313</v>
      </c>
      <c r="J1698" s="140" t="s">
        <v>6314</v>
      </c>
      <c r="K1698" s="140" t="s">
        <v>7088</v>
      </c>
    </row>
    <row r="1699">
      <c r="A1699" s="140" t="s">
        <v>8179</v>
      </c>
      <c r="B1699" s="143">
        <v>6.90222E12</v>
      </c>
      <c r="C1699" s="140" t="s">
        <v>8424</v>
      </c>
      <c r="D1699" s="140" t="s">
        <v>6601</v>
      </c>
      <c r="E1699" s="140" t="s">
        <v>526</v>
      </c>
      <c r="F1699" s="140" t="s">
        <v>7105</v>
      </c>
      <c r="G1699" s="141" t="s">
        <v>6401</v>
      </c>
      <c r="H1699" s="140" t="s">
        <v>6312</v>
      </c>
      <c r="I1699" s="140" t="s">
        <v>6313</v>
      </c>
      <c r="J1699" s="140" t="s">
        <v>6314</v>
      </c>
      <c r="K1699" s="140" t="s">
        <v>7088</v>
      </c>
    </row>
    <row r="1700">
      <c r="A1700" s="140" t="s">
        <v>8179</v>
      </c>
      <c r="B1700" s="143">
        <v>6.90222E12</v>
      </c>
      <c r="C1700" s="140" t="s">
        <v>8425</v>
      </c>
      <c r="D1700" s="140" t="s">
        <v>6601</v>
      </c>
      <c r="E1700" s="140" t="s">
        <v>526</v>
      </c>
      <c r="F1700" s="140" t="s">
        <v>7105</v>
      </c>
      <c r="G1700" s="141" t="s">
        <v>6401</v>
      </c>
      <c r="H1700" s="140" t="s">
        <v>6312</v>
      </c>
      <c r="I1700" s="140" t="s">
        <v>6313</v>
      </c>
      <c r="J1700" s="140" t="s">
        <v>6314</v>
      </c>
      <c r="K1700" s="140" t="s">
        <v>7088</v>
      </c>
    </row>
    <row r="1701">
      <c r="A1701" s="140" t="s">
        <v>8179</v>
      </c>
      <c r="B1701" s="143">
        <v>6.90222E12</v>
      </c>
      <c r="C1701" s="140" t="s">
        <v>8426</v>
      </c>
      <c r="D1701" s="140" t="s">
        <v>6601</v>
      </c>
      <c r="E1701" s="140" t="s">
        <v>526</v>
      </c>
      <c r="F1701" s="140" t="s">
        <v>7105</v>
      </c>
      <c r="G1701" s="141" t="s">
        <v>6401</v>
      </c>
      <c r="H1701" s="140" t="s">
        <v>6312</v>
      </c>
      <c r="I1701" s="140" t="s">
        <v>6313</v>
      </c>
      <c r="J1701" s="140" t="s">
        <v>6314</v>
      </c>
      <c r="K1701" s="140" t="s">
        <v>7088</v>
      </c>
    </row>
    <row r="1702">
      <c r="A1702" s="140" t="s">
        <v>8179</v>
      </c>
      <c r="B1702" s="143">
        <v>6.90222E12</v>
      </c>
      <c r="C1702" s="140" t="s">
        <v>8427</v>
      </c>
      <c r="D1702" s="140" t="s">
        <v>6601</v>
      </c>
      <c r="E1702" s="140" t="s">
        <v>526</v>
      </c>
      <c r="F1702" s="140" t="s">
        <v>7105</v>
      </c>
      <c r="G1702" s="141" t="s">
        <v>6401</v>
      </c>
      <c r="H1702" s="140" t="s">
        <v>6312</v>
      </c>
      <c r="I1702" s="140" t="s">
        <v>6313</v>
      </c>
      <c r="J1702" s="140" t="s">
        <v>6314</v>
      </c>
      <c r="K1702" s="140" t="s">
        <v>7088</v>
      </c>
    </row>
    <row r="1703">
      <c r="A1703" s="140" t="s">
        <v>8179</v>
      </c>
      <c r="B1703" s="143">
        <v>6.90222E12</v>
      </c>
      <c r="C1703" s="140" t="s">
        <v>8428</v>
      </c>
      <c r="D1703" s="140" t="s">
        <v>6601</v>
      </c>
      <c r="E1703" s="140" t="s">
        <v>526</v>
      </c>
      <c r="F1703" s="140" t="s">
        <v>7105</v>
      </c>
      <c r="G1703" s="141" t="s">
        <v>6401</v>
      </c>
      <c r="H1703" s="140" t="s">
        <v>6312</v>
      </c>
      <c r="I1703" s="140" t="s">
        <v>6313</v>
      </c>
      <c r="J1703" s="140" t="s">
        <v>6314</v>
      </c>
      <c r="K1703" s="140" t="s">
        <v>7088</v>
      </c>
    </row>
    <row r="1704">
      <c r="A1704" s="140" t="s">
        <v>8179</v>
      </c>
      <c r="B1704" s="143">
        <v>6.90222E12</v>
      </c>
      <c r="C1704" s="140" t="s">
        <v>8429</v>
      </c>
      <c r="D1704" s="140" t="s">
        <v>6601</v>
      </c>
      <c r="E1704" s="140" t="s">
        <v>526</v>
      </c>
      <c r="F1704" s="140" t="s">
        <v>7105</v>
      </c>
      <c r="G1704" s="141" t="s">
        <v>6401</v>
      </c>
      <c r="H1704" s="140" t="s">
        <v>6312</v>
      </c>
      <c r="I1704" s="140" t="s">
        <v>6313</v>
      </c>
      <c r="J1704" s="140" t="s">
        <v>6314</v>
      </c>
      <c r="K1704" s="140" t="s">
        <v>7088</v>
      </c>
    </row>
    <row r="1705">
      <c r="A1705" s="140" t="s">
        <v>8179</v>
      </c>
      <c r="B1705" s="143">
        <v>6.90222E12</v>
      </c>
      <c r="C1705" s="140" t="s">
        <v>8430</v>
      </c>
      <c r="D1705" s="140" t="s">
        <v>6601</v>
      </c>
      <c r="E1705" s="140" t="s">
        <v>526</v>
      </c>
      <c r="F1705" s="140" t="s">
        <v>7105</v>
      </c>
      <c r="G1705" s="141" t="s">
        <v>6401</v>
      </c>
      <c r="H1705" s="140" t="s">
        <v>6312</v>
      </c>
      <c r="I1705" s="140" t="s">
        <v>6313</v>
      </c>
      <c r="J1705" s="140" t="s">
        <v>6314</v>
      </c>
      <c r="K1705" s="140" t="s">
        <v>7088</v>
      </c>
    </row>
    <row r="1706">
      <c r="A1706" s="140" t="s">
        <v>8179</v>
      </c>
      <c r="B1706" s="143">
        <v>6.90222E12</v>
      </c>
      <c r="C1706" s="140" t="s">
        <v>8431</v>
      </c>
      <c r="D1706" s="140" t="s">
        <v>6601</v>
      </c>
      <c r="E1706" s="140" t="s">
        <v>526</v>
      </c>
      <c r="F1706" s="140" t="s">
        <v>537</v>
      </c>
      <c r="G1706" s="141" t="s">
        <v>6401</v>
      </c>
      <c r="H1706" s="140" t="s">
        <v>6312</v>
      </c>
      <c r="I1706" s="140" t="s">
        <v>6313</v>
      </c>
      <c r="J1706" s="140" t="s">
        <v>6314</v>
      </c>
      <c r="K1706" s="140" t="s">
        <v>7088</v>
      </c>
    </row>
    <row r="1707">
      <c r="A1707" s="140" t="s">
        <v>8179</v>
      </c>
      <c r="B1707" s="140">
        <v>2.2130608678E10</v>
      </c>
      <c r="C1707" s="140" t="s">
        <v>8432</v>
      </c>
      <c r="D1707" s="140" t="s">
        <v>6601</v>
      </c>
      <c r="E1707" s="140" t="s">
        <v>526</v>
      </c>
      <c r="F1707" s="140" t="s">
        <v>537</v>
      </c>
      <c r="G1707" s="141" t="s">
        <v>6401</v>
      </c>
      <c r="H1707" s="140" t="s">
        <v>6312</v>
      </c>
      <c r="I1707" s="140" t="s">
        <v>6313</v>
      </c>
      <c r="J1707" s="140" t="s">
        <v>6314</v>
      </c>
      <c r="K1707" s="140" t="s">
        <v>7088</v>
      </c>
    </row>
    <row r="1708">
      <c r="A1708" s="140" t="s">
        <v>8179</v>
      </c>
      <c r="B1708" s="140">
        <v>9.9131301306E10</v>
      </c>
      <c r="C1708" s="140" t="s">
        <v>8433</v>
      </c>
      <c r="D1708" s="140" t="s">
        <v>6601</v>
      </c>
      <c r="E1708" s="140" t="s">
        <v>526</v>
      </c>
      <c r="F1708" s="140" t="s">
        <v>537</v>
      </c>
      <c r="G1708" s="141" t="s">
        <v>6401</v>
      </c>
      <c r="H1708" s="140" t="s">
        <v>6312</v>
      </c>
      <c r="I1708" s="140" t="s">
        <v>6313</v>
      </c>
      <c r="J1708" s="140" t="s">
        <v>6314</v>
      </c>
      <c r="K1708" s="140" t="s">
        <v>7088</v>
      </c>
    </row>
    <row r="1709">
      <c r="A1709" s="140" t="s">
        <v>8179</v>
      </c>
      <c r="B1709" s="140">
        <v>2.2130608875E10</v>
      </c>
      <c r="C1709" s="140" t="s">
        <v>8434</v>
      </c>
      <c r="D1709" s="140" t="s">
        <v>6601</v>
      </c>
      <c r="E1709" s="140" t="s">
        <v>526</v>
      </c>
      <c r="F1709" s="140" t="s">
        <v>537</v>
      </c>
      <c r="G1709" s="141" t="s">
        <v>6401</v>
      </c>
      <c r="H1709" s="140" t="s">
        <v>6312</v>
      </c>
      <c r="I1709" s="140" t="s">
        <v>6313</v>
      </c>
      <c r="J1709" s="140" t="s">
        <v>6314</v>
      </c>
      <c r="K1709" s="140" t="s">
        <v>7088</v>
      </c>
    </row>
    <row r="1710">
      <c r="A1710" s="140" t="s">
        <v>8179</v>
      </c>
      <c r="B1710" s="143">
        <v>6.90222E12</v>
      </c>
      <c r="C1710" s="140" t="s">
        <v>8435</v>
      </c>
      <c r="D1710" s="140" t="s">
        <v>6601</v>
      </c>
      <c r="E1710" s="140" t="s">
        <v>526</v>
      </c>
      <c r="F1710" s="140" t="s">
        <v>537</v>
      </c>
      <c r="G1710" s="141" t="s">
        <v>6401</v>
      </c>
      <c r="H1710" s="140" t="s">
        <v>6312</v>
      </c>
      <c r="I1710" s="140" t="s">
        <v>6313</v>
      </c>
      <c r="J1710" s="140" t="s">
        <v>6314</v>
      </c>
      <c r="K1710" s="140" t="s">
        <v>7088</v>
      </c>
    </row>
    <row r="1711">
      <c r="A1711" s="140" t="s">
        <v>8179</v>
      </c>
      <c r="B1711" s="143">
        <v>6.90222E12</v>
      </c>
      <c r="C1711" s="140" t="s">
        <v>8436</v>
      </c>
      <c r="D1711" s="140" t="s">
        <v>6601</v>
      </c>
      <c r="E1711" s="140" t="s">
        <v>526</v>
      </c>
      <c r="F1711" s="140" t="s">
        <v>537</v>
      </c>
      <c r="G1711" s="141" t="s">
        <v>6401</v>
      </c>
      <c r="H1711" s="140" t="s">
        <v>6312</v>
      </c>
      <c r="I1711" s="140" t="s">
        <v>6313</v>
      </c>
      <c r="J1711" s="140" t="s">
        <v>6314</v>
      </c>
      <c r="K1711" s="140" t="s">
        <v>7088</v>
      </c>
    </row>
    <row r="1712">
      <c r="A1712" s="140" t="s">
        <v>8179</v>
      </c>
      <c r="B1712" s="143">
        <v>6.90222E12</v>
      </c>
      <c r="C1712" s="140" t="s">
        <v>8437</v>
      </c>
      <c r="D1712" s="140" t="s">
        <v>6601</v>
      </c>
      <c r="E1712" s="140" t="s">
        <v>526</v>
      </c>
      <c r="F1712" s="140" t="s">
        <v>537</v>
      </c>
      <c r="G1712" s="141" t="s">
        <v>6401</v>
      </c>
      <c r="H1712" s="140" t="s">
        <v>6312</v>
      </c>
      <c r="I1712" s="140" t="s">
        <v>6313</v>
      </c>
      <c r="J1712" s="140" t="s">
        <v>6314</v>
      </c>
      <c r="K1712" s="140" t="s">
        <v>7088</v>
      </c>
    </row>
    <row r="1713">
      <c r="A1713" s="140" t="s">
        <v>8179</v>
      </c>
      <c r="B1713" s="143">
        <v>6.90222E12</v>
      </c>
      <c r="C1713" s="140" t="s">
        <v>8438</v>
      </c>
      <c r="D1713" s="140" t="s">
        <v>6601</v>
      </c>
      <c r="E1713" s="140" t="s">
        <v>526</v>
      </c>
      <c r="F1713" s="140" t="s">
        <v>537</v>
      </c>
      <c r="G1713" s="141" t="s">
        <v>6401</v>
      </c>
      <c r="H1713" s="140" t="s">
        <v>6312</v>
      </c>
      <c r="I1713" s="140" t="s">
        <v>6313</v>
      </c>
      <c r="J1713" s="140" t="s">
        <v>6314</v>
      </c>
      <c r="K1713" s="140" t="s">
        <v>7088</v>
      </c>
    </row>
    <row r="1714">
      <c r="A1714" s="140" t="s">
        <v>8179</v>
      </c>
      <c r="B1714" s="143">
        <v>6.90222E12</v>
      </c>
      <c r="C1714" s="140" t="s">
        <v>8439</v>
      </c>
      <c r="D1714" s="140" t="s">
        <v>6601</v>
      </c>
      <c r="E1714" s="140" t="s">
        <v>526</v>
      </c>
      <c r="F1714" s="140" t="s">
        <v>537</v>
      </c>
      <c r="G1714" s="141" t="s">
        <v>6401</v>
      </c>
      <c r="H1714" s="140" t="s">
        <v>6312</v>
      </c>
      <c r="I1714" s="140" t="s">
        <v>6313</v>
      </c>
      <c r="J1714" s="140" t="s">
        <v>6314</v>
      </c>
      <c r="K1714" s="140" t="s">
        <v>7088</v>
      </c>
    </row>
    <row r="1715">
      <c r="A1715" s="140" t="s">
        <v>8179</v>
      </c>
      <c r="B1715" s="143">
        <v>6.90222E12</v>
      </c>
      <c r="C1715" s="140" t="s">
        <v>8440</v>
      </c>
      <c r="D1715" s="140" t="s">
        <v>6601</v>
      </c>
      <c r="E1715" s="140" t="s">
        <v>526</v>
      </c>
      <c r="F1715" s="140" t="s">
        <v>537</v>
      </c>
      <c r="G1715" s="141" t="s">
        <v>6401</v>
      </c>
      <c r="H1715" s="140" t="s">
        <v>6312</v>
      </c>
      <c r="I1715" s="140" t="s">
        <v>6313</v>
      </c>
      <c r="J1715" s="140" t="s">
        <v>6314</v>
      </c>
      <c r="K1715" s="140" t="s">
        <v>7088</v>
      </c>
    </row>
    <row r="1716">
      <c r="A1716" s="140" t="s">
        <v>8179</v>
      </c>
      <c r="B1716" s="143">
        <v>6.90222E12</v>
      </c>
      <c r="C1716" s="140" t="s">
        <v>8441</v>
      </c>
      <c r="D1716" s="140" t="s">
        <v>6601</v>
      </c>
      <c r="E1716" s="140" t="s">
        <v>526</v>
      </c>
      <c r="F1716" s="140" t="s">
        <v>537</v>
      </c>
      <c r="G1716" s="141" t="s">
        <v>6401</v>
      </c>
      <c r="H1716" s="140" t="s">
        <v>6312</v>
      </c>
      <c r="I1716" s="140" t="s">
        <v>6313</v>
      </c>
      <c r="J1716" s="140" t="s">
        <v>6314</v>
      </c>
      <c r="K1716" s="140" t="s">
        <v>7088</v>
      </c>
    </row>
    <row r="1717">
      <c r="A1717" s="140" t="s">
        <v>8179</v>
      </c>
      <c r="B1717" s="143">
        <v>6.90222E12</v>
      </c>
      <c r="C1717" s="140" t="s">
        <v>8442</v>
      </c>
      <c r="D1717" s="140" t="s">
        <v>6601</v>
      </c>
      <c r="E1717" s="140" t="s">
        <v>526</v>
      </c>
      <c r="F1717" s="140" t="s">
        <v>537</v>
      </c>
      <c r="G1717" s="141" t="s">
        <v>6401</v>
      </c>
      <c r="H1717" s="140" t="s">
        <v>6312</v>
      </c>
      <c r="I1717" s="140" t="s">
        <v>6313</v>
      </c>
      <c r="J1717" s="140" t="s">
        <v>6314</v>
      </c>
      <c r="K1717" s="140" t="s">
        <v>7088</v>
      </c>
    </row>
    <row r="1718">
      <c r="A1718" s="140" t="s">
        <v>8179</v>
      </c>
      <c r="B1718" s="143">
        <v>6.90222E12</v>
      </c>
      <c r="C1718" s="140" t="s">
        <v>8443</v>
      </c>
      <c r="D1718" s="140" t="s">
        <v>6601</v>
      </c>
      <c r="E1718" s="140" t="s">
        <v>526</v>
      </c>
      <c r="F1718" s="140" t="s">
        <v>537</v>
      </c>
      <c r="G1718" s="141" t="s">
        <v>6401</v>
      </c>
      <c r="H1718" s="140" t="s">
        <v>6312</v>
      </c>
      <c r="I1718" s="140" t="s">
        <v>6313</v>
      </c>
      <c r="J1718" s="140" t="s">
        <v>6314</v>
      </c>
      <c r="K1718" s="140" t="s">
        <v>7088</v>
      </c>
    </row>
    <row r="1719">
      <c r="A1719" s="140" t="s">
        <v>8179</v>
      </c>
      <c r="B1719" s="143">
        <v>6.90222E12</v>
      </c>
      <c r="C1719" s="140" t="s">
        <v>8444</v>
      </c>
      <c r="D1719" s="140" t="s">
        <v>6601</v>
      </c>
      <c r="E1719" s="140" t="s">
        <v>526</v>
      </c>
      <c r="F1719" s="140" t="s">
        <v>537</v>
      </c>
      <c r="G1719" s="141" t="s">
        <v>6401</v>
      </c>
      <c r="H1719" s="140" t="s">
        <v>6312</v>
      </c>
      <c r="I1719" s="140" t="s">
        <v>6313</v>
      </c>
      <c r="J1719" s="140" t="s">
        <v>6314</v>
      </c>
      <c r="K1719" s="140" t="s">
        <v>7088</v>
      </c>
    </row>
    <row r="1720">
      <c r="A1720" s="140" t="s">
        <v>8179</v>
      </c>
      <c r="B1720" s="143">
        <v>6.90222E12</v>
      </c>
      <c r="C1720" s="140" t="s">
        <v>8445</v>
      </c>
      <c r="D1720" s="140" t="s">
        <v>6601</v>
      </c>
      <c r="E1720" s="140" t="s">
        <v>526</v>
      </c>
      <c r="F1720" s="140" t="s">
        <v>537</v>
      </c>
      <c r="G1720" s="141" t="s">
        <v>6401</v>
      </c>
      <c r="H1720" s="140" t="s">
        <v>6312</v>
      </c>
      <c r="I1720" s="140" t="s">
        <v>6313</v>
      </c>
      <c r="J1720" s="140" t="s">
        <v>6314</v>
      </c>
      <c r="K1720" s="140" t="s">
        <v>7088</v>
      </c>
    </row>
    <row r="1721">
      <c r="A1721" s="140" t="s">
        <v>8179</v>
      </c>
      <c r="B1721" s="143">
        <v>6.90222E12</v>
      </c>
      <c r="C1721" s="140" t="s">
        <v>8446</v>
      </c>
      <c r="D1721" s="140" t="s">
        <v>6601</v>
      </c>
      <c r="E1721" s="140" t="s">
        <v>526</v>
      </c>
      <c r="F1721" s="140" t="s">
        <v>6609</v>
      </c>
      <c r="G1721" s="141" t="s">
        <v>6401</v>
      </c>
      <c r="H1721" s="140" t="s">
        <v>6312</v>
      </c>
      <c r="I1721" s="140" t="s">
        <v>6313</v>
      </c>
      <c r="J1721" s="140" t="s">
        <v>6314</v>
      </c>
      <c r="K1721" s="140" t="s">
        <v>7088</v>
      </c>
    </row>
    <row r="1722">
      <c r="A1722" s="140" t="s">
        <v>8179</v>
      </c>
      <c r="B1722" s="143">
        <v>6.90222E12</v>
      </c>
      <c r="C1722" s="140" t="s">
        <v>8447</v>
      </c>
      <c r="D1722" s="140" t="s">
        <v>6601</v>
      </c>
      <c r="E1722" s="140" t="s">
        <v>526</v>
      </c>
      <c r="F1722" s="140" t="s">
        <v>6609</v>
      </c>
      <c r="G1722" s="141" t="s">
        <v>6401</v>
      </c>
      <c r="H1722" s="140" t="s">
        <v>6312</v>
      </c>
      <c r="I1722" s="140" t="s">
        <v>6313</v>
      </c>
      <c r="J1722" s="140" t="s">
        <v>6314</v>
      </c>
      <c r="K1722" s="140" t="s">
        <v>7088</v>
      </c>
    </row>
    <row r="1723">
      <c r="A1723" s="140" t="s">
        <v>8179</v>
      </c>
      <c r="B1723" s="143">
        <v>6.90222E12</v>
      </c>
      <c r="C1723" s="140" t="s">
        <v>8448</v>
      </c>
      <c r="D1723" s="140" t="s">
        <v>6601</v>
      </c>
      <c r="E1723" s="140" t="s">
        <v>526</v>
      </c>
      <c r="F1723" s="140" t="s">
        <v>6609</v>
      </c>
      <c r="G1723" s="141" t="s">
        <v>6401</v>
      </c>
      <c r="H1723" s="140" t="s">
        <v>6312</v>
      </c>
      <c r="I1723" s="140" t="s">
        <v>6313</v>
      </c>
      <c r="J1723" s="140" t="s">
        <v>6314</v>
      </c>
      <c r="K1723" s="140" t="s">
        <v>7088</v>
      </c>
    </row>
    <row r="1724">
      <c r="A1724" s="140" t="s">
        <v>8179</v>
      </c>
      <c r="B1724" s="143">
        <v>6.90222E12</v>
      </c>
      <c r="C1724" s="140" t="s">
        <v>8449</v>
      </c>
      <c r="D1724" s="140" t="s">
        <v>6601</v>
      </c>
      <c r="E1724" s="140" t="s">
        <v>526</v>
      </c>
      <c r="F1724" s="140" t="s">
        <v>6609</v>
      </c>
      <c r="G1724" s="141" t="s">
        <v>6401</v>
      </c>
      <c r="H1724" s="140" t="s">
        <v>6312</v>
      </c>
      <c r="I1724" s="140" t="s">
        <v>6313</v>
      </c>
      <c r="J1724" s="140" t="s">
        <v>6314</v>
      </c>
      <c r="K1724" s="140" t="s">
        <v>7088</v>
      </c>
    </row>
    <row r="1725">
      <c r="A1725" s="140" t="s">
        <v>8179</v>
      </c>
      <c r="B1725" s="143">
        <v>6.90222E12</v>
      </c>
      <c r="C1725" s="140" t="s">
        <v>8450</v>
      </c>
      <c r="D1725" s="140" t="s">
        <v>6601</v>
      </c>
      <c r="E1725" s="140" t="s">
        <v>526</v>
      </c>
      <c r="F1725" s="140" t="s">
        <v>7112</v>
      </c>
      <c r="G1725" s="141" t="s">
        <v>6401</v>
      </c>
      <c r="H1725" s="140" t="s">
        <v>6312</v>
      </c>
      <c r="I1725" s="140" t="s">
        <v>6313</v>
      </c>
      <c r="J1725" s="140" t="s">
        <v>6314</v>
      </c>
      <c r="K1725" s="140" t="s">
        <v>7088</v>
      </c>
    </row>
    <row r="1726">
      <c r="A1726" s="140" t="s">
        <v>8179</v>
      </c>
      <c r="B1726" s="143">
        <v>6.90222E12</v>
      </c>
      <c r="C1726" s="140" t="s">
        <v>8451</v>
      </c>
      <c r="D1726" s="140" t="s">
        <v>6601</v>
      </c>
      <c r="E1726" s="140" t="s">
        <v>526</v>
      </c>
      <c r="F1726" s="140" t="s">
        <v>7112</v>
      </c>
      <c r="G1726" s="141" t="s">
        <v>6401</v>
      </c>
      <c r="H1726" s="140" t="s">
        <v>6312</v>
      </c>
      <c r="I1726" s="140" t="s">
        <v>6313</v>
      </c>
      <c r="J1726" s="140" t="s">
        <v>6314</v>
      </c>
      <c r="K1726" s="140" t="s">
        <v>7088</v>
      </c>
    </row>
    <row r="1727">
      <c r="A1727" s="140" t="s">
        <v>8179</v>
      </c>
      <c r="B1727" s="143">
        <v>6.90222E12</v>
      </c>
      <c r="C1727" s="140" t="s">
        <v>8452</v>
      </c>
      <c r="D1727" s="140" t="s">
        <v>6601</v>
      </c>
      <c r="E1727" s="140" t="s">
        <v>526</v>
      </c>
      <c r="F1727" s="140" t="s">
        <v>7112</v>
      </c>
      <c r="G1727" s="141" t="s">
        <v>6401</v>
      </c>
      <c r="H1727" s="140" t="s">
        <v>6312</v>
      </c>
      <c r="I1727" s="140" t="s">
        <v>6313</v>
      </c>
      <c r="J1727" s="140" t="s">
        <v>6314</v>
      </c>
      <c r="K1727" s="140" t="s">
        <v>7088</v>
      </c>
    </row>
    <row r="1728">
      <c r="A1728" s="140" t="s">
        <v>8179</v>
      </c>
      <c r="B1728" s="143">
        <v>6.90222E12</v>
      </c>
      <c r="C1728" s="140" t="s">
        <v>8453</v>
      </c>
      <c r="D1728" s="140" t="s">
        <v>6601</v>
      </c>
      <c r="E1728" s="140" t="s">
        <v>526</v>
      </c>
      <c r="F1728" s="140" t="s">
        <v>7112</v>
      </c>
      <c r="G1728" s="141" t="s">
        <v>6401</v>
      </c>
      <c r="H1728" s="140" t="s">
        <v>6312</v>
      </c>
      <c r="I1728" s="140" t="s">
        <v>6313</v>
      </c>
      <c r="J1728" s="140" t="s">
        <v>6314</v>
      </c>
      <c r="K1728" s="140" t="s">
        <v>7088</v>
      </c>
    </row>
    <row r="1729">
      <c r="A1729" s="140" t="s">
        <v>8179</v>
      </c>
      <c r="B1729" s="143">
        <v>6.90222E12</v>
      </c>
      <c r="C1729" s="140" t="s">
        <v>8454</v>
      </c>
      <c r="D1729" s="140" t="s">
        <v>6601</v>
      </c>
      <c r="E1729" s="140" t="s">
        <v>526</v>
      </c>
      <c r="F1729" s="140" t="s">
        <v>7112</v>
      </c>
      <c r="G1729" s="141" t="s">
        <v>6401</v>
      </c>
      <c r="H1729" s="140" t="s">
        <v>6312</v>
      </c>
      <c r="I1729" s="140" t="s">
        <v>6313</v>
      </c>
      <c r="J1729" s="140" t="s">
        <v>6314</v>
      </c>
      <c r="K1729" s="140" t="s">
        <v>7088</v>
      </c>
    </row>
    <row r="1730">
      <c r="A1730" s="140" t="s">
        <v>8179</v>
      </c>
      <c r="B1730" s="143">
        <v>6.90222E12</v>
      </c>
      <c r="C1730" s="140" t="s">
        <v>8455</v>
      </c>
      <c r="D1730" s="140" t="s">
        <v>6601</v>
      </c>
      <c r="E1730" s="140" t="s">
        <v>526</v>
      </c>
      <c r="F1730" s="140" t="s">
        <v>7112</v>
      </c>
      <c r="G1730" s="141" t="s">
        <v>6401</v>
      </c>
      <c r="H1730" s="140" t="s">
        <v>6312</v>
      </c>
      <c r="I1730" s="140" t="s">
        <v>6313</v>
      </c>
      <c r="J1730" s="140" t="s">
        <v>6314</v>
      </c>
      <c r="K1730" s="140" t="s">
        <v>7088</v>
      </c>
    </row>
    <row r="1731">
      <c r="A1731" s="140" t="s">
        <v>8179</v>
      </c>
      <c r="B1731" s="143">
        <v>6.90222E12</v>
      </c>
      <c r="C1731" s="140" t="s">
        <v>8456</v>
      </c>
      <c r="D1731" s="140" t="s">
        <v>6601</v>
      </c>
      <c r="E1731" s="140" t="s">
        <v>526</v>
      </c>
      <c r="F1731" s="140" t="s">
        <v>7112</v>
      </c>
      <c r="G1731" s="141" t="s">
        <v>6401</v>
      </c>
      <c r="H1731" s="140" t="s">
        <v>6312</v>
      </c>
      <c r="I1731" s="140" t="s">
        <v>6313</v>
      </c>
      <c r="J1731" s="140" t="s">
        <v>6314</v>
      </c>
      <c r="K1731" s="140" t="s">
        <v>7088</v>
      </c>
    </row>
    <row r="1732">
      <c r="A1732" s="140" t="s">
        <v>8179</v>
      </c>
      <c r="B1732" s="143">
        <v>6.90222E12</v>
      </c>
      <c r="C1732" s="140" t="s">
        <v>8457</v>
      </c>
      <c r="D1732" s="140" t="s">
        <v>6601</v>
      </c>
      <c r="E1732" s="140" t="s">
        <v>526</v>
      </c>
      <c r="F1732" s="140" t="s">
        <v>7112</v>
      </c>
      <c r="G1732" s="141" t="s">
        <v>6401</v>
      </c>
      <c r="H1732" s="140" t="s">
        <v>6312</v>
      </c>
      <c r="I1732" s="140" t="s">
        <v>6313</v>
      </c>
      <c r="J1732" s="140" t="s">
        <v>6314</v>
      </c>
      <c r="K1732" s="140" t="s">
        <v>7088</v>
      </c>
    </row>
    <row r="1733">
      <c r="A1733" s="140" t="s">
        <v>8179</v>
      </c>
      <c r="B1733" s="143">
        <v>6.90222E12</v>
      </c>
      <c r="C1733" s="140" t="s">
        <v>8458</v>
      </c>
      <c r="D1733" s="140" t="s">
        <v>6601</v>
      </c>
      <c r="E1733" s="140" t="s">
        <v>526</v>
      </c>
      <c r="F1733" s="140" t="s">
        <v>7112</v>
      </c>
      <c r="G1733" s="141" t="s">
        <v>6664</v>
      </c>
      <c r="H1733" s="140" t="s">
        <v>6312</v>
      </c>
      <c r="I1733" s="140" t="s">
        <v>6313</v>
      </c>
      <c r="J1733" s="140" t="s">
        <v>6314</v>
      </c>
      <c r="K1733" s="140" t="s">
        <v>7088</v>
      </c>
    </row>
    <row r="1734">
      <c r="A1734" s="140" t="s">
        <v>8179</v>
      </c>
      <c r="B1734" s="143">
        <v>6.90222E12</v>
      </c>
      <c r="C1734" s="140" t="s">
        <v>8459</v>
      </c>
      <c r="D1734" s="140" t="s">
        <v>6601</v>
      </c>
      <c r="E1734" s="140" t="s">
        <v>526</v>
      </c>
      <c r="F1734" s="140" t="s">
        <v>7112</v>
      </c>
      <c r="G1734" s="141" t="s">
        <v>6668</v>
      </c>
      <c r="H1734" s="140" t="s">
        <v>6312</v>
      </c>
      <c r="I1734" s="140" t="s">
        <v>6313</v>
      </c>
      <c r="J1734" s="140" t="s">
        <v>6314</v>
      </c>
      <c r="K1734" s="140" t="s">
        <v>7088</v>
      </c>
    </row>
    <row r="1735">
      <c r="A1735" s="140" t="s">
        <v>8179</v>
      </c>
      <c r="B1735" s="143">
        <v>6.90222E12</v>
      </c>
      <c r="C1735" s="140" t="s">
        <v>8460</v>
      </c>
      <c r="D1735" s="140" t="s">
        <v>6601</v>
      </c>
      <c r="E1735" s="140" t="s">
        <v>526</v>
      </c>
      <c r="F1735" s="140" t="s">
        <v>7112</v>
      </c>
      <c r="G1735" s="141" t="s">
        <v>6668</v>
      </c>
      <c r="H1735" s="140" t="s">
        <v>6312</v>
      </c>
      <c r="I1735" s="140" t="s">
        <v>6313</v>
      </c>
      <c r="J1735" s="140" t="s">
        <v>6314</v>
      </c>
      <c r="K1735" s="140" t="s">
        <v>7088</v>
      </c>
    </row>
    <row r="1736">
      <c r="A1736" s="140" t="s">
        <v>8179</v>
      </c>
      <c r="B1736" s="143">
        <v>6.90222E12</v>
      </c>
      <c r="C1736" s="140" t="s">
        <v>8461</v>
      </c>
      <c r="D1736" s="140" t="s">
        <v>6601</v>
      </c>
      <c r="E1736" s="140" t="s">
        <v>526</v>
      </c>
      <c r="F1736" s="140" t="s">
        <v>7112</v>
      </c>
      <c r="G1736" s="141" t="s">
        <v>6401</v>
      </c>
      <c r="H1736" s="140" t="s">
        <v>6312</v>
      </c>
      <c r="I1736" s="140" t="s">
        <v>6313</v>
      </c>
      <c r="J1736" s="140" t="s">
        <v>6314</v>
      </c>
      <c r="K1736" s="140" t="s">
        <v>7088</v>
      </c>
    </row>
    <row r="1737">
      <c r="A1737" s="140" t="s">
        <v>8179</v>
      </c>
      <c r="B1737" s="143">
        <v>6.90222E12</v>
      </c>
      <c r="C1737" s="140" t="s">
        <v>8462</v>
      </c>
      <c r="D1737" s="140" t="s">
        <v>6601</v>
      </c>
      <c r="E1737" s="140" t="s">
        <v>526</v>
      </c>
      <c r="F1737" s="140" t="s">
        <v>7112</v>
      </c>
      <c r="G1737" s="141" t="s">
        <v>6401</v>
      </c>
      <c r="H1737" s="140" t="s">
        <v>6312</v>
      </c>
      <c r="I1737" s="140" t="s">
        <v>6313</v>
      </c>
      <c r="J1737" s="140" t="s">
        <v>6314</v>
      </c>
      <c r="K1737" s="140" t="s">
        <v>7088</v>
      </c>
    </row>
    <row r="1738">
      <c r="A1738" s="140" t="s">
        <v>8179</v>
      </c>
      <c r="B1738" s="143">
        <v>6.90222E12</v>
      </c>
      <c r="C1738" s="140" t="s">
        <v>8463</v>
      </c>
      <c r="D1738" s="140" t="s">
        <v>6601</v>
      </c>
      <c r="E1738" s="140" t="s">
        <v>526</v>
      </c>
      <c r="F1738" s="140" t="s">
        <v>7112</v>
      </c>
      <c r="G1738" s="141" t="s">
        <v>6401</v>
      </c>
      <c r="H1738" s="140" t="s">
        <v>6312</v>
      </c>
      <c r="I1738" s="140" t="s">
        <v>6313</v>
      </c>
      <c r="J1738" s="140" t="s">
        <v>6314</v>
      </c>
      <c r="K1738" s="140" t="s">
        <v>7088</v>
      </c>
    </row>
    <row r="1739">
      <c r="A1739" s="140" t="s">
        <v>8179</v>
      </c>
      <c r="B1739" s="143">
        <v>6.90222E12</v>
      </c>
      <c r="C1739" s="140" t="s">
        <v>8464</v>
      </c>
      <c r="D1739" s="140" t="s">
        <v>6601</v>
      </c>
      <c r="E1739" s="140" t="s">
        <v>526</v>
      </c>
      <c r="F1739" s="140" t="s">
        <v>7112</v>
      </c>
      <c r="G1739" s="141" t="s">
        <v>6401</v>
      </c>
      <c r="H1739" s="140" t="s">
        <v>6312</v>
      </c>
      <c r="I1739" s="140" t="s">
        <v>6313</v>
      </c>
      <c r="J1739" s="140" t="s">
        <v>6314</v>
      </c>
      <c r="K1739" s="140" t="s">
        <v>7088</v>
      </c>
    </row>
    <row r="1740">
      <c r="A1740" s="140" t="s">
        <v>8179</v>
      </c>
      <c r="B1740" s="143">
        <v>6.90222E12</v>
      </c>
      <c r="C1740" s="140" t="s">
        <v>8465</v>
      </c>
      <c r="D1740" s="140" t="s">
        <v>6601</v>
      </c>
      <c r="E1740" s="140" t="s">
        <v>526</v>
      </c>
      <c r="F1740" s="140" t="s">
        <v>7112</v>
      </c>
      <c r="G1740" s="141" t="s">
        <v>6401</v>
      </c>
      <c r="H1740" s="140" t="s">
        <v>6312</v>
      </c>
      <c r="I1740" s="140" t="s">
        <v>6313</v>
      </c>
      <c r="J1740" s="140" t="s">
        <v>6314</v>
      </c>
      <c r="K1740" s="140" t="s">
        <v>7088</v>
      </c>
    </row>
    <row r="1741">
      <c r="A1741" s="140" t="s">
        <v>8179</v>
      </c>
      <c r="B1741" s="143">
        <v>6.90222E12</v>
      </c>
      <c r="C1741" s="140" t="s">
        <v>8466</v>
      </c>
      <c r="D1741" s="140" t="s">
        <v>6601</v>
      </c>
      <c r="E1741" s="140" t="s">
        <v>526</v>
      </c>
      <c r="F1741" s="140" t="s">
        <v>7112</v>
      </c>
      <c r="G1741" s="141" t="s">
        <v>6401</v>
      </c>
      <c r="H1741" s="140" t="s">
        <v>6312</v>
      </c>
      <c r="I1741" s="140" t="s">
        <v>6313</v>
      </c>
      <c r="J1741" s="140" t="s">
        <v>6314</v>
      </c>
      <c r="K1741" s="140" t="s">
        <v>7088</v>
      </c>
    </row>
    <row r="1742">
      <c r="A1742" s="140" t="s">
        <v>8179</v>
      </c>
      <c r="B1742" s="143">
        <v>6.90222E12</v>
      </c>
      <c r="C1742" s="140" t="s">
        <v>8467</v>
      </c>
      <c r="D1742" s="140" t="s">
        <v>6601</v>
      </c>
      <c r="E1742" s="140" t="s">
        <v>526</v>
      </c>
      <c r="F1742" s="140" t="s">
        <v>7112</v>
      </c>
      <c r="G1742" s="141" t="s">
        <v>6401</v>
      </c>
      <c r="H1742" s="140" t="s">
        <v>6312</v>
      </c>
      <c r="I1742" s="140" t="s">
        <v>6313</v>
      </c>
      <c r="J1742" s="140" t="s">
        <v>6314</v>
      </c>
      <c r="K1742" s="140" t="s">
        <v>7088</v>
      </c>
    </row>
    <row r="1743">
      <c r="A1743" s="140" t="s">
        <v>8179</v>
      </c>
      <c r="B1743" s="143">
        <v>6.90222E12</v>
      </c>
      <c r="C1743" s="140" t="s">
        <v>8468</v>
      </c>
      <c r="D1743" s="140" t="s">
        <v>6601</v>
      </c>
      <c r="E1743" s="140" t="s">
        <v>526</v>
      </c>
      <c r="F1743" s="140" t="s">
        <v>7112</v>
      </c>
      <c r="G1743" s="141" t="s">
        <v>6401</v>
      </c>
      <c r="H1743" s="140" t="s">
        <v>6312</v>
      </c>
      <c r="I1743" s="140" t="s">
        <v>6313</v>
      </c>
      <c r="J1743" s="140" t="s">
        <v>6314</v>
      </c>
      <c r="K1743" s="140" t="s">
        <v>7088</v>
      </c>
    </row>
    <row r="1744">
      <c r="A1744" s="140" t="s">
        <v>8179</v>
      </c>
      <c r="B1744" s="143">
        <v>6.90222E12</v>
      </c>
      <c r="C1744" s="140" t="s">
        <v>8469</v>
      </c>
      <c r="D1744" s="140" t="s">
        <v>6601</v>
      </c>
      <c r="E1744" s="140" t="s">
        <v>526</v>
      </c>
      <c r="F1744" s="140" t="s">
        <v>7112</v>
      </c>
      <c r="G1744" s="141" t="s">
        <v>6401</v>
      </c>
      <c r="H1744" s="140" t="s">
        <v>6312</v>
      </c>
      <c r="I1744" s="140" t="s">
        <v>6313</v>
      </c>
      <c r="J1744" s="140" t="s">
        <v>6314</v>
      </c>
      <c r="K1744" s="140" t="s">
        <v>7088</v>
      </c>
    </row>
    <row r="1745">
      <c r="A1745" s="140" t="s">
        <v>8179</v>
      </c>
      <c r="B1745" s="143">
        <v>6.90222E12</v>
      </c>
      <c r="C1745" s="140" t="s">
        <v>8470</v>
      </c>
      <c r="D1745" s="140" t="s">
        <v>6601</v>
      </c>
      <c r="E1745" s="140" t="s">
        <v>526</v>
      </c>
      <c r="F1745" s="140" t="s">
        <v>7112</v>
      </c>
      <c r="G1745" s="141" t="s">
        <v>6401</v>
      </c>
      <c r="H1745" s="140" t="s">
        <v>6312</v>
      </c>
      <c r="I1745" s="140" t="s">
        <v>6313</v>
      </c>
      <c r="J1745" s="140" t="s">
        <v>6314</v>
      </c>
      <c r="K1745" s="140" t="s">
        <v>7088</v>
      </c>
    </row>
    <row r="1746">
      <c r="A1746" s="140" t="s">
        <v>8179</v>
      </c>
      <c r="B1746" s="143">
        <v>6.90222E12</v>
      </c>
      <c r="C1746" s="140" t="s">
        <v>8471</v>
      </c>
      <c r="D1746" s="140" t="s">
        <v>6601</v>
      </c>
      <c r="E1746" s="140" t="s">
        <v>526</v>
      </c>
      <c r="F1746" s="140" t="s">
        <v>7112</v>
      </c>
      <c r="G1746" s="141" t="s">
        <v>6401</v>
      </c>
      <c r="H1746" s="140" t="s">
        <v>6312</v>
      </c>
      <c r="I1746" s="140" t="s">
        <v>6313</v>
      </c>
      <c r="J1746" s="140" t="s">
        <v>6314</v>
      </c>
      <c r="K1746" s="140" t="s">
        <v>7088</v>
      </c>
    </row>
    <row r="1747">
      <c r="A1747" s="140" t="s">
        <v>8179</v>
      </c>
      <c r="B1747" s="143">
        <v>6.90222E12</v>
      </c>
      <c r="C1747" s="140" t="s">
        <v>8472</v>
      </c>
      <c r="D1747" s="140" t="s">
        <v>6601</v>
      </c>
      <c r="E1747" s="140" t="s">
        <v>526</v>
      </c>
      <c r="F1747" s="140" t="s">
        <v>7112</v>
      </c>
      <c r="G1747" s="141" t="s">
        <v>6401</v>
      </c>
      <c r="H1747" s="140" t="s">
        <v>6312</v>
      </c>
      <c r="I1747" s="140" t="s">
        <v>6313</v>
      </c>
      <c r="J1747" s="140" t="s">
        <v>6314</v>
      </c>
      <c r="K1747" s="140" t="s">
        <v>7088</v>
      </c>
    </row>
    <row r="1748">
      <c r="A1748" s="140" t="s">
        <v>8179</v>
      </c>
      <c r="B1748" s="143">
        <v>6.90222E12</v>
      </c>
      <c r="C1748" s="140" t="s">
        <v>8473</v>
      </c>
      <c r="D1748" s="140" t="s">
        <v>6601</v>
      </c>
      <c r="E1748" s="140" t="s">
        <v>526</v>
      </c>
      <c r="F1748" s="140" t="s">
        <v>7112</v>
      </c>
      <c r="G1748" s="141" t="s">
        <v>6401</v>
      </c>
      <c r="H1748" s="140" t="s">
        <v>6312</v>
      </c>
      <c r="I1748" s="140" t="s">
        <v>6313</v>
      </c>
      <c r="J1748" s="140" t="s">
        <v>6314</v>
      </c>
      <c r="K1748" s="140" t="s">
        <v>7088</v>
      </c>
    </row>
    <row r="1749">
      <c r="A1749" s="140" t="s">
        <v>8179</v>
      </c>
      <c r="B1749" s="143">
        <v>6.90222E12</v>
      </c>
      <c r="C1749" s="140" t="s">
        <v>8474</v>
      </c>
      <c r="D1749" s="140" t="s">
        <v>6601</v>
      </c>
      <c r="E1749" s="140" t="s">
        <v>526</v>
      </c>
      <c r="F1749" s="140" t="s">
        <v>7112</v>
      </c>
      <c r="G1749" s="141" t="s">
        <v>6401</v>
      </c>
      <c r="H1749" s="140" t="s">
        <v>6312</v>
      </c>
      <c r="I1749" s="140" t="s">
        <v>6313</v>
      </c>
      <c r="J1749" s="140" t="s">
        <v>6314</v>
      </c>
      <c r="K1749" s="140" t="s">
        <v>7088</v>
      </c>
    </row>
    <row r="1750">
      <c r="A1750" s="140" t="s">
        <v>8179</v>
      </c>
      <c r="B1750" s="143">
        <v>6.90222E12</v>
      </c>
      <c r="C1750" s="140" t="s">
        <v>8475</v>
      </c>
      <c r="D1750" s="140" t="s">
        <v>6601</v>
      </c>
      <c r="E1750" s="140" t="s">
        <v>526</v>
      </c>
      <c r="F1750" s="140" t="s">
        <v>7112</v>
      </c>
      <c r="G1750" s="141" t="s">
        <v>6401</v>
      </c>
      <c r="H1750" s="140" t="s">
        <v>6312</v>
      </c>
      <c r="I1750" s="140" t="s">
        <v>6313</v>
      </c>
      <c r="J1750" s="140" t="s">
        <v>6314</v>
      </c>
      <c r="K1750" s="140" t="s">
        <v>7088</v>
      </c>
    </row>
    <row r="1751">
      <c r="A1751" s="140" t="s">
        <v>8179</v>
      </c>
      <c r="B1751" s="143">
        <v>6.90222E12</v>
      </c>
      <c r="C1751" s="140" t="s">
        <v>8476</v>
      </c>
      <c r="D1751" s="140" t="s">
        <v>6601</v>
      </c>
      <c r="E1751" s="140" t="s">
        <v>526</v>
      </c>
      <c r="F1751" s="140" t="s">
        <v>7112</v>
      </c>
      <c r="G1751" s="141" t="s">
        <v>6401</v>
      </c>
      <c r="H1751" s="140" t="s">
        <v>6312</v>
      </c>
      <c r="I1751" s="140" t="s">
        <v>6313</v>
      </c>
      <c r="J1751" s="140" t="s">
        <v>6314</v>
      </c>
      <c r="K1751" s="140" t="s">
        <v>7088</v>
      </c>
    </row>
    <row r="1752">
      <c r="A1752" s="140" t="s">
        <v>8179</v>
      </c>
      <c r="B1752" s="143">
        <v>6.90222E12</v>
      </c>
      <c r="C1752" s="140" t="s">
        <v>8477</v>
      </c>
      <c r="D1752" s="140" t="s">
        <v>6601</v>
      </c>
      <c r="E1752" s="140" t="s">
        <v>526</v>
      </c>
      <c r="F1752" s="140" t="s">
        <v>7112</v>
      </c>
      <c r="G1752" s="141" t="s">
        <v>6401</v>
      </c>
      <c r="H1752" s="140" t="s">
        <v>6312</v>
      </c>
      <c r="I1752" s="140" t="s">
        <v>6313</v>
      </c>
      <c r="J1752" s="140" t="s">
        <v>6314</v>
      </c>
      <c r="K1752" s="140" t="s">
        <v>7088</v>
      </c>
    </row>
    <row r="1753">
      <c r="A1753" s="140" t="s">
        <v>8179</v>
      </c>
      <c r="B1753" s="143">
        <v>6.90222E12</v>
      </c>
      <c r="C1753" s="140" t="s">
        <v>8478</v>
      </c>
      <c r="D1753" s="140" t="s">
        <v>6601</v>
      </c>
      <c r="E1753" s="140" t="s">
        <v>526</v>
      </c>
      <c r="F1753" s="140" t="s">
        <v>7112</v>
      </c>
      <c r="G1753" s="141" t="s">
        <v>6401</v>
      </c>
      <c r="H1753" s="140" t="s">
        <v>6312</v>
      </c>
      <c r="I1753" s="140" t="s">
        <v>6313</v>
      </c>
      <c r="J1753" s="140" t="s">
        <v>6314</v>
      </c>
      <c r="K1753" s="140" t="s">
        <v>7088</v>
      </c>
    </row>
    <row r="1754">
      <c r="A1754" s="140" t="s">
        <v>8179</v>
      </c>
      <c r="B1754" s="143">
        <v>6.90222E12</v>
      </c>
      <c r="C1754" s="140" t="s">
        <v>8479</v>
      </c>
      <c r="D1754" s="140" t="s">
        <v>6601</v>
      </c>
      <c r="E1754" s="140" t="s">
        <v>526</v>
      </c>
      <c r="F1754" s="140" t="s">
        <v>7112</v>
      </c>
      <c r="G1754" s="141" t="s">
        <v>6401</v>
      </c>
      <c r="H1754" s="140" t="s">
        <v>6312</v>
      </c>
      <c r="I1754" s="140" t="s">
        <v>6313</v>
      </c>
      <c r="J1754" s="140" t="s">
        <v>6314</v>
      </c>
      <c r="K1754" s="140" t="s">
        <v>7088</v>
      </c>
    </row>
    <row r="1755">
      <c r="A1755" s="140" t="s">
        <v>8179</v>
      </c>
      <c r="B1755" s="143">
        <v>6.90222E12</v>
      </c>
      <c r="C1755" s="140" t="s">
        <v>8480</v>
      </c>
      <c r="D1755" s="140" t="s">
        <v>6601</v>
      </c>
      <c r="E1755" s="140" t="s">
        <v>526</v>
      </c>
      <c r="F1755" s="140" t="s">
        <v>7112</v>
      </c>
      <c r="G1755" s="141" t="s">
        <v>6401</v>
      </c>
      <c r="H1755" s="140" t="s">
        <v>6312</v>
      </c>
      <c r="I1755" s="140" t="s">
        <v>6313</v>
      </c>
      <c r="J1755" s="140" t="s">
        <v>6314</v>
      </c>
      <c r="K1755" s="140" t="s">
        <v>7088</v>
      </c>
    </row>
    <row r="1756">
      <c r="A1756" s="140" t="s">
        <v>8179</v>
      </c>
      <c r="B1756" s="143">
        <v>6.90222E12</v>
      </c>
      <c r="C1756" s="140" t="s">
        <v>8481</v>
      </c>
      <c r="D1756" s="140" t="s">
        <v>6601</v>
      </c>
      <c r="E1756" s="140" t="s">
        <v>526</v>
      </c>
      <c r="F1756" s="140" t="s">
        <v>7112</v>
      </c>
      <c r="G1756" s="141" t="s">
        <v>6401</v>
      </c>
      <c r="H1756" s="140" t="s">
        <v>6312</v>
      </c>
      <c r="I1756" s="140" t="s">
        <v>6313</v>
      </c>
      <c r="J1756" s="140" t="s">
        <v>6314</v>
      </c>
      <c r="K1756" s="140" t="s">
        <v>7088</v>
      </c>
    </row>
    <row r="1757">
      <c r="A1757" s="140" t="s">
        <v>8179</v>
      </c>
      <c r="B1757" s="143">
        <v>6.90222E12</v>
      </c>
      <c r="C1757" s="140" t="s">
        <v>8482</v>
      </c>
      <c r="D1757" s="140" t="s">
        <v>6601</v>
      </c>
      <c r="E1757" s="140" t="s">
        <v>526</v>
      </c>
      <c r="F1757" s="140" t="s">
        <v>7112</v>
      </c>
      <c r="G1757" s="141" t="s">
        <v>6401</v>
      </c>
      <c r="H1757" s="140" t="s">
        <v>6312</v>
      </c>
      <c r="I1757" s="140" t="s">
        <v>6313</v>
      </c>
      <c r="J1757" s="140" t="s">
        <v>6314</v>
      </c>
      <c r="K1757" s="140" t="s">
        <v>7088</v>
      </c>
    </row>
    <row r="1758">
      <c r="A1758" s="140" t="s">
        <v>8179</v>
      </c>
      <c r="B1758" s="143">
        <v>6.90222E12</v>
      </c>
      <c r="C1758" s="140" t="s">
        <v>8483</v>
      </c>
      <c r="D1758" s="140" t="s">
        <v>6601</v>
      </c>
      <c r="E1758" s="140" t="s">
        <v>526</v>
      </c>
      <c r="F1758" s="140" t="s">
        <v>7112</v>
      </c>
      <c r="G1758" s="141" t="s">
        <v>6401</v>
      </c>
      <c r="H1758" s="140" t="s">
        <v>6312</v>
      </c>
      <c r="I1758" s="140" t="s">
        <v>6313</v>
      </c>
      <c r="J1758" s="140" t="s">
        <v>6314</v>
      </c>
      <c r="K1758" s="140" t="s">
        <v>7088</v>
      </c>
    </row>
    <row r="1759">
      <c r="A1759" s="140" t="s">
        <v>8179</v>
      </c>
      <c r="B1759" s="143">
        <v>6.90222E12</v>
      </c>
      <c r="C1759" s="140" t="s">
        <v>8484</v>
      </c>
      <c r="D1759" s="140" t="s">
        <v>6601</v>
      </c>
      <c r="E1759" s="140" t="s">
        <v>526</v>
      </c>
      <c r="F1759" s="140" t="s">
        <v>7112</v>
      </c>
      <c r="G1759" s="141" t="s">
        <v>6401</v>
      </c>
      <c r="H1759" s="140" t="s">
        <v>6312</v>
      </c>
      <c r="I1759" s="140" t="s">
        <v>6313</v>
      </c>
      <c r="J1759" s="140" t="s">
        <v>6314</v>
      </c>
      <c r="K1759" s="140" t="s">
        <v>7088</v>
      </c>
    </row>
    <row r="1760">
      <c r="A1760" s="140" t="s">
        <v>8179</v>
      </c>
      <c r="B1760" s="143">
        <v>6.90222E12</v>
      </c>
      <c r="C1760" s="140" t="s">
        <v>8485</v>
      </c>
      <c r="D1760" s="140" t="s">
        <v>6601</v>
      </c>
      <c r="E1760" s="140" t="s">
        <v>526</v>
      </c>
      <c r="F1760" s="140" t="s">
        <v>7112</v>
      </c>
      <c r="G1760" s="141" t="s">
        <v>6401</v>
      </c>
      <c r="H1760" s="140" t="s">
        <v>6312</v>
      </c>
      <c r="I1760" s="140" t="s">
        <v>6313</v>
      </c>
      <c r="J1760" s="140" t="s">
        <v>6314</v>
      </c>
      <c r="K1760" s="140" t="s">
        <v>7088</v>
      </c>
    </row>
    <row r="1761">
      <c r="A1761" s="140" t="s">
        <v>8179</v>
      </c>
      <c r="B1761" s="143">
        <v>6.90222E12</v>
      </c>
      <c r="C1761" s="140" t="s">
        <v>8486</v>
      </c>
      <c r="D1761" s="140" t="s">
        <v>6601</v>
      </c>
      <c r="E1761" s="140" t="s">
        <v>526</v>
      </c>
      <c r="F1761" s="140" t="s">
        <v>553</v>
      </c>
      <c r="G1761" s="141" t="s">
        <v>6401</v>
      </c>
      <c r="H1761" s="140" t="s">
        <v>6312</v>
      </c>
      <c r="I1761" s="140" t="s">
        <v>6313</v>
      </c>
      <c r="J1761" s="140" t="s">
        <v>6314</v>
      </c>
      <c r="K1761" s="140" t="s">
        <v>7088</v>
      </c>
    </row>
    <row r="1762">
      <c r="A1762" s="140" t="s">
        <v>8179</v>
      </c>
      <c r="B1762" s="143">
        <v>6.90222E12</v>
      </c>
      <c r="C1762" s="140" t="s">
        <v>8487</v>
      </c>
      <c r="D1762" s="140" t="s">
        <v>6601</v>
      </c>
      <c r="E1762" s="140" t="s">
        <v>526</v>
      </c>
      <c r="F1762" s="140" t="s">
        <v>553</v>
      </c>
      <c r="G1762" s="141" t="s">
        <v>6401</v>
      </c>
      <c r="H1762" s="140" t="s">
        <v>6312</v>
      </c>
      <c r="I1762" s="140" t="s">
        <v>6313</v>
      </c>
      <c r="J1762" s="140" t="s">
        <v>6314</v>
      </c>
      <c r="K1762" s="140" t="s">
        <v>7088</v>
      </c>
    </row>
    <row r="1763">
      <c r="A1763" s="140" t="s">
        <v>8179</v>
      </c>
      <c r="B1763" s="143">
        <v>6.90222E12</v>
      </c>
      <c r="C1763" s="140" t="s">
        <v>8488</v>
      </c>
      <c r="D1763" s="140" t="s">
        <v>6601</v>
      </c>
      <c r="E1763" s="140" t="s">
        <v>526</v>
      </c>
      <c r="F1763" s="140" t="s">
        <v>553</v>
      </c>
      <c r="G1763" s="141" t="s">
        <v>6401</v>
      </c>
      <c r="H1763" s="140" t="s">
        <v>6312</v>
      </c>
      <c r="I1763" s="140" t="s">
        <v>6313</v>
      </c>
      <c r="J1763" s="140" t="s">
        <v>6314</v>
      </c>
      <c r="K1763" s="140" t="s">
        <v>7088</v>
      </c>
    </row>
    <row r="1764">
      <c r="A1764" s="140" t="s">
        <v>8179</v>
      </c>
      <c r="B1764" s="143">
        <v>6.90222E12</v>
      </c>
      <c r="C1764" s="140" t="s">
        <v>8489</v>
      </c>
      <c r="D1764" s="140" t="s">
        <v>6601</v>
      </c>
      <c r="E1764" s="140" t="s">
        <v>526</v>
      </c>
      <c r="F1764" s="140" t="s">
        <v>553</v>
      </c>
      <c r="G1764" s="141" t="s">
        <v>6401</v>
      </c>
      <c r="H1764" s="140" t="s">
        <v>6312</v>
      </c>
      <c r="I1764" s="140" t="s">
        <v>6313</v>
      </c>
      <c r="J1764" s="140" t="s">
        <v>6314</v>
      </c>
      <c r="K1764" s="140" t="s">
        <v>7088</v>
      </c>
    </row>
    <row r="1765">
      <c r="A1765" s="140" t="s">
        <v>8179</v>
      </c>
      <c r="B1765" s="143">
        <v>6.90222E12</v>
      </c>
      <c r="C1765" s="140" t="s">
        <v>8490</v>
      </c>
      <c r="D1765" s="140" t="s">
        <v>6601</v>
      </c>
      <c r="E1765" s="140" t="s">
        <v>526</v>
      </c>
      <c r="F1765" s="140" t="s">
        <v>553</v>
      </c>
      <c r="G1765" s="141" t="s">
        <v>6401</v>
      </c>
      <c r="H1765" s="140" t="s">
        <v>6312</v>
      </c>
      <c r="I1765" s="140" t="s">
        <v>6313</v>
      </c>
      <c r="J1765" s="140" t="s">
        <v>6314</v>
      </c>
      <c r="K1765" s="140" t="s">
        <v>7088</v>
      </c>
    </row>
    <row r="1766">
      <c r="A1766" s="140" t="s">
        <v>8179</v>
      </c>
      <c r="B1766" s="143">
        <v>6.90222E12</v>
      </c>
      <c r="C1766" s="140" t="s">
        <v>8491</v>
      </c>
      <c r="D1766" s="140" t="s">
        <v>6601</v>
      </c>
      <c r="E1766" s="140" t="s">
        <v>526</v>
      </c>
      <c r="F1766" s="140" t="s">
        <v>553</v>
      </c>
      <c r="G1766" s="141" t="s">
        <v>6401</v>
      </c>
      <c r="H1766" s="140" t="s">
        <v>6312</v>
      </c>
      <c r="I1766" s="140" t="s">
        <v>6313</v>
      </c>
      <c r="J1766" s="140" t="s">
        <v>6314</v>
      </c>
      <c r="K1766" s="140" t="s">
        <v>7088</v>
      </c>
    </row>
    <row r="1767">
      <c r="A1767" s="140" t="s">
        <v>8179</v>
      </c>
      <c r="B1767" s="143">
        <v>6.90222E12</v>
      </c>
      <c r="C1767" s="140" t="s">
        <v>8492</v>
      </c>
      <c r="D1767" s="140" t="s">
        <v>6601</v>
      </c>
      <c r="E1767" s="140" t="s">
        <v>526</v>
      </c>
      <c r="F1767" s="140" t="s">
        <v>553</v>
      </c>
      <c r="G1767" s="141" t="s">
        <v>6401</v>
      </c>
      <c r="H1767" s="140" t="s">
        <v>6312</v>
      </c>
      <c r="I1767" s="140" t="s">
        <v>6313</v>
      </c>
      <c r="J1767" s="140" t="s">
        <v>6314</v>
      </c>
      <c r="K1767" s="140" t="s">
        <v>7088</v>
      </c>
    </row>
    <row r="1768">
      <c r="A1768" s="140" t="s">
        <v>8179</v>
      </c>
      <c r="B1768" s="143">
        <v>6.90222E12</v>
      </c>
      <c r="C1768" s="140" t="s">
        <v>8493</v>
      </c>
      <c r="D1768" s="140" t="s">
        <v>6601</v>
      </c>
      <c r="E1768" s="140" t="s">
        <v>526</v>
      </c>
      <c r="F1768" s="140" t="s">
        <v>553</v>
      </c>
      <c r="G1768" s="141" t="s">
        <v>6401</v>
      </c>
      <c r="H1768" s="140" t="s">
        <v>6312</v>
      </c>
      <c r="I1768" s="140" t="s">
        <v>6313</v>
      </c>
      <c r="J1768" s="140" t="s">
        <v>6314</v>
      </c>
      <c r="K1768" s="140" t="s">
        <v>7088</v>
      </c>
    </row>
    <row r="1769">
      <c r="A1769" s="140" t="s">
        <v>8179</v>
      </c>
      <c r="B1769" s="140">
        <v>2.2130613687E10</v>
      </c>
      <c r="C1769" s="140" t="s">
        <v>8494</v>
      </c>
      <c r="D1769" s="140" t="s">
        <v>6601</v>
      </c>
      <c r="E1769" s="140" t="s">
        <v>526</v>
      </c>
      <c r="F1769" s="140" t="s">
        <v>553</v>
      </c>
      <c r="G1769" s="141" t="s">
        <v>6401</v>
      </c>
      <c r="H1769" s="140" t="s">
        <v>6312</v>
      </c>
      <c r="I1769" s="140" t="s">
        <v>6313</v>
      </c>
      <c r="J1769" s="140" t="s">
        <v>6314</v>
      </c>
      <c r="K1769" s="140" t="s">
        <v>7088</v>
      </c>
    </row>
    <row r="1770">
      <c r="A1770" s="140" t="s">
        <v>8179</v>
      </c>
      <c r="B1770" s="143">
        <v>6.90222E12</v>
      </c>
      <c r="C1770" s="140" t="s">
        <v>8495</v>
      </c>
      <c r="D1770" s="140" t="s">
        <v>6601</v>
      </c>
      <c r="E1770" s="140" t="s">
        <v>526</v>
      </c>
      <c r="F1770" s="140" t="s">
        <v>553</v>
      </c>
      <c r="G1770" s="141" t="s">
        <v>6401</v>
      </c>
      <c r="H1770" s="140" t="s">
        <v>6312</v>
      </c>
      <c r="I1770" s="140" t="s">
        <v>6313</v>
      </c>
      <c r="J1770" s="140" t="s">
        <v>6314</v>
      </c>
      <c r="K1770" s="140" t="s">
        <v>7088</v>
      </c>
    </row>
    <row r="1771">
      <c r="A1771" s="140" t="s">
        <v>8179</v>
      </c>
      <c r="B1771" s="143">
        <v>6.90222E12</v>
      </c>
      <c r="C1771" s="140" t="s">
        <v>8496</v>
      </c>
      <c r="D1771" s="140" t="s">
        <v>6601</v>
      </c>
      <c r="E1771" s="140" t="s">
        <v>526</v>
      </c>
      <c r="F1771" s="140" t="s">
        <v>553</v>
      </c>
      <c r="G1771" s="141" t="s">
        <v>6401</v>
      </c>
      <c r="H1771" s="140" t="s">
        <v>6312</v>
      </c>
      <c r="I1771" s="140" t="s">
        <v>6313</v>
      </c>
      <c r="J1771" s="140" t="s">
        <v>6314</v>
      </c>
      <c r="K1771" s="140" t="s">
        <v>7088</v>
      </c>
    </row>
    <row r="1772">
      <c r="A1772" s="140" t="s">
        <v>8179</v>
      </c>
      <c r="B1772" s="143">
        <v>6.90222E12</v>
      </c>
      <c r="C1772" s="140" t="s">
        <v>8497</v>
      </c>
      <c r="D1772" s="140" t="s">
        <v>6601</v>
      </c>
      <c r="E1772" s="140" t="s">
        <v>526</v>
      </c>
      <c r="F1772" s="140" t="s">
        <v>553</v>
      </c>
      <c r="G1772" s="141" t="s">
        <v>6401</v>
      </c>
      <c r="H1772" s="140" t="s">
        <v>6312</v>
      </c>
      <c r="I1772" s="140" t="s">
        <v>6313</v>
      </c>
      <c r="J1772" s="140" t="s">
        <v>6314</v>
      </c>
      <c r="K1772" s="140" t="s">
        <v>7088</v>
      </c>
    </row>
    <row r="1773">
      <c r="A1773" s="140" t="s">
        <v>8179</v>
      </c>
      <c r="B1773" s="143">
        <v>6.90222E12</v>
      </c>
      <c r="C1773" s="140" t="s">
        <v>8498</v>
      </c>
      <c r="D1773" s="140" t="s">
        <v>6601</v>
      </c>
      <c r="E1773" s="140" t="s">
        <v>526</v>
      </c>
      <c r="F1773" s="140" t="s">
        <v>553</v>
      </c>
      <c r="G1773" s="141" t="s">
        <v>6401</v>
      </c>
      <c r="H1773" s="140" t="s">
        <v>6312</v>
      </c>
      <c r="I1773" s="140" t="s">
        <v>6313</v>
      </c>
      <c r="J1773" s="140" t="s">
        <v>6314</v>
      </c>
      <c r="K1773" s="140" t="s">
        <v>7088</v>
      </c>
    </row>
    <row r="1774">
      <c r="A1774" s="140" t="s">
        <v>8179</v>
      </c>
      <c r="B1774" s="140">
        <v>2.2130613689E10</v>
      </c>
      <c r="C1774" s="140" t="s">
        <v>8499</v>
      </c>
      <c r="D1774" s="140" t="s">
        <v>6601</v>
      </c>
      <c r="E1774" s="140" t="s">
        <v>526</v>
      </c>
      <c r="F1774" s="140" t="s">
        <v>553</v>
      </c>
      <c r="G1774" s="141" t="s">
        <v>6401</v>
      </c>
      <c r="H1774" s="140" t="s">
        <v>6312</v>
      </c>
      <c r="I1774" s="140" t="s">
        <v>6313</v>
      </c>
      <c r="J1774" s="140" t="s">
        <v>6314</v>
      </c>
      <c r="K1774" s="140" t="s">
        <v>7088</v>
      </c>
    </row>
    <row r="1775">
      <c r="A1775" s="140" t="s">
        <v>8179</v>
      </c>
      <c r="B1775" s="140">
        <v>2.2130613695E10</v>
      </c>
      <c r="C1775" s="140" t="s">
        <v>8500</v>
      </c>
      <c r="D1775" s="140" t="s">
        <v>6601</v>
      </c>
      <c r="E1775" s="140" t="s">
        <v>526</v>
      </c>
      <c r="F1775" s="140" t="s">
        <v>553</v>
      </c>
      <c r="G1775" s="141" t="s">
        <v>6401</v>
      </c>
      <c r="H1775" s="140" t="s">
        <v>6312</v>
      </c>
      <c r="I1775" s="140" t="s">
        <v>6313</v>
      </c>
      <c r="J1775" s="140" t="s">
        <v>6314</v>
      </c>
      <c r="K1775" s="140" t="s">
        <v>7088</v>
      </c>
    </row>
    <row r="1776">
      <c r="A1776" s="140" t="s">
        <v>8179</v>
      </c>
      <c r="B1776" s="143">
        <v>6.90222E12</v>
      </c>
      <c r="C1776" s="140" t="s">
        <v>8501</v>
      </c>
      <c r="D1776" s="140" t="s">
        <v>6601</v>
      </c>
      <c r="E1776" s="140" t="s">
        <v>526</v>
      </c>
      <c r="F1776" s="140" t="s">
        <v>553</v>
      </c>
      <c r="G1776" s="141" t="s">
        <v>6401</v>
      </c>
      <c r="H1776" s="140" t="s">
        <v>6312</v>
      </c>
      <c r="I1776" s="140" t="s">
        <v>6313</v>
      </c>
      <c r="J1776" s="140" t="s">
        <v>6314</v>
      </c>
      <c r="K1776" s="140" t="s">
        <v>7088</v>
      </c>
    </row>
    <row r="1777">
      <c r="A1777" s="140" t="s">
        <v>8179</v>
      </c>
      <c r="B1777" s="143">
        <v>6.90222E12</v>
      </c>
      <c r="C1777" s="140" t="s">
        <v>8502</v>
      </c>
      <c r="D1777" s="140" t="s">
        <v>6601</v>
      </c>
      <c r="E1777" s="140" t="s">
        <v>526</v>
      </c>
      <c r="F1777" s="140" t="s">
        <v>553</v>
      </c>
      <c r="G1777" s="141" t="s">
        <v>6401</v>
      </c>
      <c r="H1777" s="140" t="s">
        <v>6312</v>
      </c>
      <c r="I1777" s="140" t="s">
        <v>6313</v>
      </c>
      <c r="J1777" s="140" t="s">
        <v>6314</v>
      </c>
      <c r="K1777" s="140" t="s">
        <v>7088</v>
      </c>
    </row>
    <row r="1778">
      <c r="A1778" s="140" t="s">
        <v>8179</v>
      </c>
      <c r="B1778" s="140">
        <v>2.2130608624E10</v>
      </c>
      <c r="C1778" s="140" t="s">
        <v>8503</v>
      </c>
      <c r="D1778" s="140" t="s">
        <v>6601</v>
      </c>
      <c r="E1778" s="140" t="s">
        <v>526</v>
      </c>
      <c r="F1778" s="140" t="s">
        <v>553</v>
      </c>
      <c r="G1778" s="141" t="s">
        <v>6401</v>
      </c>
      <c r="H1778" s="140" t="s">
        <v>6312</v>
      </c>
      <c r="I1778" s="140" t="s">
        <v>6313</v>
      </c>
      <c r="J1778" s="140" t="s">
        <v>6314</v>
      </c>
      <c r="K1778" s="140" t="s">
        <v>7088</v>
      </c>
    </row>
    <row r="1779">
      <c r="A1779" s="140" t="s">
        <v>8179</v>
      </c>
      <c r="B1779" s="140">
        <v>2.2130608623E10</v>
      </c>
      <c r="C1779" s="140" t="s">
        <v>8503</v>
      </c>
      <c r="D1779" s="140" t="s">
        <v>6601</v>
      </c>
      <c r="E1779" s="140" t="s">
        <v>526</v>
      </c>
      <c r="F1779" s="140" t="s">
        <v>553</v>
      </c>
      <c r="G1779" s="141" t="s">
        <v>6401</v>
      </c>
      <c r="H1779" s="140" t="s">
        <v>6312</v>
      </c>
      <c r="I1779" s="140" t="s">
        <v>6313</v>
      </c>
      <c r="J1779" s="140" t="s">
        <v>6314</v>
      </c>
      <c r="K1779" s="140" t="s">
        <v>7088</v>
      </c>
    </row>
    <row r="1780">
      <c r="A1780" s="140" t="s">
        <v>8179</v>
      </c>
      <c r="B1780" s="140">
        <v>2.2130608622E10</v>
      </c>
      <c r="C1780" s="140" t="s">
        <v>8504</v>
      </c>
      <c r="D1780" s="140" t="s">
        <v>6601</v>
      </c>
      <c r="E1780" s="140" t="s">
        <v>526</v>
      </c>
      <c r="F1780" s="140" t="s">
        <v>553</v>
      </c>
      <c r="G1780" s="141" t="s">
        <v>6401</v>
      </c>
      <c r="H1780" s="140" t="s">
        <v>6312</v>
      </c>
      <c r="I1780" s="140" t="s">
        <v>6313</v>
      </c>
      <c r="J1780" s="140" t="s">
        <v>6314</v>
      </c>
      <c r="K1780" s="140" t="s">
        <v>7088</v>
      </c>
    </row>
    <row r="1781">
      <c r="A1781" s="140" t="s">
        <v>8179</v>
      </c>
      <c r="B1781" s="143">
        <v>6.90222E12</v>
      </c>
      <c r="C1781" s="140" t="s">
        <v>8505</v>
      </c>
      <c r="D1781" s="140" t="s">
        <v>6601</v>
      </c>
      <c r="E1781" s="140" t="s">
        <v>526</v>
      </c>
      <c r="F1781" s="140" t="s">
        <v>553</v>
      </c>
      <c r="G1781" s="141" t="s">
        <v>6401</v>
      </c>
      <c r="H1781" s="140" t="s">
        <v>6312</v>
      </c>
      <c r="I1781" s="140" t="s">
        <v>6313</v>
      </c>
      <c r="J1781" s="140" t="s">
        <v>6314</v>
      </c>
      <c r="K1781" s="140" t="s">
        <v>7088</v>
      </c>
    </row>
    <row r="1782">
      <c r="A1782" s="140" t="s">
        <v>8179</v>
      </c>
      <c r="B1782" s="143">
        <v>6.90222E12</v>
      </c>
      <c r="C1782" s="140" t="s">
        <v>8506</v>
      </c>
      <c r="D1782" s="140" t="s">
        <v>6601</v>
      </c>
      <c r="E1782" s="140" t="s">
        <v>526</v>
      </c>
      <c r="F1782" s="140" t="s">
        <v>553</v>
      </c>
      <c r="G1782" s="141" t="s">
        <v>6401</v>
      </c>
      <c r="H1782" s="140" t="s">
        <v>6312</v>
      </c>
      <c r="I1782" s="140" t="s">
        <v>6313</v>
      </c>
      <c r="J1782" s="140" t="s">
        <v>6314</v>
      </c>
      <c r="K1782" s="140" t="s">
        <v>7088</v>
      </c>
    </row>
    <row r="1783">
      <c r="A1783" s="140" t="s">
        <v>8179</v>
      </c>
      <c r="B1783" s="143">
        <v>6.90222E12</v>
      </c>
      <c r="C1783" s="140" t="s">
        <v>8507</v>
      </c>
      <c r="D1783" s="140" t="s">
        <v>6601</v>
      </c>
      <c r="E1783" s="140" t="s">
        <v>526</v>
      </c>
      <c r="F1783" s="140" t="s">
        <v>553</v>
      </c>
      <c r="G1783" s="141" t="s">
        <v>6401</v>
      </c>
      <c r="H1783" s="140" t="s">
        <v>6312</v>
      </c>
      <c r="I1783" s="140" t="s">
        <v>6313</v>
      </c>
      <c r="J1783" s="140" t="s">
        <v>6314</v>
      </c>
      <c r="K1783" s="140" t="s">
        <v>7088</v>
      </c>
    </row>
    <row r="1784">
      <c r="A1784" s="140" t="s">
        <v>8179</v>
      </c>
      <c r="B1784" s="143">
        <v>6.90222E12</v>
      </c>
      <c r="C1784" s="140" t="s">
        <v>8508</v>
      </c>
      <c r="D1784" s="140" t="s">
        <v>6601</v>
      </c>
      <c r="E1784" s="140" t="s">
        <v>526</v>
      </c>
      <c r="F1784" s="140" t="s">
        <v>553</v>
      </c>
      <c r="G1784" s="141" t="s">
        <v>6401</v>
      </c>
      <c r="H1784" s="140" t="s">
        <v>6312</v>
      </c>
      <c r="I1784" s="140" t="s">
        <v>6313</v>
      </c>
      <c r="J1784" s="140" t="s">
        <v>6314</v>
      </c>
      <c r="K1784" s="140" t="s">
        <v>7088</v>
      </c>
    </row>
    <row r="1785">
      <c r="A1785" s="140" t="s">
        <v>8179</v>
      </c>
      <c r="B1785" s="143">
        <v>6.90222E12</v>
      </c>
      <c r="C1785" s="140" t="s">
        <v>8509</v>
      </c>
      <c r="D1785" s="140" t="s">
        <v>6601</v>
      </c>
      <c r="E1785" s="140" t="s">
        <v>526</v>
      </c>
      <c r="F1785" s="140" t="s">
        <v>553</v>
      </c>
      <c r="G1785" s="141" t="s">
        <v>6401</v>
      </c>
      <c r="H1785" s="140" t="s">
        <v>6312</v>
      </c>
      <c r="I1785" s="140" t="s">
        <v>6313</v>
      </c>
      <c r="J1785" s="140" t="s">
        <v>6314</v>
      </c>
      <c r="K1785" s="140" t="s">
        <v>7088</v>
      </c>
    </row>
    <row r="1786">
      <c r="A1786" s="140" t="s">
        <v>8179</v>
      </c>
      <c r="B1786" s="143">
        <v>6.90222E12</v>
      </c>
      <c r="C1786" s="140" t="s">
        <v>8510</v>
      </c>
      <c r="D1786" s="140" t="s">
        <v>6601</v>
      </c>
      <c r="E1786" s="140" t="s">
        <v>526</v>
      </c>
      <c r="F1786" s="140" t="s">
        <v>553</v>
      </c>
      <c r="G1786" s="141" t="s">
        <v>6401</v>
      </c>
      <c r="H1786" s="140" t="s">
        <v>6312</v>
      </c>
      <c r="I1786" s="140" t="s">
        <v>6313</v>
      </c>
      <c r="J1786" s="140" t="s">
        <v>6314</v>
      </c>
      <c r="K1786" s="140" t="s">
        <v>7088</v>
      </c>
    </row>
    <row r="1787">
      <c r="A1787" s="140" t="s">
        <v>8179</v>
      </c>
      <c r="B1787" s="143">
        <v>6.90222E12</v>
      </c>
      <c r="C1787" s="140" t="s">
        <v>8511</v>
      </c>
      <c r="D1787" s="140" t="s">
        <v>6601</v>
      </c>
      <c r="E1787" s="140" t="s">
        <v>526</v>
      </c>
      <c r="F1787" s="140" t="s">
        <v>553</v>
      </c>
      <c r="G1787" s="141" t="s">
        <v>6401</v>
      </c>
      <c r="H1787" s="140" t="s">
        <v>6312</v>
      </c>
      <c r="I1787" s="140" t="s">
        <v>6313</v>
      </c>
      <c r="J1787" s="140" t="s">
        <v>6314</v>
      </c>
      <c r="K1787" s="140" t="s">
        <v>7088</v>
      </c>
    </row>
    <row r="1788">
      <c r="A1788" s="140" t="s">
        <v>8179</v>
      </c>
      <c r="B1788" s="143">
        <v>6.90222E12</v>
      </c>
      <c r="C1788" s="140" t="s">
        <v>8512</v>
      </c>
      <c r="D1788" s="140" t="s">
        <v>6601</v>
      </c>
      <c r="E1788" s="140" t="s">
        <v>526</v>
      </c>
      <c r="F1788" s="140" t="s">
        <v>553</v>
      </c>
      <c r="G1788" s="141" t="s">
        <v>6401</v>
      </c>
      <c r="H1788" s="140" t="s">
        <v>6312</v>
      </c>
      <c r="I1788" s="140" t="s">
        <v>6313</v>
      </c>
      <c r="J1788" s="140" t="s">
        <v>6314</v>
      </c>
      <c r="K1788" s="140" t="s">
        <v>7088</v>
      </c>
    </row>
    <row r="1789">
      <c r="A1789" s="140" t="s">
        <v>8179</v>
      </c>
      <c r="B1789" s="143">
        <v>6.90222E12</v>
      </c>
      <c r="C1789" s="140" t="s">
        <v>8513</v>
      </c>
      <c r="D1789" s="140" t="s">
        <v>6601</v>
      </c>
      <c r="E1789" s="140" t="s">
        <v>526</v>
      </c>
      <c r="F1789" s="140" t="s">
        <v>553</v>
      </c>
      <c r="G1789" s="141" t="s">
        <v>6401</v>
      </c>
      <c r="H1789" s="140" t="s">
        <v>6312</v>
      </c>
      <c r="I1789" s="140" t="s">
        <v>6313</v>
      </c>
      <c r="J1789" s="140" t="s">
        <v>6314</v>
      </c>
      <c r="K1789" s="140" t="s">
        <v>7088</v>
      </c>
    </row>
    <row r="1790">
      <c r="A1790" s="140" t="s">
        <v>8179</v>
      </c>
      <c r="B1790" s="143">
        <v>6.90222E12</v>
      </c>
      <c r="C1790" s="140" t="s">
        <v>8514</v>
      </c>
      <c r="D1790" s="140" t="s">
        <v>6601</v>
      </c>
      <c r="E1790" s="140" t="s">
        <v>526</v>
      </c>
      <c r="F1790" s="140" t="s">
        <v>553</v>
      </c>
      <c r="G1790" s="141" t="s">
        <v>6401</v>
      </c>
      <c r="H1790" s="140" t="s">
        <v>6312</v>
      </c>
      <c r="I1790" s="140" t="s">
        <v>6313</v>
      </c>
      <c r="J1790" s="140" t="s">
        <v>6314</v>
      </c>
      <c r="K1790" s="140" t="s">
        <v>7088</v>
      </c>
    </row>
    <row r="1791">
      <c r="A1791" s="140" t="s">
        <v>8179</v>
      </c>
      <c r="B1791" s="143">
        <v>6.90222E12</v>
      </c>
      <c r="C1791" s="140" t="s">
        <v>8515</v>
      </c>
      <c r="D1791" s="140" t="s">
        <v>6601</v>
      </c>
      <c r="E1791" s="140" t="s">
        <v>526</v>
      </c>
      <c r="F1791" s="140" t="s">
        <v>553</v>
      </c>
      <c r="G1791" s="141" t="s">
        <v>6401</v>
      </c>
      <c r="H1791" s="140" t="s">
        <v>6312</v>
      </c>
      <c r="I1791" s="140" t="s">
        <v>6313</v>
      </c>
      <c r="J1791" s="140" t="s">
        <v>6314</v>
      </c>
      <c r="K1791" s="140" t="s">
        <v>7088</v>
      </c>
    </row>
    <row r="1792">
      <c r="A1792" s="140" t="s">
        <v>8179</v>
      </c>
      <c r="B1792" s="143">
        <v>6.90222E12</v>
      </c>
      <c r="C1792" s="140" t="s">
        <v>8516</v>
      </c>
      <c r="D1792" s="140" t="s">
        <v>6601</v>
      </c>
      <c r="E1792" s="140" t="s">
        <v>526</v>
      </c>
      <c r="F1792" s="140" t="s">
        <v>553</v>
      </c>
      <c r="G1792" s="141" t="s">
        <v>6401</v>
      </c>
      <c r="H1792" s="140" t="s">
        <v>6312</v>
      </c>
      <c r="I1792" s="140" t="s">
        <v>6313</v>
      </c>
      <c r="J1792" s="140" t="s">
        <v>6314</v>
      </c>
      <c r="K1792" s="140" t="s">
        <v>7088</v>
      </c>
    </row>
    <row r="1793">
      <c r="A1793" s="140" t="s">
        <v>8179</v>
      </c>
      <c r="B1793" s="143">
        <v>6.90222E12</v>
      </c>
      <c r="C1793" s="140" t="s">
        <v>8517</v>
      </c>
      <c r="D1793" s="140" t="s">
        <v>6601</v>
      </c>
      <c r="E1793" s="140" t="s">
        <v>526</v>
      </c>
      <c r="F1793" s="140" t="s">
        <v>553</v>
      </c>
      <c r="G1793" s="141" t="s">
        <v>6401</v>
      </c>
      <c r="H1793" s="140" t="s">
        <v>6312</v>
      </c>
      <c r="I1793" s="140" t="s">
        <v>6313</v>
      </c>
      <c r="J1793" s="140" t="s">
        <v>6314</v>
      </c>
      <c r="K1793" s="140" t="s">
        <v>7088</v>
      </c>
    </row>
    <row r="1794">
      <c r="A1794" s="140" t="s">
        <v>8179</v>
      </c>
      <c r="B1794" s="143">
        <v>6.90222E12</v>
      </c>
      <c r="C1794" s="140" t="s">
        <v>8518</v>
      </c>
      <c r="D1794" s="140" t="s">
        <v>6601</v>
      </c>
      <c r="E1794" s="140" t="s">
        <v>526</v>
      </c>
      <c r="F1794" s="140" t="s">
        <v>553</v>
      </c>
      <c r="G1794" s="141" t="s">
        <v>6401</v>
      </c>
      <c r="H1794" s="140" t="s">
        <v>6312</v>
      </c>
      <c r="I1794" s="140" t="s">
        <v>6313</v>
      </c>
      <c r="J1794" s="140" t="s">
        <v>6314</v>
      </c>
      <c r="K1794" s="140" t="s">
        <v>7088</v>
      </c>
    </row>
    <row r="1795">
      <c r="A1795" s="140" t="s">
        <v>8179</v>
      </c>
      <c r="B1795" s="143">
        <v>6.90222E12</v>
      </c>
      <c r="C1795" s="140" t="s">
        <v>8519</v>
      </c>
      <c r="D1795" s="140" t="s">
        <v>6601</v>
      </c>
      <c r="E1795" s="140" t="s">
        <v>526</v>
      </c>
      <c r="F1795" s="140" t="s">
        <v>553</v>
      </c>
      <c r="G1795" s="141" t="s">
        <v>6401</v>
      </c>
      <c r="H1795" s="140" t="s">
        <v>6312</v>
      </c>
      <c r="I1795" s="140" t="s">
        <v>6313</v>
      </c>
      <c r="J1795" s="140" t="s">
        <v>6314</v>
      </c>
      <c r="K1795" s="140" t="s">
        <v>7088</v>
      </c>
    </row>
    <row r="1796">
      <c r="A1796" s="140" t="s">
        <v>8179</v>
      </c>
      <c r="B1796" s="143">
        <v>6.90222E12</v>
      </c>
      <c r="C1796" s="140" t="s">
        <v>8520</v>
      </c>
      <c r="D1796" s="140" t="s">
        <v>6601</v>
      </c>
      <c r="E1796" s="140" t="s">
        <v>526</v>
      </c>
      <c r="F1796" s="140" t="s">
        <v>553</v>
      </c>
      <c r="G1796" s="141" t="s">
        <v>6401</v>
      </c>
      <c r="H1796" s="140" t="s">
        <v>6312</v>
      </c>
      <c r="I1796" s="140" t="s">
        <v>6313</v>
      </c>
      <c r="J1796" s="140" t="s">
        <v>6314</v>
      </c>
      <c r="K1796" s="140" t="s">
        <v>7088</v>
      </c>
    </row>
    <row r="1797">
      <c r="A1797" s="140" t="s">
        <v>8179</v>
      </c>
      <c r="B1797" s="143">
        <v>6.90222E12</v>
      </c>
      <c r="C1797" s="140" t="s">
        <v>8521</v>
      </c>
      <c r="D1797" s="140" t="s">
        <v>6601</v>
      </c>
      <c r="E1797" s="140" t="s">
        <v>526</v>
      </c>
      <c r="F1797" s="140" t="s">
        <v>553</v>
      </c>
      <c r="G1797" s="141" t="s">
        <v>6401</v>
      </c>
      <c r="H1797" s="140" t="s">
        <v>6312</v>
      </c>
      <c r="I1797" s="140" t="s">
        <v>6313</v>
      </c>
      <c r="J1797" s="140" t="s">
        <v>6314</v>
      </c>
      <c r="K1797" s="140" t="s">
        <v>7088</v>
      </c>
    </row>
    <row r="1798">
      <c r="A1798" s="140" t="s">
        <v>8179</v>
      </c>
      <c r="B1798" s="143">
        <v>6.90222E12</v>
      </c>
      <c r="C1798" s="140" t="s">
        <v>8522</v>
      </c>
      <c r="D1798" s="140" t="s">
        <v>6601</v>
      </c>
      <c r="E1798" s="140" t="s">
        <v>526</v>
      </c>
      <c r="F1798" s="140" t="s">
        <v>553</v>
      </c>
      <c r="G1798" s="141" t="s">
        <v>6401</v>
      </c>
      <c r="H1798" s="140" t="s">
        <v>6312</v>
      </c>
      <c r="I1798" s="140" t="s">
        <v>6313</v>
      </c>
      <c r="J1798" s="140" t="s">
        <v>6314</v>
      </c>
      <c r="K1798" s="140" t="s">
        <v>7088</v>
      </c>
    </row>
    <row r="1799">
      <c r="A1799" s="140" t="s">
        <v>8179</v>
      </c>
      <c r="B1799" s="143">
        <v>6.90222E12</v>
      </c>
      <c r="C1799" s="140" t="s">
        <v>8523</v>
      </c>
      <c r="D1799" s="140" t="s">
        <v>6601</v>
      </c>
      <c r="E1799" s="140" t="s">
        <v>526</v>
      </c>
      <c r="F1799" s="140" t="s">
        <v>175</v>
      </c>
      <c r="G1799" s="141" t="s">
        <v>6401</v>
      </c>
      <c r="H1799" s="140" t="s">
        <v>6312</v>
      </c>
      <c r="I1799" s="140" t="s">
        <v>6313</v>
      </c>
      <c r="J1799" s="140" t="s">
        <v>6314</v>
      </c>
      <c r="K1799" s="140" t="s">
        <v>7088</v>
      </c>
    </row>
    <row r="1800">
      <c r="A1800" s="140" t="s">
        <v>8179</v>
      </c>
      <c r="B1800" s="143">
        <v>6.90222E12</v>
      </c>
      <c r="C1800" s="140" t="s">
        <v>8524</v>
      </c>
      <c r="D1800" s="140" t="s">
        <v>6601</v>
      </c>
      <c r="E1800" s="140" t="s">
        <v>526</v>
      </c>
      <c r="F1800" s="140" t="s">
        <v>175</v>
      </c>
      <c r="G1800" s="141" t="s">
        <v>6401</v>
      </c>
      <c r="H1800" s="140" t="s">
        <v>6312</v>
      </c>
      <c r="I1800" s="140" t="s">
        <v>6313</v>
      </c>
      <c r="J1800" s="140" t="s">
        <v>6314</v>
      </c>
      <c r="K1800" s="140" t="s">
        <v>7088</v>
      </c>
    </row>
    <row r="1801">
      <c r="A1801" s="140" t="s">
        <v>8179</v>
      </c>
      <c r="B1801" s="143">
        <v>6.90222E12</v>
      </c>
      <c r="C1801" s="140" t="s">
        <v>8525</v>
      </c>
      <c r="D1801" s="140" t="s">
        <v>6601</v>
      </c>
      <c r="E1801" s="140" t="s">
        <v>526</v>
      </c>
      <c r="F1801" s="140" t="s">
        <v>175</v>
      </c>
      <c r="G1801" s="141" t="s">
        <v>6401</v>
      </c>
      <c r="H1801" s="140" t="s">
        <v>6312</v>
      </c>
      <c r="I1801" s="140" t="s">
        <v>6313</v>
      </c>
      <c r="J1801" s="140" t="s">
        <v>6314</v>
      </c>
      <c r="K1801" s="140" t="s">
        <v>7088</v>
      </c>
    </row>
    <row r="1802">
      <c r="A1802" s="140" t="s">
        <v>8179</v>
      </c>
      <c r="B1802" s="143">
        <v>6.90222E12</v>
      </c>
      <c r="C1802" s="140" t="s">
        <v>8526</v>
      </c>
      <c r="D1802" s="140" t="s">
        <v>6601</v>
      </c>
      <c r="E1802" s="140" t="s">
        <v>526</v>
      </c>
      <c r="F1802" s="140" t="s">
        <v>175</v>
      </c>
      <c r="G1802" s="141" t="s">
        <v>6401</v>
      </c>
      <c r="H1802" s="140" t="s">
        <v>6312</v>
      </c>
      <c r="I1802" s="140" t="s">
        <v>6313</v>
      </c>
      <c r="J1802" s="140" t="s">
        <v>6314</v>
      </c>
      <c r="K1802" s="140" t="s">
        <v>7088</v>
      </c>
    </row>
    <row r="1803">
      <c r="A1803" s="140" t="s">
        <v>8179</v>
      </c>
      <c r="B1803" s="143">
        <v>6.90222E12</v>
      </c>
      <c r="C1803" s="140" t="s">
        <v>8527</v>
      </c>
      <c r="D1803" s="140" t="s">
        <v>6601</v>
      </c>
      <c r="E1803" s="140" t="s">
        <v>526</v>
      </c>
      <c r="F1803" s="140" t="s">
        <v>175</v>
      </c>
      <c r="G1803" s="141" t="s">
        <v>6668</v>
      </c>
      <c r="H1803" s="140" t="s">
        <v>6312</v>
      </c>
      <c r="I1803" s="140" t="s">
        <v>6313</v>
      </c>
      <c r="J1803" s="140" t="s">
        <v>6314</v>
      </c>
      <c r="K1803" s="140" t="s">
        <v>7088</v>
      </c>
    </row>
    <row r="1804">
      <c r="A1804" s="140" t="s">
        <v>8179</v>
      </c>
      <c r="B1804" s="143">
        <v>6.90222E12</v>
      </c>
      <c r="C1804" s="140" t="s">
        <v>8528</v>
      </c>
      <c r="D1804" s="140" t="s">
        <v>6601</v>
      </c>
      <c r="E1804" s="140" t="s">
        <v>526</v>
      </c>
      <c r="F1804" s="140" t="s">
        <v>175</v>
      </c>
      <c r="G1804" s="141" t="s">
        <v>6401</v>
      </c>
      <c r="H1804" s="140" t="s">
        <v>6312</v>
      </c>
      <c r="I1804" s="140" t="s">
        <v>6313</v>
      </c>
      <c r="J1804" s="140" t="s">
        <v>6314</v>
      </c>
      <c r="K1804" s="140" t="s">
        <v>7088</v>
      </c>
    </row>
    <row r="1805">
      <c r="A1805" s="140" t="s">
        <v>8179</v>
      </c>
      <c r="B1805" s="143">
        <v>6.90222E12</v>
      </c>
      <c r="C1805" s="140" t="s">
        <v>8529</v>
      </c>
      <c r="D1805" s="140" t="s">
        <v>6601</v>
      </c>
      <c r="E1805" s="140" t="s">
        <v>526</v>
      </c>
      <c r="F1805" s="140" t="s">
        <v>175</v>
      </c>
      <c r="G1805" s="141" t="s">
        <v>6664</v>
      </c>
      <c r="H1805" s="140" t="s">
        <v>6312</v>
      </c>
      <c r="I1805" s="140" t="s">
        <v>6313</v>
      </c>
      <c r="J1805" s="140" t="s">
        <v>6314</v>
      </c>
      <c r="K1805" s="140" t="s">
        <v>7088</v>
      </c>
    </row>
    <row r="1806">
      <c r="A1806" s="140" t="s">
        <v>8179</v>
      </c>
      <c r="B1806" s="143">
        <v>6.90222E12</v>
      </c>
      <c r="C1806" s="140" t="s">
        <v>8530</v>
      </c>
      <c r="D1806" s="140" t="s">
        <v>6601</v>
      </c>
      <c r="E1806" s="140" t="s">
        <v>526</v>
      </c>
      <c r="F1806" s="140" t="s">
        <v>175</v>
      </c>
      <c r="G1806" s="141" t="s">
        <v>6401</v>
      </c>
      <c r="H1806" s="140" t="s">
        <v>6312</v>
      </c>
      <c r="I1806" s="140" t="s">
        <v>6313</v>
      </c>
      <c r="J1806" s="140" t="s">
        <v>6314</v>
      </c>
      <c r="K1806" s="140" t="s">
        <v>7088</v>
      </c>
    </row>
    <row r="1807">
      <c r="A1807" s="140" t="s">
        <v>8179</v>
      </c>
      <c r="B1807" s="143">
        <v>6.90222E12</v>
      </c>
      <c r="C1807" s="140" t="s">
        <v>8531</v>
      </c>
      <c r="D1807" s="140" t="s">
        <v>6601</v>
      </c>
      <c r="E1807" s="140" t="s">
        <v>526</v>
      </c>
      <c r="F1807" s="140" t="s">
        <v>175</v>
      </c>
      <c r="G1807" s="141" t="s">
        <v>6401</v>
      </c>
      <c r="H1807" s="140" t="s">
        <v>6312</v>
      </c>
      <c r="I1807" s="140" t="s">
        <v>6313</v>
      </c>
      <c r="J1807" s="140" t="s">
        <v>6314</v>
      </c>
      <c r="K1807" s="140" t="s">
        <v>7088</v>
      </c>
    </row>
    <row r="1808">
      <c r="A1808" s="140" t="s">
        <v>8179</v>
      </c>
      <c r="B1808" s="143">
        <v>6.90222E12</v>
      </c>
      <c r="C1808" s="140" t="s">
        <v>8532</v>
      </c>
      <c r="D1808" s="140" t="s">
        <v>6601</v>
      </c>
      <c r="E1808" s="140" t="s">
        <v>526</v>
      </c>
      <c r="F1808" s="140" t="s">
        <v>175</v>
      </c>
      <c r="G1808" s="141" t="s">
        <v>6401</v>
      </c>
      <c r="H1808" s="140" t="s">
        <v>6312</v>
      </c>
      <c r="I1808" s="140" t="s">
        <v>6313</v>
      </c>
      <c r="J1808" s="140" t="s">
        <v>6314</v>
      </c>
      <c r="K1808" s="140" t="s">
        <v>7088</v>
      </c>
    </row>
    <row r="1809">
      <c r="A1809" s="140" t="s">
        <v>8179</v>
      </c>
      <c r="B1809" s="143">
        <v>6.90222E12</v>
      </c>
      <c r="C1809" s="140" t="s">
        <v>8533</v>
      </c>
      <c r="D1809" s="140" t="s">
        <v>6601</v>
      </c>
      <c r="E1809" s="140" t="s">
        <v>526</v>
      </c>
      <c r="F1809" s="140" t="s">
        <v>175</v>
      </c>
      <c r="G1809" s="141" t="s">
        <v>6401</v>
      </c>
      <c r="H1809" s="140" t="s">
        <v>6312</v>
      </c>
      <c r="I1809" s="140" t="s">
        <v>6313</v>
      </c>
      <c r="J1809" s="140" t="s">
        <v>6314</v>
      </c>
      <c r="K1809" s="140" t="s">
        <v>7088</v>
      </c>
    </row>
    <row r="1810">
      <c r="A1810" s="140" t="s">
        <v>8179</v>
      </c>
      <c r="B1810" s="140">
        <v>2.2130608803E10</v>
      </c>
      <c r="C1810" s="140" t="s">
        <v>8534</v>
      </c>
      <c r="D1810" s="140" t="s">
        <v>6601</v>
      </c>
      <c r="E1810" s="140" t="s">
        <v>526</v>
      </c>
      <c r="F1810" s="140" t="s">
        <v>175</v>
      </c>
      <c r="G1810" s="141" t="s">
        <v>6401</v>
      </c>
      <c r="H1810" s="140" t="s">
        <v>6312</v>
      </c>
      <c r="I1810" s="140" t="s">
        <v>6313</v>
      </c>
      <c r="J1810" s="140" t="s">
        <v>6314</v>
      </c>
      <c r="K1810" s="140" t="s">
        <v>7088</v>
      </c>
    </row>
    <row r="1811">
      <c r="A1811" s="140" t="s">
        <v>8179</v>
      </c>
      <c r="B1811" s="140">
        <v>2.2130608801E10</v>
      </c>
      <c r="C1811" s="140" t="s">
        <v>8535</v>
      </c>
      <c r="D1811" s="140" t="s">
        <v>6601</v>
      </c>
      <c r="E1811" s="140" t="s">
        <v>526</v>
      </c>
      <c r="F1811" s="140" t="s">
        <v>175</v>
      </c>
      <c r="G1811" s="141" t="s">
        <v>6401</v>
      </c>
      <c r="H1811" s="140" t="s">
        <v>6312</v>
      </c>
      <c r="I1811" s="140" t="s">
        <v>6313</v>
      </c>
      <c r="J1811" s="140" t="s">
        <v>6314</v>
      </c>
      <c r="K1811" s="140" t="s">
        <v>7088</v>
      </c>
    </row>
    <row r="1812">
      <c r="A1812" s="140" t="s">
        <v>8179</v>
      </c>
      <c r="B1812" s="143">
        <v>6.90222E12</v>
      </c>
      <c r="C1812" s="140" t="s">
        <v>8536</v>
      </c>
      <c r="D1812" s="140" t="s">
        <v>6601</v>
      </c>
      <c r="E1812" s="140" t="s">
        <v>526</v>
      </c>
      <c r="F1812" s="140" t="s">
        <v>175</v>
      </c>
      <c r="G1812" s="141" t="s">
        <v>6401</v>
      </c>
      <c r="H1812" s="140" t="s">
        <v>6312</v>
      </c>
      <c r="I1812" s="140" t="s">
        <v>6313</v>
      </c>
      <c r="J1812" s="140" t="s">
        <v>6314</v>
      </c>
      <c r="K1812" s="140" t="s">
        <v>7088</v>
      </c>
    </row>
    <row r="1813">
      <c r="A1813" s="140" t="s">
        <v>8179</v>
      </c>
      <c r="B1813" s="143">
        <v>6.90222E12</v>
      </c>
      <c r="C1813" s="140" t="s">
        <v>8537</v>
      </c>
      <c r="D1813" s="140" t="s">
        <v>6601</v>
      </c>
      <c r="E1813" s="140" t="s">
        <v>526</v>
      </c>
      <c r="F1813" s="140" t="s">
        <v>175</v>
      </c>
      <c r="G1813" s="141" t="s">
        <v>6401</v>
      </c>
      <c r="H1813" s="140" t="s">
        <v>6312</v>
      </c>
      <c r="I1813" s="140" t="s">
        <v>6313</v>
      </c>
      <c r="J1813" s="140" t="s">
        <v>6314</v>
      </c>
      <c r="K1813" s="140" t="s">
        <v>7088</v>
      </c>
    </row>
    <row r="1814">
      <c r="A1814" s="140" t="s">
        <v>8179</v>
      </c>
      <c r="B1814" s="143">
        <v>6.90222E12</v>
      </c>
      <c r="C1814" s="140" t="s">
        <v>8538</v>
      </c>
      <c r="D1814" s="140" t="s">
        <v>6601</v>
      </c>
      <c r="E1814" s="140" t="s">
        <v>526</v>
      </c>
      <c r="F1814" s="140" t="s">
        <v>175</v>
      </c>
      <c r="G1814" s="141" t="s">
        <v>6401</v>
      </c>
      <c r="H1814" s="140" t="s">
        <v>6312</v>
      </c>
      <c r="I1814" s="140" t="s">
        <v>6313</v>
      </c>
      <c r="J1814" s="140" t="s">
        <v>6314</v>
      </c>
      <c r="K1814" s="140" t="s">
        <v>7088</v>
      </c>
    </row>
    <row r="1815">
      <c r="A1815" s="140" t="s">
        <v>8179</v>
      </c>
      <c r="B1815" s="143">
        <v>6.90222E12</v>
      </c>
      <c r="C1815" s="140" t="s">
        <v>8539</v>
      </c>
      <c r="D1815" s="140" t="s">
        <v>6601</v>
      </c>
      <c r="E1815" s="140" t="s">
        <v>526</v>
      </c>
      <c r="F1815" s="140" t="s">
        <v>175</v>
      </c>
      <c r="G1815" s="141" t="s">
        <v>6401</v>
      </c>
      <c r="H1815" s="140" t="s">
        <v>6312</v>
      </c>
      <c r="I1815" s="140" t="s">
        <v>6313</v>
      </c>
      <c r="J1815" s="140" t="s">
        <v>6314</v>
      </c>
      <c r="K1815" s="140" t="s">
        <v>7088</v>
      </c>
    </row>
    <row r="1816">
      <c r="A1816" s="140" t="s">
        <v>8179</v>
      </c>
      <c r="B1816" s="143">
        <v>6.90222E12</v>
      </c>
      <c r="C1816" s="140" t="s">
        <v>8540</v>
      </c>
      <c r="D1816" s="140" t="s">
        <v>6601</v>
      </c>
      <c r="E1816" s="140" t="s">
        <v>526</v>
      </c>
      <c r="F1816" s="140" t="s">
        <v>175</v>
      </c>
      <c r="G1816" s="141" t="s">
        <v>6401</v>
      </c>
      <c r="H1816" s="140" t="s">
        <v>6312</v>
      </c>
      <c r="I1816" s="140" t="s">
        <v>6313</v>
      </c>
      <c r="J1816" s="140" t="s">
        <v>6314</v>
      </c>
      <c r="K1816" s="140" t="s">
        <v>7088</v>
      </c>
    </row>
    <row r="1817">
      <c r="A1817" s="140" t="s">
        <v>8179</v>
      </c>
      <c r="B1817" s="143">
        <v>6.90222E12</v>
      </c>
      <c r="C1817" s="140" t="s">
        <v>8541</v>
      </c>
      <c r="D1817" s="140" t="s">
        <v>6601</v>
      </c>
      <c r="E1817" s="140" t="s">
        <v>526</v>
      </c>
      <c r="F1817" s="140" t="s">
        <v>175</v>
      </c>
      <c r="G1817" s="141" t="s">
        <v>6401</v>
      </c>
      <c r="H1817" s="140" t="s">
        <v>6312</v>
      </c>
      <c r="I1817" s="140" t="s">
        <v>6313</v>
      </c>
      <c r="J1817" s="140" t="s">
        <v>6314</v>
      </c>
      <c r="K1817" s="140" t="s">
        <v>7088</v>
      </c>
    </row>
    <row r="1818">
      <c r="A1818" s="140" t="s">
        <v>8179</v>
      </c>
      <c r="B1818" s="143">
        <v>6.90222E12</v>
      </c>
      <c r="C1818" s="140" t="s">
        <v>8542</v>
      </c>
      <c r="D1818" s="140" t="s">
        <v>6601</v>
      </c>
      <c r="E1818" s="140" t="s">
        <v>526</v>
      </c>
      <c r="F1818" s="140" t="s">
        <v>175</v>
      </c>
      <c r="G1818" s="141" t="s">
        <v>6401</v>
      </c>
      <c r="H1818" s="140" t="s">
        <v>6312</v>
      </c>
      <c r="I1818" s="140" t="s">
        <v>6313</v>
      </c>
      <c r="J1818" s="140" t="s">
        <v>6314</v>
      </c>
      <c r="K1818" s="140" t="s">
        <v>7088</v>
      </c>
    </row>
    <row r="1819">
      <c r="A1819" s="140" t="s">
        <v>8179</v>
      </c>
      <c r="B1819" s="143">
        <v>6.90222E12</v>
      </c>
      <c r="C1819" s="140" t="s">
        <v>8543</v>
      </c>
      <c r="D1819" s="140" t="s">
        <v>6601</v>
      </c>
      <c r="E1819" s="140" t="s">
        <v>526</v>
      </c>
      <c r="F1819" s="140" t="s">
        <v>175</v>
      </c>
      <c r="G1819" s="141" t="s">
        <v>6401</v>
      </c>
      <c r="H1819" s="140" t="s">
        <v>6312</v>
      </c>
      <c r="I1819" s="140" t="s">
        <v>6313</v>
      </c>
      <c r="J1819" s="140" t="s">
        <v>6314</v>
      </c>
      <c r="K1819" s="140" t="s">
        <v>7088</v>
      </c>
    </row>
    <row r="1820">
      <c r="A1820" s="140" t="s">
        <v>8179</v>
      </c>
      <c r="B1820" s="143">
        <v>6.90222E12</v>
      </c>
      <c r="C1820" s="140" t="s">
        <v>8544</v>
      </c>
      <c r="D1820" s="140" t="s">
        <v>6601</v>
      </c>
      <c r="E1820" s="140" t="s">
        <v>526</v>
      </c>
      <c r="F1820" s="140" t="s">
        <v>175</v>
      </c>
      <c r="G1820" s="141" t="s">
        <v>6401</v>
      </c>
      <c r="H1820" s="140" t="s">
        <v>6312</v>
      </c>
      <c r="I1820" s="140" t="s">
        <v>6313</v>
      </c>
      <c r="J1820" s="140" t="s">
        <v>6314</v>
      </c>
      <c r="K1820" s="140" t="s">
        <v>7088</v>
      </c>
    </row>
    <row r="1821">
      <c r="A1821" s="140" t="s">
        <v>8179</v>
      </c>
      <c r="B1821" s="143">
        <v>6.90222E12</v>
      </c>
      <c r="C1821" s="140" t="s">
        <v>8545</v>
      </c>
      <c r="D1821" s="140" t="s">
        <v>6601</v>
      </c>
      <c r="E1821" s="140" t="s">
        <v>526</v>
      </c>
      <c r="F1821" s="140" t="s">
        <v>175</v>
      </c>
      <c r="G1821" s="141" t="s">
        <v>6401</v>
      </c>
      <c r="H1821" s="140" t="s">
        <v>6312</v>
      </c>
      <c r="I1821" s="140" t="s">
        <v>6313</v>
      </c>
      <c r="J1821" s="140" t="s">
        <v>6314</v>
      </c>
      <c r="K1821" s="140" t="s">
        <v>7088</v>
      </c>
    </row>
    <row r="1822">
      <c r="A1822" s="140" t="s">
        <v>8179</v>
      </c>
      <c r="B1822" s="143">
        <v>6.90222E12</v>
      </c>
      <c r="C1822" s="140" t="s">
        <v>8546</v>
      </c>
      <c r="D1822" s="140" t="s">
        <v>6601</v>
      </c>
      <c r="E1822" s="140" t="s">
        <v>526</v>
      </c>
      <c r="F1822" s="140" t="s">
        <v>175</v>
      </c>
      <c r="G1822" s="141" t="s">
        <v>6401</v>
      </c>
      <c r="H1822" s="140" t="s">
        <v>6312</v>
      </c>
      <c r="I1822" s="140" t="s">
        <v>6313</v>
      </c>
      <c r="J1822" s="140" t="s">
        <v>6314</v>
      </c>
      <c r="K1822" s="140" t="s">
        <v>7088</v>
      </c>
    </row>
    <row r="1823">
      <c r="A1823" s="140" t="s">
        <v>8179</v>
      </c>
      <c r="B1823" s="143">
        <v>6.90222E12</v>
      </c>
      <c r="C1823" s="140" t="s">
        <v>8547</v>
      </c>
      <c r="D1823" s="140" t="s">
        <v>6601</v>
      </c>
      <c r="E1823" s="140" t="s">
        <v>526</v>
      </c>
      <c r="F1823" s="140" t="s">
        <v>175</v>
      </c>
      <c r="G1823" s="141" t="s">
        <v>6401</v>
      </c>
      <c r="H1823" s="140" t="s">
        <v>6312</v>
      </c>
      <c r="I1823" s="140" t="s">
        <v>6313</v>
      </c>
      <c r="J1823" s="140" t="s">
        <v>6314</v>
      </c>
      <c r="K1823" s="140" t="s">
        <v>7088</v>
      </c>
    </row>
    <row r="1824">
      <c r="A1824" s="140" t="s">
        <v>8179</v>
      </c>
      <c r="B1824" s="143">
        <v>6.90222E12</v>
      </c>
      <c r="C1824" s="140" t="s">
        <v>8548</v>
      </c>
      <c r="D1824" s="140" t="s">
        <v>6601</v>
      </c>
      <c r="E1824" s="140" t="s">
        <v>526</v>
      </c>
      <c r="F1824" s="140" t="s">
        <v>175</v>
      </c>
      <c r="G1824" s="141" t="s">
        <v>6401</v>
      </c>
      <c r="H1824" s="140" t="s">
        <v>6312</v>
      </c>
      <c r="I1824" s="140" t="s">
        <v>6313</v>
      </c>
      <c r="J1824" s="140" t="s">
        <v>6314</v>
      </c>
      <c r="K1824" s="140" t="s">
        <v>7088</v>
      </c>
    </row>
    <row r="1825">
      <c r="A1825" s="140" t="s">
        <v>8179</v>
      </c>
      <c r="B1825" s="143">
        <v>6.90222E12</v>
      </c>
      <c r="C1825" s="140" t="s">
        <v>8549</v>
      </c>
      <c r="D1825" s="140" t="s">
        <v>6601</v>
      </c>
      <c r="E1825" s="140" t="s">
        <v>526</v>
      </c>
      <c r="F1825" s="140" t="s">
        <v>175</v>
      </c>
      <c r="G1825" s="141" t="s">
        <v>6401</v>
      </c>
      <c r="H1825" s="140" t="s">
        <v>6312</v>
      </c>
      <c r="I1825" s="140" t="s">
        <v>6313</v>
      </c>
      <c r="J1825" s="140" t="s">
        <v>6314</v>
      </c>
      <c r="K1825" s="140" t="s">
        <v>7088</v>
      </c>
    </row>
    <row r="1826">
      <c r="A1826" s="140" t="s">
        <v>8179</v>
      </c>
      <c r="B1826" s="143">
        <v>6.90222E12</v>
      </c>
      <c r="C1826" s="140" t="s">
        <v>8550</v>
      </c>
      <c r="D1826" s="140" t="s">
        <v>6601</v>
      </c>
      <c r="E1826" s="140" t="s">
        <v>526</v>
      </c>
      <c r="F1826" s="140" t="s">
        <v>175</v>
      </c>
      <c r="G1826" s="141" t="s">
        <v>6401</v>
      </c>
      <c r="H1826" s="140" t="s">
        <v>6312</v>
      </c>
      <c r="I1826" s="140" t="s">
        <v>6313</v>
      </c>
      <c r="J1826" s="140" t="s">
        <v>6314</v>
      </c>
      <c r="K1826" s="140" t="s">
        <v>7088</v>
      </c>
    </row>
    <row r="1827">
      <c r="A1827" s="140" t="s">
        <v>8179</v>
      </c>
      <c r="B1827" s="143">
        <v>6.90222E12</v>
      </c>
      <c r="C1827" s="140" t="s">
        <v>8551</v>
      </c>
      <c r="D1827" s="140" t="s">
        <v>6601</v>
      </c>
      <c r="E1827" s="140" t="s">
        <v>526</v>
      </c>
      <c r="F1827" s="140" t="s">
        <v>175</v>
      </c>
      <c r="G1827" s="141" t="s">
        <v>6401</v>
      </c>
      <c r="H1827" s="140" t="s">
        <v>6312</v>
      </c>
      <c r="I1827" s="140" t="s">
        <v>6313</v>
      </c>
      <c r="J1827" s="140" t="s">
        <v>6314</v>
      </c>
      <c r="K1827" s="140" t="s">
        <v>7088</v>
      </c>
    </row>
    <row r="1828">
      <c r="A1828" s="140" t="s">
        <v>8179</v>
      </c>
      <c r="B1828" s="143">
        <v>6.90222E12</v>
      </c>
      <c r="C1828" s="140" t="s">
        <v>8552</v>
      </c>
      <c r="D1828" s="140" t="s">
        <v>6601</v>
      </c>
      <c r="E1828" s="140" t="s">
        <v>526</v>
      </c>
      <c r="F1828" s="140" t="s">
        <v>175</v>
      </c>
      <c r="G1828" s="141" t="s">
        <v>6401</v>
      </c>
      <c r="H1828" s="140" t="s">
        <v>6312</v>
      </c>
      <c r="I1828" s="140" t="s">
        <v>6313</v>
      </c>
      <c r="J1828" s="140" t="s">
        <v>6314</v>
      </c>
      <c r="K1828" s="140" t="s">
        <v>7088</v>
      </c>
    </row>
    <row r="1829">
      <c r="A1829" s="140" t="s">
        <v>8179</v>
      </c>
      <c r="B1829" s="143">
        <v>6.90222E12</v>
      </c>
      <c r="C1829" s="140" t="s">
        <v>8553</v>
      </c>
      <c r="D1829" s="140" t="s">
        <v>6601</v>
      </c>
      <c r="E1829" s="140" t="s">
        <v>526</v>
      </c>
      <c r="F1829" s="140" t="s">
        <v>175</v>
      </c>
      <c r="G1829" s="141" t="s">
        <v>6401</v>
      </c>
      <c r="H1829" s="140" t="s">
        <v>6312</v>
      </c>
      <c r="I1829" s="140" t="s">
        <v>6313</v>
      </c>
      <c r="J1829" s="140" t="s">
        <v>6314</v>
      </c>
      <c r="K1829" s="140" t="s">
        <v>7088</v>
      </c>
    </row>
    <row r="1830">
      <c r="A1830" s="140" t="s">
        <v>8179</v>
      </c>
      <c r="B1830" s="143">
        <v>6.90222E12</v>
      </c>
      <c r="C1830" s="140" t="s">
        <v>8554</v>
      </c>
      <c r="D1830" s="140" t="s">
        <v>6601</v>
      </c>
      <c r="E1830" s="140" t="s">
        <v>526</v>
      </c>
      <c r="F1830" s="140" t="s">
        <v>175</v>
      </c>
      <c r="G1830" s="141" t="s">
        <v>6401</v>
      </c>
      <c r="H1830" s="140" t="s">
        <v>6312</v>
      </c>
      <c r="I1830" s="140" t="s">
        <v>6313</v>
      </c>
      <c r="J1830" s="140" t="s">
        <v>6314</v>
      </c>
      <c r="K1830" s="140" t="s">
        <v>7088</v>
      </c>
    </row>
    <row r="1831">
      <c r="A1831" s="140" t="s">
        <v>8179</v>
      </c>
      <c r="B1831" s="143">
        <v>6.90222E12</v>
      </c>
      <c r="C1831" s="140" t="s">
        <v>8555</v>
      </c>
      <c r="D1831" s="140" t="s">
        <v>6601</v>
      </c>
      <c r="E1831" s="140" t="s">
        <v>526</v>
      </c>
      <c r="F1831" s="140" t="s">
        <v>175</v>
      </c>
      <c r="G1831" s="141" t="s">
        <v>6401</v>
      </c>
      <c r="H1831" s="140" t="s">
        <v>6312</v>
      </c>
      <c r="I1831" s="140" t="s">
        <v>6313</v>
      </c>
      <c r="J1831" s="140" t="s">
        <v>6314</v>
      </c>
      <c r="K1831" s="140" t="s">
        <v>7088</v>
      </c>
    </row>
    <row r="1832">
      <c r="A1832" s="140" t="s">
        <v>8179</v>
      </c>
      <c r="B1832" s="143">
        <v>6.90222E12</v>
      </c>
      <c r="C1832" s="140" t="s">
        <v>8556</v>
      </c>
      <c r="D1832" s="140" t="s">
        <v>6601</v>
      </c>
      <c r="E1832" s="140" t="s">
        <v>526</v>
      </c>
      <c r="F1832" s="140" t="s">
        <v>175</v>
      </c>
      <c r="G1832" s="141" t="s">
        <v>6401</v>
      </c>
      <c r="H1832" s="140" t="s">
        <v>6312</v>
      </c>
      <c r="I1832" s="140" t="s">
        <v>6313</v>
      </c>
      <c r="J1832" s="140" t="s">
        <v>6314</v>
      </c>
      <c r="K1832" s="140" t="s">
        <v>7088</v>
      </c>
    </row>
    <row r="1833">
      <c r="A1833" s="140" t="s">
        <v>8179</v>
      </c>
      <c r="B1833" s="143">
        <v>6.90222E12</v>
      </c>
      <c r="C1833" s="140" t="s">
        <v>8557</v>
      </c>
      <c r="D1833" s="140" t="s">
        <v>6601</v>
      </c>
      <c r="E1833" s="140" t="s">
        <v>526</v>
      </c>
      <c r="F1833" s="140" t="s">
        <v>175</v>
      </c>
      <c r="G1833" s="141" t="s">
        <v>6401</v>
      </c>
      <c r="H1833" s="140" t="s">
        <v>6312</v>
      </c>
      <c r="I1833" s="140" t="s">
        <v>6313</v>
      </c>
      <c r="J1833" s="140" t="s">
        <v>6314</v>
      </c>
      <c r="K1833" s="140" t="s">
        <v>7088</v>
      </c>
    </row>
    <row r="1834">
      <c r="A1834" s="140" t="s">
        <v>8179</v>
      </c>
      <c r="B1834" s="143">
        <v>6.90222E12</v>
      </c>
      <c r="C1834" s="140" t="s">
        <v>8558</v>
      </c>
      <c r="D1834" s="140" t="s">
        <v>6601</v>
      </c>
      <c r="E1834" s="140" t="s">
        <v>526</v>
      </c>
      <c r="F1834" s="140" t="s">
        <v>175</v>
      </c>
      <c r="G1834" s="141" t="s">
        <v>6668</v>
      </c>
      <c r="H1834" s="140" t="s">
        <v>6312</v>
      </c>
      <c r="I1834" s="140" t="s">
        <v>6313</v>
      </c>
      <c r="J1834" s="140" t="s">
        <v>6314</v>
      </c>
      <c r="K1834" s="140" t="s">
        <v>7088</v>
      </c>
    </row>
    <row r="1835">
      <c r="A1835" s="140" t="s">
        <v>8179</v>
      </c>
      <c r="B1835" s="143">
        <v>6.90222E12</v>
      </c>
      <c r="C1835" s="140" t="s">
        <v>8559</v>
      </c>
      <c r="D1835" s="140" t="s">
        <v>6601</v>
      </c>
      <c r="E1835" s="140" t="s">
        <v>526</v>
      </c>
      <c r="F1835" s="140" t="s">
        <v>175</v>
      </c>
      <c r="G1835" s="141" t="s">
        <v>6401</v>
      </c>
      <c r="H1835" s="140" t="s">
        <v>6312</v>
      </c>
      <c r="I1835" s="140" t="s">
        <v>6313</v>
      </c>
      <c r="J1835" s="140" t="s">
        <v>6314</v>
      </c>
      <c r="K1835" s="140" t="s">
        <v>7088</v>
      </c>
    </row>
    <row r="1836">
      <c r="A1836" s="140" t="s">
        <v>8179</v>
      </c>
      <c r="B1836" s="143">
        <v>6.90222E12</v>
      </c>
      <c r="C1836" s="140" t="s">
        <v>8560</v>
      </c>
      <c r="D1836" s="140" t="s">
        <v>6601</v>
      </c>
      <c r="E1836" s="140" t="s">
        <v>526</v>
      </c>
      <c r="F1836" s="140" t="s">
        <v>175</v>
      </c>
      <c r="G1836" s="141" t="s">
        <v>6401</v>
      </c>
      <c r="H1836" s="140" t="s">
        <v>6312</v>
      </c>
      <c r="I1836" s="140" t="s">
        <v>6313</v>
      </c>
      <c r="J1836" s="140" t="s">
        <v>6314</v>
      </c>
      <c r="K1836" s="140" t="s">
        <v>7088</v>
      </c>
    </row>
    <row r="1837">
      <c r="A1837" s="140" t="s">
        <v>8179</v>
      </c>
      <c r="B1837" s="143">
        <v>6.90222E12</v>
      </c>
      <c r="C1837" s="140" t="s">
        <v>8561</v>
      </c>
      <c r="D1837" s="140" t="s">
        <v>6601</v>
      </c>
      <c r="E1837" s="140" t="s">
        <v>526</v>
      </c>
      <c r="F1837" s="140" t="s">
        <v>175</v>
      </c>
      <c r="G1837" s="141" t="s">
        <v>6401</v>
      </c>
      <c r="H1837" s="140" t="s">
        <v>6312</v>
      </c>
      <c r="I1837" s="140" t="s">
        <v>6313</v>
      </c>
      <c r="J1837" s="140" t="s">
        <v>6314</v>
      </c>
      <c r="K1837" s="140" t="s">
        <v>7088</v>
      </c>
    </row>
    <row r="1838">
      <c r="A1838" s="140" t="s">
        <v>8179</v>
      </c>
      <c r="B1838" s="140">
        <v>9.9131300324E10</v>
      </c>
      <c r="C1838" s="140" t="s">
        <v>8562</v>
      </c>
      <c r="D1838" s="140" t="s">
        <v>6601</v>
      </c>
      <c r="E1838" s="140" t="s">
        <v>526</v>
      </c>
      <c r="F1838" s="140" t="s">
        <v>175</v>
      </c>
      <c r="G1838" s="141" t="s">
        <v>6401</v>
      </c>
      <c r="H1838" s="140" t="s">
        <v>6312</v>
      </c>
      <c r="I1838" s="140" t="s">
        <v>6313</v>
      </c>
      <c r="J1838" s="140" t="s">
        <v>6314</v>
      </c>
      <c r="K1838" s="140" t="s">
        <v>7088</v>
      </c>
    </row>
    <row r="1839">
      <c r="A1839" s="140" t="s">
        <v>8179</v>
      </c>
      <c r="B1839" s="140">
        <v>2.21306087E10</v>
      </c>
      <c r="C1839" s="140" t="s">
        <v>8563</v>
      </c>
      <c r="D1839" s="140" t="s">
        <v>6601</v>
      </c>
      <c r="E1839" s="140" t="s">
        <v>526</v>
      </c>
      <c r="F1839" s="140" t="s">
        <v>175</v>
      </c>
      <c r="G1839" s="141" t="s">
        <v>6401</v>
      </c>
      <c r="H1839" s="140" t="s">
        <v>6312</v>
      </c>
      <c r="I1839" s="140" t="s">
        <v>6313</v>
      </c>
      <c r="J1839" s="140" t="s">
        <v>6314</v>
      </c>
      <c r="K1839" s="140" t="s">
        <v>7088</v>
      </c>
    </row>
    <row r="1840">
      <c r="A1840" s="140" t="s">
        <v>8179</v>
      </c>
      <c r="B1840" s="140">
        <v>2.2130608699E10</v>
      </c>
      <c r="C1840" s="140" t="s">
        <v>8564</v>
      </c>
      <c r="D1840" s="140" t="s">
        <v>6601</v>
      </c>
      <c r="E1840" s="140" t="s">
        <v>526</v>
      </c>
      <c r="F1840" s="140" t="s">
        <v>175</v>
      </c>
      <c r="G1840" s="141" t="s">
        <v>6401</v>
      </c>
      <c r="H1840" s="140" t="s">
        <v>6312</v>
      </c>
      <c r="I1840" s="140" t="s">
        <v>6313</v>
      </c>
      <c r="J1840" s="140" t="s">
        <v>6314</v>
      </c>
      <c r="K1840" s="140" t="s">
        <v>7088</v>
      </c>
    </row>
    <row r="1841">
      <c r="A1841" s="140" t="s">
        <v>8179</v>
      </c>
      <c r="B1841" s="140">
        <v>9.9131300323E10</v>
      </c>
      <c r="C1841" s="140" t="s">
        <v>8565</v>
      </c>
      <c r="D1841" s="140" t="s">
        <v>6601</v>
      </c>
      <c r="E1841" s="140" t="s">
        <v>526</v>
      </c>
      <c r="F1841" s="140" t="s">
        <v>175</v>
      </c>
      <c r="G1841" s="141" t="s">
        <v>6401</v>
      </c>
      <c r="H1841" s="140" t="s">
        <v>6312</v>
      </c>
      <c r="I1841" s="140" t="s">
        <v>6313</v>
      </c>
      <c r="J1841" s="140" t="s">
        <v>6314</v>
      </c>
      <c r="K1841" s="140" t="s">
        <v>7088</v>
      </c>
    </row>
    <row r="1842">
      <c r="A1842" s="140" t="s">
        <v>8179</v>
      </c>
      <c r="B1842" s="140">
        <v>2.2130608701E10</v>
      </c>
      <c r="C1842" s="140" t="s">
        <v>8566</v>
      </c>
      <c r="D1842" s="140" t="s">
        <v>6601</v>
      </c>
      <c r="E1842" s="140" t="s">
        <v>526</v>
      </c>
      <c r="F1842" s="140" t="s">
        <v>175</v>
      </c>
      <c r="G1842" s="141" t="s">
        <v>6401</v>
      </c>
      <c r="H1842" s="140" t="s">
        <v>6312</v>
      </c>
      <c r="I1842" s="140" t="s">
        <v>6313</v>
      </c>
      <c r="J1842" s="140" t="s">
        <v>6314</v>
      </c>
      <c r="K1842" s="140" t="s">
        <v>7088</v>
      </c>
    </row>
    <row r="1843">
      <c r="A1843" s="140" t="s">
        <v>8179</v>
      </c>
      <c r="B1843" s="143">
        <v>6.90222E12</v>
      </c>
      <c r="C1843" s="140" t="s">
        <v>8567</v>
      </c>
      <c r="D1843" s="140" t="s">
        <v>6601</v>
      </c>
      <c r="E1843" s="140" t="s">
        <v>526</v>
      </c>
      <c r="F1843" s="140" t="s">
        <v>175</v>
      </c>
      <c r="G1843" s="141" t="s">
        <v>6401</v>
      </c>
      <c r="H1843" s="140" t="s">
        <v>6312</v>
      </c>
      <c r="I1843" s="140" t="s">
        <v>6313</v>
      </c>
      <c r="J1843" s="140" t="s">
        <v>6314</v>
      </c>
      <c r="K1843" s="140" t="s">
        <v>7088</v>
      </c>
    </row>
    <row r="1844">
      <c r="A1844" s="140" t="s">
        <v>8179</v>
      </c>
      <c r="B1844" s="140">
        <v>2.2130608702E10</v>
      </c>
      <c r="C1844" s="140" t="s">
        <v>8568</v>
      </c>
      <c r="D1844" s="140" t="s">
        <v>6601</v>
      </c>
      <c r="E1844" s="140" t="s">
        <v>526</v>
      </c>
      <c r="F1844" s="140" t="s">
        <v>175</v>
      </c>
      <c r="G1844" s="141" t="s">
        <v>6401</v>
      </c>
      <c r="H1844" s="140" t="s">
        <v>6312</v>
      </c>
      <c r="I1844" s="140" t="s">
        <v>6313</v>
      </c>
      <c r="J1844" s="140" t="s">
        <v>6314</v>
      </c>
      <c r="K1844" s="140" t="s">
        <v>7088</v>
      </c>
    </row>
    <row r="1845">
      <c r="A1845" s="140" t="s">
        <v>8179</v>
      </c>
      <c r="B1845" s="143">
        <v>6.90222E12</v>
      </c>
      <c r="C1845" s="140" t="s">
        <v>8569</v>
      </c>
      <c r="D1845" s="140" t="s">
        <v>6601</v>
      </c>
      <c r="E1845" s="140" t="s">
        <v>526</v>
      </c>
      <c r="F1845" s="140" t="s">
        <v>175</v>
      </c>
      <c r="G1845" s="141" t="s">
        <v>6401</v>
      </c>
      <c r="H1845" s="140" t="s">
        <v>6312</v>
      </c>
      <c r="I1845" s="140" t="s">
        <v>6313</v>
      </c>
      <c r="J1845" s="140" t="s">
        <v>6314</v>
      </c>
      <c r="K1845" s="140" t="s">
        <v>7088</v>
      </c>
    </row>
    <row r="1846">
      <c r="A1846" s="140" t="s">
        <v>8179</v>
      </c>
      <c r="B1846" s="143">
        <v>6.90222E12</v>
      </c>
      <c r="C1846" s="140" t="s">
        <v>8570</v>
      </c>
      <c r="D1846" s="140" t="s">
        <v>6601</v>
      </c>
      <c r="E1846" s="140" t="s">
        <v>526</v>
      </c>
      <c r="F1846" s="140" t="s">
        <v>175</v>
      </c>
      <c r="G1846" s="141" t="s">
        <v>6401</v>
      </c>
      <c r="H1846" s="140" t="s">
        <v>6312</v>
      </c>
      <c r="I1846" s="140" t="s">
        <v>6313</v>
      </c>
      <c r="J1846" s="140" t="s">
        <v>6314</v>
      </c>
      <c r="K1846" s="140" t="s">
        <v>7088</v>
      </c>
    </row>
    <row r="1847">
      <c r="A1847" s="140" t="s">
        <v>8179</v>
      </c>
      <c r="B1847" s="140">
        <v>9.9131300327E10</v>
      </c>
      <c r="C1847" s="140" t="s">
        <v>8571</v>
      </c>
      <c r="D1847" s="140" t="s">
        <v>6601</v>
      </c>
      <c r="E1847" s="140" t="s">
        <v>526</v>
      </c>
      <c r="F1847" s="140" t="s">
        <v>175</v>
      </c>
      <c r="G1847" s="141" t="s">
        <v>6401</v>
      </c>
      <c r="H1847" s="140" t="s">
        <v>6312</v>
      </c>
      <c r="I1847" s="140" t="s">
        <v>6313</v>
      </c>
      <c r="J1847" s="140" t="s">
        <v>6314</v>
      </c>
      <c r="K1847" s="140" t="s">
        <v>7088</v>
      </c>
    </row>
    <row r="1848">
      <c r="A1848" s="140" t="s">
        <v>8179</v>
      </c>
      <c r="B1848" s="143">
        <v>6.90222E12</v>
      </c>
      <c r="C1848" s="140" t="s">
        <v>8572</v>
      </c>
      <c r="D1848" s="140" t="s">
        <v>6601</v>
      </c>
      <c r="E1848" s="140" t="s">
        <v>526</v>
      </c>
      <c r="F1848" s="140" t="s">
        <v>175</v>
      </c>
      <c r="G1848" s="141" t="s">
        <v>6401</v>
      </c>
      <c r="H1848" s="140" t="s">
        <v>6312</v>
      </c>
      <c r="I1848" s="140" t="s">
        <v>6313</v>
      </c>
      <c r="J1848" s="140" t="s">
        <v>6314</v>
      </c>
      <c r="K1848" s="140" t="s">
        <v>7088</v>
      </c>
    </row>
    <row r="1849">
      <c r="A1849" s="140" t="s">
        <v>8179</v>
      </c>
      <c r="B1849" s="140">
        <v>9.9131300325E10</v>
      </c>
      <c r="C1849" s="140" t="s">
        <v>8573</v>
      </c>
      <c r="D1849" s="140" t="s">
        <v>6601</v>
      </c>
      <c r="E1849" s="140" t="s">
        <v>526</v>
      </c>
      <c r="F1849" s="140" t="s">
        <v>175</v>
      </c>
      <c r="G1849" s="141" t="s">
        <v>6401</v>
      </c>
      <c r="H1849" s="140" t="s">
        <v>6312</v>
      </c>
      <c r="I1849" s="140" t="s">
        <v>6313</v>
      </c>
      <c r="J1849" s="140" t="s">
        <v>6314</v>
      </c>
      <c r="K1849" s="140" t="s">
        <v>7088</v>
      </c>
    </row>
    <row r="1850">
      <c r="A1850" s="140" t="s">
        <v>8179</v>
      </c>
      <c r="B1850" s="143">
        <v>6.90222E12</v>
      </c>
      <c r="C1850" s="140" t="s">
        <v>8574</v>
      </c>
      <c r="D1850" s="140" t="s">
        <v>6601</v>
      </c>
      <c r="E1850" s="140" t="s">
        <v>526</v>
      </c>
      <c r="F1850" s="140" t="s">
        <v>175</v>
      </c>
      <c r="G1850" s="141" t="s">
        <v>6401</v>
      </c>
      <c r="H1850" s="140" t="s">
        <v>6312</v>
      </c>
      <c r="I1850" s="140" t="s">
        <v>6313</v>
      </c>
      <c r="J1850" s="140" t="s">
        <v>6314</v>
      </c>
      <c r="K1850" s="140" t="s">
        <v>7088</v>
      </c>
    </row>
    <row r="1851">
      <c r="A1851" s="140" t="s">
        <v>8179</v>
      </c>
      <c r="B1851" s="140">
        <v>9.9130600156E10</v>
      </c>
      <c r="C1851" s="140" t="s">
        <v>8575</v>
      </c>
      <c r="D1851" s="140" t="s">
        <v>6601</v>
      </c>
      <c r="E1851" s="140" t="s">
        <v>526</v>
      </c>
      <c r="F1851" s="140" t="s">
        <v>175</v>
      </c>
      <c r="G1851" s="141" t="s">
        <v>6401</v>
      </c>
      <c r="H1851" s="140" t="s">
        <v>6312</v>
      </c>
      <c r="I1851" s="140" t="s">
        <v>6313</v>
      </c>
      <c r="J1851" s="140" t="s">
        <v>6314</v>
      </c>
      <c r="K1851" s="140" t="s">
        <v>7088</v>
      </c>
    </row>
    <row r="1852">
      <c r="A1852" s="140" t="s">
        <v>8179</v>
      </c>
      <c r="B1852" s="140">
        <v>9.9130600147E10</v>
      </c>
      <c r="C1852" s="140" t="s">
        <v>8576</v>
      </c>
      <c r="D1852" s="140" t="s">
        <v>6601</v>
      </c>
      <c r="E1852" s="140" t="s">
        <v>526</v>
      </c>
      <c r="F1852" s="140" t="s">
        <v>175</v>
      </c>
      <c r="G1852" s="141" t="s">
        <v>6401</v>
      </c>
      <c r="H1852" s="140" t="s">
        <v>6312</v>
      </c>
      <c r="I1852" s="140" t="s">
        <v>6313</v>
      </c>
      <c r="J1852" s="140" t="s">
        <v>6314</v>
      </c>
      <c r="K1852" s="140" t="s">
        <v>7088</v>
      </c>
    </row>
    <row r="1853">
      <c r="A1853" s="140" t="s">
        <v>8179</v>
      </c>
      <c r="B1853" s="143">
        <v>6.90222E12</v>
      </c>
      <c r="C1853" s="140" t="s">
        <v>8577</v>
      </c>
      <c r="D1853" s="140" t="s">
        <v>6601</v>
      </c>
      <c r="E1853" s="140" t="s">
        <v>526</v>
      </c>
      <c r="F1853" s="140" t="s">
        <v>175</v>
      </c>
      <c r="G1853" s="141" t="s">
        <v>6668</v>
      </c>
      <c r="H1853" s="140" t="s">
        <v>6312</v>
      </c>
      <c r="I1853" s="140" t="s">
        <v>6313</v>
      </c>
      <c r="J1853" s="140" t="s">
        <v>6314</v>
      </c>
      <c r="K1853" s="140" t="s">
        <v>7088</v>
      </c>
    </row>
    <row r="1854">
      <c r="A1854" s="140" t="s">
        <v>8179</v>
      </c>
      <c r="B1854" s="143">
        <v>6.90222E12</v>
      </c>
      <c r="C1854" s="140" t="s">
        <v>8578</v>
      </c>
      <c r="D1854" s="140" t="s">
        <v>6601</v>
      </c>
      <c r="E1854" s="140" t="s">
        <v>526</v>
      </c>
      <c r="F1854" s="140" t="s">
        <v>175</v>
      </c>
      <c r="G1854" s="141" t="s">
        <v>6401</v>
      </c>
      <c r="H1854" s="140" t="s">
        <v>6312</v>
      </c>
      <c r="I1854" s="140" t="s">
        <v>6313</v>
      </c>
      <c r="J1854" s="140" t="s">
        <v>6314</v>
      </c>
      <c r="K1854" s="140" t="s">
        <v>7088</v>
      </c>
    </row>
    <row r="1855">
      <c r="A1855" s="140" t="s">
        <v>8179</v>
      </c>
      <c r="B1855" s="143">
        <v>6.90222E12</v>
      </c>
      <c r="C1855" s="140" t="s">
        <v>8579</v>
      </c>
      <c r="D1855" s="140" t="s">
        <v>6601</v>
      </c>
      <c r="E1855" s="140" t="s">
        <v>526</v>
      </c>
      <c r="F1855" s="140" t="s">
        <v>175</v>
      </c>
      <c r="G1855" s="141" t="s">
        <v>6401</v>
      </c>
      <c r="H1855" s="140" t="s">
        <v>6312</v>
      </c>
      <c r="I1855" s="140" t="s">
        <v>6313</v>
      </c>
      <c r="J1855" s="140" t="s">
        <v>6314</v>
      </c>
      <c r="K1855" s="140" t="s">
        <v>7088</v>
      </c>
    </row>
    <row r="1856">
      <c r="A1856" s="140" t="s">
        <v>8179</v>
      </c>
      <c r="B1856" s="140">
        <v>2.2130608747E10</v>
      </c>
      <c r="C1856" s="140" t="s">
        <v>8580</v>
      </c>
      <c r="D1856" s="140" t="s">
        <v>6601</v>
      </c>
      <c r="E1856" s="140" t="s">
        <v>526</v>
      </c>
      <c r="F1856" s="140" t="s">
        <v>175</v>
      </c>
      <c r="G1856" s="141" t="s">
        <v>6401</v>
      </c>
      <c r="H1856" s="140" t="s">
        <v>6312</v>
      </c>
      <c r="I1856" s="140" t="s">
        <v>6313</v>
      </c>
      <c r="J1856" s="140" t="s">
        <v>6314</v>
      </c>
      <c r="K1856" s="140" t="s">
        <v>7088</v>
      </c>
    </row>
    <row r="1857">
      <c r="A1857" s="140" t="s">
        <v>8179</v>
      </c>
      <c r="B1857" s="140">
        <v>2.2130608748E10</v>
      </c>
      <c r="C1857" s="140" t="s">
        <v>8581</v>
      </c>
      <c r="D1857" s="140" t="s">
        <v>6601</v>
      </c>
      <c r="E1857" s="140" t="s">
        <v>526</v>
      </c>
      <c r="F1857" s="140" t="s">
        <v>175</v>
      </c>
      <c r="G1857" s="141" t="s">
        <v>6401</v>
      </c>
      <c r="H1857" s="140" t="s">
        <v>6312</v>
      </c>
      <c r="I1857" s="140" t="s">
        <v>6313</v>
      </c>
      <c r="J1857" s="140" t="s">
        <v>6314</v>
      </c>
      <c r="K1857" s="140" t="s">
        <v>7088</v>
      </c>
    </row>
    <row r="1858">
      <c r="A1858" s="140" t="s">
        <v>8179</v>
      </c>
      <c r="B1858" s="140">
        <v>9.913060016E10</v>
      </c>
      <c r="C1858" s="140" t="s">
        <v>8582</v>
      </c>
      <c r="D1858" s="140" t="s">
        <v>6601</v>
      </c>
      <c r="E1858" s="140" t="s">
        <v>526</v>
      </c>
      <c r="F1858" s="140" t="s">
        <v>175</v>
      </c>
      <c r="G1858" s="141" t="s">
        <v>6401</v>
      </c>
      <c r="H1858" s="140" t="s">
        <v>6312</v>
      </c>
      <c r="I1858" s="140" t="s">
        <v>6313</v>
      </c>
      <c r="J1858" s="140" t="s">
        <v>6314</v>
      </c>
      <c r="K1858" s="140" t="s">
        <v>7088</v>
      </c>
    </row>
    <row r="1859">
      <c r="A1859" s="140" t="s">
        <v>8179</v>
      </c>
      <c r="B1859" s="140">
        <v>9.9130600151E10</v>
      </c>
      <c r="C1859" s="140" t="s">
        <v>8583</v>
      </c>
      <c r="D1859" s="140" t="s">
        <v>6601</v>
      </c>
      <c r="E1859" s="140" t="s">
        <v>526</v>
      </c>
      <c r="F1859" s="140" t="s">
        <v>175</v>
      </c>
      <c r="G1859" s="141" t="s">
        <v>6401</v>
      </c>
      <c r="H1859" s="140" t="s">
        <v>6312</v>
      </c>
      <c r="I1859" s="140" t="s">
        <v>6313</v>
      </c>
      <c r="J1859" s="140" t="s">
        <v>6314</v>
      </c>
      <c r="K1859" s="140" t="s">
        <v>7088</v>
      </c>
    </row>
    <row r="1860">
      <c r="A1860" s="140" t="s">
        <v>8179</v>
      </c>
      <c r="B1860" s="143">
        <v>6.90222E12</v>
      </c>
      <c r="C1860" s="140" t="s">
        <v>8584</v>
      </c>
      <c r="D1860" s="140" t="s">
        <v>6601</v>
      </c>
      <c r="E1860" s="140" t="s">
        <v>526</v>
      </c>
      <c r="F1860" s="140" t="s">
        <v>175</v>
      </c>
      <c r="G1860" s="141" t="s">
        <v>6401</v>
      </c>
      <c r="H1860" s="140" t="s">
        <v>6312</v>
      </c>
      <c r="I1860" s="140" t="s">
        <v>6313</v>
      </c>
      <c r="J1860" s="140" t="s">
        <v>6314</v>
      </c>
      <c r="K1860" s="140" t="s">
        <v>7088</v>
      </c>
    </row>
    <row r="1861">
      <c r="A1861" s="140" t="s">
        <v>8179</v>
      </c>
      <c r="B1861" s="143">
        <v>6.90222E12</v>
      </c>
      <c r="C1861" s="140" t="s">
        <v>8585</v>
      </c>
      <c r="D1861" s="140" t="s">
        <v>6601</v>
      </c>
      <c r="E1861" s="140" t="s">
        <v>526</v>
      </c>
      <c r="F1861" s="140" t="s">
        <v>175</v>
      </c>
      <c r="G1861" s="141" t="s">
        <v>6401</v>
      </c>
      <c r="H1861" s="140" t="s">
        <v>6312</v>
      </c>
      <c r="I1861" s="140" t="s">
        <v>6313</v>
      </c>
      <c r="J1861" s="140" t="s">
        <v>6314</v>
      </c>
      <c r="K1861" s="140" t="s">
        <v>7088</v>
      </c>
    </row>
    <row r="1862">
      <c r="A1862" s="140" t="s">
        <v>8179</v>
      </c>
      <c r="B1862" s="143">
        <v>6.90222E12</v>
      </c>
      <c r="C1862" s="140" t="s">
        <v>8586</v>
      </c>
      <c r="D1862" s="140" t="s">
        <v>6601</v>
      </c>
      <c r="E1862" s="140" t="s">
        <v>526</v>
      </c>
      <c r="F1862" s="140" t="s">
        <v>175</v>
      </c>
      <c r="G1862" s="141" t="s">
        <v>6401</v>
      </c>
      <c r="H1862" s="140" t="s">
        <v>6312</v>
      </c>
      <c r="I1862" s="140" t="s">
        <v>6313</v>
      </c>
      <c r="J1862" s="140" t="s">
        <v>6314</v>
      </c>
      <c r="K1862" s="140" t="s">
        <v>7088</v>
      </c>
    </row>
    <row r="1863">
      <c r="A1863" s="140" t="s">
        <v>8179</v>
      </c>
      <c r="B1863" s="143">
        <v>6.90222E12</v>
      </c>
      <c r="C1863" s="140" t="s">
        <v>8587</v>
      </c>
      <c r="D1863" s="140" t="s">
        <v>6601</v>
      </c>
      <c r="E1863" s="140" t="s">
        <v>526</v>
      </c>
      <c r="F1863" s="140" t="s">
        <v>175</v>
      </c>
      <c r="G1863" s="141" t="s">
        <v>6401</v>
      </c>
      <c r="H1863" s="140" t="s">
        <v>6312</v>
      </c>
      <c r="I1863" s="140" t="s">
        <v>6313</v>
      </c>
      <c r="J1863" s="140" t="s">
        <v>6314</v>
      </c>
      <c r="K1863" s="140" t="s">
        <v>7088</v>
      </c>
    </row>
    <row r="1864">
      <c r="A1864" s="140" t="s">
        <v>8179</v>
      </c>
      <c r="B1864" s="143">
        <v>6.90222E12</v>
      </c>
      <c r="C1864" s="140" t="s">
        <v>8588</v>
      </c>
      <c r="D1864" s="140" t="s">
        <v>6601</v>
      </c>
      <c r="E1864" s="140" t="s">
        <v>526</v>
      </c>
      <c r="F1864" s="140" t="s">
        <v>175</v>
      </c>
      <c r="G1864" s="141" t="s">
        <v>6401</v>
      </c>
      <c r="H1864" s="140" t="s">
        <v>6312</v>
      </c>
      <c r="I1864" s="140" t="s">
        <v>6313</v>
      </c>
      <c r="J1864" s="140" t="s">
        <v>6314</v>
      </c>
      <c r="K1864" s="140" t="s">
        <v>7088</v>
      </c>
    </row>
    <row r="1865">
      <c r="A1865" s="140" t="s">
        <v>8179</v>
      </c>
      <c r="B1865" s="143">
        <v>6.90222E12</v>
      </c>
      <c r="C1865" s="140" t="s">
        <v>8589</v>
      </c>
      <c r="D1865" s="140" t="s">
        <v>6601</v>
      </c>
      <c r="E1865" s="140" t="s">
        <v>526</v>
      </c>
      <c r="F1865" s="140" t="s">
        <v>175</v>
      </c>
      <c r="G1865" s="141" t="s">
        <v>6401</v>
      </c>
      <c r="H1865" s="140" t="s">
        <v>6312</v>
      </c>
      <c r="I1865" s="140" t="s">
        <v>6313</v>
      </c>
      <c r="J1865" s="140" t="s">
        <v>6314</v>
      </c>
      <c r="K1865" s="140" t="s">
        <v>7088</v>
      </c>
    </row>
    <row r="1866">
      <c r="A1866" s="140" t="s">
        <v>8179</v>
      </c>
      <c r="B1866" s="143">
        <v>6.90222E12</v>
      </c>
      <c r="C1866" s="140" t="s">
        <v>8590</v>
      </c>
      <c r="D1866" s="140" t="s">
        <v>6601</v>
      </c>
      <c r="E1866" s="140" t="s">
        <v>526</v>
      </c>
      <c r="F1866" s="140" t="s">
        <v>175</v>
      </c>
      <c r="G1866" s="141" t="s">
        <v>6401</v>
      </c>
      <c r="H1866" s="140" t="s">
        <v>6312</v>
      </c>
      <c r="I1866" s="140" t="s">
        <v>6313</v>
      </c>
      <c r="J1866" s="140" t="s">
        <v>6314</v>
      </c>
      <c r="K1866" s="140" t="s">
        <v>7088</v>
      </c>
    </row>
    <row r="1867">
      <c r="A1867" s="140" t="s">
        <v>8179</v>
      </c>
      <c r="B1867" s="143">
        <v>6.90222E12</v>
      </c>
      <c r="C1867" s="140" t="s">
        <v>8591</v>
      </c>
      <c r="D1867" s="140" t="s">
        <v>6601</v>
      </c>
      <c r="E1867" s="140" t="s">
        <v>526</v>
      </c>
      <c r="F1867" s="140" t="s">
        <v>175</v>
      </c>
      <c r="G1867" s="141" t="s">
        <v>6401</v>
      </c>
      <c r="H1867" s="140" t="s">
        <v>6312</v>
      </c>
      <c r="I1867" s="140" t="s">
        <v>6313</v>
      </c>
      <c r="J1867" s="140" t="s">
        <v>6314</v>
      </c>
      <c r="K1867" s="140" t="s">
        <v>7088</v>
      </c>
    </row>
    <row r="1868">
      <c r="A1868" s="140" t="s">
        <v>8179</v>
      </c>
      <c r="B1868" s="143">
        <v>6.90222E12</v>
      </c>
      <c r="C1868" s="140" t="s">
        <v>8592</v>
      </c>
      <c r="D1868" s="140" t="s">
        <v>6601</v>
      </c>
      <c r="E1868" s="140" t="s">
        <v>526</v>
      </c>
      <c r="F1868" s="140" t="s">
        <v>175</v>
      </c>
      <c r="G1868" s="141" t="s">
        <v>6401</v>
      </c>
      <c r="H1868" s="140" t="s">
        <v>6312</v>
      </c>
      <c r="I1868" s="140" t="s">
        <v>6313</v>
      </c>
      <c r="J1868" s="140" t="s">
        <v>6314</v>
      </c>
      <c r="K1868" s="140" t="s">
        <v>7088</v>
      </c>
    </row>
    <row r="1869">
      <c r="A1869" s="140" t="s">
        <v>8179</v>
      </c>
      <c r="B1869" s="143">
        <v>6.90222E12</v>
      </c>
      <c r="C1869" s="140" t="s">
        <v>8593</v>
      </c>
      <c r="D1869" s="140" t="s">
        <v>6601</v>
      </c>
      <c r="E1869" s="140" t="s">
        <v>526</v>
      </c>
      <c r="F1869" s="140" t="s">
        <v>175</v>
      </c>
      <c r="G1869" s="141" t="s">
        <v>6401</v>
      </c>
      <c r="H1869" s="140" t="s">
        <v>6312</v>
      </c>
      <c r="I1869" s="140" t="s">
        <v>6313</v>
      </c>
      <c r="J1869" s="140" t="s">
        <v>6314</v>
      </c>
      <c r="K1869" s="140" t="s">
        <v>7088</v>
      </c>
    </row>
    <row r="1870">
      <c r="A1870" s="140" t="s">
        <v>8179</v>
      </c>
      <c r="B1870" s="143">
        <v>6.90222E12</v>
      </c>
      <c r="C1870" s="140" t="s">
        <v>8594</v>
      </c>
      <c r="D1870" s="140" t="s">
        <v>6601</v>
      </c>
      <c r="E1870" s="140" t="s">
        <v>526</v>
      </c>
      <c r="F1870" s="140" t="s">
        <v>175</v>
      </c>
      <c r="G1870" s="141" t="s">
        <v>6401</v>
      </c>
      <c r="H1870" s="140" t="s">
        <v>6312</v>
      </c>
      <c r="I1870" s="140" t="s">
        <v>6313</v>
      </c>
      <c r="J1870" s="140" t="s">
        <v>6314</v>
      </c>
      <c r="K1870" s="140" t="s">
        <v>7088</v>
      </c>
    </row>
    <row r="1871">
      <c r="A1871" s="140" t="s">
        <v>8179</v>
      </c>
      <c r="B1871" s="143">
        <v>6.90222E12</v>
      </c>
      <c r="C1871" s="140" t="s">
        <v>8595</v>
      </c>
      <c r="D1871" s="140" t="s">
        <v>6601</v>
      </c>
      <c r="E1871" s="140" t="s">
        <v>526</v>
      </c>
      <c r="F1871" s="140" t="s">
        <v>175</v>
      </c>
      <c r="G1871" s="141" t="s">
        <v>6401</v>
      </c>
      <c r="H1871" s="140" t="s">
        <v>6312</v>
      </c>
      <c r="I1871" s="140" t="s">
        <v>6313</v>
      </c>
      <c r="J1871" s="140" t="s">
        <v>6314</v>
      </c>
      <c r="K1871" s="140" t="s">
        <v>7088</v>
      </c>
    </row>
    <row r="1872">
      <c r="A1872" s="140" t="s">
        <v>8179</v>
      </c>
      <c r="B1872" s="143">
        <v>6.90222E12</v>
      </c>
      <c r="C1872" s="140" t="s">
        <v>8596</v>
      </c>
      <c r="D1872" s="140" t="s">
        <v>6601</v>
      </c>
      <c r="E1872" s="140" t="s">
        <v>526</v>
      </c>
      <c r="F1872" s="140" t="s">
        <v>175</v>
      </c>
      <c r="G1872" s="141" t="s">
        <v>6401</v>
      </c>
      <c r="H1872" s="140" t="s">
        <v>6312</v>
      </c>
      <c r="I1872" s="140" t="s">
        <v>6313</v>
      </c>
      <c r="J1872" s="140" t="s">
        <v>6314</v>
      </c>
      <c r="K1872" s="140" t="s">
        <v>7088</v>
      </c>
    </row>
    <row r="1873">
      <c r="A1873" s="140" t="s">
        <v>8179</v>
      </c>
      <c r="B1873" s="143">
        <v>6.90222E12</v>
      </c>
      <c r="C1873" s="140" t="s">
        <v>8597</v>
      </c>
      <c r="D1873" s="140" t="s">
        <v>6601</v>
      </c>
      <c r="E1873" s="140" t="s">
        <v>526</v>
      </c>
      <c r="F1873" s="140" t="s">
        <v>175</v>
      </c>
      <c r="G1873" s="141" t="s">
        <v>6401</v>
      </c>
      <c r="H1873" s="140" t="s">
        <v>6312</v>
      </c>
      <c r="I1873" s="140" t="s">
        <v>6313</v>
      </c>
      <c r="J1873" s="140" t="s">
        <v>6314</v>
      </c>
      <c r="K1873" s="140" t="s">
        <v>7088</v>
      </c>
    </row>
    <row r="1874">
      <c r="A1874" s="140" t="s">
        <v>8179</v>
      </c>
      <c r="B1874" s="143">
        <v>6.90222E12</v>
      </c>
      <c r="C1874" s="140" t="s">
        <v>8597</v>
      </c>
      <c r="D1874" s="140" t="s">
        <v>6601</v>
      </c>
      <c r="E1874" s="140" t="s">
        <v>526</v>
      </c>
      <c r="F1874" s="140" t="s">
        <v>175</v>
      </c>
      <c r="G1874" s="141" t="s">
        <v>6401</v>
      </c>
      <c r="H1874" s="140" t="s">
        <v>6312</v>
      </c>
      <c r="I1874" s="140" t="s">
        <v>6313</v>
      </c>
      <c r="J1874" s="140" t="s">
        <v>6314</v>
      </c>
      <c r="K1874" s="140" t="s">
        <v>7088</v>
      </c>
    </row>
    <row r="1875">
      <c r="A1875" s="140" t="s">
        <v>8179</v>
      </c>
      <c r="B1875" s="143">
        <v>6.90222E12</v>
      </c>
      <c r="C1875" s="140" t="s">
        <v>8598</v>
      </c>
      <c r="D1875" s="140" t="s">
        <v>6601</v>
      </c>
      <c r="E1875" s="140" t="s">
        <v>526</v>
      </c>
      <c r="F1875" s="140" t="s">
        <v>175</v>
      </c>
      <c r="G1875" s="141" t="s">
        <v>6401</v>
      </c>
      <c r="H1875" s="140" t="s">
        <v>6312</v>
      </c>
      <c r="I1875" s="140" t="s">
        <v>6313</v>
      </c>
      <c r="J1875" s="140" t="s">
        <v>6314</v>
      </c>
      <c r="K1875" s="140" t="s">
        <v>7088</v>
      </c>
    </row>
    <row r="1876">
      <c r="A1876" s="140" t="s">
        <v>8179</v>
      </c>
      <c r="B1876" s="143">
        <v>6.90222E12</v>
      </c>
      <c r="C1876" s="140" t="s">
        <v>8599</v>
      </c>
      <c r="D1876" s="140" t="s">
        <v>6601</v>
      </c>
      <c r="E1876" s="140" t="s">
        <v>526</v>
      </c>
      <c r="F1876" s="140" t="s">
        <v>175</v>
      </c>
      <c r="G1876" s="141" t="s">
        <v>6401</v>
      </c>
      <c r="H1876" s="140" t="s">
        <v>6312</v>
      </c>
      <c r="I1876" s="140" t="s">
        <v>6313</v>
      </c>
      <c r="J1876" s="140" t="s">
        <v>6314</v>
      </c>
      <c r="K1876" s="140" t="s">
        <v>7088</v>
      </c>
    </row>
    <row r="1877">
      <c r="A1877" s="140" t="s">
        <v>8179</v>
      </c>
      <c r="B1877" s="143">
        <v>6.90222E12</v>
      </c>
      <c r="C1877" s="140" t="s">
        <v>8600</v>
      </c>
      <c r="D1877" s="140" t="s">
        <v>6601</v>
      </c>
      <c r="E1877" s="140" t="s">
        <v>526</v>
      </c>
      <c r="F1877" s="140" t="s">
        <v>175</v>
      </c>
      <c r="G1877" s="141" t="s">
        <v>6401</v>
      </c>
      <c r="H1877" s="140" t="s">
        <v>6312</v>
      </c>
      <c r="I1877" s="140" t="s">
        <v>6313</v>
      </c>
      <c r="J1877" s="140" t="s">
        <v>6314</v>
      </c>
      <c r="K1877" s="140" t="s">
        <v>7088</v>
      </c>
    </row>
    <row r="1878">
      <c r="A1878" s="140" t="s">
        <v>8179</v>
      </c>
      <c r="B1878" s="143">
        <v>6.90222E12</v>
      </c>
      <c r="C1878" s="140" t="s">
        <v>8601</v>
      </c>
      <c r="D1878" s="140" t="s">
        <v>6601</v>
      </c>
      <c r="E1878" s="140" t="s">
        <v>526</v>
      </c>
      <c r="F1878" s="140" t="s">
        <v>175</v>
      </c>
      <c r="G1878" s="141" t="s">
        <v>6401</v>
      </c>
      <c r="H1878" s="140" t="s">
        <v>6312</v>
      </c>
      <c r="I1878" s="140" t="s">
        <v>6313</v>
      </c>
      <c r="J1878" s="140" t="s">
        <v>6314</v>
      </c>
      <c r="K1878" s="140" t="s">
        <v>7088</v>
      </c>
    </row>
    <row r="1879">
      <c r="A1879" s="140" t="s">
        <v>8179</v>
      </c>
      <c r="B1879" s="140">
        <v>2.2130608682E10</v>
      </c>
      <c r="C1879" s="140" t="s">
        <v>8602</v>
      </c>
      <c r="D1879" s="140" t="s">
        <v>6601</v>
      </c>
      <c r="E1879" s="140" t="s">
        <v>526</v>
      </c>
      <c r="F1879" s="140" t="s">
        <v>175</v>
      </c>
      <c r="G1879" s="141" t="s">
        <v>6401</v>
      </c>
      <c r="H1879" s="140" t="s">
        <v>6312</v>
      </c>
      <c r="I1879" s="140" t="s">
        <v>6313</v>
      </c>
      <c r="J1879" s="140" t="s">
        <v>6314</v>
      </c>
      <c r="K1879" s="140" t="s">
        <v>7088</v>
      </c>
    </row>
    <row r="1880">
      <c r="A1880" s="140" t="s">
        <v>8179</v>
      </c>
      <c r="B1880" s="140">
        <v>2.2130608683E10</v>
      </c>
      <c r="C1880" s="140" t="s">
        <v>8603</v>
      </c>
      <c r="D1880" s="140" t="s">
        <v>6601</v>
      </c>
      <c r="E1880" s="140" t="s">
        <v>526</v>
      </c>
      <c r="F1880" s="140" t="s">
        <v>175</v>
      </c>
      <c r="G1880" s="141" t="s">
        <v>6401</v>
      </c>
      <c r="H1880" s="140" t="s">
        <v>6312</v>
      </c>
      <c r="I1880" s="140" t="s">
        <v>6313</v>
      </c>
      <c r="J1880" s="140" t="s">
        <v>6314</v>
      </c>
      <c r="K1880" s="140" t="s">
        <v>7088</v>
      </c>
    </row>
    <row r="1881">
      <c r="A1881" s="140" t="s">
        <v>8179</v>
      </c>
      <c r="B1881" s="143">
        <v>6.90222E12</v>
      </c>
      <c r="C1881" s="140" t="s">
        <v>8604</v>
      </c>
      <c r="D1881" s="140" t="s">
        <v>6601</v>
      </c>
      <c r="E1881" s="140" t="s">
        <v>526</v>
      </c>
      <c r="F1881" s="140" t="s">
        <v>175</v>
      </c>
      <c r="G1881" s="141" t="s">
        <v>6401</v>
      </c>
      <c r="H1881" s="140" t="s">
        <v>6312</v>
      </c>
      <c r="I1881" s="140" t="s">
        <v>6313</v>
      </c>
      <c r="J1881" s="140" t="s">
        <v>6314</v>
      </c>
      <c r="K1881" s="140" t="s">
        <v>7088</v>
      </c>
    </row>
    <row r="1882">
      <c r="A1882" s="140" t="s">
        <v>8179</v>
      </c>
      <c r="B1882" s="143">
        <v>6.90222E12</v>
      </c>
      <c r="C1882" s="140" t="s">
        <v>8605</v>
      </c>
      <c r="D1882" s="140" t="s">
        <v>6601</v>
      </c>
      <c r="E1882" s="140" t="s">
        <v>526</v>
      </c>
      <c r="F1882" s="140" t="s">
        <v>175</v>
      </c>
      <c r="G1882" s="141" t="s">
        <v>6401</v>
      </c>
      <c r="H1882" s="140" t="s">
        <v>6312</v>
      </c>
      <c r="I1882" s="140" t="s">
        <v>6313</v>
      </c>
      <c r="J1882" s="140" t="s">
        <v>6314</v>
      </c>
      <c r="K1882" s="140" t="s">
        <v>7088</v>
      </c>
    </row>
    <row r="1883">
      <c r="A1883" s="140" t="s">
        <v>8179</v>
      </c>
      <c r="B1883" s="140">
        <v>9.9131300332E10</v>
      </c>
      <c r="C1883" s="140" t="s">
        <v>8606</v>
      </c>
      <c r="D1883" s="140" t="s">
        <v>6601</v>
      </c>
      <c r="E1883" s="140" t="s">
        <v>526</v>
      </c>
      <c r="F1883" s="140" t="s">
        <v>175</v>
      </c>
      <c r="G1883" s="141" t="s">
        <v>6401</v>
      </c>
      <c r="H1883" s="140" t="s">
        <v>6312</v>
      </c>
      <c r="I1883" s="140" t="s">
        <v>6313</v>
      </c>
      <c r="J1883" s="140" t="s">
        <v>6314</v>
      </c>
      <c r="K1883" s="140" t="s">
        <v>7088</v>
      </c>
    </row>
    <row r="1884">
      <c r="A1884" s="140" t="s">
        <v>8179</v>
      </c>
      <c r="B1884" s="140">
        <v>9.9130600192E10</v>
      </c>
      <c r="C1884" s="140" t="s">
        <v>8607</v>
      </c>
      <c r="D1884" s="140" t="s">
        <v>6601</v>
      </c>
      <c r="E1884" s="140" t="s">
        <v>526</v>
      </c>
      <c r="F1884" s="140" t="s">
        <v>175</v>
      </c>
      <c r="G1884" s="141" t="s">
        <v>6401</v>
      </c>
      <c r="H1884" s="140" t="s">
        <v>6312</v>
      </c>
      <c r="I1884" s="140" t="s">
        <v>6313</v>
      </c>
      <c r="J1884" s="140" t="s">
        <v>6314</v>
      </c>
      <c r="K1884" s="140" t="s">
        <v>7088</v>
      </c>
    </row>
    <row r="1885">
      <c r="A1885" s="140" t="s">
        <v>8179</v>
      </c>
      <c r="B1885" s="143">
        <v>6.90222E12</v>
      </c>
      <c r="C1885" s="140" t="s">
        <v>8608</v>
      </c>
      <c r="D1885" s="140" t="s">
        <v>6601</v>
      </c>
      <c r="E1885" s="140" t="s">
        <v>526</v>
      </c>
      <c r="F1885" s="140" t="s">
        <v>175</v>
      </c>
      <c r="G1885" s="141" t="s">
        <v>6401</v>
      </c>
      <c r="H1885" s="140" t="s">
        <v>6312</v>
      </c>
      <c r="I1885" s="140" t="s">
        <v>6313</v>
      </c>
      <c r="J1885" s="140" t="s">
        <v>6314</v>
      </c>
      <c r="K1885" s="140" t="s">
        <v>7088</v>
      </c>
    </row>
    <row r="1886">
      <c r="A1886" s="140" t="s">
        <v>8179</v>
      </c>
      <c r="B1886" s="140">
        <v>2.2131300391E10</v>
      </c>
      <c r="C1886" s="140" t="s">
        <v>8609</v>
      </c>
      <c r="D1886" s="140" t="s">
        <v>6601</v>
      </c>
      <c r="E1886" s="140" t="s">
        <v>526</v>
      </c>
      <c r="F1886" s="140" t="s">
        <v>175</v>
      </c>
      <c r="G1886" s="141" t="s">
        <v>6401</v>
      </c>
      <c r="H1886" s="140" t="s">
        <v>6312</v>
      </c>
      <c r="I1886" s="140" t="s">
        <v>6313</v>
      </c>
      <c r="J1886" s="140" t="s">
        <v>6314</v>
      </c>
      <c r="K1886" s="140" t="s">
        <v>7088</v>
      </c>
    </row>
    <row r="1887">
      <c r="A1887" s="140" t="s">
        <v>8179</v>
      </c>
      <c r="B1887" s="143">
        <v>6.90222E12</v>
      </c>
      <c r="C1887" s="140" t="s">
        <v>8610</v>
      </c>
      <c r="D1887" s="140" t="s">
        <v>6601</v>
      </c>
      <c r="E1887" s="140" t="s">
        <v>526</v>
      </c>
      <c r="F1887" s="140" t="s">
        <v>175</v>
      </c>
      <c r="G1887" s="141" t="s">
        <v>6401</v>
      </c>
      <c r="H1887" s="140" t="s">
        <v>6312</v>
      </c>
      <c r="I1887" s="140" t="s">
        <v>6313</v>
      </c>
      <c r="J1887" s="140" t="s">
        <v>6314</v>
      </c>
      <c r="K1887" s="140" t="s">
        <v>7088</v>
      </c>
    </row>
    <row r="1888">
      <c r="A1888" s="140" t="s">
        <v>8179</v>
      </c>
      <c r="B1888" s="143">
        <v>6.90222E12</v>
      </c>
      <c r="C1888" s="140" t="s">
        <v>8611</v>
      </c>
      <c r="D1888" s="140" t="s">
        <v>6601</v>
      </c>
      <c r="E1888" s="140" t="s">
        <v>526</v>
      </c>
      <c r="F1888" s="140" t="s">
        <v>175</v>
      </c>
      <c r="G1888" s="141" t="s">
        <v>6401</v>
      </c>
      <c r="H1888" s="140" t="s">
        <v>6312</v>
      </c>
      <c r="I1888" s="140" t="s">
        <v>6313</v>
      </c>
      <c r="J1888" s="140" t="s">
        <v>6314</v>
      </c>
      <c r="K1888" s="140" t="s">
        <v>7088</v>
      </c>
    </row>
    <row r="1889">
      <c r="A1889" s="140" t="s">
        <v>8179</v>
      </c>
      <c r="B1889" s="143">
        <v>6.90222E12</v>
      </c>
      <c r="C1889" s="140" t="s">
        <v>8612</v>
      </c>
      <c r="D1889" s="140" t="s">
        <v>6601</v>
      </c>
      <c r="E1889" s="140" t="s">
        <v>526</v>
      </c>
      <c r="F1889" s="140" t="s">
        <v>175</v>
      </c>
      <c r="G1889" s="141" t="s">
        <v>6401</v>
      </c>
      <c r="H1889" s="140" t="s">
        <v>6312</v>
      </c>
      <c r="I1889" s="140" t="s">
        <v>6313</v>
      </c>
      <c r="J1889" s="140" t="s">
        <v>6314</v>
      </c>
      <c r="K1889" s="140" t="s">
        <v>7088</v>
      </c>
    </row>
    <row r="1890">
      <c r="A1890" s="140" t="s">
        <v>8179</v>
      </c>
      <c r="B1890" s="140">
        <v>2.2130608714E10</v>
      </c>
      <c r="C1890" s="140" t="s">
        <v>8613</v>
      </c>
      <c r="D1890" s="140" t="s">
        <v>6601</v>
      </c>
      <c r="E1890" s="140" t="s">
        <v>526</v>
      </c>
      <c r="F1890" s="140" t="s">
        <v>175</v>
      </c>
      <c r="G1890" s="141" t="s">
        <v>6401</v>
      </c>
      <c r="H1890" s="140" t="s">
        <v>6312</v>
      </c>
      <c r="I1890" s="140" t="s">
        <v>6313</v>
      </c>
      <c r="J1890" s="140" t="s">
        <v>6314</v>
      </c>
      <c r="K1890" s="140" t="s">
        <v>7088</v>
      </c>
    </row>
    <row r="1891">
      <c r="A1891" s="140" t="s">
        <v>8179</v>
      </c>
      <c r="B1891" s="140">
        <v>9.9131300389E10</v>
      </c>
      <c r="C1891" s="140" t="s">
        <v>8614</v>
      </c>
      <c r="D1891" s="140" t="s">
        <v>6601</v>
      </c>
      <c r="E1891" s="140" t="s">
        <v>526</v>
      </c>
      <c r="F1891" s="140" t="s">
        <v>175</v>
      </c>
      <c r="G1891" s="141" t="s">
        <v>6401</v>
      </c>
      <c r="H1891" s="140" t="s">
        <v>6312</v>
      </c>
      <c r="I1891" s="140" t="s">
        <v>6313</v>
      </c>
      <c r="J1891" s="140" t="s">
        <v>6314</v>
      </c>
      <c r="K1891" s="140" t="s">
        <v>7088</v>
      </c>
    </row>
    <row r="1892">
      <c r="A1892" s="140" t="s">
        <v>8179</v>
      </c>
      <c r="B1892" s="143">
        <v>6.90222E12</v>
      </c>
      <c r="C1892" s="140" t="s">
        <v>8615</v>
      </c>
      <c r="D1892" s="140" t="s">
        <v>6601</v>
      </c>
      <c r="E1892" s="140" t="s">
        <v>526</v>
      </c>
      <c r="F1892" s="140" t="s">
        <v>175</v>
      </c>
      <c r="G1892" s="141" t="s">
        <v>6668</v>
      </c>
      <c r="H1892" s="140" t="s">
        <v>6312</v>
      </c>
      <c r="I1892" s="140" t="s">
        <v>6313</v>
      </c>
      <c r="J1892" s="140" t="s">
        <v>6314</v>
      </c>
      <c r="K1892" s="140" t="s">
        <v>7088</v>
      </c>
    </row>
    <row r="1893">
      <c r="A1893" s="140" t="s">
        <v>8179</v>
      </c>
      <c r="B1893" s="143">
        <v>6.90222E12</v>
      </c>
      <c r="C1893" s="140" t="s">
        <v>8616</v>
      </c>
      <c r="D1893" s="140" t="s">
        <v>6601</v>
      </c>
      <c r="E1893" s="140" t="s">
        <v>526</v>
      </c>
      <c r="F1893" s="140" t="s">
        <v>175</v>
      </c>
      <c r="G1893" s="141" t="s">
        <v>6401</v>
      </c>
      <c r="H1893" s="140" t="s">
        <v>6312</v>
      </c>
      <c r="I1893" s="140" t="s">
        <v>6313</v>
      </c>
      <c r="J1893" s="140" t="s">
        <v>6314</v>
      </c>
      <c r="K1893" s="140" t="s">
        <v>7088</v>
      </c>
    </row>
    <row r="1894">
      <c r="A1894" s="140" t="s">
        <v>8179</v>
      </c>
      <c r="B1894" s="143">
        <v>6.90222E12</v>
      </c>
      <c r="C1894" s="140" t="s">
        <v>8617</v>
      </c>
      <c r="D1894" s="140" t="s">
        <v>6601</v>
      </c>
      <c r="E1894" s="140" t="s">
        <v>526</v>
      </c>
      <c r="F1894" s="140" t="s">
        <v>175</v>
      </c>
      <c r="G1894" s="141" t="s">
        <v>6401</v>
      </c>
      <c r="H1894" s="140" t="s">
        <v>6312</v>
      </c>
      <c r="I1894" s="140" t="s">
        <v>6313</v>
      </c>
      <c r="J1894" s="140" t="s">
        <v>6314</v>
      </c>
      <c r="K1894" s="140" t="s">
        <v>7088</v>
      </c>
    </row>
    <row r="1895">
      <c r="A1895" s="140" t="s">
        <v>8179</v>
      </c>
      <c r="B1895" s="140">
        <v>9.9130600188E10</v>
      </c>
      <c r="C1895" s="140" t="s">
        <v>8618</v>
      </c>
      <c r="D1895" s="140" t="s">
        <v>6601</v>
      </c>
      <c r="E1895" s="140" t="s">
        <v>526</v>
      </c>
      <c r="F1895" s="140" t="s">
        <v>175</v>
      </c>
      <c r="G1895" s="141" t="s">
        <v>6401</v>
      </c>
      <c r="H1895" s="140" t="s">
        <v>6312</v>
      </c>
      <c r="I1895" s="140" t="s">
        <v>6313</v>
      </c>
      <c r="J1895" s="140" t="s">
        <v>6314</v>
      </c>
      <c r="K1895" s="140" t="s">
        <v>7088</v>
      </c>
    </row>
    <row r="1896">
      <c r="A1896" s="140" t="s">
        <v>8179</v>
      </c>
      <c r="B1896" s="143">
        <v>6.90222E12</v>
      </c>
      <c r="C1896" s="140" t="s">
        <v>8619</v>
      </c>
      <c r="D1896" s="140" t="s">
        <v>6601</v>
      </c>
      <c r="E1896" s="140" t="s">
        <v>526</v>
      </c>
      <c r="F1896" s="140" t="s">
        <v>175</v>
      </c>
      <c r="G1896" s="141" t="s">
        <v>6401</v>
      </c>
      <c r="H1896" s="140" t="s">
        <v>6312</v>
      </c>
      <c r="I1896" s="140" t="s">
        <v>6313</v>
      </c>
      <c r="J1896" s="140" t="s">
        <v>6314</v>
      </c>
      <c r="K1896" s="140" t="s">
        <v>7088</v>
      </c>
    </row>
    <row r="1897">
      <c r="A1897" s="140" t="s">
        <v>8179</v>
      </c>
      <c r="B1897" s="143">
        <v>6.90222E12</v>
      </c>
      <c r="C1897" s="140" t="s">
        <v>8620</v>
      </c>
      <c r="D1897" s="140" t="s">
        <v>6601</v>
      </c>
      <c r="E1897" s="140" t="s">
        <v>526</v>
      </c>
      <c r="F1897" s="140" t="s">
        <v>175</v>
      </c>
      <c r="G1897" s="141" t="s">
        <v>6401</v>
      </c>
      <c r="H1897" s="140" t="s">
        <v>6312</v>
      </c>
      <c r="I1897" s="140" t="s">
        <v>6313</v>
      </c>
      <c r="J1897" s="140" t="s">
        <v>6314</v>
      </c>
      <c r="K1897" s="140" t="s">
        <v>7088</v>
      </c>
    </row>
    <row r="1898">
      <c r="A1898" s="140" t="s">
        <v>8179</v>
      </c>
      <c r="B1898" s="143">
        <v>6.90222E12</v>
      </c>
      <c r="C1898" s="140" t="s">
        <v>8621</v>
      </c>
      <c r="D1898" s="140" t="s">
        <v>6601</v>
      </c>
      <c r="E1898" s="140" t="s">
        <v>526</v>
      </c>
      <c r="F1898" s="140" t="s">
        <v>175</v>
      </c>
      <c r="G1898" s="141" t="s">
        <v>6664</v>
      </c>
      <c r="H1898" s="140" t="s">
        <v>6312</v>
      </c>
      <c r="I1898" s="140" t="s">
        <v>6313</v>
      </c>
      <c r="J1898" s="140" t="s">
        <v>6314</v>
      </c>
      <c r="K1898" s="140" t="s">
        <v>7088</v>
      </c>
    </row>
    <row r="1899">
      <c r="A1899" s="140" t="s">
        <v>8179</v>
      </c>
      <c r="B1899" s="143">
        <v>6.90222E12</v>
      </c>
      <c r="C1899" s="140" t="s">
        <v>8622</v>
      </c>
      <c r="D1899" s="140" t="s">
        <v>6601</v>
      </c>
      <c r="E1899" s="140" t="s">
        <v>526</v>
      </c>
      <c r="F1899" s="140" t="s">
        <v>175</v>
      </c>
      <c r="G1899" s="141" t="s">
        <v>6401</v>
      </c>
      <c r="H1899" s="140" t="s">
        <v>6312</v>
      </c>
      <c r="I1899" s="140" t="s">
        <v>6313</v>
      </c>
      <c r="J1899" s="140" t="s">
        <v>6314</v>
      </c>
      <c r="K1899" s="140" t="s">
        <v>7088</v>
      </c>
    </row>
    <row r="1900">
      <c r="A1900" s="140" t="s">
        <v>8179</v>
      </c>
      <c r="B1900" s="143">
        <v>6.90222E12</v>
      </c>
      <c r="C1900" s="140" t="s">
        <v>8623</v>
      </c>
      <c r="D1900" s="140" t="s">
        <v>6601</v>
      </c>
      <c r="E1900" s="140" t="s">
        <v>526</v>
      </c>
      <c r="F1900" s="140" t="s">
        <v>175</v>
      </c>
      <c r="G1900" s="141" t="s">
        <v>6401</v>
      </c>
      <c r="H1900" s="140" t="s">
        <v>6312</v>
      </c>
      <c r="I1900" s="140" t="s">
        <v>6313</v>
      </c>
      <c r="J1900" s="140" t="s">
        <v>6314</v>
      </c>
      <c r="K1900" s="140" t="s">
        <v>7088</v>
      </c>
    </row>
    <row r="1901">
      <c r="A1901" s="140" t="s">
        <v>8179</v>
      </c>
      <c r="B1901" s="143">
        <v>6.90222E12</v>
      </c>
      <c r="C1901" s="140" t="s">
        <v>8624</v>
      </c>
      <c r="D1901" s="140" t="s">
        <v>6601</v>
      </c>
      <c r="E1901" s="140" t="s">
        <v>526</v>
      </c>
      <c r="F1901" s="140" t="s">
        <v>175</v>
      </c>
      <c r="G1901" s="141" t="s">
        <v>6401</v>
      </c>
      <c r="H1901" s="140" t="s">
        <v>6312</v>
      </c>
      <c r="I1901" s="140" t="s">
        <v>6313</v>
      </c>
      <c r="J1901" s="140" t="s">
        <v>6314</v>
      </c>
      <c r="K1901" s="140" t="s">
        <v>7088</v>
      </c>
    </row>
    <row r="1902">
      <c r="A1902" s="140" t="s">
        <v>8179</v>
      </c>
      <c r="B1902" s="143">
        <v>6.90222E12</v>
      </c>
      <c r="C1902" s="140" t="s">
        <v>8625</v>
      </c>
      <c r="D1902" s="140" t="s">
        <v>6601</v>
      </c>
      <c r="E1902" s="140" t="s">
        <v>526</v>
      </c>
      <c r="F1902" s="140" t="s">
        <v>175</v>
      </c>
      <c r="G1902" s="141" t="s">
        <v>6401</v>
      </c>
      <c r="H1902" s="140" t="s">
        <v>6312</v>
      </c>
      <c r="I1902" s="140" t="s">
        <v>6313</v>
      </c>
      <c r="J1902" s="140" t="s">
        <v>6314</v>
      </c>
      <c r="K1902" s="140" t="s">
        <v>7088</v>
      </c>
    </row>
    <row r="1903">
      <c r="A1903" s="140" t="s">
        <v>8179</v>
      </c>
      <c r="B1903" s="140">
        <v>2.2130608823E10</v>
      </c>
      <c r="C1903" s="140" t="s">
        <v>8626</v>
      </c>
      <c r="D1903" s="140" t="s">
        <v>6601</v>
      </c>
      <c r="E1903" s="140" t="s">
        <v>526</v>
      </c>
      <c r="F1903" s="140" t="s">
        <v>175</v>
      </c>
      <c r="G1903" s="141" t="s">
        <v>6401</v>
      </c>
      <c r="H1903" s="140" t="s">
        <v>6312</v>
      </c>
      <c r="I1903" s="140" t="s">
        <v>6313</v>
      </c>
      <c r="J1903" s="140" t="s">
        <v>6314</v>
      </c>
      <c r="K1903" s="140" t="s">
        <v>7088</v>
      </c>
    </row>
    <row r="1904">
      <c r="A1904" s="140" t="s">
        <v>8179</v>
      </c>
      <c r="B1904" s="140">
        <v>2.2130608827E10</v>
      </c>
      <c r="C1904" s="140" t="s">
        <v>8627</v>
      </c>
      <c r="D1904" s="140" t="s">
        <v>6601</v>
      </c>
      <c r="E1904" s="140" t="s">
        <v>526</v>
      </c>
      <c r="F1904" s="140" t="s">
        <v>175</v>
      </c>
      <c r="G1904" s="141" t="s">
        <v>6401</v>
      </c>
      <c r="H1904" s="140" t="s">
        <v>6312</v>
      </c>
      <c r="I1904" s="140" t="s">
        <v>6313</v>
      </c>
      <c r="J1904" s="140" t="s">
        <v>6314</v>
      </c>
      <c r="K1904" s="140" t="s">
        <v>7088</v>
      </c>
    </row>
    <row r="1905">
      <c r="A1905" s="140" t="s">
        <v>8179</v>
      </c>
      <c r="B1905" s="140">
        <v>2.213060883E10</v>
      </c>
      <c r="C1905" s="140" t="s">
        <v>8628</v>
      </c>
      <c r="D1905" s="140" t="s">
        <v>6601</v>
      </c>
      <c r="E1905" s="140" t="s">
        <v>526</v>
      </c>
      <c r="F1905" s="140" t="s">
        <v>175</v>
      </c>
      <c r="G1905" s="141" t="s">
        <v>6401</v>
      </c>
      <c r="H1905" s="140" t="s">
        <v>6312</v>
      </c>
      <c r="I1905" s="140" t="s">
        <v>6313</v>
      </c>
      <c r="J1905" s="140" t="s">
        <v>6314</v>
      </c>
      <c r="K1905" s="140" t="s">
        <v>7088</v>
      </c>
    </row>
    <row r="1906">
      <c r="A1906" s="140" t="s">
        <v>8179</v>
      </c>
      <c r="B1906" s="140">
        <v>2.2130608872E10</v>
      </c>
      <c r="C1906" s="140" t="s">
        <v>8629</v>
      </c>
      <c r="D1906" s="140" t="s">
        <v>6601</v>
      </c>
      <c r="E1906" s="140" t="s">
        <v>526</v>
      </c>
      <c r="F1906" s="140" t="s">
        <v>175</v>
      </c>
      <c r="G1906" s="141" t="s">
        <v>6668</v>
      </c>
      <c r="H1906" s="140" t="s">
        <v>6312</v>
      </c>
      <c r="I1906" s="140" t="s">
        <v>6313</v>
      </c>
      <c r="J1906" s="140" t="s">
        <v>6314</v>
      </c>
      <c r="K1906" s="140" t="s">
        <v>7088</v>
      </c>
    </row>
    <row r="1907">
      <c r="A1907" s="140" t="s">
        <v>8179</v>
      </c>
      <c r="B1907" s="140">
        <v>2.2130608831E10</v>
      </c>
      <c r="C1907" s="140" t="s">
        <v>8630</v>
      </c>
      <c r="D1907" s="140" t="s">
        <v>6601</v>
      </c>
      <c r="E1907" s="140" t="s">
        <v>526</v>
      </c>
      <c r="F1907" s="140" t="s">
        <v>175</v>
      </c>
      <c r="G1907" s="141" t="s">
        <v>6668</v>
      </c>
      <c r="H1907" s="140" t="s">
        <v>6312</v>
      </c>
      <c r="I1907" s="140" t="s">
        <v>6313</v>
      </c>
      <c r="J1907" s="140" t="s">
        <v>6314</v>
      </c>
      <c r="K1907" s="140" t="s">
        <v>7088</v>
      </c>
    </row>
    <row r="1908">
      <c r="A1908" s="140" t="s">
        <v>8179</v>
      </c>
      <c r="B1908" s="140">
        <v>2.2130608833E10</v>
      </c>
      <c r="C1908" s="140" t="s">
        <v>8631</v>
      </c>
      <c r="D1908" s="140" t="s">
        <v>6601</v>
      </c>
      <c r="E1908" s="140" t="s">
        <v>526</v>
      </c>
      <c r="F1908" s="140" t="s">
        <v>175</v>
      </c>
      <c r="G1908" s="141" t="s">
        <v>6401</v>
      </c>
      <c r="H1908" s="140" t="s">
        <v>6312</v>
      </c>
      <c r="I1908" s="140" t="s">
        <v>6313</v>
      </c>
      <c r="J1908" s="140" t="s">
        <v>6314</v>
      </c>
      <c r="K1908" s="140" t="s">
        <v>7088</v>
      </c>
    </row>
    <row r="1909">
      <c r="A1909" s="140" t="s">
        <v>8179</v>
      </c>
      <c r="B1909" s="140">
        <v>2.2130608829E10</v>
      </c>
      <c r="C1909" s="140" t="s">
        <v>8632</v>
      </c>
      <c r="D1909" s="140" t="s">
        <v>6601</v>
      </c>
      <c r="E1909" s="140" t="s">
        <v>526</v>
      </c>
      <c r="F1909" s="140" t="s">
        <v>175</v>
      </c>
      <c r="G1909" s="141" t="s">
        <v>6401</v>
      </c>
      <c r="H1909" s="140" t="s">
        <v>6312</v>
      </c>
      <c r="I1909" s="140" t="s">
        <v>6313</v>
      </c>
      <c r="J1909" s="140" t="s">
        <v>6314</v>
      </c>
      <c r="K1909" s="140" t="s">
        <v>7088</v>
      </c>
    </row>
    <row r="1910">
      <c r="A1910" s="140" t="s">
        <v>8179</v>
      </c>
      <c r="B1910" s="140">
        <v>2.2130608828E10</v>
      </c>
      <c r="C1910" s="140" t="s">
        <v>8633</v>
      </c>
      <c r="D1910" s="140" t="s">
        <v>6601</v>
      </c>
      <c r="E1910" s="140" t="s">
        <v>526</v>
      </c>
      <c r="F1910" s="140" t="s">
        <v>175</v>
      </c>
      <c r="G1910" s="141" t="s">
        <v>6401</v>
      </c>
      <c r="H1910" s="140" t="s">
        <v>6312</v>
      </c>
      <c r="I1910" s="140" t="s">
        <v>6313</v>
      </c>
      <c r="J1910" s="140" t="s">
        <v>6314</v>
      </c>
      <c r="K1910" s="140" t="s">
        <v>7088</v>
      </c>
    </row>
    <row r="1911">
      <c r="A1911" s="140" t="s">
        <v>8179</v>
      </c>
      <c r="B1911" s="140">
        <v>1.65245615E9</v>
      </c>
      <c r="C1911" s="140" t="s">
        <v>8633</v>
      </c>
      <c r="D1911" s="140" t="s">
        <v>6601</v>
      </c>
      <c r="E1911" s="140" t="s">
        <v>526</v>
      </c>
      <c r="F1911" s="140" t="s">
        <v>175</v>
      </c>
      <c r="G1911" s="141" t="s">
        <v>6401</v>
      </c>
      <c r="H1911" s="140" t="s">
        <v>6312</v>
      </c>
      <c r="I1911" s="140" t="s">
        <v>6313</v>
      </c>
      <c r="J1911" s="140" t="s">
        <v>6314</v>
      </c>
      <c r="K1911" s="140" t="s">
        <v>7088</v>
      </c>
    </row>
    <row r="1912">
      <c r="A1912" s="140" t="s">
        <v>8179</v>
      </c>
      <c r="B1912" s="143">
        <v>6.90222E12</v>
      </c>
      <c r="C1912" s="140" t="s">
        <v>8633</v>
      </c>
      <c r="D1912" s="140" t="s">
        <v>6601</v>
      </c>
      <c r="E1912" s="140" t="s">
        <v>526</v>
      </c>
      <c r="F1912" s="140" t="s">
        <v>175</v>
      </c>
      <c r="G1912" s="141" t="s">
        <v>6401</v>
      </c>
      <c r="H1912" s="140" t="s">
        <v>6312</v>
      </c>
      <c r="I1912" s="140" t="s">
        <v>6313</v>
      </c>
      <c r="J1912" s="140" t="s">
        <v>6314</v>
      </c>
      <c r="K1912" s="140" t="s">
        <v>7088</v>
      </c>
    </row>
    <row r="1913">
      <c r="A1913" s="140" t="s">
        <v>8179</v>
      </c>
      <c r="B1913" s="143">
        <v>6.90222E12</v>
      </c>
      <c r="C1913" s="140" t="s">
        <v>8634</v>
      </c>
      <c r="D1913" s="140" t="s">
        <v>6601</v>
      </c>
      <c r="E1913" s="140" t="s">
        <v>526</v>
      </c>
      <c r="F1913" s="140" t="s">
        <v>175</v>
      </c>
      <c r="G1913" s="141" t="s">
        <v>6401</v>
      </c>
      <c r="H1913" s="140" t="s">
        <v>6312</v>
      </c>
      <c r="I1913" s="140" t="s">
        <v>6313</v>
      </c>
      <c r="J1913" s="140" t="s">
        <v>6314</v>
      </c>
      <c r="K1913" s="140" t="s">
        <v>7088</v>
      </c>
    </row>
    <row r="1914">
      <c r="A1914" s="140" t="s">
        <v>8179</v>
      </c>
      <c r="B1914" s="143">
        <v>6.90222E12</v>
      </c>
      <c r="C1914" s="140" t="s">
        <v>8635</v>
      </c>
      <c r="D1914" s="140" t="s">
        <v>6601</v>
      </c>
      <c r="E1914" s="140" t="s">
        <v>526</v>
      </c>
      <c r="F1914" s="140" t="s">
        <v>175</v>
      </c>
      <c r="G1914" s="141" t="s">
        <v>6401</v>
      </c>
      <c r="H1914" s="140" t="s">
        <v>6312</v>
      </c>
      <c r="I1914" s="140" t="s">
        <v>6313</v>
      </c>
      <c r="J1914" s="140" t="s">
        <v>6314</v>
      </c>
      <c r="K1914" s="140" t="s">
        <v>7088</v>
      </c>
    </row>
    <row r="1915">
      <c r="A1915" s="140" t="s">
        <v>8179</v>
      </c>
      <c r="B1915" s="140">
        <v>2.2130608826E10</v>
      </c>
      <c r="C1915" s="140" t="s">
        <v>8636</v>
      </c>
      <c r="D1915" s="140" t="s">
        <v>6601</v>
      </c>
      <c r="E1915" s="140" t="s">
        <v>526</v>
      </c>
      <c r="F1915" s="140" t="s">
        <v>175</v>
      </c>
      <c r="G1915" s="141" t="s">
        <v>6401</v>
      </c>
      <c r="H1915" s="140" t="s">
        <v>6312</v>
      </c>
      <c r="I1915" s="140" t="s">
        <v>6313</v>
      </c>
      <c r="J1915" s="140" t="s">
        <v>6314</v>
      </c>
      <c r="K1915" s="140" t="s">
        <v>7088</v>
      </c>
    </row>
    <row r="1916">
      <c r="A1916" s="140" t="s">
        <v>8179</v>
      </c>
      <c r="B1916" s="143">
        <v>6.90222E12</v>
      </c>
      <c r="C1916" s="140" t="s">
        <v>8637</v>
      </c>
      <c r="D1916" s="140" t="s">
        <v>6601</v>
      </c>
      <c r="E1916" s="140" t="s">
        <v>526</v>
      </c>
      <c r="F1916" s="140" t="s">
        <v>175</v>
      </c>
      <c r="G1916" s="141" t="s">
        <v>6401</v>
      </c>
      <c r="H1916" s="140" t="s">
        <v>6312</v>
      </c>
      <c r="I1916" s="140" t="s">
        <v>6313</v>
      </c>
      <c r="J1916" s="140" t="s">
        <v>6314</v>
      </c>
      <c r="K1916" s="140" t="s">
        <v>7088</v>
      </c>
    </row>
    <row r="1917">
      <c r="A1917" s="140" t="s">
        <v>8179</v>
      </c>
      <c r="B1917" s="143">
        <v>6.90222E12</v>
      </c>
      <c r="C1917" s="140" t="s">
        <v>8638</v>
      </c>
      <c r="D1917" s="140" t="s">
        <v>6601</v>
      </c>
      <c r="E1917" s="140" t="s">
        <v>526</v>
      </c>
      <c r="F1917" s="140" t="s">
        <v>175</v>
      </c>
      <c r="G1917" s="141" t="s">
        <v>6664</v>
      </c>
      <c r="H1917" s="140" t="s">
        <v>6312</v>
      </c>
      <c r="I1917" s="140" t="s">
        <v>6313</v>
      </c>
      <c r="J1917" s="140" t="s">
        <v>6314</v>
      </c>
      <c r="K1917" s="140" t="s">
        <v>7088</v>
      </c>
    </row>
    <row r="1918">
      <c r="A1918" s="140" t="s">
        <v>8179</v>
      </c>
      <c r="B1918" s="143">
        <v>6.90222E12</v>
      </c>
      <c r="C1918" s="140" t="s">
        <v>8639</v>
      </c>
      <c r="D1918" s="140" t="s">
        <v>6601</v>
      </c>
      <c r="E1918" s="140" t="s">
        <v>526</v>
      </c>
      <c r="F1918" s="140" t="s">
        <v>175</v>
      </c>
      <c r="G1918" s="141" t="s">
        <v>6401</v>
      </c>
      <c r="H1918" s="140" t="s">
        <v>6312</v>
      </c>
      <c r="I1918" s="140" t="s">
        <v>6313</v>
      </c>
      <c r="J1918" s="140" t="s">
        <v>6314</v>
      </c>
      <c r="K1918" s="140" t="s">
        <v>7088</v>
      </c>
    </row>
    <row r="1919">
      <c r="A1919" s="140" t="s">
        <v>8179</v>
      </c>
      <c r="B1919" s="143">
        <v>6.90222E12</v>
      </c>
      <c r="C1919" s="140" t="s">
        <v>8640</v>
      </c>
      <c r="D1919" s="140" t="s">
        <v>6601</v>
      </c>
      <c r="E1919" s="140" t="s">
        <v>526</v>
      </c>
      <c r="F1919" s="140" t="s">
        <v>175</v>
      </c>
      <c r="G1919" s="141" t="s">
        <v>6401</v>
      </c>
      <c r="H1919" s="140" t="s">
        <v>6312</v>
      </c>
      <c r="I1919" s="140" t="s">
        <v>6313</v>
      </c>
      <c r="J1919" s="140" t="s">
        <v>6314</v>
      </c>
      <c r="K1919" s="140" t="s">
        <v>7088</v>
      </c>
    </row>
    <row r="1920">
      <c r="A1920" s="140" t="s">
        <v>8179</v>
      </c>
      <c r="B1920" s="143">
        <v>6.90222E12</v>
      </c>
      <c r="C1920" s="140" t="s">
        <v>8641</v>
      </c>
      <c r="D1920" s="140" t="s">
        <v>6601</v>
      </c>
      <c r="E1920" s="140" t="s">
        <v>526</v>
      </c>
      <c r="F1920" s="140" t="s">
        <v>175</v>
      </c>
      <c r="G1920" s="141" t="s">
        <v>6401</v>
      </c>
      <c r="H1920" s="140" t="s">
        <v>6312</v>
      </c>
      <c r="I1920" s="140" t="s">
        <v>6313</v>
      </c>
      <c r="J1920" s="140" t="s">
        <v>6314</v>
      </c>
      <c r="K1920" s="140" t="s">
        <v>7088</v>
      </c>
    </row>
    <row r="1921">
      <c r="A1921" s="140" t="s">
        <v>8179</v>
      </c>
      <c r="B1921" s="143">
        <v>6.90222E12</v>
      </c>
      <c r="C1921" s="140" t="s">
        <v>8642</v>
      </c>
      <c r="D1921" s="140" t="s">
        <v>6601</v>
      </c>
      <c r="E1921" s="140" t="s">
        <v>526</v>
      </c>
      <c r="F1921" s="140" t="s">
        <v>175</v>
      </c>
      <c r="G1921" s="141" t="s">
        <v>6401</v>
      </c>
      <c r="H1921" s="140" t="s">
        <v>6312</v>
      </c>
      <c r="I1921" s="140" t="s">
        <v>6313</v>
      </c>
      <c r="J1921" s="140" t="s">
        <v>6314</v>
      </c>
      <c r="K1921" s="140" t="s">
        <v>7088</v>
      </c>
    </row>
    <row r="1922">
      <c r="A1922" s="140" t="s">
        <v>8179</v>
      </c>
      <c r="B1922" s="143">
        <v>6.90222E12</v>
      </c>
      <c r="C1922" s="140" t="s">
        <v>8643</v>
      </c>
      <c r="D1922" s="140" t="s">
        <v>6601</v>
      </c>
      <c r="E1922" s="140" t="s">
        <v>526</v>
      </c>
      <c r="F1922" s="140" t="s">
        <v>175</v>
      </c>
      <c r="G1922" s="141" t="s">
        <v>6401</v>
      </c>
      <c r="H1922" s="140" t="s">
        <v>6312</v>
      </c>
      <c r="I1922" s="140" t="s">
        <v>6313</v>
      </c>
      <c r="J1922" s="140" t="s">
        <v>6314</v>
      </c>
      <c r="K1922" s="140" t="s">
        <v>7088</v>
      </c>
    </row>
    <row r="1923">
      <c r="A1923" s="140" t="s">
        <v>8179</v>
      </c>
      <c r="B1923" s="143">
        <v>6.90222E12</v>
      </c>
      <c r="C1923" s="140" t="s">
        <v>8644</v>
      </c>
      <c r="D1923" s="140" t="s">
        <v>6601</v>
      </c>
      <c r="E1923" s="140" t="s">
        <v>526</v>
      </c>
      <c r="F1923" s="140" t="s">
        <v>175</v>
      </c>
      <c r="G1923" s="141" t="s">
        <v>6401</v>
      </c>
      <c r="H1923" s="140" t="s">
        <v>6312</v>
      </c>
      <c r="I1923" s="140" t="s">
        <v>6313</v>
      </c>
      <c r="J1923" s="140" t="s">
        <v>6314</v>
      </c>
      <c r="K1923" s="140" t="s">
        <v>7088</v>
      </c>
    </row>
    <row r="1924">
      <c r="A1924" s="140" t="s">
        <v>8179</v>
      </c>
      <c r="B1924" s="143">
        <v>6.90222E12</v>
      </c>
      <c r="C1924" s="140" t="s">
        <v>8645</v>
      </c>
      <c r="D1924" s="140" t="s">
        <v>6601</v>
      </c>
      <c r="E1924" s="140" t="s">
        <v>526</v>
      </c>
      <c r="F1924" s="140" t="s">
        <v>175</v>
      </c>
      <c r="G1924" s="141" t="s">
        <v>6401</v>
      </c>
      <c r="H1924" s="140" t="s">
        <v>6312</v>
      </c>
      <c r="I1924" s="140" t="s">
        <v>6313</v>
      </c>
      <c r="J1924" s="140" t="s">
        <v>6314</v>
      </c>
      <c r="K1924" s="140" t="s">
        <v>7088</v>
      </c>
    </row>
    <row r="1925">
      <c r="A1925" s="140" t="s">
        <v>8179</v>
      </c>
      <c r="B1925" s="143">
        <v>6.90222E12</v>
      </c>
      <c r="C1925" s="140" t="s">
        <v>8646</v>
      </c>
      <c r="D1925" s="140" t="s">
        <v>6601</v>
      </c>
      <c r="E1925" s="140" t="s">
        <v>526</v>
      </c>
      <c r="F1925" s="140" t="s">
        <v>175</v>
      </c>
      <c r="G1925" s="141" t="s">
        <v>6401</v>
      </c>
      <c r="H1925" s="140" t="s">
        <v>6312</v>
      </c>
      <c r="I1925" s="140" t="s">
        <v>6313</v>
      </c>
      <c r="J1925" s="140" t="s">
        <v>6314</v>
      </c>
      <c r="K1925" s="140" t="s">
        <v>7088</v>
      </c>
    </row>
    <row r="1926">
      <c r="A1926" s="140" t="s">
        <v>8179</v>
      </c>
      <c r="B1926" s="143">
        <v>6.90222E12</v>
      </c>
      <c r="C1926" s="140" t="s">
        <v>8647</v>
      </c>
      <c r="D1926" s="140" t="s">
        <v>6601</v>
      </c>
      <c r="E1926" s="140" t="s">
        <v>526</v>
      </c>
      <c r="F1926" s="140" t="s">
        <v>175</v>
      </c>
      <c r="G1926" s="141" t="s">
        <v>6401</v>
      </c>
      <c r="H1926" s="140" t="s">
        <v>6312</v>
      </c>
      <c r="I1926" s="140" t="s">
        <v>6313</v>
      </c>
      <c r="J1926" s="140" t="s">
        <v>6314</v>
      </c>
      <c r="K1926" s="140" t="s">
        <v>7088</v>
      </c>
    </row>
    <row r="1927">
      <c r="A1927" s="140" t="s">
        <v>8179</v>
      </c>
      <c r="B1927" s="143">
        <v>6.90222E12</v>
      </c>
      <c r="C1927" s="140" t="s">
        <v>8648</v>
      </c>
      <c r="D1927" s="140" t="s">
        <v>6601</v>
      </c>
      <c r="E1927" s="140" t="s">
        <v>526</v>
      </c>
      <c r="F1927" s="140" t="s">
        <v>175</v>
      </c>
      <c r="G1927" s="141" t="s">
        <v>6401</v>
      </c>
      <c r="H1927" s="140" t="s">
        <v>6312</v>
      </c>
      <c r="I1927" s="140" t="s">
        <v>6313</v>
      </c>
      <c r="J1927" s="140" t="s">
        <v>6314</v>
      </c>
      <c r="K1927" s="140" t="s">
        <v>7088</v>
      </c>
    </row>
    <row r="1928">
      <c r="A1928" s="140" t="s">
        <v>8179</v>
      </c>
      <c r="B1928" s="143">
        <v>6.90222E12</v>
      </c>
      <c r="C1928" s="140" t="s">
        <v>8649</v>
      </c>
      <c r="D1928" s="140" t="s">
        <v>6601</v>
      </c>
      <c r="E1928" s="140" t="s">
        <v>526</v>
      </c>
      <c r="F1928" s="140" t="s">
        <v>175</v>
      </c>
      <c r="G1928" s="141" t="s">
        <v>6401</v>
      </c>
      <c r="H1928" s="140" t="s">
        <v>6312</v>
      </c>
      <c r="I1928" s="140" t="s">
        <v>6313</v>
      </c>
      <c r="J1928" s="140" t="s">
        <v>6314</v>
      </c>
      <c r="K1928" s="140" t="s">
        <v>7088</v>
      </c>
    </row>
    <row r="1929">
      <c r="A1929" s="140" t="s">
        <v>8179</v>
      </c>
      <c r="B1929" s="143">
        <v>6.90222E12</v>
      </c>
      <c r="C1929" s="140" t="s">
        <v>8650</v>
      </c>
      <c r="D1929" s="140" t="s">
        <v>6601</v>
      </c>
      <c r="E1929" s="140" t="s">
        <v>526</v>
      </c>
      <c r="F1929" s="140" t="s">
        <v>175</v>
      </c>
      <c r="G1929" s="141" t="s">
        <v>6401</v>
      </c>
      <c r="H1929" s="140" t="s">
        <v>6312</v>
      </c>
      <c r="I1929" s="140" t="s">
        <v>6313</v>
      </c>
      <c r="J1929" s="140" t="s">
        <v>6314</v>
      </c>
      <c r="K1929" s="140" t="s">
        <v>7088</v>
      </c>
    </row>
    <row r="1930">
      <c r="A1930" s="140" t="s">
        <v>8179</v>
      </c>
      <c r="B1930" s="143">
        <v>6.90222E12</v>
      </c>
      <c r="C1930" s="140" t="s">
        <v>8651</v>
      </c>
      <c r="D1930" s="140" t="s">
        <v>6601</v>
      </c>
      <c r="E1930" s="140" t="s">
        <v>526</v>
      </c>
      <c r="F1930" s="140" t="s">
        <v>175</v>
      </c>
      <c r="G1930" s="141" t="s">
        <v>6401</v>
      </c>
      <c r="H1930" s="140" t="s">
        <v>6312</v>
      </c>
      <c r="I1930" s="140" t="s">
        <v>6313</v>
      </c>
      <c r="J1930" s="140" t="s">
        <v>6314</v>
      </c>
      <c r="K1930" s="140" t="s">
        <v>7088</v>
      </c>
    </row>
    <row r="1931">
      <c r="A1931" s="140" t="s">
        <v>8179</v>
      </c>
      <c r="B1931" s="143">
        <v>6.90222E12</v>
      </c>
      <c r="C1931" s="140" t="s">
        <v>8652</v>
      </c>
      <c r="D1931" s="140" t="s">
        <v>6601</v>
      </c>
      <c r="E1931" s="140" t="s">
        <v>526</v>
      </c>
      <c r="F1931" s="140" t="s">
        <v>175</v>
      </c>
      <c r="G1931" s="141" t="s">
        <v>6401</v>
      </c>
      <c r="H1931" s="140" t="s">
        <v>6312</v>
      </c>
      <c r="I1931" s="140" t="s">
        <v>6313</v>
      </c>
      <c r="J1931" s="140" t="s">
        <v>6314</v>
      </c>
      <c r="K1931" s="140" t="s">
        <v>7088</v>
      </c>
    </row>
    <row r="1932">
      <c r="A1932" s="140" t="s">
        <v>8179</v>
      </c>
      <c r="B1932" s="143">
        <v>6.90222E12</v>
      </c>
      <c r="C1932" s="140" t="s">
        <v>8653</v>
      </c>
      <c r="D1932" s="140" t="s">
        <v>6601</v>
      </c>
      <c r="E1932" s="140" t="s">
        <v>526</v>
      </c>
      <c r="F1932" s="140" t="s">
        <v>175</v>
      </c>
      <c r="G1932" s="141" t="s">
        <v>6401</v>
      </c>
      <c r="H1932" s="140" t="s">
        <v>6312</v>
      </c>
      <c r="I1932" s="140" t="s">
        <v>6313</v>
      </c>
      <c r="J1932" s="140" t="s">
        <v>6314</v>
      </c>
      <c r="K1932" s="140" t="s">
        <v>7088</v>
      </c>
    </row>
    <row r="1933">
      <c r="A1933" s="140" t="s">
        <v>8179</v>
      </c>
      <c r="B1933" s="143">
        <v>6.90222E12</v>
      </c>
      <c r="C1933" s="140" t="s">
        <v>8654</v>
      </c>
      <c r="D1933" s="140" t="s">
        <v>6601</v>
      </c>
      <c r="E1933" s="140" t="s">
        <v>526</v>
      </c>
      <c r="F1933" s="140" t="s">
        <v>175</v>
      </c>
      <c r="G1933" s="141" t="s">
        <v>6401</v>
      </c>
      <c r="H1933" s="140" t="s">
        <v>6312</v>
      </c>
      <c r="I1933" s="140" t="s">
        <v>6313</v>
      </c>
      <c r="J1933" s="140" t="s">
        <v>6314</v>
      </c>
      <c r="K1933" s="140" t="s">
        <v>7088</v>
      </c>
    </row>
    <row r="1934">
      <c r="A1934" s="140" t="s">
        <v>8179</v>
      </c>
      <c r="B1934" s="143">
        <v>6.90222E12</v>
      </c>
      <c r="C1934" s="140" t="s">
        <v>8655</v>
      </c>
      <c r="D1934" s="140" t="s">
        <v>6601</v>
      </c>
      <c r="E1934" s="140" t="s">
        <v>526</v>
      </c>
      <c r="F1934" s="140" t="s">
        <v>175</v>
      </c>
      <c r="G1934" s="141" t="s">
        <v>6401</v>
      </c>
      <c r="H1934" s="140" t="s">
        <v>6312</v>
      </c>
      <c r="I1934" s="140" t="s">
        <v>6313</v>
      </c>
      <c r="J1934" s="140" t="s">
        <v>6314</v>
      </c>
      <c r="K1934" s="140" t="s">
        <v>7088</v>
      </c>
    </row>
    <row r="1935">
      <c r="A1935" s="140" t="s">
        <v>8179</v>
      </c>
      <c r="B1935" s="143">
        <v>6.90222E12</v>
      </c>
      <c r="C1935" s="140" t="s">
        <v>8656</v>
      </c>
      <c r="D1935" s="140" t="s">
        <v>6601</v>
      </c>
      <c r="E1935" s="140" t="s">
        <v>526</v>
      </c>
      <c r="F1935" s="140" t="s">
        <v>175</v>
      </c>
      <c r="G1935" s="141" t="s">
        <v>6401</v>
      </c>
      <c r="H1935" s="140" t="s">
        <v>6312</v>
      </c>
      <c r="I1935" s="140" t="s">
        <v>6313</v>
      </c>
      <c r="J1935" s="140" t="s">
        <v>6314</v>
      </c>
      <c r="K1935" s="140" t="s">
        <v>7088</v>
      </c>
    </row>
    <row r="1936">
      <c r="A1936" s="140" t="s">
        <v>8179</v>
      </c>
      <c r="B1936" s="143">
        <v>6.90222E12</v>
      </c>
      <c r="C1936" s="140" t="s">
        <v>8657</v>
      </c>
      <c r="D1936" s="140" t="s">
        <v>6601</v>
      </c>
      <c r="E1936" s="140" t="s">
        <v>526</v>
      </c>
      <c r="F1936" s="140" t="s">
        <v>175</v>
      </c>
      <c r="G1936" s="141" t="s">
        <v>6401</v>
      </c>
      <c r="H1936" s="140" t="s">
        <v>6312</v>
      </c>
      <c r="I1936" s="140" t="s">
        <v>6313</v>
      </c>
      <c r="J1936" s="140" t="s">
        <v>6314</v>
      </c>
      <c r="K1936" s="140" t="s">
        <v>7088</v>
      </c>
    </row>
    <row r="1937">
      <c r="A1937" s="140" t="s">
        <v>8179</v>
      </c>
      <c r="B1937" s="140">
        <v>2.2130608607E10</v>
      </c>
      <c r="C1937" s="140" t="s">
        <v>8658</v>
      </c>
      <c r="D1937" s="140" t="s">
        <v>6601</v>
      </c>
      <c r="E1937" s="140" t="s">
        <v>526</v>
      </c>
      <c r="F1937" s="140" t="s">
        <v>175</v>
      </c>
      <c r="G1937" s="141" t="s">
        <v>6401</v>
      </c>
      <c r="H1937" s="140" t="s">
        <v>6312</v>
      </c>
      <c r="I1937" s="140" t="s">
        <v>6313</v>
      </c>
      <c r="J1937" s="140" t="s">
        <v>6314</v>
      </c>
      <c r="K1937" s="140" t="s">
        <v>7088</v>
      </c>
    </row>
    <row r="1938">
      <c r="A1938" s="140" t="s">
        <v>8179</v>
      </c>
      <c r="B1938" s="140">
        <v>2.2130608606E10</v>
      </c>
      <c r="C1938" s="140" t="s">
        <v>8659</v>
      </c>
      <c r="D1938" s="140" t="s">
        <v>6601</v>
      </c>
      <c r="E1938" s="140" t="s">
        <v>526</v>
      </c>
      <c r="F1938" s="140" t="s">
        <v>175</v>
      </c>
      <c r="G1938" s="141" t="s">
        <v>6401</v>
      </c>
      <c r="H1938" s="140" t="s">
        <v>6312</v>
      </c>
      <c r="I1938" s="140" t="s">
        <v>6313</v>
      </c>
      <c r="J1938" s="140" t="s">
        <v>6314</v>
      </c>
      <c r="K1938" s="140" t="s">
        <v>7088</v>
      </c>
    </row>
    <row r="1939">
      <c r="A1939" s="140" t="s">
        <v>8179</v>
      </c>
      <c r="B1939" s="140">
        <v>2.2130608767E10</v>
      </c>
      <c r="C1939" s="140" t="s">
        <v>8660</v>
      </c>
      <c r="D1939" s="140" t="s">
        <v>6601</v>
      </c>
      <c r="E1939" s="140" t="s">
        <v>526</v>
      </c>
      <c r="F1939" s="140" t="s">
        <v>175</v>
      </c>
      <c r="G1939" s="141" t="s">
        <v>6401</v>
      </c>
      <c r="H1939" s="140" t="s">
        <v>6312</v>
      </c>
      <c r="I1939" s="140" t="s">
        <v>6313</v>
      </c>
      <c r="J1939" s="140" t="s">
        <v>6314</v>
      </c>
      <c r="K1939" s="140" t="s">
        <v>7088</v>
      </c>
    </row>
    <row r="1940">
      <c r="A1940" s="140" t="s">
        <v>8179</v>
      </c>
      <c r="B1940" s="140">
        <v>2.2130608604E10</v>
      </c>
      <c r="C1940" s="140" t="s">
        <v>8661</v>
      </c>
      <c r="D1940" s="140" t="s">
        <v>6601</v>
      </c>
      <c r="E1940" s="140" t="s">
        <v>526</v>
      </c>
      <c r="F1940" s="140" t="s">
        <v>175</v>
      </c>
      <c r="G1940" s="141" t="s">
        <v>6401</v>
      </c>
      <c r="H1940" s="140" t="s">
        <v>6312</v>
      </c>
      <c r="I1940" s="140" t="s">
        <v>6313</v>
      </c>
      <c r="J1940" s="140" t="s">
        <v>6314</v>
      </c>
      <c r="K1940" s="140" t="s">
        <v>7088</v>
      </c>
    </row>
    <row r="1941">
      <c r="A1941" s="140" t="s">
        <v>8179</v>
      </c>
      <c r="B1941" s="140">
        <v>2.2130608805E10</v>
      </c>
      <c r="C1941" s="140" t="s">
        <v>8662</v>
      </c>
      <c r="D1941" s="140" t="s">
        <v>6601</v>
      </c>
      <c r="E1941" s="140" t="s">
        <v>526</v>
      </c>
      <c r="F1941" s="140" t="s">
        <v>175</v>
      </c>
      <c r="G1941" s="141" t="s">
        <v>6401</v>
      </c>
      <c r="H1941" s="140" t="s">
        <v>6312</v>
      </c>
      <c r="I1941" s="140" t="s">
        <v>6313</v>
      </c>
      <c r="J1941" s="140" t="s">
        <v>6314</v>
      </c>
      <c r="K1941" s="140" t="s">
        <v>7088</v>
      </c>
    </row>
    <row r="1942">
      <c r="A1942" s="140" t="s">
        <v>8179</v>
      </c>
      <c r="B1942" s="140">
        <v>2.2130608804E10</v>
      </c>
      <c r="C1942" s="140" t="s">
        <v>8663</v>
      </c>
      <c r="D1942" s="140" t="s">
        <v>6601</v>
      </c>
      <c r="E1942" s="140" t="s">
        <v>526</v>
      </c>
      <c r="F1942" s="140" t="s">
        <v>175</v>
      </c>
      <c r="G1942" s="141" t="s">
        <v>6401</v>
      </c>
      <c r="H1942" s="140" t="s">
        <v>6312</v>
      </c>
      <c r="I1942" s="140" t="s">
        <v>6313</v>
      </c>
      <c r="J1942" s="140" t="s">
        <v>6314</v>
      </c>
      <c r="K1942" s="140" t="s">
        <v>7088</v>
      </c>
    </row>
    <row r="1943">
      <c r="A1943" s="140" t="s">
        <v>8179</v>
      </c>
      <c r="B1943" s="140">
        <v>2.213060873E10</v>
      </c>
      <c r="C1943" s="140" t="s">
        <v>8664</v>
      </c>
      <c r="D1943" s="140" t="s">
        <v>6601</v>
      </c>
      <c r="E1943" s="140" t="s">
        <v>526</v>
      </c>
      <c r="F1943" s="140" t="s">
        <v>175</v>
      </c>
      <c r="G1943" s="141" t="s">
        <v>6401</v>
      </c>
      <c r="H1943" s="140" t="s">
        <v>6312</v>
      </c>
      <c r="I1943" s="140" t="s">
        <v>6313</v>
      </c>
      <c r="J1943" s="140" t="s">
        <v>6314</v>
      </c>
      <c r="K1943" s="140" t="s">
        <v>7088</v>
      </c>
    </row>
    <row r="1944">
      <c r="A1944" s="140" t="s">
        <v>8179</v>
      </c>
      <c r="B1944" s="143">
        <v>6.90222E12</v>
      </c>
      <c r="C1944" s="140" t="s">
        <v>8665</v>
      </c>
      <c r="D1944" s="140" t="s">
        <v>6601</v>
      </c>
      <c r="E1944" s="140" t="s">
        <v>526</v>
      </c>
      <c r="F1944" s="140" t="s">
        <v>175</v>
      </c>
      <c r="G1944" s="141" t="s">
        <v>6401</v>
      </c>
      <c r="H1944" s="140" t="s">
        <v>6312</v>
      </c>
      <c r="I1944" s="140" t="s">
        <v>6313</v>
      </c>
      <c r="J1944" s="140" t="s">
        <v>6314</v>
      </c>
      <c r="K1944" s="140" t="s">
        <v>7088</v>
      </c>
    </row>
    <row r="1945">
      <c r="A1945" s="140" t="s">
        <v>8179</v>
      </c>
      <c r="B1945" s="143">
        <v>6.90222E12</v>
      </c>
      <c r="C1945" s="140" t="s">
        <v>8666</v>
      </c>
      <c r="D1945" s="140" t="s">
        <v>6601</v>
      </c>
      <c r="E1945" s="140" t="s">
        <v>526</v>
      </c>
      <c r="F1945" s="140" t="s">
        <v>175</v>
      </c>
      <c r="G1945" s="141" t="s">
        <v>6401</v>
      </c>
      <c r="H1945" s="140" t="s">
        <v>6312</v>
      </c>
      <c r="I1945" s="140" t="s">
        <v>6313</v>
      </c>
      <c r="J1945" s="140" t="s">
        <v>6314</v>
      </c>
      <c r="K1945" s="140" t="s">
        <v>7088</v>
      </c>
    </row>
    <row r="1946">
      <c r="A1946" s="140" t="s">
        <v>8179</v>
      </c>
      <c r="B1946" s="143">
        <v>6.90222E12</v>
      </c>
      <c r="C1946" s="140" t="s">
        <v>8667</v>
      </c>
      <c r="D1946" s="140" t="s">
        <v>6601</v>
      </c>
      <c r="E1946" s="140" t="s">
        <v>526</v>
      </c>
      <c r="F1946" s="140" t="s">
        <v>175</v>
      </c>
      <c r="G1946" s="141" t="s">
        <v>6401</v>
      </c>
      <c r="H1946" s="140" t="s">
        <v>6312</v>
      </c>
      <c r="I1946" s="140" t="s">
        <v>6313</v>
      </c>
      <c r="J1946" s="140" t="s">
        <v>6314</v>
      </c>
      <c r="K1946" s="140" t="s">
        <v>7088</v>
      </c>
    </row>
    <row r="1947">
      <c r="A1947" s="140" t="s">
        <v>8179</v>
      </c>
      <c r="B1947" s="143">
        <v>6.90222E12</v>
      </c>
      <c r="C1947" s="140" t="s">
        <v>8668</v>
      </c>
      <c r="D1947" s="140" t="s">
        <v>6601</v>
      </c>
      <c r="E1947" s="140" t="s">
        <v>526</v>
      </c>
      <c r="F1947" s="140" t="s">
        <v>175</v>
      </c>
      <c r="G1947" s="141" t="s">
        <v>6401</v>
      </c>
      <c r="H1947" s="140" t="s">
        <v>6312</v>
      </c>
      <c r="I1947" s="140" t="s">
        <v>6313</v>
      </c>
      <c r="J1947" s="140" t="s">
        <v>6314</v>
      </c>
      <c r="K1947" s="140" t="s">
        <v>7088</v>
      </c>
    </row>
    <row r="1948">
      <c r="A1948" s="140" t="s">
        <v>8179</v>
      </c>
      <c r="B1948" s="143">
        <v>6.90222E12</v>
      </c>
      <c r="C1948" s="140" t="s">
        <v>8669</v>
      </c>
      <c r="D1948" s="140" t="s">
        <v>6601</v>
      </c>
      <c r="E1948" s="140" t="s">
        <v>526</v>
      </c>
      <c r="F1948" s="140" t="s">
        <v>175</v>
      </c>
      <c r="G1948" s="141" t="s">
        <v>6401</v>
      </c>
      <c r="H1948" s="140" t="s">
        <v>6312</v>
      </c>
      <c r="I1948" s="140" t="s">
        <v>6313</v>
      </c>
      <c r="J1948" s="140" t="s">
        <v>6314</v>
      </c>
      <c r="K1948" s="140" t="s">
        <v>7088</v>
      </c>
    </row>
    <row r="1949">
      <c r="A1949" s="140" t="s">
        <v>8179</v>
      </c>
      <c r="B1949" s="140">
        <v>2.2130608161E10</v>
      </c>
      <c r="C1949" s="140" t="s">
        <v>8670</v>
      </c>
      <c r="D1949" s="140" t="s">
        <v>6601</v>
      </c>
      <c r="E1949" s="140" t="s">
        <v>526</v>
      </c>
      <c r="F1949" s="140" t="s">
        <v>175</v>
      </c>
      <c r="G1949" s="141" t="s">
        <v>6401</v>
      </c>
      <c r="H1949" s="140" t="s">
        <v>6312</v>
      </c>
      <c r="I1949" s="140" t="s">
        <v>6313</v>
      </c>
      <c r="J1949" s="140" t="s">
        <v>6314</v>
      </c>
      <c r="K1949" s="140" t="s">
        <v>7088</v>
      </c>
    </row>
    <row r="1950">
      <c r="A1950" s="140" t="s">
        <v>8179</v>
      </c>
      <c r="B1950" s="140">
        <v>2.2130608159E10</v>
      </c>
      <c r="C1950" s="140" t="s">
        <v>8671</v>
      </c>
      <c r="D1950" s="140" t="s">
        <v>6601</v>
      </c>
      <c r="E1950" s="140" t="s">
        <v>526</v>
      </c>
      <c r="F1950" s="140" t="s">
        <v>175</v>
      </c>
      <c r="G1950" s="141" t="s">
        <v>6401</v>
      </c>
      <c r="H1950" s="140" t="s">
        <v>6312</v>
      </c>
      <c r="I1950" s="140" t="s">
        <v>6313</v>
      </c>
      <c r="J1950" s="140" t="s">
        <v>6314</v>
      </c>
      <c r="K1950" s="140" t="s">
        <v>7088</v>
      </c>
    </row>
    <row r="1951">
      <c r="A1951" s="140" t="s">
        <v>8179</v>
      </c>
      <c r="B1951" s="143">
        <v>6.90222E12</v>
      </c>
      <c r="C1951" s="140" t="s">
        <v>8672</v>
      </c>
      <c r="D1951" s="140" t="s">
        <v>6601</v>
      </c>
      <c r="E1951" s="140" t="s">
        <v>526</v>
      </c>
      <c r="F1951" s="140" t="s">
        <v>175</v>
      </c>
      <c r="G1951" s="141" t="s">
        <v>6401</v>
      </c>
      <c r="H1951" s="140" t="s">
        <v>6312</v>
      </c>
      <c r="I1951" s="140" t="s">
        <v>6313</v>
      </c>
      <c r="J1951" s="140" t="s">
        <v>6314</v>
      </c>
      <c r="K1951" s="140" t="s">
        <v>7088</v>
      </c>
    </row>
    <row r="1952">
      <c r="A1952" s="140" t="s">
        <v>8179</v>
      </c>
      <c r="B1952" s="143">
        <v>6.90222E12</v>
      </c>
      <c r="C1952" s="140" t="s">
        <v>8673</v>
      </c>
      <c r="D1952" s="140" t="s">
        <v>6601</v>
      </c>
      <c r="E1952" s="140" t="s">
        <v>526</v>
      </c>
      <c r="F1952" s="140" t="s">
        <v>175</v>
      </c>
      <c r="G1952" s="141" t="s">
        <v>6401</v>
      </c>
      <c r="H1952" s="140" t="s">
        <v>6312</v>
      </c>
      <c r="I1952" s="140" t="s">
        <v>6313</v>
      </c>
      <c r="J1952" s="140" t="s">
        <v>6314</v>
      </c>
      <c r="K1952" s="140" t="s">
        <v>7088</v>
      </c>
    </row>
    <row r="1953">
      <c r="A1953" s="140" t="s">
        <v>8179</v>
      </c>
      <c r="B1953" s="143">
        <v>6.90222E12</v>
      </c>
      <c r="C1953" s="140" t="s">
        <v>8674</v>
      </c>
      <c r="D1953" s="140" t="s">
        <v>6601</v>
      </c>
      <c r="E1953" s="140" t="s">
        <v>526</v>
      </c>
      <c r="F1953" s="140" t="s">
        <v>175</v>
      </c>
      <c r="G1953" s="141" t="s">
        <v>6401</v>
      </c>
      <c r="H1953" s="140" t="s">
        <v>6312</v>
      </c>
      <c r="I1953" s="140" t="s">
        <v>6313</v>
      </c>
      <c r="J1953" s="140" t="s">
        <v>6314</v>
      </c>
      <c r="K1953" s="140" t="s">
        <v>7088</v>
      </c>
    </row>
    <row r="1954">
      <c r="A1954" s="140" t="s">
        <v>8179</v>
      </c>
      <c r="B1954" s="143">
        <v>6.90222E12</v>
      </c>
      <c r="C1954" s="140" t="s">
        <v>8675</v>
      </c>
      <c r="D1954" s="140" t="s">
        <v>6601</v>
      </c>
      <c r="E1954" s="140" t="s">
        <v>526</v>
      </c>
      <c r="F1954" s="140" t="s">
        <v>175</v>
      </c>
      <c r="G1954" s="141" t="s">
        <v>6401</v>
      </c>
      <c r="H1954" s="140" t="s">
        <v>6312</v>
      </c>
      <c r="I1954" s="140" t="s">
        <v>6313</v>
      </c>
      <c r="J1954" s="140" t="s">
        <v>6314</v>
      </c>
      <c r="K1954" s="140" t="s">
        <v>7088</v>
      </c>
    </row>
    <row r="1955">
      <c r="A1955" s="140" t="s">
        <v>8179</v>
      </c>
      <c r="B1955" s="143">
        <v>6.90222E12</v>
      </c>
      <c r="C1955" s="140" t="s">
        <v>8676</v>
      </c>
      <c r="D1955" s="140" t="s">
        <v>6601</v>
      </c>
      <c r="E1955" s="140" t="s">
        <v>526</v>
      </c>
      <c r="F1955" s="140" t="s">
        <v>175</v>
      </c>
      <c r="G1955" s="141" t="s">
        <v>6401</v>
      </c>
      <c r="H1955" s="140" t="s">
        <v>6312</v>
      </c>
      <c r="I1955" s="140" t="s">
        <v>6313</v>
      </c>
      <c r="J1955" s="140" t="s">
        <v>6314</v>
      </c>
      <c r="K1955" s="140" t="s">
        <v>7088</v>
      </c>
    </row>
    <row r="1956">
      <c r="A1956" s="140" t="s">
        <v>8179</v>
      </c>
      <c r="B1956" s="143">
        <v>6.90222E12</v>
      </c>
      <c r="C1956" s="140" t="s">
        <v>8677</v>
      </c>
      <c r="D1956" s="140" t="s">
        <v>6601</v>
      </c>
      <c r="E1956" s="140" t="s">
        <v>526</v>
      </c>
      <c r="F1956" s="140" t="s">
        <v>175</v>
      </c>
      <c r="G1956" s="141" t="s">
        <v>6401</v>
      </c>
      <c r="H1956" s="140" t="s">
        <v>6312</v>
      </c>
      <c r="I1956" s="140" t="s">
        <v>6313</v>
      </c>
      <c r="J1956" s="140" t="s">
        <v>6314</v>
      </c>
      <c r="K1956" s="140" t="s">
        <v>7088</v>
      </c>
    </row>
    <row r="1957">
      <c r="A1957" s="140" t="s">
        <v>8179</v>
      </c>
      <c r="B1957" s="143">
        <v>6.90222E12</v>
      </c>
      <c r="C1957" s="140" t="s">
        <v>8678</v>
      </c>
      <c r="D1957" s="140" t="s">
        <v>6601</v>
      </c>
      <c r="E1957" s="140" t="s">
        <v>526</v>
      </c>
      <c r="F1957" s="140" t="s">
        <v>175</v>
      </c>
      <c r="G1957" s="141" t="s">
        <v>6401</v>
      </c>
      <c r="H1957" s="140" t="s">
        <v>6312</v>
      </c>
      <c r="I1957" s="140" t="s">
        <v>6313</v>
      </c>
      <c r="J1957" s="140" t="s">
        <v>6314</v>
      </c>
      <c r="K1957" s="140" t="s">
        <v>7088</v>
      </c>
    </row>
    <row r="1958">
      <c r="A1958" s="140" t="s">
        <v>8179</v>
      </c>
      <c r="B1958" s="143">
        <v>6.90222E12</v>
      </c>
      <c r="C1958" s="140" t="s">
        <v>8679</v>
      </c>
      <c r="D1958" s="140" t="s">
        <v>6601</v>
      </c>
      <c r="E1958" s="140" t="s">
        <v>526</v>
      </c>
      <c r="F1958" s="140" t="s">
        <v>175</v>
      </c>
      <c r="G1958" s="141" t="s">
        <v>6401</v>
      </c>
      <c r="H1958" s="140" t="s">
        <v>6312</v>
      </c>
      <c r="I1958" s="140" t="s">
        <v>6313</v>
      </c>
      <c r="J1958" s="140" t="s">
        <v>6314</v>
      </c>
      <c r="K1958" s="140" t="s">
        <v>7088</v>
      </c>
    </row>
    <row r="1959">
      <c r="A1959" s="140" t="s">
        <v>8179</v>
      </c>
      <c r="B1959" s="143">
        <v>6.90222E12</v>
      </c>
      <c r="C1959" s="140" t="s">
        <v>8680</v>
      </c>
      <c r="D1959" s="140" t="s">
        <v>6601</v>
      </c>
      <c r="E1959" s="140" t="s">
        <v>526</v>
      </c>
      <c r="F1959" s="140" t="s">
        <v>175</v>
      </c>
      <c r="G1959" s="141" t="s">
        <v>6664</v>
      </c>
      <c r="H1959" s="140" t="s">
        <v>6312</v>
      </c>
      <c r="I1959" s="140" t="s">
        <v>6313</v>
      </c>
      <c r="J1959" s="140" t="s">
        <v>6314</v>
      </c>
      <c r="K1959" s="140" t="s">
        <v>7088</v>
      </c>
    </row>
    <row r="1960">
      <c r="A1960" s="140" t="s">
        <v>8179</v>
      </c>
      <c r="B1960" s="143">
        <v>6.90222E12</v>
      </c>
      <c r="C1960" s="140" t="s">
        <v>8681</v>
      </c>
      <c r="D1960" s="140" t="s">
        <v>6601</v>
      </c>
      <c r="E1960" s="140" t="s">
        <v>526</v>
      </c>
      <c r="F1960" s="140" t="s">
        <v>175</v>
      </c>
      <c r="G1960" s="141" t="s">
        <v>6401</v>
      </c>
      <c r="H1960" s="140" t="s">
        <v>6312</v>
      </c>
      <c r="I1960" s="140" t="s">
        <v>6313</v>
      </c>
      <c r="J1960" s="140" t="s">
        <v>6314</v>
      </c>
      <c r="K1960" s="140" t="s">
        <v>7088</v>
      </c>
    </row>
    <row r="1961">
      <c r="A1961" s="140" t="s">
        <v>8179</v>
      </c>
      <c r="B1961" s="143">
        <v>6.90222E12</v>
      </c>
      <c r="C1961" s="140" t="s">
        <v>8682</v>
      </c>
      <c r="D1961" s="140" t="s">
        <v>6601</v>
      </c>
      <c r="E1961" s="140" t="s">
        <v>526</v>
      </c>
      <c r="F1961" s="140" t="s">
        <v>175</v>
      </c>
      <c r="G1961" s="141" t="s">
        <v>6401</v>
      </c>
      <c r="H1961" s="140" t="s">
        <v>6312</v>
      </c>
      <c r="I1961" s="140" t="s">
        <v>6313</v>
      </c>
      <c r="J1961" s="140" t="s">
        <v>6314</v>
      </c>
      <c r="K1961" s="140" t="s">
        <v>7088</v>
      </c>
    </row>
    <row r="1962">
      <c r="A1962" s="140" t="s">
        <v>8179</v>
      </c>
      <c r="B1962" s="143">
        <v>6.90222E12</v>
      </c>
      <c r="C1962" s="140" t="s">
        <v>8683</v>
      </c>
      <c r="D1962" s="140" t="s">
        <v>6601</v>
      </c>
      <c r="E1962" s="140" t="s">
        <v>526</v>
      </c>
      <c r="F1962" s="140" t="s">
        <v>175</v>
      </c>
      <c r="G1962" s="141" t="s">
        <v>6401</v>
      </c>
      <c r="H1962" s="140" t="s">
        <v>6312</v>
      </c>
      <c r="I1962" s="140" t="s">
        <v>6313</v>
      </c>
      <c r="J1962" s="140" t="s">
        <v>6314</v>
      </c>
      <c r="K1962" s="140" t="s">
        <v>7088</v>
      </c>
    </row>
    <row r="1963">
      <c r="A1963" s="140" t="s">
        <v>8179</v>
      </c>
      <c r="B1963" s="143">
        <v>6.90222E12</v>
      </c>
      <c r="C1963" s="140" t="s">
        <v>8684</v>
      </c>
      <c r="D1963" s="140" t="s">
        <v>6601</v>
      </c>
      <c r="E1963" s="140" t="s">
        <v>526</v>
      </c>
      <c r="F1963" s="140" t="s">
        <v>175</v>
      </c>
      <c r="G1963" s="141" t="s">
        <v>6401</v>
      </c>
      <c r="H1963" s="140" t="s">
        <v>6312</v>
      </c>
      <c r="I1963" s="140" t="s">
        <v>6313</v>
      </c>
      <c r="J1963" s="140" t="s">
        <v>6314</v>
      </c>
      <c r="K1963" s="140" t="s">
        <v>7088</v>
      </c>
    </row>
    <row r="1964">
      <c r="A1964" s="140" t="s">
        <v>8179</v>
      </c>
      <c r="B1964" s="143">
        <v>6.90222E12</v>
      </c>
      <c r="C1964" s="140" t="s">
        <v>8685</v>
      </c>
      <c r="D1964" s="140" t="s">
        <v>6601</v>
      </c>
      <c r="E1964" s="140" t="s">
        <v>526</v>
      </c>
      <c r="F1964" s="140" t="s">
        <v>175</v>
      </c>
      <c r="G1964" s="141" t="s">
        <v>6401</v>
      </c>
      <c r="H1964" s="140" t="s">
        <v>6312</v>
      </c>
      <c r="I1964" s="140" t="s">
        <v>6313</v>
      </c>
      <c r="J1964" s="140" t="s">
        <v>6314</v>
      </c>
      <c r="K1964" s="140" t="s">
        <v>7088</v>
      </c>
    </row>
    <row r="1965">
      <c r="A1965" s="140" t="s">
        <v>8179</v>
      </c>
      <c r="B1965" s="143">
        <v>6.90222E12</v>
      </c>
      <c r="C1965" s="140" t="s">
        <v>8686</v>
      </c>
      <c r="D1965" s="140" t="s">
        <v>6601</v>
      </c>
      <c r="E1965" s="140" t="s">
        <v>526</v>
      </c>
      <c r="F1965" s="140" t="s">
        <v>175</v>
      </c>
      <c r="G1965" s="141" t="s">
        <v>6668</v>
      </c>
      <c r="H1965" s="140" t="s">
        <v>6312</v>
      </c>
      <c r="I1965" s="140" t="s">
        <v>6313</v>
      </c>
      <c r="J1965" s="140" t="s">
        <v>6314</v>
      </c>
      <c r="K1965" s="140" t="s">
        <v>7088</v>
      </c>
    </row>
    <row r="1966">
      <c r="A1966" s="140" t="s">
        <v>8179</v>
      </c>
      <c r="B1966" s="143">
        <v>6.90222E12</v>
      </c>
      <c r="C1966" s="140" t="s">
        <v>8687</v>
      </c>
      <c r="D1966" s="140" t="s">
        <v>6601</v>
      </c>
      <c r="E1966" s="140" t="s">
        <v>526</v>
      </c>
      <c r="F1966" s="140" t="s">
        <v>175</v>
      </c>
      <c r="G1966" s="141" t="s">
        <v>6401</v>
      </c>
      <c r="H1966" s="140" t="s">
        <v>6312</v>
      </c>
      <c r="I1966" s="140" t="s">
        <v>6313</v>
      </c>
      <c r="J1966" s="140" t="s">
        <v>6314</v>
      </c>
      <c r="K1966" s="140" t="s">
        <v>7088</v>
      </c>
    </row>
    <row r="1967">
      <c r="A1967" s="140" t="s">
        <v>8179</v>
      </c>
      <c r="B1967" s="143">
        <v>6.90222E12</v>
      </c>
      <c r="C1967" s="140" t="s">
        <v>8688</v>
      </c>
      <c r="D1967" s="140" t="s">
        <v>6601</v>
      </c>
      <c r="E1967" s="140" t="s">
        <v>526</v>
      </c>
      <c r="F1967" s="140" t="s">
        <v>175</v>
      </c>
      <c r="G1967" s="141" t="s">
        <v>6401</v>
      </c>
      <c r="H1967" s="140" t="s">
        <v>6312</v>
      </c>
      <c r="I1967" s="140" t="s">
        <v>6313</v>
      </c>
      <c r="J1967" s="140" t="s">
        <v>6314</v>
      </c>
      <c r="K1967" s="140" t="s">
        <v>7088</v>
      </c>
    </row>
    <row r="1968">
      <c r="A1968" s="140" t="s">
        <v>8179</v>
      </c>
      <c r="B1968" s="143">
        <v>6.90222E12</v>
      </c>
      <c r="C1968" s="140" t="s">
        <v>8689</v>
      </c>
      <c r="D1968" s="140" t="s">
        <v>6601</v>
      </c>
      <c r="E1968" s="140" t="s">
        <v>526</v>
      </c>
      <c r="F1968" s="140" t="s">
        <v>175</v>
      </c>
      <c r="G1968" s="141" t="s">
        <v>6401</v>
      </c>
      <c r="H1968" s="140" t="s">
        <v>6312</v>
      </c>
      <c r="I1968" s="140" t="s">
        <v>6313</v>
      </c>
      <c r="J1968" s="140" t="s">
        <v>6314</v>
      </c>
      <c r="K1968" s="140" t="s">
        <v>7088</v>
      </c>
    </row>
    <row r="1969">
      <c r="A1969" s="140" t="s">
        <v>8179</v>
      </c>
      <c r="B1969" s="143">
        <v>6.90222E12</v>
      </c>
      <c r="C1969" s="140" t="s">
        <v>8690</v>
      </c>
      <c r="D1969" s="140" t="s">
        <v>6601</v>
      </c>
      <c r="E1969" s="140" t="s">
        <v>526</v>
      </c>
      <c r="F1969" s="140" t="s">
        <v>175</v>
      </c>
      <c r="G1969" s="141" t="s">
        <v>6401</v>
      </c>
      <c r="H1969" s="140" t="s">
        <v>6312</v>
      </c>
      <c r="I1969" s="140" t="s">
        <v>6313</v>
      </c>
      <c r="J1969" s="140" t="s">
        <v>6314</v>
      </c>
      <c r="K1969" s="140" t="s">
        <v>7088</v>
      </c>
    </row>
    <row r="1970">
      <c r="A1970" s="140" t="s">
        <v>8179</v>
      </c>
      <c r="B1970" s="143">
        <v>6.90222E12</v>
      </c>
      <c r="C1970" s="140" t="s">
        <v>8691</v>
      </c>
      <c r="D1970" s="140" t="s">
        <v>6601</v>
      </c>
      <c r="E1970" s="140" t="s">
        <v>526</v>
      </c>
      <c r="F1970" s="140" t="s">
        <v>175</v>
      </c>
      <c r="G1970" s="141" t="s">
        <v>6401</v>
      </c>
      <c r="H1970" s="140" t="s">
        <v>6312</v>
      </c>
      <c r="I1970" s="140" t="s">
        <v>6313</v>
      </c>
      <c r="J1970" s="140" t="s">
        <v>6314</v>
      </c>
      <c r="K1970" s="140" t="s">
        <v>7088</v>
      </c>
    </row>
    <row r="1971">
      <c r="A1971" s="140" t="s">
        <v>8179</v>
      </c>
      <c r="B1971" s="143">
        <v>6.90222E12</v>
      </c>
      <c r="C1971" s="140" t="s">
        <v>8692</v>
      </c>
      <c r="D1971" s="140" t="s">
        <v>6601</v>
      </c>
      <c r="E1971" s="140" t="s">
        <v>526</v>
      </c>
      <c r="F1971" s="140" t="s">
        <v>175</v>
      </c>
      <c r="G1971" s="141" t="s">
        <v>6401</v>
      </c>
      <c r="H1971" s="140" t="s">
        <v>6312</v>
      </c>
      <c r="I1971" s="140" t="s">
        <v>6313</v>
      </c>
      <c r="J1971" s="140" t="s">
        <v>6314</v>
      </c>
      <c r="K1971" s="140" t="s">
        <v>7088</v>
      </c>
    </row>
    <row r="1972">
      <c r="A1972" s="140" t="s">
        <v>8179</v>
      </c>
      <c r="B1972" s="143">
        <v>6.90222E12</v>
      </c>
      <c r="C1972" s="140" t="s">
        <v>8693</v>
      </c>
      <c r="D1972" s="140" t="s">
        <v>6601</v>
      </c>
      <c r="E1972" s="140" t="s">
        <v>526</v>
      </c>
      <c r="F1972" s="140" t="s">
        <v>175</v>
      </c>
      <c r="G1972" s="141" t="s">
        <v>6401</v>
      </c>
      <c r="H1972" s="140" t="s">
        <v>6312</v>
      </c>
      <c r="I1972" s="140" t="s">
        <v>6313</v>
      </c>
      <c r="J1972" s="140" t="s">
        <v>6314</v>
      </c>
      <c r="K1972" s="140" t="s">
        <v>7088</v>
      </c>
    </row>
    <row r="1973">
      <c r="A1973" s="140" t="s">
        <v>8179</v>
      </c>
      <c r="B1973" s="143">
        <v>6.90222E12</v>
      </c>
      <c r="C1973" s="140" t="s">
        <v>8694</v>
      </c>
      <c r="D1973" s="140" t="s">
        <v>6601</v>
      </c>
      <c r="E1973" s="140" t="s">
        <v>526</v>
      </c>
      <c r="F1973" s="140" t="s">
        <v>175</v>
      </c>
      <c r="G1973" s="141" t="s">
        <v>6401</v>
      </c>
      <c r="H1973" s="140" t="s">
        <v>6312</v>
      </c>
      <c r="I1973" s="140" t="s">
        <v>6313</v>
      </c>
      <c r="J1973" s="140" t="s">
        <v>6314</v>
      </c>
      <c r="K1973" s="140" t="s">
        <v>7088</v>
      </c>
    </row>
    <row r="1974">
      <c r="A1974" s="140" t="s">
        <v>8179</v>
      </c>
      <c r="B1974" s="143">
        <v>6.90222E12</v>
      </c>
      <c r="C1974" s="140" t="s">
        <v>8695</v>
      </c>
      <c r="D1974" s="140" t="s">
        <v>6601</v>
      </c>
      <c r="E1974" s="140" t="s">
        <v>526</v>
      </c>
      <c r="F1974" s="140" t="s">
        <v>8696</v>
      </c>
      <c r="G1974" s="141" t="s">
        <v>6401</v>
      </c>
      <c r="H1974" s="140" t="s">
        <v>6312</v>
      </c>
      <c r="I1974" s="140" t="s">
        <v>6313</v>
      </c>
      <c r="J1974" s="140" t="s">
        <v>6314</v>
      </c>
      <c r="K1974" s="140" t="s">
        <v>7088</v>
      </c>
    </row>
    <row r="1975">
      <c r="A1975" s="140" t="s">
        <v>8179</v>
      </c>
      <c r="B1975" s="143">
        <v>6.90222E12</v>
      </c>
      <c r="C1975" s="140" t="s">
        <v>8697</v>
      </c>
      <c r="D1975" s="140" t="s">
        <v>6601</v>
      </c>
      <c r="E1975" s="140" t="s">
        <v>526</v>
      </c>
      <c r="F1975" s="140" t="s">
        <v>8696</v>
      </c>
      <c r="G1975" s="141" t="s">
        <v>6401</v>
      </c>
      <c r="H1975" s="140" t="s">
        <v>6312</v>
      </c>
      <c r="I1975" s="140" t="s">
        <v>6313</v>
      </c>
      <c r="J1975" s="140" t="s">
        <v>6314</v>
      </c>
      <c r="K1975" s="140" t="s">
        <v>7088</v>
      </c>
    </row>
    <row r="1976">
      <c r="A1976" s="140" t="s">
        <v>8179</v>
      </c>
      <c r="B1976" s="143">
        <v>6.90222E12</v>
      </c>
      <c r="C1976" s="140" t="s">
        <v>8698</v>
      </c>
      <c r="D1976" s="140" t="s">
        <v>6601</v>
      </c>
      <c r="E1976" s="140" t="s">
        <v>526</v>
      </c>
      <c r="F1976" s="140" t="s">
        <v>8696</v>
      </c>
      <c r="G1976" s="141" t="s">
        <v>6401</v>
      </c>
      <c r="H1976" s="140" t="s">
        <v>6312</v>
      </c>
      <c r="I1976" s="140" t="s">
        <v>6313</v>
      </c>
      <c r="J1976" s="140" t="s">
        <v>6314</v>
      </c>
      <c r="K1976" s="140" t="s">
        <v>7088</v>
      </c>
    </row>
    <row r="1977">
      <c r="A1977" s="140" t="s">
        <v>8179</v>
      </c>
      <c r="B1977" s="143">
        <v>6.90222E12</v>
      </c>
      <c r="C1977" s="140" t="s">
        <v>8699</v>
      </c>
      <c r="D1977" s="140" t="s">
        <v>6601</v>
      </c>
      <c r="E1977" s="140" t="s">
        <v>526</v>
      </c>
      <c r="F1977" s="140" t="s">
        <v>8696</v>
      </c>
      <c r="G1977" s="141" t="s">
        <v>6664</v>
      </c>
      <c r="H1977" s="140" t="s">
        <v>6312</v>
      </c>
      <c r="I1977" s="140" t="s">
        <v>6313</v>
      </c>
      <c r="J1977" s="140" t="s">
        <v>6314</v>
      </c>
      <c r="K1977" s="140" t="s">
        <v>7088</v>
      </c>
    </row>
    <row r="1978">
      <c r="A1978" s="140" t="s">
        <v>8179</v>
      </c>
      <c r="B1978" s="143">
        <v>6.90222E12</v>
      </c>
      <c r="C1978" s="140" t="s">
        <v>8700</v>
      </c>
      <c r="D1978" s="140" t="s">
        <v>6601</v>
      </c>
      <c r="E1978" s="140" t="s">
        <v>526</v>
      </c>
      <c r="F1978" s="140" t="s">
        <v>8696</v>
      </c>
      <c r="G1978" s="141" t="s">
        <v>6664</v>
      </c>
      <c r="H1978" s="140" t="s">
        <v>6312</v>
      </c>
      <c r="I1978" s="140" t="s">
        <v>6313</v>
      </c>
      <c r="J1978" s="140" t="s">
        <v>6314</v>
      </c>
      <c r="K1978" s="140" t="s">
        <v>7088</v>
      </c>
    </row>
    <row r="1979">
      <c r="A1979" s="140" t="s">
        <v>8179</v>
      </c>
      <c r="B1979" s="143">
        <v>6.90222E12</v>
      </c>
      <c r="C1979" s="140" t="s">
        <v>8701</v>
      </c>
      <c r="D1979" s="140" t="s">
        <v>6601</v>
      </c>
      <c r="E1979" s="140" t="s">
        <v>526</v>
      </c>
      <c r="F1979" s="140" t="s">
        <v>8696</v>
      </c>
      <c r="G1979" s="141" t="s">
        <v>6668</v>
      </c>
      <c r="H1979" s="140" t="s">
        <v>6312</v>
      </c>
      <c r="I1979" s="140" t="s">
        <v>6313</v>
      </c>
      <c r="J1979" s="140" t="s">
        <v>6314</v>
      </c>
      <c r="K1979" s="140" t="s">
        <v>7088</v>
      </c>
    </row>
    <row r="1980">
      <c r="A1980" s="140" t="s">
        <v>8179</v>
      </c>
      <c r="B1980" s="140">
        <v>9.913130131E10</v>
      </c>
      <c r="C1980" s="140" t="s">
        <v>8702</v>
      </c>
      <c r="D1980" s="140" t="s">
        <v>6601</v>
      </c>
      <c r="E1980" s="140" t="s">
        <v>526</v>
      </c>
      <c r="F1980" s="140" t="s">
        <v>591</v>
      </c>
      <c r="G1980" s="141" t="s">
        <v>6401</v>
      </c>
      <c r="H1980" s="140" t="s">
        <v>6312</v>
      </c>
      <c r="I1980" s="140" t="s">
        <v>6313</v>
      </c>
      <c r="J1980" s="140" t="s">
        <v>6314</v>
      </c>
      <c r="K1980" s="140" t="s">
        <v>7088</v>
      </c>
    </row>
    <row r="1981">
      <c r="A1981" s="140" t="s">
        <v>8179</v>
      </c>
      <c r="B1981" s="140">
        <v>9.9131301309E10</v>
      </c>
      <c r="C1981" s="140" t="s">
        <v>8703</v>
      </c>
      <c r="D1981" s="140" t="s">
        <v>6601</v>
      </c>
      <c r="E1981" s="140" t="s">
        <v>526</v>
      </c>
      <c r="F1981" s="140" t="s">
        <v>591</v>
      </c>
      <c r="G1981" s="141" t="s">
        <v>6401</v>
      </c>
      <c r="H1981" s="140" t="s">
        <v>6312</v>
      </c>
      <c r="I1981" s="140" t="s">
        <v>6313</v>
      </c>
      <c r="J1981" s="140" t="s">
        <v>6314</v>
      </c>
      <c r="K1981" s="140" t="s">
        <v>7088</v>
      </c>
    </row>
    <row r="1982">
      <c r="A1982" s="140" t="s">
        <v>8179</v>
      </c>
      <c r="B1982" s="143">
        <v>6.90222E12</v>
      </c>
      <c r="C1982" s="140" t="s">
        <v>8704</v>
      </c>
      <c r="D1982" s="140" t="s">
        <v>6601</v>
      </c>
      <c r="E1982" s="140" t="s">
        <v>526</v>
      </c>
      <c r="F1982" s="140" t="s">
        <v>591</v>
      </c>
      <c r="G1982" s="141" t="s">
        <v>6401</v>
      </c>
      <c r="H1982" s="140" t="s">
        <v>6312</v>
      </c>
      <c r="I1982" s="140" t="s">
        <v>6313</v>
      </c>
      <c r="J1982" s="140" t="s">
        <v>6314</v>
      </c>
      <c r="K1982" s="140" t="s">
        <v>7088</v>
      </c>
    </row>
    <row r="1983">
      <c r="A1983" s="140" t="s">
        <v>8179</v>
      </c>
      <c r="B1983" s="143">
        <v>6.90222E12</v>
      </c>
      <c r="C1983" s="140" t="s">
        <v>8705</v>
      </c>
      <c r="D1983" s="140" t="s">
        <v>6601</v>
      </c>
      <c r="E1983" s="140" t="s">
        <v>526</v>
      </c>
      <c r="F1983" s="140" t="s">
        <v>591</v>
      </c>
      <c r="G1983" s="141" t="s">
        <v>6401</v>
      </c>
      <c r="H1983" s="140" t="s">
        <v>6312</v>
      </c>
      <c r="I1983" s="140" t="s">
        <v>6313</v>
      </c>
      <c r="J1983" s="140" t="s">
        <v>6314</v>
      </c>
      <c r="K1983" s="140" t="s">
        <v>7088</v>
      </c>
    </row>
    <row r="1984">
      <c r="A1984" s="140" t="s">
        <v>8179</v>
      </c>
      <c r="B1984" s="143">
        <v>6.90222E12</v>
      </c>
      <c r="C1984" s="140" t="s">
        <v>8706</v>
      </c>
      <c r="D1984" s="140" t="s">
        <v>6601</v>
      </c>
      <c r="E1984" s="140" t="s">
        <v>526</v>
      </c>
      <c r="F1984" s="140" t="s">
        <v>591</v>
      </c>
      <c r="G1984" s="141" t="s">
        <v>6401</v>
      </c>
      <c r="H1984" s="140" t="s">
        <v>6312</v>
      </c>
      <c r="I1984" s="140" t="s">
        <v>6313</v>
      </c>
      <c r="J1984" s="140" t="s">
        <v>6314</v>
      </c>
      <c r="K1984" s="140" t="s">
        <v>7088</v>
      </c>
    </row>
    <row r="1985">
      <c r="A1985" s="140" t="s">
        <v>8179</v>
      </c>
      <c r="B1985" s="143">
        <v>6.90222E12</v>
      </c>
      <c r="C1985" s="140" t="s">
        <v>8707</v>
      </c>
      <c r="D1985" s="140" t="s">
        <v>6601</v>
      </c>
      <c r="E1985" s="140" t="s">
        <v>526</v>
      </c>
      <c r="F1985" s="140" t="s">
        <v>591</v>
      </c>
      <c r="G1985" s="141" t="s">
        <v>6401</v>
      </c>
      <c r="H1985" s="140" t="s">
        <v>6312</v>
      </c>
      <c r="I1985" s="140" t="s">
        <v>6313</v>
      </c>
      <c r="J1985" s="140" t="s">
        <v>6314</v>
      </c>
      <c r="K1985" s="140" t="s">
        <v>7088</v>
      </c>
    </row>
    <row r="1986">
      <c r="A1986" s="140" t="s">
        <v>8179</v>
      </c>
      <c r="B1986" s="143">
        <v>6.90222E12</v>
      </c>
      <c r="C1986" s="140" t="s">
        <v>8708</v>
      </c>
      <c r="D1986" s="140" t="s">
        <v>6601</v>
      </c>
      <c r="E1986" s="140" t="s">
        <v>526</v>
      </c>
      <c r="F1986" s="140" t="s">
        <v>591</v>
      </c>
      <c r="G1986" s="141" t="s">
        <v>6401</v>
      </c>
      <c r="H1986" s="140" t="s">
        <v>6312</v>
      </c>
      <c r="I1986" s="140" t="s">
        <v>6313</v>
      </c>
      <c r="J1986" s="140" t="s">
        <v>6314</v>
      </c>
      <c r="K1986" s="140" t="s">
        <v>7088</v>
      </c>
    </row>
    <row r="1987">
      <c r="A1987" s="140" t="s">
        <v>8179</v>
      </c>
      <c r="B1987" s="143">
        <v>6.90222E12</v>
      </c>
      <c r="C1987" s="140" t="s">
        <v>8709</v>
      </c>
      <c r="D1987" s="140" t="s">
        <v>6601</v>
      </c>
      <c r="E1987" s="140" t="s">
        <v>526</v>
      </c>
      <c r="F1987" s="140" t="s">
        <v>591</v>
      </c>
      <c r="G1987" s="141" t="s">
        <v>6401</v>
      </c>
      <c r="H1987" s="140" t="s">
        <v>6312</v>
      </c>
      <c r="I1987" s="140" t="s">
        <v>6313</v>
      </c>
      <c r="J1987" s="140" t="s">
        <v>6314</v>
      </c>
      <c r="K1987" s="140" t="s">
        <v>7088</v>
      </c>
    </row>
    <row r="1988">
      <c r="A1988" s="140" t="s">
        <v>8179</v>
      </c>
      <c r="B1988" s="143">
        <v>6.90222E12</v>
      </c>
      <c r="C1988" s="140" t="s">
        <v>8710</v>
      </c>
      <c r="D1988" s="140" t="s">
        <v>6601</v>
      </c>
      <c r="E1988" s="140" t="s">
        <v>526</v>
      </c>
      <c r="F1988" s="140" t="s">
        <v>591</v>
      </c>
      <c r="G1988" s="141" t="s">
        <v>6401</v>
      </c>
      <c r="H1988" s="140" t="s">
        <v>6312</v>
      </c>
      <c r="I1988" s="140" t="s">
        <v>6313</v>
      </c>
      <c r="J1988" s="140" t="s">
        <v>6314</v>
      </c>
      <c r="K1988" s="140" t="s">
        <v>7088</v>
      </c>
    </row>
    <row r="1989">
      <c r="A1989" s="140" t="s">
        <v>8179</v>
      </c>
      <c r="B1989" s="140">
        <v>2.2130608697E10</v>
      </c>
      <c r="C1989" s="140" t="s">
        <v>8711</v>
      </c>
      <c r="D1989" s="140" t="s">
        <v>6601</v>
      </c>
      <c r="E1989" s="140" t="s">
        <v>526</v>
      </c>
      <c r="F1989" s="140" t="s">
        <v>591</v>
      </c>
      <c r="G1989" s="141" t="s">
        <v>6401</v>
      </c>
      <c r="H1989" s="140" t="s">
        <v>6312</v>
      </c>
      <c r="I1989" s="140" t="s">
        <v>6313</v>
      </c>
      <c r="J1989" s="140" t="s">
        <v>6314</v>
      </c>
      <c r="K1989" s="140" t="s">
        <v>7088</v>
      </c>
    </row>
    <row r="1990">
      <c r="A1990" s="140" t="s">
        <v>8179</v>
      </c>
      <c r="B1990" s="140">
        <v>2.2130608698E10</v>
      </c>
      <c r="C1990" s="140" t="s">
        <v>8712</v>
      </c>
      <c r="D1990" s="140" t="s">
        <v>6601</v>
      </c>
      <c r="E1990" s="140" t="s">
        <v>526</v>
      </c>
      <c r="F1990" s="140" t="s">
        <v>591</v>
      </c>
      <c r="G1990" s="141" t="s">
        <v>6401</v>
      </c>
      <c r="H1990" s="140" t="s">
        <v>6312</v>
      </c>
      <c r="I1990" s="140" t="s">
        <v>6313</v>
      </c>
      <c r="J1990" s="140" t="s">
        <v>6314</v>
      </c>
      <c r="K1990" s="140" t="s">
        <v>7088</v>
      </c>
    </row>
    <row r="1991">
      <c r="A1991" s="140" t="s">
        <v>8179</v>
      </c>
      <c r="B1991" s="140">
        <v>2.2131300381E10</v>
      </c>
      <c r="C1991" s="140" t="s">
        <v>8713</v>
      </c>
      <c r="D1991" s="140" t="s">
        <v>6601</v>
      </c>
      <c r="E1991" s="140" t="s">
        <v>526</v>
      </c>
      <c r="F1991" s="140" t="s">
        <v>591</v>
      </c>
      <c r="G1991" s="141" t="s">
        <v>6401</v>
      </c>
      <c r="H1991" s="140" t="s">
        <v>6312</v>
      </c>
      <c r="I1991" s="140" t="s">
        <v>6313</v>
      </c>
      <c r="J1991" s="140" t="s">
        <v>6314</v>
      </c>
      <c r="K1991" s="140" t="s">
        <v>7088</v>
      </c>
    </row>
    <row r="1992">
      <c r="A1992" s="140" t="s">
        <v>8179</v>
      </c>
      <c r="B1992" s="143">
        <v>6.90222E12</v>
      </c>
      <c r="C1992" s="140" t="s">
        <v>8714</v>
      </c>
      <c r="D1992" s="140" t="s">
        <v>6601</v>
      </c>
      <c r="E1992" s="140" t="s">
        <v>526</v>
      </c>
      <c r="F1992" s="140" t="s">
        <v>591</v>
      </c>
      <c r="G1992" s="141" t="s">
        <v>6401</v>
      </c>
      <c r="H1992" s="140" t="s">
        <v>6312</v>
      </c>
      <c r="I1992" s="140" t="s">
        <v>6313</v>
      </c>
      <c r="J1992" s="140" t="s">
        <v>6314</v>
      </c>
      <c r="K1992" s="140" t="s">
        <v>7088</v>
      </c>
    </row>
    <row r="1993">
      <c r="A1993" s="140" t="s">
        <v>8179</v>
      </c>
      <c r="B1993" s="143">
        <v>6.90222E12</v>
      </c>
      <c r="C1993" s="140" t="s">
        <v>8715</v>
      </c>
      <c r="D1993" s="140" t="s">
        <v>6601</v>
      </c>
      <c r="E1993" s="140" t="s">
        <v>526</v>
      </c>
      <c r="F1993" s="140" t="s">
        <v>591</v>
      </c>
      <c r="G1993" s="141" t="s">
        <v>6401</v>
      </c>
      <c r="H1993" s="140" t="s">
        <v>6312</v>
      </c>
      <c r="I1993" s="140" t="s">
        <v>6313</v>
      </c>
      <c r="J1993" s="140" t="s">
        <v>6314</v>
      </c>
      <c r="K1993" s="140" t="s">
        <v>7088</v>
      </c>
    </row>
    <row r="1994">
      <c r="A1994" s="140" t="s">
        <v>8179</v>
      </c>
      <c r="B1994" s="143">
        <v>6.90222E12</v>
      </c>
      <c r="C1994" s="140" t="s">
        <v>8716</v>
      </c>
      <c r="D1994" s="140" t="s">
        <v>6601</v>
      </c>
      <c r="E1994" s="140" t="s">
        <v>526</v>
      </c>
      <c r="F1994" s="140" t="s">
        <v>591</v>
      </c>
      <c r="G1994" s="141" t="s">
        <v>6401</v>
      </c>
      <c r="H1994" s="140" t="s">
        <v>6312</v>
      </c>
      <c r="I1994" s="140" t="s">
        <v>6313</v>
      </c>
      <c r="J1994" s="140" t="s">
        <v>6314</v>
      </c>
      <c r="K1994" s="140" t="s">
        <v>7088</v>
      </c>
    </row>
    <row r="1995">
      <c r="A1995" s="140" t="s">
        <v>8179</v>
      </c>
      <c r="B1995" s="143">
        <v>6.90222E12</v>
      </c>
      <c r="C1995" s="140" t="s">
        <v>8717</v>
      </c>
      <c r="D1995" s="140" t="s">
        <v>6601</v>
      </c>
      <c r="E1995" s="140" t="s">
        <v>526</v>
      </c>
      <c r="F1995" s="140" t="s">
        <v>591</v>
      </c>
      <c r="G1995" s="141" t="s">
        <v>6401</v>
      </c>
      <c r="H1995" s="140" t="s">
        <v>6312</v>
      </c>
      <c r="I1995" s="140" t="s">
        <v>6313</v>
      </c>
      <c r="J1995" s="140" t="s">
        <v>6314</v>
      </c>
      <c r="K1995" s="140" t="s">
        <v>7088</v>
      </c>
    </row>
    <row r="1996">
      <c r="A1996" s="140" t="s">
        <v>8179</v>
      </c>
      <c r="B1996" s="143">
        <v>6.90222E12</v>
      </c>
      <c r="C1996" s="140" t="s">
        <v>8718</v>
      </c>
      <c r="D1996" s="140" t="s">
        <v>6601</v>
      </c>
      <c r="E1996" s="140" t="s">
        <v>526</v>
      </c>
      <c r="F1996" s="140" t="s">
        <v>591</v>
      </c>
      <c r="G1996" s="141" t="s">
        <v>6401</v>
      </c>
      <c r="H1996" s="140" t="s">
        <v>6312</v>
      </c>
      <c r="I1996" s="140" t="s">
        <v>6313</v>
      </c>
      <c r="J1996" s="140" t="s">
        <v>6314</v>
      </c>
      <c r="K1996" s="140" t="s">
        <v>7088</v>
      </c>
    </row>
    <row r="1997">
      <c r="A1997" s="140" t="s">
        <v>8179</v>
      </c>
      <c r="B1997" s="140">
        <v>2.2131300406E10</v>
      </c>
      <c r="C1997" s="140" t="s">
        <v>8719</v>
      </c>
      <c r="D1997" s="140" t="s">
        <v>6601</v>
      </c>
      <c r="E1997" s="140" t="s">
        <v>526</v>
      </c>
      <c r="F1997" s="140" t="s">
        <v>591</v>
      </c>
      <c r="G1997" s="141" t="s">
        <v>6401</v>
      </c>
      <c r="H1997" s="140" t="s">
        <v>6312</v>
      </c>
      <c r="I1997" s="140" t="s">
        <v>6313</v>
      </c>
      <c r="J1997" s="140" t="s">
        <v>6314</v>
      </c>
      <c r="K1997" s="140" t="s">
        <v>7088</v>
      </c>
    </row>
    <row r="1998">
      <c r="A1998" s="140" t="s">
        <v>8179</v>
      </c>
      <c r="B1998" s="140">
        <v>2.2131300377E10</v>
      </c>
      <c r="C1998" s="140" t="s">
        <v>8720</v>
      </c>
      <c r="D1998" s="140" t="s">
        <v>6601</v>
      </c>
      <c r="E1998" s="140" t="s">
        <v>526</v>
      </c>
      <c r="F1998" s="140" t="s">
        <v>591</v>
      </c>
      <c r="G1998" s="141" t="s">
        <v>6401</v>
      </c>
      <c r="H1998" s="140" t="s">
        <v>6312</v>
      </c>
      <c r="I1998" s="140" t="s">
        <v>6313</v>
      </c>
      <c r="J1998" s="140" t="s">
        <v>6314</v>
      </c>
      <c r="K1998" s="140" t="s">
        <v>7088</v>
      </c>
    </row>
    <row r="1999">
      <c r="A1999" s="140" t="s">
        <v>8179</v>
      </c>
      <c r="B1999" s="140">
        <v>2.2131300375E10</v>
      </c>
      <c r="C1999" s="140" t="s">
        <v>8721</v>
      </c>
      <c r="D1999" s="140" t="s">
        <v>6601</v>
      </c>
      <c r="E1999" s="140" t="s">
        <v>526</v>
      </c>
      <c r="F1999" s="140" t="s">
        <v>591</v>
      </c>
      <c r="G1999" s="141" t="s">
        <v>6401</v>
      </c>
      <c r="H1999" s="140" t="s">
        <v>6312</v>
      </c>
      <c r="I1999" s="140" t="s">
        <v>6313</v>
      </c>
      <c r="J1999" s="140" t="s">
        <v>6314</v>
      </c>
      <c r="K1999" s="140" t="s">
        <v>7088</v>
      </c>
    </row>
    <row r="2000">
      <c r="A2000" s="140" t="s">
        <v>8179</v>
      </c>
      <c r="B2000" s="140">
        <v>2.213130037E10</v>
      </c>
      <c r="C2000" s="140" t="s">
        <v>8722</v>
      </c>
      <c r="D2000" s="140" t="s">
        <v>6601</v>
      </c>
      <c r="E2000" s="140" t="s">
        <v>526</v>
      </c>
      <c r="F2000" s="140" t="s">
        <v>591</v>
      </c>
      <c r="G2000" s="141" t="s">
        <v>6401</v>
      </c>
      <c r="H2000" s="140" t="s">
        <v>6312</v>
      </c>
      <c r="I2000" s="140" t="s">
        <v>6313</v>
      </c>
      <c r="J2000" s="140" t="s">
        <v>6314</v>
      </c>
      <c r="K2000" s="140" t="s">
        <v>7088</v>
      </c>
    </row>
    <row r="2001">
      <c r="A2001" s="140" t="s">
        <v>8179</v>
      </c>
      <c r="B2001" s="143">
        <v>6.90222E12</v>
      </c>
      <c r="C2001" s="140" t="s">
        <v>8723</v>
      </c>
      <c r="D2001" s="140" t="s">
        <v>6601</v>
      </c>
      <c r="E2001" s="140" t="s">
        <v>526</v>
      </c>
      <c r="F2001" s="140" t="s">
        <v>591</v>
      </c>
      <c r="G2001" s="141" t="s">
        <v>6401</v>
      </c>
      <c r="H2001" s="140" t="s">
        <v>6312</v>
      </c>
      <c r="I2001" s="140" t="s">
        <v>6313</v>
      </c>
      <c r="J2001" s="140" t="s">
        <v>6314</v>
      </c>
      <c r="K2001" s="140" t="s">
        <v>7088</v>
      </c>
    </row>
    <row r="2002">
      <c r="A2002" s="140" t="s">
        <v>8179</v>
      </c>
      <c r="B2002" s="143">
        <v>6.90222E12</v>
      </c>
      <c r="C2002" s="140" t="s">
        <v>8724</v>
      </c>
      <c r="D2002" s="140" t="s">
        <v>6601</v>
      </c>
      <c r="E2002" s="140" t="s">
        <v>526</v>
      </c>
      <c r="F2002" s="140" t="s">
        <v>591</v>
      </c>
      <c r="G2002" s="141" t="s">
        <v>6401</v>
      </c>
      <c r="H2002" s="140" t="s">
        <v>6312</v>
      </c>
      <c r="I2002" s="140" t="s">
        <v>6313</v>
      </c>
      <c r="J2002" s="140" t="s">
        <v>6314</v>
      </c>
      <c r="K2002" s="140" t="s">
        <v>7088</v>
      </c>
    </row>
    <row r="2003">
      <c r="A2003" s="140" t="s">
        <v>8179</v>
      </c>
      <c r="B2003" s="143">
        <v>6.90222E12</v>
      </c>
      <c r="C2003" s="140" t="s">
        <v>8725</v>
      </c>
      <c r="D2003" s="140" t="s">
        <v>6601</v>
      </c>
      <c r="E2003" s="140" t="s">
        <v>526</v>
      </c>
      <c r="F2003" s="140" t="s">
        <v>591</v>
      </c>
      <c r="G2003" s="141" t="s">
        <v>6401</v>
      </c>
      <c r="H2003" s="140" t="s">
        <v>6312</v>
      </c>
      <c r="I2003" s="140" t="s">
        <v>6313</v>
      </c>
      <c r="J2003" s="140" t="s">
        <v>6314</v>
      </c>
      <c r="K2003" s="140" t="s">
        <v>7088</v>
      </c>
    </row>
    <row r="2004">
      <c r="A2004" s="140" t="s">
        <v>8179</v>
      </c>
      <c r="B2004" s="143">
        <v>6.90222E12</v>
      </c>
      <c r="C2004" s="140" t="s">
        <v>8726</v>
      </c>
      <c r="D2004" s="140" t="s">
        <v>6601</v>
      </c>
      <c r="E2004" s="140" t="s">
        <v>526</v>
      </c>
      <c r="F2004" s="140" t="s">
        <v>591</v>
      </c>
      <c r="G2004" s="141" t="s">
        <v>6401</v>
      </c>
      <c r="H2004" s="140" t="s">
        <v>6312</v>
      </c>
      <c r="I2004" s="140" t="s">
        <v>6313</v>
      </c>
      <c r="J2004" s="140" t="s">
        <v>6314</v>
      </c>
      <c r="K2004" s="140" t="s">
        <v>7088</v>
      </c>
    </row>
    <row r="2005">
      <c r="A2005" s="140" t="s">
        <v>8179</v>
      </c>
      <c r="B2005" s="143">
        <v>6.90222E12</v>
      </c>
      <c r="C2005" s="140" t="s">
        <v>8727</v>
      </c>
      <c r="D2005" s="140" t="s">
        <v>6601</v>
      </c>
      <c r="E2005" s="140" t="s">
        <v>526</v>
      </c>
      <c r="F2005" s="140" t="s">
        <v>591</v>
      </c>
      <c r="G2005" s="141" t="s">
        <v>6401</v>
      </c>
      <c r="H2005" s="140" t="s">
        <v>6312</v>
      </c>
      <c r="I2005" s="140" t="s">
        <v>6313</v>
      </c>
      <c r="J2005" s="140" t="s">
        <v>6314</v>
      </c>
      <c r="K2005" s="140" t="s">
        <v>7088</v>
      </c>
    </row>
    <row r="2006">
      <c r="A2006" s="140" t="s">
        <v>8179</v>
      </c>
      <c r="B2006" s="143">
        <v>6.90222E12</v>
      </c>
      <c r="C2006" s="140" t="s">
        <v>8728</v>
      </c>
      <c r="D2006" s="140" t="s">
        <v>6601</v>
      </c>
      <c r="E2006" s="140" t="s">
        <v>526</v>
      </c>
      <c r="F2006" s="140" t="s">
        <v>591</v>
      </c>
      <c r="G2006" s="141" t="s">
        <v>6401</v>
      </c>
      <c r="H2006" s="140" t="s">
        <v>6312</v>
      </c>
      <c r="I2006" s="140" t="s">
        <v>6313</v>
      </c>
      <c r="J2006" s="140" t="s">
        <v>6314</v>
      </c>
      <c r="K2006" s="140" t="s">
        <v>7088</v>
      </c>
    </row>
    <row r="2007">
      <c r="A2007" s="140" t="s">
        <v>8179</v>
      </c>
      <c r="B2007" s="143">
        <v>6.90222E12</v>
      </c>
      <c r="C2007" s="140" t="s">
        <v>8729</v>
      </c>
      <c r="D2007" s="140" t="s">
        <v>6601</v>
      </c>
      <c r="E2007" s="140" t="s">
        <v>526</v>
      </c>
      <c r="F2007" s="140" t="s">
        <v>591</v>
      </c>
      <c r="G2007" s="141" t="s">
        <v>6401</v>
      </c>
      <c r="H2007" s="140" t="s">
        <v>6312</v>
      </c>
      <c r="I2007" s="140" t="s">
        <v>6313</v>
      </c>
      <c r="J2007" s="140" t="s">
        <v>6314</v>
      </c>
      <c r="K2007" s="140" t="s">
        <v>7088</v>
      </c>
    </row>
    <row r="2008">
      <c r="A2008" s="140" t="s">
        <v>8179</v>
      </c>
      <c r="B2008" s="143">
        <v>6.90222E12</v>
      </c>
      <c r="C2008" s="140" t="s">
        <v>8730</v>
      </c>
      <c r="D2008" s="140" t="s">
        <v>6601</v>
      </c>
      <c r="E2008" s="140" t="s">
        <v>526</v>
      </c>
      <c r="F2008" s="140" t="s">
        <v>591</v>
      </c>
      <c r="G2008" s="141" t="s">
        <v>6401</v>
      </c>
      <c r="H2008" s="140" t="s">
        <v>6312</v>
      </c>
      <c r="I2008" s="140" t="s">
        <v>6313</v>
      </c>
      <c r="J2008" s="140" t="s">
        <v>6314</v>
      </c>
      <c r="K2008" s="140" t="s">
        <v>7088</v>
      </c>
    </row>
    <row r="2009">
      <c r="A2009" s="140" t="s">
        <v>8179</v>
      </c>
      <c r="B2009" s="143">
        <v>6.90222E12</v>
      </c>
      <c r="C2009" s="140" t="s">
        <v>8731</v>
      </c>
      <c r="D2009" s="140" t="s">
        <v>6601</v>
      </c>
      <c r="E2009" s="140" t="s">
        <v>526</v>
      </c>
      <c r="F2009" s="140" t="s">
        <v>591</v>
      </c>
      <c r="G2009" s="141" t="s">
        <v>6401</v>
      </c>
      <c r="H2009" s="140" t="s">
        <v>6312</v>
      </c>
      <c r="I2009" s="140" t="s">
        <v>6313</v>
      </c>
      <c r="J2009" s="140" t="s">
        <v>6314</v>
      </c>
      <c r="K2009" s="140" t="s">
        <v>7088</v>
      </c>
    </row>
    <row r="2010">
      <c r="A2010" s="140" t="s">
        <v>8179</v>
      </c>
      <c r="B2010" s="143">
        <v>6.90222E12</v>
      </c>
      <c r="C2010" s="140" t="s">
        <v>8732</v>
      </c>
      <c r="D2010" s="140" t="s">
        <v>6601</v>
      </c>
      <c r="E2010" s="140" t="s">
        <v>526</v>
      </c>
      <c r="F2010" s="140" t="s">
        <v>591</v>
      </c>
      <c r="G2010" s="141" t="s">
        <v>6401</v>
      </c>
      <c r="H2010" s="140" t="s">
        <v>6312</v>
      </c>
      <c r="I2010" s="140" t="s">
        <v>6313</v>
      </c>
      <c r="J2010" s="140" t="s">
        <v>6314</v>
      </c>
      <c r="K2010" s="140" t="s">
        <v>7088</v>
      </c>
    </row>
    <row r="2011">
      <c r="A2011" s="140" t="s">
        <v>8179</v>
      </c>
      <c r="B2011" s="143">
        <v>6.90222E12</v>
      </c>
      <c r="C2011" s="140" t="s">
        <v>8733</v>
      </c>
      <c r="D2011" s="140" t="s">
        <v>6601</v>
      </c>
      <c r="E2011" s="140" t="s">
        <v>526</v>
      </c>
      <c r="F2011" s="140" t="s">
        <v>591</v>
      </c>
      <c r="G2011" s="141" t="s">
        <v>6401</v>
      </c>
      <c r="H2011" s="140" t="s">
        <v>6312</v>
      </c>
      <c r="I2011" s="140" t="s">
        <v>6313</v>
      </c>
      <c r="J2011" s="140" t="s">
        <v>6314</v>
      </c>
      <c r="K2011" s="140" t="s">
        <v>7088</v>
      </c>
    </row>
    <row r="2012">
      <c r="A2012" s="140" t="s">
        <v>8179</v>
      </c>
      <c r="B2012" s="143">
        <v>6.90222E12</v>
      </c>
      <c r="C2012" s="140" t="s">
        <v>8734</v>
      </c>
      <c r="D2012" s="140" t="s">
        <v>6601</v>
      </c>
      <c r="E2012" s="140" t="s">
        <v>526</v>
      </c>
      <c r="F2012" s="140" t="s">
        <v>591</v>
      </c>
      <c r="G2012" s="141" t="s">
        <v>6401</v>
      </c>
      <c r="H2012" s="140" t="s">
        <v>6312</v>
      </c>
      <c r="I2012" s="140" t="s">
        <v>6313</v>
      </c>
      <c r="J2012" s="140" t="s">
        <v>6314</v>
      </c>
      <c r="K2012" s="140" t="s">
        <v>7088</v>
      </c>
    </row>
    <row r="2013">
      <c r="A2013" s="140" t="s">
        <v>8179</v>
      </c>
      <c r="B2013" s="143">
        <v>6.90222E12</v>
      </c>
      <c r="C2013" s="140" t="s">
        <v>8735</v>
      </c>
      <c r="D2013" s="140" t="s">
        <v>6601</v>
      </c>
      <c r="E2013" s="140" t="s">
        <v>526</v>
      </c>
      <c r="F2013" s="140" t="s">
        <v>591</v>
      </c>
      <c r="G2013" s="141" t="s">
        <v>6401</v>
      </c>
      <c r="H2013" s="140" t="s">
        <v>6312</v>
      </c>
      <c r="I2013" s="140" t="s">
        <v>6313</v>
      </c>
      <c r="J2013" s="140" t="s">
        <v>6314</v>
      </c>
      <c r="K2013" s="140" t="s">
        <v>7088</v>
      </c>
    </row>
    <row r="2014">
      <c r="A2014" s="140" t="s">
        <v>8179</v>
      </c>
      <c r="B2014" s="143">
        <v>6.90222E12</v>
      </c>
      <c r="C2014" s="140" t="s">
        <v>8736</v>
      </c>
      <c r="D2014" s="140" t="s">
        <v>6601</v>
      </c>
      <c r="E2014" s="140" t="s">
        <v>526</v>
      </c>
      <c r="F2014" s="140" t="s">
        <v>591</v>
      </c>
      <c r="G2014" s="141" t="s">
        <v>6401</v>
      </c>
      <c r="H2014" s="140" t="s">
        <v>6312</v>
      </c>
      <c r="I2014" s="140" t="s">
        <v>6313</v>
      </c>
      <c r="J2014" s="140" t="s">
        <v>6314</v>
      </c>
      <c r="K2014" s="140" t="s">
        <v>7088</v>
      </c>
    </row>
    <row r="2015">
      <c r="A2015" s="140" t="s">
        <v>8179</v>
      </c>
      <c r="B2015" s="143">
        <v>6.90222E12</v>
      </c>
      <c r="C2015" s="140" t="s">
        <v>8737</v>
      </c>
      <c r="D2015" s="140" t="s">
        <v>6601</v>
      </c>
      <c r="E2015" s="140" t="s">
        <v>526</v>
      </c>
      <c r="F2015" s="140" t="s">
        <v>591</v>
      </c>
      <c r="G2015" s="141" t="s">
        <v>6401</v>
      </c>
      <c r="H2015" s="140" t="s">
        <v>6312</v>
      </c>
      <c r="I2015" s="140" t="s">
        <v>6313</v>
      </c>
      <c r="J2015" s="140" t="s">
        <v>6314</v>
      </c>
      <c r="K2015" s="140" t="s">
        <v>7088</v>
      </c>
    </row>
    <row r="2016">
      <c r="A2016" s="140" t="s">
        <v>8179</v>
      </c>
      <c r="B2016" s="143">
        <v>6.90222E12</v>
      </c>
      <c r="C2016" s="140" t="s">
        <v>8738</v>
      </c>
      <c r="D2016" s="140" t="s">
        <v>6601</v>
      </c>
      <c r="E2016" s="140" t="s">
        <v>526</v>
      </c>
      <c r="F2016" s="140" t="s">
        <v>591</v>
      </c>
      <c r="G2016" s="141" t="s">
        <v>6401</v>
      </c>
      <c r="H2016" s="140" t="s">
        <v>6312</v>
      </c>
      <c r="I2016" s="140" t="s">
        <v>6313</v>
      </c>
      <c r="J2016" s="140" t="s">
        <v>6314</v>
      </c>
      <c r="K2016" s="140" t="s">
        <v>7088</v>
      </c>
    </row>
    <row r="2017">
      <c r="A2017" s="140" t="s">
        <v>8179</v>
      </c>
      <c r="B2017" s="143">
        <v>6.90222E12</v>
      </c>
      <c r="C2017" s="140" t="s">
        <v>8739</v>
      </c>
      <c r="D2017" s="140" t="s">
        <v>6601</v>
      </c>
      <c r="E2017" s="140" t="s">
        <v>526</v>
      </c>
      <c r="F2017" s="140" t="s">
        <v>591</v>
      </c>
      <c r="G2017" s="141" t="s">
        <v>6742</v>
      </c>
      <c r="H2017" s="140" t="s">
        <v>6312</v>
      </c>
      <c r="I2017" s="140" t="s">
        <v>6313</v>
      </c>
      <c r="J2017" s="140" t="s">
        <v>6314</v>
      </c>
      <c r="K2017" s="140" t="s">
        <v>7088</v>
      </c>
    </row>
    <row r="2018">
      <c r="A2018" s="140" t="s">
        <v>8179</v>
      </c>
      <c r="B2018" s="143">
        <v>6.90222E12</v>
      </c>
      <c r="C2018" s="140" t="s">
        <v>8740</v>
      </c>
      <c r="D2018" s="140" t="s">
        <v>6601</v>
      </c>
      <c r="E2018" s="140" t="s">
        <v>526</v>
      </c>
      <c r="F2018" s="140" t="s">
        <v>591</v>
      </c>
      <c r="G2018" s="141" t="s">
        <v>6401</v>
      </c>
      <c r="H2018" s="140" t="s">
        <v>6312</v>
      </c>
      <c r="I2018" s="140" t="s">
        <v>6313</v>
      </c>
      <c r="J2018" s="140" t="s">
        <v>6314</v>
      </c>
      <c r="K2018" s="140" t="s">
        <v>7088</v>
      </c>
    </row>
    <row r="2019">
      <c r="A2019" s="140" t="s">
        <v>8179</v>
      </c>
      <c r="B2019" s="143">
        <v>6.90222E12</v>
      </c>
      <c r="C2019" s="140" t="s">
        <v>8741</v>
      </c>
      <c r="D2019" s="140" t="s">
        <v>6601</v>
      </c>
      <c r="E2019" s="140" t="s">
        <v>526</v>
      </c>
      <c r="F2019" s="140" t="s">
        <v>591</v>
      </c>
      <c r="G2019" s="141" t="s">
        <v>6401</v>
      </c>
      <c r="H2019" s="140" t="s">
        <v>6312</v>
      </c>
      <c r="I2019" s="140" t="s">
        <v>6313</v>
      </c>
      <c r="J2019" s="140" t="s">
        <v>6314</v>
      </c>
      <c r="K2019" s="140" t="s">
        <v>7088</v>
      </c>
    </row>
    <row r="2020">
      <c r="A2020" s="140" t="s">
        <v>8179</v>
      </c>
      <c r="B2020" s="143">
        <v>6.90222E12</v>
      </c>
      <c r="C2020" s="140" t="s">
        <v>8742</v>
      </c>
      <c r="D2020" s="140" t="s">
        <v>6601</v>
      </c>
      <c r="E2020" s="140" t="s">
        <v>526</v>
      </c>
      <c r="F2020" s="140" t="s">
        <v>591</v>
      </c>
      <c r="G2020" s="141" t="s">
        <v>6401</v>
      </c>
      <c r="H2020" s="140" t="s">
        <v>6312</v>
      </c>
      <c r="I2020" s="140" t="s">
        <v>6313</v>
      </c>
      <c r="J2020" s="140" t="s">
        <v>6314</v>
      </c>
      <c r="K2020" s="140" t="s">
        <v>7088</v>
      </c>
    </row>
    <row r="2021">
      <c r="A2021" s="140" t="s">
        <v>8179</v>
      </c>
      <c r="B2021" s="143">
        <v>6.90222E12</v>
      </c>
      <c r="C2021" s="140" t="s">
        <v>8743</v>
      </c>
      <c r="D2021" s="140" t="s">
        <v>6601</v>
      </c>
      <c r="E2021" s="140" t="s">
        <v>526</v>
      </c>
      <c r="F2021" s="140" t="s">
        <v>591</v>
      </c>
      <c r="G2021" s="141" t="s">
        <v>6401</v>
      </c>
      <c r="H2021" s="140" t="s">
        <v>6312</v>
      </c>
      <c r="I2021" s="140" t="s">
        <v>6313</v>
      </c>
      <c r="J2021" s="140" t="s">
        <v>6314</v>
      </c>
      <c r="K2021" s="140" t="s">
        <v>7088</v>
      </c>
    </row>
    <row r="2022">
      <c r="A2022" s="140" t="s">
        <v>8179</v>
      </c>
      <c r="B2022" s="143">
        <v>6.90222E12</v>
      </c>
      <c r="C2022" s="140" t="s">
        <v>8744</v>
      </c>
      <c r="D2022" s="140" t="s">
        <v>6601</v>
      </c>
      <c r="E2022" s="140" t="s">
        <v>526</v>
      </c>
      <c r="F2022" s="140" t="s">
        <v>591</v>
      </c>
      <c r="G2022" s="141" t="s">
        <v>6401</v>
      </c>
      <c r="H2022" s="140" t="s">
        <v>6312</v>
      </c>
      <c r="I2022" s="140" t="s">
        <v>6313</v>
      </c>
      <c r="J2022" s="140" t="s">
        <v>6314</v>
      </c>
      <c r="K2022" s="140" t="s">
        <v>7088</v>
      </c>
    </row>
    <row r="2023">
      <c r="A2023" s="140" t="s">
        <v>8179</v>
      </c>
      <c r="B2023" s="143">
        <v>6.90222E12</v>
      </c>
      <c r="C2023" s="140" t="s">
        <v>8745</v>
      </c>
      <c r="D2023" s="140" t="s">
        <v>6601</v>
      </c>
      <c r="E2023" s="140" t="s">
        <v>526</v>
      </c>
      <c r="F2023" s="140" t="s">
        <v>591</v>
      </c>
      <c r="G2023" s="141" t="s">
        <v>6401</v>
      </c>
      <c r="H2023" s="140" t="s">
        <v>6312</v>
      </c>
      <c r="I2023" s="140" t="s">
        <v>6313</v>
      </c>
      <c r="J2023" s="140" t="s">
        <v>6314</v>
      </c>
      <c r="K2023" s="140" t="s">
        <v>7088</v>
      </c>
    </row>
    <row r="2024">
      <c r="A2024" s="140" t="s">
        <v>8179</v>
      </c>
      <c r="B2024" s="143">
        <v>6.90222E12</v>
      </c>
      <c r="C2024" s="140" t="s">
        <v>8746</v>
      </c>
      <c r="D2024" s="140" t="s">
        <v>6601</v>
      </c>
      <c r="E2024" s="140" t="s">
        <v>526</v>
      </c>
      <c r="F2024" s="140" t="s">
        <v>591</v>
      </c>
      <c r="G2024" s="141" t="s">
        <v>6401</v>
      </c>
      <c r="H2024" s="140" t="s">
        <v>6312</v>
      </c>
      <c r="I2024" s="140" t="s">
        <v>6313</v>
      </c>
      <c r="J2024" s="140" t="s">
        <v>6314</v>
      </c>
      <c r="K2024" s="140" t="s">
        <v>7088</v>
      </c>
    </row>
    <row r="2025">
      <c r="A2025" s="140" t="s">
        <v>8179</v>
      </c>
      <c r="B2025" s="143">
        <v>6.90222E12</v>
      </c>
      <c r="C2025" s="140" t="s">
        <v>8747</v>
      </c>
      <c r="D2025" s="140" t="s">
        <v>6601</v>
      </c>
      <c r="E2025" s="140" t="s">
        <v>526</v>
      </c>
      <c r="F2025" s="140" t="s">
        <v>591</v>
      </c>
      <c r="G2025" s="141" t="s">
        <v>6401</v>
      </c>
      <c r="H2025" s="140" t="s">
        <v>6312</v>
      </c>
      <c r="I2025" s="140" t="s">
        <v>6313</v>
      </c>
      <c r="J2025" s="140" t="s">
        <v>6314</v>
      </c>
      <c r="K2025" s="140" t="s">
        <v>7088</v>
      </c>
    </row>
    <row r="2026">
      <c r="A2026" s="140" t="s">
        <v>8179</v>
      </c>
      <c r="B2026" s="143">
        <v>6.90222E12</v>
      </c>
      <c r="C2026" s="140" t="s">
        <v>8748</v>
      </c>
      <c r="D2026" s="140" t="s">
        <v>6601</v>
      </c>
      <c r="E2026" s="140" t="s">
        <v>526</v>
      </c>
      <c r="F2026" s="140" t="s">
        <v>591</v>
      </c>
      <c r="G2026" s="141" t="s">
        <v>6401</v>
      </c>
      <c r="H2026" s="140" t="s">
        <v>6312</v>
      </c>
      <c r="I2026" s="140" t="s">
        <v>6313</v>
      </c>
      <c r="J2026" s="140" t="s">
        <v>6314</v>
      </c>
      <c r="K2026" s="140" t="s">
        <v>7088</v>
      </c>
    </row>
    <row r="2027">
      <c r="A2027" s="140" t="s">
        <v>8179</v>
      </c>
      <c r="B2027" s="143">
        <v>6.90222E12</v>
      </c>
      <c r="C2027" s="140" t="s">
        <v>8749</v>
      </c>
      <c r="D2027" s="140" t="s">
        <v>6601</v>
      </c>
      <c r="E2027" s="140" t="s">
        <v>526</v>
      </c>
      <c r="F2027" s="140" t="s">
        <v>591</v>
      </c>
      <c r="G2027" s="141" t="s">
        <v>6401</v>
      </c>
      <c r="H2027" s="140" t="s">
        <v>6312</v>
      </c>
      <c r="I2027" s="140" t="s">
        <v>6313</v>
      </c>
      <c r="J2027" s="140" t="s">
        <v>6314</v>
      </c>
      <c r="K2027" s="140" t="s">
        <v>7088</v>
      </c>
    </row>
    <row r="2028">
      <c r="A2028" s="140" t="s">
        <v>8179</v>
      </c>
      <c r="B2028" s="143">
        <v>6.90222E12</v>
      </c>
      <c r="C2028" s="140" t="s">
        <v>8750</v>
      </c>
      <c r="D2028" s="140" t="s">
        <v>6601</v>
      </c>
      <c r="E2028" s="140" t="s">
        <v>526</v>
      </c>
      <c r="F2028" s="140" t="s">
        <v>591</v>
      </c>
      <c r="G2028" s="141" t="s">
        <v>6401</v>
      </c>
      <c r="H2028" s="140" t="s">
        <v>6312</v>
      </c>
      <c r="I2028" s="140" t="s">
        <v>6313</v>
      </c>
      <c r="J2028" s="140" t="s">
        <v>6314</v>
      </c>
      <c r="K2028" s="140" t="s">
        <v>7088</v>
      </c>
    </row>
    <row r="2029">
      <c r="A2029" s="140" t="s">
        <v>8179</v>
      </c>
      <c r="B2029" s="143">
        <v>6.90222E12</v>
      </c>
      <c r="C2029" s="140" t="s">
        <v>8751</v>
      </c>
      <c r="D2029" s="140" t="s">
        <v>6601</v>
      </c>
      <c r="E2029" s="140" t="s">
        <v>526</v>
      </c>
      <c r="F2029" s="140" t="s">
        <v>591</v>
      </c>
      <c r="G2029" s="141" t="s">
        <v>6401</v>
      </c>
      <c r="H2029" s="140" t="s">
        <v>6312</v>
      </c>
      <c r="I2029" s="140" t="s">
        <v>6313</v>
      </c>
      <c r="J2029" s="140" t="s">
        <v>6314</v>
      </c>
      <c r="K2029" s="140" t="s">
        <v>7088</v>
      </c>
    </row>
    <row r="2030">
      <c r="A2030" s="140" t="s">
        <v>8179</v>
      </c>
      <c r="B2030" s="143">
        <v>6.90222E12</v>
      </c>
      <c r="C2030" s="140" t="s">
        <v>8752</v>
      </c>
      <c r="D2030" s="140" t="s">
        <v>6601</v>
      </c>
      <c r="E2030" s="140" t="s">
        <v>526</v>
      </c>
      <c r="F2030" s="140" t="s">
        <v>591</v>
      </c>
      <c r="G2030" s="141" t="s">
        <v>6401</v>
      </c>
      <c r="H2030" s="140" t="s">
        <v>6312</v>
      </c>
      <c r="I2030" s="140" t="s">
        <v>6313</v>
      </c>
      <c r="J2030" s="140" t="s">
        <v>6314</v>
      </c>
      <c r="K2030" s="140" t="s">
        <v>7088</v>
      </c>
    </row>
    <row r="2031">
      <c r="A2031" s="140" t="s">
        <v>8179</v>
      </c>
      <c r="B2031" s="143">
        <v>6.90222E12</v>
      </c>
      <c r="C2031" s="140" t="s">
        <v>8753</v>
      </c>
      <c r="D2031" s="140" t="s">
        <v>6601</v>
      </c>
      <c r="E2031" s="140" t="s">
        <v>526</v>
      </c>
      <c r="F2031" s="140" t="s">
        <v>591</v>
      </c>
      <c r="G2031" s="141" t="s">
        <v>6401</v>
      </c>
      <c r="H2031" s="140" t="s">
        <v>6312</v>
      </c>
      <c r="I2031" s="140" t="s">
        <v>6313</v>
      </c>
      <c r="J2031" s="140" t="s">
        <v>6314</v>
      </c>
      <c r="K2031" s="140" t="s">
        <v>7088</v>
      </c>
    </row>
    <row r="2032">
      <c r="A2032" s="140" t="s">
        <v>8179</v>
      </c>
      <c r="B2032" s="143">
        <v>6.90222E12</v>
      </c>
      <c r="C2032" s="140" t="s">
        <v>8754</v>
      </c>
      <c r="D2032" s="140" t="s">
        <v>6601</v>
      </c>
      <c r="E2032" s="140" t="s">
        <v>526</v>
      </c>
      <c r="F2032" s="140" t="s">
        <v>591</v>
      </c>
      <c r="G2032" s="141" t="s">
        <v>6401</v>
      </c>
      <c r="H2032" s="140" t="s">
        <v>6312</v>
      </c>
      <c r="I2032" s="140" t="s">
        <v>6313</v>
      </c>
      <c r="J2032" s="140" t="s">
        <v>6314</v>
      </c>
      <c r="K2032" s="140" t="s">
        <v>7088</v>
      </c>
    </row>
    <row r="2033">
      <c r="A2033" s="140" t="s">
        <v>8179</v>
      </c>
      <c r="B2033" s="143">
        <v>6.90222E12</v>
      </c>
      <c r="C2033" s="140" t="s">
        <v>8755</v>
      </c>
      <c r="D2033" s="140" t="s">
        <v>6601</v>
      </c>
      <c r="E2033" s="140" t="s">
        <v>526</v>
      </c>
      <c r="F2033" s="140" t="s">
        <v>591</v>
      </c>
      <c r="G2033" s="141" t="s">
        <v>6401</v>
      </c>
      <c r="H2033" s="140" t="s">
        <v>6312</v>
      </c>
      <c r="I2033" s="140" t="s">
        <v>6313</v>
      </c>
      <c r="J2033" s="140" t="s">
        <v>6314</v>
      </c>
      <c r="K2033" s="140" t="s">
        <v>7088</v>
      </c>
    </row>
    <row r="2034">
      <c r="A2034" s="140" t="s">
        <v>8179</v>
      </c>
      <c r="B2034" s="143">
        <v>6.90222E12</v>
      </c>
      <c r="C2034" s="140" t="s">
        <v>8756</v>
      </c>
      <c r="D2034" s="140" t="s">
        <v>6601</v>
      </c>
      <c r="E2034" s="140" t="s">
        <v>526</v>
      </c>
      <c r="F2034" s="140" t="s">
        <v>591</v>
      </c>
      <c r="G2034" s="141" t="s">
        <v>6401</v>
      </c>
      <c r="H2034" s="140" t="s">
        <v>6312</v>
      </c>
      <c r="I2034" s="140" t="s">
        <v>6313</v>
      </c>
      <c r="J2034" s="140" t="s">
        <v>6314</v>
      </c>
      <c r="K2034" s="140" t="s">
        <v>7088</v>
      </c>
    </row>
    <row r="2035">
      <c r="A2035" s="140" t="s">
        <v>8179</v>
      </c>
      <c r="B2035" s="143">
        <v>6.90222E12</v>
      </c>
      <c r="C2035" s="140" t="s">
        <v>8757</v>
      </c>
      <c r="D2035" s="140" t="s">
        <v>6601</v>
      </c>
      <c r="E2035" s="140" t="s">
        <v>526</v>
      </c>
      <c r="F2035" s="140" t="s">
        <v>591</v>
      </c>
      <c r="G2035" s="141" t="s">
        <v>6401</v>
      </c>
      <c r="H2035" s="140" t="s">
        <v>6312</v>
      </c>
      <c r="I2035" s="140" t="s">
        <v>6313</v>
      </c>
      <c r="J2035" s="140" t="s">
        <v>6314</v>
      </c>
      <c r="K2035" s="140" t="s">
        <v>7088</v>
      </c>
    </row>
    <row r="2036">
      <c r="A2036" s="140" t="s">
        <v>8179</v>
      </c>
      <c r="B2036" s="143">
        <v>6.90222E12</v>
      </c>
      <c r="C2036" s="140" t="s">
        <v>8758</v>
      </c>
      <c r="D2036" s="140" t="s">
        <v>6601</v>
      </c>
      <c r="E2036" s="140" t="s">
        <v>526</v>
      </c>
      <c r="F2036" s="140" t="s">
        <v>591</v>
      </c>
      <c r="G2036" s="141" t="s">
        <v>6401</v>
      </c>
      <c r="H2036" s="140" t="s">
        <v>6312</v>
      </c>
      <c r="I2036" s="140" t="s">
        <v>6313</v>
      </c>
      <c r="J2036" s="140" t="s">
        <v>6314</v>
      </c>
      <c r="K2036" s="140" t="s">
        <v>7088</v>
      </c>
    </row>
    <row r="2037">
      <c r="A2037" s="140" t="s">
        <v>8179</v>
      </c>
      <c r="B2037" s="143">
        <v>6.90222E12</v>
      </c>
      <c r="C2037" s="140" t="s">
        <v>8759</v>
      </c>
      <c r="D2037" s="140" t="s">
        <v>6601</v>
      </c>
      <c r="E2037" s="140" t="s">
        <v>526</v>
      </c>
      <c r="F2037" s="140" t="s">
        <v>591</v>
      </c>
      <c r="G2037" s="141" t="s">
        <v>6401</v>
      </c>
      <c r="H2037" s="140" t="s">
        <v>6312</v>
      </c>
      <c r="I2037" s="140" t="s">
        <v>6313</v>
      </c>
      <c r="J2037" s="140" t="s">
        <v>6314</v>
      </c>
      <c r="K2037" s="140" t="s">
        <v>7088</v>
      </c>
    </row>
    <row r="2038">
      <c r="A2038" s="140" t="s">
        <v>8179</v>
      </c>
      <c r="B2038" s="143">
        <v>6.90222E12</v>
      </c>
      <c r="C2038" s="140" t="s">
        <v>8760</v>
      </c>
      <c r="D2038" s="140" t="s">
        <v>6601</v>
      </c>
      <c r="E2038" s="140" t="s">
        <v>526</v>
      </c>
      <c r="F2038" s="140" t="s">
        <v>591</v>
      </c>
      <c r="G2038" s="141" t="s">
        <v>6401</v>
      </c>
      <c r="H2038" s="140" t="s">
        <v>6312</v>
      </c>
      <c r="I2038" s="140" t="s">
        <v>6313</v>
      </c>
      <c r="J2038" s="140" t="s">
        <v>6314</v>
      </c>
      <c r="K2038" s="140" t="s">
        <v>7088</v>
      </c>
    </row>
    <row r="2039">
      <c r="A2039" s="140" t="s">
        <v>8179</v>
      </c>
      <c r="B2039" s="143">
        <v>6.90222E12</v>
      </c>
      <c r="C2039" s="140" t="s">
        <v>8761</v>
      </c>
      <c r="D2039" s="140" t="s">
        <v>6601</v>
      </c>
      <c r="E2039" s="140" t="s">
        <v>526</v>
      </c>
      <c r="F2039" s="140" t="s">
        <v>591</v>
      </c>
      <c r="G2039" s="141" t="s">
        <v>6401</v>
      </c>
      <c r="H2039" s="140" t="s">
        <v>6312</v>
      </c>
      <c r="I2039" s="140" t="s">
        <v>6313</v>
      </c>
      <c r="J2039" s="140" t="s">
        <v>6314</v>
      </c>
      <c r="K2039" s="140" t="s">
        <v>7088</v>
      </c>
    </row>
    <row r="2040">
      <c r="A2040" s="140" t="s">
        <v>8179</v>
      </c>
      <c r="B2040" s="143">
        <v>6.90222E12</v>
      </c>
      <c r="C2040" s="140" t="s">
        <v>8762</v>
      </c>
      <c r="D2040" s="140" t="s">
        <v>6601</v>
      </c>
      <c r="E2040" s="140" t="s">
        <v>526</v>
      </c>
      <c r="F2040" s="140" t="s">
        <v>591</v>
      </c>
      <c r="G2040" s="141" t="s">
        <v>6401</v>
      </c>
      <c r="H2040" s="140" t="s">
        <v>6312</v>
      </c>
      <c r="I2040" s="140" t="s">
        <v>6313</v>
      </c>
      <c r="J2040" s="140" t="s">
        <v>6314</v>
      </c>
      <c r="K2040" s="140" t="s">
        <v>7088</v>
      </c>
    </row>
    <row r="2041">
      <c r="A2041" s="140" t="s">
        <v>8179</v>
      </c>
      <c r="B2041" s="143">
        <v>6.90222E12</v>
      </c>
      <c r="C2041" s="140" t="s">
        <v>8763</v>
      </c>
      <c r="D2041" s="140" t="s">
        <v>6601</v>
      </c>
      <c r="E2041" s="140" t="s">
        <v>526</v>
      </c>
      <c r="F2041" s="140" t="s">
        <v>591</v>
      </c>
      <c r="G2041" s="141" t="s">
        <v>6401</v>
      </c>
      <c r="H2041" s="140" t="s">
        <v>6312</v>
      </c>
      <c r="I2041" s="140" t="s">
        <v>6313</v>
      </c>
      <c r="J2041" s="140" t="s">
        <v>6314</v>
      </c>
      <c r="K2041" s="140" t="s">
        <v>7088</v>
      </c>
    </row>
    <row r="2042">
      <c r="A2042" s="140" t="s">
        <v>8179</v>
      </c>
      <c r="B2042" s="143">
        <v>6.90222E12</v>
      </c>
      <c r="C2042" s="140" t="s">
        <v>8764</v>
      </c>
      <c r="D2042" s="140" t="s">
        <v>6601</v>
      </c>
      <c r="E2042" s="140" t="s">
        <v>526</v>
      </c>
      <c r="F2042" s="140" t="s">
        <v>591</v>
      </c>
      <c r="G2042" s="141" t="s">
        <v>6401</v>
      </c>
      <c r="H2042" s="140" t="s">
        <v>6312</v>
      </c>
      <c r="I2042" s="140" t="s">
        <v>6313</v>
      </c>
      <c r="J2042" s="140" t="s">
        <v>6314</v>
      </c>
      <c r="K2042" s="140" t="s">
        <v>7088</v>
      </c>
    </row>
    <row r="2043">
      <c r="A2043" s="140" t="s">
        <v>8179</v>
      </c>
      <c r="B2043" s="143">
        <v>6.90222E12</v>
      </c>
      <c r="C2043" s="140" t="s">
        <v>8765</v>
      </c>
      <c r="D2043" s="140" t="s">
        <v>6601</v>
      </c>
      <c r="E2043" s="140" t="s">
        <v>526</v>
      </c>
      <c r="F2043" s="140" t="s">
        <v>591</v>
      </c>
      <c r="G2043" s="141" t="s">
        <v>6401</v>
      </c>
      <c r="H2043" s="140" t="s">
        <v>6312</v>
      </c>
      <c r="I2043" s="140" t="s">
        <v>6313</v>
      </c>
      <c r="J2043" s="140" t="s">
        <v>6314</v>
      </c>
      <c r="K2043" s="140" t="s">
        <v>7088</v>
      </c>
    </row>
    <row r="2044">
      <c r="A2044" s="140" t="s">
        <v>8179</v>
      </c>
      <c r="B2044" s="143">
        <v>6.90222E12</v>
      </c>
      <c r="C2044" s="140" t="s">
        <v>8766</v>
      </c>
      <c r="D2044" s="140" t="s">
        <v>6601</v>
      </c>
      <c r="E2044" s="140" t="s">
        <v>526</v>
      </c>
      <c r="F2044" s="140" t="s">
        <v>591</v>
      </c>
      <c r="G2044" s="141" t="s">
        <v>6401</v>
      </c>
      <c r="H2044" s="140" t="s">
        <v>6312</v>
      </c>
      <c r="I2044" s="140" t="s">
        <v>6313</v>
      </c>
      <c r="J2044" s="140" t="s">
        <v>6314</v>
      </c>
      <c r="K2044" s="140" t="s">
        <v>7088</v>
      </c>
    </row>
    <row r="2045">
      <c r="A2045" s="140" t="s">
        <v>8179</v>
      </c>
      <c r="B2045" s="143">
        <v>6.90222E12</v>
      </c>
      <c r="C2045" s="140" t="s">
        <v>8767</v>
      </c>
      <c r="D2045" s="140" t="s">
        <v>6601</v>
      </c>
      <c r="E2045" s="140" t="s">
        <v>526</v>
      </c>
      <c r="F2045" s="140" t="s">
        <v>591</v>
      </c>
      <c r="G2045" s="141" t="s">
        <v>6401</v>
      </c>
      <c r="H2045" s="140" t="s">
        <v>6312</v>
      </c>
      <c r="I2045" s="140" t="s">
        <v>6313</v>
      </c>
      <c r="J2045" s="140" t="s">
        <v>6314</v>
      </c>
      <c r="K2045" s="140" t="s">
        <v>7088</v>
      </c>
    </row>
    <row r="2046">
      <c r="A2046" s="140" t="s">
        <v>8179</v>
      </c>
      <c r="B2046" s="143">
        <v>6.90222E12</v>
      </c>
      <c r="C2046" s="140" t="s">
        <v>8768</v>
      </c>
      <c r="D2046" s="140" t="s">
        <v>6601</v>
      </c>
      <c r="E2046" s="140" t="s">
        <v>526</v>
      </c>
      <c r="F2046" s="140" t="s">
        <v>591</v>
      </c>
      <c r="G2046" s="141" t="s">
        <v>6401</v>
      </c>
      <c r="H2046" s="140" t="s">
        <v>6312</v>
      </c>
      <c r="I2046" s="140" t="s">
        <v>6313</v>
      </c>
      <c r="J2046" s="140" t="s">
        <v>6314</v>
      </c>
      <c r="K2046" s="140" t="s">
        <v>7088</v>
      </c>
    </row>
    <row r="2047">
      <c r="A2047" s="140" t="s">
        <v>8179</v>
      </c>
      <c r="B2047" s="143">
        <v>6.90222E12</v>
      </c>
      <c r="C2047" s="140" t="s">
        <v>8769</v>
      </c>
      <c r="D2047" s="140" t="s">
        <v>6601</v>
      </c>
      <c r="E2047" s="140" t="s">
        <v>526</v>
      </c>
      <c r="F2047" s="140" t="s">
        <v>591</v>
      </c>
      <c r="G2047" s="141" t="s">
        <v>6401</v>
      </c>
      <c r="H2047" s="140" t="s">
        <v>6312</v>
      </c>
      <c r="I2047" s="140" t="s">
        <v>6313</v>
      </c>
      <c r="J2047" s="140" t="s">
        <v>6314</v>
      </c>
      <c r="K2047" s="140" t="s">
        <v>7088</v>
      </c>
    </row>
    <row r="2048">
      <c r="A2048" s="140" t="s">
        <v>8179</v>
      </c>
      <c r="B2048" s="143">
        <v>6.90222E12</v>
      </c>
      <c r="C2048" s="140" t="s">
        <v>8770</v>
      </c>
      <c r="D2048" s="140" t="s">
        <v>6601</v>
      </c>
      <c r="E2048" s="140" t="s">
        <v>526</v>
      </c>
      <c r="F2048" s="140" t="s">
        <v>591</v>
      </c>
      <c r="G2048" s="141" t="s">
        <v>6401</v>
      </c>
      <c r="H2048" s="140" t="s">
        <v>6312</v>
      </c>
      <c r="I2048" s="140" t="s">
        <v>6313</v>
      </c>
      <c r="J2048" s="140" t="s">
        <v>6314</v>
      </c>
      <c r="K2048" s="140" t="s">
        <v>7088</v>
      </c>
    </row>
    <row r="2049">
      <c r="A2049" s="140" t="s">
        <v>8179</v>
      </c>
      <c r="B2049" s="143">
        <v>6.90222E12</v>
      </c>
      <c r="C2049" s="140" t="s">
        <v>8771</v>
      </c>
      <c r="D2049" s="140" t="s">
        <v>6601</v>
      </c>
      <c r="E2049" s="140" t="s">
        <v>526</v>
      </c>
      <c r="F2049" s="140" t="s">
        <v>591</v>
      </c>
      <c r="G2049" s="141" t="s">
        <v>6401</v>
      </c>
      <c r="H2049" s="140" t="s">
        <v>6312</v>
      </c>
      <c r="I2049" s="140" t="s">
        <v>6313</v>
      </c>
      <c r="J2049" s="140" t="s">
        <v>6314</v>
      </c>
      <c r="K2049" s="140" t="s">
        <v>7088</v>
      </c>
    </row>
    <row r="2050">
      <c r="A2050" s="140" t="s">
        <v>8179</v>
      </c>
      <c r="B2050" s="143">
        <v>6.90222E12</v>
      </c>
      <c r="C2050" s="140" t="s">
        <v>8772</v>
      </c>
      <c r="D2050" s="140" t="s">
        <v>6601</v>
      </c>
      <c r="E2050" s="140" t="s">
        <v>526</v>
      </c>
      <c r="F2050" s="140" t="s">
        <v>591</v>
      </c>
      <c r="G2050" s="141" t="s">
        <v>6401</v>
      </c>
      <c r="H2050" s="140" t="s">
        <v>6312</v>
      </c>
      <c r="I2050" s="140" t="s">
        <v>6313</v>
      </c>
      <c r="J2050" s="140" t="s">
        <v>6314</v>
      </c>
      <c r="K2050" s="140" t="s">
        <v>7088</v>
      </c>
    </row>
    <row r="2051">
      <c r="A2051" s="140" t="s">
        <v>8179</v>
      </c>
      <c r="B2051" s="143">
        <v>6.90222E12</v>
      </c>
      <c r="C2051" s="140" t="s">
        <v>8773</v>
      </c>
      <c r="D2051" s="140" t="s">
        <v>6601</v>
      </c>
      <c r="E2051" s="140" t="s">
        <v>526</v>
      </c>
      <c r="F2051" s="140" t="s">
        <v>591</v>
      </c>
      <c r="G2051" s="141" t="s">
        <v>6401</v>
      </c>
      <c r="H2051" s="140" t="s">
        <v>6312</v>
      </c>
      <c r="I2051" s="140" t="s">
        <v>6313</v>
      </c>
      <c r="J2051" s="140" t="s">
        <v>6314</v>
      </c>
      <c r="K2051" s="140" t="s">
        <v>7088</v>
      </c>
    </row>
    <row r="2052">
      <c r="A2052" s="140" t="s">
        <v>8179</v>
      </c>
      <c r="B2052" s="143">
        <v>6.90222E12</v>
      </c>
      <c r="C2052" s="140" t="s">
        <v>8774</v>
      </c>
      <c r="D2052" s="140" t="s">
        <v>6318</v>
      </c>
      <c r="E2052" s="140" t="s">
        <v>598</v>
      </c>
      <c r="F2052" s="140" t="s">
        <v>599</v>
      </c>
      <c r="G2052" s="141" t="s">
        <v>6401</v>
      </c>
      <c r="H2052" s="140" t="s">
        <v>6312</v>
      </c>
      <c r="I2052" s="140" t="s">
        <v>6313</v>
      </c>
      <c r="J2052" s="140" t="s">
        <v>6314</v>
      </c>
      <c r="K2052" s="140" t="s">
        <v>7088</v>
      </c>
    </row>
    <row r="2053">
      <c r="A2053" s="140" t="s">
        <v>8179</v>
      </c>
      <c r="B2053" s="143">
        <v>6.90222E12</v>
      </c>
      <c r="C2053" s="140" t="s">
        <v>8775</v>
      </c>
      <c r="D2053" s="140" t="s">
        <v>6318</v>
      </c>
      <c r="E2053" s="140" t="s">
        <v>598</v>
      </c>
      <c r="F2053" s="140" t="s">
        <v>599</v>
      </c>
      <c r="G2053" s="141" t="s">
        <v>6401</v>
      </c>
      <c r="H2053" s="140" t="s">
        <v>6312</v>
      </c>
      <c r="I2053" s="140" t="s">
        <v>6313</v>
      </c>
      <c r="J2053" s="140" t="s">
        <v>6314</v>
      </c>
      <c r="K2053" s="140" t="s">
        <v>7088</v>
      </c>
    </row>
    <row r="2054">
      <c r="A2054" s="140" t="s">
        <v>8179</v>
      </c>
      <c r="B2054" s="143">
        <v>6.90222E12</v>
      </c>
      <c r="C2054" s="140" t="s">
        <v>8776</v>
      </c>
      <c r="D2054" s="140" t="s">
        <v>6318</v>
      </c>
      <c r="E2054" s="140" t="s">
        <v>598</v>
      </c>
      <c r="F2054" s="140" t="s">
        <v>599</v>
      </c>
      <c r="G2054" s="141" t="s">
        <v>6401</v>
      </c>
      <c r="H2054" s="140" t="s">
        <v>6312</v>
      </c>
      <c r="I2054" s="140" t="s">
        <v>6313</v>
      </c>
      <c r="J2054" s="140" t="s">
        <v>6314</v>
      </c>
      <c r="K2054" s="140" t="s">
        <v>7088</v>
      </c>
    </row>
    <row r="2055">
      <c r="A2055" s="140" t="s">
        <v>8179</v>
      </c>
      <c r="B2055" s="143">
        <v>6.90222E12</v>
      </c>
      <c r="C2055" s="140" t="s">
        <v>8777</v>
      </c>
      <c r="D2055" s="140" t="s">
        <v>6318</v>
      </c>
      <c r="E2055" s="140" t="s">
        <v>598</v>
      </c>
      <c r="F2055" s="140" t="s">
        <v>599</v>
      </c>
      <c r="G2055" s="141" t="s">
        <v>6401</v>
      </c>
      <c r="H2055" s="140" t="s">
        <v>6312</v>
      </c>
      <c r="I2055" s="140" t="s">
        <v>6313</v>
      </c>
      <c r="J2055" s="140" t="s">
        <v>6314</v>
      </c>
      <c r="K2055" s="140" t="s">
        <v>7088</v>
      </c>
    </row>
    <row r="2056">
      <c r="A2056" s="140" t="s">
        <v>8179</v>
      </c>
      <c r="B2056" s="143">
        <v>6.90222E12</v>
      </c>
      <c r="C2056" s="140" t="s">
        <v>8778</v>
      </c>
      <c r="D2056" s="140" t="s">
        <v>6318</v>
      </c>
      <c r="E2056" s="140" t="s">
        <v>598</v>
      </c>
      <c r="F2056" s="140" t="s">
        <v>599</v>
      </c>
      <c r="G2056" s="141" t="s">
        <v>6401</v>
      </c>
      <c r="H2056" s="140" t="s">
        <v>6312</v>
      </c>
      <c r="I2056" s="140" t="s">
        <v>6313</v>
      </c>
      <c r="J2056" s="140" t="s">
        <v>6314</v>
      </c>
      <c r="K2056" s="140" t="s">
        <v>7088</v>
      </c>
    </row>
    <row r="2057">
      <c r="A2057" s="140" t="s">
        <v>8179</v>
      </c>
      <c r="B2057" s="143">
        <v>6.90222E12</v>
      </c>
      <c r="C2057" s="140" t="s">
        <v>8779</v>
      </c>
      <c r="D2057" s="140" t="s">
        <v>6318</v>
      </c>
      <c r="E2057" s="140" t="s">
        <v>598</v>
      </c>
      <c r="F2057" s="140" t="s">
        <v>599</v>
      </c>
      <c r="G2057" s="141" t="s">
        <v>6401</v>
      </c>
      <c r="H2057" s="140" t="s">
        <v>6312</v>
      </c>
      <c r="I2057" s="140" t="s">
        <v>6313</v>
      </c>
      <c r="J2057" s="140" t="s">
        <v>6314</v>
      </c>
      <c r="K2057" s="140" t="s">
        <v>7088</v>
      </c>
    </row>
    <row r="2058">
      <c r="A2058" s="140" t="s">
        <v>8179</v>
      </c>
      <c r="B2058" s="143">
        <v>6.90222E12</v>
      </c>
      <c r="C2058" s="140" t="s">
        <v>8780</v>
      </c>
      <c r="D2058" s="140" t="s">
        <v>6318</v>
      </c>
      <c r="E2058" s="140" t="s">
        <v>598</v>
      </c>
      <c r="F2058" s="140" t="s">
        <v>599</v>
      </c>
      <c r="G2058" s="141" t="s">
        <v>6401</v>
      </c>
      <c r="H2058" s="140" t="s">
        <v>6312</v>
      </c>
      <c r="I2058" s="140" t="s">
        <v>6313</v>
      </c>
      <c r="J2058" s="140" t="s">
        <v>6314</v>
      </c>
      <c r="K2058" s="140" t="s">
        <v>7088</v>
      </c>
    </row>
    <row r="2059">
      <c r="A2059" s="140" t="s">
        <v>8179</v>
      </c>
      <c r="B2059" s="143">
        <v>6.90222E12</v>
      </c>
      <c r="C2059" s="140" t="s">
        <v>8781</v>
      </c>
      <c r="D2059" s="140" t="s">
        <v>6318</v>
      </c>
      <c r="E2059" s="140" t="s">
        <v>598</v>
      </c>
      <c r="F2059" s="140" t="s">
        <v>599</v>
      </c>
      <c r="G2059" s="141" t="s">
        <v>6401</v>
      </c>
      <c r="H2059" s="140" t="s">
        <v>6312</v>
      </c>
      <c r="I2059" s="140" t="s">
        <v>6313</v>
      </c>
      <c r="J2059" s="140" t="s">
        <v>6314</v>
      </c>
      <c r="K2059" s="140" t="s">
        <v>7088</v>
      </c>
    </row>
    <row r="2060">
      <c r="A2060" s="140" t="s">
        <v>8179</v>
      </c>
      <c r="B2060" s="143">
        <v>6.90222E12</v>
      </c>
      <c r="C2060" s="140" t="s">
        <v>8782</v>
      </c>
      <c r="D2060" s="140" t="s">
        <v>6318</v>
      </c>
      <c r="E2060" s="140" t="s">
        <v>598</v>
      </c>
      <c r="F2060" s="140" t="s">
        <v>599</v>
      </c>
      <c r="G2060" s="141" t="s">
        <v>6401</v>
      </c>
      <c r="H2060" s="140" t="s">
        <v>6312</v>
      </c>
      <c r="I2060" s="140" t="s">
        <v>6313</v>
      </c>
      <c r="J2060" s="140" t="s">
        <v>6314</v>
      </c>
      <c r="K2060" s="140" t="s">
        <v>7088</v>
      </c>
    </row>
    <row r="2061">
      <c r="A2061" s="140" t="s">
        <v>8179</v>
      </c>
      <c r="B2061" s="143">
        <v>6.90222E12</v>
      </c>
      <c r="C2061" s="140" t="s">
        <v>8783</v>
      </c>
      <c r="D2061" s="140" t="s">
        <v>6318</v>
      </c>
      <c r="E2061" s="140" t="s">
        <v>598</v>
      </c>
      <c r="F2061" s="140" t="s">
        <v>599</v>
      </c>
      <c r="G2061" s="141" t="s">
        <v>6401</v>
      </c>
      <c r="H2061" s="140" t="s">
        <v>6312</v>
      </c>
      <c r="I2061" s="140" t="s">
        <v>6313</v>
      </c>
      <c r="J2061" s="140" t="s">
        <v>6314</v>
      </c>
      <c r="K2061" s="140" t="s">
        <v>7088</v>
      </c>
    </row>
    <row r="2062">
      <c r="A2062" s="140" t="s">
        <v>8179</v>
      </c>
      <c r="B2062" s="143">
        <v>6.90222E12</v>
      </c>
      <c r="C2062" s="140" t="s">
        <v>8784</v>
      </c>
      <c r="D2062" s="140" t="s">
        <v>6318</v>
      </c>
      <c r="E2062" s="140" t="s">
        <v>598</v>
      </c>
      <c r="F2062" s="140" t="s">
        <v>599</v>
      </c>
      <c r="G2062" s="141" t="s">
        <v>6401</v>
      </c>
      <c r="H2062" s="140" t="s">
        <v>6312</v>
      </c>
      <c r="I2062" s="140" t="s">
        <v>6313</v>
      </c>
      <c r="J2062" s="140" t="s">
        <v>6314</v>
      </c>
      <c r="K2062" s="140" t="s">
        <v>7088</v>
      </c>
    </row>
    <row r="2063">
      <c r="A2063" s="140" t="s">
        <v>8179</v>
      </c>
      <c r="B2063" s="143">
        <v>6.90222E12</v>
      </c>
      <c r="C2063" s="140" t="s">
        <v>8785</v>
      </c>
      <c r="D2063" s="140" t="s">
        <v>6318</v>
      </c>
      <c r="E2063" s="140" t="s">
        <v>598</v>
      </c>
      <c r="F2063" s="140" t="s">
        <v>599</v>
      </c>
      <c r="G2063" s="141" t="s">
        <v>6401</v>
      </c>
      <c r="H2063" s="140" t="s">
        <v>6312</v>
      </c>
      <c r="I2063" s="140" t="s">
        <v>6313</v>
      </c>
      <c r="J2063" s="140" t="s">
        <v>6314</v>
      </c>
      <c r="K2063" s="140" t="s">
        <v>7088</v>
      </c>
    </row>
    <row r="2064">
      <c r="A2064" s="140" t="s">
        <v>8179</v>
      </c>
      <c r="B2064" s="143">
        <v>6.90222E12</v>
      </c>
      <c r="C2064" s="140" t="s">
        <v>8786</v>
      </c>
      <c r="D2064" s="140" t="s">
        <v>6318</v>
      </c>
      <c r="E2064" s="140" t="s">
        <v>598</v>
      </c>
      <c r="F2064" s="140" t="s">
        <v>599</v>
      </c>
      <c r="G2064" s="141" t="s">
        <v>6401</v>
      </c>
      <c r="H2064" s="140" t="s">
        <v>6312</v>
      </c>
      <c r="I2064" s="140" t="s">
        <v>6313</v>
      </c>
      <c r="J2064" s="140" t="s">
        <v>6314</v>
      </c>
      <c r="K2064" s="140" t="s">
        <v>7088</v>
      </c>
    </row>
    <row r="2065">
      <c r="A2065" s="140" t="s">
        <v>8179</v>
      </c>
      <c r="B2065" s="143">
        <v>6.90222E12</v>
      </c>
      <c r="C2065" s="140" t="s">
        <v>8787</v>
      </c>
      <c r="D2065" s="140" t="s">
        <v>6318</v>
      </c>
      <c r="E2065" s="140" t="s">
        <v>598</v>
      </c>
      <c r="F2065" s="140" t="s">
        <v>599</v>
      </c>
      <c r="G2065" s="141" t="s">
        <v>6401</v>
      </c>
      <c r="H2065" s="140" t="s">
        <v>6312</v>
      </c>
      <c r="I2065" s="140" t="s">
        <v>6313</v>
      </c>
      <c r="J2065" s="140" t="s">
        <v>6314</v>
      </c>
      <c r="K2065" s="140" t="s">
        <v>7088</v>
      </c>
    </row>
    <row r="2066">
      <c r="A2066" s="140" t="s">
        <v>8179</v>
      </c>
      <c r="B2066" s="143">
        <v>6.90222E12</v>
      </c>
      <c r="C2066" s="140" t="s">
        <v>8788</v>
      </c>
      <c r="D2066" s="140" t="s">
        <v>6318</v>
      </c>
      <c r="E2066" s="140" t="s">
        <v>598</v>
      </c>
      <c r="F2066" s="140" t="s">
        <v>599</v>
      </c>
      <c r="G2066" s="141" t="s">
        <v>6401</v>
      </c>
      <c r="H2066" s="140" t="s">
        <v>6312</v>
      </c>
      <c r="I2066" s="140" t="s">
        <v>6313</v>
      </c>
      <c r="J2066" s="140" t="s">
        <v>6314</v>
      </c>
      <c r="K2066" s="140" t="s">
        <v>7088</v>
      </c>
    </row>
    <row r="2067">
      <c r="A2067" s="140" t="s">
        <v>8179</v>
      </c>
      <c r="B2067" s="143">
        <v>6.90222E12</v>
      </c>
      <c r="C2067" s="140" t="s">
        <v>8789</v>
      </c>
      <c r="D2067" s="140" t="s">
        <v>6318</v>
      </c>
      <c r="E2067" s="140" t="s">
        <v>598</v>
      </c>
      <c r="F2067" s="140" t="s">
        <v>599</v>
      </c>
      <c r="G2067" s="141" t="s">
        <v>6401</v>
      </c>
      <c r="H2067" s="140" t="s">
        <v>6312</v>
      </c>
      <c r="I2067" s="140" t="s">
        <v>6313</v>
      </c>
      <c r="J2067" s="140" t="s">
        <v>6314</v>
      </c>
      <c r="K2067" s="140" t="s">
        <v>7088</v>
      </c>
    </row>
    <row r="2068">
      <c r="A2068" s="140" t="s">
        <v>8179</v>
      </c>
      <c r="B2068" s="143">
        <v>6.90222E12</v>
      </c>
      <c r="C2068" s="140" t="s">
        <v>8790</v>
      </c>
      <c r="D2068" s="140" t="s">
        <v>6318</v>
      </c>
      <c r="E2068" s="140" t="s">
        <v>598</v>
      </c>
      <c r="F2068" s="140" t="s">
        <v>599</v>
      </c>
      <c r="G2068" s="141" t="s">
        <v>6401</v>
      </c>
      <c r="H2068" s="140" t="s">
        <v>6312</v>
      </c>
      <c r="I2068" s="140" t="s">
        <v>6313</v>
      </c>
      <c r="J2068" s="140" t="s">
        <v>6314</v>
      </c>
      <c r="K2068" s="140" t="s">
        <v>7088</v>
      </c>
    </row>
    <row r="2069">
      <c r="A2069" s="140" t="s">
        <v>8179</v>
      </c>
      <c r="B2069" s="143">
        <v>6.90222E12</v>
      </c>
      <c r="C2069" s="140" t="s">
        <v>8791</v>
      </c>
      <c r="D2069" s="140" t="s">
        <v>6318</v>
      </c>
      <c r="E2069" s="140" t="s">
        <v>598</v>
      </c>
      <c r="F2069" s="140" t="s">
        <v>599</v>
      </c>
      <c r="G2069" s="141" t="s">
        <v>6401</v>
      </c>
      <c r="H2069" s="140" t="s">
        <v>6312</v>
      </c>
      <c r="I2069" s="140" t="s">
        <v>6313</v>
      </c>
      <c r="J2069" s="140" t="s">
        <v>6314</v>
      </c>
      <c r="K2069" s="140" t="s">
        <v>7088</v>
      </c>
    </row>
    <row r="2070">
      <c r="A2070" s="140" t="s">
        <v>8179</v>
      </c>
      <c r="B2070" s="143">
        <v>6.90222E12</v>
      </c>
      <c r="C2070" s="140" t="s">
        <v>8792</v>
      </c>
      <c r="D2070" s="140" t="s">
        <v>6318</v>
      </c>
      <c r="E2070" s="140" t="s">
        <v>598</v>
      </c>
      <c r="F2070" s="140" t="s">
        <v>599</v>
      </c>
      <c r="G2070" s="141" t="s">
        <v>6401</v>
      </c>
      <c r="H2070" s="140" t="s">
        <v>6312</v>
      </c>
      <c r="I2070" s="140" t="s">
        <v>6313</v>
      </c>
      <c r="J2070" s="140" t="s">
        <v>6314</v>
      </c>
      <c r="K2070" s="140" t="s">
        <v>7088</v>
      </c>
    </row>
    <row r="2071">
      <c r="A2071" s="140" t="s">
        <v>8179</v>
      </c>
      <c r="B2071" s="143">
        <v>6.90222E12</v>
      </c>
      <c r="C2071" s="140" t="s">
        <v>8793</v>
      </c>
      <c r="D2071" s="140" t="s">
        <v>6318</v>
      </c>
      <c r="E2071" s="140" t="s">
        <v>598</v>
      </c>
      <c r="F2071" s="140" t="s">
        <v>599</v>
      </c>
      <c r="G2071" s="141" t="s">
        <v>6401</v>
      </c>
      <c r="H2071" s="140" t="s">
        <v>6312</v>
      </c>
      <c r="I2071" s="140" t="s">
        <v>6313</v>
      </c>
      <c r="J2071" s="140" t="s">
        <v>6314</v>
      </c>
      <c r="K2071" s="140" t="s">
        <v>7088</v>
      </c>
    </row>
    <row r="2072">
      <c r="A2072" s="140" t="s">
        <v>8179</v>
      </c>
      <c r="B2072" s="143">
        <v>6.90222E12</v>
      </c>
      <c r="C2072" s="140" t="s">
        <v>8794</v>
      </c>
      <c r="D2072" s="140" t="s">
        <v>6318</v>
      </c>
      <c r="E2072" s="140" t="s">
        <v>598</v>
      </c>
      <c r="F2072" s="140" t="s">
        <v>599</v>
      </c>
      <c r="G2072" s="141" t="s">
        <v>6401</v>
      </c>
      <c r="H2072" s="140" t="s">
        <v>6312</v>
      </c>
      <c r="I2072" s="140" t="s">
        <v>6313</v>
      </c>
      <c r="J2072" s="140" t="s">
        <v>6314</v>
      </c>
      <c r="K2072" s="140" t="s">
        <v>7088</v>
      </c>
    </row>
    <row r="2073">
      <c r="A2073" s="140" t="s">
        <v>8179</v>
      </c>
      <c r="B2073" s="143">
        <v>6.90222E12</v>
      </c>
      <c r="C2073" s="140" t="s">
        <v>8795</v>
      </c>
      <c r="D2073" s="140" t="s">
        <v>6318</v>
      </c>
      <c r="E2073" s="140" t="s">
        <v>598</v>
      </c>
      <c r="F2073" s="140" t="s">
        <v>599</v>
      </c>
      <c r="G2073" s="141" t="s">
        <v>6401</v>
      </c>
      <c r="H2073" s="140" t="s">
        <v>6312</v>
      </c>
      <c r="I2073" s="140" t="s">
        <v>6313</v>
      </c>
      <c r="J2073" s="140" t="s">
        <v>6314</v>
      </c>
      <c r="K2073" s="140" t="s">
        <v>7088</v>
      </c>
    </row>
    <row r="2074">
      <c r="A2074" s="140" t="s">
        <v>8179</v>
      </c>
      <c r="B2074" s="143">
        <v>6.90222E12</v>
      </c>
      <c r="C2074" s="140" t="s">
        <v>8796</v>
      </c>
      <c r="D2074" s="140" t="s">
        <v>6318</v>
      </c>
      <c r="E2074" s="140" t="s">
        <v>598</v>
      </c>
      <c r="F2074" s="140" t="s">
        <v>599</v>
      </c>
      <c r="G2074" s="141" t="s">
        <v>6401</v>
      </c>
      <c r="H2074" s="140" t="s">
        <v>6312</v>
      </c>
      <c r="I2074" s="140" t="s">
        <v>6313</v>
      </c>
      <c r="J2074" s="140" t="s">
        <v>6314</v>
      </c>
      <c r="K2074" s="140" t="s">
        <v>7088</v>
      </c>
    </row>
    <row r="2075">
      <c r="A2075" s="140" t="s">
        <v>8179</v>
      </c>
      <c r="B2075" s="143">
        <v>6.90222E12</v>
      </c>
      <c r="C2075" s="140" t="s">
        <v>8797</v>
      </c>
      <c r="D2075" s="140" t="s">
        <v>6318</v>
      </c>
      <c r="E2075" s="140" t="s">
        <v>598</v>
      </c>
      <c r="F2075" s="140" t="s">
        <v>599</v>
      </c>
      <c r="G2075" s="141" t="s">
        <v>6401</v>
      </c>
      <c r="H2075" s="140" t="s">
        <v>6312</v>
      </c>
      <c r="I2075" s="140" t="s">
        <v>6313</v>
      </c>
      <c r="J2075" s="140" t="s">
        <v>6314</v>
      </c>
      <c r="K2075" s="140" t="s">
        <v>7088</v>
      </c>
    </row>
    <row r="2076">
      <c r="A2076" s="140" t="s">
        <v>8179</v>
      </c>
      <c r="B2076" s="143">
        <v>6.90222E12</v>
      </c>
      <c r="C2076" s="140" t="s">
        <v>8798</v>
      </c>
      <c r="D2076" s="140" t="s">
        <v>6318</v>
      </c>
      <c r="E2076" s="140" t="s">
        <v>598</v>
      </c>
      <c r="F2076" s="140" t="s">
        <v>599</v>
      </c>
      <c r="G2076" s="141" t="s">
        <v>6401</v>
      </c>
      <c r="H2076" s="140" t="s">
        <v>6312</v>
      </c>
      <c r="I2076" s="140" t="s">
        <v>6313</v>
      </c>
      <c r="J2076" s="140" t="s">
        <v>6314</v>
      </c>
      <c r="K2076" s="140" t="s">
        <v>7088</v>
      </c>
    </row>
    <row r="2077">
      <c r="A2077" s="140" t="s">
        <v>8179</v>
      </c>
      <c r="B2077" s="140">
        <v>2.213060865E10</v>
      </c>
      <c r="C2077" s="140" t="s">
        <v>8799</v>
      </c>
      <c r="D2077" s="140" t="s">
        <v>6601</v>
      </c>
      <c r="E2077" s="140" t="s">
        <v>165</v>
      </c>
      <c r="F2077" s="140" t="s">
        <v>166</v>
      </c>
      <c r="G2077" s="141" t="s">
        <v>6668</v>
      </c>
      <c r="H2077" s="140" t="s">
        <v>6312</v>
      </c>
      <c r="I2077" s="140" t="s">
        <v>6313</v>
      </c>
      <c r="J2077" s="140" t="s">
        <v>6314</v>
      </c>
      <c r="K2077" s="140" t="s">
        <v>7088</v>
      </c>
    </row>
    <row r="2078">
      <c r="A2078" s="140" t="s">
        <v>8179</v>
      </c>
      <c r="B2078" s="143">
        <v>6.90222E12</v>
      </c>
      <c r="C2078" s="140" t="s">
        <v>8800</v>
      </c>
      <c r="D2078" s="140" t="s">
        <v>6601</v>
      </c>
      <c r="E2078" s="140" t="s">
        <v>165</v>
      </c>
      <c r="F2078" s="140" t="s">
        <v>166</v>
      </c>
      <c r="G2078" s="141" t="s">
        <v>6401</v>
      </c>
      <c r="H2078" s="140" t="s">
        <v>6312</v>
      </c>
      <c r="I2078" s="140" t="s">
        <v>6313</v>
      </c>
      <c r="J2078" s="140" t="s">
        <v>6314</v>
      </c>
      <c r="K2078" s="140" t="s">
        <v>7088</v>
      </c>
    </row>
    <row r="2079">
      <c r="A2079" s="140" t="s">
        <v>8179</v>
      </c>
      <c r="B2079" s="143">
        <v>6.90222E12</v>
      </c>
      <c r="C2079" s="140" t="s">
        <v>8801</v>
      </c>
      <c r="D2079" s="140" t="s">
        <v>6601</v>
      </c>
      <c r="E2079" s="140" t="s">
        <v>165</v>
      </c>
      <c r="F2079" s="140" t="s">
        <v>166</v>
      </c>
      <c r="G2079" s="141" t="s">
        <v>6401</v>
      </c>
      <c r="H2079" s="140" t="s">
        <v>6312</v>
      </c>
      <c r="I2079" s="140" t="s">
        <v>6313</v>
      </c>
      <c r="J2079" s="140" t="s">
        <v>6314</v>
      </c>
      <c r="K2079" s="140" t="s">
        <v>7088</v>
      </c>
    </row>
    <row r="2080">
      <c r="A2080" s="140" t="s">
        <v>8179</v>
      </c>
      <c r="B2080" s="143">
        <v>6.90222E12</v>
      </c>
      <c r="C2080" s="140" t="s">
        <v>8802</v>
      </c>
      <c r="D2080" s="140" t="s">
        <v>6601</v>
      </c>
      <c r="E2080" s="140" t="s">
        <v>165</v>
      </c>
      <c r="F2080" s="140" t="s">
        <v>166</v>
      </c>
      <c r="G2080" s="141" t="s">
        <v>6401</v>
      </c>
      <c r="H2080" s="140" t="s">
        <v>6312</v>
      </c>
      <c r="I2080" s="140" t="s">
        <v>6313</v>
      </c>
      <c r="J2080" s="140" t="s">
        <v>6314</v>
      </c>
      <c r="K2080" s="140" t="s">
        <v>7088</v>
      </c>
    </row>
    <row r="2081">
      <c r="A2081" s="140" t="s">
        <v>8179</v>
      </c>
      <c r="B2081" s="143">
        <v>6.90222E12</v>
      </c>
      <c r="C2081" s="140" t="s">
        <v>8803</v>
      </c>
      <c r="D2081" s="140" t="s">
        <v>6601</v>
      </c>
      <c r="E2081" s="140" t="s">
        <v>165</v>
      </c>
      <c r="F2081" s="140" t="s">
        <v>166</v>
      </c>
      <c r="G2081" s="141" t="s">
        <v>6401</v>
      </c>
      <c r="H2081" s="140" t="s">
        <v>6312</v>
      </c>
      <c r="I2081" s="140" t="s">
        <v>6313</v>
      </c>
      <c r="J2081" s="140" t="s">
        <v>6314</v>
      </c>
      <c r="K2081" s="140" t="s">
        <v>7088</v>
      </c>
    </row>
    <row r="2082">
      <c r="A2082" s="140" t="s">
        <v>8179</v>
      </c>
      <c r="B2082" s="143">
        <v>6.90222E12</v>
      </c>
      <c r="C2082" s="140" t="s">
        <v>8804</v>
      </c>
      <c r="D2082" s="140" t="s">
        <v>6601</v>
      </c>
      <c r="E2082" s="140" t="s">
        <v>165</v>
      </c>
      <c r="F2082" s="140" t="s">
        <v>166</v>
      </c>
      <c r="G2082" s="141" t="s">
        <v>6401</v>
      </c>
      <c r="H2082" s="140" t="s">
        <v>6312</v>
      </c>
      <c r="I2082" s="140" t="s">
        <v>6313</v>
      </c>
      <c r="J2082" s="140" t="s">
        <v>6314</v>
      </c>
      <c r="K2082" s="140" t="s">
        <v>7088</v>
      </c>
    </row>
    <row r="2083">
      <c r="A2083" s="140" t="s">
        <v>8179</v>
      </c>
      <c r="B2083" s="140">
        <v>2.2130608661E10</v>
      </c>
      <c r="C2083" s="140" t="s">
        <v>8805</v>
      </c>
      <c r="D2083" s="140" t="s">
        <v>6601</v>
      </c>
      <c r="E2083" s="140" t="s">
        <v>165</v>
      </c>
      <c r="F2083" s="140" t="s">
        <v>166</v>
      </c>
      <c r="G2083" s="141" t="s">
        <v>6401</v>
      </c>
      <c r="H2083" s="140" t="s">
        <v>6312</v>
      </c>
      <c r="I2083" s="140" t="s">
        <v>6313</v>
      </c>
      <c r="J2083" s="140" t="s">
        <v>6314</v>
      </c>
      <c r="K2083" s="140" t="s">
        <v>7088</v>
      </c>
    </row>
    <row r="2084">
      <c r="A2084" s="140" t="s">
        <v>8179</v>
      </c>
      <c r="B2084" s="143">
        <v>6.90222E12</v>
      </c>
      <c r="C2084" s="140" t="s">
        <v>8806</v>
      </c>
      <c r="D2084" s="140" t="s">
        <v>6601</v>
      </c>
      <c r="E2084" s="140" t="s">
        <v>165</v>
      </c>
      <c r="F2084" s="140" t="s">
        <v>166</v>
      </c>
      <c r="G2084" s="141" t="s">
        <v>6401</v>
      </c>
      <c r="H2084" s="140" t="s">
        <v>6312</v>
      </c>
      <c r="I2084" s="140" t="s">
        <v>6313</v>
      </c>
      <c r="J2084" s="140" t="s">
        <v>6314</v>
      </c>
      <c r="K2084" s="140" t="s">
        <v>7088</v>
      </c>
    </row>
    <row r="2085">
      <c r="A2085" s="140" t="s">
        <v>8179</v>
      </c>
      <c r="B2085" s="143">
        <v>6.90222E12</v>
      </c>
      <c r="C2085" s="140" t="s">
        <v>8807</v>
      </c>
      <c r="D2085" s="140" t="s">
        <v>6318</v>
      </c>
      <c r="E2085" s="140" t="s">
        <v>1301</v>
      </c>
      <c r="F2085" s="140" t="s">
        <v>735</v>
      </c>
      <c r="G2085" s="141" t="s">
        <v>6401</v>
      </c>
      <c r="H2085" s="140" t="s">
        <v>6312</v>
      </c>
      <c r="I2085" s="140" t="s">
        <v>6313</v>
      </c>
      <c r="J2085" s="140" t="s">
        <v>6314</v>
      </c>
      <c r="K2085" s="140" t="s">
        <v>7088</v>
      </c>
    </row>
    <row r="2086">
      <c r="A2086" s="140" t="s">
        <v>8179</v>
      </c>
      <c r="B2086" s="143">
        <v>6.90222E12</v>
      </c>
      <c r="C2086" s="140" t="s">
        <v>8808</v>
      </c>
      <c r="D2086" s="140" t="s">
        <v>6318</v>
      </c>
      <c r="E2086" s="140" t="s">
        <v>1301</v>
      </c>
      <c r="F2086" s="140" t="s">
        <v>735</v>
      </c>
      <c r="G2086" s="141" t="s">
        <v>6401</v>
      </c>
      <c r="H2086" s="140" t="s">
        <v>6312</v>
      </c>
      <c r="I2086" s="140" t="s">
        <v>6313</v>
      </c>
      <c r="J2086" s="140" t="s">
        <v>6314</v>
      </c>
      <c r="K2086" s="140" t="s">
        <v>7088</v>
      </c>
    </row>
    <row r="2087">
      <c r="A2087" s="140" t="s">
        <v>8179</v>
      </c>
      <c r="B2087" s="143">
        <v>6.90222E12</v>
      </c>
      <c r="C2087" s="140" t="s">
        <v>8809</v>
      </c>
      <c r="D2087" s="140" t="s">
        <v>6318</v>
      </c>
      <c r="E2087" s="140" t="s">
        <v>1301</v>
      </c>
      <c r="F2087" s="140" t="s">
        <v>735</v>
      </c>
      <c r="G2087" s="141" t="s">
        <v>6401</v>
      </c>
      <c r="H2087" s="140" t="s">
        <v>6312</v>
      </c>
      <c r="I2087" s="140" t="s">
        <v>6313</v>
      </c>
      <c r="J2087" s="140" t="s">
        <v>6314</v>
      </c>
      <c r="K2087" s="140" t="s">
        <v>7088</v>
      </c>
    </row>
    <row r="2088">
      <c r="A2088" s="140" t="s">
        <v>8179</v>
      </c>
      <c r="B2088" s="143">
        <v>6.90222E12</v>
      </c>
      <c r="C2088" s="140" t="s">
        <v>8810</v>
      </c>
      <c r="D2088" s="140" t="s">
        <v>6620</v>
      </c>
      <c r="E2088" s="140" t="s">
        <v>8811</v>
      </c>
      <c r="F2088" s="140" t="s">
        <v>8811</v>
      </c>
      <c r="G2088" s="141" t="s">
        <v>6401</v>
      </c>
      <c r="H2088" s="140" t="s">
        <v>6312</v>
      </c>
      <c r="I2088" s="140" t="s">
        <v>6313</v>
      </c>
      <c r="J2088" s="140" t="s">
        <v>6314</v>
      </c>
      <c r="K2088" s="140" t="s">
        <v>7088</v>
      </c>
    </row>
    <row r="2089">
      <c r="A2089" s="140" t="s">
        <v>8179</v>
      </c>
      <c r="B2089" s="143">
        <v>6.90222E12</v>
      </c>
      <c r="C2089" s="140" t="s">
        <v>8812</v>
      </c>
      <c r="D2089" s="140" t="s">
        <v>6718</v>
      </c>
      <c r="E2089" s="140" t="s">
        <v>6719</v>
      </c>
      <c r="F2089" s="140" t="s">
        <v>8813</v>
      </c>
      <c r="G2089" s="141" t="s">
        <v>6401</v>
      </c>
      <c r="H2089" s="140" t="s">
        <v>6312</v>
      </c>
      <c r="I2089" s="140" t="s">
        <v>6313</v>
      </c>
      <c r="J2089" s="140" t="s">
        <v>6314</v>
      </c>
      <c r="K2089" s="140" t="s">
        <v>7088</v>
      </c>
    </row>
    <row r="2090">
      <c r="A2090" s="140" t="s">
        <v>8179</v>
      </c>
      <c r="B2090" s="143">
        <v>6.90222E12</v>
      </c>
      <c r="C2090" s="140" t="s">
        <v>8814</v>
      </c>
      <c r="D2090" s="140" t="s">
        <v>6718</v>
      </c>
      <c r="E2090" s="140" t="s">
        <v>6719</v>
      </c>
      <c r="F2090" s="140" t="s">
        <v>8813</v>
      </c>
      <c r="G2090" s="141" t="s">
        <v>6401</v>
      </c>
      <c r="H2090" s="140" t="s">
        <v>6312</v>
      </c>
      <c r="I2090" s="140" t="s">
        <v>6313</v>
      </c>
      <c r="J2090" s="140" t="s">
        <v>6314</v>
      </c>
      <c r="K2090" s="140" t="s">
        <v>7088</v>
      </c>
    </row>
    <row r="2091">
      <c r="A2091" s="140" t="s">
        <v>8179</v>
      </c>
      <c r="B2091" s="143">
        <v>6.90222E12</v>
      </c>
      <c r="C2091" s="140" t="s">
        <v>8815</v>
      </c>
      <c r="D2091" s="140" t="s">
        <v>6718</v>
      </c>
      <c r="E2091" s="140" t="s">
        <v>6719</v>
      </c>
      <c r="F2091" s="140" t="s">
        <v>8813</v>
      </c>
      <c r="G2091" s="141" t="s">
        <v>6401</v>
      </c>
      <c r="H2091" s="140" t="s">
        <v>6312</v>
      </c>
      <c r="I2091" s="140" t="s">
        <v>6313</v>
      </c>
      <c r="J2091" s="140" t="s">
        <v>6314</v>
      </c>
      <c r="K2091" s="140" t="s">
        <v>7088</v>
      </c>
    </row>
    <row r="2092">
      <c r="A2092" s="140" t="s">
        <v>8179</v>
      </c>
      <c r="B2092" s="143">
        <v>6.90222E12</v>
      </c>
      <c r="C2092" s="140" t="s">
        <v>8816</v>
      </c>
      <c r="D2092" s="140" t="s">
        <v>6718</v>
      </c>
      <c r="E2092" s="140" t="s">
        <v>6719</v>
      </c>
      <c r="F2092" s="140" t="s">
        <v>8813</v>
      </c>
      <c r="G2092" s="141" t="s">
        <v>6401</v>
      </c>
      <c r="H2092" s="140" t="s">
        <v>6312</v>
      </c>
      <c r="I2092" s="140" t="s">
        <v>6313</v>
      </c>
      <c r="J2092" s="140" t="s">
        <v>6314</v>
      </c>
      <c r="K2092" s="140" t="s">
        <v>7088</v>
      </c>
    </row>
    <row r="2093">
      <c r="A2093" s="140" t="s">
        <v>8179</v>
      </c>
      <c r="B2093" s="143">
        <v>6.90222E12</v>
      </c>
      <c r="C2093" s="140" t="s">
        <v>8817</v>
      </c>
      <c r="D2093" s="140" t="s">
        <v>6718</v>
      </c>
      <c r="E2093" s="140" t="s">
        <v>6719</v>
      </c>
      <c r="F2093" s="140" t="s">
        <v>8813</v>
      </c>
      <c r="G2093" s="141" t="s">
        <v>6401</v>
      </c>
      <c r="H2093" s="140" t="s">
        <v>6312</v>
      </c>
      <c r="I2093" s="140" t="s">
        <v>6313</v>
      </c>
      <c r="J2093" s="140" t="s">
        <v>6314</v>
      </c>
      <c r="K2093" s="140" t="s">
        <v>7088</v>
      </c>
    </row>
    <row r="2094">
      <c r="A2094" s="140" t="s">
        <v>8179</v>
      </c>
      <c r="B2094" s="143">
        <v>6.90222E12</v>
      </c>
      <c r="C2094" s="140" t="s">
        <v>8818</v>
      </c>
      <c r="D2094" s="140" t="s">
        <v>6718</v>
      </c>
      <c r="E2094" s="140" t="s">
        <v>6719</v>
      </c>
      <c r="F2094" s="140" t="s">
        <v>8813</v>
      </c>
      <c r="G2094" s="141" t="s">
        <v>6401</v>
      </c>
      <c r="H2094" s="140" t="s">
        <v>6312</v>
      </c>
      <c r="I2094" s="140" t="s">
        <v>6313</v>
      </c>
      <c r="J2094" s="140" t="s">
        <v>6314</v>
      </c>
      <c r="K2094" s="140" t="s">
        <v>7088</v>
      </c>
    </row>
    <row r="2095">
      <c r="A2095" s="140" t="s">
        <v>8179</v>
      </c>
      <c r="B2095" s="143">
        <v>6.90222E12</v>
      </c>
      <c r="C2095" s="140" t="s">
        <v>8819</v>
      </c>
      <c r="D2095" s="140" t="s">
        <v>6718</v>
      </c>
      <c r="E2095" s="140" t="s">
        <v>6719</v>
      </c>
      <c r="F2095" s="140" t="s">
        <v>8813</v>
      </c>
      <c r="G2095" s="141" t="s">
        <v>6401</v>
      </c>
      <c r="H2095" s="140" t="s">
        <v>6312</v>
      </c>
      <c r="I2095" s="140" t="s">
        <v>6313</v>
      </c>
      <c r="J2095" s="140" t="s">
        <v>6314</v>
      </c>
      <c r="K2095" s="140" t="s">
        <v>7088</v>
      </c>
    </row>
    <row r="2096">
      <c r="A2096" s="140" t="s">
        <v>8179</v>
      </c>
      <c r="B2096" s="143">
        <v>6.90222E12</v>
      </c>
      <c r="C2096" s="140" t="s">
        <v>8820</v>
      </c>
      <c r="D2096" s="140" t="s">
        <v>6718</v>
      </c>
      <c r="E2096" s="140" t="s">
        <v>6719</v>
      </c>
      <c r="F2096" s="140" t="s">
        <v>8813</v>
      </c>
      <c r="G2096" s="141" t="s">
        <v>6401</v>
      </c>
      <c r="H2096" s="140" t="s">
        <v>6312</v>
      </c>
      <c r="I2096" s="140" t="s">
        <v>6313</v>
      </c>
      <c r="J2096" s="140" t="s">
        <v>6314</v>
      </c>
      <c r="K2096" s="140" t="s">
        <v>7088</v>
      </c>
    </row>
    <row r="2097">
      <c r="A2097" s="140" t="s">
        <v>8179</v>
      </c>
      <c r="B2097" s="143">
        <v>6.90222E12</v>
      </c>
      <c r="C2097" s="140" t="s">
        <v>8821</v>
      </c>
      <c r="D2097" s="140" t="s">
        <v>6718</v>
      </c>
      <c r="E2097" s="140" t="s">
        <v>6719</v>
      </c>
      <c r="F2097" s="140" t="s">
        <v>8813</v>
      </c>
      <c r="G2097" s="141" t="s">
        <v>6401</v>
      </c>
      <c r="H2097" s="140" t="s">
        <v>6312</v>
      </c>
      <c r="I2097" s="140" t="s">
        <v>6313</v>
      </c>
      <c r="J2097" s="140" t="s">
        <v>6314</v>
      </c>
      <c r="K2097" s="140" t="s">
        <v>7088</v>
      </c>
    </row>
    <row r="2098">
      <c r="A2098" s="140" t="s">
        <v>8179</v>
      </c>
      <c r="B2098" s="143">
        <v>6.90222E12</v>
      </c>
      <c r="C2098" s="140" t="s">
        <v>8822</v>
      </c>
      <c r="D2098" s="140" t="s">
        <v>6718</v>
      </c>
      <c r="E2098" s="140" t="s">
        <v>6719</v>
      </c>
      <c r="F2098" s="140" t="s">
        <v>8813</v>
      </c>
      <c r="G2098" s="141" t="s">
        <v>6401</v>
      </c>
      <c r="H2098" s="140" t="s">
        <v>6312</v>
      </c>
      <c r="I2098" s="140" t="s">
        <v>6313</v>
      </c>
      <c r="J2098" s="140" t="s">
        <v>6314</v>
      </c>
      <c r="K2098" s="140" t="s">
        <v>7088</v>
      </c>
    </row>
    <row r="2099">
      <c r="A2099" s="140" t="s">
        <v>8179</v>
      </c>
      <c r="B2099" s="143">
        <v>6.90222E12</v>
      </c>
      <c r="C2099" s="140" t="s">
        <v>8823</v>
      </c>
      <c r="D2099" s="140" t="s">
        <v>6718</v>
      </c>
      <c r="E2099" s="140" t="s">
        <v>6719</v>
      </c>
      <c r="F2099" s="140" t="s">
        <v>8813</v>
      </c>
      <c r="G2099" s="141" t="s">
        <v>6401</v>
      </c>
      <c r="H2099" s="140" t="s">
        <v>6312</v>
      </c>
      <c r="I2099" s="140" t="s">
        <v>6313</v>
      </c>
      <c r="J2099" s="140" t="s">
        <v>6314</v>
      </c>
      <c r="K2099" s="140" t="s">
        <v>7088</v>
      </c>
    </row>
    <row r="2100">
      <c r="A2100" s="140" t="s">
        <v>8179</v>
      </c>
      <c r="B2100" s="143">
        <v>6.90222E12</v>
      </c>
      <c r="C2100" s="140" t="s">
        <v>8824</v>
      </c>
      <c r="D2100" s="140" t="s">
        <v>6718</v>
      </c>
      <c r="E2100" s="140" t="s">
        <v>6719</v>
      </c>
      <c r="F2100" s="140" t="s">
        <v>8813</v>
      </c>
      <c r="G2100" s="141" t="s">
        <v>6401</v>
      </c>
      <c r="H2100" s="140" t="s">
        <v>6312</v>
      </c>
      <c r="I2100" s="140" t="s">
        <v>6313</v>
      </c>
      <c r="J2100" s="140" t="s">
        <v>6314</v>
      </c>
      <c r="K2100" s="140" t="s">
        <v>7088</v>
      </c>
    </row>
    <row r="2101">
      <c r="A2101" s="140" t="s">
        <v>8179</v>
      </c>
      <c r="B2101" s="143">
        <v>6.90222E12</v>
      </c>
      <c r="C2101" s="140" t="s">
        <v>8825</v>
      </c>
      <c r="D2101" s="140" t="s">
        <v>6718</v>
      </c>
      <c r="E2101" s="140" t="s">
        <v>6719</v>
      </c>
      <c r="F2101" s="140" t="s">
        <v>8813</v>
      </c>
      <c r="G2101" s="141" t="s">
        <v>6401</v>
      </c>
      <c r="H2101" s="140" t="s">
        <v>6312</v>
      </c>
      <c r="I2101" s="140" t="s">
        <v>6313</v>
      </c>
      <c r="J2101" s="140" t="s">
        <v>6314</v>
      </c>
      <c r="K2101" s="140" t="s">
        <v>7088</v>
      </c>
    </row>
    <row r="2102">
      <c r="A2102" s="140" t="s">
        <v>8179</v>
      </c>
      <c r="B2102" s="143">
        <v>6.90222E12</v>
      </c>
      <c r="C2102" s="140" t="s">
        <v>8826</v>
      </c>
      <c r="D2102" s="140" t="s">
        <v>6718</v>
      </c>
      <c r="E2102" s="140" t="s">
        <v>6719</v>
      </c>
      <c r="F2102" s="140" t="s">
        <v>8813</v>
      </c>
      <c r="G2102" s="141" t="s">
        <v>6401</v>
      </c>
      <c r="H2102" s="140" t="s">
        <v>6312</v>
      </c>
      <c r="I2102" s="140" t="s">
        <v>6313</v>
      </c>
      <c r="J2102" s="140" t="s">
        <v>6314</v>
      </c>
      <c r="K2102" s="140" t="s">
        <v>7088</v>
      </c>
    </row>
    <row r="2103">
      <c r="A2103" s="140" t="s">
        <v>8179</v>
      </c>
      <c r="B2103" s="143">
        <v>6.90222E12</v>
      </c>
      <c r="C2103" s="140" t="s">
        <v>8827</v>
      </c>
      <c r="D2103" s="140" t="s">
        <v>6718</v>
      </c>
      <c r="E2103" s="140" t="s">
        <v>6719</v>
      </c>
      <c r="F2103" s="140" t="s">
        <v>8813</v>
      </c>
      <c r="G2103" s="141" t="s">
        <v>6401</v>
      </c>
      <c r="H2103" s="140" t="s">
        <v>6312</v>
      </c>
      <c r="I2103" s="140" t="s">
        <v>6313</v>
      </c>
      <c r="J2103" s="140" t="s">
        <v>6314</v>
      </c>
      <c r="K2103" s="140" t="s">
        <v>7088</v>
      </c>
    </row>
    <row r="2104">
      <c r="A2104" s="140" t="s">
        <v>8179</v>
      </c>
      <c r="B2104" s="143">
        <v>6.90222E12</v>
      </c>
      <c r="C2104" s="140" t="s">
        <v>8828</v>
      </c>
      <c r="D2104" s="140" t="s">
        <v>6718</v>
      </c>
      <c r="E2104" s="140" t="s">
        <v>6719</v>
      </c>
      <c r="F2104" s="140" t="s">
        <v>8813</v>
      </c>
      <c r="G2104" s="141" t="s">
        <v>6401</v>
      </c>
      <c r="H2104" s="140" t="s">
        <v>6312</v>
      </c>
      <c r="I2104" s="140" t="s">
        <v>6313</v>
      </c>
      <c r="J2104" s="140" t="s">
        <v>6314</v>
      </c>
      <c r="K2104" s="140" t="s">
        <v>7088</v>
      </c>
    </row>
    <row r="2105">
      <c r="A2105" s="140" t="s">
        <v>8179</v>
      </c>
      <c r="B2105" s="143">
        <v>6.90222E12</v>
      </c>
      <c r="C2105" s="140" t="s">
        <v>8829</v>
      </c>
      <c r="D2105" s="140" t="s">
        <v>6786</v>
      </c>
      <c r="E2105" s="140" t="s">
        <v>6786</v>
      </c>
      <c r="F2105" s="140" t="s">
        <v>6787</v>
      </c>
      <c r="G2105" s="141" t="s">
        <v>6401</v>
      </c>
      <c r="H2105" s="140" t="s">
        <v>6312</v>
      </c>
      <c r="I2105" s="140" t="s">
        <v>6313</v>
      </c>
      <c r="J2105" s="140" t="s">
        <v>6314</v>
      </c>
      <c r="K2105" s="140" t="s">
        <v>7088</v>
      </c>
    </row>
    <row r="2106">
      <c r="A2106" s="140" t="s">
        <v>8179</v>
      </c>
      <c r="B2106" s="143">
        <v>6.90222E12</v>
      </c>
      <c r="C2106" s="140" t="s">
        <v>8830</v>
      </c>
      <c r="D2106" s="140" t="s">
        <v>6786</v>
      </c>
      <c r="E2106" s="140" t="s">
        <v>6786</v>
      </c>
      <c r="F2106" s="140" t="s">
        <v>6787</v>
      </c>
      <c r="G2106" s="141" t="s">
        <v>6401</v>
      </c>
      <c r="H2106" s="140" t="s">
        <v>6312</v>
      </c>
      <c r="I2106" s="140" t="s">
        <v>6313</v>
      </c>
      <c r="J2106" s="140" t="s">
        <v>6314</v>
      </c>
      <c r="K2106" s="140" t="s">
        <v>7088</v>
      </c>
    </row>
    <row r="2107">
      <c r="A2107" s="140" t="s">
        <v>8179</v>
      </c>
      <c r="B2107" s="143">
        <v>6.90222E12</v>
      </c>
      <c r="C2107" s="140" t="s">
        <v>8831</v>
      </c>
      <c r="D2107" s="140" t="s">
        <v>6786</v>
      </c>
      <c r="E2107" s="140" t="s">
        <v>6786</v>
      </c>
      <c r="F2107" s="140" t="s">
        <v>6787</v>
      </c>
      <c r="G2107" s="141" t="s">
        <v>6401</v>
      </c>
      <c r="H2107" s="140" t="s">
        <v>6312</v>
      </c>
      <c r="I2107" s="140" t="s">
        <v>6313</v>
      </c>
      <c r="J2107" s="140" t="s">
        <v>6314</v>
      </c>
      <c r="K2107" s="140" t="s">
        <v>7088</v>
      </c>
    </row>
    <row r="2108">
      <c r="A2108" s="140" t="s">
        <v>8179</v>
      </c>
      <c r="B2108" s="143">
        <v>6.90222E12</v>
      </c>
      <c r="C2108" s="140" t="s">
        <v>8832</v>
      </c>
      <c r="D2108" s="140" t="s">
        <v>6786</v>
      </c>
      <c r="E2108" s="140" t="s">
        <v>6786</v>
      </c>
      <c r="F2108" s="140" t="s">
        <v>6787</v>
      </c>
      <c r="G2108" s="141" t="s">
        <v>6401</v>
      </c>
      <c r="H2108" s="140" t="s">
        <v>6312</v>
      </c>
      <c r="I2108" s="140" t="s">
        <v>6313</v>
      </c>
      <c r="J2108" s="140" t="s">
        <v>6314</v>
      </c>
      <c r="K2108" s="140" t="s">
        <v>7088</v>
      </c>
    </row>
    <row r="2109">
      <c r="A2109" s="140" t="s">
        <v>8179</v>
      </c>
      <c r="B2109" s="143">
        <v>6.90222E12</v>
      </c>
      <c r="C2109" s="140" t="s">
        <v>8833</v>
      </c>
      <c r="D2109" s="140" t="s">
        <v>6786</v>
      </c>
      <c r="E2109" s="140" t="s">
        <v>6786</v>
      </c>
      <c r="F2109" s="140" t="s">
        <v>6787</v>
      </c>
      <c r="G2109" s="141" t="s">
        <v>6401</v>
      </c>
      <c r="H2109" s="140" t="s">
        <v>6312</v>
      </c>
      <c r="I2109" s="140" t="s">
        <v>6313</v>
      </c>
      <c r="J2109" s="140" t="s">
        <v>6314</v>
      </c>
      <c r="K2109" s="140" t="s">
        <v>7088</v>
      </c>
    </row>
    <row r="2110">
      <c r="A2110" s="140" t="s">
        <v>8179</v>
      </c>
      <c r="B2110" s="143">
        <v>6.90222E12</v>
      </c>
      <c r="C2110" s="140" t="s">
        <v>8834</v>
      </c>
      <c r="D2110" s="140" t="s">
        <v>6786</v>
      </c>
      <c r="E2110" s="140" t="s">
        <v>6786</v>
      </c>
      <c r="F2110" s="140" t="s">
        <v>6787</v>
      </c>
      <c r="G2110" s="141" t="s">
        <v>6401</v>
      </c>
      <c r="H2110" s="140" t="s">
        <v>6312</v>
      </c>
      <c r="I2110" s="140" t="s">
        <v>6313</v>
      </c>
      <c r="J2110" s="140" t="s">
        <v>6314</v>
      </c>
      <c r="K2110" s="140" t="s">
        <v>7088</v>
      </c>
    </row>
    <row r="2111">
      <c r="A2111" s="140" t="s">
        <v>8179</v>
      </c>
      <c r="B2111" s="143">
        <v>6.90222E12</v>
      </c>
      <c r="C2111" s="140" t="s">
        <v>8835</v>
      </c>
      <c r="D2111" s="140" t="s">
        <v>6786</v>
      </c>
      <c r="E2111" s="140" t="s">
        <v>6786</v>
      </c>
      <c r="F2111" s="140" t="s">
        <v>6787</v>
      </c>
      <c r="G2111" s="141" t="s">
        <v>6401</v>
      </c>
      <c r="H2111" s="140" t="s">
        <v>6312</v>
      </c>
      <c r="I2111" s="140" t="s">
        <v>6313</v>
      </c>
      <c r="J2111" s="140" t="s">
        <v>6314</v>
      </c>
      <c r="K2111" s="140" t="s">
        <v>7088</v>
      </c>
    </row>
    <row r="2112">
      <c r="A2112" s="140" t="s">
        <v>8179</v>
      </c>
      <c r="B2112" s="143">
        <v>6.90222E12</v>
      </c>
      <c r="C2112" s="140" t="s">
        <v>8836</v>
      </c>
      <c r="D2112" s="140" t="s">
        <v>6786</v>
      </c>
      <c r="E2112" s="140" t="s">
        <v>6786</v>
      </c>
      <c r="F2112" s="140" t="s">
        <v>6787</v>
      </c>
      <c r="G2112" s="141" t="s">
        <v>6401</v>
      </c>
      <c r="H2112" s="140" t="s">
        <v>6312</v>
      </c>
      <c r="I2112" s="140" t="s">
        <v>6313</v>
      </c>
      <c r="J2112" s="140" t="s">
        <v>6314</v>
      </c>
      <c r="K2112" s="140" t="s">
        <v>7088</v>
      </c>
    </row>
    <row r="2113">
      <c r="A2113" s="140" t="s">
        <v>8179</v>
      </c>
      <c r="B2113" s="143">
        <v>6.90222E12</v>
      </c>
      <c r="C2113" s="140" t="s">
        <v>8837</v>
      </c>
      <c r="D2113" s="140" t="s">
        <v>6786</v>
      </c>
      <c r="E2113" s="140" t="s">
        <v>6786</v>
      </c>
      <c r="F2113" s="140" t="s">
        <v>6787</v>
      </c>
      <c r="G2113" s="141" t="s">
        <v>6401</v>
      </c>
      <c r="H2113" s="140" t="s">
        <v>6312</v>
      </c>
      <c r="I2113" s="140" t="s">
        <v>6313</v>
      </c>
      <c r="J2113" s="140" t="s">
        <v>6314</v>
      </c>
      <c r="K2113" s="140" t="s">
        <v>7088</v>
      </c>
    </row>
    <row r="2114">
      <c r="A2114" s="140" t="s">
        <v>8179</v>
      </c>
      <c r="B2114" s="143">
        <v>6.90222E12</v>
      </c>
      <c r="C2114" s="140" t="s">
        <v>8838</v>
      </c>
      <c r="D2114" s="140" t="s">
        <v>6786</v>
      </c>
      <c r="E2114" s="140" t="s">
        <v>6786</v>
      </c>
      <c r="F2114" s="140" t="s">
        <v>6787</v>
      </c>
      <c r="G2114" s="141" t="s">
        <v>6401</v>
      </c>
      <c r="H2114" s="140" t="s">
        <v>6312</v>
      </c>
      <c r="I2114" s="140" t="s">
        <v>6313</v>
      </c>
      <c r="J2114" s="140" t="s">
        <v>6314</v>
      </c>
      <c r="K2114" s="140" t="s">
        <v>7088</v>
      </c>
    </row>
    <row r="2115">
      <c r="A2115" s="140" t="s">
        <v>8179</v>
      </c>
      <c r="B2115" s="143">
        <v>6.90222E12</v>
      </c>
      <c r="C2115" s="140" t="s">
        <v>8839</v>
      </c>
      <c r="D2115" s="140" t="s">
        <v>6786</v>
      </c>
      <c r="E2115" s="140" t="s">
        <v>6786</v>
      </c>
      <c r="F2115" s="140" t="s">
        <v>6787</v>
      </c>
      <c r="G2115" s="141" t="s">
        <v>6401</v>
      </c>
      <c r="H2115" s="140" t="s">
        <v>6312</v>
      </c>
      <c r="I2115" s="140" t="s">
        <v>6313</v>
      </c>
      <c r="J2115" s="140" t="s">
        <v>6314</v>
      </c>
      <c r="K2115" s="140" t="s">
        <v>7088</v>
      </c>
    </row>
    <row r="2116">
      <c r="A2116" s="140" t="s">
        <v>8179</v>
      </c>
      <c r="B2116" s="143">
        <v>6.90222E12</v>
      </c>
      <c r="C2116" s="140" t="s">
        <v>8840</v>
      </c>
      <c r="D2116" s="140" t="s">
        <v>6786</v>
      </c>
      <c r="E2116" s="140" t="s">
        <v>6786</v>
      </c>
      <c r="F2116" s="140" t="s">
        <v>6787</v>
      </c>
      <c r="G2116" s="141" t="s">
        <v>6401</v>
      </c>
      <c r="H2116" s="140" t="s">
        <v>6312</v>
      </c>
      <c r="I2116" s="140" t="s">
        <v>6313</v>
      </c>
      <c r="J2116" s="140" t="s">
        <v>6314</v>
      </c>
      <c r="K2116" s="140" t="s">
        <v>7088</v>
      </c>
    </row>
    <row r="2117">
      <c r="A2117" s="140" t="s">
        <v>8179</v>
      </c>
      <c r="B2117" s="143">
        <v>6.90222E12</v>
      </c>
      <c r="C2117" s="140" t="s">
        <v>8841</v>
      </c>
      <c r="D2117" s="140" t="s">
        <v>6786</v>
      </c>
      <c r="E2117" s="140" t="s">
        <v>6786</v>
      </c>
      <c r="F2117" s="140" t="s">
        <v>6787</v>
      </c>
      <c r="G2117" s="141" t="s">
        <v>6401</v>
      </c>
      <c r="H2117" s="140" t="s">
        <v>6312</v>
      </c>
      <c r="I2117" s="140" t="s">
        <v>6313</v>
      </c>
      <c r="J2117" s="140" t="s">
        <v>6314</v>
      </c>
      <c r="K2117" s="140" t="s">
        <v>7088</v>
      </c>
    </row>
    <row r="2118">
      <c r="A2118" s="140" t="s">
        <v>8179</v>
      </c>
      <c r="B2118" s="143">
        <v>6.90222E12</v>
      </c>
      <c r="C2118" s="140" t="s">
        <v>8842</v>
      </c>
      <c r="D2118" s="140" t="s">
        <v>6786</v>
      </c>
      <c r="E2118" s="140" t="s">
        <v>6786</v>
      </c>
      <c r="F2118" s="140" t="s">
        <v>6787</v>
      </c>
      <c r="G2118" s="141" t="s">
        <v>6401</v>
      </c>
      <c r="H2118" s="140" t="s">
        <v>6312</v>
      </c>
      <c r="I2118" s="140" t="s">
        <v>6313</v>
      </c>
      <c r="J2118" s="140" t="s">
        <v>6314</v>
      </c>
      <c r="K2118" s="140" t="s">
        <v>7088</v>
      </c>
    </row>
    <row r="2119">
      <c r="A2119" s="140" t="s">
        <v>8179</v>
      </c>
      <c r="B2119" s="143">
        <v>6.90222E12</v>
      </c>
      <c r="C2119" s="140" t="s">
        <v>8843</v>
      </c>
      <c r="D2119" s="140" t="s">
        <v>6786</v>
      </c>
      <c r="E2119" s="140" t="s">
        <v>6786</v>
      </c>
      <c r="F2119" s="140" t="s">
        <v>6787</v>
      </c>
      <c r="G2119" s="141" t="s">
        <v>6401</v>
      </c>
      <c r="H2119" s="140" t="s">
        <v>6312</v>
      </c>
      <c r="I2119" s="140" t="s">
        <v>6313</v>
      </c>
      <c r="J2119" s="140" t="s">
        <v>6314</v>
      </c>
      <c r="K2119" s="140" t="s">
        <v>7088</v>
      </c>
    </row>
    <row r="2120">
      <c r="A2120" s="140" t="s">
        <v>8179</v>
      </c>
      <c r="B2120" s="143">
        <v>6.90222E12</v>
      </c>
      <c r="C2120" s="140" t="s">
        <v>8844</v>
      </c>
      <c r="D2120" s="140" t="s">
        <v>6786</v>
      </c>
      <c r="E2120" s="140" t="s">
        <v>6786</v>
      </c>
      <c r="F2120" s="140" t="s">
        <v>6787</v>
      </c>
      <c r="G2120" s="141" t="s">
        <v>6401</v>
      </c>
      <c r="H2120" s="140" t="s">
        <v>6312</v>
      </c>
      <c r="I2120" s="140" t="s">
        <v>6313</v>
      </c>
      <c r="J2120" s="140" t="s">
        <v>6314</v>
      </c>
      <c r="K2120" s="140" t="s">
        <v>7088</v>
      </c>
    </row>
    <row r="2121">
      <c r="A2121" s="140" t="s">
        <v>8179</v>
      </c>
      <c r="B2121" s="143">
        <v>6.90222E12</v>
      </c>
      <c r="C2121" s="140" t="s">
        <v>8845</v>
      </c>
      <c r="D2121" s="140" t="s">
        <v>6786</v>
      </c>
      <c r="E2121" s="140" t="s">
        <v>6786</v>
      </c>
      <c r="F2121" s="140" t="s">
        <v>6787</v>
      </c>
      <c r="G2121" s="141" t="s">
        <v>6401</v>
      </c>
      <c r="H2121" s="140" t="s">
        <v>6312</v>
      </c>
      <c r="I2121" s="140" t="s">
        <v>6313</v>
      </c>
      <c r="J2121" s="140" t="s">
        <v>6314</v>
      </c>
      <c r="K2121" s="140" t="s">
        <v>7088</v>
      </c>
    </row>
    <row r="2122">
      <c r="A2122" s="140" t="s">
        <v>8179</v>
      </c>
      <c r="B2122" s="143">
        <v>6.90222E12</v>
      </c>
      <c r="C2122" s="140" t="s">
        <v>8846</v>
      </c>
      <c r="D2122" s="140" t="s">
        <v>6786</v>
      </c>
      <c r="E2122" s="140" t="s">
        <v>6786</v>
      </c>
      <c r="F2122" s="140" t="s">
        <v>6787</v>
      </c>
      <c r="G2122" s="141" t="s">
        <v>6401</v>
      </c>
      <c r="H2122" s="140" t="s">
        <v>6312</v>
      </c>
      <c r="I2122" s="140" t="s">
        <v>6313</v>
      </c>
      <c r="J2122" s="140" t="s">
        <v>6314</v>
      </c>
      <c r="K2122" s="140" t="s">
        <v>7088</v>
      </c>
    </row>
    <row r="2123">
      <c r="A2123" s="140" t="s">
        <v>8179</v>
      </c>
      <c r="B2123" s="143">
        <v>6.90222E12</v>
      </c>
      <c r="C2123" s="140" t="s">
        <v>8847</v>
      </c>
      <c r="D2123" s="140" t="s">
        <v>6786</v>
      </c>
      <c r="E2123" s="140" t="s">
        <v>6786</v>
      </c>
      <c r="F2123" s="140" t="s">
        <v>6787</v>
      </c>
      <c r="G2123" s="141" t="s">
        <v>6401</v>
      </c>
      <c r="H2123" s="140" t="s">
        <v>6312</v>
      </c>
      <c r="I2123" s="140" t="s">
        <v>6313</v>
      </c>
      <c r="J2123" s="140" t="s">
        <v>6314</v>
      </c>
      <c r="K2123" s="140" t="s">
        <v>7088</v>
      </c>
    </row>
    <row r="2124">
      <c r="A2124" s="140" t="s">
        <v>8179</v>
      </c>
      <c r="B2124" s="143">
        <v>6.90222E12</v>
      </c>
      <c r="C2124" s="140" t="s">
        <v>8848</v>
      </c>
      <c r="D2124" s="140" t="s">
        <v>6786</v>
      </c>
      <c r="E2124" s="140" t="s">
        <v>6786</v>
      </c>
      <c r="F2124" s="140" t="s">
        <v>6787</v>
      </c>
      <c r="G2124" s="141" t="s">
        <v>6401</v>
      </c>
      <c r="H2124" s="140" t="s">
        <v>6312</v>
      </c>
      <c r="I2124" s="140" t="s">
        <v>6313</v>
      </c>
      <c r="J2124" s="140" t="s">
        <v>6314</v>
      </c>
      <c r="K2124" s="140" t="s">
        <v>7088</v>
      </c>
    </row>
    <row r="2125">
      <c r="A2125" s="140" t="s">
        <v>8179</v>
      </c>
      <c r="B2125" s="143">
        <v>6.90222E12</v>
      </c>
      <c r="C2125" s="140" t="s">
        <v>8849</v>
      </c>
      <c r="D2125" s="140" t="s">
        <v>6786</v>
      </c>
      <c r="E2125" s="140" t="s">
        <v>6786</v>
      </c>
      <c r="F2125" s="140" t="s">
        <v>6787</v>
      </c>
      <c r="G2125" s="141" t="s">
        <v>6401</v>
      </c>
      <c r="H2125" s="140" t="s">
        <v>6312</v>
      </c>
      <c r="I2125" s="140" t="s">
        <v>6313</v>
      </c>
      <c r="J2125" s="140" t="s">
        <v>6314</v>
      </c>
      <c r="K2125" s="140" t="s">
        <v>7088</v>
      </c>
    </row>
    <row r="2126">
      <c r="A2126" s="140" t="s">
        <v>8179</v>
      </c>
      <c r="B2126" s="143">
        <v>6.90222E12</v>
      </c>
      <c r="C2126" s="140" t="s">
        <v>8850</v>
      </c>
      <c r="D2126" s="140" t="s">
        <v>6786</v>
      </c>
      <c r="E2126" s="140" t="s">
        <v>6786</v>
      </c>
      <c r="F2126" s="140" t="s">
        <v>6787</v>
      </c>
      <c r="G2126" s="141" t="s">
        <v>6401</v>
      </c>
      <c r="H2126" s="140" t="s">
        <v>6312</v>
      </c>
      <c r="I2126" s="140" t="s">
        <v>6313</v>
      </c>
      <c r="J2126" s="140" t="s">
        <v>6314</v>
      </c>
      <c r="K2126" s="140" t="s">
        <v>7088</v>
      </c>
    </row>
    <row r="2127">
      <c r="A2127" s="140" t="s">
        <v>8179</v>
      </c>
      <c r="B2127" s="143">
        <v>6.90222E12</v>
      </c>
      <c r="C2127" s="140" t="s">
        <v>8851</v>
      </c>
      <c r="D2127" s="140" t="s">
        <v>6786</v>
      </c>
      <c r="E2127" s="140" t="s">
        <v>6786</v>
      </c>
      <c r="F2127" s="140" t="s">
        <v>6787</v>
      </c>
      <c r="G2127" s="141" t="s">
        <v>6401</v>
      </c>
      <c r="H2127" s="140" t="s">
        <v>6312</v>
      </c>
      <c r="I2127" s="140" t="s">
        <v>6313</v>
      </c>
      <c r="J2127" s="140" t="s">
        <v>6314</v>
      </c>
      <c r="K2127" s="140" t="s">
        <v>7088</v>
      </c>
    </row>
    <row r="2128">
      <c r="A2128" s="140" t="s">
        <v>8179</v>
      </c>
      <c r="B2128" s="143">
        <v>6.90222E12</v>
      </c>
      <c r="C2128" s="140" t="s">
        <v>8852</v>
      </c>
      <c r="D2128" s="140" t="s">
        <v>6786</v>
      </c>
      <c r="E2128" s="140" t="s">
        <v>6786</v>
      </c>
      <c r="F2128" s="140" t="s">
        <v>6787</v>
      </c>
      <c r="G2128" s="141" t="s">
        <v>6401</v>
      </c>
      <c r="H2128" s="140" t="s">
        <v>6312</v>
      </c>
      <c r="I2128" s="140" t="s">
        <v>6313</v>
      </c>
      <c r="J2128" s="140" t="s">
        <v>6314</v>
      </c>
      <c r="K2128" s="140" t="s">
        <v>7088</v>
      </c>
    </row>
    <row r="2129">
      <c r="A2129" s="140" t="s">
        <v>8179</v>
      </c>
      <c r="B2129" s="143">
        <v>6.90222E12</v>
      </c>
      <c r="C2129" s="140" t="s">
        <v>8853</v>
      </c>
      <c r="D2129" s="140" t="s">
        <v>6786</v>
      </c>
      <c r="E2129" s="140" t="s">
        <v>6786</v>
      </c>
      <c r="F2129" s="140" t="s">
        <v>6787</v>
      </c>
      <c r="G2129" s="141" t="s">
        <v>6401</v>
      </c>
      <c r="H2129" s="140" t="s">
        <v>6312</v>
      </c>
      <c r="I2129" s="140" t="s">
        <v>6313</v>
      </c>
      <c r="J2129" s="140" t="s">
        <v>6314</v>
      </c>
      <c r="K2129" s="140" t="s">
        <v>7088</v>
      </c>
    </row>
    <row r="2130">
      <c r="A2130" s="140" t="s">
        <v>8179</v>
      </c>
      <c r="B2130" s="143">
        <v>6.90222E12</v>
      </c>
      <c r="C2130" s="140" t="s">
        <v>8854</v>
      </c>
      <c r="D2130" s="140" t="s">
        <v>6786</v>
      </c>
      <c r="E2130" s="140" t="s">
        <v>6786</v>
      </c>
      <c r="F2130" s="140" t="s">
        <v>6787</v>
      </c>
      <c r="G2130" s="141" t="s">
        <v>6401</v>
      </c>
      <c r="H2130" s="140" t="s">
        <v>6312</v>
      </c>
      <c r="I2130" s="140" t="s">
        <v>6313</v>
      </c>
      <c r="J2130" s="140" t="s">
        <v>6314</v>
      </c>
      <c r="K2130" s="140" t="s">
        <v>7088</v>
      </c>
    </row>
    <row r="2131">
      <c r="A2131" s="140" t="s">
        <v>8179</v>
      </c>
      <c r="B2131" s="143">
        <v>6.90222E12</v>
      </c>
      <c r="C2131" s="140" t="s">
        <v>8855</v>
      </c>
      <c r="D2131" s="140" t="s">
        <v>6786</v>
      </c>
      <c r="E2131" s="140" t="s">
        <v>6786</v>
      </c>
      <c r="F2131" s="140" t="s">
        <v>6787</v>
      </c>
      <c r="G2131" s="141" t="s">
        <v>6401</v>
      </c>
      <c r="H2131" s="140" t="s">
        <v>6312</v>
      </c>
      <c r="I2131" s="140" t="s">
        <v>6313</v>
      </c>
      <c r="J2131" s="140" t="s">
        <v>6314</v>
      </c>
      <c r="K2131" s="140" t="s">
        <v>7088</v>
      </c>
    </row>
    <row r="2132">
      <c r="A2132" s="140" t="s">
        <v>8179</v>
      </c>
      <c r="B2132" s="143">
        <v>6.90222E12</v>
      </c>
      <c r="C2132" s="140" t="s">
        <v>8856</v>
      </c>
      <c r="D2132" s="140" t="s">
        <v>6786</v>
      </c>
      <c r="E2132" s="140" t="s">
        <v>6786</v>
      </c>
      <c r="F2132" s="140" t="s">
        <v>6787</v>
      </c>
      <c r="G2132" s="141" t="s">
        <v>6401</v>
      </c>
      <c r="H2132" s="140" t="s">
        <v>6312</v>
      </c>
      <c r="I2132" s="140" t="s">
        <v>6313</v>
      </c>
      <c r="J2132" s="140" t="s">
        <v>6314</v>
      </c>
      <c r="K2132" s="140" t="s">
        <v>7088</v>
      </c>
    </row>
    <row r="2133">
      <c r="A2133" s="140" t="s">
        <v>8179</v>
      </c>
      <c r="B2133" s="143">
        <v>6.90222E12</v>
      </c>
      <c r="C2133" s="140" t="s">
        <v>8857</v>
      </c>
      <c r="D2133" s="140" t="s">
        <v>6786</v>
      </c>
      <c r="E2133" s="140" t="s">
        <v>6786</v>
      </c>
      <c r="F2133" s="140" t="s">
        <v>6787</v>
      </c>
      <c r="G2133" s="141" t="s">
        <v>6401</v>
      </c>
      <c r="H2133" s="140" t="s">
        <v>6312</v>
      </c>
      <c r="I2133" s="140" t="s">
        <v>6313</v>
      </c>
      <c r="J2133" s="140" t="s">
        <v>6314</v>
      </c>
      <c r="K2133" s="140" t="s">
        <v>7088</v>
      </c>
    </row>
    <row r="2134">
      <c r="A2134" s="140" t="s">
        <v>8179</v>
      </c>
      <c r="B2134" s="143">
        <v>6.90222E12</v>
      </c>
      <c r="C2134" s="140" t="s">
        <v>8858</v>
      </c>
      <c r="D2134" s="140" t="s">
        <v>6786</v>
      </c>
      <c r="E2134" s="140" t="s">
        <v>6786</v>
      </c>
      <c r="F2134" s="140" t="s">
        <v>6787</v>
      </c>
      <c r="G2134" s="141" t="s">
        <v>6401</v>
      </c>
      <c r="H2134" s="140" t="s">
        <v>6312</v>
      </c>
      <c r="I2134" s="140" t="s">
        <v>6313</v>
      </c>
      <c r="J2134" s="140" t="s">
        <v>6314</v>
      </c>
      <c r="K2134" s="140" t="s">
        <v>7088</v>
      </c>
    </row>
    <row r="2135">
      <c r="A2135" s="140" t="s">
        <v>8179</v>
      </c>
      <c r="B2135" s="143">
        <v>6.90222E12</v>
      </c>
      <c r="C2135" s="140" t="s">
        <v>8859</v>
      </c>
      <c r="D2135" s="140" t="s">
        <v>6786</v>
      </c>
      <c r="E2135" s="140" t="s">
        <v>6786</v>
      </c>
      <c r="F2135" s="140" t="s">
        <v>6787</v>
      </c>
      <c r="G2135" s="141" t="s">
        <v>6401</v>
      </c>
      <c r="H2135" s="140" t="s">
        <v>6312</v>
      </c>
      <c r="I2135" s="140" t="s">
        <v>6313</v>
      </c>
      <c r="J2135" s="140" t="s">
        <v>6314</v>
      </c>
      <c r="K2135" s="140" t="s">
        <v>7088</v>
      </c>
    </row>
    <row r="2136">
      <c r="A2136" s="140" t="s">
        <v>8179</v>
      </c>
      <c r="B2136" s="143">
        <v>6.90222E12</v>
      </c>
      <c r="C2136" s="140" t="s">
        <v>8860</v>
      </c>
      <c r="D2136" s="140" t="s">
        <v>6786</v>
      </c>
      <c r="E2136" s="140" t="s">
        <v>6786</v>
      </c>
      <c r="F2136" s="140" t="s">
        <v>6787</v>
      </c>
      <c r="G2136" s="141" t="s">
        <v>6401</v>
      </c>
      <c r="H2136" s="140" t="s">
        <v>6312</v>
      </c>
      <c r="I2136" s="140" t="s">
        <v>6313</v>
      </c>
      <c r="J2136" s="140" t="s">
        <v>6314</v>
      </c>
      <c r="K2136" s="140" t="s">
        <v>7088</v>
      </c>
    </row>
    <row r="2137">
      <c r="A2137" s="140" t="s">
        <v>8179</v>
      </c>
      <c r="B2137" s="143">
        <v>6.90222E12</v>
      </c>
      <c r="C2137" s="140" t="s">
        <v>8861</v>
      </c>
      <c r="D2137" s="140" t="s">
        <v>6786</v>
      </c>
      <c r="E2137" s="140" t="s">
        <v>6786</v>
      </c>
      <c r="F2137" s="140" t="s">
        <v>6787</v>
      </c>
      <c r="G2137" s="141" t="s">
        <v>6401</v>
      </c>
      <c r="H2137" s="140" t="s">
        <v>6312</v>
      </c>
      <c r="I2137" s="140" t="s">
        <v>6313</v>
      </c>
      <c r="J2137" s="140" t="s">
        <v>6314</v>
      </c>
      <c r="K2137" s="140" t="s">
        <v>7088</v>
      </c>
    </row>
    <row r="2138">
      <c r="A2138" s="140" t="s">
        <v>8179</v>
      </c>
      <c r="B2138" s="143">
        <v>6.90222E12</v>
      </c>
      <c r="C2138" s="140" t="s">
        <v>8862</v>
      </c>
      <c r="D2138" s="140" t="s">
        <v>6786</v>
      </c>
      <c r="E2138" s="140" t="s">
        <v>6786</v>
      </c>
      <c r="F2138" s="140" t="s">
        <v>6787</v>
      </c>
      <c r="G2138" s="141" t="s">
        <v>6401</v>
      </c>
      <c r="H2138" s="140" t="s">
        <v>6312</v>
      </c>
      <c r="I2138" s="140" t="s">
        <v>6313</v>
      </c>
      <c r="J2138" s="140" t="s">
        <v>6314</v>
      </c>
      <c r="K2138" s="140" t="s">
        <v>7088</v>
      </c>
    </row>
    <row r="2139">
      <c r="A2139" s="140" t="s">
        <v>8179</v>
      </c>
      <c r="B2139" s="143">
        <v>6.90222E12</v>
      </c>
      <c r="C2139" s="140" t="s">
        <v>8863</v>
      </c>
      <c r="D2139" s="140" t="s">
        <v>6786</v>
      </c>
      <c r="E2139" s="140" t="s">
        <v>6786</v>
      </c>
      <c r="F2139" s="140" t="s">
        <v>6787</v>
      </c>
      <c r="G2139" s="141" t="s">
        <v>6401</v>
      </c>
      <c r="H2139" s="140" t="s">
        <v>6312</v>
      </c>
      <c r="I2139" s="140" t="s">
        <v>6313</v>
      </c>
      <c r="J2139" s="140" t="s">
        <v>6314</v>
      </c>
      <c r="K2139" s="140" t="s">
        <v>7088</v>
      </c>
    </row>
    <row r="2140">
      <c r="A2140" s="140" t="s">
        <v>8179</v>
      </c>
      <c r="B2140" s="143">
        <v>6.90222E12</v>
      </c>
      <c r="C2140" s="140" t="s">
        <v>8864</v>
      </c>
      <c r="D2140" s="140" t="s">
        <v>6786</v>
      </c>
      <c r="E2140" s="140" t="s">
        <v>6786</v>
      </c>
      <c r="F2140" s="140" t="s">
        <v>6787</v>
      </c>
      <c r="G2140" s="141" t="s">
        <v>6401</v>
      </c>
      <c r="H2140" s="140" t="s">
        <v>6312</v>
      </c>
      <c r="I2140" s="140" t="s">
        <v>6313</v>
      </c>
      <c r="J2140" s="140" t="s">
        <v>6314</v>
      </c>
      <c r="K2140" s="140" t="s">
        <v>7088</v>
      </c>
    </row>
    <row r="2141">
      <c r="A2141" s="140" t="s">
        <v>8179</v>
      </c>
      <c r="B2141" s="143">
        <v>6.90222E12</v>
      </c>
      <c r="C2141" s="140" t="s">
        <v>8865</v>
      </c>
      <c r="D2141" s="140" t="s">
        <v>6786</v>
      </c>
      <c r="E2141" s="140" t="s">
        <v>6786</v>
      </c>
      <c r="F2141" s="140" t="s">
        <v>6787</v>
      </c>
      <c r="G2141" s="141" t="s">
        <v>6401</v>
      </c>
      <c r="H2141" s="140" t="s">
        <v>6312</v>
      </c>
      <c r="I2141" s="140" t="s">
        <v>6313</v>
      </c>
      <c r="J2141" s="140" t="s">
        <v>6314</v>
      </c>
      <c r="K2141" s="140" t="s">
        <v>7088</v>
      </c>
    </row>
    <row r="2142">
      <c r="A2142" s="140" t="s">
        <v>8179</v>
      </c>
      <c r="B2142" s="143">
        <v>6.90222E12</v>
      </c>
      <c r="C2142" s="140" t="s">
        <v>8866</v>
      </c>
      <c r="D2142" s="140" t="s">
        <v>6786</v>
      </c>
      <c r="E2142" s="140" t="s">
        <v>6786</v>
      </c>
      <c r="F2142" s="140" t="s">
        <v>6787</v>
      </c>
      <c r="G2142" s="141" t="s">
        <v>6401</v>
      </c>
      <c r="H2142" s="140" t="s">
        <v>6312</v>
      </c>
      <c r="I2142" s="140" t="s">
        <v>6313</v>
      </c>
      <c r="J2142" s="140" t="s">
        <v>6314</v>
      </c>
      <c r="K2142" s="140" t="s">
        <v>7088</v>
      </c>
    </row>
    <row r="2143">
      <c r="A2143" s="140" t="s">
        <v>8179</v>
      </c>
      <c r="B2143" s="143">
        <v>6.90222E12</v>
      </c>
      <c r="C2143" s="140" t="s">
        <v>8867</v>
      </c>
      <c r="D2143" s="140" t="s">
        <v>6786</v>
      </c>
      <c r="E2143" s="140" t="s">
        <v>6786</v>
      </c>
      <c r="F2143" s="140" t="s">
        <v>6787</v>
      </c>
      <c r="G2143" s="141" t="s">
        <v>6401</v>
      </c>
      <c r="H2143" s="140" t="s">
        <v>6312</v>
      </c>
      <c r="I2143" s="140" t="s">
        <v>6313</v>
      </c>
      <c r="J2143" s="140" t="s">
        <v>6314</v>
      </c>
      <c r="K2143" s="140" t="s">
        <v>7088</v>
      </c>
    </row>
    <row r="2144">
      <c r="A2144" s="140" t="s">
        <v>8179</v>
      </c>
      <c r="B2144" s="143">
        <v>6.90222E12</v>
      </c>
      <c r="C2144" s="140" t="s">
        <v>8868</v>
      </c>
      <c r="D2144" s="140" t="s">
        <v>6786</v>
      </c>
      <c r="E2144" s="140" t="s">
        <v>6786</v>
      </c>
      <c r="F2144" s="140" t="s">
        <v>6787</v>
      </c>
      <c r="G2144" s="141" t="s">
        <v>6401</v>
      </c>
      <c r="H2144" s="140" t="s">
        <v>6312</v>
      </c>
      <c r="I2144" s="140" t="s">
        <v>6313</v>
      </c>
      <c r="J2144" s="140" t="s">
        <v>6314</v>
      </c>
      <c r="K2144" s="140" t="s">
        <v>7088</v>
      </c>
    </row>
    <row r="2145">
      <c r="A2145" s="140" t="s">
        <v>8179</v>
      </c>
      <c r="B2145" s="143">
        <v>6.90222E12</v>
      </c>
      <c r="C2145" s="140" t="s">
        <v>8869</v>
      </c>
      <c r="D2145" s="140" t="s">
        <v>6786</v>
      </c>
      <c r="E2145" s="140" t="s">
        <v>6786</v>
      </c>
      <c r="F2145" s="140" t="s">
        <v>6787</v>
      </c>
      <c r="G2145" s="141" t="s">
        <v>6401</v>
      </c>
      <c r="H2145" s="140" t="s">
        <v>6312</v>
      </c>
      <c r="I2145" s="140" t="s">
        <v>6313</v>
      </c>
      <c r="J2145" s="140" t="s">
        <v>6314</v>
      </c>
      <c r="K2145" s="140" t="s">
        <v>7088</v>
      </c>
    </row>
    <row r="2146">
      <c r="A2146" s="140" t="s">
        <v>8179</v>
      </c>
      <c r="B2146" s="143">
        <v>6.90222E12</v>
      </c>
      <c r="C2146" s="140" t="s">
        <v>8870</v>
      </c>
      <c r="D2146" s="140" t="s">
        <v>6786</v>
      </c>
      <c r="E2146" s="140" t="s">
        <v>6786</v>
      </c>
      <c r="F2146" s="140" t="s">
        <v>6787</v>
      </c>
      <c r="G2146" s="141" t="s">
        <v>6401</v>
      </c>
      <c r="H2146" s="140" t="s">
        <v>6312</v>
      </c>
      <c r="I2146" s="140" t="s">
        <v>6313</v>
      </c>
      <c r="J2146" s="140" t="s">
        <v>6314</v>
      </c>
      <c r="K2146" s="140" t="s">
        <v>7088</v>
      </c>
    </row>
    <row r="2147">
      <c r="A2147" s="140" t="s">
        <v>8179</v>
      </c>
      <c r="B2147" s="143">
        <v>6.90222E12</v>
      </c>
      <c r="C2147" s="140" t="s">
        <v>8871</v>
      </c>
      <c r="D2147" s="140" t="s">
        <v>6786</v>
      </c>
      <c r="E2147" s="140" t="s">
        <v>6786</v>
      </c>
      <c r="F2147" s="140" t="s">
        <v>6787</v>
      </c>
      <c r="G2147" s="141" t="s">
        <v>6401</v>
      </c>
      <c r="H2147" s="140" t="s">
        <v>6312</v>
      </c>
      <c r="I2147" s="140" t="s">
        <v>6313</v>
      </c>
      <c r="J2147" s="140" t="s">
        <v>6314</v>
      </c>
      <c r="K2147" s="140" t="s">
        <v>7088</v>
      </c>
    </row>
    <row r="2148">
      <c r="A2148" s="140" t="s">
        <v>8179</v>
      </c>
      <c r="B2148" s="143">
        <v>6.90222E12</v>
      </c>
      <c r="C2148" s="140" t="s">
        <v>8872</v>
      </c>
      <c r="D2148" s="140" t="s">
        <v>6786</v>
      </c>
      <c r="E2148" s="140" t="s">
        <v>6786</v>
      </c>
      <c r="F2148" s="140" t="s">
        <v>6787</v>
      </c>
      <c r="G2148" s="141" t="s">
        <v>6401</v>
      </c>
      <c r="H2148" s="140" t="s">
        <v>6312</v>
      </c>
      <c r="I2148" s="140" t="s">
        <v>6313</v>
      </c>
      <c r="J2148" s="140" t="s">
        <v>6314</v>
      </c>
      <c r="K2148" s="140" t="s">
        <v>7088</v>
      </c>
    </row>
    <row r="2149">
      <c r="A2149" s="140" t="s">
        <v>8179</v>
      </c>
      <c r="B2149" s="143">
        <v>6.90222E12</v>
      </c>
      <c r="C2149" s="140" t="s">
        <v>8873</v>
      </c>
      <c r="D2149" s="140" t="s">
        <v>6786</v>
      </c>
      <c r="E2149" s="140" t="s">
        <v>6786</v>
      </c>
      <c r="F2149" s="140" t="s">
        <v>6787</v>
      </c>
      <c r="G2149" s="141" t="s">
        <v>6401</v>
      </c>
      <c r="H2149" s="140" t="s">
        <v>6312</v>
      </c>
      <c r="I2149" s="140" t="s">
        <v>6313</v>
      </c>
      <c r="J2149" s="140" t="s">
        <v>6314</v>
      </c>
      <c r="K2149" s="140" t="s">
        <v>7088</v>
      </c>
    </row>
    <row r="2150">
      <c r="A2150" s="140" t="s">
        <v>8179</v>
      </c>
      <c r="B2150" s="143">
        <v>6.90362E12</v>
      </c>
      <c r="C2150" s="140" t="s">
        <v>8874</v>
      </c>
      <c r="D2150" s="140" t="s">
        <v>6786</v>
      </c>
      <c r="E2150" s="140" t="s">
        <v>6786</v>
      </c>
      <c r="F2150" s="140" t="s">
        <v>6787</v>
      </c>
      <c r="G2150" s="141" t="s">
        <v>6401</v>
      </c>
      <c r="H2150" s="140" t="s">
        <v>6312</v>
      </c>
      <c r="I2150" s="140" t="s">
        <v>6313</v>
      </c>
      <c r="J2150" s="140" t="s">
        <v>6314</v>
      </c>
      <c r="K2150" s="140" t="s">
        <v>7088</v>
      </c>
    </row>
    <row r="2151">
      <c r="A2151" s="140" t="s">
        <v>8179</v>
      </c>
      <c r="B2151" s="143">
        <v>6.90222E12</v>
      </c>
      <c r="C2151" s="140" t="s">
        <v>8875</v>
      </c>
      <c r="D2151" s="140" t="s">
        <v>6786</v>
      </c>
      <c r="E2151" s="140" t="s">
        <v>6786</v>
      </c>
      <c r="F2151" s="140" t="s">
        <v>6787</v>
      </c>
      <c r="G2151" s="141" t="s">
        <v>6401</v>
      </c>
      <c r="H2151" s="140" t="s">
        <v>6312</v>
      </c>
      <c r="I2151" s="140" t="s">
        <v>6313</v>
      </c>
      <c r="J2151" s="140" t="s">
        <v>6314</v>
      </c>
      <c r="K2151" s="140" t="s">
        <v>7088</v>
      </c>
    </row>
    <row r="2152">
      <c r="A2152" s="140" t="s">
        <v>8179</v>
      </c>
      <c r="B2152" s="143">
        <v>6.90222E12</v>
      </c>
      <c r="C2152" s="140" t="s">
        <v>8876</v>
      </c>
      <c r="D2152" s="140" t="s">
        <v>6786</v>
      </c>
      <c r="E2152" s="140" t="s">
        <v>6786</v>
      </c>
      <c r="F2152" s="140" t="s">
        <v>6787</v>
      </c>
      <c r="G2152" s="141" t="s">
        <v>6401</v>
      </c>
      <c r="H2152" s="140" t="s">
        <v>6312</v>
      </c>
      <c r="I2152" s="140" t="s">
        <v>6313</v>
      </c>
      <c r="J2152" s="140" t="s">
        <v>6314</v>
      </c>
      <c r="K2152" s="140" t="s">
        <v>7088</v>
      </c>
    </row>
    <row r="2153">
      <c r="A2153" s="140" t="s">
        <v>8179</v>
      </c>
      <c r="B2153" s="143">
        <v>6.90222E12</v>
      </c>
      <c r="C2153" s="140" t="s">
        <v>8877</v>
      </c>
      <c r="D2153" s="140" t="s">
        <v>6786</v>
      </c>
      <c r="E2153" s="140" t="s">
        <v>6786</v>
      </c>
      <c r="F2153" s="140" t="s">
        <v>6787</v>
      </c>
      <c r="G2153" s="141" t="s">
        <v>6401</v>
      </c>
      <c r="H2153" s="140" t="s">
        <v>6312</v>
      </c>
      <c r="I2153" s="140" t="s">
        <v>6313</v>
      </c>
      <c r="J2153" s="140" t="s">
        <v>6314</v>
      </c>
      <c r="K2153" s="140" t="s">
        <v>7088</v>
      </c>
    </row>
    <row r="2154">
      <c r="A2154" s="140" t="s">
        <v>8179</v>
      </c>
      <c r="B2154" s="143">
        <v>6.90222E12</v>
      </c>
      <c r="C2154" s="140" t="s">
        <v>8878</v>
      </c>
      <c r="D2154" s="140" t="s">
        <v>6786</v>
      </c>
      <c r="E2154" s="140" t="s">
        <v>6786</v>
      </c>
      <c r="F2154" s="140" t="s">
        <v>6787</v>
      </c>
      <c r="G2154" s="141" t="s">
        <v>6401</v>
      </c>
      <c r="H2154" s="140" t="s">
        <v>6312</v>
      </c>
      <c r="I2154" s="140" t="s">
        <v>6313</v>
      </c>
      <c r="J2154" s="140" t="s">
        <v>6314</v>
      </c>
      <c r="K2154" s="140" t="s">
        <v>7088</v>
      </c>
    </row>
    <row r="2155">
      <c r="A2155" s="140" t="s">
        <v>8179</v>
      </c>
      <c r="B2155" s="143">
        <v>6.90222E12</v>
      </c>
      <c r="C2155" s="140" t="s">
        <v>8879</v>
      </c>
      <c r="D2155" s="140" t="s">
        <v>6786</v>
      </c>
      <c r="E2155" s="140" t="s">
        <v>6786</v>
      </c>
      <c r="F2155" s="140" t="s">
        <v>6787</v>
      </c>
      <c r="G2155" s="141" t="s">
        <v>6401</v>
      </c>
      <c r="H2155" s="140" t="s">
        <v>6312</v>
      </c>
      <c r="I2155" s="140" t="s">
        <v>6313</v>
      </c>
      <c r="J2155" s="140" t="s">
        <v>6314</v>
      </c>
      <c r="K2155" s="140" t="s">
        <v>7088</v>
      </c>
    </row>
    <row r="2156">
      <c r="A2156" s="140" t="s">
        <v>8179</v>
      </c>
      <c r="B2156" s="143">
        <v>6.90222E12</v>
      </c>
      <c r="C2156" s="140" t="s">
        <v>8880</v>
      </c>
      <c r="D2156" s="140" t="s">
        <v>6786</v>
      </c>
      <c r="E2156" s="140" t="s">
        <v>6786</v>
      </c>
      <c r="F2156" s="140" t="s">
        <v>6787</v>
      </c>
      <c r="G2156" s="141" t="s">
        <v>6401</v>
      </c>
      <c r="H2156" s="140" t="s">
        <v>6312</v>
      </c>
      <c r="I2156" s="140" t="s">
        <v>6313</v>
      </c>
      <c r="J2156" s="140" t="s">
        <v>6314</v>
      </c>
      <c r="K2156" s="140" t="s">
        <v>7088</v>
      </c>
    </row>
    <row r="2157">
      <c r="A2157" s="140" t="s">
        <v>8179</v>
      </c>
      <c r="B2157" s="143">
        <v>6.90222E12</v>
      </c>
      <c r="C2157" s="140" t="s">
        <v>8881</v>
      </c>
      <c r="D2157" s="140" t="s">
        <v>6786</v>
      </c>
      <c r="E2157" s="140" t="s">
        <v>6786</v>
      </c>
      <c r="F2157" s="140" t="s">
        <v>6787</v>
      </c>
      <c r="G2157" s="141" t="s">
        <v>6401</v>
      </c>
      <c r="H2157" s="140" t="s">
        <v>6312</v>
      </c>
      <c r="I2157" s="140" t="s">
        <v>6313</v>
      </c>
      <c r="J2157" s="140" t="s">
        <v>6314</v>
      </c>
      <c r="K2157" s="140" t="s">
        <v>7088</v>
      </c>
    </row>
    <row r="2158">
      <c r="A2158" s="140" t="s">
        <v>8179</v>
      </c>
      <c r="B2158" s="143">
        <v>6.90342E12</v>
      </c>
      <c r="C2158" s="140" t="s">
        <v>8882</v>
      </c>
      <c r="D2158" s="140" t="s">
        <v>6786</v>
      </c>
      <c r="E2158" s="140" t="s">
        <v>6786</v>
      </c>
      <c r="F2158" s="140" t="s">
        <v>6787</v>
      </c>
      <c r="G2158" s="141" t="s">
        <v>6401</v>
      </c>
      <c r="H2158" s="140" t="s">
        <v>6312</v>
      </c>
      <c r="I2158" s="140" t="s">
        <v>6313</v>
      </c>
      <c r="J2158" s="140" t="s">
        <v>6314</v>
      </c>
      <c r="K2158" s="140" t="s">
        <v>7088</v>
      </c>
    </row>
    <row r="2159">
      <c r="A2159" s="140" t="s">
        <v>8179</v>
      </c>
      <c r="B2159" s="143">
        <v>6.90222E12</v>
      </c>
      <c r="C2159" s="140" t="s">
        <v>8883</v>
      </c>
      <c r="D2159" s="140" t="s">
        <v>6786</v>
      </c>
      <c r="E2159" s="140" t="s">
        <v>6786</v>
      </c>
      <c r="F2159" s="140" t="s">
        <v>6787</v>
      </c>
      <c r="G2159" s="141" t="s">
        <v>6401</v>
      </c>
      <c r="H2159" s="140" t="s">
        <v>6312</v>
      </c>
      <c r="I2159" s="140" t="s">
        <v>6313</v>
      </c>
      <c r="J2159" s="140" t="s">
        <v>6314</v>
      </c>
      <c r="K2159" s="140" t="s">
        <v>7088</v>
      </c>
    </row>
    <row r="2160">
      <c r="A2160" s="140" t="s">
        <v>8179</v>
      </c>
      <c r="B2160" s="143">
        <v>6.90222E12</v>
      </c>
      <c r="C2160" s="140" t="s">
        <v>8884</v>
      </c>
      <c r="D2160" s="140" t="s">
        <v>6786</v>
      </c>
      <c r="E2160" s="140" t="s">
        <v>6786</v>
      </c>
      <c r="F2160" s="140" t="s">
        <v>6787</v>
      </c>
      <c r="G2160" s="141" t="s">
        <v>6401</v>
      </c>
      <c r="H2160" s="140" t="s">
        <v>6312</v>
      </c>
      <c r="I2160" s="140" t="s">
        <v>6313</v>
      </c>
      <c r="J2160" s="140" t="s">
        <v>6314</v>
      </c>
      <c r="K2160" s="140" t="s">
        <v>7088</v>
      </c>
    </row>
    <row r="2161">
      <c r="A2161" s="140" t="s">
        <v>8179</v>
      </c>
      <c r="B2161" s="143">
        <v>6.90222E12</v>
      </c>
      <c r="C2161" s="140" t="s">
        <v>8885</v>
      </c>
      <c r="D2161" s="140" t="s">
        <v>6786</v>
      </c>
      <c r="E2161" s="140" t="s">
        <v>6786</v>
      </c>
      <c r="F2161" s="140" t="s">
        <v>6787</v>
      </c>
      <c r="G2161" s="141" t="s">
        <v>6401</v>
      </c>
      <c r="H2161" s="140" t="s">
        <v>6312</v>
      </c>
      <c r="I2161" s="140" t="s">
        <v>6313</v>
      </c>
      <c r="J2161" s="140" t="s">
        <v>6314</v>
      </c>
      <c r="K2161" s="140" t="s">
        <v>7088</v>
      </c>
    </row>
    <row r="2162">
      <c r="A2162" s="140" t="s">
        <v>8179</v>
      </c>
      <c r="B2162" s="143">
        <v>6.90222E12</v>
      </c>
      <c r="C2162" s="140" t="s">
        <v>8886</v>
      </c>
      <c r="D2162" s="140" t="s">
        <v>6786</v>
      </c>
      <c r="E2162" s="140" t="s">
        <v>6786</v>
      </c>
      <c r="F2162" s="140" t="s">
        <v>6787</v>
      </c>
      <c r="G2162" s="141" t="s">
        <v>6401</v>
      </c>
      <c r="H2162" s="140" t="s">
        <v>6312</v>
      </c>
      <c r="I2162" s="140" t="s">
        <v>6313</v>
      </c>
      <c r="J2162" s="140" t="s">
        <v>6314</v>
      </c>
      <c r="K2162" s="140" t="s">
        <v>7088</v>
      </c>
    </row>
    <row r="2163">
      <c r="A2163" s="140" t="s">
        <v>8179</v>
      </c>
      <c r="B2163" s="143">
        <v>6.90222E12</v>
      </c>
      <c r="C2163" s="140" t="s">
        <v>8887</v>
      </c>
      <c r="D2163" s="140" t="s">
        <v>6786</v>
      </c>
      <c r="E2163" s="140" t="s">
        <v>6786</v>
      </c>
      <c r="F2163" s="140" t="s">
        <v>6787</v>
      </c>
      <c r="G2163" s="141" t="s">
        <v>6401</v>
      </c>
      <c r="H2163" s="140" t="s">
        <v>6312</v>
      </c>
      <c r="I2163" s="140" t="s">
        <v>6313</v>
      </c>
      <c r="J2163" s="140" t="s">
        <v>6314</v>
      </c>
      <c r="K2163" s="140" t="s">
        <v>7088</v>
      </c>
    </row>
    <row r="2164">
      <c r="A2164" s="140" t="s">
        <v>8179</v>
      </c>
      <c r="B2164" s="143">
        <v>6.90222E12</v>
      </c>
      <c r="C2164" s="140" t="s">
        <v>8888</v>
      </c>
      <c r="D2164" s="140" t="s">
        <v>6786</v>
      </c>
      <c r="E2164" s="140" t="s">
        <v>6786</v>
      </c>
      <c r="F2164" s="140" t="s">
        <v>6787</v>
      </c>
      <c r="G2164" s="141" t="s">
        <v>6401</v>
      </c>
      <c r="H2164" s="140" t="s">
        <v>6312</v>
      </c>
      <c r="I2164" s="140" t="s">
        <v>6313</v>
      </c>
      <c r="J2164" s="140" t="s">
        <v>6314</v>
      </c>
      <c r="K2164" s="140" t="s">
        <v>7088</v>
      </c>
    </row>
    <row r="2165">
      <c r="A2165" s="140" t="s">
        <v>8179</v>
      </c>
      <c r="B2165" s="143">
        <v>6.90222E12</v>
      </c>
      <c r="C2165" s="140" t="s">
        <v>8889</v>
      </c>
      <c r="D2165" s="140" t="s">
        <v>6786</v>
      </c>
      <c r="E2165" s="140" t="s">
        <v>6786</v>
      </c>
      <c r="F2165" s="140" t="s">
        <v>6787</v>
      </c>
      <c r="G2165" s="141" t="s">
        <v>6401</v>
      </c>
      <c r="H2165" s="140" t="s">
        <v>6312</v>
      </c>
      <c r="I2165" s="140" t="s">
        <v>6313</v>
      </c>
      <c r="J2165" s="140" t="s">
        <v>6314</v>
      </c>
      <c r="K2165" s="140" t="s">
        <v>7088</v>
      </c>
    </row>
    <row r="2166">
      <c r="A2166" s="140" t="s">
        <v>8179</v>
      </c>
      <c r="B2166" s="143">
        <v>6.90222E12</v>
      </c>
      <c r="C2166" s="140" t="s">
        <v>8890</v>
      </c>
      <c r="D2166" s="140" t="s">
        <v>6786</v>
      </c>
      <c r="E2166" s="140" t="s">
        <v>6786</v>
      </c>
      <c r="F2166" s="140" t="s">
        <v>6787</v>
      </c>
      <c r="G2166" s="141" t="s">
        <v>6401</v>
      </c>
      <c r="H2166" s="140" t="s">
        <v>6312</v>
      </c>
      <c r="I2166" s="140" t="s">
        <v>6313</v>
      </c>
      <c r="J2166" s="140" t="s">
        <v>6314</v>
      </c>
      <c r="K2166" s="140" t="s">
        <v>7088</v>
      </c>
    </row>
    <row r="2167">
      <c r="A2167" s="140" t="s">
        <v>8179</v>
      </c>
      <c r="B2167" s="143">
        <v>6.90222E12</v>
      </c>
      <c r="C2167" s="140" t="s">
        <v>8891</v>
      </c>
      <c r="D2167" s="140" t="s">
        <v>6786</v>
      </c>
      <c r="E2167" s="140" t="s">
        <v>6786</v>
      </c>
      <c r="F2167" s="140" t="s">
        <v>6787</v>
      </c>
      <c r="G2167" s="141" t="s">
        <v>6401</v>
      </c>
      <c r="H2167" s="140" t="s">
        <v>6312</v>
      </c>
      <c r="I2167" s="140" t="s">
        <v>6313</v>
      </c>
      <c r="J2167" s="140" t="s">
        <v>6314</v>
      </c>
      <c r="K2167" s="140" t="s">
        <v>7088</v>
      </c>
    </row>
    <row r="2168">
      <c r="A2168" s="140" t="s">
        <v>8179</v>
      </c>
      <c r="B2168" s="143">
        <v>6.90312E12</v>
      </c>
      <c r="C2168" s="140" t="s">
        <v>8892</v>
      </c>
      <c r="D2168" s="140" t="s">
        <v>6786</v>
      </c>
      <c r="E2168" s="140" t="s">
        <v>6786</v>
      </c>
      <c r="F2168" s="140" t="s">
        <v>6787</v>
      </c>
      <c r="G2168" s="141" t="s">
        <v>6401</v>
      </c>
      <c r="H2168" s="140" t="s">
        <v>6312</v>
      </c>
      <c r="I2168" s="140" t="s">
        <v>6313</v>
      </c>
      <c r="J2168" s="140" t="s">
        <v>6314</v>
      </c>
      <c r="K2168" s="140" t="s">
        <v>7088</v>
      </c>
    </row>
    <row r="2169">
      <c r="A2169" s="140" t="s">
        <v>8179</v>
      </c>
      <c r="B2169" s="143">
        <v>6.90322E12</v>
      </c>
      <c r="C2169" s="140" t="s">
        <v>8893</v>
      </c>
      <c r="D2169" s="140" t="s">
        <v>6786</v>
      </c>
      <c r="E2169" s="140" t="s">
        <v>6786</v>
      </c>
      <c r="F2169" s="140" t="s">
        <v>6787</v>
      </c>
      <c r="G2169" s="141" t="s">
        <v>6401</v>
      </c>
      <c r="H2169" s="140" t="s">
        <v>6312</v>
      </c>
      <c r="I2169" s="140" t="s">
        <v>6313</v>
      </c>
      <c r="J2169" s="140" t="s">
        <v>6314</v>
      </c>
      <c r="K2169" s="140" t="s">
        <v>7088</v>
      </c>
    </row>
    <row r="2170">
      <c r="A2170" s="140" t="s">
        <v>8179</v>
      </c>
      <c r="B2170" s="143">
        <v>6.90222E12</v>
      </c>
      <c r="C2170" s="140" t="s">
        <v>8894</v>
      </c>
      <c r="D2170" s="140" t="s">
        <v>6786</v>
      </c>
      <c r="E2170" s="140" t="s">
        <v>6786</v>
      </c>
      <c r="F2170" s="140" t="s">
        <v>6787</v>
      </c>
      <c r="G2170" s="141" t="s">
        <v>6401</v>
      </c>
      <c r="H2170" s="140" t="s">
        <v>6312</v>
      </c>
      <c r="I2170" s="140" t="s">
        <v>6313</v>
      </c>
      <c r="J2170" s="140" t="s">
        <v>6314</v>
      </c>
      <c r="K2170" s="140" t="s">
        <v>7088</v>
      </c>
    </row>
    <row r="2171">
      <c r="A2171" s="140" t="s">
        <v>8179</v>
      </c>
      <c r="B2171" s="143">
        <v>6.90222E12</v>
      </c>
      <c r="C2171" s="140" t="s">
        <v>8895</v>
      </c>
      <c r="D2171" s="140" t="s">
        <v>6786</v>
      </c>
      <c r="E2171" s="140" t="s">
        <v>6786</v>
      </c>
      <c r="F2171" s="140" t="s">
        <v>6787</v>
      </c>
      <c r="G2171" s="141" t="s">
        <v>6401</v>
      </c>
      <c r="H2171" s="140" t="s">
        <v>6312</v>
      </c>
      <c r="I2171" s="140" t="s">
        <v>6313</v>
      </c>
      <c r="J2171" s="140" t="s">
        <v>6314</v>
      </c>
      <c r="K2171" s="140" t="s">
        <v>7088</v>
      </c>
    </row>
    <row r="2172">
      <c r="A2172" s="140" t="s">
        <v>8179</v>
      </c>
      <c r="B2172" s="143">
        <v>6.90222E12</v>
      </c>
      <c r="C2172" s="140" t="s">
        <v>8896</v>
      </c>
      <c r="D2172" s="140" t="s">
        <v>6786</v>
      </c>
      <c r="E2172" s="140" t="s">
        <v>6786</v>
      </c>
      <c r="F2172" s="140" t="s">
        <v>6787</v>
      </c>
      <c r="G2172" s="141" t="s">
        <v>6401</v>
      </c>
      <c r="H2172" s="140" t="s">
        <v>6312</v>
      </c>
      <c r="I2172" s="140" t="s">
        <v>6313</v>
      </c>
      <c r="J2172" s="140" t="s">
        <v>6314</v>
      </c>
      <c r="K2172" s="140" t="s">
        <v>7088</v>
      </c>
    </row>
    <row r="2173">
      <c r="A2173" s="140" t="s">
        <v>8179</v>
      </c>
      <c r="B2173" s="143">
        <v>6.90222E12</v>
      </c>
      <c r="C2173" s="140" t="s">
        <v>8897</v>
      </c>
      <c r="D2173" s="140" t="s">
        <v>6786</v>
      </c>
      <c r="E2173" s="140" t="s">
        <v>6786</v>
      </c>
      <c r="F2173" s="140" t="s">
        <v>6787</v>
      </c>
      <c r="G2173" s="141" t="s">
        <v>6401</v>
      </c>
      <c r="H2173" s="140" t="s">
        <v>6312</v>
      </c>
      <c r="I2173" s="140" t="s">
        <v>6313</v>
      </c>
      <c r="J2173" s="140" t="s">
        <v>6314</v>
      </c>
      <c r="K2173" s="140" t="s">
        <v>7088</v>
      </c>
    </row>
    <row r="2174">
      <c r="A2174" s="140" t="s">
        <v>8179</v>
      </c>
      <c r="B2174" s="143">
        <v>6.90222E12</v>
      </c>
      <c r="C2174" s="140" t="s">
        <v>8898</v>
      </c>
      <c r="D2174" s="140" t="s">
        <v>6786</v>
      </c>
      <c r="E2174" s="140" t="s">
        <v>6786</v>
      </c>
      <c r="F2174" s="140" t="s">
        <v>6787</v>
      </c>
      <c r="G2174" s="141" t="s">
        <v>6401</v>
      </c>
      <c r="H2174" s="140" t="s">
        <v>6312</v>
      </c>
      <c r="I2174" s="140" t="s">
        <v>6313</v>
      </c>
      <c r="J2174" s="140" t="s">
        <v>6314</v>
      </c>
      <c r="K2174" s="140" t="s">
        <v>7088</v>
      </c>
    </row>
    <row r="2175">
      <c r="A2175" s="140" t="s">
        <v>8179</v>
      </c>
      <c r="B2175" s="143">
        <v>6.90222E12</v>
      </c>
      <c r="C2175" s="140" t="s">
        <v>8899</v>
      </c>
      <c r="D2175" s="140" t="s">
        <v>6786</v>
      </c>
      <c r="E2175" s="140" t="s">
        <v>6786</v>
      </c>
      <c r="F2175" s="140" t="s">
        <v>6787</v>
      </c>
      <c r="G2175" s="141" t="s">
        <v>6401</v>
      </c>
      <c r="H2175" s="140" t="s">
        <v>6312</v>
      </c>
      <c r="I2175" s="140" t="s">
        <v>6313</v>
      </c>
      <c r="J2175" s="140" t="s">
        <v>6314</v>
      </c>
      <c r="K2175" s="140" t="s">
        <v>7088</v>
      </c>
    </row>
    <row r="2176">
      <c r="A2176" s="140" t="s">
        <v>8179</v>
      </c>
      <c r="B2176" s="143">
        <v>6.90222E12</v>
      </c>
      <c r="C2176" s="140" t="s">
        <v>8900</v>
      </c>
      <c r="D2176" s="140" t="s">
        <v>6786</v>
      </c>
      <c r="E2176" s="140" t="s">
        <v>6786</v>
      </c>
      <c r="F2176" s="140" t="s">
        <v>6787</v>
      </c>
      <c r="G2176" s="141" t="s">
        <v>6401</v>
      </c>
      <c r="H2176" s="140" t="s">
        <v>6312</v>
      </c>
      <c r="I2176" s="140" t="s">
        <v>6313</v>
      </c>
      <c r="J2176" s="140" t="s">
        <v>6314</v>
      </c>
      <c r="K2176" s="140" t="s">
        <v>7088</v>
      </c>
    </row>
    <row r="2177">
      <c r="A2177" s="140" t="s">
        <v>8901</v>
      </c>
      <c r="B2177" s="143">
        <v>7.80224E12</v>
      </c>
      <c r="C2177" s="140" t="s">
        <v>8902</v>
      </c>
      <c r="D2177" s="140" t="s">
        <v>6601</v>
      </c>
      <c r="E2177" s="140" t="s">
        <v>165</v>
      </c>
      <c r="F2177" s="140" t="s">
        <v>175</v>
      </c>
      <c r="G2177" s="141" t="s">
        <v>6311</v>
      </c>
      <c r="H2177" s="140" t="s">
        <v>6312</v>
      </c>
      <c r="I2177" s="140" t="s">
        <v>6313</v>
      </c>
      <c r="J2177" s="140" t="s">
        <v>6314</v>
      </c>
      <c r="K2177" s="140" t="s">
        <v>8901</v>
      </c>
    </row>
    <row r="2178">
      <c r="A2178" s="140" t="s">
        <v>8901</v>
      </c>
      <c r="B2178" s="143">
        <v>7.80224E12</v>
      </c>
      <c r="C2178" s="140" t="s">
        <v>8902</v>
      </c>
      <c r="D2178" s="140" t="s">
        <v>6601</v>
      </c>
      <c r="E2178" s="140" t="s">
        <v>165</v>
      </c>
      <c r="F2178" s="140" t="s">
        <v>175</v>
      </c>
      <c r="G2178" s="141" t="s">
        <v>6311</v>
      </c>
      <c r="H2178" s="140" t="s">
        <v>6312</v>
      </c>
      <c r="I2178" s="140" t="s">
        <v>6313</v>
      </c>
      <c r="J2178" s="140" t="s">
        <v>6314</v>
      </c>
      <c r="K2178" s="140" t="s">
        <v>8901</v>
      </c>
    </row>
    <row r="2179">
      <c r="A2179" s="140" t="s">
        <v>8901</v>
      </c>
      <c r="B2179" s="143">
        <v>7.80224E12</v>
      </c>
      <c r="C2179" s="140" t="s">
        <v>8902</v>
      </c>
      <c r="D2179" s="140" t="s">
        <v>6601</v>
      </c>
      <c r="E2179" s="140" t="s">
        <v>165</v>
      </c>
      <c r="F2179" s="140" t="s">
        <v>175</v>
      </c>
      <c r="G2179" s="141" t="s">
        <v>6311</v>
      </c>
      <c r="H2179" s="140" t="s">
        <v>6312</v>
      </c>
      <c r="I2179" s="140" t="s">
        <v>6313</v>
      </c>
      <c r="J2179" s="140" t="s">
        <v>6314</v>
      </c>
      <c r="K2179" s="140" t="s">
        <v>8901</v>
      </c>
    </row>
    <row r="2180">
      <c r="A2180" s="140" t="s">
        <v>8901</v>
      </c>
      <c r="B2180" s="143">
        <v>7.80224E12</v>
      </c>
      <c r="C2180" s="140" t="s">
        <v>8903</v>
      </c>
      <c r="D2180" s="140" t="s">
        <v>6601</v>
      </c>
      <c r="E2180" s="140" t="s">
        <v>165</v>
      </c>
      <c r="F2180" s="140" t="s">
        <v>175</v>
      </c>
      <c r="G2180" s="141" t="s">
        <v>6311</v>
      </c>
      <c r="H2180" s="140" t="s">
        <v>6312</v>
      </c>
      <c r="I2180" s="140" t="s">
        <v>6313</v>
      </c>
      <c r="J2180" s="140" t="s">
        <v>6314</v>
      </c>
      <c r="K2180" s="140" t="s">
        <v>8901</v>
      </c>
    </row>
    <row r="2181">
      <c r="A2181" s="140" t="s">
        <v>8901</v>
      </c>
      <c r="B2181" s="143">
        <v>7.80224E12</v>
      </c>
      <c r="C2181" s="140" t="s">
        <v>8903</v>
      </c>
      <c r="D2181" s="140" t="s">
        <v>6601</v>
      </c>
      <c r="E2181" s="140" t="s">
        <v>165</v>
      </c>
      <c r="F2181" s="140" t="s">
        <v>175</v>
      </c>
      <c r="G2181" s="141" t="s">
        <v>6311</v>
      </c>
      <c r="H2181" s="140" t="s">
        <v>6312</v>
      </c>
      <c r="I2181" s="140" t="s">
        <v>6313</v>
      </c>
      <c r="J2181" s="140" t="s">
        <v>6314</v>
      </c>
      <c r="K2181" s="140" t="s">
        <v>8901</v>
      </c>
    </row>
    <row r="2182">
      <c r="A2182" s="140" t="s">
        <v>8901</v>
      </c>
      <c r="B2182" s="143">
        <v>7.80224E12</v>
      </c>
      <c r="C2182" s="140" t="s">
        <v>8903</v>
      </c>
      <c r="D2182" s="140" t="s">
        <v>6601</v>
      </c>
      <c r="E2182" s="140" t="s">
        <v>165</v>
      </c>
      <c r="F2182" s="140" t="s">
        <v>175</v>
      </c>
      <c r="G2182" s="141" t="s">
        <v>6311</v>
      </c>
      <c r="H2182" s="140" t="s">
        <v>6312</v>
      </c>
      <c r="I2182" s="140" t="s">
        <v>6313</v>
      </c>
      <c r="J2182" s="140" t="s">
        <v>6314</v>
      </c>
      <c r="K2182" s="140" t="s">
        <v>8901</v>
      </c>
    </row>
    <row r="2183">
      <c r="A2183" s="140" t="s">
        <v>8901</v>
      </c>
      <c r="B2183" s="143">
        <v>7.80224E12</v>
      </c>
      <c r="C2183" s="140" t="s">
        <v>8903</v>
      </c>
      <c r="D2183" s="140" t="s">
        <v>6601</v>
      </c>
      <c r="E2183" s="140" t="s">
        <v>165</v>
      </c>
      <c r="F2183" s="140" t="s">
        <v>175</v>
      </c>
      <c r="G2183" s="141" t="s">
        <v>6311</v>
      </c>
      <c r="H2183" s="140" t="s">
        <v>6312</v>
      </c>
      <c r="I2183" s="140" t="s">
        <v>6313</v>
      </c>
      <c r="J2183" s="140" t="s">
        <v>6314</v>
      </c>
      <c r="K2183" s="140" t="s">
        <v>8901</v>
      </c>
    </row>
    <row r="2184">
      <c r="A2184" s="140" t="s">
        <v>8901</v>
      </c>
      <c r="B2184" s="143">
        <v>7.80224E12</v>
      </c>
      <c r="C2184" s="140" t="s">
        <v>8903</v>
      </c>
      <c r="D2184" s="140" t="s">
        <v>6601</v>
      </c>
      <c r="E2184" s="140" t="s">
        <v>165</v>
      </c>
      <c r="F2184" s="140" t="s">
        <v>175</v>
      </c>
      <c r="G2184" s="141" t="s">
        <v>6311</v>
      </c>
      <c r="H2184" s="140" t="s">
        <v>6312</v>
      </c>
      <c r="I2184" s="140" t="s">
        <v>6313</v>
      </c>
      <c r="J2184" s="140" t="s">
        <v>6314</v>
      </c>
      <c r="K2184" s="140" t="s">
        <v>8901</v>
      </c>
    </row>
    <row r="2185">
      <c r="A2185" s="140" t="s">
        <v>8901</v>
      </c>
      <c r="B2185" s="143">
        <v>7.80224E12</v>
      </c>
      <c r="C2185" s="140" t="s">
        <v>8904</v>
      </c>
      <c r="D2185" s="140" t="s">
        <v>6601</v>
      </c>
      <c r="E2185" s="140" t="s">
        <v>165</v>
      </c>
      <c r="F2185" s="140" t="s">
        <v>175</v>
      </c>
      <c r="G2185" s="141" t="s">
        <v>6311</v>
      </c>
      <c r="H2185" s="140" t="s">
        <v>6312</v>
      </c>
      <c r="I2185" s="140" t="s">
        <v>6313</v>
      </c>
      <c r="J2185" s="140" t="s">
        <v>6314</v>
      </c>
      <c r="K2185" s="140" t="s">
        <v>8901</v>
      </c>
    </row>
    <row r="2186">
      <c r="A2186" s="140" t="s">
        <v>8901</v>
      </c>
      <c r="B2186" s="143">
        <v>7.80224E12</v>
      </c>
      <c r="C2186" s="140" t="s">
        <v>8905</v>
      </c>
      <c r="D2186" s="140" t="s">
        <v>6601</v>
      </c>
      <c r="E2186" s="140" t="s">
        <v>165</v>
      </c>
      <c r="F2186" s="140" t="s">
        <v>175</v>
      </c>
      <c r="G2186" s="141" t="s">
        <v>6311</v>
      </c>
      <c r="H2186" s="140" t="s">
        <v>6312</v>
      </c>
      <c r="I2186" s="140" t="s">
        <v>6313</v>
      </c>
      <c r="J2186" s="140" t="s">
        <v>6314</v>
      </c>
      <c r="K2186" s="140" t="s">
        <v>8901</v>
      </c>
    </row>
    <row r="2187">
      <c r="A2187" s="140" t="s">
        <v>8901</v>
      </c>
      <c r="B2187" s="143">
        <v>7.80224E12</v>
      </c>
      <c r="C2187" s="140" t="s">
        <v>8905</v>
      </c>
      <c r="D2187" s="140" t="s">
        <v>6601</v>
      </c>
      <c r="E2187" s="140" t="s">
        <v>165</v>
      </c>
      <c r="F2187" s="140" t="s">
        <v>175</v>
      </c>
      <c r="G2187" s="141" t="s">
        <v>6311</v>
      </c>
      <c r="H2187" s="140" t="s">
        <v>6312</v>
      </c>
      <c r="I2187" s="140" t="s">
        <v>6313</v>
      </c>
      <c r="J2187" s="140" t="s">
        <v>6314</v>
      </c>
      <c r="K2187" s="140" t="s">
        <v>8901</v>
      </c>
    </row>
    <row r="2188">
      <c r="A2188" s="140" t="s">
        <v>8901</v>
      </c>
      <c r="B2188" s="143">
        <v>7.80224E12</v>
      </c>
      <c r="C2188" s="140" t="s">
        <v>8906</v>
      </c>
      <c r="D2188" s="140" t="s">
        <v>6601</v>
      </c>
      <c r="E2188" s="140" t="s">
        <v>165</v>
      </c>
      <c r="F2188" s="140" t="s">
        <v>175</v>
      </c>
      <c r="G2188" s="141" t="s">
        <v>6311</v>
      </c>
      <c r="H2188" s="140" t="s">
        <v>6312</v>
      </c>
      <c r="I2188" s="140" t="s">
        <v>6313</v>
      </c>
      <c r="J2188" s="140" t="s">
        <v>6314</v>
      </c>
      <c r="K2188" s="140" t="s">
        <v>8901</v>
      </c>
    </row>
    <row r="2189">
      <c r="A2189" s="140" t="s">
        <v>8901</v>
      </c>
      <c r="B2189" s="143">
        <v>7.80224E12</v>
      </c>
      <c r="C2189" s="140" t="s">
        <v>8906</v>
      </c>
      <c r="D2189" s="140" t="s">
        <v>6601</v>
      </c>
      <c r="E2189" s="140" t="s">
        <v>165</v>
      </c>
      <c r="F2189" s="140" t="s">
        <v>175</v>
      </c>
      <c r="G2189" s="141" t="s">
        <v>6311</v>
      </c>
      <c r="H2189" s="140" t="s">
        <v>6312</v>
      </c>
      <c r="I2189" s="140" t="s">
        <v>6313</v>
      </c>
      <c r="J2189" s="140" t="s">
        <v>6314</v>
      </c>
      <c r="K2189" s="140" t="s">
        <v>8901</v>
      </c>
    </row>
    <row r="2190">
      <c r="A2190" s="140" t="s">
        <v>8901</v>
      </c>
      <c r="B2190" s="143">
        <v>7.80224E12</v>
      </c>
      <c r="C2190" s="140" t="s">
        <v>8906</v>
      </c>
      <c r="D2190" s="140" t="s">
        <v>6601</v>
      </c>
      <c r="E2190" s="140" t="s">
        <v>165</v>
      </c>
      <c r="F2190" s="140" t="s">
        <v>175</v>
      </c>
      <c r="G2190" s="141" t="s">
        <v>6311</v>
      </c>
      <c r="H2190" s="140" t="s">
        <v>6312</v>
      </c>
      <c r="I2190" s="140" t="s">
        <v>6313</v>
      </c>
      <c r="J2190" s="140" t="s">
        <v>6314</v>
      </c>
      <c r="K2190" s="140" t="s">
        <v>8901</v>
      </c>
    </row>
    <row r="2191">
      <c r="A2191" s="140" t="s">
        <v>8901</v>
      </c>
      <c r="B2191" s="143">
        <v>7.80224E12</v>
      </c>
      <c r="C2191" s="140" t="s">
        <v>8906</v>
      </c>
      <c r="D2191" s="140" t="s">
        <v>6601</v>
      </c>
      <c r="E2191" s="140" t="s">
        <v>165</v>
      </c>
      <c r="F2191" s="140" t="s">
        <v>175</v>
      </c>
      <c r="G2191" s="141" t="s">
        <v>6311</v>
      </c>
      <c r="H2191" s="140" t="s">
        <v>6312</v>
      </c>
      <c r="I2191" s="140" t="s">
        <v>6313</v>
      </c>
      <c r="J2191" s="140" t="s">
        <v>6314</v>
      </c>
      <c r="K2191" s="140" t="s">
        <v>8901</v>
      </c>
    </row>
    <row r="2192">
      <c r="A2192" s="140" t="s">
        <v>8901</v>
      </c>
      <c r="B2192" s="143">
        <v>7.80224E12</v>
      </c>
      <c r="C2192" s="140" t="s">
        <v>8907</v>
      </c>
      <c r="D2192" s="140" t="s">
        <v>6601</v>
      </c>
      <c r="E2192" s="140" t="s">
        <v>165</v>
      </c>
      <c r="F2192" s="140" t="s">
        <v>175</v>
      </c>
      <c r="G2192" s="141" t="s">
        <v>6311</v>
      </c>
      <c r="H2192" s="140" t="s">
        <v>6312</v>
      </c>
      <c r="I2192" s="140" t="s">
        <v>6313</v>
      </c>
      <c r="J2192" s="140" t="s">
        <v>6314</v>
      </c>
      <c r="K2192" s="140" t="s">
        <v>8901</v>
      </c>
    </row>
    <row r="2193">
      <c r="A2193" s="140" t="s">
        <v>8901</v>
      </c>
      <c r="B2193" s="143">
        <v>7.80224E12</v>
      </c>
      <c r="C2193" s="140" t="s">
        <v>8907</v>
      </c>
      <c r="D2193" s="140" t="s">
        <v>6601</v>
      </c>
      <c r="E2193" s="140" t="s">
        <v>165</v>
      </c>
      <c r="F2193" s="140" t="s">
        <v>175</v>
      </c>
      <c r="G2193" s="141" t="s">
        <v>6311</v>
      </c>
      <c r="H2193" s="140" t="s">
        <v>6312</v>
      </c>
      <c r="I2193" s="140" t="s">
        <v>6313</v>
      </c>
      <c r="J2193" s="140" t="s">
        <v>6314</v>
      </c>
      <c r="K2193" s="140" t="s">
        <v>8901</v>
      </c>
    </row>
    <row r="2194">
      <c r="A2194" s="140" t="s">
        <v>8901</v>
      </c>
      <c r="B2194" s="143">
        <v>7.80224E12</v>
      </c>
      <c r="C2194" s="140" t="s">
        <v>8907</v>
      </c>
      <c r="D2194" s="140" t="s">
        <v>6601</v>
      </c>
      <c r="E2194" s="140" t="s">
        <v>165</v>
      </c>
      <c r="F2194" s="140" t="s">
        <v>175</v>
      </c>
      <c r="G2194" s="141" t="s">
        <v>6311</v>
      </c>
      <c r="H2194" s="140" t="s">
        <v>6312</v>
      </c>
      <c r="I2194" s="140" t="s">
        <v>6313</v>
      </c>
      <c r="J2194" s="140" t="s">
        <v>6314</v>
      </c>
      <c r="K2194" s="140" t="s">
        <v>8901</v>
      </c>
    </row>
    <row r="2195">
      <c r="A2195" s="140" t="s">
        <v>8901</v>
      </c>
      <c r="B2195" s="143">
        <v>7.80224E12</v>
      </c>
      <c r="C2195" s="140" t="s">
        <v>8907</v>
      </c>
      <c r="D2195" s="140" t="s">
        <v>6601</v>
      </c>
      <c r="E2195" s="140" t="s">
        <v>165</v>
      </c>
      <c r="F2195" s="140" t="s">
        <v>175</v>
      </c>
      <c r="G2195" s="141" t="s">
        <v>6311</v>
      </c>
      <c r="H2195" s="140" t="s">
        <v>6312</v>
      </c>
      <c r="I2195" s="140" t="s">
        <v>6313</v>
      </c>
      <c r="J2195" s="140" t="s">
        <v>6314</v>
      </c>
      <c r="K2195" s="140" t="s">
        <v>8901</v>
      </c>
    </row>
    <row r="2196">
      <c r="A2196" s="140" t="s">
        <v>8901</v>
      </c>
      <c r="B2196" s="143">
        <v>7.80224E12</v>
      </c>
      <c r="C2196" s="140" t="s">
        <v>8907</v>
      </c>
      <c r="D2196" s="140" t="s">
        <v>6601</v>
      </c>
      <c r="E2196" s="140" t="s">
        <v>165</v>
      </c>
      <c r="F2196" s="140" t="s">
        <v>175</v>
      </c>
      <c r="G2196" s="141" t="s">
        <v>6311</v>
      </c>
      <c r="H2196" s="140" t="s">
        <v>6312</v>
      </c>
      <c r="I2196" s="140" t="s">
        <v>6313</v>
      </c>
      <c r="J2196" s="140" t="s">
        <v>6314</v>
      </c>
      <c r="K2196" s="140" t="s">
        <v>8901</v>
      </c>
    </row>
    <row r="2197">
      <c r="A2197" s="140" t="s">
        <v>8901</v>
      </c>
      <c r="B2197" s="143">
        <v>7.80224E12</v>
      </c>
      <c r="C2197" s="140" t="s">
        <v>8907</v>
      </c>
      <c r="D2197" s="140" t="s">
        <v>6601</v>
      </c>
      <c r="E2197" s="140" t="s">
        <v>165</v>
      </c>
      <c r="F2197" s="140" t="s">
        <v>175</v>
      </c>
      <c r="G2197" s="141" t="s">
        <v>6311</v>
      </c>
      <c r="H2197" s="140" t="s">
        <v>6312</v>
      </c>
      <c r="I2197" s="140" t="s">
        <v>6313</v>
      </c>
      <c r="J2197" s="140" t="s">
        <v>6314</v>
      </c>
      <c r="K2197" s="140" t="s">
        <v>8901</v>
      </c>
    </row>
    <row r="2198">
      <c r="A2198" s="140" t="s">
        <v>8901</v>
      </c>
      <c r="B2198" s="143">
        <v>7.80224E12</v>
      </c>
      <c r="C2198" s="140" t="s">
        <v>8907</v>
      </c>
      <c r="D2198" s="140" t="s">
        <v>6601</v>
      </c>
      <c r="E2198" s="140" t="s">
        <v>165</v>
      </c>
      <c r="F2198" s="140" t="s">
        <v>175</v>
      </c>
      <c r="G2198" s="141" t="s">
        <v>6311</v>
      </c>
      <c r="H2198" s="140" t="s">
        <v>6312</v>
      </c>
      <c r="I2198" s="140" t="s">
        <v>6313</v>
      </c>
      <c r="J2198" s="140" t="s">
        <v>6314</v>
      </c>
      <c r="K2198" s="140" t="s">
        <v>8901</v>
      </c>
    </row>
    <row r="2199">
      <c r="A2199" s="140" t="s">
        <v>8901</v>
      </c>
      <c r="B2199" s="143">
        <v>7.80224E12</v>
      </c>
      <c r="C2199" s="140" t="s">
        <v>8907</v>
      </c>
      <c r="D2199" s="140" t="s">
        <v>6601</v>
      </c>
      <c r="E2199" s="140" t="s">
        <v>165</v>
      </c>
      <c r="F2199" s="140" t="s">
        <v>175</v>
      </c>
      <c r="G2199" s="141" t="s">
        <v>6311</v>
      </c>
      <c r="H2199" s="140" t="s">
        <v>6312</v>
      </c>
      <c r="I2199" s="140" t="s">
        <v>6313</v>
      </c>
      <c r="J2199" s="140" t="s">
        <v>6314</v>
      </c>
      <c r="K2199" s="140" t="s">
        <v>8901</v>
      </c>
    </row>
    <row r="2200">
      <c r="A2200" s="140" t="s">
        <v>8908</v>
      </c>
      <c r="B2200" s="140" t="s">
        <v>2496</v>
      </c>
      <c r="C2200" s="140" t="s">
        <v>8909</v>
      </c>
      <c r="D2200" s="140" t="s">
        <v>6620</v>
      </c>
      <c r="E2200" s="140" t="s">
        <v>6621</v>
      </c>
      <c r="F2200" s="140" t="s">
        <v>8910</v>
      </c>
      <c r="G2200" s="141" t="s">
        <v>6668</v>
      </c>
      <c r="H2200" s="140" t="s">
        <v>6330</v>
      </c>
      <c r="I2200" s="140" t="s">
        <v>6313</v>
      </c>
      <c r="J2200" s="140" t="s">
        <v>6319</v>
      </c>
      <c r="K2200" s="140" t="s">
        <v>8908</v>
      </c>
    </row>
    <row r="2201">
      <c r="A2201" s="140" t="s">
        <v>8908</v>
      </c>
      <c r="B2201" s="140" t="s">
        <v>4413</v>
      </c>
      <c r="C2201" s="140" t="s">
        <v>8911</v>
      </c>
      <c r="D2201" s="140" t="s">
        <v>6620</v>
      </c>
      <c r="E2201" s="140" t="s">
        <v>6621</v>
      </c>
      <c r="F2201" s="140" t="s">
        <v>8910</v>
      </c>
      <c r="G2201" s="141" t="s">
        <v>6311</v>
      </c>
      <c r="H2201" s="140" t="s">
        <v>6330</v>
      </c>
      <c r="I2201" s="140" t="s">
        <v>6313</v>
      </c>
      <c r="J2201" s="140" t="s">
        <v>6319</v>
      </c>
      <c r="K2201" s="140" t="s">
        <v>8908</v>
      </c>
    </row>
    <row r="2202">
      <c r="A2202" s="140" t="s">
        <v>8908</v>
      </c>
      <c r="B2202" s="140" t="s">
        <v>8912</v>
      </c>
      <c r="C2202" s="140" t="s">
        <v>8913</v>
      </c>
      <c r="D2202" s="140" t="s">
        <v>6620</v>
      </c>
      <c r="E2202" s="140" t="s">
        <v>6621</v>
      </c>
      <c r="F2202" s="140" t="s">
        <v>8910</v>
      </c>
      <c r="G2202" s="141" t="s">
        <v>6401</v>
      </c>
      <c r="H2202" s="140" t="s">
        <v>6330</v>
      </c>
      <c r="I2202" s="140" t="s">
        <v>6313</v>
      </c>
      <c r="J2202" s="140" t="s">
        <v>6319</v>
      </c>
      <c r="K2202" s="140" t="s">
        <v>8908</v>
      </c>
    </row>
    <row r="2203">
      <c r="A2203" s="140" t="s">
        <v>8908</v>
      </c>
      <c r="B2203" s="140" t="s">
        <v>2881</v>
      </c>
      <c r="C2203" s="140" t="s">
        <v>8914</v>
      </c>
      <c r="D2203" s="140" t="s">
        <v>6620</v>
      </c>
      <c r="E2203" s="140" t="s">
        <v>6621</v>
      </c>
      <c r="F2203" s="140" t="s">
        <v>8910</v>
      </c>
      <c r="G2203" s="141" t="s">
        <v>6668</v>
      </c>
      <c r="H2203" s="140" t="s">
        <v>6330</v>
      </c>
      <c r="I2203" s="140" t="s">
        <v>6313</v>
      </c>
      <c r="J2203" s="140" t="s">
        <v>6319</v>
      </c>
      <c r="K2203" s="140" t="s">
        <v>8908</v>
      </c>
    </row>
    <row r="2204">
      <c r="A2204" s="140" t="s">
        <v>8908</v>
      </c>
      <c r="B2204" s="140" t="s">
        <v>3113</v>
      </c>
      <c r="C2204" s="140" t="s">
        <v>8915</v>
      </c>
      <c r="D2204" s="140" t="s">
        <v>6620</v>
      </c>
      <c r="E2204" s="140" t="s">
        <v>6621</v>
      </c>
      <c r="F2204" s="140" t="s">
        <v>8910</v>
      </c>
      <c r="G2204" s="141" t="s">
        <v>6668</v>
      </c>
      <c r="H2204" s="140" t="s">
        <v>6330</v>
      </c>
      <c r="I2204" s="140" t="s">
        <v>6313</v>
      </c>
      <c r="J2204" s="140" t="s">
        <v>6319</v>
      </c>
      <c r="K2204" s="140" t="s">
        <v>8908</v>
      </c>
    </row>
    <row r="2205">
      <c r="A2205" s="140" t="s">
        <v>8908</v>
      </c>
      <c r="B2205" s="140" t="s">
        <v>2490</v>
      </c>
      <c r="C2205" s="140" t="s">
        <v>8916</v>
      </c>
      <c r="D2205" s="140" t="s">
        <v>6620</v>
      </c>
      <c r="E2205" s="140" t="s">
        <v>6621</v>
      </c>
      <c r="F2205" s="140" t="s">
        <v>8910</v>
      </c>
      <c r="G2205" s="141" t="s">
        <v>6668</v>
      </c>
      <c r="H2205" s="140" t="s">
        <v>6330</v>
      </c>
      <c r="I2205" s="140" t="s">
        <v>6313</v>
      </c>
      <c r="J2205" s="140" t="s">
        <v>6319</v>
      </c>
      <c r="K2205" s="140" t="s">
        <v>8908</v>
      </c>
    </row>
    <row r="2206">
      <c r="A2206" s="140" t="s">
        <v>8908</v>
      </c>
      <c r="B2206" s="140" t="s">
        <v>2492</v>
      </c>
      <c r="C2206" s="140" t="s">
        <v>8917</v>
      </c>
      <c r="D2206" s="140" t="s">
        <v>6620</v>
      </c>
      <c r="E2206" s="140" t="s">
        <v>6621</v>
      </c>
      <c r="F2206" s="140" t="s">
        <v>8910</v>
      </c>
      <c r="G2206" s="141" t="s">
        <v>6668</v>
      </c>
      <c r="H2206" s="140" t="s">
        <v>6330</v>
      </c>
      <c r="I2206" s="140" t="s">
        <v>6313</v>
      </c>
      <c r="J2206" s="140" t="s">
        <v>6319</v>
      </c>
      <c r="K2206" s="140" t="s">
        <v>8908</v>
      </c>
    </row>
    <row r="2207">
      <c r="A2207" s="140" t="s">
        <v>8908</v>
      </c>
      <c r="B2207" s="140" t="s">
        <v>8918</v>
      </c>
      <c r="C2207" s="140" t="s">
        <v>8919</v>
      </c>
      <c r="D2207" s="140" t="s">
        <v>6620</v>
      </c>
      <c r="E2207" s="140" t="s">
        <v>6621</v>
      </c>
      <c r="F2207" s="140" t="s">
        <v>8910</v>
      </c>
      <c r="G2207" s="141" t="s">
        <v>6401</v>
      </c>
      <c r="H2207" s="140" t="s">
        <v>6312</v>
      </c>
      <c r="I2207" s="140" t="s">
        <v>6313</v>
      </c>
      <c r="J2207" s="140" t="s">
        <v>6319</v>
      </c>
      <c r="K2207" s="140" t="s">
        <v>8908</v>
      </c>
    </row>
    <row r="2208">
      <c r="A2208" s="140" t="s">
        <v>8908</v>
      </c>
      <c r="B2208" s="140" t="s">
        <v>4417</v>
      </c>
      <c r="C2208" s="140" t="s">
        <v>8920</v>
      </c>
      <c r="D2208" s="140" t="s">
        <v>6620</v>
      </c>
      <c r="E2208" s="140" t="s">
        <v>6621</v>
      </c>
      <c r="F2208" s="140" t="s">
        <v>8910</v>
      </c>
      <c r="G2208" s="141" t="s">
        <v>6401</v>
      </c>
      <c r="H2208" s="140" t="s">
        <v>6330</v>
      </c>
      <c r="I2208" s="140" t="s">
        <v>6313</v>
      </c>
      <c r="J2208" s="140" t="s">
        <v>6319</v>
      </c>
      <c r="K2208" s="140" t="s">
        <v>8908</v>
      </c>
    </row>
    <row r="2209">
      <c r="A2209" s="140" t="s">
        <v>8908</v>
      </c>
      <c r="B2209" s="140" t="s">
        <v>8921</v>
      </c>
      <c r="C2209" s="140" t="s">
        <v>8922</v>
      </c>
      <c r="D2209" s="140" t="s">
        <v>6620</v>
      </c>
      <c r="E2209" s="140" t="s">
        <v>6621</v>
      </c>
      <c r="F2209" s="140" t="s">
        <v>8910</v>
      </c>
      <c r="G2209" s="141" t="s">
        <v>6304</v>
      </c>
      <c r="H2209" s="140" t="s">
        <v>6312</v>
      </c>
      <c r="I2209" s="140" t="s">
        <v>6527</v>
      </c>
      <c r="J2209" s="140" t="s">
        <v>6319</v>
      </c>
      <c r="K2209" s="140" t="s">
        <v>8908</v>
      </c>
    </row>
    <row r="2210">
      <c r="A2210" s="140" t="s">
        <v>8908</v>
      </c>
      <c r="B2210" s="140" t="s">
        <v>8923</v>
      </c>
      <c r="C2210" s="140" t="s">
        <v>8924</v>
      </c>
      <c r="D2210" s="140" t="s">
        <v>6620</v>
      </c>
      <c r="E2210" s="140" t="s">
        <v>6621</v>
      </c>
      <c r="F2210" s="140" t="s">
        <v>8910</v>
      </c>
      <c r="G2210" s="141" t="s">
        <v>6304</v>
      </c>
      <c r="H2210" s="140" t="s">
        <v>6312</v>
      </c>
      <c r="I2210" s="140" t="s">
        <v>6527</v>
      </c>
      <c r="J2210" s="140" t="s">
        <v>6319</v>
      </c>
      <c r="K2210" s="140" t="s">
        <v>8908</v>
      </c>
    </row>
    <row r="2211">
      <c r="A2211" s="140" t="s">
        <v>8908</v>
      </c>
      <c r="B2211" s="140" t="s">
        <v>3613</v>
      </c>
      <c r="C2211" s="140" t="s">
        <v>8925</v>
      </c>
      <c r="D2211" s="140" t="s">
        <v>6620</v>
      </c>
      <c r="E2211" s="140" t="s">
        <v>6621</v>
      </c>
      <c r="F2211" s="140" t="s">
        <v>8910</v>
      </c>
      <c r="G2211" s="141" t="s">
        <v>6668</v>
      </c>
      <c r="H2211" s="140" t="s">
        <v>6330</v>
      </c>
      <c r="I2211" s="140" t="s">
        <v>6313</v>
      </c>
      <c r="J2211" s="140" t="s">
        <v>6319</v>
      </c>
      <c r="K2211" s="140" t="s">
        <v>8908</v>
      </c>
    </row>
    <row r="2212">
      <c r="A2212" s="140" t="s">
        <v>8908</v>
      </c>
      <c r="B2212" s="140" t="s">
        <v>8926</v>
      </c>
      <c r="C2212" s="140" t="s">
        <v>8927</v>
      </c>
      <c r="D2212" s="140" t="s">
        <v>6620</v>
      </c>
      <c r="E2212" s="140" t="s">
        <v>6621</v>
      </c>
      <c r="F2212" s="140" t="s">
        <v>8910</v>
      </c>
      <c r="G2212" s="141" t="s">
        <v>6668</v>
      </c>
      <c r="H2212" s="140" t="s">
        <v>6312</v>
      </c>
      <c r="I2212" s="140" t="s">
        <v>6313</v>
      </c>
      <c r="J2212" s="140" t="s">
        <v>6319</v>
      </c>
      <c r="K2212" s="140" t="s">
        <v>8908</v>
      </c>
    </row>
    <row r="2213">
      <c r="A2213" s="140" t="s">
        <v>8908</v>
      </c>
      <c r="B2213" s="140" t="s">
        <v>2692</v>
      </c>
      <c r="C2213" s="140" t="s">
        <v>8928</v>
      </c>
      <c r="D2213" s="140" t="s">
        <v>6620</v>
      </c>
      <c r="E2213" s="140" t="s">
        <v>6621</v>
      </c>
      <c r="F2213" s="140" t="s">
        <v>8910</v>
      </c>
      <c r="G2213" s="141" t="s">
        <v>6668</v>
      </c>
      <c r="H2213" s="140" t="s">
        <v>6330</v>
      </c>
      <c r="I2213" s="140" t="s">
        <v>6313</v>
      </c>
      <c r="J2213" s="140" t="s">
        <v>6319</v>
      </c>
      <c r="K2213" s="140" t="s">
        <v>8908</v>
      </c>
    </row>
    <row r="2214">
      <c r="A2214" s="140" t="s">
        <v>8908</v>
      </c>
      <c r="B2214" s="140" t="s">
        <v>5172</v>
      </c>
      <c r="C2214" s="140" t="s">
        <v>8929</v>
      </c>
      <c r="D2214" s="140" t="s">
        <v>6620</v>
      </c>
      <c r="E2214" s="140" t="s">
        <v>6621</v>
      </c>
      <c r="F2214" s="140" t="s">
        <v>8910</v>
      </c>
      <c r="G2214" s="141" t="s">
        <v>6668</v>
      </c>
      <c r="H2214" s="140" t="s">
        <v>6330</v>
      </c>
      <c r="I2214" s="140" t="s">
        <v>6313</v>
      </c>
      <c r="J2214" s="140" t="s">
        <v>6319</v>
      </c>
      <c r="K2214" s="140" t="s">
        <v>8908</v>
      </c>
    </row>
    <row r="2215">
      <c r="A2215" s="140" t="s">
        <v>8908</v>
      </c>
      <c r="B2215" s="140" t="s">
        <v>5176</v>
      </c>
      <c r="C2215" s="140" t="s">
        <v>8930</v>
      </c>
      <c r="D2215" s="140" t="s">
        <v>6620</v>
      </c>
      <c r="E2215" s="140" t="s">
        <v>6621</v>
      </c>
      <c r="F2215" s="140" t="s">
        <v>8910</v>
      </c>
      <c r="G2215" s="141" t="s">
        <v>6668</v>
      </c>
      <c r="H2215" s="140" t="s">
        <v>6330</v>
      </c>
      <c r="I2215" s="140" t="s">
        <v>6313</v>
      </c>
      <c r="J2215" s="140" t="s">
        <v>6319</v>
      </c>
      <c r="K2215" s="140" t="s">
        <v>8908</v>
      </c>
    </row>
    <row r="2216">
      <c r="A2216" s="140" t="s">
        <v>8908</v>
      </c>
      <c r="B2216" s="140" t="s">
        <v>5683</v>
      </c>
      <c r="C2216" s="140" t="s">
        <v>8931</v>
      </c>
      <c r="D2216" s="140" t="s">
        <v>6620</v>
      </c>
      <c r="E2216" s="140" t="s">
        <v>6621</v>
      </c>
      <c r="F2216" s="140" t="s">
        <v>8910</v>
      </c>
      <c r="G2216" s="141" t="s">
        <v>6668</v>
      </c>
      <c r="H2216" s="140" t="s">
        <v>6330</v>
      </c>
      <c r="I2216" s="140" t="s">
        <v>6313</v>
      </c>
      <c r="J2216" s="140" t="s">
        <v>6319</v>
      </c>
      <c r="K2216" s="140" t="s">
        <v>8908</v>
      </c>
    </row>
    <row r="2217">
      <c r="A2217" s="140" t="s">
        <v>8908</v>
      </c>
      <c r="B2217" s="140" t="s">
        <v>4415</v>
      </c>
      <c r="C2217" s="140" t="s">
        <v>8932</v>
      </c>
      <c r="D2217" s="140" t="s">
        <v>6620</v>
      </c>
      <c r="E2217" s="140" t="s">
        <v>6621</v>
      </c>
      <c r="F2217" s="140" t="s">
        <v>6761</v>
      </c>
      <c r="G2217" s="141" t="s">
        <v>6311</v>
      </c>
      <c r="H2217" s="140" t="s">
        <v>6330</v>
      </c>
      <c r="I2217" s="140" t="s">
        <v>6313</v>
      </c>
      <c r="J2217" s="140" t="s">
        <v>6319</v>
      </c>
      <c r="K2217" s="140" t="s">
        <v>8908</v>
      </c>
    </row>
    <row r="2218">
      <c r="A2218" s="140" t="s">
        <v>8908</v>
      </c>
      <c r="B2218" s="140" t="s">
        <v>5174</v>
      </c>
      <c r="C2218" s="140" t="s">
        <v>8933</v>
      </c>
      <c r="D2218" s="140" t="s">
        <v>6620</v>
      </c>
      <c r="E2218" s="140" t="s">
        <v>6621</v>
      </c>
      <c r="F2218" s="140" t="s">
        <v>6761</v>
      </c>
      <c r="G2218" s="141" t="s">
        <v>6668</v>
      </c>
      <c r="H2218" s="140" t="s">
        <v>6330</v>
      </c>
      <c r="I2218" s="140" t="s">
        <v>6313</v>
      </c>
      <c r="J2218" s="140" t="s">
        <v>6319</v>
      </c>
      <c r="K2218" s="140" t="s">
        <v>8908</v>
      </c>
    </row>
    <row r="2219">
      <c r="A2219" s="140" t="s">
        <v>8908</v>
      </c>
      <c r="B2219" s="140" t="s">
        <v>8934</v>
      </c>
      <c r="C2219" s="140" t="s">
        <v>8935</v>
      </c>
      <c r="D2219" s="140" t="s">
        <v>6620</v>
      </c>
      <c r="E2219" s="140" t="s">
        <v>6621</v>
      </c>
      <c r="F2219" s="140" t="s">
        <v>6761</v>
      </c>
      <c r="G2219" s="141" t="s">
        <v>6311</v>
      </c>
      <c r="H2219" s="140" t="s">
        <v>6330</v>
      </c>
      <c r="I2219" s="140" t="s">
        <v>6313</v>
      </c>
      <c r="J2219" s="140" t="s">
        <v>6319</v>
      </c>
      <c r="K2219" s="140" t="s">
        <v>8908</v>
      </c>
    </row>
    <row r="2220">
      <c r="A2220" s="140" t="s">
        <v>8908</v>
      </c>
      <c r="B2220" s="140" t="s">
        <v>8936</v>
      </c>
      <c r="C2220" s="140" t="s">
        <v>8937</v>
      </c>
      <c r="D2220" s="140" t="s">
        <v>6620</v>
      </c>
      <c r="E2220" s="140" t="s">
        <v>6621</v>
      </c>
      <c r="F2220" s="140" t="s">
        <v>6761</v>
      </c>
      <c r="G2220" s="141" t="s">
        <v>6311</v>
      </c>
      <c r="H2220" s="140" t="s">
        <v>6330</v>
      </c>
      <c r="I2220" s="140" t="s">
        <v>6313</v>
      </c>
      <c r="J2220" s="140" t="s">
        <v>6319</v>
      </c>
      <c r="K2220" s="140" t="s">
        <v>8908</v>
      </c>
    </row>
    <row r="2221">
      <c r="A2221" s="140" t="s">
        <v>8908</v>
      </c>
      <c r="B2221" s="140" t="s">
        <v>8938</v>
      </c>
      <c r="C2221" s="140" t="s">
        <v>8939</v>
      </c>
      <c r="D2221" s="140" t="s">
        <v>6620</v>
      </c>
      <c r="E2221" s="140" t="s">
        <v>6621</v>
      </c>
      <c r="F2221" s="140" t="s">
        <v>6761</v>
      </c>
      <c r="G2221" s="141" t="s">
        <v>6311</v>
      </c>
      <c r="H2221" s="140" t="s">
        <v>6330</v>
      </c>
      <c r="I2221" s="140" t="s">
        <v>6313</v>
      </c>
      <c r="J2221" s="140" t="s">
        <v>6319</v>
      </c>
      <c r="K2221" s="140" t="s">
        <v>8908</v>
      </c>
    </row>
    <row r="2222">
      <c r="A2222" s="140" t="s">
        <v>8908</v>
      </c>
      <c r="B2222" s="140" t="s">
        <v>2498</v>
      </c>
      <c r="C2222" s="140" t="s">
        <v>8940</v>
      </c>
      <c r="D2222" s="140" t="s">
        <v>6620</v>
      </c>
      <c r="E2222" s="140" t="s">
        <v>6621</v>
      </c>
      <c r="F2222" s="140" t="s">
        <v>6761</v>
      </c>
      <c r="G2222" s="141" t="s">
        <v>6668</v>
      </c>
      <c r="H2222" s="140" t="s">
        <v>6330</v>
      </c>
      <c r="I2222" s="140" t="s">
        <v>6313</v>
      </c>
      <c r="J2222" s="140" t="s">
        <v>6319</v>
      </c>
      <c r="K2222" s="140" t="s">
        <v>8908</v>
      </c>
    </row>
    <row r="2223">
      <c r="A2223" s="140" t="s">
        <v>8908</v>
      </c>
      <c r="B2223" s="140" t="s">
        <v>2488</v>
      </c>
      <c r="C2223" s="140" t="s">
        <v>8941</v>
      </c>
      <c r="D2223" s="140" t="s">
        <v>6620</v>
      </c>
      <c r="E2223" s="140" t="s">
        <v>6621</v>
      </c>
      <c r="F2223" s="140" t="s">
        <v>6775</v>
      </c>
      <c r="G2223" s="141" t="s">
        <v>6668</v>
      </c>
      <c r="H2223" s="140" t="s">
        <v>6330</v>
      </c>
      <c r="I2223" s="140" t="s">
        <v>6313</v>
      </c>
      <c r="J2223" s="140" t="s">
        <v>6319</v>
      </c>
      <c r="K2223" s="140" t="s">
        <v>8908</v>
      </c>
    </row>
    <row r="2224">
      <c r="A2224" s="140" t="s">
        <v>8908</v>
      </c>
      <c r="B2224" s="140" t="s">
        <v>2694</v>
      </c>
      <c r="C2224" s="140" t="s">
        <v>8942</v>
      </c>
      <c r="D2224" s="140" t="s">
        <v>6620</v>
      </c>
      <c r="E2224" s="140" t="s">
        <v>6621</v>
      </c>
      <c r="F2224" s="140" t="s">
        <v>6775</v>
      </c>
      <c r="G2224" s="141" t="s">
        <v>6668</v>
      </c>
      <c r="H2224" s="140" t="s">
        <v>6330</v>
      </c>
      <c r="I2224" s="140" t="s">
        <v>6313</v>
      </c>
      <c r="J2224" s="140" t="s">
        <v>6319</v>
      </c>
      <c r="K2224" s="140" t="s">
        <v>8908</v>
      </c>
    </row>
    <row r="2225">
      <c r="A2225" s="140" t="s">
        <v>8908</v>
      </c>
      <c r="B2225" s="140" t="s">
        <v>8943</v>
      </c>
      <c r="C2225" s="140" t="s">
        <v>8944</v>
      </c>
      <c r="D2225" s="140" t="s">
        <v>6620</v>
      </c>
      <c r="E2225" s="140" t="s">
        <v>6621</v>
      </c>
      <c r="F2225" s="140" t="s">
        <v>8945</v>
      </c>
      <c r="G2225" s="141" t="s">
        <v>6304</v>
      </c>
      <c r="H2225" s="140" t="s">
        <v>6312</v>
      </c>
      <c r="I2225" s="140" t="s">
        <v>6527</v>
      </c>
      <c r="J2225" s="140" t="s">
        <v>6319</v>
      </c>
      <c r="K2225" s="140" t="s">
        <v>8908</v>
      </c>
    </row>
    <row r="2226">
      <c r="A2226" s="140" t="s">
        <v>8908</v>
      </c>
      <c r="B2226" s="140" t="s">
        <v>8946</v>
      </c>
      <c r="C2226" s="140" t="s">
        <v>8947</v>
      </c>
      <c r="D2226" s="140" t="s">
        <v>6620</v>
      </c>
      <c r="E2226" s="140" t="s">
        <v>6621</v>
      </c>
      <c r="F2226" s="140" t="s">
        <v>8945</v>
      </c>
      <c r="G2226" s="141" t="s">
        <v>6668</v>
      </c>
      <c r="H2226" s="140" t="s">
        <v>6312</v>
      </c>
      <c r="I2226" s="140" t="s">
        <v>6313</v>
      </c>
      <c r="J2226" s="140" t="s">
        <v>6319</v>
      </c>
      <c r="K2226" s="140" t="s">
        <v>8908</v>
      </c>
    </row>
    <row r="2227">
      <c r="A2227" s="140" t="s">
        <v>8908</v>
      </c>
      <c r="B2227" s="140" t="s">
        <v>8948</v>
      </c>
      <c r="C2227" s="140" t="s">
        <v>8949</v>
      </c>
      <c r="D2227" s="140" t="s">
        <v>6620</v>
      </c>
      <c r="E2227" s="140" t="s">
        <v>6621</v>
      </c>
      <c r="F2227" s="140" t="s">
        <v>8945</v>
      </c>
      <c r="G2227" s="141" t="s">
        <v>6668</v>
      </c>
      <c r="H2227" s="140" t="s">
        <v>6312</v>
      </c>
      <c r="I2227" s="140" t="s">
        <v>6313</v>
      </c>
      <c r="J2227" s="140" t="s">
        <v>6319</v>
      </c>
      <c r="K2227" s="140" t="s">
        <v>8908</v>
      </c>
    </row>
    <row r="2228">
      <c r="A2228" s="140" t="s">
        <v>8908</v>
      </c>
      <c r="B2228" s="140" t="s">
        <v>8950</v>
      </c>
      <c r="C2228" s="140" t="s">
        <v>8951</v>
      </c>
      <c r="D2228" s="140" t="s">
        <v>6620</v>
      </c>
      <c r="E2228" s="140" t="s">
        <v>6621</v>
      </c>
      <c r="F2228" s="140" t="s">
        <v>8945</v>
      </c>
      <c r="G2228" s="141" t="s">
        <v>6304</v>
      </c>
      <c r="H2228" s="140" t="s">
        <v>6312</v>
      </c>
      <c r="I2228" s="140" t="s">
        <v>6527</v>
      </c>
      <c r="J2228" s="140" t="s">
        <v>6319</v>
      </c>
      <c r="K2228" s="140" t="s">
        <v>8908</v>
      </c>
    </row>
    <row r="2229">
      <c r="A2229" s="140" t="s">
        <v>8908</v>
      </c>
      <c r="B2229" s="140" t="s">
        <v>2494</v>
      </c>
      <c r="C2229" s="140" t="s">
        <v>8951</v>
      </c>
      <c r="D2229" s="140" t="s">
        <v>6620</v>
      </c>
      <c r="E2229" s="140" t="s">
        <v>6621</v>
      </c>
      <c r="F2229" s="140" t="s">
        <v>8945</v>
      </c>
      <c r="G2229" s="141" t="s">
        <v>6668</v>
      </c>
      <c r="H2229" s="140" t="s">
        <v>6330</v>
      </c>
      <c r="I2229" s="140" t="s">
        <v>6313</v>
      </c>
      <c r="J2229" s="140" t="s">
        <v>6319</v>
      </c>
      <c r="K2229" s="140" t="s">
        <v>8908</v>
      </c>
    </row>
    <row r="2230">
      <c r="A2230" s="140" t="s">
        <v>8952</v>
      </c>
      <c r="B2230" s="143">
        <v>3.20253E12</v>
      </c>
      <c r="C2230" s="140" t="s">
        <v>8953</v>
      </c>
      <c r="D2230" s="140" t="s">
        <v>6318</v>
      </c>
      <c r="E2230" s="140">
        <v>0.0</v>
      </c>
      <c r="F2230" s="140" t="s">
        <v>1340</v>
      </c>
      <c r="G2230" s="141" t="s">
        <v>6401</v>
      </c>
      <c r="H2230" s="140" t="s">
        <v>6312</v>
      </c>
      <c r="I2230" s="140" t="s">
        <v>6313</v>
      </c>
      <c r="J2230" s="140" t="s">
        <v>6314</v>
      </c>
      <c r="K2230" s="140" t="s">
        <v>8954</v>
      </c>
    </row>
    <row r="2231">
      <c r="A2231" s="140" t="s">
        <v>8952</v>
      </c>
      <c r="B2231" s="143">
        <v>3.20397E12</v>
      </c>
      <c r="C2231" s="140" t="s">
        <v>8955</v>
      </c>
      <c r="D2231" s="140" t="s">
        <v>6318</v>
      </c>
      <c r="E2231" s="140">
        <v>0.0</v>
      </c>
      <c r="F2231" s="140" t="s">
        <v>8956</v>
      </c>
      <c r="G2231" s="141" t="s">
        <v>6401</v>
      </c>
      <c r="H2231" s="140" t="s">
        <v>6312</v>
      </c>
      <c r="I2231" s="140" t="s">
        <v>6313</v>
      </c>
      <c r="J2231" s="140" t="s">
        <v>6314</v>
      </c>
      <c r="K2231" s="140" t="s">
        <v>8954</v>
      </c>
    </row>
    <row r="2232">
      <c r="A2232" s="140" t="s">
        <v>8952</v>
      </c>
      <c r="B2232" s="143">
        <v>3.08018E12</v>
      </c>
      <c r="C2232" s="140" t="s">
        <v>8957</v>
      </c>
      <c r="D2232" s="140" t="s">
        <v>6318</v>
      </c>
      <c r="E2232" s="140">
        <v>0.0</v>
      </c>
      <c r="F2232" s="140" t="s">
        <v>1190</v>
      </c>
      <c r="G2232" s="141" t="s">
        <v>6401</v>
      </c>
      <c r="H2232" s="140" t="s">
        <v>6312</v>
      </c>
      <c r="I2232" s="140" t="s">
        <v>6313</v>
      </c>
      <c r="J2232" s="140" t="s">
        <v>6314</v>
      </c>
      <c r="K2232" s="140" t="s">
        <v>8954</v>
      </c>
    </row>
    <row r="2233">
      <c r="A2233" s="140" t="s">
        <v>8952</v>
      </c>
      <c r="B2233" s="143">
        <v>3.21096E12</v>
      </c>
      <c r="C2233" s="140" t="s">
        <v>8958</v>
      </c>
      <c r="D2233" s="140" t="s">
        <v>6318</v>
      </c>
      <c r="E2233" s="140" t="s">
        <v>6323</v>
      </c>
      <c r="F2233" s="140" t="s">
        <v>8959</v>
      </c>
      <c r="G2233" s="141" t="s">
        <v>6401</v>
      </c>
      <c r="H2233" s="140" t="s">
        <v>6312</v>
      </c>
      <c r="I2233" s="140" t="s">
        <v>6313</v>
      </c>
      <c r="J2233" s="140" t="s">
        <v>6314</v>
      </c>
      <c r="K2233" s="140" t="s">
        <v>8954</v>
      </c>
    </row>
    <row r="2234">
      <c r="A2234" s="140" t="s">
        <v>8952</v>
      </c>
      <c r="B2234" s="143">
        <v>3.20107E12</v>
      </c>
      <c r="C2234" s="140" t="s">
        <v>8960</v>
      </c>
      <c r="D2234" s="140" t="s">
        <v>6318</v>
      </c>
      <c r="E2234" s="140" t="s">
        <v>6323</v>
      </c>
      <c r="F2234" s="140" t="s">
        <v>8961</v>
      </c>
      <c r="G2234" s="141" t="s">
        <v>6401</v>
      </c>
      <c r="H2234" s="140" t="s">
        <v>6312</v>
      </c>
      <c r="I2234" s="140" t="s">
        <v>6313</v>
      </c>
      <c r="J2234" s="140" t="s">
        <v>6314</v>
      </c>
      <c r="K2234" s="140" t="s">
        <v>8954</v>
      </c>
    </row>
    <row r="2235">
      <c r="A2235" s="140" t="s">
        <v>8952</v>
      </c>
      <c r="B2235" s="143">
        <v>3.10717E12</v>
      </c>
      <c r="C2235" s="140" t="s">
        <v>8962</v>
      </c>
      <c r="D2235" s="140" t="s">
        <v>7347</v>
      </c>
      <c r="E2235" s="140" t="s">
        <v>523</v>
      </c>
      <c r="F2235" s="140" t="s">
        <v>524</v>
      </c>
      <c r="G2235" s="141" t="s">
        <v>6401</v>
      </c>
      <c r="H2235" s="140" t="s">
        <v>6312</v>
      </c>
      <c r="I2235" s="140" t="s">
        <v>6313</v>
      </c>
      <c r="J2235" s="140" t="s">
        <v>6314</v>
      </c>
      <c r="K2235" s="140" t="s">
        <v>8954</v>
      </c>
    </row>
    <row r="2236">
      <c r="A2236" s="140" t="s">
        <v>8952</v>
      </c>
      <c r="B2236" s="143">
        <v>3.10846E12</v>
      </c>
      <c r="C2236" s="140" t="s">
        <v>8963</v>
      </c>
      <c r="D2236" s="140" t="s">
        <v>6318</v>
      </c>
      <c r="E2236" s="140" t="s">
        <v>6142</v>
      </c>
      <c r="F2236" s="140" t="s">
        <v>5760</v>
      </c>
      <c r="G2236" s="141" t="s">
        <v>6401</v>
      </c>
      <c r="H2236" s="140" t="s">
        <v>6312</v>
      </c>
      <c r="I2236" s="140" t="s">
        <v>6313</v>
      </c>
      <c r="J2236" s="140" t="s">
        <v>6314</v>
      </c>
      <c r="K2236" s="140" t="s">
        <v>8954</v>
      </c>
    </row>
    <row r="2237">
      <c r="A2237" s="140" t="s">
        <v>8952</v>
      </c>
      <c r="B2237" s="143">
        <v>3.21039E12</v>
      </c>
      <c r="C2237" s="140" t="s">
        <v>8964</v>
      </c>
      <c r="D2237" s="140" t="s">
        <v>6318</v>
      </c>
      <c r="E2237" s="140" t="s">
        <v>1225</v>
      </c>
      <c r="F2237" s="140" t="s">
        <v>6362</v>
      </c>
      <c r="G2237" s="141" t="s">
        <v>6401</v>
      </c>
      <c r="H2237" s="140" t="s">
        <v>6312</v>
      </c>
      <c r="I2237" s="140" t="s">
        <v>6313</v>
      </c>
      <c r="J2237" s="140" t="s">
        <v>6314</v>
      </c>
      <c r="K2237" s="140" t="s">
        <v>8954</v>
      </c>
    </row>
    <row r="2238">
      <c r="A2238" s="140" t="s">
        <v>8952</v>
      </c>
      <c r="B2238" s="143">
        <v>3.21461E12</v>
      </c>
      <c r="C2238" s="140" t="s">
        <v>8965</v>
      </c>
      <c r="D2238" s="140" t="s">
        <v>7347</v>
      </c>
      <c r="E2238" s="140" t="s">
        <v>8966</v>
      </c>
      <c r="F2238" s="140" t="s">
        <v>8966</v>
      </c>
      <c r="G2238" s="141" t="s">
        <v>6401</v>
      </c>
      <c r="H2238" s="140" t="s">
        <v>6312</v>
      </c>
      <c r="I2238" s="140" t="s">
        <v>6313</v>
      </c>
      <c r="J2238" s="140" t="s">
        <v>6314</v>
      </c>
      <c r="K2238" s="140" t="s">
        <v>8954</v>
      </c>
    </row>
    <row r="2239">
      <c r="A2239" s="140" t="s">
        <v>8952</v>
      </c>
      <c r="B2239" s="143">
        <v>3.10503E12</v>
      </c>
      <c r="C2239" s="140" t="s">
        <v>8967</v>
      </c>
      <c r="D2239" s="140" t="s">
        <v>6318</v>
      </c>
      <c r="E2239" s="140" t="s">
        <v>1323</v>
      </c>
      <c r="F2239" s="140" t="s">
        <v>1324</v>
      </c>
      <c r="G2239" s="141" t="s">
        <v>6401</v>
      </c>
      <c r="H2239" s="140" t="s">
        <v>6312</v>
      </c>
      <c r="I2239" s="140" t="s">
        <v>6313</v>
      </c>
      <c r="J2239" s="140" t="s">
        <v>6314</v>
      </c>
      <c r="K2239" s="140" t="s">
        <v>8954</v>
      </c>
    </row>
    <row r="2240">
      <c r="A2240" s="140" t="s">
        <v>8952</v>
      </c>
      <c r="B2240" s="143">
        <v>3.21276E12</v>
      </c>
      <c r="C2240" s="140" t="s">
        <v>8968</v>
      </c>
      <c r="D2240" s="140" t="s">
        <v>6318</v>
      </c>
      <c r="E2240" s="140" t="s">
        <v>1323</v>
      </c>
      <c r="F2240" s="140" t="s">
        <v>1324</v>
      </c>
      <c r="G2240" s="141" t="s">
        <v>6401</v>
      </c>
      <c r="H2240" s="140" t="s">
        <v>6312</v>
      </c>
      <c r="I2240" s="140" t="s">
        <v>6313</v>
      </c>
      <c r="J2240" s="140" t="s">
        <v>6314</v>
      </c>
      <c r="K2240" s="140" t="s">
        <v>8954</v>
      </c>
    </row>
    <row r="2241">
      <c r="A2241" s="140" t="s">
        <v>8952</v>
      </c>
      <c r="B2241" s="143">
        <v>3.11895E12</v>
      </c>
      <c r="C2241" s="140" t="s">
        <v>8969</v>
      </c>
      <c r="D2241" s="140" t="s">
        <v>6318</v>
      </c>
      <c r="E2241" s="140" t="s">
        <v>1323</v>
      </c>
      <c r="F2241" s="140" t="s">
        <v>1324</v>
      </c>
      <c r="G2241" s="141" t="s">
        <v>6401</v>
      </c>
      <c r="H2241" s="140" t="s">
        <v>6312</v>
      </c>
      <c r="I2241" s="140" t="s">
        <v>6313</v>
      </c>
      <c r="J2241" s="140" t="s">
        <v>6314</v>
      </c>
      <c r="K2241" s="140" t="s">
        <v>8954</v>
      </c>
    </row>
    <row r="2242">
      <c r="A2242" s="140" t="s">
        <v>8952</v>
      </c>
      <c r="B2242" s="143">
        <v>3.21151E12</v>
      </c>
      <c r="C2242" s="140" t="s">
        <v>8970</v>
      </c>
      <c r="D2242" s="140" t="s">
        <v>6318</v>
      </c>
      <c r="E2242" s="140" t="s">
        <v>1323</v>
      </c>
      <c r="F2242" s="140" t="s">
        <v>1324</v>
      </c>
      <c r="G2242" s="141" t="s">
        <v>6401</v>
      </c>
      <c r="H2242" s="140" t="s">
        <v>6312</v>
      </c>
      <c r="I2242" s="140" t="s">
        <v>6313</v>
      </c>
      <c r="J2242" s="140" t="s">
        <v>6314</v>
      </c>
      <c r="K2242" s="140" t="s">
        <v>8954</v>
      </c>
    </row>
    <row r="2243">
      <c r="A2243" s="140" t="s">
        <v>8952</v>
      </c>
      <c r="B2243" s="143">
        <v>3.09002E12</v>
      </c>
      <c r="C2243" s="140" t="s">
        <v>8971</v>
      </c>
      <c r="D2243" s="140" t="s">
        <v>6318</v>
      </c>
      <c r="E2243" s="140" t="s">
        <v>6550</v>
      </c>
      <c r="F2243" s="140" t="s">
        <v>7323</v>
      </c>
      <c r="G2243" s="141" t="s">
        <v>6401</v>
      </c>
      <c r="H2243" s="140" t="s">
        <v>6312</v>
      </c>
      <c r="I2243" s="140" t="s">
        <v>6313</v>
      </c>
      <c r="J2243" s="140" t="s">
        <v>6314</v>
      </c>
      <c r="K2243" s="140" t="s">
        <v>8954</v>
      </c>
    </row>
    <row r="2244">
      <c r="A2244" s="140" t="s">
        <v>8952</v>
      </c>
      <c r="B2244" s="143">
        <v>3.09002E12</v>
      </c>
      <c r="C2244" s="140" t="s">
        <v>8972</v>
      </c>
      <c r="D2244" s="140" t="s">
        <v>6318</v>
      </c>
      <c r="E2244" s="140" t="s">
        <v>6550</v>
      </c>
      <c r="F2244" s="140" t="s">
        <v>7323</v>
      </c>
      <c r="G2244" s="141" t="s">
        <v>6401</v>
      </c>
      <c r="H2244" s="140" t="s">
        <v>6312</v>
      </c>
      <c r="I2244" s="140" t="s">
        <v>6313</v>
      </c>
      <c r="J2244" s="140" t="s">
        <v>6314</v>
      </c>
      <c r="K2244" s="140" t="s">
        <v>8954</v>
      </c>
    </row>
    <row r="2245">
      <c r="A2245" s="140" t="s">
        <v>8952</v>
      </c>
      <c r="B2245" s="143">
        <v>3.09002E12</v>
      </c>
      <c r="C2245" s="140" t="s">
        <v>8973</v>
      </c>
      <c r="D2245" s="140" t="s">
        <v>6318</v>
      </c>
      <c r="E2245" s="140" t="s">
        <v>6550</v>
      </c>
      <c r="F2245" s="140" t="s">
        <v>7323</v>
      </c>
      <c r="G2245" s="141" t="s">
        <v>6401</v>
      </c>
      <c r="H2245" s="140" t="s">
        <v>6312</v>
      </c>
      <c r="I2245" s="140" t="s">
        <v>6313</v>
      </c>
      <c r="J2245" s="140" t="s">
        <v>6314</v>
      </c>
      <c r="K2245" s="140" t="s">
        <v>8954</v>
      </c>
    </row>
    <row r="2246">
      <c r="A2246" s="140" t="s">
        <v>8952</v>
      </c>
      <c r="B2246" s="143">
        <v>3.20543E12</v>
      </c>
      <c r="C2246" s="140" t="s">
        <v>8974</v>
      </c>
      <c r="D2246" s="140" t="s">
        <v>6318</v>
      </c>
      <c r="E2246" s="140" t="s">
        <v>1395</v>
      </c>
      <c r="F2246" s="140" t="s">
        <v>1396</v>
      </c>
      <c r="G2246" s="141" t="s">
        <v>6401</v>
      </c>
      <c r="H2246" s="140" t="s">
        <v>6312</v>
      </c>
      <c r="I2246" s="140" t="s">
        <v>6313</v>
      </c>
      <c r="J2246" s="140" t="s">
        <v>6314</v>
      </c>
      <c r="K2246" s="140" t="s">
        <v>8954</v>
      </c>
    </row>
    <row r="2247">
      <c r="A2247" s="140" t="s">
        <v>8952</v>
      </c>
      <c r="B2247" s="143">
        <v>3.21444E12</v>
      </c>
      <c r="C2247" s="140" t="s">
        <v>8975</v>
      </c>
      <c r="D2247" s="140" t="s">
        <v>6318</v>
      </c>
      <c r="E2247" s="140" t="s">
        <v>1395</v>
      </c>
      <c r="F2247" s="140" t="s">
        <v>1421</v>
      </c>
      <c r="G2247" s="141" t="s">
        <v>6401</v>
      </c>
      <c r="H2247" s="140" t="s">
        <v>6312</v>
      </c>
      <c r="I2247" s="140" t="s">
        <v>6313</v>
      </c>
      <c r="J2247" s="140" t="s">
        <v>6314</v>
      </c>
      <c r="K2247" s="140" t="s">
        <v>8954</v>
      </c>
    </row>
    <row r="2248">
      <c r="A2248" s="140" t="s">
        <v>8976</v>
      </c>
      <c r="B2248" s="140">
        <v>82448.0</v>
      </c>
      <c r="C2248" s="140" t="s">
        <v>8977</v>
      </c>
      <c r="D2248" s="140" t="s">
        <v>6309</v>
      </c>
      <c r="E2248" s="140" t="s">
        <v>6310</v>
      </c>
      <c r="F2248" s="140" t="s">
        <v>8978</v>
      </c>
      <c r="G2248" s="141" t="s">
        <v>6311</v>
      </c>
      <c r="H2248" s="140" t="s">
        <v>6312</v>
      </c>
      <c r="I2248" s="140" t="s">
        <v>6313</v>
      </c>
      <c r="J2248" s="140" t="s">
        <v>6314</v>
      </c>
      <c r="K2248" s="140" t="s">
        <v>8979</v>
      </c>
    </row>
    <row r="2249">
      <c r="A2249" s="140" t="s">
        <v>8976</v>
      </c>
      <c r="B2249" s="140">
        <v>82453.0</v>
      </c>
      <c r="C2249" s="140" t="s">
        <v>8980</v>
      </c>
      <c r="D2249" s="140" t="s">
        <v>6309</v>
      </c>
      <c r="E2249" s="140" t="s">
        <v>6310</v>
      </c>
      <c r="F2249" s="140" t="s">
        <v>8978</v>
      </c>
      <c r="G2249" s="141" t="s">
        <v>6311</v>
      </c>
      <c r="H2249" s="140" t="s">
        <v>6312</v>
      </c>
      <c r="I2249" s="140" t="s">
        <v>6313</v>
      </c>
      <c r="J2249" s="140" t="s">
        <v>6314</v>
      </c>
      <c r="K2249" s="140" t="s">
        <v>8979</v>
      </c>
    </row>
    <row r="2250">
      <c r="A2250" s="140" t="s">
        <v>8976</v>
      </c>
      <c r="B2250" s="140">
        <v>82460.0</v>
      </c>
      <c r="C2250" s="140" t="s">
        <v>8981</v>
      </c>
      <c r="D2250" s="140" t="s">
        <v>6309</v>
      </c>
      <c r="E2250" s="140" t="s">
        <v>6310</v>
      </c>
      <c r="F2250" s="140" t="s">
        <v>8978</v>
      </c>
      <c r="G2250" s="141" t="s">
        <v>6311</v>
      </c>
      <c r="H2250" s="140" t="s">
        <v>6312</v>
      </c>
      <c r="I2250" s="140" t="s">
        <v>6313</v>
      </c>
      <c r="J2250" s="140" t="s">
        <v>6314</v>
      </c>
      <c r="K2250" s="140" t="s">
        <v>8979</v>
      </c>
    </row>
    <row r="2251">
      <c r="A2251" s="140" t="s">
        <v>8976</v>
      </c>
      <c r="B2251" s="140">
        <v>82253.0</v>
      </c>
      <c r="C2251" s="140" t="s">
        <v>8982</v>
      </c>
      <c r="D2251" s="140" t="s">
        <v>6309</v>
      </c>
      <c r="E2251" s="140" t="s">
        <v>6310</v>
      </c>
      <c r="F2251" s="140" t="s">
        <v>8978</v>
      </c>
      <c r="G2251" s="141" t="s">
        <v>6311</v>
      </c>
      <c r="H2251" s="140" t="s">
        <v>6312</v>
      </c>
      <c r="I2251" s="140" t="s">
        <v>6313</v>
      </c>
      <c r="J2251" s="140" t="s">
        <v>6314</v>
      </c>
      <c r="K2251" s="140" t="s">
        <v>8979</v>
      </c>
    </row>
    <row r="2252">
      <c r="A2252" s="140" t="s">
        <v>8976</v>
      </c>
      <c r="B2252" s="140">
        <v>82150.0</v>
      </c>
      <c r="C2252" s="140" t="s">
        <v>8983</v>
      </c>
      <c r="D2252" s="140" t="s">
        <v>6309</v>
      </c>
      <c r="E2252" s="140" t="s">
        <v>6310</v>
      </c>
      <c r="F2252" s="140" t="s">
        <v>8978</v>
      </c>
      <c r="G2252" s="141" t="s">
        <v>6311</v>
      </c>
      <c r="H2252" s="140" t="s">
        <v>6312</v>
      </c>
      <c r="I2252" s="140" t="s">
        <v>6313</v>
      </c>
      <c r="J2252" s="140" t="s">
        <v>6314</v>
      </c>
      <c r="K2252" s="140" t="s">
        <v>8979</v>
      </c>
    </row>
    <row r="2253">
      <c r="A2253" s="140" t="s">
        <v>8976</v>
      </c>
      <c r="B2253" s="140">
        <v>82060.0</v>
      </c>
      <c r="C2253" s="140" t="s">
        <v>8984</v>
      </c>
      <c r="D2253" s="140" t="s">
        <v>6309</v>
      </c>
      <c r="E2253" s="140" t="s">
        <v>6310</v>
      </c>
      <c r="F2253" s="140" t="s">
        <v>8978</v>
      </c>
      <c r="G2253" s="141" t="s">
        <v>6311</v>
      </c>
      <c r="H2253" s="140" t="s">
        <v>6312</v>
      </c>
      <c r="I2253" s="140" t="s">
        <v>6313</v>
      </c>
      <c r="J2253" s="140" t="s">
        <v>6314</v>
      </c>
      <c r="K2253" s="140" t="s">
        <v>8979</v>
      </c>
    </row>
    <row r="2254">
      <c r="A2254" s="140" t="s">
        <v>8976</v>
      </c>
      <c r="B2254" s="140">
        <v>83406.0</v>
      </c>
      <c r="C2254" s="140" t="s">
        <v>8985</v>
      </c>
      <c r="D2254" s="140" t="s">
        <v>6309</v>
      </c>
      <c r="E2254" s="140" t="s">
        <v>6310</v>
      </c>
      <c r="F2254" s="140" t="s">
        <v>8978</v>
      </c>
      <c r="G2254" s="141" t="s">
        <v>6311</v>
      </c>
      <c r="H2254" s="140" t="s">
        <v>6312</v>
      </c>
      <c r="I2254" s="140" t="s">
        <v>6313</v>
      </c>
      <c r="J2254" s="140" t="s">
        <v>6314</v>
      </c>
      <c r="K2254" s="140" t="s">
        <v>8979</v>
      </c>
    </row>
    <row r="2255">
      <c r="A2255" s="140" t="s">
        <v>8976</v>
      </c>
      <c r="B2255" s="140">
        <v>83420.0</v>
      </c>
      <c r="C2255" s="140" t="s">
        <v>8986</v>
      </c>
      <c r="D2255" s="140" t="s">
        <v>6309</v>
      </c>
      <c r="E2255" s="140" t="s">
        <v>6310</v>
      </c>
      <c r="F2255" s="140" t="s">
        <v>8978</v>
      </c>
      <c r="G2255" s="141" t="s">
        <v>6311</v>
      </c>
      <c r="H2255" s="140" t="s">
        <v>6312</v>
      </c>
      <c r="I2255" s="140" t="s">
        <v>6313</v>
      </c>
      <c r="J2255" s="140" t="s">
        <v>6314</v>
      </c>
      <c r="K2255" s="140" t="s">
        <v>8979</v>
      </c>
    </row>
    <row r="2256">
      <c r="A2256" s="140" t="s">
        <v>8976</v>
      </c>
      <c r="B2256" s="140">
        <v>82489.0</v>
      </c>
      <c r="C2256" s="140" t="s">
        <v>8987</v>
      </c>
      <c r="D2256" s="140" t="s">
        <v>6309</v>
      </c>
      <c r="E2256" s="140" t="s">
        <v>6310</v>
      </c>
      <c r="F2256" s="140" t="s">
        <v>8978</v>
      </c>
      <c r="G2256" s="141" t="s">
        <v>6311</v>
      </c>
      <c r="H2256" s="140" t="s">
        <v>6312</v>
      </c>
      <c r="I2256" s="140" t="s">
        <v>6313</v>
      </c>
      <c r="J2256" s="140" t="s">
        <v>6314</v>
      </c>
      <c r="K2256" s="140" t="s">
        <v>8979</v>
      </c>
    </row>
    <row r="2257">
      <c r="A2257" s="140" t="s">
        <v>8976</v>
      </c>
      <c r="B2257" s="140">
        <v>80900.0</v>
      </c>
      <c r="C2257" s="140" t="s">
        <v>8988</v>
      </c>
      <c r="D2257" s="140" t="s">
        <v>6309</v>
      </c>
      <c r="E2257" s="140" t="s">
        <v>6310</v>
      </c>
      <c r="F2257" s="140" t="s">
        <v>8978</v>
      </c>
      <c r="G2257" s="141" t="s">
        <v>6311</v>
      </c>
      <c r="H2257" s="140" t="s">
        <v>6312</v>
      </c>
      <c r="I2257" s="140" t="s">
        <v>6313</v>
      </c>
      <c r="J2257" s="140" t="s">
        <v>6314</v>
      </c>
      <c r="K2257" s="140" t="s">
        <v>8979</v>
      </c>
    </row>
    <row r="2258">
      <c r="A2258" s="140" t="s">
        <v>8976</v>
      </c>
      <c r="B2258" s="140">
        <v>82030.0</v>
      </c>
      <c r="C2258" s="140" t="s">
        <v>8989</v>
      </c>
      <c r="D2258" s="140" t="s">
        <v>6309</v>
      </c>
      <c r="E2258" s="140" t="s">
        <v>6310</v>
      </c>
      <c r="F2258" s="140" t="s">
        <v>8978</v>
      </c>
      <c r="G2258" s="141" t="s">
        <v>6311</v>
      </c>
      <c r="H2258" s="140" t="s">
        <v>6312</v>
      </c>
      <c r="I2258" s="140" t="s">
        <v>6313</v>
      </c>
      <c r="J2258" s="140" t="s">
        <v>6314</v>
      </c>
      <c r="K2258" s="140" t="s">
        <v>8979</v>
      </c>
    </row>
    <row r="2259">
      <c r="A2259" s="140" t="s">
        <v>8990</v>
      </c>
      <c r="B2259" s="140">
        <v>34647.0</v>
      </c>
      <c r="C2259" s="140" t="s">
        <v>8991</v>
      </c>
      <c r="D2259" s="140" t="s">
        <v>6309</v>
      </c>
      <c r="E2259" s="140" t="s">
        <v>56</v>
      </c>
      <c r="F2259" s="140" t="s">
        <v>64</v>
      </c>
      <c r="G2259" s="141" t="s">
        <v>6311</v>
      </c>
      <c r="H2259" s="140" t="s">
        <v>6312</v>
      </c>
      <c r="I2259" s="140" t="s">
        <v>6313</v>
      </c>
      <c r="J2259" s="140" t="s">
        <v>6314</v>
      </c>
      <c r="K2259" s="140" t="s">
        <v>6315</v>
      </c>
    </row>
    <row r="2260">
      <c r="A2260" s="140" t="s">
        <v>8992</v>
      </c>
      <c r="B2260" s="140" t="s">
        <v>8993</v>
      </c>
      <c r="C2260" s="140" t="s">
        <v>8994</v>
      </c>
      <c r="D2260" s="140" t="s">
        <v>6309</v>
      </c>
      <c r="E2260" s="140">
        <v>0.0</v>
      </c>
      <c r="F2260" s="140" t="s">
        <v>8995</v>
      </c>
      <c r="G2260" s="141" t="s">
        <v>6401</v>
      </c>
      <c r="H2260" s="140" t="s">
        <v>6312</v>
      </c>
      <c r="I2260" s="140" t="s">
        <v>6313</v>
      </c>
      <c r="J2260" s="140" t="s">
        <v>6314</v>
      </c>
      <c r="K2260" s="140" t="s">
        <v>8996</v>
      </c>
    </row>
    <row r="2261">
      <c r="A2261" s="140" t="s">
        <v>8992</v>
      </c>
      <c r="B2261" s="140" t="s">
        <v>8997</v>
      </c>
      <c r="C2261" s="140" t="s">
        <v>8994</v>
      </c>
      <c r="D2261" s="140" t="s">
        <v>6309</v>
      </c>
      <c r="E2261" s="140">
        <v>0.0</v>
      </c>
      <c r="F2261" s="140" t="s">
        <v>8995</v>
      </c>
      <c r="G2261" s="141" t="s">
        <v>6401</v>
      </c>
      <c r="H2261" s="140" t="s">
        <v>6312</v>
      </c>
      <c r="I2261" s="140" t="s">
        <v>6313</v>
      </c>
      <c r="J2261" s="140" t="s">
        <v>6314</v>
      </c>
      <c r="K2261" s="140" t="s">
        <v>8996</v>
      </c>
    </row>
    <row r="2262">
      <c r="A2262" s="140" t="s">
        <v>8992</v>
      </c>
      <c r="B2262" s="140" t="s">
        <v>8998</v>
      </c>
      <c r="C2262" s="140" t="s">
        <v>8994</v>
      </c>
      <c r="D2262" s="140" t="s">
        <v>6309</v>
      </c>
      <c r="E2262" s="140">
        <v>0.0</v>
      </c>
      <c r="F2262" s="140" t="s">
        <v>8995</v>
      </c>
      <c r="G2262" s="141" t="s">
        <v>6401</v>
      </c>
      <c r="H2262" s="140" t="s">
        <v>6312</v>
      </c>
      <c r="I2262" s="140" t="s">
        <v>6313</v>
      </c>
      <c r="J2262" s="140" t="s">
        <v>6314</v>
      </c>
      <c r="K2262" s="140" t="s">
        <v>8996</v>
      </c>
    </row>
    <row r="2263">
      <c r="A2263" s="140" t="s">
        <v>8992</v>
      </c>
      <c r="B2263" s="140" t="s">
        <v>8999</v>
      </c>
      <c r="C2263" s="140" t="s">
        <v>9000</v>
      </c>
      <c r="D2263" s="140" t="s">
        <v>6309</v>
      </c>
      <c r="E2263" s="140">
        <v>0.0</v>
      </c>
      <c r="F2263" s="140" t="s">
        <v>8995</v>
      </c>
      <c r="G2263" s="141" t="s">
        <v>6401</v>
      </c>
      <c r="H2263" s="140" t="s">
        <v>6312</v>
      </c>
      <c r="I2263" s="140" t="s">
        <v>6313</v>
      </c>
      <c r="J2263" s="140" t="s">
        <v>6314</v>
      </c>
      <c r="K2263" s="140" t="s">
        <v>8996</v>
      </c>
    </row>
    <row r="2264">
      <c r="A2264" s="140" t="s">
        <v>8992</v>
      </c>
      <c r="B2264" s="140" t="s">
        <v>9001</v>
      </c>
      <c r="C2264" s="140" t="s">
        <v>9000</v>
      </c>
      <c r="D2264" s="140" t="s">
        <v>6309</v>
      </c>
      <c r="E2264" s="140">
        <v>0.0</v>
      </c>
      <c r="F2264" s="140" t="s">
        <v>8995</v>
      </c>
      <c r="G2264" s="141" t="s">
        <v>6401</v>
      </c>
      <c r="H2264" s="140" t="s">
        <v>6312</v>
      </c>
      <c r="I2264" s="140" t="s">
        <v>6313</v>
      </c>
      <c r="J2264" s="140" t="s">
        <v>6314</v>
      </c>
      <c r="K2264" s="140" t="s">
        <v>8996</v>
      </c>
    </row>
    <row r="2265">
      <c r="A2265" s="140" t="s">
        <v>8992</v>
      </c>
      <c r="B2265" s="140" t="s">
        <v>9002</v>
      </c>
      <c r="C2265" s="140" t="s">
        <v>9000</v>
      </c>
      <c r="D2265" s="140" t="s">
        <v>6309</v>
      </c>
      <c r="E2265" s="140">
        <v>0.0</v>
      </c>
      <c r="F2265" s="140" t="s">
        <v>8995</v>
      </c>
      <c r="G2265" s="141" t="s">
        <v>6401</v>
      </c>
      <c r="H2265" s="140" t="s">
        <v>6312</v>
      </c>
      <c r="I2265" s="140" t="s">
        <v>6313</v>
      </c>
      <c r="J2265" s="140" t="s">
        <v>6314</v>
      </c>
      <c r="K2265" s="140" t="s">
        <v>8996</v>
      </c>
    </row>
    <row r="2266">
      <c r="A2266" s="140" t="s">
        <v>8992</v>
      </c>
      <c r="B2266" s="140" t="s">
        <v>9003</v>
      </c>
      <c r="C2266" s="140" t="s">
        <v>9004</v>
      </c>
      <c r="D2266" s="140" t="s">
        <v>6309</v>
      </c>
      <c r="E2266" s="140" t="s">
        <v>56</v>
      </c>
      <c r="F2266" s="140" t="s">
        <v>57</v>
      </c>
      <c r="G2266" s="141" t="s">
        <v>6401</v>
      </c>
      <c r="H2266" s="140" t="s">
        <v>6312</v>
      </c>
      <c r="I2266" s="140" t="s">
        <v>6313</v>
      </c>
      <c r="J2266" s="140" t="s">
        <v>6314</v>
      </c>
      <c r="K2266" s="140" t="s">
        <v>8996</v>
      </c>
    </row>
    <row r="2267">
      <c r="A2267" s="140" t="s">
        <v>8992</v>
      </c>
      <c r="B2267" s="140" t="s">
        <v>9005</v>
      </c>
      <c r="C2267" s="140" t="s">
        <v>9006</v>
      </c>
      <c r="D2267" s="140" t="s">
        <v>6309</v>
      </c>
      <c r="E2267" s="140" t="s">
        <v>56</v>
      </c>
      <c r="F2267" s="140" t="s">
        <v>57</v>
      </c>
      <c r="G2267" s="141" t="s">
        <v>6401</v>
      </c>
      <c r="H2267" s="140" t="s">
        <v>6312</v>
      </c>
      <c r="I2267" s="140" t="s">
        <v>6313</v>
      </c>
      <c r="J2267" s="140" t="s">
        <v>6314</v>
      </c>
      <c r="K2267" s="140" t="s">
        <v>8996</v>
      </c>
    </row>
    <row r="2268">
      <c r="A2268" s="140" t="s">
        <v>8992</v>
      </c>
      <c r="B2268" s="140" t="s">
        <v>9007</v>
      </c>
      <c r="C2268" s="140" t="s">
        <v>9008</v>
      </c>
      <c r="D2268" s="140" t="s">
        <v>6309</v>
      </c>
      <c r="E2268" s="140" t="s">
        <v>56</v>
      </c>
      <c r="F2268" s="140" t="s">
        <v>57</v>
      </c>
      <c r="G2268" s="141" t="s">
        <v>6401</v>
      </c>
      <c r="H2268" s="140" t="s">
        <v>6312</v>
      </c>
      <c r="I2268" s="140" t="s">
        <v>6313</v>
      </c>
      <c r="J2268" s="140" t="s">
        <v>6314</v>
      </c>
      <c r="K2268" s="140" t="s">
        <v>8996</v>
      </c>
    </row>
    <row r="2269">
      <c r="A2269" s="140" t="s">
        <v>8992</v>
      </c>
      <c r="B2269" s="140" t="s">
        <v>9009</v>
      </c>
      <c r="C2269" s="140" t="s">
        <v>9010</v>
      </c>
      <c r="D2269" s="140" t="s">
        <v>6309</v>
      </c>
      <c r="E2269" s="140" t="s">
        <v>56</v>
      </c>
      <c r="F2269" s="140" t="s">
        <v>57</v>
      </c>
      <c r="G2269" s="141" t="s">
        <v>6401</v>
      </c>
      <c r="H2269" s="140" t="s">
        <v>6312</v>
      </c>
      <c r="I2269" s="140" t="s">
        <v>6313</v>
      </c>
      <c r="J2269" s="140" t="s">
        <v>6314</v>
      </c>
      <c r="K2269" s="140" t="s">
        <v>8996</v>
      </c>
    </row>
    <row r="2270">
      <c r="A2270" s="140" t="s">
        <v>8992</v>
      </c>
      <c r="B2270" s="140" t="s">
        <v>9011</v>
      </c>
      <c r="C2270" s="140" t="s">
        <v>9012</v>
      </c>
      <c r="D2270" s="140" t="s">
        <v>6309</v>
      </c>
      <c r="E2270" s="140" t="s">
        <v>56</v>
      </c>
      <c r="F2270" s="140" t="s">
        <v>57</v>
      </c>
      <c r="G2270" s="141" t="s">
        <v>6401</v>
      </c>
      <c r="H2270" s="140" t="s">
        <v>6312</v>
      </c>
      <c r="I2270" s="140" t="s">
        <v>6313</v>
      </c>
      <c r="J2270" s="140" t="s">
        <v>6314</v>
      </c>
      <c r="K2270" s="140" t="s">
        <v>8996</v>
      </c>
    </row>
    <row r="2271">
      <c r="A2271" s="140" t="s">
        <v>8992</v>
      </c>
      <c r="B2271" s="140" t="s">
        <v>9013</v>
      </c>
      <c r="C2271" s="140" t="s">
        <v>9014</v>
      </c>
      <c r="D2271" s="140" t="s">
        <v>6309</v>
      </c>
      <c r="E2271" s="140" t="s">
        <v>56</v>
      </c>
      <c r="F2271" s="140" t="s">
        <v>57</v>
      </c>
      <c r="G2271" s="141" t="s">
        <v>6401</v>
      </c>
      <c r="H2271" s="140" t="s">
        <v>6312</v>
      </c>
      <c r="I2271" s="140" t="s">
        <v>6313</v>
      </c>
      <c r="J2271" s="140" t="s">
        <v>6314</v>
      </c>
      <c r="K2271" s="140" t="s">
        <v>8996</v>
      </c>
    </row>
    <row r="2272">
      <c r="A2272" s="140" t="s">
        <v>8992</v>
      </c>
      <c r="B2272" s="140" t="s">
        <v>9015</v>
      </c>
      <c r="C2272" s="140" t="s">
        <v>9016</v>
      </c>
      <c r="D2272" s="140" t="s">
        <v>6309</v>
      </c>
      <c r="E2272" s="140" t="s">
        <v>56</v>
      </c>
      <c r="F2272" s="140" t="s">
        <v>57</v>
      </c>
      <c r="G2272" s="141" t="s">
        <v>6401</v>
      </c>
      <c r="H2272" s="140" t="s">
        <v>6312</v>
      </c>
      <c r="I2272" s="140" t="s">
        <v>6313</v>
      </c>
      <c r="J2272" s="140" t="s">
        <v>6314</v>
      </c>
      <c r="K2272" s="140" t="s">
        <v>8996</v>
      </c>
    </row>
    <row r="2273">
      <c r="A2273" s="140" t="s">
        <v>8992</v>
      </c>
      <c r="B2273" s="140" t="s">
        <v>9017</v>
      </c>
      <c r="C2273" s="140" t="s">
        <v>9018</v>
      </c>
      <c r="D2273" s="140" t="s">
        <v>6309</v>
      </c>
      <c r="E2273" s="140" t="s">
        <v>56</v>
      </c>
      <c r="F2273" s="140" t="s">
        <v>9019</v>
      </c>
      <c r="G2273" s="141" t="s">
        <v>6401</v>
      </c>
      <c r="H2273" s="140" t="s">
        <v>6312</v>
      </c>
      <c r="I2273" s="140" t="s">
        <v>6313</v>
      </c>
      <c r="J2273" s="140" t="s">
        <v>6314</v>
      </c>
      <c r="K2273" s="140" t="s">
        <v>8996</v>
      </c>
    </row>
    <row r="2274">
      <c r="A2274" s="140" t="s">
        <v>8992</v>
      </c>
      <c r="B2274" s="140" t="s">
        <v>9020</v>
      </c>
      <c r="C2274" s="140" t="s">
        <v>9021</v>
      </c>
      <c r="D2274" s="140" t="s">
        <v>6309</v>
      </c>
      <c r="E2274" s="140" t="s">
        <v>56</v>
      </c>
      <c r="F2274" s="140" t="s">
        <v>9019</v>
      </c>
      <c r="G2274" s="141" t="s">
        <v>6401</v>
      </c>
      <c r="H2274" s="140" t="s">
        <v>6312</v>
      </c>
      <c r="I2274" s="140" t="s">
        <v>6313</v>
      </c>
      <c r="J2274" s="140" t="s">
        <v>6314</v>
      </c>
      <c r="K2274" s="140" t="s">
        <v>8996</v>
      </c>
    </row>
    <row r="2275">
      <c r="A2275" s="140" t="s">
        <v>8992</v>
      </c>
      <c r="B2275" s="140" t="s">
        <v>9022</v>
      </c>
      <c r="C2275" s="140" t="s">
        <v>9023</v>
      </c>
      <c r="D2275" s="140" t="s">
        <v>6309</v>
      </c>
      <c r="E2275" s="140" t="s">
        <v>56</v>
      </c>
      <c r="F2275" s="140" t="s">
        <v>9019</v>
      </c>
      <c r="G2275" s="141" t="s">
        <v>6401</v>
      </c>
      <c r="H2275" s="140" t="s">
        <v>6312</v>
      </c>
      <c r="I2275" s="140" t="s">
        <v>6313</v>
      </c>
      <c r="J2275" s="140" t="s">
        <v>6314</v>
      </c>
      <c r="K2275" s="140" t="s">
        <v>8996</v>
      </c>
    </row>
    <row r="2276">
      <c r="A2276" s="140" t="s">
        <v>8992</v>
      </c>
      <c r="B2276" s="140" t="s">
        <v>9024</v>
      </c>
      <c r="C2276" s="140" t="s">
        <v>9025</v>
      </c>
      <c r="D2276" s="140" t="s">
        <v>6309</v>
      </c>
      <c r="E2276" s="140" t="s">
        <v>56</v>
      </c>
      <c r="F2276" s="140" t="s">
        <v>9019</v>
      </c>
      <c r="G2276" s="141" t="s">
        <v>6401</v>
      </c>
      <c r="H2276" s="140" t="s">
        <v>6312</v>
      </c>
      <c r="I2276" s="140" t="s">
        <v>6313</v>
      </c>
      <c r="J2276" s="140" t="s">
        <v>6314</v>
      </c>
      <c r="K2276" s="140" t="s">
        <v>8996</v>
      </c>
    </row>
    <row r="2277">
      <c r="A2277" s="140" t="s">
        <v>8992</v>
      </c>
      <c r="B2277" s="140" t="s">
        <v>9026</v>
      </c>
      <c r="C2277" s="140" t="s">
        <v>9027</v>
      </c>
      <c r="D2277" s="140" t="s">
        <v>6309</v>
      </c>
      <c r="E2277" s="140" t="s">
        <v>56</v>
      </c>
      <c r="F2277" s="140" t="s">
        <v>9019</v>
      </c>
      <c r="G2277" s="141" t="s">
        <v>6401</v>
      </c>
      <c r="H2277" s="140" t="s">
        <v>6312</v>
      </c>
      <c r="I2277" s="140" t="s">
        <v>6313</v>
      </c>
      <c r="J2277" s="140" t="s">
        <v>6314</v>
      </c>
      <c r="K2277" s="140" t="s">
        <v>8996</v>
      </c>
    </row>
    <row r="2278">
      <c r="A2278" s="140" t="s">
        <v>8992</v>
      </c>
      <c r="B2278" s="140" t="s">
        <v>9028</v>
      </c>
      <c r="C2278" s="140" t="s">
        <v>9029</v>
      </c>
      <c r="D2278" s="140" t="s">
        <v>6309</v>
      </c>
      <c r="E2278" s="140" t="s">
        <v>56</v>
      </c>
      <c r="F2278" s="140" t="s">
        <v>9019</v>
      </c>
      <c r="G2278" s="141" t="s">
        <v>6401</v>
      </c>
      <c r="H2278" s="140" t="s">
        <v>6312</v>
      </c>
      <c r="I2278" s="140" t="s">
        <v>6313</v>
      </c>
      <c r="J2278" s="140" t="s">
        <v>6314</v>
      </c>
      <c r="K2278" s="140" t="s">
        <v>8996</v>
      </c>
    </row>
    <row r="2279">
      <c r="A2279" s="140" t="s">
        <v>8992</v>
      </c>
      <c r="B2279" s="140" t="s">
        <v>9030</v>
      </c>
      <c r="C2279" s="140" t="s">
        <v>9031</v>
      </c>
      <c r="D2279" s="140" t="s">
        <v>6309</v>
      </c>
      <c r="E2279" s="140" t="s">
        <v>56</v>
      </c>
      <c r="F2279" s="140" t="s">
        <v>9019</v>
      </c>
      <c r="G2279" s="141" t="s">
        <v>6401</v>
      </c>
      <c r="H2279" s="140" t="s">
        <v>6312</v>
      </c>
      <c r="I2279" s="140" t="s">
        <v>6313</v>
      </c>
      <c r="J2279" s="140" t="s">
        <v>6314</v>
      </c>
      <c r="K2279" s="140" t="s">
        <v>8996</v>
      </c>
    </row>
    <row r="2280">
      <c r="A2280" s="140" t="s">
        <v>8992</v>
      </c>
      <c r="B2280" s="140" t="s">
        <v>9032</v>
      </c>
      <c r="C2280" s="140" t="s">
        <v>9033</v>
      </c>
      <c r="D2280" s="140" t="s">
        <v>6309</v>
      </c>
      <c r="E2280" s="140" t="s">
        <v>56</v>
      </c>
      <c r="F2280" s="140" t="s">
        <v>9019</v>
      </c>
      <c r="G2280" s="141" t="s">
        <v>6401</v>
      </c>
      <c r="H2280" s="140" t="s">
        <v>6312</v>
      </c>
      <c r="I2280" s="140" t="s">
        <v>6313</v>
      </c>
      <c r="J2280" s="140" t="s">
        <v>6314</v>
      </c>
      <c r="K2280" s="140" t="s">
        <v>8996</v>
      </c>
    </row>
    <row r="2281">
      <c r="A2281" s="140" t="s">
        <v>8992</v>
      </c>
      <c r="B2281" s="140" t="s">
        <v>9034</v>
      </c>
      <c r="C2281" s="140" t="s">
        <v>9035</v>
      </c>
      <c r="D2281" s="140" t="s">
        <v>6309</v>
      </c>
      <c r="E2281" s="140" t="s">
        <v>56</v>
      </c>
      <c r="F2281" s="140" t="s">
        <v>9019</v>
      </c>
      <c r="G2281" s="141" t="s">
        <v>6401</v>
      </c>
      <c r="H2281" s="140" t="s">
        <v>6312</v>
      </c>
      <c r="I2281" s="140" t="s">
        <v>6313</v>
      </c>
      <c r="J2281" s="140" t="s">
        <v>6314</v>
      </c>
      <c r="K2281" s="140" t="s">
        <v>8996</v>
      </c>
    </row>
    <row r="2282">
      <c r="A2282" s="140" t="s">
        <v>8992</v>
      </c>
      <c r="B2282" s="143">
        <v>9.45337E12</v>
      </c>
      <c r="C2282" s="140" t="s">
        <v>9035</v>
      </c>
      <c r="D2282" s="140" t="s">
        <v>6309</v>
      </c>
      <c r="E2282" s="140" t="s">
        <v>56</v>
      </c>
      <c r="F2282" s="140" t="s">
        <v>9019</v>
      </c>
      <c r="G2282" s="141" t="s">
        <v>6401</v>
      </c>
      <c r="H2282" s="147" t="s">
        <v>6312</v>
      </c>
      <c r="I2282" s="140" t="s">
        <v>6313</v>
      </c>
      <c r="J2282" s="140" t="s">
        <v>6314</v>
      </c>
      <c r="K2282" s="140" t="s">
        <v>8996</v>
      </c>
    </row>
    <row r="2283">
      <c r="A2283" s="140" t="s">
        <v>8992</v>
      </c>
      <c r="B2283" s="140" t="s">
        <v>9036</v>
      </c>
      <c r="C2283" s="140" t="s">
        <v>9037</v>
      </c>
      <c r="D2283" s="140" t="s">
        <v>6309</v>
      </c>
      <c r="E2283" s="140" t="s">
        <v>56</v>
      </c>
      <c r="F2283" s="140" t="s">
        <v>9019</v>
      </c>
      <c r="G2283" s="141" t="s">
        <v>6401</v>
      </c>
      <c r="H2283" s="140" t="s">
        <v>6312</v>
      </c>
      <c r="I2283" s="140" t="s">
        <v>6313</v>
      </c>
      <c r="J2283" s="140" t="s">
        <v>6314</v>
      </c>
      <c r="K2283" s="140" t="s">
        <v>8996</v>
      </c>
    </row>
    <row r="2284">
      <c r="A2284" s="140" t="s">
        <v>8992</v>
      </c>
      <c r="B2284" s="140" t="s">
        <v>9038</v>
      </c>
      <c r="C2284" s="140" t="s">
        <v>9039</v>
      </c>
      <c r="D2284" s="140" t="s">
        <v>6309</v>
      </c>
      <c r="E2284" s="140" t="s">
        <v>56</v>
      </c>
      <c r="F2284" s="140" t="s">
        <v>9019</v>
      </c>
      <c r="G2284" s="141" t="s">
        <v>6401</v>
      </c>
      <c r="H2284" s="140" t="s">
        <v>6312</v>
      </c>
      <c r="I2284" s="140" t="s">
        <v>6313</v>
      </c>
      <c r="J2284" s="140" t="s">
        <v>6314</v>
      </c>
      <c r="K2284" s="140" t="s">
        <v>8996</v>
      </c>
    </row>
    <row r="2285">
      <c r="A2285" s="140" t="s">
        <v>8992</v>
      </c>
      <c r="B2285" s="140" t="s">
        <v>9040</v>
      </c>
      <c r="C2285" s="140" t="s">
        <v>9039</v>
      </c>
      <c r="D2285" s="140" t="s">
        <v>6309</v>
      </c>
      <c r="E2285" s="140" t="s">
        <v>56</v>
      </c>
      <c r="F2285" s="140" t="s">
        <v>9019</v>
      </c>
      <c r="G2285" s="141" t="s">
        <v>6401</v>
      </c>
      <c r="H2285" s="140" t="s">
        <v>6312</v>
      </c>
      <c r="I2285" s="140" t="s">
        <v>6313</v>
      </c>
      <c r="J2285" s="140" t="s">
        <v>6314</v>
      </c>
      <c r="K2285" s="140" t="s">
        <v>8996</v>
      </c>
    </row>
    <row r="2286">
      <c r="A2286" s="140" t="s">
        <v>8992</v>
      </c>
      <c r="B2286" s="140" t="s">
        <v>9041</v>
      </c>
      <c r="C2286" s="140" t="s">
        <v>9039</v>
      </c>
      <c r="D2286" s="140" t="s">
        <v>6309</v>
      </c>
      <c r="E2286" s="140" t="s">
        <v>56</v>
      </c>
      <c r="F2286" s="140" t="s">
        <v>9019</v>
      </c>
      <c r="G2286" s="141" t="s">
        <v>6401</v>
      </c>
      <c r="H2286" s="140" t="s">
        <v>6312</v>
      </c>
      <c r="I2286" s="140" t="s">
        <v>6313</v>
      </c>
      <c r="J2286" s="140" t="s">
        <v>6314</v>
      </c>
      <c r="K2286" s="140" t="s">
        <v>8996</v>
      </c>
    </row>
    <row r="2287">
      <c r="A2287" s="140" t="s">
        <v>8992</v>
      </c>
      <c r="B2287" s="140" t="s">
        <v>9042</v>
      </c>
      <c r="C2287" s="140" t="s">
        <v>9043</v>
      </c>
      <c r="D2287" s="140" t="s">
        <v>6309</v>
      </c>
      <c r="E2287" s="140" t="s">
        <v>56</v>
      </c>
      <c r="F2287" s="140" t="s">
        <v>9019</v>
      </c>
      <c r="G2287" s="141" t="s">
        <v>6401</v>
      </c>
      <c r="H2287" s="140" t="s">
        <v>6312</v>
      </c>
      <c r="I2287" s="140" t="s">
        <v>6313</v>
      </c>
      <c r="J2287" s="140" t="s">
        <v>6314</v>
      </c>
      <c r="K2287" s="140" t="s">
        <v>8996</v>
      </c>
    </row>
    <row r="2288">
      <c r="A2288" s="140" t="s">
        <v>8992</v>
      </c>
      <c r="B2288" s="140" t="s">
        <v>9044</v>
      </c>
      <c r="C2288" s="140" t="s">
        <v>9045</v>
      </c>
      <c r="D2288" s="140" t="s">
        <v>6309</v>
      </c>
      <c r="E2288" s="140" t="s">
        <v>56</v>
      </c>
      <c r="F2288" s="140" t="s">
        <v>9019</v>
      </c>
      <c r="G2288" s="141" t="s">
        <v>6401</v>
      </c>
      <c r="H2288" s="140" t="s">
        <v>6312</v>
      </c>
      <c r="I2288" s="140" t="s">
        <v>6313</v>
      </c>
      <c r="J2288" s="140" t="s">
        <v>6314</v>
      </c>
      <c r="K2288" s="140" t="s">
        <v>8996</v>
      </c>
    </row>
    <row r="2289">
      <c r="A2289" s="140" t="s">
        <v>8992</v>
      </c>
      <c r="B2289" s="140" t="s">
        <v>9046</v>
      </c>
      <c r="C2289" s="140" t="s">
        <v>9047</v>
      </c>
      <c r="D2289" s="140" t="s">
        <v>6309</v>
      </c>
      <c r="E2289" s="140" t="s">
        <v>56</v>
      </c>
      <c r="F2289" s="140" t="s">
        <v>9019</v>
      </c>
      <c r="G2289" s="141" t="s">
        <v>6401</v>
      </c>
      <c r="H2289" s="140" t="s">
        <v>6312</v>
      </c>
      <c r="I2289" s="140" t="s">
        <v>6313</v>
      </c>
      <c r="J2289" s="140" t="s">
        <v>6314</v>
      </c>
      <c r="K2289" s="140" t="s">
        <v>8996</v>
      </c>
    </row>
    <row r="2290">
      <c r="A2290" s="140" t="s">
        <v>8992</v>
      </c>
      <c r="B2290" s="140" t="s">
        <v>9048</v>
      </c>
      <c r="C2290" s="140" t="s">
        <v>9049</v>
      </c>
      <c r="D2290" s="140" t="s">
        <v>6309</v>
      </c>
      <c r="E2290" s="140" t="s">
        <v>56</v>
      </c>
      <c r="F2290" s="140" t="s">
        <v>9019</v>
      </c>
      <c r="G2290" s="141" t="s">
        <v>6401</v>
      </c>
      <c r="H2290" s="140" t="s">
        <v>6312</v>
      </c>
      <c r="I2290" s="140" t="s">
        <v>6313</v>
      </c>
      <c r="J2290" s="140" t="s">
        <v>6314</v>
      </c>
      <c r="K2290" s="140" t="s">
        <v>8996</v>
      </c>
    </row>
    <row r="2291">
      <c r="A2291" s="140" t="s">
        <v>9050</v>
      </c>
      <c r="B2291" s="140" t="s">
        <v>3117</v>
      </c>
      <c r="C2291" s="140" t="s">
        <v>9051</v>
      </c>
      <c r="D2291" s="140" t="s">
        <v>6740</v>
      </c>
      <c r="E2291" s="140" t="s">
        <v>6741</v>
      </c>
      <c r="F2291" s="140" t="s">
        <v>9052</v>
      </c>
      <c r="G2291" s="141" t="s">
        <v>6668</v>
      </c>
      <c r="H2291" s="140" t="s">
        <v>6330</v>
      </c>
      <c r="I2291" s="140" t="s">
        <v>6313</v>
      </c>
      <c r="J2291" s="140" t="s">
        <v>6314</v>
      </c>
      <c r="K2291" s="140" t="s">
        <v>9050</v>
      </c>
    </row>
    <row r="2292">
      <c r="A2292" s="140" t="s">
        <v>9050</v>
      </c>
      <c r="B2292" s="140" t="s">
        <v>3115</v>
      </c>
      <c r="C2292" s="140" t="s">
        <v>9053</v>
      </c>
      <c r="D2292" s="140" t="s">
        <v>6740</v>
      </c>
      <c r="E2292" s="140" t="s">
        <v>6741</v>
      </c>
      <c r="F2292" s="140" t="s">
        <v>9052</v>
      </c>
      <c r="G2292" s="141" t="s">
        <v>6668</v>
      </c>
      <c r="H2292" s="140" t="s">
        <v>6330</v>
      </c>
      <c r="I2292" s="140" t="s">
        <v>6313</v>
      </c>
      <c r="J2292" s="140" t="s">
        <v>6314</v>
      </c>
      <c r="K2292" s="140" t="s">
        <v>9050</v>
      </c>
    </row>
    <row r="2293">
      <c r="A2293" s="140" t="s">
        <v>9050</v>
      </c>
      <c r="B2293" s="140" t="s">
        <v>5633</v>
      </c>
      <c r="C2293" s="140" t="s">
        <v>9054</v>
      </c>
      <c r="D2293" s="140" t="s">
        <v>6740</v>
      </c>
      <c r="E2293" s="140" t="s">
        <v>6741</v>
      </c>
      <c r="F2293" s="140" t="s">
        <v>9052</v>
      </c>
      <c r="G2293" s="141" t="s">
        <v>6668</v>
      </c>
      <c r="H2293" s="140" t="s">
        <v>6330</v>
      </c>
      <c r="I2293" s="140" t="s">
        <v>6313</v>
      </c>
      <c r="J2293" s="140" t="s">
        <v>6314</v>
      </c>
      <c r="K2293" s="140" t="s">
        <v>9050</v>
      </c>
    </row>
    <row r="2294">
      <c r="A2294" s="140" t="s">
        <v>9050</v>
      </c>
      <c r="B2294" s="140" t="s">
        <v>2883</v>
      </c>
      <c r="C2294" s="140" t="s">
        <v>9055</v>
      </c>
      <c r="D2294" s="140" t="s">
        <v>6740</v>
      </c>
      <c r="E2294" s="140" t="s">
        <v>6741</v>
      </c>
      <c r="F2294" s="140" t="s">
        <v>9052</v>
      </c>
      <c r="G2294" s="141" t="s">
        <v>6668</v>
      </c>
      <c r="H2294" s="140" t="s">
        <v>6330</v>
      </c>
      <c r="I2294" s="140" t="s">
        <v>6313</v>
      </c>
      <c r="J2294" s="140" t="s">
        <v>6314</v>
      </c>
      <c r="K2294" s="140" t="s">
        <v>9050</v>
      </c>
    </row>
    <row r="2295">
      <c r="A2295" s="140" t="s">
        <v>9056</v>
      </c>
      <c r="B2295" s="140">
        <v>3522.0</v>
      </c>
      <c r="C2295" s="140" t="s">
        <v>9057</v>
      </c>
      <c r="D2295" s="140" t="s">
        <v>6309</v>
      </c>
      <c r="E2295" s="140" t="s">
        <v>47</v>
      </c>
      <c r="F2295" s="140" t="s">
        <v>7376</v>
      </c>
      <c r="G2295" s="141" t="s">
        <v>6401</v>
      </c>
      <c r="H2295" s="140" t="s">
        <v>6312</v>
      </c>
      <c r="I2295" s="140" t="s">
        <v>6313</v>
      </c>
      <c r="J2295" s="140" t="s">
        <v>6314</v>
      </c>
      <c r="K2295" s="140" t="s">
        <v>6402</v>
      </c>
    </row>
    <row r="2296">
      <c r="A2296" s="140" t="s">
        <v>9056</v>
      </c>
      <c r="B2296" s="140">
        <v>3539.0</v>
      </c>
      <c r="C2296" s="140" t="s">
        <v>9058</v>
      </c>
      <c r="D2296" s="140" t="s">
        <v>6309</v>
      </c>
      <c r="E2296" s="140" t="s">
        <v>47</v>
      </c>
      <c r="F2296" s="140" t="s">
        <v>7376</v>
      </c>
      <c r="G2296" s="141" t="s">
        <v>6401</v>
      </c>
      <c r="H2296" s="140" t="s">
        <v>6312</v>
      </c>
      <c r="I2296" s="140" t="s">
        <v>6313</v>
      </c>
      <c r="J2296" s="140" t="s">
        <v>6314</v>
      </c>
      <c r="K2296" s="140" t="s">
        <v>6402</v>
      </c>
    </row>
    <row r="2297">
      <c r="A2297" s="140" t="s">
        <v>9056</v>
      </c>
      <c r="B2297" s="140">
        <v>3492.0</v>
      </c>
      <c r="C2297" s="140" t="s">
        <v>9059</v>
      </c>
      <c r="D2297" s="140" t="s">
        <v>6309</v>
      </c>
      <c r="E2297" s="140" t="s">
        <v>47</v>
      </c>
      <c r="F2297" s="140" t="s">
        <v>7376</v>
      </c>
      <c r="G2297" s="141" t="s">
        <v>6401</v>
      </c>
      <c r="H2297" s="140" t="s">
        <v>6312</v>
      </c>
      <c r="I2297" s="140" t="s">
        <v>6313</v>
      </c>
      <c r="J2297" s="140" t="s">
        <v>6314</v>
      </c>
      <c r="K2297" s="140" t="s">
        <v>6402</v>
      </c>
    </row>
    <row r="2298">
      <c r="A2298" s="140" t="s">
        <v>9056</v>
      </c>
      <c r="B2298" s="140">
        <v>3478.0</v>
      </c>
      <c r="C2298" s="140" t="s">
        <v>9060</v>
      </c>
      <c r="D2298" s="140" t="s">
        <v>6309</v>
      </c>
      <c r="E2298" s="140" t="s">
        <v>47</v>
      </c>
      <c r="F2298" s="140" t="s">
        <v>7376</v>
      </c>
      <c r="G2298" s="141" t="s">
        <v>6401</v>
      </c>
      <c r="H2298" s="140" t="s">
        <v>6312</v>
      </c>
      <c r="I2298" s="140" t="s">
        <v>6313</v>
      </c>
      <c r="J2298" s="140" t="s">
        <v>6314</v>
      </c>
      <c r="K2298" s="140" t="s">
        <v>6402</v>
      </c>
    </row>
    <row r="2299">
      <c r="A2299" s="140" t="s">
        <v>9056</v>
      </c>
      <c r="B2299" s="140">
        <v>3461.0</v>
      </c>
      <c r="C2299" s="140" t="s">
        <v>9061</v>
      </c>
      <c r="D2299" s="140" t="s">
        <v>6309</v>
      </c>
      <c r="E2299" s="140" t="s">
        <v>47</v>
      </c>
      <c r="F2299" s="140" t="s">
        <v>7376</v>
      </c>
      <c r="G2299" s="141" t="s">
        <v>6401</v>
      </c>
      <c r="H2299" s="140" t="s">
        <v>6312</v>
      </c>
      <c r="I2299" s="140" t="s">
        <v>6313</v>
      </c>
      <c r="J2299" s="140" t="s">
        <v>6314</v>
      </c>
      <c r="K2299" s="140" t="s">
        <v>6402</v>
      </c>
    </row>
    <row r="2300">
      <c r="A2300" s="140" t="s">
        <v>9062</v>
      </c>
      <c r="B2300" s="140">
        <v>940515.0</v>
      </c>
      <c r="C2300" s="140" t="s">
        <v>9063</v>
      </c>
      <c r="D2300" s="140" t="s">
        <v>9064</v>
      </c>
      <c r="E2300" s="140" t="s">
        <v>513</v>
      </c>
      <c r="F2300" s="140" t="s">
        <v>9065</v>
      </c>
      <c r="G2300" s="141" t="s">
        <v>6401</v>
      </c>
      <c r="H2300" s="140" t="s">
        <v>6330</v>
      </c>
      <c r="I2300" s="140" t="s">
        <v>6313</v>
      </c>
      <c r="J2300" s="140" t="s">
        <v>6314</v>
      </c>
      <c r="K2300" s="140" t="s">
        <v>9062</v>
      </c>
    </row>
    <row r="2301">
      <c r="A2301" s="140" t="s">
        <v>9062</v>
      </c>
      <c r="B2301" s="140">
        <v>940507.0</v>
      </c>
      <c r="C2301" s="140" t="s">
        <v>9066</v>
      </c>
      <c r="D2301" s="140" t="s">
        <v>9064</v>
      </c>
      <c r="E2301" s="140" t="s">
        <v>513</v>
      </c>
      <c r="F2301" s="140" t="s">
        <v>9065</v>
      </c>
      <c r="G2301" s="141" t="s">
        <v>6401</v>
      </c>
      <c r="H2301" s="140" t="s">
        <v>6330</v>
      </c>
      <c r="I2301" s="140" t="s">
        <v>6313</v>
      </c>
      <c r="J2301" s="140" t="s">
        <v>6314</v>
      </c>
      <c r="K2301" s="140" t="s">
        <v>9062</v>
      </c>
    </row>
    <row r="2302">
      <c r="A2302" s="140" t="s">
        <v>9067</v>
      </c>
      <c r="B2302" s="140" t="s">
        <v>9068</v>
      </c>
      <c r="C2302" s="140" t="s">
        <v>9069</v>
      </c>
      <c r="D2302" s="140" t="s">
        <v>7347</v>
      </c>
      <c r="E2302" s="140">
        <v>0.0</v>
      </c>
      <c r="F2302" s="140" t="s">
        <v>7348</v>
      </c>
      <c r="G2302" s="141" t="s">
        <v>6401</v>
      </c>
      <c r="H2302" s="140" t="s">
        <v>6312</v>
      </c>
      <c r="I2302" s="140" t="s">
        <v>6313</v>
      </c>
      <c r="J2302" s="140" t="s">
        <v>6314</v>
      </c>
      <c r="K2302" s="140" t="s">
        <v>9070</v>
      </c>
    </row>
    <row r="2303">
      <c r="A2303" s="140" t="s">
        <v>9071</v>
      </c>
      <c r="B2303" s="140">
        <v>88005.0</v>
      </c>
      <c r="C2303" s="140" t="s">
        <v>9072</v>
      </c>
      <c r="D2303" s="140" t="s">
        <v>6318</v>
      </c>
      <c r="E2303" s="140" t="s">
        <v>8000</v>
      </c>
      <c r="F2303" s="140" t="s">
        <v>8001</v>
      </c>
      <c r="G2303" s="141" t="s">
        <v>6311</v>
      </c>
      <c r="H2303" s="140" t="s">
        <v>6330</v>
      </c>
      <c r="I2303" s="140" t="s">
        <v>6313</v>
      </c>
      <c r="J2303" s="140" t="s">
        <v>6319</v>
      </c>
      <c r="K2303" s="140" t="s">
        <v>6320</v>
      </c>
    </row>
    <row r="2304">
      <c r="A2304" s="140" t="s">
        <v>9071</v>
      </c>
      <c r="B2304" s="140">
        <v>88184.0</v>
      </c>
      <c r="C2304" s="140" t="s">
        <v>9073</v>
      </c>
      <c r="D2304" s="140" t="s">
        <v>6318</v>
      </c>
      <c r="E2304" s="140" t="s">
        <v>8000</v>
      </c>
      <c r="F2304" s="140" t="s">
        <v>8001</v>
      </c>
      <c r="G2304" s="141" t="s">
        <v>6311</v>
      </c>
      <c r="H2304" s="140" t="s">
        <v>6330</v>
      </c>
      <c r="I2304" s="140" t="s">
        <v>6313</v>
      </c>
      <c r="J2304" s="140" t="s">
        <v>6319</v>
      </c>
      <c r="K2304" s="140" t="s">
        <v>6320</v>
      </c>
    </row>
    <row r="2305">
      <c r="A2305" s="140" t="s">
        <v>9071</v>
      </c>
      <c r="B2305" s="140">
        <v>88186.0</v>
      </c>
      <c r="C2305" s="140" t="s">
        <v>9074</v>
      </c>
      <c r="D2305" s="140" t="s">
        <v>6318</v>
      </c>
      <c r="E2305" s="140" t="s">
        <v>8000</v>
      </c>
      <c r="F2305" s="140" t="s">
        <v>8001</v>
      </c>
      <c r="G2305" s="141" t="s">
        <v>6311</v>
      </c>
      <c r="H2305" s="140" t="s">
        <v>6330</v>
      </c>
      <c r="I2305" s="140" t="s">
        <v>6313</v>
      </c>
      <c r="J2305" s="140" t="s">
        <v>6319</v>
      </c>
      <c r="K2305" s="140" t="s">
        <v>6320</v>
      </c>
    </row>
    <row r="2306">
      <c r="A2306" s="140" t="s">
        <v>9071</v>
      </c>
      <c r="B2306" s="140">
        <v>88191.0</v>
      </c>
      <c r="C2306" s="140" t="s">
        <v>9075</v>
      </c>
      <c r="D2306" s="140" t="s">
        <v>6318</v>
      </c>
      <c r="E2306" s="140" t="s">
        <v>8000</v>
      </c>
      <c r="F2306" s="140" t="s">
        <v>8001</v>
      </c>
      <c r="G2306" s="141" t="s">
        <v>6311</v>
      </c>
      <c r="H2306" s="140" t="s">
        <v>6330</v>
      </c>
      <c r="I2306" s="140" t="s">
        <v>6313</v>
      </c>
      <c r="J2306" s="140" t="s">
        <v>6319</v>
      </c>
      <c r="K2306" s="140" t="s">
        <v>6320</v>
      </c>
    </row>
    <row r="2307">
      <c r="A2307" s="140" t="s">
        <v>9071</v>
      </c>
      <c r="B2307" s="140">
        <v>88281.0</v>
      </c>
      <c r="C2307" s="140" t="s">
        <v>9076</v>
      </c>
      <c r="D2307" s="140" t="s">
        <v>6318</v>
      </c>
      <c r="E2307" s="140" t="s">
        <v>8000</v>
      </c>
      <c r="F2307" s="140" t="s">
        <v>8001</v>
      </c>
      <c r="G2307" s="141" t="s">
        <v>6311</v>
      </c>
      <c r="H2307" s="140" t="s">
        <v>6330</v>
      </c>
      <c r="I2307" s="140" t="s">
        <v>6313</v>
      </c>
      <c r="J2307" s="140" t="s">
        <v>6319</v>
      </c>
      <c r="K2307" s="140" t="s">
        <v>6320</v>
      </c>
    </row>
    <row r="2308">
      <c r="A2308" s="140" t="s">
        <v>9071</v>
      </c>
      <c r="B2308" s="140">
        <v>893529.0</v>
      </c>
      <c r="C2308" s="140" t="s">
        <v>9077</v>
      </c>
      <c r="D2308" s="140" t="s">
        <v>6318</v>
      </c>
      <c r="E2308" s="140" t="s">
        <v>8000</v>
      </c>
      <c r="F2308" s="140" t="s">
        <v>8001</v>
      </c>
      <c r="G2308" s="141" t="s">
        <v>6311</v>
      </c>
      <c r="H2308" s="140" t="s">
        <v>6330</v>
      </c>
      <c r="I2308" s="140" t="s">
        <v>6313</v>
      </c>
      <c r="J2308" s="140" t="s">
        <v>6319</v>
      </c>
      <c r="K2308" s="140" t="s">
        <v>6320</v>
      </c>
    </row>
    <row r="2309">
      <c r="A2309" s="140" t="s">
        <v>9071</v>
      </c>
      <c r="B2309" s="140">
        <v>893531.0</v>
      </c>
      <c r="C2309" s="140" t="s">
        <v>9078</v>
      </c>
      <c r="D2309" s="140" t="s">
        <v>6318</v>
      </c>
      <c r="E2309" s="140" t="s">
        <v>8000</v>
      </c>
      <c r="F2309" s="140" t="s">
        <v>8001</v>
      </c>
      <c r="G2309" s="141" t="s">
        <v>6311</v>
      </c>
      <c r="H2309" s="140" t="s">
        <v>6330</v>
      </c>
      <c r="I2309" s="140" t="s">
        <v>6313</v>
      </c>
      <c r="J2309" s="140" t="s">
        <v>6319</v>
      </c>
      <c r="K2309" s="140" t="s">
        <v>6320</v>
      </c>
    </row>
    <row r="2310">
      <c r="A2310" s="140" t="s">
        <v>9071</v>
      </c>
      <c r="B2310" s="140">
        <v>88278.0</v>
      </c>
      <c r="C2310" s="140" t="s">
        <v>9079</v>
      </c>
      <c r="D2310" s="140" t="s">
        <v>6318</v>
      </c>
      <c r="E2310" s="140" t="s">
        <v>8000</v>
      </c>
      <c r="F2310" s="140" t="s">
        <v>8001</v>
      </c>
      <c r="G2310" s="141" t="s">
        <v>6311</v>
      </c>
      <c r="H2310" s="140" t="s">
        <v>6330</v>
      </c>
      <c r="I2310" s="140" t="s">
        <v>6313</v>
      </c>
      <c r="J2310" s="140" t="s">
        <v>6319</v>
      </c>
      <c r="K2310" s="140" t="s">
        <v>6320</v>
      </c>
    </row>
    <row r="2311">
      <c r="A2311" s="140" t="s">
        <v>9071</v>
      </c>
      <c r="B2311" s="140">
        <v>95245.0</v>
      </c>
      <c r="C2311" s="140" t="s">
        <v>9080</v>
      </c>
      <c r="D2311" s="140" t="s">
        <v>6318</v>
      </c>
      <c r="E2311" s="140" t="s">
        <v>8000</v>
      </c>
      <c r="F2311" s="140" t="s">
        <v>8001</v>
      </c>
      <c r="G2311" s="141" t="s">
        <v>6311</v>
      </c>
      <c r="H2311" s="140" t="s">
        <v>6330</v>
      </c>
      <c r="I2311" s="140" t="s">
        <v>6313</v>
      </c>
      <c r="J2311" s="140" t="s">
        <v>6319</v>
      </c>
      <c r="K2311" s="140" t="s">
        <v>6320</v>
      </c>
    </row>
    <row r="2312">
      <c r="A2312" s="140" t="s">
        <v>9071</v>
      </c>
      <c r="B2312" s="140">
        <v>95243.0</v>
      </c>
      <c r="C2312" s="140" t="s">
        <v>9081</v>
      </c>
      <c r="D2312" s="140" t="s">
        <v>6318</v>
      </c>
      <c r="E2312" s="140" t="s">
        <v>8000</v>
      </c>
      <c r="F2312" s="140" t="s">
        <v>8001</v>
      </c>
      <c r="G2312" s="141" t="s">
        <v>6311</v>
      </c>
      <c r="H2312" s="140" t="s">
        <v>6330</v>
      </c>
      <c r="I2312" s="140" t="s">
        <v>6313</v>
      </c>
      <c r="J2312" s="140" t="s">
        <v>6319</v>
      </c>
      <c r="K2312" s="140" t="s">
        <v>6320</v>
      </c>
    </row>
    <row r="2313">
      <c r="A2313" s="140" t="s">
        <v>9071</v>
      </c>
      <c r="B2313" s="140">
        <v>86293.0</v>
      </c>
      <c r="C2313" s="140" t="s">
        <v>9082</v>
      </c>
      <c r="D2313" s="140" t="s">
        <v>6318</v>
      </c>
      <c r="E2313" s="140" t="s">
        <v>8000</v>
      </c>
      <c r="F2313" s="140" t="s">
        <v>8001</v>
      </c>
      <c r="G2313" s="141" t="s">
        <v>6311</v>
      </c>
      <c r="H2313" s="140" t="s">
        <v>6330</v>
      </c>
      <c r="I2313" s="140" t="s">
        <v>6313</v>
      </c>
      <c r="J2313" s="140" t="s">
        <v>6319</v>
      </c>
      <c r="K2313" s="140" t="s">
        <v>6320</v>
      </c>
    </row>
    <row r="2314">
      <c r="A2314" s="140" t="s">
        <v>9071</v>
      </c>
      <c r="B2314" s="140">
        <v>86533.0</v>
      </c>
      <c r="C2314" s="140" t="s">
        <v>9083</v>
      </c>
      <c r="D2314" s="140" t="s">
        <v>6318</v>
      </c>
      <c r="E2314" s="140" t="s">
        <v>8000</v>
      </c>
      <c r="F2314" s="140" t="s">
        <v>8001</v>
      </c>
      <c r="G2314" s="141" t="s">
        <v>6311</v>
      </c>
      <c r="H2314" s="140" t="s">
        <v>6330</v>
      </c>
      <c r="I2314" s="140" t="s">
        <v>6313</v>
      </c>
      <c r="J2314" s="140" t="s">
        <v>6319</v>
      </c>
      <c r="K2314" s="140" t="s">
        <v>6320</v>
      </c>
    </row>
    <row r="2315">
      <c r="A2315" s="140" t="s">
        <v>9071</v>
      </c>
      <c r="B2315" s="140">
        <v>87279.0</v>
      </c>
      <c r="C2315" s="140" t="s">
        <v>9084</v>
      </c>
      <c r="D2315" s="140" t="s">
        <v>6318</v>
      </c>
      <c r="E2315" s="140" t="s">
        <v>8000</v>
      </c>
      <c r="F2315" s="140" t="s">
        <v>8001</v>
      </c>
      <c r="G2315" s="141" t="s">
        <v>6311</v>
      </c>
      <c r="H2315" s="140" t="s">
        <v>6330</v>
      </c>
      <c r="I2315" s="140" t="s">
        <v>6313</v>
      </c>
      <c r="J2315" s="140" t="s">
        <v>6319</v>
      </c>
      <c r="K2315" s="140" t="s">
        <v>6320</v>
      </c>
    </row>
    <row r="2316">
      <c r="A2316" s="140" t="s">
        <v>9071</v>
      </c>
      <c r="B2316" s="140">
        <v>86597.0</v>
      </c>
      <c r="C2316" s="140" t="s">
        <v>9085</v>
      </c>
      <c r="D2316" s="140" t="s">
        <v>6318</v>
      </c>
      <c r="E2316" s="140" t="s">
        <v>8000</v>
      </c>
      <c r="F2316" s="140" t="s">
        <v>8001</v>
      </c>
      <c r="G2316" s="141" t="s">
        <v>6311</v>
      </c>
      <c r="H2316" s="140" t="s">
        <v>6330</v>
      </c>
      <c r="I2316" s="140" t="s">
        <v>6313</v>
      </c>
      <c r="J2316" s="140" t="s">
        <v>6319</v>
      </c>
      <c r="K2316" s="140" t="s">
        <v>6320</v>
      </c>
    </row>
    <row r="2317">
      <c r="A2317" s="140" t="s">
        <v>9071</v>
      </c>
      <c r="B2317" s="140">
        <v>86389.0</v>
      </c>
      <c r="C2317" s="140" t="s">
        <v>9086</v>
      </c>
      <c r="D2317" s="140" t="s">
        <v>6318</v>
      </c>
      <c r="E2317" s="140" t="s">
        <v>8000</v>
      </c>
      <c r="F2317" s="140" t="s">
        <v>8001</v>
      </c>
      <c r="G2317" s="141" t="s">
        <v>6311</v>
      </c>
      <c r="H2317" s="140" t="s">
        <v>6330</v>
      </c>
      <c r="I2317" s="140" t="s">
        <v>6313</v>
      </c>
      <c r="J2317" s="140" t="s">
        <v>6319</v>
      </c>
      <c r="K2317" s="140" t="s">
        <v>6320</v>
      </c>
    </row>
    <row r="2318">
      <c r="A2318" s="140" t="s">
        <v>9071</v>
      </c>
      <c r="B2318" s="140">
        <v>86594.0</v>
      </c>
      <c r="C2318" s="140" t="s">
        <v>9087</v>
      </c>
      <c r="D2318" s="140" t="s">
        <v>6318</v>
      </c>
      <c r="E2318" s="140" t="s">
        <v>8000</v>
      </c>
      <c r="F2318" s="140" t="s">
        <v>8001</v>
      </c>
      <c r="G2318" s="141" t="s">
        <v>6311</v>
      </c>
      <c r="H2318" s="140" t="s">
        <v>6330</v>
      </c>
      <c r="I2318" s="140" t="s">
        <v>6313</v>
      </c>
      <c r="J2318" s="140" t="s">
        <v>6319</v>
      </c>
      <c r="K2318" s="140" t="s">
        <v>6320</v>
      </c>
    </row>
    <row r="2319">
      <c r="A2319" s="140" t="s">
        <v>9071</v>
      </c>
      <c r="B2319" s="140">
        <v>86595.0</v>
      </c>
      <c r="C2319" s="140" t="s">
        <v>9088</v>
      </c>
      <c r="D2319" s="140" t="s">
        <v>6318</v>
      </c>
      <c r="E2319" s="140" t="s">
        <v>8000</v>
      </c>
      <c r="F2319" s="140" t="s">
        <v>8001</v>
      </c>
      <c r="G2319" s="141" t="s">
        <v>6311</v>
      </c>
      <c r="H2319" s="140" t="s">
        <v>6330</v>
      </c>
      <c r="I2319" s="140" t="s">
        <v>6313</v>
      </c>
      <c r="J2319" s="140" t="s">
        <v>6319</v>
      </c>
      <c r="K2319" s="140" t="s">
        <v>6320</v>
      </c>
    </row>
    <row r="2320">
      <c r="A2320" s="140" t="s">
        <v>9071</v>
      </c>
      <c r="B2320" s="140">
        <v>95318.0</v>
      </c>
      <c r="C2320" s="140" t="s">
        <v>9089</v>
      </c>
      <c r="D2320" s="140" t="s">
        <v>6318</v>
      </c>
      <c r="E2320" s="140" t="s">
        <v>8000</v>
      </c>
      <c r="F2320" s="140" t="s">
        <v>8001</v>
      </c>
      <c r="G2320" s="141" t="s">
        <v>6311</v>
      </c>
      <c r="H2320" s="140" t="s">
        <v>6330</v>
      </c>
      <c r="I2320" s="140" t="s">
        <v>6313</v>
      </c>
      <c r="J2320" s="140" t="s">
        <v>6319</v>
      </c>
      <c r="K2320" s="140" t="s">
        <v>6320</v>
      </c>
    </row>
    <row r="2321">
      <c r="A2321" s="140" t="s">
        <v>9071</v>
      </c>
      <c r="B2321" s="140">
        <v>88202.0</v>
      </c>
      <c r="C2321" s="140" t="s">
        <v>9090</v>
      </c>
      <c r="D2321" s="140" t="s">
        <v>6318</v>
      </c>
      <c r="E2321" s="140" t="s">
        <v>8000</v>
      </c>
      <c r="F2321" s="140" t="s">
        <v>8001</v>
      </c>
      <c r="G2321" s="141" t="s">
        <v>6311</v>
      </c>
      <c r="H2321" s="140" t="s">
        <v>6330</v>
      </c>
      <c r="I2321" s="140" t="s">
        <v>6313</v>
      </c>
      <c r="J2321" s="140" t="s">
        <v>6319</v>
      </c>
      <c r="K2321" s="140" t="s">
        <v>6320</v>
      </c>
    </row>
    <row r="2322">
      <c r="A2322" s="140" t="s">
        <v>9071</v>
      </c>
      <c r="B2322" s="140">
        <v>88280.0</v>
      </c>
      <c r="C2322" s="140" t="s">
        <v>9091</v>
      </c>
      <c r="D2322" s="140" t="s">
        <v>6318</v>
      </c>
      <c r="E2322" s="140" t="s">
        <v>8000</v>
      </c>
      <c r="F2322" s="140" t="s">
        <v>8001</v>
      </c>
      <c r="G2322" s="141" t="s">
        <v>6311</v>
      </c>
      <c r="H2322" s="140" t="s">
        <v>6330</v>
      </c>
      <c r="I2322" s="140" t="s">
        <v>6313</v>
      </c>
      <c r="J2322" s="140" t="s">
        <v>6319</v>
      </c>
      <c r="K2322" s="140" t="s">
        <v>6320</v>
      </c>
    </row>
    <row r="2323">
      <c r="A2323" s="140" t="s">
        <v>9071</v>
      </c>
      <c r="B2323" s="140">
        <v>88214.0</v>
      </c>
      <c r="C2323" s="140" t="s">
        <v>9092</v>
      </c>
      <c r="D2323" s="140" t="s">
        <v>6318</v>
      </c>
      <c r="E2323" s="140" t="s">
        <v>8000</v>
      </c>
      <c r="F2323" s="140" t="s">
        <v>8001</v>
      </c>
      <c r="G2323" s="141" t="s">
        <v>6311</v>
      </c>
      <c r="H2323" s="140" t="s">
        <v>6330</v>
      </c>
      <c r="I2323" s="140" t="s">
        <v>6313</v>
      </c>
      <c r="J2323" s="140" t="s">
        <v>6319</v>
      </c>
      <c r="K2323" s="140" t="s">
        <v>6320</v>
      </c>
    </row>
    <row r="2324">
      <c r="A2324" s="140" t="s">
        <v>9071</v>
      </c>
      <c r="B2324" s="140">
        <v>86644.0</v>
      </c>
      <c r="C2324" s="140" t="s">
        <v>9093</v>
      </c>
      <c r="D2324" s="140" t="s">
        <v>6318</v>
      </c>
      <c r="E2324" s="140" t="s">
        <v>8000</v>
      </c>
      <c r="F2324" s="140" t="s">
        <v>8001</v>
      </c>
      <c r="G2324" s="141" t="s">
        <v>6311</v>
      </c>
      <c r="H2324" s="140" t="s">
        <v>6330</v>
      </c>
      <c r="I2324" s="140" t="s">
        <v>6313</v>
      </c>
      <c r="J2324" s="140" t="s">
        <v>6319</v>
      </c>
      <c r="K2324" s="140" t="s">
        <v>6320</v>
      </c>
    </row>
    <row r="2325">
      <c r="A2325" s="140" t="s">
        <v>9071</v>
      </c>
      <c r="B2325" s="140">
        <v>88105.0</v>
      </c>
      <c r="C2325" s="140" t="s">
        <v>9094</v>
      </c>
      <c r="D2325" s="140" t="s">
        <v>6318</v>
      </c>
      <c r="E2325" s="140" t="s">
        <v>8000</v>
      </c>
      <c r="F2325" s="140" t="s">
        <v>8001</v>
      </c>
      <c r="G2325" s="141" t="s">
        <v>6311</v>
      </c>
      <c r="H2325" s="140" t="s">
        <v>6330</v>
      </c>
      <c r="I2325" s="140" t="s">
        <v>6313</v>
      </c>
      <c r="J2325" s="140" t="s">
        <v>6319</v>
      </c>
      <c r="K2325" s="140" t="s">
        <v>6320</v>
      </c>
    </row>
    <row r="2326">
      <c r="A2326" s="140" t="s">
        <v>9071</v>
      </c>
      <c r="B2326" s="140">
        <v>95246.0</v>
      </c>
      <c r="C2326" s="140" t="s">
        <v>9095</v>
      </c>
      <c r="D2326" s="140" t="s">
        <v>6318</v>
      </c>
      <c r="E2326" s="140" t="s">
        <v>8000</v>
      </c>
      <c r="F2326" s="140" t="s">
        <v>8001</v>
      </c>
      <c r="G2326" s="141" t="s">
        <v>6311</v>
      </c>
      <c r="H2326" s="140" t="s">
        <v>6330</v>
      </c>
      <c r="I2326" s="140" t="s">
        <v>6313</v>
      </c>
      <c r="J2326" s="140" t="s">
        <v>6319</v>
      </c>
      <c r="K2326" s="140" t="s">
        <v>6320</v>
      </c>
    </row>
    <row r="2327">
      <c r="A2327" s="140" t="s">
        <v>9071</v>
      </c>
      <c r="B2327" s="140">
        <v>86620.0</v>
      </c>
      <c r="C2327" s="140" t="s">
        <v>9096</v>
      </c>
      <c r="D2327" s="140" t="s">
        <v>6318</v>
      </c>
      <c r="E2327" s="140" t="s">
        <v>8000</v>
      </c>
      <c r="F2327" s="140" t="s">
        <v>8001</v>
      </c>
      <c r="G2327" s="141" t="s">
        <v>6311</v>
      </c>
      <c r="H2327" s="140" t="s">
        <v>6330</v>
      </c>
      <c r="I2327" s="140" t="s">
        <v>6313</v>
      </c>
      <c r="J2327" s="140" t="s">
        <v>6319</v>
      </c>
      <c r="K2327" s="140" t="s">
        <v>6320</v>
      </c>
    </row>
    <row r="2328">
      <c r="A2328" s="140" t="s">
        <v>9071</v>
      </c>
      <c r="B2328" s="140">
        <v>88002.0</v>
      </c>
      <c r="C2328" s="140" t="s">
        <v>9097</v>
      </c>
      <c r="D2328" s="140" t="s">
        <v>6318</v>
      </c>
      <c r="E2328" s="140" t="s">
        <v>8000</v>
      </c>
      <c r="F2328" s="140" t="s">
        <v>8001</v>
      </c>
      <c r="G2328" s="141" t="s">
        <v>6311</v>
      </c>
      <c r="H2328" s="140" t="s">
        <v>6330</v>
      </c>
      <c r="I2328" s="140" t="s">
        <v>6313</v>
      </c>
      <c r="J2328" s="140" t="s">
        <v>6319</v>
      </c>
      <c r="K2328" s="140" t="s">
        <v>6320</v>
      </c>
    </row>
    <row r="2329">
      <c r="A2329" s="140" t="s">
        <v>9071</v>
      </c>
      <c r="B2329" s="140">
        <v>86637.0</v>
      </c>
      <c r="C2329" s="140" t="s">
        <v>9098</v>
      </c>
      <c r="D2329" s="140" t="s">
        <v>6318</v>
      </c>
      <c r="E2329" s="140" t="s">
        <v>8000</v>
      </c>
      <c r="F2329" s="140" t="s">
        <v>8001</v>
      </c>
      <c r="G2329" s="141" t="s">
        <v>6311</v>
      </c>
      <c r="H2329" s="140" t="s">
        <v>6330</v>
      </c>
      <c r="I2329" s="140" t="s">
        <v>6313</v>
      </c>
      <c r="J2329" s="140" t="s">
        <v>6319</v>
      </c>
      <c r="K2329" s="140" t="s">
        <v>6320</v>
      </c>
    </row>
    <row r="2330">
      <c r="A2330" s="140" t="s">
        <v>9071</v>
      </c>
      <c r="B2330" s="140">
        <v>88277.0</v>
      </c>
      <c r="C2330" s="140" t="s">
        <v>9099</v>
      </c>
      <c r="D2330" s="140" t="s">
        <v>6318</v>
      </c>
      <c r="E2330" s="140" t="s">
        <v>8000</v>
      </c>
      <c r="F2330" s="140" t="s">
        <v>8001</v>
      </c>
      <c r="G2330" s="141" t="s">
        <v>6311</v>
      </c>
      <c r="H2330" s="140" t="s">
        <v>6330</v>
      </c>
      <c r="I2330" s="140" t="s">
        <v>6313</v>
      </c>
      <c r="J2330" s="140" t="s">
        <v>6319</v>
      </c>
      <c r="K2330" s="140" t="s">
        <v>6320</v>
      </c>
    </row>
    <row r="2331">
      <c r="A2331" s="140" t="s">
        <v>9071</v>
      </c>
      <c r="B2331" s="140">
        <v>751835.0</v>
      </c>
      <c r="C2331" s="140" t="s">
        <v>9100</v>
      </c>
      <c r="D2331" s="140" t="s">
        <v>6318</v>
      </c>
      <c r="E2331" s="140" t="s">
        <v>8000</v>
      </c>
      <c r="F2331" s="140" t="s">
        <v>8001</v>
      </c>
      <c r="G2331" s="141" t="s">
        <v>6311</v>
      </c>
      <c r="H2331" s="140" t="s">
        <v>6330</v>
      </c>
      <c r="I2331" s="140" t="s">
        <v>6313</v>
      </c>
      <c r="J2331" s="140" t="s">
        <v>6319</v>
      </c>
      <c r="K2331" s="140" t="s">
        <v>6320</v>
      </c>
    </row>
    <row r="2332">
      <c r="A2332" s="140" t="s">
        <v>5828</v>
      </c>
      <c r="B2332" s="140">
        <v>11755.0</v>
      </c>
      <c r="C2332" s="140" t="s">
        <v>9101</v>
      </c>
      <c r="D2332" s="140" t="s">
        <v>6318</v>
      </c>
      <c r="E2332" s="140">
        <v>0.0</v>
      </c>
      <c r="F2332" s="148">
        <v>0.0</v>
      </c>
      <c r="G2332" s="141" t="s">
        <v>6311</v>
      </c>
      <c r="H2332" s="140" t="s">
        <v>6312</v>
      </c>
      <c r="I2332" s="140" t="s">
        <v>6313</v>
      </c>
      <c r="J2332" s="140" t="s">
        <v>6319</v>
      </c>
      <c r="K2332" s="140" t="s">
        <v>6320</v>
      </c>
    </row>
    <row r="2333">
      <c r="A2333" s="140" t="s">
        <v>5777</v>
      </c>
      <c r="B2333" s="140">
        <v>74017.0</v>
      </c>
      <c r="C2333" s="140" t="s">
        <v>9102</v>
      </c>
      <c r="D2333" s="140" t="s">
        <v>6318</v>
      </c>
      <c r="E2333" s="140">
        <v>0.0</v>
      </c>
      <c r="F2333" s="148">
        <v>0.0</v>
      </c>
      <c r="G2333" s="141" t="s">
        <v>6311</v>
      </c>
      <c r="H2333" s="140" t="s">
        <v>6312</v>
      </c>
      <c r="I2333" s="140" t="s">
        <v>6313</v>
      </c>
      <c r="J2333" s="140" t="s">
        <v>6319</v>
      </c>
      <c r="K2333" s="140" t="s">
        <v>6320</v>
      </c>
    </row>
    <row r="2334">
      <c r="A2334" s="140" t="s">
        <v>5777</v>
      </c>
      <c r="B2334" s="140">
        <v>72220.0</v>
      </c>
      <c r="C2334" s="140" t="s">
        <v>9103</v>
      </c>
      <c r="D2334" s="140" t="s">
        <v>6318</v>
      </c>
      <c r="E2334" s="140">
        <v>0.0</v>
      </c>
      <c r="F2334" s="148">
        <v>0.0</v>
      </c>
      <c r="G2334" s="141" t="s">
        <v>6311</v>
      </c>
      <c r="H2334" s="140" t="s">
        <v>6312</v>
      </c>
      <c r="I2334" s="140" t="s">
        <v>6313</v>
      </c>
      <c r="J2334" s="140" t="s">
        <v>6319</v>
      </c>
      <c r="K2334" s="140" t="s">
        <v>6320</v>
      </c>
    </row>
    <row r="2335">
      <c r="A2335" s="140" t="s">
        <v>5777</v>
      </c>
      <c r="B2335" s="140">
        <v>75703.0</v>
      </c>
      <c r="C2335" s="140" t="s">
        <v>9104</v>
      </c>
      <c r="D2335" s="140" t="s">
        <v>6318</v>
      </c>
      <c r="E2335" s="140">
        <v>0.0</v>
      </c>
      <c r="F2335" s="140" t="s">
        <v>7586</v>
      </c>
      <c r="G2335" s="141" t="s">
        <v>6311</v>
      </c>
      <c r="H2335" s="140" t="s">
        <v>6312</v>
      </c>
      <c r="I2335" s="140" t="s">
        <v>6313</v>
      </c>
      <c r="J2335" s="140" t="s">
        <v>6319</v>
      </c>
      <c r="K2335" s="140" t="s">
        <v>6320</v>
      </c>
    </row>
    <row r="2336">
      <c r="A2336" s="140" t="s">
        <v>5777</v>
      </c>
      <c r="B2336" s="140">
        <v>72289.0</v>
      </c>
      <c r="C2336" s="140" t="s">
        <v>9105</v>
      </c>
      <c r="D2336" s="140" t="s">
        <v>6318</v>
      </c>
      <c r="E2336" s="140">
        <v>0.0</v>
      </c>
      <c r="F2336" s="140" t="s">
        <v>7152</v>
      </c>
      <c r="G2336" s="141" t="s">
        <v>6311</v>
      </c>
      <c r="H2336" s="140" t="s">
        <v>6312</v>
      </c>
      <c r="I2336" s="140" t="s">
        <v>6313</v>
      </c>
      <c r="J2336" s="140" t="s">
        <v>6319</v>
      </c>
      <c r="K2336" s="140" t="s">
        <v>6320</v>
      </c>
    </row>
    <row r="2337">
      <c r="A2337" s="140" t="s">
        <v>5777</v>
      </c>
      <c r="B2337" s="140">
        <v>73543.0</v>
      </c>
      <c r="C2337" s="140" t="s">
        <v>9106</v>
      </c>
      <c r="D2337" s="140" t="s">
        <v>6318</v>
      </c>
      <c r="E2337" s="140">
        <v>0.0</v>
      </c>
      <c r="F2337" s="140" t="s">
        <v>7152</v>
      </c>
      <c r="G2337" s="141" t="s">
        <v>6311</v>
      </c>
      <c r="H2337" s="140" t="s">
        <v>6312</v>
      </c>
      <c r="I2337" s="140" t="s">
        <v>6313</v>
      </c>
      <c r="J2337" s="140" t="s">
        <v>6319</v>
      </c>
      <c r="K2337" s="140" t="s">
        <v>6320</v>
      </c>
    </row>
    <row r="2338">
      <c r="A2338" s="140" t="s">
        <v>5777</v>
      </c>
      <c r="B2338" s="140">
        <v>74066.0</v>
      </c>
      <c r="C2338" s="140" t="s">
        <v>9107</v>
      </c>
      <c r="D2338" s="140" t="s">
        <v>6318</v>
      </c>
      <c r="E2338" s="140">
        <v>0.0</v>
      </c>
      <c r="F2338" s="140" t="s">
        <v>6800</v>
      </c>
      <c r="G2338" s="141" t="s">
        <v>6311</v>
      </c>
      <c r="H2338" s="140" t="s">
        <v>6312</v>
      </c>
      <c r="I2338" s="140" t="s">
        <v>6313</v>
      </c>
      <c r="J2338" s="140" t="s">
        <v>6319</v>
      </c>
      <c r="K2338" s="140" t="s">
        <v>6320</v>
      </c>
    </row>
    <row r="2339">
      <c r="A2339" s="140" t="s">
        <v>5777</v>
      </c>
      <c r="B2339" s="140">
        <v>74067.0</v>
      </c>
      <c r="C2339" s="140" t="s">
        <v>9108</v>
      </c>
      <c r="D2339" s="140" t="s">
        <v>6318</v>
      </c>
      <c r="E2339" s="140">
        <v>0.0</v>
      </c>
      <c r="F2339" s="140" t="s">
        <v>6800</v>
      </c>
      <c r="G2339" s="141" t="s">
        <v>6311</v>
      </c>
      <c r="H2339" s="140" t="s">
        <v>6312</v>
      </c>
      <c r="I2339" s="140" t="s">
        <v>6313</v>
      </c>
      <c r="J2339" s="140" t="s">
        <v>6319</v>
      </c>
      <c r="K2339" s="140" t="s">
        <v>6320</v>
      </c>
    </row>
    <row r="2340">
      <c r="A2340" s="140" t="s">
        <v>5777</v>
      </c>
      <c r="B2340" s="140">
        <v>74148.0</v>
      </c>
      <c r="C2340" s="140" t="s">
        <v>9109</v>
      </c>
      <c r="D2340" s="140" t="s">
        <v>6318</v>
      </c>
      <c r="E2340" s="140">
        <v>0.0</v>
      </c>
      <c r="F2340" s="140" t="s">
        <v>6800</v>
      </c>
      <c r="G2340" s="141" t="s">
        <v>6311</v>
      </c>
      <c r="H2340" s="140" t="s">
        <v>6312</v>
      </c>
      <c r="I2340" s="140" t="s">
        <v>6313</v>
      </c>
      <c r="J2340" s="140" t="s">
        <v>6319</v>
      </c>
      <c r="K2340" s="140" t="s">
        <v>6320</v>
      </c>
    </row>
    <row r="2341">
      <c r="A2341" s="140" t="s">
        <v>5777</v>
      </c>
      <c r="B2341" s="140">
        <v>10810.0</v>
      </c>
      <c r="C2341" s="140" t="s">
        <v>9110</v>
      </c>
      <c r="D2341" s="140" t="s">
        <v>6318</v>
      </c>
      <c r="E2341" s="140" t="s">
        <v>1301</v>
      </c>
      <c r="F2341" s="140" t="s">
        <v>735</v>
      </c>
      <c r="G2341" s="141" t="s">
        <v>6311</v>
      </c>
      <c r="H2341" s="140" t="s">
        <v>6312</v>
      </c>
      <c r="I2341" s="140" t="s">
        <v>6313</v>
      </c>
      <c r="J2341" s="140" t="s">
        <v>6319</v>
      </c>
      <c r="K2341" s="140" t="s">
        <v>6320</v>
      </c>
    </row>
    <row r="2342">
      <c r="A2342" s="140" t="s">
        <v>5777</v>
      </c>
      <c r="B2342" s="140">
        <v>75498.0</v>
      </c>
      <c r="C2342" s="140" t="s">
        <v>9111</v>
      </c>
      <c r="D2342" s="140" t="s">
        <v>6318</v>
      </c>
      <c r="E2342" s="140">
        <v>0.0</v>
      </c>
      <c r="F2342" s="140" t="s">
        <v>6324</v>
      </c>
      <c r="G2342" s="141" t="s">
        <v>6311</v>
      </c>
      <c r="H2342" s="140" t="s">
        <v>6312</v>
      </c>
      <c r="I2342" s="140" t="s">
        <v>6313</v>
      </c>
      <c r="J2342" s="140" t="s">
        <v>6319</v>
      </c>
      <c r="K2342" s="140" t="s">
        <v>6320</v>
      </c>
    </row>
    <row r="2343">
      <c r="A2343" s="140" t="s">
        <v>5777</v>
      </c>
      <c r="B2343" s="140">
        <v>75298.0</v>
      </c>
      <c r="C2343" s="140" t="s">
        <v>9112</v>
      </c>
      <c r="D2343" s="140" t="s">
        <v>6318</v>
      </c>
      <c r="E2343" s="140" t="s">
        <v>1180</v>
      </c>
      <c r="F2343" s="140" t="s">
        <v>1181</v>
      </c>
      <c r="G2343" s="141" t="s">
        <v>6311</v>
      </c>
      <c r="H2343" s="140" t="s">
        <v>6312</v>
      </c>
      <c r="I2343" s="140" t="s">
        <v>6313</v>
      </c>
      <c r="J2343" s="140" t="s">
        <v>6319</v>
      </c>
      <c r="K2343" s="140" t="s">
        <v>6320</v>
      </c>
    </row>
    <row r="2344">
      <c r="A2344" s="140" t="s">
        <v>5777</v>
      </c>
      <c r="B2344" s="140">
        <v>77900.0</v>
      </c>
      <c r="C2344" s="140" t="s">
        <v>9113</v>
      </c>
      <c r="D2344" s="140" t="s">
        <v>6318</v>
      </c>
      <c r="E2344" s="140" t="s">
        <v>1180</v>
      </c>
      <c r="F2344" s="140" t="s">
        <v>1181</v>
      </c>
      <c r="G2344" s="141" t="s">
        <v>6311</v>
      </c>
      <c r="H2344" s="140" t="s">
        <v>6312</v>
      </c>
      <c r="I2344" s="140" t="s">
        <v>6313</v>
      </c>
      <c r="J2344" s="140" t="s">
        <v>6319</v>
      </c>
      <c r="K2344" s="140" t="s">
        <v>6320</v>
      </c>
    </row>
    <row r="2345">
      <c r="A2345" s="140" t="s">
        <v>5828</v>
      </c>
      <c r="B2345" s="140">
        <v>77020.0</v>
      </c>
      <c r="C2345" s="140" t="s">
        <v>9114</v>
      </c>
      <c r="D2345" s="140" t="s">
        <v>6318</v>
      </c>
      <c r="E2345" s="140" t="s">
        <v>1180</v>
      </c>
      <c r="F2345" s="140" t="s">
        <v>1181</v>
      </c>
      <c r="G2345" s="141" t="s">
        <v>6311</v>
      </c>
      <c r="H2345" s="140" t="s">
        <v>6312</v>
      </c>
      <c r="I2345" s="140" t="s">
        <v>6313</v>
      </c>
      <c r="J2345" s="140" t="s">
        <v>6319</v>
      </c>
      <c r="K2345" s="140" t="s">
        <v>6320</v>
      </c>
    </row>
    <row r="2346">
      <c r="A2346" s="140" t="s">
        <v>5777</v>
      </c>
      <c r="B2346" s="140">
        <v>10825.0</v>
      </c>
      <c r="C2346" s="140" t="s">
        <v>9115</v>
      </c>
      <c r="D2346" s="140" t="s">
        <v>6318</v>
      </c>
      <c r="E2346" s="140" t="s">
        <v>1180</v>
      </c>
      <c r="F2346" s="140" t="s">
        <v>1181</v>
      </c>
      <c r="G2346" s="141" t="s">
        <v>6311</v>
      </c>
      <c r="H2346" s="140" t="s">
        <v>6312</v>
      </c>
      <c r="I2346" s="140" t="s">
        <v>6313</v>
      </c>
      <c r="J2346" s="140" t="s">
        <v>6319</v>
      </c>
      <c r="K2346" s="140" t="s">
        <v>6320</v>
      </c>
    </row>
    <row r="2347">
      <c r="A2347" s="140" t="s">
        <v>5777</v>
      </c>
      <c r="B2347" s="140">
        <v>72785.0</v>
      </c>
      <c r="C2347" s="140" t="s">
        <v>9116</v>
      </c>
      <c r="D2347" s="140" t="s">
        <v>6318</v>
      </c>
      <c r="E2347" s="140" t="s">
        <v>1180</v>
      </c>
      <c r="F2347" s="140" t="s">
        <v>1181</v>
      </c>
      <c r="G2347" s="141" t="s">
        <v>6311</v>
      </c>
      <c r="H2347" s="140" t="s">
        <v>6312</v>
      </c>
      <c r="I2347" s="140" t="s">
        <v>6313</v>
      </c>
      <c r="J2347" s="140" t="s">
        <v>6319</v>
      </c>
      <c r="K2347" s="140" t="s">
        <v>6320</v>
      </c>
    </row>
    <row r="2348">
      <c r="A2348" s="140" t="s">
        <v>5777</v>
      </c>
      <c r="B2348" s="140">
        <v>82156.0</v>
      </c>
      <c r="C2348" s="140" t="s">
        <v>9117</v>
      </c>
      <c r="D2348" s="140" t="s">
        <v>6318</v>
      </c>
      <c r="E2348" s="140" t="s">
        <v>1180</v>
      </c>
      <c r="F2348" s="140" t="s">
        <v>5810</v>
      </c>
      <c r="G2348" s="141" t="s">
        <v>6311</v>
      </c>
      <c r="H2348" s="140" t="s">
        <v>6312</v>
      </c>
      <c r="I2348" s="140" t="s">
        <v>6313</v>
      </c>
      <c r="J2348" s="140" t="s">
        <v>6319</v>
      </c>
      <c r="K2348" s="140" t="s">
        <v>6320</v>
      </c>
    </row>
    <row r="2349">
      <c r="A2349" s="140" t="s">
        <v>5777</v>
      </c>
      <c r="B2349" s="140">
        <v>82157.0</v>
      </c>
      <c r="C2349" s="140" t="s">
        <v>9118</v>
      </c>
      <c r="D2349" s="140" t="s">
        <v>6318</v>
      </c>
      <c r="E2349" s="140" t="s">
        <v>1180</v>
      </c>
      <c r="F2349" s="140" t="s">
        <v>5810</v>
      </c>
      <c r="G2349" s="141" t="s">
        <v>6311</v>
      </c>
      <c r="H2349" s="140" t="s">
        <v>6312</v>
      </c>
      <c r="I2349" s="140" t="s">
        <v>6313</v>
      </c>
      <c r="J2349" s="140" t="s">
        <v>6319</v>
      </c>
      <c r="K2349" s="140" t="s">
        <v>6320</v>
      </c>
    </row>
    <row r="2350">
      <c r="A2350" s="140" t="s">
        <v>5777</v>
      </c>
      <c r="B2350" s="140">
        <v>82182.0</v>
      </c>
      <c r="C2350" s="140" t="s">
        <v>9119</v>
      </c>
      <c r="D2350" s="140" t="s">
        <v>6318</v>
      </c>
      <c r="E2350" s="140" t="s">
        <v>1180</v>
      </c>
      <c r="F2350" s="140" t="s">
        <v>5810</v>
      </c>
      <c r="G2350" s="141" t="s">
        <v>6311</v>
      </c>
      <c r="H2350" s="140" t="s">
        <v>6312</v>
      </c>
      <c r="I2350" s="140" t="s">
        <v>6313</v>
      </c>
      <c r="J2350" s="140" t="s">
        <v>6319</v>
      </c>
      <c r="K2350" s="140" t="s">
        <v>6320</v>
      </c>
    </row>
    <row r="2351">
      <c r="A2351" s="140" t="s">
        <v>5777</v>
      </c>
      <c r="B2351" s="140">
        <v>77976.0</v>
      </c>
      <c r="C2351" s="140" t="s">
        <v>9120</v>
      </c>
      <c r="D2351" s="140" t="s">
        <v>6318</v>
      </c>
      <c r="E2351" s="140" t="s">
        <v>1180</v>
      </c>
      <c r="F2351" s="140" t="s">
        <v>1195</v>
      </c>
      <c r="G2351" s="141" t="s">
        <v>6311</v>
      </c>
      <c r="H2351" s="140" t="s">
        <v>6312</v>
      </c>
      <c r="I2351" s="140" t="s">
        <v>6313</v>
      </c>
      <c r="J2351" s="140" t="s">
        <v>6319</v>
      </c>
      <c r="K2351" s="140" t="s">
        <v>6320</v>
      </c>
    </row>
    <row r="2352">
      <c r="A2352" s="140" t="s">
        <v>5777</v>
      </c>
      <c r="B2352" s="140">
        <v>87516.0</v>
      </c>
      <c r="C2352" s="140" t="s">
        <v>9121</v>
      </c>
      <c r="D2352" s="140" t="s">
        <v>6318</v>
      </c>
      <c r="E2352" s="140" t="s">
        <v>1180</v>
      </c>
      <c r="F2352" s="140" t="s">
        <v>1195</v>
      </c>
      <c r="G2352" s="141" t="s">
        <v>6311</v>
      </c>
      <c r="H2352" s="140" t="s">
        <v>6312</v>
      </c>
      <c r="I2352" s="140" t="s">
        <v>6313</v>
      </c>
      <c r="J2352" s="140" t="s">
        <v>6319</v>
      </c>
      <c r="K2352" s="140" t="s">
        <v>6320</v>
      </c>
    </row>
    <row r="2353">
      <c r="A2353" s="149" t="s">
        <v>5777</v>
      </c>
      <c r="B2353" s="149">
        <v>76145.0</v>
      </c>
      <c r="C2353" s="140" t="s">
        <v>9122</v>
      </c>
      <c r="D2353" s="140" t="s">
        <v>6620</v>
      </c>
      <c r="E2353" s="140" t="s">
        <v>6749</v>
      </c>
      <c r="F2353" s="140" t="s">
        <v>7798</v>
      </c>
      <c r="G2353" s="141" t="s">
        <v>6311</v>
      </c>
      <c r="H2353" s="149" t="s">
        <v>6312</v>
      </c>
      <c r="I2353" s="149" t="s">
        <v>6313</v>
      </c>
      <c r="J2353" s="140" t="s">
        <v>6319</v>
      </c>
      <c r="K2353" s="140" t="s">
        <v>6320</v>
      </c>
    </row>
    <row r="2354">
      <c r="A2354" s="140" t="s">
        <v>5777</v>
      </c>
      <c r="B2354" s="140">
        <v>77915.0</v>
      </c>
      <c r="C2354" s="140" t="s">
        <v>9123</v>
      </c>
      <c r="D2354" s="140" t="s">
        <v>6318</v>
      </c>
      <c r="E2354" s="140" t="s">
        <v>6323</v>
      </c>
      <c r="F2354" s="140" t="s">
        <v>5752</v>
      </c>
      <c r="G2354" s="141" t="s">
        <v>6311</v>
      </c>
      <c r="H2354" s="140" t="s">
        <v>6312</v>
      </c>
      <c r="I2354" s="140" t="s">
        <v>6313</v>
      </c>
      <c r="J2354" s="140" t="s">
        <v>6319</v>
      </c>
      <c r="K2354" s="140" t="s">
        <v>6320</v>
      </c>
    </row>
    <row r="2355">
      <c r="A2355" s="140" t="s">
        <v>5777</v>
      </c>
      <c r="B2355" s="140">
        <v>71874.0</v>
      </c>
      <c r="C2355" s="140" t="s">
        <v>9124</v>
      </c>
      <c r="D2355" s="140" t="s">
        <v>6318</v>
      </c>
      <c r="E2355" s="140" t="s">
        <v>6323</v>
      </c>
      <c r="F2355" s="140" t="s">
        <v>6419</v>
      </c>
      <c r="G2355" s="141" t="s">
        <v>6311</v>
      </c>
      <c r="H2355" s="140" t="s">
        <v>6312</v>
      </c>
      <c r="I2355" s="140" t="s">
        <v>6313</v>
      </c>
      <c r="J2355" s="140" t="s">
        <v>6319</v>
      </c>
      <c r="K2355" s="140" t="s">
        <v>6320</v>
      </c>
    </row>
    <row r="2356">
      <c r="A2356" s="140" t="s">
        <v>5828</v>
      </c>
      <c r="B2356" s="140">
        <v>72491.0</v>
      </c>
      <c r="C2356" s="140" t="s">
        <v>9125</v>
      </c>
      <c r="D2356" s="140" t="s">
        <v>6318</v>
      </c>
      <c r="E2356" s="140" t="s">
        <v>6323</v>
      </c>
      <c r="F2356" s="140" t="s">
        <v>6419</v>
      </c>
      <c r="G2356" s="141" t="s">
        <v>6311</v>
      </c>
      <c r="H2356" s="140" t="s">
        <v>6312</v>
      </c>
      <c r="I2356" s="140" t="s">
        <v>6313</v>
      </c>
      <c r="J2356" s="140" t="s">
        <v>6319</v>
      </c>
      <c r="K2356" s="140" t="s">
        <v>6320</v>
      </c>
    </row>
    <row r="2357">
      <c r="A2357" s="140" t="s">
        <v>5777</v>
      </c>
      <c r="B2357" s="140">
        <v>10822.0</v>
      </c>
      <c r="C2357" s="140" t="s">
        <v>9126</v>
      </c>
      <c r="D2357" s="140" t="s">
        <v>6318</v>
      </c>
      <c r="E2357" s="140" t="s">
        <v>6323</v>
      </c>
      <c r="F2357" s="140" t="s">
        <v>6435</v>
      </c>
      <c r="G2357" s="141" t="s">
        <v>6311</v>
      </c>
      <c r="H2357" s="140" t="s">
        <v>6312</v>
      </c>
      <c r="I2357" s="140" t="s">
        <v>6313</v>
      </c>
      <c r="J2357" s="140" t="s">
        <v>6319</v>
      </c>
      <c r="K2357" s="140" t="s">
        <v>6320</v>
      </c>
    </row>
    <row r="2358">
      <c r="A2358" s="140" t="s">
        <v>5777</v>
      </c>
      <c r="B2358" s="140">
        <v>73568.0</v>
      </c>
      <c r="C2358" s="140" t="s">
        <v>9127</v>
      </c>
      <c r="D2358" s="140" t="s">
        <v>6318</v>
      </c>
      <c r="E2358" s="140" t="s">
        <v>6323</v>
      </c>
      <c r="F2358" s="140" t="s">
        <v>6334</v>
      </c>
      <c r="G2358" s="141" t="s">
        <v>6311</v>
      </c>
      <c r="H2358" s="140" t="s">
        <v>6312</v>
      </c>
      <c r="I2358" s="140" t="s">
        <v>6313</v>
      </c>
      <c r="J2358" s="140" t="s">
        <v>6319</v>
      </c>
      <c r="K2358" s="140" t="s">
        <v>6320</v>
      </c>
    </row>
    <row r="2359">
      <c r="A2359" s="140" t="s">
        <v>5777</v>
      </c>
      <c r="B2359" s="140">
        <v>739104.0</v>
      </c>
      <c r="C2359" s="140" t="s">
        <v>9128</v>
      </c>
      <c r="D2359" s="140" t="s">
        <v>6318</v>
      </c>
      <c r="E2359" s="140" t="s">
        <v>6323</v>
      </c>
      <c r="F2359" s="140" t="s">
        <v>9129</v>
      </c>
      <c r="G2359" s="141" t="s">
        <v>6311</v>
      </c>
      <c r="H2359" s="140" t="s">
        <v>6312</v>
      </c>
      <c r="I2359" s="140" t="s">
        <v>6313</v>
      </c>
      <c r="J2359" s="140" t="s">
        <v>6319</v>
      </c>
      <c r="K2359" s="140" t="s">
        <v>6320</v>
      </c>
    </row>
    <row r="2360">
      <c r="A2360" s="140" t="s">
        <v>5777</v>
      </c>
      <c r="B2360" s="140">
        <v>72637.0</v>
      </c>
      <c r="C2360" s="140" t="s">
        <v>9130</v>
      </c>
      <c r="D2360" s="140" t="s">
        <v>6318</v>
      </c>
      <c r="E2360" s="140" t="s">
        <v>6323</v>
      </c>
      <c r="F2360" s="140" t="s">
        <v>5771</v>
      </c>
      <c r="G2360" s="141" t="s">
        <v>6311</v>
      </c>
      <c r="H2360" s="140" t="s">
        <v>6312</v>
      </c>
      <c r="I2360" s="140" t="s">
        <v>6313</v>
      </c>
      <c r="J2360" s="140" t="s">
        <v>6319</v>
      </c>
      <c r="K2360" s="140" t="s">
        <v>6320</v>
      </c>
    </row>
    <row r="2361">
      <c r="A2361" s="140" t="s">
        <v>5828</v>
      </c>
      <c r="B2361" s="140">
        <v>72657.0</v>
      </c>
      <c r="C2361" s="140" t="s">
        <v>9131</v>
      </c>
      <c r="D2361" s="140" t="s">
        <v>6318</v>
      </c>
      <c r="E2361" s="140" t="s">
        <v>6323</v>
      </c>
      <c r="F2361" s="140" t="s">
        <v>6453</v>
      </c>
      <c r="G2361" s="141" t="s">
        <v>6311</v>
      </c>
      <c r="H2361" s="140" t="s">
        <v>6312</v>
      </c>
      <c r="I2361" s="140" t="s">
        <v>6313</v>
      </c>
      <c r="J2361" s="140" t="s">
        <v>6319</v>
      </c>
      <c r="K2361" s="140" t="s">
        <v>6320</v>
      </c>
    </row>
    <row r="2362">
      <c r="A2362" s="140" t="s">
        <v>5777</v>
      </c>
      <c r="B2362" s="140">
        <v>889964.0</v>
      </c>
      <c r="C2362" s="140" t="s">
        <v>9132</v>
      </c>
      <c r="D2362" s="140" t="s">
        <v>6318</v>
      </c>
      <c r="E2362" s="140" t="s">
        <v>6323</v>
      </c>
      <c r="F2362" s="140" t="s">
        <v>6457</v>
      </c>
      <c r="G2362" s="141" t="s">
        <v>6311</v>
      </c>
      <c r="H2362" s="140" t="s">
        <v>6312</v>
      </c>
      <c r="I2362" s="140" t="s">
        <v>6313</v>
      </c>
      <c r="J2362" s="140" t="s">
        <v>6319</v>
      </c>
      <c r="K2362" s="140" t="s">
        <v>6320</v>
      </c>
    </row>
    <row r="2363">
      <c r="A2363" s="140" t="s">
        <v>5777</v>
      </c>
      <c r="B2363" s="140">
        <v>889966.0</v>
      </c>
      <c r="C2363" s="140" t="s">
        <v>9133</v>
      </c>
      <c r="D2363" s="140" t="s">
        <v>6318</v>
      </c>
      <c r="E2363" s="140" t="s">
        <v>6323</v>
      </c>
      <c r="F2363" s="140" t="s">
        <v>6457</v>
      </c>
      <c r="G2363" s="141" t="s">
        <v>6311</v>
      </c>
      <c r="H2363" s="140" t="s">
        <v>6312</v>
      </c>
      <c r="I2363" s="140" t="s">
        <v>6313</v>
      </c>
      <c r="J2363" s="140" t="s">
        <v>6319</v>
      </c>
      <c r="K2363" s="140" t="s">
        <v>6320</v>
      </c>
    </row>
    <row r="2364">
      <c r="A2364" s="140" t="s">
        <v>5777</v>
      </c>
      <c r="B2364" s="140">
        <v>10844.0</v>
      </c>
      <c r="C2364" s="140" t="s">
        <v>9134</v>
      </c>
      <c r="D2364" s="140" t="s">
        <v>6318</v>
      </c>
      <c r="E2364" s="140" t="s">
        <v>6323</v>
      </c>
      <c r="F2364" s="140" t="s">
        <v>5774</v>
      </c>
      <c r="G2364" s="141" t="s">
        <v>6311</v>
      </c>
      <c r="H2364" s="140" t="s">
        <v>6312</v>
      </c>
      <c r="I2364" s="140" t="s">
        <v>6313</v>
      </c>
      <c r="J2364" s="140" t="s">
        <v>6319</v>
      </c>
      <c r="K2364" s="140" t="s">
        <v>6320</v>
      </c>
    </row>
    <row r="2365">
      <c r="A2365" s="140" t="s">
        <v>5777</v>
      </c>
      <c r="B2365" s="140" t="s">
        <v>9135</v>
      </c>
      <c r="C2365" s="140" t="s">
        <v>9136</v>
      </c>
      <c r="D2365" s="140" t="s">
        <v>6318</v>
      </c>
      <c r="E2365" s="140" t="s">
        <v>6323</v>
      </c>
      <c r="F2365" s="140" t="s">
        <v>5774</v>
      </c>
      <c r="G2365" s="141" t="s">
        <v>6311</v>
      </c>
      <c r="H2365" s="140" t="s">
        <v>6312</v>
      </c>
      <c r="I2365" s="140" t="s">
        <v>6313</v>
      </c>
      <c r="J2365" s="140" t="s">
        <v>6319</v>
      </c>
      <c r="K2365" s="140" t="s">
        <v>6320</v>
      </c>
    </row>
    <row r="2366">
      <c r="A2366" s="140" t="s">
        <v>5777</v>
      </c>
      <c r="B2366" s="140" t="s">
        <v>9137</v>
      </c>
      <c r="C2366" s="140" t="s">
        <v>9136</v>
      </c>
      <c r="D2366" s="140" t="s">
        <v>6318</v>
      </c>
      <c r="E2366" s="140" t="s">
        <v>6323</v>
      </c>
      <c r="F2366" s="140" t="s">
        <v>5774</v>
      </c>
      <c r="G2366" s="141" t="s">
        <v>6311</v>
      </c>
      <c r="H2366" s="140" t="s">
        <v>6312</v>
      </c>
      <c r="I2366" s="140" t="s">
        <v>6313</v>
      </c>
      <c r="J2366" s="140" t="s">
        <v>6319</v>
      </c>
      <c r="K2366" s="140" t="s">
        <v>6320</v>
      </c>
    </row>
    <row r="2367">
      <c r="A2367" s="140" t="s">
        <v>5777</v>
      </c>
      <c r="B2367" s="140" t="s">
        <v>9138</v>
      </c>
      <c r="C2367" s="140" t="s">
        <v>9136</v>
      </c>
      <c r="D2367" s="140" t="s">
        <v>6318</v>
      </c>
      <c r="E2367" s="140" t="s">
        <v>6323</v>
      </c>
      <c r="F2367" s="140" t="s">
        <v>5774</v>
      </c>
      <c r="G2367" s="141" t="s">
        <v>6311</v>
      </c>
      <c r="H2367" s="140" t="s">
        <v>6312</v>
      </c>
      <c r="I2367" s="140" t="s">
        <v>6313</v>
      </c>
      <c r="J2367" s="140" t="s">
        <v>6319</v>
      </c>
      <c r="K2367" s="140" t="s">
        <v>6320</v>
      </c>
    </row>
    <row r="2368">
      <c r="A2368" s="140" t="s">
        <v>5777</v>
      </c>
      <c r="B2368" s="140">
        <v>75095.0</v>
      </c>
      <c r="C2368" s="140" t="s">
        <v>9139</v>
      </c>
      <c r="D2368" s="140" t="s">
        <v>6318</v>
      </c>
      <c r="E2368" s="140" t="s">
        <v>6323</v>
      </c>
      <c r="F2368" s="140" t="s">
        <v>5774</v>
      </c>
      <c r="G2368" s="141" t="s">
        <v>6311</v>
      </c>
      <c r="H2368" s="140" t="s">
        <v>6312</v>
      </c>
      <c r="I2368" s="140" t="s">
        <v>6313</v>
      </c>
      <c r="J2368" s="140" t="s">
        <v>6319</v>
      </c>
      <c r="K2368" s="140" t="s">
        <v>6320</v>
      </c>
    </row>
    <row r="2369">
      <c r="A2369" s="140" t="s">
        <v>5777</v>
      </c>
      <c r="B2369" s="140">
        <v>74173.0</v>
      </c>
      <c r="C2369" s="140" t="s">
        <v>9140</v>
      </c>
      <c r="D2369" s="140" t="s">
        <v>6318</v>
      </c>
      <c r="E2369" s="140" t="s">
        <v>6323</v>
      </c>
      <c r="F2369" s="140" t="s">
        <v>5774</v>
      </c>
      <c r="G2369" s="141" t="s">
        <v>6311</v>
      </c>
      <c r="H2369" s="140" t="s">
        <v>6312</v>
      </c>
      <c r="I2369" s="140" t="s">
        <v>6313</v>
      </c>
      <c r="J2369" s="140" t="s">
        <v>6319</v>
      </c>
      <c r="K2369" s="140" t="s">
        <v>6320</v>
      </c>
    </row>
    <row r="2370">
      <c r="A2370" s="140" t="s">
        <v>5777</v>
      </c>
      <c r="B2370" s="140">
        <v>100054.0</v>
      </c>
      <c r="C2370" s="140" t="s">
        <v>9141</v>
      </c>
      <c r="D2370" s="140" t="s">
        <v>6318</v>
      </c>
      <c r="E2370" s="140" t="s">
        <v>6323</v>
      </c>
      <c r="F2370" s="140" t="s">
        <v>5774</v>
      </c>
      <c r="G2370" s="141" t="s">
        <v>6311</v>
      </c>
      <c r="H2370" s="140" t="s">
        <v>6312</v>
      </c>
      <c r="I2370" s="140" t="s">
        <v>6313</v>
      </c>
      <c r="J2370" s="140" t="s">
        <v>6319</v>
      </c>
      <c r="K2370" s="140" t="s">
        <v>6320</v>
      </c>
    </row>
    <row r="2371">
      <c r="A2371" s="140" t="s">
        <v>5777</v>
      </c>
      <c r="B2371" s="140">
        <v>75429.0</v>
      </c>
      <c r="C2371" s="140" t="s">
        <v>9142</v>
      </c>
      <c r="D2371" s="140" t="s">
        <v>6318</v>
      </c>
      <c r="E2371" s="140" t="s">
        <v>6323</v>
      </c>
      <c r="F2371" s="140" t="s">
        <v>5774</v>
      </c>
      <c r="G2371" s="141" t="s">
        <v>6311</v>
      </c>
      <c r="H2371" s="140" t="s">
        <v>6312</v>
      </c>
      <c r="I2371" s="140" t="s">
        <v>6313</v>
      </c>
      <c r="J2371" s="140" t="s">
        <v>6319</v>
      </c>
      <c r="K2371" s="140" t="s">
        <v>6320</v>
      </c>
    </row>
    <row r="2372">
      <c r="A2372" s="140" t="s">
        <v>5777</v>
      </c>
      <c r="B2372" s="140">
        <v>77898.0</v>
      </c>
      <c r="C2372" s="140" t="s">
        <v>9143</v>
      </c>
      <c r="D2372" s="140" t="s">
        <v>6318</v>
      </c>
      <c r="E2372" s="140" t="s">
        <v>6323</v>
      </c>
      <c r="F2372" s="140" t="s">
        <v>5774</v>
      </c>
      <c r="G2372" s="141" t="s">
        <v>6311</v>
      </c>
      <c r="H2372" s="140" t="s">
        <v>6312</v>
      </c>
      <c r="I2372" s="140" t="s">
        <v>6313</v>
      </c>
      <c r="J2372" s="140" t="s">
        <v>6319</v>
      </c>
      <c r="K2372" s="140" t="s">
        <v>6320</v>
      </c>
    </row>
    <row r="2373">
      <c r="A2373" s="140" t="s">
        <v>5828</v>
      </c>
      <c r="B2373" s="140">
        <v>75428.0</v>
      </c>
      <c r="C2373" s="140" t="s">
        <v>9144</v>
      </c>
      <c r="D2373" s="140" t="s">
        <v>6318</v>
      </c>
      <c r="E2373" s="140" t="s">
        <v>6323</v>
      </c>
      <c r="F2373" s="140" t="s">
        <v>5774</v>
      </c>
      <c r="G2373" s="141" t="s">
        <v>6311</v>
      </c>
      <c r="H2373" s="140" t="s">
        <v>6312</v>
      </c>
      <c r="I2373" s="140" t="s">
        <v>6313</v>
      </c>
      <c r="J2373" s="140" t="s">
        <v>6319</v>
      </c>
      <c r="K2373" s="140" t="s">
        <v>6320</v>
      </c>
    </row>
    <row r="2374">
      <c r="A2374" s="140" t="s">
        <v>5828</v>
      </c>
      <c r="B2374" s="140">
        <v>74172.0</v>
      </c>
      <c r="C2374" s="140" t="s">
        <v>9145</v>
      </c>
      <c r="D2374" s="140" t="s">
        <v>6318</v>
      </c>
      <c r="E2374" s="140" t="s">
        <v>6323</v>
      </c>
      <c r="F2374" s="140" t="s">
        <v>5774</v>
      </c>
      <c r="G2374" s="141" t="s">
        <v>6311</v>
      </c>
      <c r="H2374" s="140" t="s">
        <v>6312</v>
      </c>
      <c r="I2374" s="140" t="s">
        <v>6313</v>
      </c>
      <c r="J2374" s="140" t="s">
        <v>6319</v>
      </c>
      <c r="K2374" s="140" t="s">
        <v>6320</v>
      </c>
    </row>
    <row r="2375">
      <c r="A2375" s="140" t="s">
        <v>5777</v>
      </c>
      <c r="B2375" s="140">
        <v>77910.0</v>
      </c>
      <c r="C2375" s="140" t="s">
        <v>9146</v>
      </c>
      <c r="D2375" s="140" t="s">
        <v>6318</v>
      </c>
      <c r="E2375" s="140" t="s">
        <v>1219</v>
      </c>
      <c r="F2375" s="140" t="s">
        <v>1220</v>
      </c>
      <c r="G2375" s="141" t="s">
        <v>6311</v>
      </c>
      <c r="H2375" s="140" t="s">
        <v>6312</v>
      </c>
      <c r="I2375" s="140" t="s">
        <v>6313</v>
      </c>
      <c r="J2375" s="140" t="s">
        <v>6319</v>
      </c>
      <c r="K2375" s="140" t="s">
        <v>6320</v>
      </c>
    </row>
    <row r="2376">
      <c r="A2376" s="140" t="s">
        <v>5777</v>
      </c>
      <c r="B2376" s="140">
        <v>74048.0</v>
      </c>
      <c r="C2376" s="140" t="s">
        <v>9147</v>
      </c>
      <c r="D2376" s="140" t="s">
        <v>6318</v>
      </c>
      <c r="E2376" s="140" t="s">
        <v>1219</v>
      </c>
      <c r="F2376" s="140" t="s">
        <v>5790</v>
      </c>
      <c r="G2376" s="141" t="s">
        <v>6311</v>
      </c>
      <c r="H2376" s="140" t="s">
        <v>6312</v>
      </c>
      <c r="I2376" s="140" t="s">
        <v>6313</v>
      </c>
      <c r="J2376" s="140" t="s">
        <v>6319</v>
      </c>
      <c r="K2376" s="140" t="s">
        <v>6320</v>
      </c>
    </row>
    <row r="2377">
      <c r="A2377" s="140" t="s">
        <v>5777</v>
      </c>
      <c r="B2377" s="140">
        <v>77161.0</v>
      </c>
      <c r="C2377" s="140" t="s">
        <v>9148</v>
      </c>
      <c r="D2377" s="140" t="s">
        <v>6318</v>
      </c>
      <c r="E2377" s="140" t="s">
        <v>598</v>
      </c>
      <c r="F2377" s="140" t="s">
        <v>6338</v>
      </c>
      <c r="G2377" s="141" t="s">
        <v>6311</v>
      </c>
      <c r="H2377" s="140" t="s">
        <v>6312</v>
      </c>
      <c r="I2377" s="140" t="s">
        <v>6313</v>
      </c>
      <c r="J2377" s="140" t="s">
        <v>6319</v>
      </c>
      <c r="K2377" s="140" t="s">
        <v>6320</v>
      </c>
    </row>
    <row r="2378">
      <c r="A2378" s="140" t="s">
        <v>5777</v>
      </c>
      <c r="B2378" s="140">
        <v>77335.0</v>
      </c>
      <c r="C2378" s="140" t="s">
        <v>9149</v>
      </c>
      <c r="D2378" s="140" t="s">
        <v>6318</v>
      </c>
      <c r="E2378" s="140" t="s">
        <v>598</v>
      </c>
      <c r="F2378" s="140" t="s">
        <v>6338</v>
      </c>
      <c r="G2378" s="141" t="s">
        <v>6311</v>
      </c>
      <c r="H2378" s="140" t="s">
        <v>6312</v>
      </c>
      <c r="I2378" s="140" t="s">
        <v>6313</v>
      </c>
      <c r="J2378" s="140" t="s">
        <v>6319</v>
      </c>
      <c r="K2378" s="140" t="s">
        <v>6320</v>
      </c>
    </row>
    <row r="2379">
      <c r="A2379" s="140" t="s">
        <v>5777</v>
      </c>
      <c r="B2379" s="140">
        <v>75302.0</v>
      </c>
      <c r="C2379" s="140" t="s">
        <v>9150</v>
      </c>
      <c r="D2379" s="140" t="s">
        <v>6318</v>
      </c>
      <c r="E2379" s="140" t="s">
        <v>598</v>
      </c>
      <c r="F2379" s="140" t="s">
        <v>6338</v>
      </c>
      <c r="G2379" s="141" t="s">
        <v>6311</v>
      </c>
      <c r="H2379" s="140" t="s">
        <v>6312</v>
      </c>
      <c r="I2379" s="140" t="s">
        <v>6313</v>
      </c>
      <c r="J2379" s="140" t="s">
        <v>6319</v>
      </c>
      <c r="K2379" s="140" t="s">
        <v>6320</v>
      </c>
    </row>
    <row r="2380">
      <c r="A2380" s="140" t="s">
        <v>5777</v>
      </c>
      <c r="B2380" s="140">
        <v>75225.0</v>
      </c>
      <c r="C2380" s="140" t="s">
        <v>9151</v>
      </c>
      <c r="D2380" s="140" t="s">
        <v>6318</v>
      </c>
      <c r="E2380" s="140" t="s">
        <v>598</v>
      </c>
      <c r="F2380" s="140" t="s">
        <v>6338</v>
      </c>
      <c r="G2380" s="141" t="s">
        <v>6311</v>
      </c>
      <c r="H2380" s="140" t="s">
        <v>6312</v>
      </c>
      <c r="I2380" s="140" t="s">
        <v>6313</v>
      </c>
      <c r="J2380" s="140" t="s">
        <v>6319</v>
      </c>
      <c r="K2380" s="140" t="s">
        <v>6320</v>
      </c>
    </row>
    <row r="2381">
      <c r="A2381" s="140" t="s">
        <v>5777</v>
      </c>
      <c r="B2381" s="140">
        <v>71940.0</v>
      </c>
      <c r="C2381" s="140" t="s">
        <v>9152</v>
      </c>
      <c r="D2381" s="140" t="s">
        <v>6318</v>
      </c>
      <c r="E2381" s="140" t="s">
        <v>6142</v>
      </c>
      <c r="F2381" s="140" t="s">
        <v>6476</v>
      </c>
      <c r="G2381" s="141" t="s">
        <v>6311</v>
      </c>
      <c r="H2381" s="140" t="s">
        <v>6312</v>
      </c>
      <c r="I2381" s="140" t="s">
        <v>6313</v>
      </c>
      <c r="J2381" s="140" t="s">
        <v>6319</v>
      </c>
      <c r="K2381" s="140" t="s">
        <v>6320</v>
      </c>
    </row>
    <row r="2382">
      <c r="A2382" s="140" t="s">
        <v>5828</v>
      </c>
      <c r="B2382" s="140">
        <v>49452.0</v>
      </c>
      <c r="C2382" s="140" t="s">
        <v>9153</v>
      </c>
      <c r="D2382" s="140" t="s">
        <v>6318</v>
      </c>
      <c r="E2382" s="140" t="s">
        <v>6142</v>
      </c>
      <c r="F2382" s="140" t="s">
        <v>6476</v>
      </c>
      <c r="G2382" s="141" t="s">
        <v>6311</v>
      </c>
      <c r="H2382" s="140" t="s">
        <v>6312</v>
      </c>
      <c r="I2382" s="140" t="s">
        <v>6313</v>
      </c>
      <c r="J2382" s="140" t="s">
        <v>6319</v>
      </c>
      <c r="K2382" s="140" t="s">
        <v>6320</v>
      </c>
    </row>
    <row r="2383">
      <c r="A2383" s="140" t="s">
        <v>5777</v>
      </c>
      <c r="B2383" s="140">
        <v>71878.0</v>
      </c>
      <c r="C2383" s="140" t="s">
        <v>9154</v>
      </c>
      <c r="D2383" s="140" t="s">
        <v>6318</v>
      </c>
      <c r="E2383" s="140" t="s">
        <v>6142</v>
      </c>
      <c r="F2383" s="140" t="s">
        <v>6476</v>
      </c>
      <c r="G2383" s="141" t="s">
        <v>6311</v>
      </c>
      <c r="H2383" s="140" t="s">
        <v>6312</v>
      </c>
      <c r="I2383" s="140" t="s">
        <v>6313</v>
      </c>
      <c r="J2383" s="140" t="s">
        <v>6319</v>
      </c>
      <c r="K2383" s="140" t="s">
        <v>6320</v>
      </c>
    </row>
    <row r="2384">
      <c r="A2384" s="140" t="s">
        <v>5777</v>
      </c>
      <c r="B2384" s="140">
        <v>70042.0</v>
      </c>
      <c r="C2384" s="140" t="s">
        <v>9155</v>
      </c>
      <c r="D2384" s="140" t="s">
        <v>6318</v>
      </c>
      <c r="E2384" s="140" t="s">
        <v>6142</v>
      </c>
      <c r="F2384" s="140" t="s">
        <v>6476</v>
      </c>
      <c r="G2384" s="141" t="s">
        <v>6311</v>
      </c>
      <c r="H2384" s="140" t="s">
        <v>6312</v>
      </c>
      <c r="I2384" s="140" t="s">
        <v>6313</v>
      </c>
      <c r="J2384" s="140" t="s">
        <v>6319</v>
      </c>
      <c r="K2384" s="140" t="s">
        <v>6320</v>
      </c>
    </row>
    <row r="2385">
      <c r="A2385" s="140" t="s">
        <v>5828</v>
      </c>
      <c r="B2385" s="140">
        <v>701717.0</v>
      </c>
      <c r="C2385" s="140" t="s">
        <v>9155</v>
      </c>
      <c r="D2385" s="140" t="s">
        <v>6318</v>
      </c>
      <c r="E2385" s="140" t="s">
        <v>6142</v>
      </c>
      <c r="F2385" s="140" t="s">
        <v>6476</v>
      </c>
      <c r="G2385" s="141" t="s">
        <v>6311</v>
      </c>
      <c r="H2385" s="140" t="s">
        <v>6312</v>
      </c>
      <c r="I2385" s="140" t="s">
        <v>6313</v>
      </c>
      <c r="J2385" s="140" t="s">
        <v>6319</v>
      </c>
      <c r="K2385" s="140" t="s">
        <v>6320</v>
      </c>
    </row>
    <row r="2386">
      <c r="A2386" s="140" t="s">
        <v>5777</v>
      </c>
      <c r="B2386" s="140">
        <v>701749.0</v>
      </c>
      <c r="C2386" s="140" t="s">
        <v>9156</v>
      </c>
      <c r="D2386" s="140" t="s">
        <v>6318</v>
      </c>
      <c r="E2386" s="140" t="s">
        <v>6142</v>
      </c>
      <c r="F2386" s="140" t="s">
        <v>5760</v>
      </c>
      <c r="G2386" s="141" t="s">
        <v>6311</v>
      </c>
      <c r="H2386" s="140" t="s">
        <v>6312</v>
      </c>
      <c r="I2386" s="140" t="s">
        <v>6313</v>
      </c>
      <c r="J2386" s="140" t="s">
        <v>6319</v>
      </c>
      <c r="K2386" s="140" t="s">
        <v>6320</v>
      </c>
    </row>
    <row r="2387">
      <c r="A2387" s="140" t="s">
        <v>5777</v>
      </c>
      <c r="B2387" s="140">
        <v>701720.0</v>
      </c>
      <c r="C2387" s="140" t="s">
        <v>9157</v>
      </c>
      <c r="D2387" s="140" t="s">
        <v>6318</v>
      </c>
      <c r="E2387" s="140" t="s">
        <v>6142</v>
      </c>
      <c r="F2387" s="140" t="s">
        <v>5760</v>
      </c>
      <c r="G2387" s="141" t="s">
        <v>6311</v>
      </c>
      <c r="H2387" s="140" t="s">
        <v>6312</v>
      </c>
      <c r="I2387" s="140" t="s">
        <v>6313</v>
      </c>
      <c r="J2387" s="140" t="s">
        <v>6319</v>
      </c>
      <c r="K2387" s="140" t="s">
        <v>6320</v>
      </c>
    </row>
    <row r="2388">
      <c r="A2388" s="140" t="s">
        <v>5777</v>
      </c>
      <c r="B2388" s="140">
        <v>71244.0</v>
      </c>
      <c r="C2388" s="140" t="s">
        <v>9158</v>
      </c>
      <c r="D2388" s="140" t="s">
        <v>6318</v>
      </c>
      <c r="E2388" s="140" t="s">
        <v>6142</v>
      </c>
      <c r="F2388" s="140" t="s">
        <v>5760</v>
      </c>
      <c r="G2388" s="141" t="s">
        <v>6311</v>
      </c>
      <c r="H2388" s="140" t="s">
        <v>6312</v>
      </c>
      <c r="I2388" s="140" t="s">
        <v>6313</v>
      </c>
      <c r="J2388" s="140" t="s">
        <v>6319</v>
      </c>
      <c r="K2388" s="140" t="s">
        <v>6320</v>
      </c>
    </row>
    <row r="2389">
      <c r="A2389" s="140" t="s">
        <v>5828</v>
      </c>
      <c r="B2389" s="140">
        <v>72847.0</v>
      </c>
      <c r="C2389" s="140" t="s">
        <v>9159</v>
      </c>
      <c r="D2389" s="140" t="s">
        <v>6318</v>
      </c>
      <c r="E2389" s="140" t="s">
        <v>7938</v>
      </c>
      <c r="F2389" s="140" t="s">
        <v>7939</v>
      </c>
      <c r="G2389" s="141" t="s">
        <v>6311</v>
      </c>
      <c r="H2389" s="140" t="s">
        <v>6312</v>
      </c>
      <c r="I2389" s="140" t="s">
        <v>6313</v>
      </c>
      <c r="J2389" s="140" t="s">
        <v>6319</v>
      </c>
      <c r="K2389" s="140" t="s">
        <v>6320</v>
      </c>
    </row>
    <row r="2390">
      <c r="A2390" s="140" t="s">
        <v>5777</v>
      </c>
      <c r="B2390" s="140">
        <v>97974.0</v>
      </c>
      <c r="C2390" s="140" t="s">
        <v>9160</v>
      </c>
      <c r="D2390" s="140" t="s">
        <v>6318</v>
      </c>
      <c r="E2390" s="140" t="s">
        <v>7938</v>
      </c>
      <c r="F2390" s="140" t="s">
        <v>7939</v>
      </c>
      <c r="G2390" s="141" t="s">
        <v>6311</v>
      </c>
      <c r="H2390" s="140" t="s">
        <v>6312</v>
      </c>
      <c r="I2390" s="140" t="s">
        <v>6313</v>
      </c>
      <c r="J2390" s="140" t="s">
        <v>6319</v>
      </c>
      <c r="K2390" s="140" t="s">
        <v>6320</v>
      </c>
    </row>
    <row r="2391">
      <c r="A2391" s="140" t="s">
        <v>5777</v>
      </c>
      <c r="B2391" s="140">
        <v>47991.0</v>
      </c>
      <c r="C2391" s="140" t="s">
        <v>9161</v>
      </c>
      <c r="D2391" s="140" t="s">
        <v>6318</v>
      </c>
      <c r="E2391" s="140" t="s">
        <v>7938</v>
      </c>
      <c r="F2391" s="140" t="s">
        <v>7939</v>
      </c>
      <c r="G2391" s="141" t="s">
        <v>6311</v>
      </c>
      <c r="H2391" s="140" t="s">
        <v>6312</v>
      </c>
      <c r="I2391" s="140" t="s">
        <v>6313</v>
      </c>
      <c r="J2391" s="140" t="s">
        <v>6319</v>
      </c>
      <c r="K2391" s="140" t="s">
        <v>6320</v>
      </c>
    </row>
    <row r="2392">
      <c r="A2392" s="140" t="s">
        <v>5777</v>
      </c>
      <c r="B2392" s="140">
        <v>74085.0</v>
      </c>
      <c r="C2392" s="140" t="s">
        <v>9162</v>
      </c>
      <c r="D2392" s="140" t="s">
        <v>6318</v>
      </c>
      <c r="E2392" s="140" t="s">
        <v>7938</v>
      </c>
      <c r="F2392" s="140" t="s">
        <v>7939</v>
      </c>
      <c r="G2392" s="141" t="s">
        <v>6311</v>
      </c>
      <c r="H2392" s="140" t="s">
        <v>6312</v>
      </c>
      <c r="I2392" s="140" t="s">
        <v>6313</v>
      </c>
      <c r="J2392" s="140" t="s">
        <v>6319</v>
      </c>
      <c r="K2392" s="140" t="s">
        <v>6320</v>
      </c>
    </row>
    <row r="2393">
      <c r="A2393" s="140" t="s">
        <v>5777</v>
      </c>
      <c r="B2393" s="140">
        <v>72290.0</v>
      </c>
      <c r="C2393" s="140" t="s">
        <v>9163</v>
      </c>
      <c r="D2393" s="140" t="s">
        <v>6318</v>
      </c>
      <c r="E2393" s="140" t="s">
        <v>7938</v>
      </c>
      <c r="F2393" s="140" t="s">
        <v>7152</v>
      </c>
      <c r="G2393" s="141" t="s">
        <v>6311</v>
      </c>
      <c r="H2393" s="140" t="s">
        <v>6312</v>
      </c>
      <c r="I2393" s="140" t="s">
        <v>6313</v>
      </c>
      <c r="J2393" s="140" t="s">
        <v>6319</v>
      </c>
      <c r="K2393" s="140" t="s">
        <v>6320</v>
      </c>
    </row>
    <row r="2394">
      <c r="A2394" s="140" t="s">
        <v>5777</v>
      </c>
      <c r="B2394" s="140">
        <v>47457.0</v>
      </c>
      <c r="C2394" s="140" t="s">
        <v>9164</v>
      </c>
      <c r="D2394" s="140" t="s">
        <v>6318</v>
      </c>
      <c r="E2394" s="140" t="s">
        <v>7938</v>
      </c>
      <c r="F2394" s="140" t="s">
        <v>7152</v>
      </c>
      <c r="G2394" s="141" t="s">
        <v>6311</v>
      </c>
      <c r="H2394" s="140" t="s">
        <v>6312</v>
      </c>
      <c r="I2394" s="140" t="s">
        <v>6313</v>
      </c>
      <c r="J2394" s="140" t="s">
        <v>6319</v>
      </c>
      <c r="K2394" s="140" t="s">
        <v>6320</v>
      </c>
    </row>
    <row r="2395">
      <c r="A2395" s="140" t="s">
        <v>5777</v>
      </c>
      <c r="B2395" s="140">
        <v>73542.0</v>
      </c>
      <c r="C2395" s="140" t="s">
        <v>9165</v>
      </c>
      <c r="D2395" s="140" t="s">
        <v>6318</v>
      </c>
      <c r="E2395" s="140" t="s">
        <v>7938</v>
      </c>
      <c r="F2395" s="140" t="s">
        <v>7152</v>
      </c>
      <c r="G2395" s="141" t="s">
        <v>6311</v>
      </c>
      <c r="H2395" s="140" t="s">
        <v>6312</v>
      </c>
      <c r="I2395" s="140" t="s">
        <v>6313</v>
      </c>
      <c r="J2395" s="140" t="s">
        <v>6319</v>
      </c>
      <c r="K2395" s="140" t="s">
        <v>6320</v>
      </c>
    </row>
    <row r="2396">
      <c r="A2396" s="140" t="s">
        <v>5777</v>
      </c>
      <c r="B2396" s="140">
        <v>71903.0</v>
      </c>
      <c r="C2396" s="140" t="s">
        <v>9166</v>
      </c>
      <c r="D2396" s="140" t="s">
        <v>6620</v>
      </c>
      <c r="E2396" s="140" t="s">
        <v>7268</v>
      </c>
      <c r="F2396" s="140" t="s">
        <v>7269</v>
      </c>
      <c r="G2396" s="141" t="s">
        <v>6311</v>
      </c>
      <c r="H2396" s="140" t="s">
        <v>6312</v>
      </c>
      <c r="I2396" s="140" t="s">
        <v>6313</v>
      </c>
      <c r="J2396" s="140" t="s">
        <v>6319</v>
      </c>
      <c r="K2396" s="140" t="s">
        <v>6320</v>
      </c>
    </row>
    <row r="2397">
      <c r="A2397" s="140" t="s">
        <v>5777</v>
      </c>
      <c r="B2397" s="140">
        <v>71824.0</v>
      </c>
      <c r="C2397" s="140" t="s">
        <v>9167</v>
      </c>
      <c r="D2397" s="140" t="s">
        <v>6620</v>
      </c>
      <c r="E2397" s="140" t="s">
        <v>7268</v>
      </c>
      <c r="F2397" s="140" t="s">
        <v>7269</v>
      </c>
      <c r="G2397" s="141" t="s">
        <v>6311</v>
      </c>
      <c r="H2397" s="140" t="s">
        <v>6312</v>
      </c>
      <c r="I2397" s="140" t="s">
        <v>6313</v>
      </c>
      <c r="J2397" s="140" t="s">
        <v>6319</v>
      </c>
      <c r="K2397" s="140" t="s">
        <v>6320</v>
      </c>
    </row>
    <row r="2398">
      <c r="A2398" s="140" t="s">
        <v>5777</v>
      </c>
      <c r="B2398" s="140">
        <v>50119.0</v>
      </c>
      <c r="C2398" s="140" t="s">
        <v>9168</v>
      </c>
      <c r="D2398" s="140" t="s">
        <v>6318</v>
      </c>
      <c r="E2398" s="140" t="s">
        <v>8000</v>
      </c>
      <c r="F2398" s="140" t="s">
        <v>8001</v>
      </c>
      <c r="G2398" s="141" t="s">
        <v>6311</v>
      </c>
      <c r="H2398" s="140" t="s">
        <v>6312</v>
      </c>
      <c r="I2398" s="140" t="s">
        <v>6313</v>
      </c>
      <c r="J2398" s="140" t="s">
        <v>6319</v>
      </c>
      <c r="K2398" s="140" t="s">
        <v>6320</v>
      </c>
    </row>
    <row r="2399">
      <c r="A2399" s="140" t="s">
        <v>5777</v>
      </c>
      <c r="B2399" s="140">
        <v>751873.0</v>
      </c>
      <c r="C2399" s="140" t="s">
        <v>9169</v>
      </c>
      <c r="D2399" s="140" t="s">
        <v>6318</v>
      </c>
      <c r="E2399" s="140" t="s">
        <v>8000</v>
      </c>
      <c r="F2399" s="140" t="s">
        <v>8001</v>
      </c>
      <c r="G2399" s="141" t="s">
        <v>6311</v>
      </c>
      <c r="H2399" s="140" t="s">
        <v>6312</v>
      </c>
      <c r="I2399" s="140" t="s">
        <v>6313</v>
      </c>
      <c r="J2399" s="140" t="s">
        <v>6319</v>
      </c>
      <c r="K2399" s="140" t="s">
        <v>6320</v>
      </c>
    </row>
    <row r="2400">
      <c r="A2400" s="140" t="s">
        <v>5777</v>
      </c>
      <c r="B2400" s="140">
        <v>83136.0</v>
      </c>
      <c r="C2400" s="140" t="s">
        <v>9170</v>
      </c>
      <c r="D2400" s="140" t="s">
        <v>6318</v>
      </c>
      <c r="E2400" s="140" t="s">
        <v>1225</v>
      </c>
      <c r="F2400" s="140" t="s">
        <v>1243</v>
      </c>
      <c r="G2400" s="141" t="s">
        <v>6311</v>
      </c>
      <c r="H2400" s="140" t="s">
        <v>6312</v>
      </c>
      <c r="I2400" s="140" t="s">
        <v>6313</v>
      </c>
      <c r="J2400" s="140" t="s">
        <v>6319</v>
      </c>
      <c r="K2400" s="140" t="s">
        <v>6320</v>
      </c>
    </row>
    <row r="2401">
      <c r="A2401" s="140" t="s">
        <v>5777</v>
      </c>
      <c r="B2401" s="140">
        <v>83138.0</v>
      </c>
      <c r="C2401" s="140" t="s">
        <v>9171</v>
      </c>
      <c r="D2401" s="140" t="s">
        <v>6318</v>
      </c>
      <c r="E2401" s="140" t="s">
        <v>1225</v>
      </c>
      <c r="F2401" s="140" t="s">
        <v>1243</v>
      </c>
      <c r="G2401" s="141" t="s">
        <v>6311</v>
      </c>
      <c r="H2401" s="140" t="s">
        <v>6312</v>
      </c>
      <c r="I2401" s="140" t="s">
        <v>6313</v>
      </c>
      <c r="J2401" s="140" t="s">
        <v>6319</v>
      </c>
      <c r="K2401" s="140" t="s">
        <v>6320</v>
      </c>
    </row>
    <row r="2402">
      <c r="A2402" s="140" t="s">
        <v>5777</v>
      </c>
      <c r="B2402" s="140">
        <v>83222.0</v>
      </c>
      <c r="C2402" s="140" t="s">
        <v>9172</v>
      </c>
      <c r="D2402" s="140" t="s">
        <v>6318</v>
      </c>
      <c r="E2402" s="140" t="s">
        <v>1225</v>
      </c>
      <c r="F2402" s="140" t="s">
        <v>1243</v>
      </c>
      <c r="G2402" s="141" t="s">
        <v>6311</v>
      </c>
      <c r="H2402" s="140" t="s">
        <v>6312</v>
      </c>
      <c r="I2402" s="140" t="s">
        <v>6313</v>
      </c>
      <c r="J2402" s="140" t="s">
        <v>6319</v>
      </c>
      <c r="K2402" s="140" t="s">
        <v>6320</v>
      </c>
    </row>
    <row r="2403">
      <c r="A2403" s="140" t="s">
        <v>5777</v>
      </c>
      <c r="B2403" s="140">
        <v>75408.0</v>
      </c>
      <c r="C2403" s="140" t="s">
        <v>9173</v>
      </c>
      <c r="D2403" s="140" t="s">
        <v>6318</v>
      </c>
      <c r="E2403" s="140" t="s">
        <v>1225</v>
      </c>
      <c r="F2403" s="140" t="s">
        <v>1243</v>
      </c>
      <c r="G2403" s="141" t="s">
        <v>6311</v>
      </c>
      <c r="H2403" s="140" t="s">
        <v>6312</v>
      </c>
      <c r="I2403" s="140" t="s">
        <v>6313</v>
      </c>
      <c r="J2403" s="140" t="s">
        <v>6319</v>
      </c>
      <c r="K2403" s="140" t="s">
        <v>6320</v>
      </c>
    </row>
    <row r="2404">
      <c r="A2404" s="140" t="s">
        <v>5777</v>
      </c>
      <c r="B2404" s="140">
        <v>75157.0</v>
      </c>
      <c r="C2404" s="140" t="s">
        <v>9174</v>
      </c>
      <c r="D2404" s="140" t="s">
        <v>6318</v>
      </c>
      <c r="E2404" s="140" t="s">
        <v>1225</v>
      </c>
      <c r="F2404" s="140" t="s">
        <v>1243</v>
      </c>
      <c r="G2404" s="141" t="s">
        <v>6311</v>
      </c>
      <c r="H2404" s="140" t="s">
        <v>6312</v>
      </c>
      <c r="I2404" s="140" t="s">
        <v>6313</v>
      </c>
      <c r="J2404" s="140" t="s">
        <v>6319</v>
      </c>
      <c r="K2404" s="140" t="s">
        <v>6320</v>
      </c>
    </row>
    <row r="2405">
      <c r="A2405" s="140" t="s">
        <v>5777</v>
      </c>
      <c r="B2405" s="140">
        <v>77078.0</v>
      </c>
      <c r="C2405" s="140" t="s">
        <v>9175</v>
      </c>
      <c r="D2405" s="140" t="s">
        <v>6318</v>
      </c>
      <c r="E2405" s="140" t="s">
        <v>1225</v>
      </c>
      <c r="F2405" s="140" t="s">
        <v>1286</v>
      </c>
      <c r="G2405" s="141" t="s">
        <v>6311</v>
      </c>
      <c r="H2405" s="140" t="s">
        <v>6312</v>
      </c>
      <c r="I2405" s="140" t="s">
        <v>6313</v>
      </c>
      <c r="J2405" s="140" t="s">
        <v>6319</v>
      </c>
      <c r="K2405" s="140" t="s">
        <v>6320</v>
      </c>
    </row>
    <row r="2406">
      <c r="A2406" s="140" t="s">
        <v>5777</v>
      </c>
      <c r="B2406" s="140" t="s">
        <v>6193</v>
      </c>
      <c r="C2406" s="140" t="s">
        <v>9176</v>
      </c>
      <c r="D2406" s="140" t="s">
        <v>6318</v>
      </c>
      <c r="E2406" s="140" t="s">
        <v>1225</v>
      </c>
      <c r="F2406" s="140" t="s">
        <v>1286</v>
      </c>
      <c r="G2406" s="141" t="s">
        <v>6311</v>
      </c>
      <c r="H2406" s="140" t="s">
        <v>6312</v>
      </c>
      <c r="I2406" s="140" t="s">
        <v>6313</v>
      </c>
      <c r="J2406" s="140" t="s">
        <v>6319</v>
      </c>
      <c r="K2406" s="140" t="s">
        <v>6320</v>
      </c>
    </row>
    <row r="2407">
      <c r="A2407" s="140" t="s">
        <v>5777</v>
      </c>
      <c r="B2407" s="140" t="s">
        <v>6192</v>
      </c>
      <c r="C2407" s="140" t="s">
        <v>9176</v>
      </c>
      <c r="D2407" s="140" t="s">
        <v>6318</v>
      </c>
      <c r="E2407" s="140" t="s">
        <v>1225</v>
      </c>
      <c r="F2407" s="140" t="s">
        <v>1286</v>
      </c>
      <c r="G2407" s="141" t="s">
        <v>6311</v>
      </c>
      <c r="H2407" s="140" t="s">
        <v>6312</v>
      </c>
      <c r="I2407" s="140" t="s">
        <v>6313</v>
      </c>
      <c r="J2407" s="140" t="s">
        <v>6319</v>
      </c>
      <c r="K2407" s="140" t="s">
        <v>6320</v>
      </c>
    </row>
    <row r="2408">
      <c r="A2408" s="140" t="s">
        <v>5777</v>
      </c>
      <c r="B2408" s="140" t="s">
        <v>6190</v>
      </c>
      <c r="C2408" s="140" t="s">
        <v>9176</v>
      </c>
      <c r="D2408" s="140" t="s">
        <v>6318</v>
      </c>
      <c r="E2408" s="140" t="s">
        <v>1225</v>
      </c>
      <c r="F2408" s="140" t="s">
        <v>1286</v>
      </c>
      <c r="G2408" s="141" t="s">
        <v>6311</v>
      </c>
      <c r="H2408" s="140" t="s">
        <v>6312</v>
      </c>
      <c r="I2408" s="140" t="s">
        <v>6313</v>
      </c>
      <c r="J2408" s="140" t="s">
        <v>6319</v>
      </c>
      <c r="K2408" s="140" t="s">
        <v>6320</v>
      </c>
    </row>
    <row r="2409">
      <c r="A2409" s="140" t="s">
        <v>5777</v>
      </c>
      <c r="B2409" s="140">
        <v>75391.0</v>
      </c>
      <c r="C2409" s="140" t="s">
        <v>9177</v>
      </c>
      <c r="D2409" s="140" t="s">
        <v>6318</v>
      </c>
      <c r="E2409" s="140" t="s">
        <v>1225</v>
      </c>
      <c r="F2409" s="140" t="s">
        <v>1293</v>
      </c>
      <c r="G2409" s="141" t="s">
        <v>6311</v>
      </c>
      <c r="H2409" s="140" t="s">
        <v>6312</v>
      </c>
      <c r="I2409" s="140" t="s">
        <v>6313</v>
      </c>
      <c r="J2409" s="140" t="s">
        <v>6319</v>
      </c>
      <c r="K2409" s="140" t="s">
        <v>6320</v>
      </c>
    </row>
    <row r="2410">
      <c r="A2410" s="140" t="s">
        <v>5777</v>
      </c>
      <c r="B2410" s="140">
        <v>75380.0</v>
      </c>
      <c r="C2410" s="140" t="s">
        <v>9178</v>
      </c>
      <c r="D2410" s="140" t="s">
        <v>6318</v>
      </c>
      <c r="E2410" s="140" t="s">
        <v>1225</v>
      </c>
      <c r="F2410" s="140" t="s">
        <v>1293</v>
      </c>
      <c r="G2410" s="141" t="s">
        <v>6311</v>
      </c>
      <c r="H2410" s="140" t="s">
        <v>6312</v>
      </c>
      <c r="I2410" s="140" t="s">
        <v>6313</v>
      </c>
      <c r="J2410" s="140" t="s">
        <v>6319</v>
      </c>
      <c r="K2410" s="140" t="s">
        <v>6320</v>
      </c>
    </row>
    <row r="2411">
      <c r="A2411" s="140" t="s">
        <v>5777</v>
      </c>
      <c r="B2411" s="140">
        <v>10624.0</v>
      </c>
      <c r="C2411" s="140" t="s">
        <v>9179</v>
      </c>
      <c r="D2411" s="140" t="s">
        <v>6318</v>
      </c>
      <c r="E2411" s="140" t="s">
        <v>1225</v>
      </c>
      <c r="F2411" s="140" t="s">
        <v>1293</v>
      </c>
      <c r="G2411" s="141" t="s">
        <v>6311</v>
      </c>
      <c r="H2411" s="140" t="s">
        <v>6312</v>
      </c>
      <c r="I2411" s="140" t="s">
        <v>6313</v>
      </c>
      <c r="J2411" s="140" t="s">
        <v>6319</v>
      </c>
      <c r="K2411" s="140" t="s">
        <v>6320</v>
      </c>
    </row>
    <row r="2412">
      <c r="A2412" s="140" t="s">
        <v>5777</v>
      </c>
      <c r="B2412" s="140">
        <v>128648.0</v>
      </c>
      <c r="C2412" s="140" t="s">
        <v>9180</v>
      </c>
      <c r="D2412" s="140" t="s">
        <v>6318</v>
      </c>
      <c r="E2412" s="140" t="s">
        <v>1225</v>
      </c>
      <c r="F2412" s="140" t="s">
        <v>1293</v>
      </c>
      <c r="G2412" s="141" t="s">
        <v>6311</v>
      </c>
      <c r="H2412" s="140" t="s">
        <v>6312</v>
      </c>
      <c r="I2412" s="140" t="s">
        <v>6313</v>
      </c>
      <c r="J2412" s="140" t="s">
        <v>6319</v>
      </c>
      <c r="K2412" s="140" t="s">
        <v>6320</v>
      </c>
    </row>
    <row r="2413">
      <c r="A2413" s="140" t="s">
        <v>5828</v>
      </c>
      <c r="B2413" s="140">
        <v>72746.0</v>
      </c>
      <c r="C2413" s="140" t="s">
        <v>9181</v>
      </c>
      <c r="D2413" s="140" t="s">
        <v>6318</v>
      </c>
      <c r="E2413" s="140" t="s">
        <v>1225</v>
      </c>
      <c r="F2413" s="140" t="s">
        <v>1293</v>
      </c>
      <c r="G2413" s="141" t="s">
        <v>6311</v>
      </c>
      <c r="H2413" s="140" t="s">
        <v>6312</v>
      </c>
      <c r="I2413" s="140" t="s">
        <v>6313</v>
      </c>
      <c r="J2413" s="140" t="s">
        <v>6319</v>
      </c>
      <c r="K2413" s="140" t="s">
        <v>6320</v>
      </c>
    </row>
    <row r="2414">
      <c r="A2414" s="140" t="s">
        <v>5777</v>
      </c>
      <c r="B2414" s="140">
        <v>75571.0</v>
      </c>
      <c r="C2414" s="140" t="s">
        <v>9182</v>
      </c>
      <c r="D2414" s="140" t="s">
        <v>6318</v>
      </c>
      <c r="E2414" s="140" t="s">
        <v>1225</v>
      </c>
      <c r="F2414" s="140" t="s">
        <v>1293</v>
      </c>
      <c r="G2414" s="141" t="s">
        <v>6311</v>
      </c>
      <c r="H2414" s="140" t="s">
        <v>6312</v>
      </c>
      <c r="I2414" s="140" t="s">
        <v>6313</v>
      </c>
      <c r="J2414" s="140" t="s">
        <v>6319</v>
      </c>
      <c r="K2414" s="140" t="s">
        <v>6320</v>
      </c>
    </row>
    <row r="2415">
      <c r="A2415" s="140" t="s">
        <v>5777</v>
      </c>
      <c r="B2415" s="140">
        <v>77071.0</v>
      </c>
      <c r="C2415" s="140" t="s">
        <v>9183</v>
      </c>
      <c r="D2415" s="140" t="s">
        <v>6318</v>
      </c>
      <c r="E2415" s="140" t="s">
        <v>1225</v>
      </c>
      <c r="F2415" s="140" t="s">
        <v>1293</v>
      </c>
      <c r="G2415" s="141" t="s">
        <v>6311</v>
      </c>
      <c r="H2415" s="140" t="s">
        <v>6312</v>
      </c>
      <c r="I2415" s="140" t="s">
        <v>6313</v>
      </c>
      <c r="J2415" s="140" t="s">
        <v>6319</v>
      </c>
      <c r="K2415" s="140" t="s">
        <v>6320</v>
      </c>
    </row>
    <row r="2416">
      <c r="A2416" s="140" t="s">
        <v>5777</v>
      </c>
      <c r="B2416" s="140" t="s">
        <v>9184</v>
      </c>
      <c r="C2416" s="140" t="s">
        <v>9185</v>
      </c>
      <c r="D2416" s="140" t="s">
        <v>6318</v>
      </c>
      <c r="E2416" s="140" t="s">
        <v>1225</v>
      </c>
      <c r="F2416" s="140" t="s">
        <v>1293</v>
      </c>
      <c r="G2416" s="141" t="s">
        <v>6311</v>
      </c>
      <c r="H2416" s="140" t="s">
        <v>6330</v>
      </c>
      <c r="I2416" s="140" t="s">
        <v>6313</v>
      </c>
      <c r="J2416" s="140" t="s">
        <v>6319</v>
      </c>
      <c r="K2416" s="140" t="s">
        <v>6320</v>
      </c>
    </row>
    <row r="2417">
      <c r="A2417" s="140" t="s">
        <v>5777</v>
      </c>
      <c r="B2417" s="140" t="s">
        <v>9186</v>
      </c>
      <c r="C2417" s="140" t="s">
        <v>9185</v>
      </c>
      <c r="D2417" s="140" t="s">
        <v>6318</v>
      </c>
      <c r="E2417" s="140" t="s">
        <v>1225</v>
      </c>
      <c r="F2417" s="140" t="s">
        <v>1293</v>
      </c>
      <c r="G2417" s="141" t="s">
        <v>6311</v>
      </c>
      <c r="H2417" s="140" t="s">
        <v>6330</v>
      </c>
      <c r="I2417" s="140" t="s">
        <v>6313</v>
      </c>
      <c r="J2417" s="140" t="s">
        <v>6319</v>
      </c>
      <c r="K2417" s="140" t="s">
        <v>6320</v>
      </c>
    </row>
    <row r="2418">
      <c r="A2418" s="140" t="s">
        <v>5777</v>
      </c>
      <c r="B2418" s="140" t="s">
        <v>9187</v>
      </c>
      <c r="C2418" s="140" t="s">
        <v>9185</v>
      </c>
      <c r="D2418" s="140" t="s">
        <v>6318</v>
      </c>
      <c r="E2418" s="140" t="s">
        <v>1225</v>
      </c>
      <c r="F2418" s="140" t="s">
        <v>1293</v>
      </c>
      <c r="G2418" s="141" t="s">
        <v>6311</v>
      </c>
      <c r="H2418" s="140" t="s">
        <v>6330</v>
      </c>
      <c r="I2418" s="140" t="s">
        <v>6313</v>
      </c>
      <c r="J2418" s="140" t="s">
        <v>6319</v>
      </c>
      <c r="K2418" s="140" t="s">
        <v>6320</v>
      </c>
    </row>
    <row r="2419">
      <c r="A2419" s="140" t="s">
        <v>5777</v>
      </c>
      <c r="B2419" s="140">
        <v>10802.0</v>
      </c>
      <c r="C2419" s="140" t="s">
        <v>9188</v>
      </c>
      <c r="D2419" s="140" t="s">
        <v>6318</v>
      </c>
      <c r="E2419" s="140" t="s">
        <v>1225</v>
      </c>
      <c r="F2419" s="140" t="s">
        <v>1293</v>
      </c>
      <c r="G2419" s="141" t="s">
        <v>6311</v>
      </c>
      <c r="H2419" s="140" t="s">
        <v>6312</v>
      </c>
      <c r="I2419" s="140" t="s">
        <v>6313</v>
      </c>
      <c r="J2419" s="140" t="s">
        <v>6319</v>
      </c>
      <c r="K2419" s="140" t="s">
        <v>6320</v>
      </c>
    </row>
    <row r="2420">
      <c r="A2420" s="140" t="s">
        <v>5777</v>
      </c>
      <c r="B2420" s="140">
        <v>10801.0</v>
      </c>
      <c r="C2420" s="140" t="s">
        <v>9189</v>
      </c>
      <c r="D2420" s="140" t="s">
        <v>6318</v>
      </c>
      <c r="E2420" s="140" t="s">
        <v>1225</v>
      </c>
      <c r="F2420" s="140" t="s">
        <v>1293</v>
      </c>
      <c r="G2420" s="141" t="s">
        <v>6311</v>
      </c>
      <c r="H2420" s="140" t="s">
        <v>6312</v>
      </c>
      <c r="I2420" s="140" t="s">
        <v>6313</v>
      </c>
      <c r="J2420" s="140" t="s">
        <v>6319</v>
      </c>
      <c r="K2420" s="140" t="s">
        <v>6320</v>
      </c>
    </row>
    <row r="2421">
      <c r="A2421" s="140" t="s">
        <v>5777</v>
      </c>
      <c r="B2421" s="140">
        <v>75409.0</v>
      </c>
      <c r="C2421" s="140" t="s">
        <v>9190</v>
      </c>
      <c r="D2421" s="140" t="s">
        <v>6318</v>
      </c>
      <c r="E2421" s="140" t="s">
        <v>1225</v>
      </c>
      <c r="F2421" s="140" t="s">
        <v>1293</v>
      </c>
      <c r="G2421" s="141" t="s">
        <v>6311</v>
      </c>
      <c r="H2421" s="140" t="s">
        <v>6312</v>
      </c>
      <c r="I2421" s="140" t="s">
        <v>6313</v>
      </c>
      <c r="J2421" s="140" t="s">
        <v>6319</v>
      </c>
      <c r="K2421" s="140" t="s">
        <v>6320</v>
      </c>
    </row>
    <row r="2422">
      <c r="A2422" s="140" t="s">
        <v>5777</v>
      </c>
      <c r="B2422" s="140">
        <v>74053.0</v>
      </c>
      <c r="C2422" s="140" t="s">
        <v>9191</v>
      </c>
      <c r="D2422" s="140" t="s">
        <v>6318</v>
      </c>
      <c r="E2422" s="140" t="s">
        <v>1225</v>
      </c>
      <c r="F2422" s="140" t="s">
        <v>1293</v>
      </c>
      <c r="G2422" s="141" t="s">
        <v>6311</v>
      </c>
      <c r="H2422" s="140" t="s">
        <v>6312</v>
      </c>
      <c r="I2422" s="140" t="s">
        <v>6313</v>
      </c>
      <c r="J2422" s="140" t="s">
        <v>6319</v>
      </c>
      <c r="K2422" s="140" t="s">
        <v>6320</v>
      </c>
    </row>
    <row r="2423">
      <c r="A2423" s="140" t="s">
        <v>5777</v>
      </c>
      <c r="B2423" s="140">
        <v>74919.0</v>
      </c>
      <c r="C2423" s="140" t="s">
        <v>9192</v>
      </c>
      <c r="D2423" s="140" t="s">
        <v>6318</v>
      </c>
      <c r="E2423" s="140" t="s">
        <v>1225</v>
      </c>
      <c r="F2423" s="140" t="s">
        <v>1293</v>
      </c>
      <c r="G2423" s="141" t="s">
        <v>6311</v>
      </c>
      <c r="H2423" s="140" t="s">
        <v>6312</v>
      </c>
      <c r="I2423" s="140" t="s">
        <v>6313</v>
      </c>
      <c r="J2423" s="140" t="s">
        <v>6319</v>
      </c>
      <c r="K2423" s="140" t="s">
        <v>6320</v>
      </c>
    </row>
    <row r="2424">
      <c r="A2424" s="140" t="s">
        <v>5777</v>
      </c>
      <c r="B2424" s="140">
        <v>86386.0</v>
      </c>
      <c r="C2424" s="140" t="s">
        <v>9193</v>
      </c>
      <c r="D2424" s="140" t="s">
        <v>6318</v>
      </c>
      <c r="E2424" s="140" t="s">
        <v>1225</v>
      </c>
      <c r="F2424" s="140" t="s">
        <v>1293</v>
      </c>
      <c r="G2424" s="141" t="s">
        <v>6311</v>
      </c>
      <c r="H2424" s="140" t="s">
        <v>6312</v>
      </c>
      <c r="I2424" s="140" t="s">
        <v>6313</v>
      </c>
      <c r="J2424" s="140" t="s">
        <v>6319</v>
      </c>
      <c r="K2424" s="140" t="s">
        <v>6320</v>
      </c>
    </row>
    <row r="2425">
      <c r="A2425" s="140" t="s">
        <v>5777</v>
      </c>
      <c r="B2425" s="140">
        <v>74008.0</v>
      </c>
      <c r="C2425" s="140" t="s">
        <v>9194</v>
      </c>
      <c r="D2425" s="140" t="s">
        <v>6318</v>
      </c>
      <c r="E2425" s="140" t="s">
        <v>1225</v>
      </c>
      <c r="F2425" s="140" t="s">
        <v>6362</v>
      </c>
      <c r="G2425" s="141" t="s">
        <v>6311</v>
      </c>
      <c r="H2425" s="140" t="s">
        <v>6312</v>
      </c>
      <c r="I2425" s="140" t="s">
        <v>6313</v>
      </c>
      <c r="J2425" s="140" t="s">
        <v>6319</v>
      </c>
      <c r="K2425" s="140" t="s">
        <v>6320</v>
      </c>
    </row>
    <row r="2426">
      <c r="A2426" s="140" t="s">
        <v>5777</v>
      </c>
      <c r="B2426" s="140">
        <v>77912.0</v>
      </c>
      <c r="C2426" s="140" t="s">
        <v>9195</v>
      </c>
      <c r="D2426" s="140" t="s">
        <v>6318</v>
      </c>
      <c r="E2426" s="140" t="s">
        <v>1225</v>
      </c>
      <c r="F2426" s="140" t="s">
        <v>6362</v>
      </c>
      <c r="G2426" s="141" t="s">
        <v>6311</v>
      </c>
      <c r="H2426" s="140" t="s">
        <v>6312</v>
      </c>
      <c r="I2426" s="140" t="s">
        <v>6313</v>
      </c>
      <c r="J2426" s="140" t="s">
        <v>6319</v>
      </c>
      <c r="K2426" s="140" t="s">
        <v>6320</v>
      </c>
    </row>
    <row r="2427">
      <c r="A2427" s="140" t="s">
        <v>5777</v>
      </c>
      <c r="B2427" s="140">
        <v>72749.0</v>
      </c>
      <c r="C2427" s="140" t="s">
        <v>9196</v>
      </c>
      <c r="D2427" s="140" t="s">
        <v>6318</v>
      </c>
      <c r="E2427" s="140" t="s">
        <v>1225</v>
      </c>
      <c r="F2427" s="140" t="s">
        <v>6362</v>
      </c>
      <c r="G2427" s="141" t="s">
        <v>6311</v>
      </c>
      <c r="H2427" s="140" t="s">
        <v>6312</v>
      </c>
      <c r="I2427" s="140" t="s">
        <v>6313</v>
      </c>
      <c r="J2427" s="140" t="s">
        <v>6319</v>
      </c>
      <c r="K2427" s="140" t="s">
        <v>6320</v>
      </c>
    </row>
    <row r="2428">
      <c r="A2428" s="140" t="s">
        <v>5777</v>
      </c>
      <c r="B2428" s="140" t="s">
        <v>9197</v>
      </c>
      <c r="C2428" s="140" t="s">
        <v>9198</v>
      </c>
      <c r="D2428" s="140" t="s">
        <v>6318</v>
      </c>
      <c r="E2428" s="140" t="s">
        <v>1225</v>
      </c>
      <c r="F2428" s="140" t="s">
        <v>6362</v>
      </c>
      <c r="G2428" s="141" t="s">
        <v>6311</v>
      </c>
      <c r="H2428" s="140" t="s">
        <v>6312</v>
      </c>
      <c r="I2428" s="140" t="s">
        <v>6313</v>
      </c>
      <c r="J2428" s="140" t="s">
        <v>6319</v>
      </c>
      <c r="K2428" s="140" t="s">
        <v>6320</v>
      </c>
    </row>
    <row r="2429">
      <c r="A2429" s="140" t="s">
        <v>5777</v>
      </c>
      <c r="B2429" s="140" t="s">
        <v>9199</v>
      </c>
      <c r="C2429" s="140" t="s">
        <v>9198</v>
      </c>
      <c r="D2429" s="140" t="s">
        <v>6318</v>
      </c>
      <c r="E2429" s="140" t="s">
        <v>1225</v>
      </c>
      <c r="F2429" s="140" t="s">
        <v>6362</v>
      </c>
      <c r="G2429" s="141" t="s">
        <v>6311</v>
      </c>
      <c r="H2429" s="140" t="s">
        <v>6312</v>
      </c>
      <c r="I2429" s="140" t="s">
        <v>6313</v>
      </c>
      <c r="J2429" s="140" t="s">
        <v>6319</v>
      </c>
      <c r="K2429" s="140" t="s">
        <v>6320</v>
      </c>
    </row>
    <row r="2430">
      <c r="A2430" s="140" t="s">
        <v>5777</v>
      </c>
      <c r="B2430" s="140" t="s">
        <v>9200</v>
      </c>
      <c r="C2430" s="140" t="s">
        <v>9198</v>
      </c>
      <c r="D2430" s="140" t="s">
        <v>6318</v>
      </c>
      <c r="E2430" s="140" t="s">
        <v>1225</v>
      </c>
      <c r="F2430" s="140" t="s">
        <v>6362</v>
      </c>
      <c r="G2430" s="141" t="s">
        <v>6311</v>
      </c>
      <c r="H2430" s="140" t="s">
        <v>6312</v>
      </c>
      <c r="I2430" s="140" t="s">
        <v>6313</v>
      </c>
      <c r="J2430" s="140" t="s">
        <v>6319</v>
      </c>
      <c r="K2430" s="140" t="s">
        <v>6320</v>
      </c>
    </row>
    <row r="2431">
      <c r="A2431" s="140" t="s">
        <v>5777</v>
      </c>
      <c r="B2431" s="140">
        <v>74975.0</v>
      </c>
      <c r="C2431" s="140" t="s">
        <v>9201</v>
      </c>
      <c r="D2431" s="140" t="s">
        <v>6318</v>
      </c>
      <c r="E2431" s="140" t="s">
        <v>1225</v>
      </c>
      <c r="F2431" s="140" t="s">
        <v>6362</v>
      </c>
      <c r="G2431" s="141" t="s">
        <v>6311</v>
      </c>
      <c r="H2431" s="140" t="s">
        <v>6312</v>
      </c>
      <c r="I2431" s="140" t="s">
        <v>6313</v>
      </c>
      <c r="J2431" s="140" t="s">
        <v>6319</v>
      </c>
      <c r="K2431" s="140" t="s">
        <v>6320</v>
      </c>
    </row>
    <row r="2432">
      <c r="A2432" s="140" t="s">
        <v>5777</v>
      </c>
      <c r="B2432" s="140">
        <v>74006.0</v>
      </c>
      <c r="C2432" s="140" t="s">
        <v>9201</v>
      </c>
      <c r="D2432" s="140" t="s">
        <v>6318</v>
      </c>
      <c r="E2432" s="140" t="s">
        <v>1225</v>
      </c>
      <c r="F2432" s="140" t="s">
        <v>6362</v>
      </c>
      <c r="G2432" s="141" t="s">
        <v>6311</v>
      </c>
      <c r="H2432" s="140" t="s">
        <v>6312</v>
      </c>
      <c r="I2432" s="140" t="s">
        <v>6313</v>
      </c>
      <c r="J2432" s="140" t="s">
        <v>6319</v>
      </c>
      <c r="K2432" s="140" t="s">
        <v>6320</v>
      </c>
    </row>
    <row r="2433">
      <c r="A2433" s="140" t="s">
        <v>5828</v>
      </c>
      <c r="B2433" s="140">
        <v>75137.0</v>
      </c>
      <c r="C2433" s="140" t="s">
        <v>9202</v>
      </c>
      <c r="D2433" s="140" t="s">
        <v>6318</v>
      </c>
      <c r="E2433" s="140" t="s">
        <v>1225</v>
      </c>
      <c r="F2433" s="140" t="s">
        <v>6362</v>
      </c>
      <c r="G2433" s="141" t="s">
        <v>6311</v>
      </c>
      <c r="H2433" s="140" t="s">
        <v>6312</v>
      </c>
      <c r="I2433" s="140" t="s">
        <v>6313</v>
      </c>
      <c r="J2433" s="140" t="s">
        <v>6319</v>
      </c>
      <c r="K2433" s="140" t="s">
        <v>6320</v>
      </c>
    </row>
    <row r="2434">
      <c r="A2434" s="140" t="s">
        <v>5777</v>
      </c>
      <c r="B2434" s="140">
        <v>151093.0</v>
      </c>
      <c r="C2434" s="140" t="s">
        <v>9203</v>
      </c>
      <c r="D2434" s="140" t="s">
        <v>6318</v>
      </c>
      <c r="E2434" s="140" t="s">
        <v>1225</v>
      </c>
      <c r="F2434" s="140" t="s">
        <v>6362</v>
      </c>
      <c r="G2434" s="141" t="s">
        <v>6311</v>
      </c>
      <c r="H2434" s="140" t="s">
        <v>6312</v>
      </c>
      <c r="I2434" s="140" t="s">
        <v>6313</v>
      </c>
      <c r="J2434" s="140" t="s">
        <v>6319</v>
      </c>
      <c r="K2434" s="140" t="s">
        <v>6320</v>
      </c>
    </row>
    <row r="2435">
      <c r="A2435" s="140" t="s">
        <v>5777</v>
      </c>
      <c r="B2435" s="140">
        <v>74011.0</v>
      </c>
      <c r="C2435" s="140" t="s">
        <v>9204</v>
      </c>
      <c r="D2435" s="140" t="s">
        <v>6318</v>
      </c>
      <c r="E2435" s="140" t="s">
        <v>1225</v>
      </c>
      <c r="F2435" s="140" t="s">
        <v>6362</v>
      </c>
      <c r="G2435" s="141" t="s">
        <v>6311</v>
      </c>
      <c r="H2435" s="140" t="s">
        <v>6312</v>
      </c>
      <c r="I2435" s="140" t="s">
        <v>6313</v>
      </c>
      <c r="J2435" s="140" t="s">
        <v>6319</v>
      </c>
      <c r="K2435" s="140" t="s">
        <v>6320</v>
      </c>
    </row>
    <row r="2436">
      <c r="A2436" s="140" t="s">
        <v>5777</v>
      </c>
      <c r="B2436" s="140">
        <v>10623.0</v>
      </c>
      <c r="C2436" s="140" t="s">
        <v>9205</v>
      </c>
      <c r="D2436" s="140" t="s">
        <v>6318</v>
      </c>
      <c r="E2436" s="140" t="s">
        <v>1225</v>
      </c>
      <c r="F2436" s="140" t="s">
        <v>6362</v>
      </c>
      <c r="G2436" s="141" t="s">
        <v>6311</v>
      </c>
      <c r="H2436" s="140" t="s">
        <v>6312</v>
      </c>
      <c r="I2436" s="140" t="s">
        <v>6313</v>
      </c>
      <c r="J2436" s="140" t="s">
        <v>6319</v>
      </c>
      <c r="K2436" s="140" t="s">
        <v>6320</v>
      </c>
    </row>
    <row r="2437">
      <c r="A2437" s="140" t="s">
        <v>5828</v>
      </c>
      <c r="B2437" s="140" t="s">
        <v>9206</v>
      </c>
      <c r="C2437" s="140" t="s">
        <v>9207</v>
      </c>
      <c r="D2437" s="140" t="s">
        <v>6318</v>
      </c>
      <c r="E2437" s="140" t="s">
        <v>5721</v>
      </c>
      <c r="F2437" s="140" t="s">
        <v>6365</v>
      </c>
      <c r="G2437" s="141" t="s">
        <v>6311</v>
      </c>
      <c r="H2437" s="140" t="s">
        <v>6312</v>
      </c>
      <c r="I2437" s="140" t="s">
        <v>6313</v>
      </c>
      <c r="J2437" s="140" t="s">
        <v>6319</v>
      </c>
      <c r="K2437" s="140" t="s">
        <v>6320</v>
      </c>
    </row>
    <row r="2438">
      <c r="A2438" s="140" t="s">
        <v>5828</v>
      </c>
      <c r="B2438" s="140">
        <v>72247.0</v>
      </c>
      <c r="C2438" s="140" t="s">
        <v>9208</v>
      </c>
      <c r="D2438" s="140" t="s">
        <v>6318</v>
      </c>
      <c r="E2438" s="140" t="s">
        <v>5721</v>
      </c>
      <c r="F2438" s="140" t="s">
        <v>6365</v>
      </c>
      <c r="G2438" s="141" t="s">
        <v>6311</v>
      </c>
      <c r="H2438" s="140" t="s">
        <v>6312</v>
      </c>
      <c r="I2438" s="140" t="s">
        <v>6313</v>
      </c>
      <c r="J2438" s="140" t="s">
        <v>6319</v>
      </c>
      <c r="K2438" s="140" t="s">
        <v>6320</v>
      </c>
    </row>
    <row r="2439">
      <c r="A2439" s="140" t="s">
        <v>5777</v>
      </c>
      <c r="B2439" s="140">
        <v>47992.0</v>
      </c>
      <c r="C2439" s="140" t="s">
        <v>9209</v>
      </c>
      <c r="D2439" s="140" t="s">
        <v>6318</v>
      </c>
      <c r="E2439" s="140" t="s">
        <v>5721</v>
      </c>
      <c r="F2439" s="140" t="s">
        <v>6367</v>
      </c>
      <c r="G2439" s="141" t="s">
        <v>6311</v>
      </c>
      <c r="H2439" s="140" t="s">
        <v>6312</v>
      </c>
      <c r="I2439" s="140" t="s">
        <v>6313</v>
      </c>
      <c r="J2439" s="140" t="s">
        <v>6319</v>
      </c>
      <c r="K2439" s="140" t="s">
        <v>6320</v>
      </c>
    </row>
    <row r="2440">
      <c r="A2440" s="140" t="s">
        <v>5828</v>
      </c>
      <c r="B2440" s="140">
        <v>731176.0</v>
      </c>
      <c r="C2440" s="140" t="s">
        <v>9210</v>
      </c>
      <c r="D2440" s="140" t="s">
        <v>6318</v>
      </c>
      <c r="E2440" s="140" t="s">
        <v>5721</v>
      </c>
      <c r="F2440" s="140" t="s">
        <v>5792</v>
      </c>
      <c r="G2440" s="141" t="s">
        <v>6311</v>
      </c>
      <c r="H2440" s="140" t="s">
        <v>6312</v>
      </c>
      <c r="I2440" s="140" t="s">
        <v>6313</v>
      </c>
      <c r="J2440" s="140" t="s">
        <v>6319</v>
      </c>
      <c r="K2440" s="140" t="s">
        <v>6320</v>
      </c>
    </row>
    <row r="2441">
      <c r="A2441" s="140" t="s">
        <v>5828</v>
      </c>
      <c r="B2441" s="140">
        <v>731192.0</v>
      </c>
      <c r="C2441" s="140" t="s">
        <v>9211</v>
      </c>
      <c r="D2441" s="140" t="s">
        <v>6318</v>
      </c>
      <c r="E2441" s="140" t="s">
        <v>5721</v>
      </c>
      <c r="F2441" s="140" t="s">
        <v>5792</v>
      </c>
      <c r="G2441" s="141" t="s">
        <v>6311</v>
      </c>
      <c r="H2441" s="140" t="s">
        <v>6312</v>
      </c>
      <c r="I2441" s="140" t="s">
        <v>6313</v>
      </c>
      <c r="J2441" s="140" t="s">
        <v>6319</v>
      </c>
      <c r="K2441" s="140" t="s">
        <v>6320</v>
      </c>
    </row>
    <row r="2442">
      <c r="A2442" s="140" t="s">
        <v>5777</v>
      </c>
      <c r="B2442" s="140">
        <v>48927.0</v>
      </c>
      <c r="C2442" s="140" t="s">
        <v>9212</v>
      </c>
      <c r="D2442" s="140" t="s">
        <v>6318</v>
      </c>
      <c r="E2442" s="140" t="s">
        <v>5721</v>
      </c>
      <c r="F2442" s="140" t="s">
        <v>5792</v>
      </c>
      <c r="G2442" s="141" t="s">
        <v>6311</v>
      </c>
      <c r="H2442" s="140" t="s">
        <v>6312</v>
      </c>
      <c r="I2442" s="140" t="s">
        <v>6313</v>
      </c>
      <c r="J2442" s="140" t="s">
        <v>6319</v>
      </c>
      <c r="K2442" s="140" t="s">
        <v>6320</v>
      </c>
    </row>
    <row r="2443">
      <c r="A2443" s="140" t="s">
        <v>5777</v>
      </c>
      <c r="B2443" s="140">
        <v>47806.0</v>
      </c>
      <c r="C2443" s="140" t="s">
        <v>9213</v>
      </c>
      <c r="D2443" s="140" t="s">
        <v>6318</v>
      </c>
      <c r="E2443" s="140" t="s">
        <v>5721</v>
      </c>
      <c r="F2443" s="140" t="s">
        <v>5792</v>
      </c>
      <c r="G2443" s="141" t="s">
        <v>6311</v>
      </c>
      <c r="H2443" s="140" t="s">
        <v>6312</v>
      </c>
      <c r="I2443" s="140" t="s">
        <v>6313</v>
      </c>
      <c r="J2443" s="140" t="s">
        <v>6319</v>
      </c>
      <c r="K2443" s="140" t="s">
        <v>6320</v>
      </c>
    </row>
    <row r="2444">
      <c r="A2444" s="140" t="s">
        <v>5777</v>
      </c>
      <c r="B2444" s="140">
        <v>72310.0</v>
      </c>
      <c r="C2444" s="140" t="s">
        <v>9214</v>
      </c>
      <c r="D2444" s="140" t="s">
        <v>6318</v>
      </c>
      <c r="E2444" s="140" t="s">
        <v>5721</v>
      </c>
      <c r="F2444" s="140" t="s">
        <v>5792</v>
      </c>
      <c r="G2444" s="141" t="s">
        <v>6311</v>
      </c>
      <c r="H2444" s="140" t="s">
        <v>6312</v>
      </c>
      <c r="I2444" s="140" t="s">
        <v>6313</v>
      </c>
      <c r="J2444" s="140" t="s">
        <v>6319</v>
      </c>
      <c r="K2444" s="140" t="s">
        <v>6320</v>
      </c>
    </row>
    <row r="2445">
      <c r="A2445" s="140" t="s">
        <v>5777</v>
      </c>
      <c r="B2445" s="140">
        <v>73130.0</v>
      </c>
      <c r="C2445" s="140" t="s">
        <v>9215</v>
      </c>
      <c r="D2445" s="140" t="s">
        <v>6318</v>
      </c>
      <c r="E2445" s="140" t="s">
        <v>5721</v>
      </c>
      <c r="F2445" s="140" t="s">
        <v>5792</v>
      </c>
      <c r="G2445" s="141" t="s">
        <v>6311</v>
      </c>
      <c r="H2445" s="140" t="s">
        <v>6312</v>
      </c>
      <c r="I2445" s="140" t="s">
        <v>6313</v>
      </c>
      <c r="J2445" s="140" t="s">
        <v>6319</v>
      </c>
      <c r="K2445" s="140" t="s">
        <v>6320</v>
      </c>
    </row>
    <row r="2446">
      <c r="A2446" s="140" t="s">
        <v>5777</v>
      </c>
      <c r="B2446" s="140">
        <v>73131.0</v>
      </c>
      <c r="C2446" s="140" t="s">
        <v>9216</v>
      </c>
      <c r="D2446" s="140" t="s">
        <v>6318</v>
      </c>
      <c r="E2446" s="140" t="s">
        <v>5721</v>
      </c>
      <c r="F2446" s="140" t="s">
        <v>5792</v>
      </c>
      <c r="G2446" s="141" t="s">
        <v>6311</v>
      </c>
      <c r="H2446" s="140" t="s">
        <v>6312</v>
      </c>
      <c r="I2446" s="140" t="s">
        <v>6313</v>
      </c>
      <c r="J2446" s="140" t="s">
        <v>6319</v>
      </c>
      <c r="K2446" s="140" t="s">
        <v>6320</v>
      </c>
    </row>
    <row r="2447">
      <c r="A2447" s="140" t="s">
        <v>5777</v>
      </c>
      <c r="B2447" s="140">
        <v>751178.0</v>
      </c>
      <c r="C2447" s="140" t="s">
        <v>9217</v>
      </c>
      <c r="D2447" s="140" t="s">
        <v>6318</v>
      </c>
      <c r="E2447" s="140" t="s">
        <v>5721</v>
      </c>
      <c r="F2447" s="140" t="s">
        <v>5792</v>
      </c>
      <c r="G2447" s="141" t="s">
        <v>6311</v>
      </c>
      <c r="H2447" s="140" t="s">
        <v>6312</v>
      </c>
      <c r="I2447" s="140" t="s">
        <v>6313</v>
      </c>
      <c r="J2447" s="140" t="s">
        <v>6319</v>
      </c>
      <c r="K2447" s="140" t="s">
        <v>6320</v>
      </c>
    </row>
    <row r="2448">
      <c r="A2448" s="140" t="s">
        <v>5777</v>
      </c>
      <c r="B2448" s="140">
        <v>731177.0</v>
      </c>
      <c r="C2448" s="140" t="s">
        <v>9218</v>
      </c>
      <c r="D2448" s="140" t="s">
        <v>6318</v>
      </c>
      <c r="E2448" s="140" t="s">
        <v>5721</v>
      </c>
      <c r="F2448" s="140" t="s">
        <v>5792</v>
      </c>
      <c r="G2448" s="141" t="s">
        <v>6311</v>
      </c>
      <c r="H2448" s="140" t="s">
        <v>6312</v>
      </c>
      <c r="I2448" s="140" t="s">
        <v>6313</v>
      </c>
      <c r="J2448" s="140" t="s">
        <v>6319</v>
      </c>
      <c r="K2448" s="140" t="s">
        <v>6320</v>
      </c>
    </row>
    <row r="2449">
      <c r="A2449" s="140" t="s">
        <v>5777</v>
      </c>
      <c r="B2449" s="140">
        <v>71876.0</v>
      </c>
      <c r="C2449" s="140" t="s">
        <v>9219</v>
      </c>
      <c r="D2449" s="140" t="s">
        <v>6318</v>
      </c>
      <c r="E2449" s="140" t="s">
        <v>5721</v>
      </c>
      <c r="F2449" s="140" t="s">
        <v>5792</v>
      </c>
      <c r="G2449" s="141" t="s">
        <v>6311</v>
      </c>
      <c r="H2449" s="140" t="s">
        <v>6312</v>
      </c>
      <c r="I2449" s="140" t="s">
        <v>6313</v>
      </c>
      <c r="J2449" s="140" t="s">
        <v>6319</v>
      </c>
      <c r="K2449" s="140" t="s">
        <v>6320</v>
      </c>
    </row>
    <row r="2450">
      <c r="A2450" s="140" t="s">
        <v>5777</v>
      </c>
      <c r="B2450" s="140">
        <v>71879.0</v>
      </c>
      <c r="C2450" s="140" t="s">
        <v>9220</v>
      </c>
      <c r="D2450" s="140" t="s">
        <v>6318</v>
      </c>
      <c r="E2450" s="140" t="s">
        <v>5721</v>
      </c>
      <c r="F2450" s="140" t="s">
        <v>5792</v>
      </c>
      <c r="G2450" s="141" t="s">
        <v>6311</v>
      </c>
      <c r="H2450" s="140" t="s">
        <v>6312</v>
      </c>
      <c r="I2450" s="140" t="s">
        <v>6313</v>
      </c>
      <c r="J2450" s="140" t="s">
        <v>6319</v>
      </c>
      <c r="K2450" s="140" t="s">
        <v>6320</v>
      </c>
    </row>
    <row r="2451">
      <c r="A2451" s="140" t="s">
        <v>5828</v>
      </c>
      <c r="B2451" s="140">
        <v>73678.0</v>
      </c>
      <c r="C2451" s="140" t="s">
        <v>9221</v>
      </c>
      <c r="D2451" s="140" t="s">
        <v>6318</v>
      </c>
      <c r="E2451" s="140" t="s">
        <v>5721</v>
      </c>
      <c r="F2451" s="140" t="s">
        <v>5792</v>
      </c>
      <c r="G2451" s="141" t="s">
        <v>6311</v>
      </c>
      <c r="H2451" s="140" t="s">
        <v>6312</v>
      </c>
      <c r="I2451" s="140" t="s">
        <v>6313</v>
      </c>
      <c r="J2451" s="140" t="s">
        <v>6319</v>
      </c>
      <c r="K2451" s="140" t="s">
        <v>6320</v>
      </c>
    </row>
    <row r="2452">
      <c r="A2452" s="140" t="s">
        <v>5777</v>
      </c>
      <c r="B2452" s="140">
        <v>73732.0</v>
      </c>
      <c r="C2452" s="140" t="s">
        <v>9222</v>
      </c>
      <c r="D2452" s="140" t="s">
        <v>6318</v>
      </c>
      <c r="E2452" s="140" t="s">
        <v>5721</v>
      </c>
      <c r="F2452" s="140" t="s">
        <v>5792</v>
      </c>
      <c r="G2452" s="141" t="s">
        <v>6311</v>
      </c>
      <c r="H2452" s="140" t="s">
        <v>6312</v>
      </c>
      <c r="I2452" s="140" t="s">
        <v>6313</v>
      </c>
      <c r="J2452" s="140" t="s">
        <v>6319</v>
      </c>
      <c r="K2452" s="140" t="s">
        <v>6320</v>
      </c>
    </row>
    <row r="2453">
      <c r="A2453" s="140" t="s">
        <v>5777</v>
      </c>
      <c r="B2453" s="140">
        <v>73674.0</v>
      </c>
      <c r="C2453" s="140" t="s">
        <v>9223</v>
      </c>
      <c r="D2453" s="140" t="s">
        <v>6318</v>
      </c>
      <c r="E2453" s="140" t="s">
        <v>5721</v>
      </c>
      <c r="F2453" s="140" t="s">
        <v>5792</v>
      </c>
      <c r="G2453" s="141" t="s">
        <v>6311</v>
      </c>
      <c r="H2453" s="140" t="s">
        <v>6312</v>
      </c>
      <c r="I2453" s="140" t="s">
        <v>6313</v>
      </c>
      <c r="J2453" s="140" t="s">
        <v>6319</v>
      </c>
      <c r="K2453" s="140" t="s">
        <v>6320</v>
      </c>
    </row>
    <row r="2454">
      <c r="A2454" s="140" t="s">
        <v>5777</v>
      </c>
      <c r="B2454" s="140">
        <v>73682.0</v>
      </c>
      <c r="C2454" s="140" t="s">
        <v>9224</v>
      </c>
      <c r="D2454" s="140" t="s">
        <v>6318</v>
      </c>
      <c r="E2454" s="140" t="s">
        <v>5721</v>
      </c>
      <c r="F2454" s="140" t="s">
        <v>5792</v>
      </c>
      <c r="G2454" s="141" t="s">
        <v>6311</v>
      </c>
      <c r="H2454" s="140" t="s">
        <v>6312</v>
      </c>
      <c r="I2454" s="140" t="s">
        <v>6313</v>
      </c>
      <c r="J2454" s="140" t="s">
        <v>6319</v>
      </c>
      <c r="K2454" s="140" t="s">
        <v>6320</v>
      </c>
    </row>
    <row r="2455">
      <c r="A2455" s="140" t="s">
        <v>5777</v>
      </c>
      <c r="B2455" s="140">
        <v>48926.0</v>
      </c>
      <c r="C2455" s="140" t="s">
        <v>9225</v>
      </c>
      <c r="D2455" s="140" t="s">
        <v>6318</v>
      </c>
      <c r="E2455" s="140" t="s">
        <v>5721</v>
      </c>
      <c r="F2455" s="140" t="s">
        <v>5792</v>
      </c>
      <c r="G2455" s="141" t="s">
        <v>6311</v>
      </c>
      <c r="H2455" s="140" t="s">
        <v>6312</v>
      </c>
      <c r="I2455" s="140" t="s">
        <v>6313</v>
      </c>
      <c r="J2455" s="140" t="s">
        <v>6319</v>
      </c>
      <c r="K2455" s="140" t="s">
        <v>6320</v>
      </c>
    </row>
    <row r="2456">
      <c r="A2456" s="140" t="s">
        <v>5777</v>
      </c>
      <c r="B2456" s="140">
        <v>731190.0</v>
      </c>
      <c r="C2456" s="140" t="s">
        <v>9226</v>
      </c>
      <c r="D2456" s="140" t="s">
        <v>6318</v>
      </c>
      <c r="E2456" s="140" t="s">
        <v>5721</v>
      </c>
      <c r="F2456" s="140" t="s">
        <v>5792</v>
      </c>
      <c r="G2456" s="141" t="s">
        <v>6311</v>
      </c>
      <c r="H2456" s="140" t="s">
        <v>6312</v>
      </c>
      <c r="I2456" s="140" t="s">
        <v>6313</v>
      </c>
      <c r="J2456" s="140" t="s">
        <v>6319</v>
      </c>
      <c r="K2456" s="140" t="s">
        <v>6320</v>
      </c>
    </row>
    <row r="2457">
      <c r="A2457" s="140" t="s">
        <v>5777</v>
      </c>
      <c r="B2457" s="140">
        <v>73675.0</v>
      </c>
      <c r="C2457" s="140" t="s">
        <v>9227</v>
      </c>
      <c r="D2457" s="140" t="s">
        <v>6318</v>
      </c>
      <c r="E2457" s="140" t="s">
        <v>5721</v>
      </c>
      <c r="F2457" s="140" t="s">
        <v>5792</v>
      </c>
      <c r="G2457" s="141" t="s">
        <v>6311</v>
      </c>
      <c r="H2457" s="140" t="s">
        <v>6312</v>
      </c>
      <c r="I2457" s="140" t="s">
        <v>6313</v>
      </c>
      <c r="J2457" s="140" t="s">
        <v>6319</v>
      </c>
      <c r="K2457" s="140" t="s">
        <v>6320</v>
      </c>
    </row>
    <row r="2458">
      <c r="A2458" s="140" t="s">
        <v>5777</v>
      </c>
      <c r="B2458" s="140">
        <v>72280.0</v>
      </c>
      <c r="C2458" s="140" t="s">
        <v>9228</v>
      </c>
      <c r="D2458" s="140" t="s">
        <v>6318</v>
      </c>
      <c r="E2458" s="140" t="s">
        <v>5721</v>
      </c>
      <c r="F2458" s="140" t="s">
        <v>6514</v>
      </c>
      <c r="G2458" s="141" t="s">
        <v>6311</v>
      </c>
      <c r="H2458" s="140" t="s">
        <v>6312</v>
      </c>
      <c r="I2458" s="140" t="s">
        <v>6313</v>
      </c>
      <c r="J2458" s="140" t="s">
        <v>6319</v>
      </c>
      <c r="K2458" s="140" t="s">
        <v>6320</v>
      </c>
    </row>
    <row r="2459">
      <c r="A2459" s="140" t="s">
        <v>5777</v>
      </c>
      <c r="B2459" s="140">
        <v>731193.0</v>
      </c>
      <c r="C2459" s="140" t="s">
        <v>9229</v>
      </c>
      <c r="D2459" s="140" t="s">
        <v>6318</v>
      </c>
      <c r="E2459" s="140" t="s">
        <v>5721</v>
      </c>
      <c r="F2459" s="140" t="s">
        <v>6372</v>
      </c>
      <c r="G2459" s="141" t="s">
        <v>6311</v>
      </c>
      <c r="H2459" s="140" t="s">
        <v>6312</v>
      </c>
      <c r="I2459" s="140" t="s">
        <v>6313</v>
      </c>
      <c r="J2459" s="140" t="s">
        <v>6319</v>
      </c>
      <c r="K2459" s="140" t="s">
        <v>6320</v>
      </c>
    </row>
    <row r="2460">
      <c r="A2460" s="140" t="s">
        <v>5777</v>
      </c>
      <c r="B2460" s="140">
        <v>731233.0</v>
      </c>
      <c r="C2460" s="140" t="s">
        <v>9230</v>
      </c>
      <c r="D2460" s="140" t="s">
        <v>6318</v>
      </c>
      <c r="E2460" s="140" t="s">
        <v>5721</v>
      </c>
      <c r="F2460" s="140" t="s">
        <v>6372</v>
      </c>
      <c r="G2460" s="141" t="s">
        <v>6311</v>
      </c>
      <c r="H2460" s="140" t="s">
        <v>6312</v>
      </c>
      <c r="I2460" s="140" t="s">
        <v>6313</v>
      </c>
      <c r="J2460" s="140" t="s">
        <v>6319</v>
      </c>
      <c r="K2460" s="140" t="s">
        <v>6320</v>
      </c>
    </row>
    <row r="2461">
      <c r="A2461" s="140" t="s">
        <v>5777</v>
      </c>
      <c r="B2461" s="140">
        <v>731234.0</v>
      </c>
      <c r="C2461" s="140" t="s">
        <v>9231</v>
      </c>
      <c r="D2461" s="140" t="s">
        <v>6318</v>
      </c>
      <c r="E2461" s="140" t="s">
        <v>5721</v>
      </c>
      <c r="F2461" s="140" t="s">
        <v>6372</v>
      </c>
      <c r="G2461" s="141" t="s">
        <v>6311</v>
      </c>
      <c r="H2461" s="140" t="s">
        <v>6312</v>
      </c>
      <c r="I2461" s="140" t="s">
        <v>6313</v>
      </c>
      <c r="J2461" s="140" t="s">
        <v>6319</v>
      </c>
      <c r="K2461" s="140" t="s">
        <v>6320</v>
      </c>
    </row>
    <row r="2462">
      <c r="A2462" s="140" t="s">
        <v>5777</v>
      </c>
      <c r="B2462" s="140">
        <v>72307.0</v>
      </c>
      <c r="C2462" s="140" t="s">
        <v>9232</v>
      </c>
      <c r="D2462" s="140" t="s">
        <v>6318</v>
      </c>
      <c r="E2462" s="140" t="s">
        <v>5721</v>
      </c>
      <c r="F2462" s="140" t="s">
        <v>6372</v>
      </c>
      <c r="G2462" s="141" t="s">
        <v>6311</v>
      </c>
      <c r="H2462" s="140" t="s">
        <v>6312</v>
      </c>
      <c r="I2462" s="140" t="s">
        <v>6313</v>
      </c>
      <c r="J2462" s="140" t="s">
        <v>6319</v>
      </c>
      <c r="K2462" s="140" t="s">
        <v>6320</v>
      </c>
    </row>
    <row r="2463">
      <c r="A2463" s="140" t="s">
        <v>5777</v>
      </c>
      <c r="B2463" s="140">
        <v>72306.0</v>
      </c>
      <c r="C2463" s="140" t="s">
        <v>9233</v>
      </c>
      <c r="D2463" s="140" t="s">
        <v>6318</v>
      </c>
      <c r="E2463" s="140" t="s">
        <v>5721</v>
      </c>
      <c r="F2463" s="140" t="s">
        <v>6372</v>
      </c>
      <c r="G2463" s="141" t="s">
        <v>6311</v>
      </c>
      <c r="H2463" s="140" t="s">
        <v>6312</v>
      </c>
      <c r="I2463" s="140" t="s">
        <v>6313</v>
      </c>
      <c r="J2463" s="140" t="s">
        <v>6319</v>
      </c>
      <c r="K2463" s="140" t="s">
        <v>6320</v>
      </c>
    </row>
    <row r="2464">
      <c r="A2464" s="140" t="s">
        <v>5777</v>
      </c>
      <c r="B2464" s="140">
        <v>72305.0</v>
      </c>
      <c r="C2464" s="140" t="s">
        <v>9234</v>
      </c>
      <c r="D2464" s="140" t="s">
        <v>6318</v>
      </c>
      <c r="E2464" s="140" t="s">
        <v>5721</v>
      </c>
      <c r="F2464" s="140" t="s">
        <v>6372</v>
      </c>
      <c r="G2464" s="141" t="s">
        <v>6311</v>
      </c>
      <c r="H2464" s="140" t="s">
        <v>6312</v>
      </c>
      <c r="I2464" s="140" t="s">
        <v>6313</v>
      </c>
      <c r="J2464" s="140" t="s">
        <v>6319</v>
      </c>
      <c r="K2464" s="140" t="s">
        <v>6320</v>
      </c>
    </row>
    <row r="2465">
      <c r="A2465" s="140" t="s">
        <v>5777</v>
      </c>
      <c r="B2465" s="140">
        <v>73676.0</v>
      </c>
      <c r="C2465" s="140" t="s">
        <v>9235</v>
      </c>
      <c r="D2465" s="140" t="s">
        <v>6318</v>
      </c>
      <c r="E2465" s="140" t="s">
        <v>5721</v>
      </c>
      <c r="F2465" s="140" t="s">
        <v>6372</v>
      </c>
      <c r="G2465" s="141" t="s">
        <v>6311</v>
      </c>
      <c r="H2465" s="140" t="s">
        <v>6312</v>
      </c>
      <c r="I2465" s="140" t="s">
        <v>6313</v>
      </c>
      <c r="J2465" s="140" t="s">
        <v>6319</v>
      </c>
      <c r="K2465" s="140" t="s">
        <v>6320</v>
      </c>
    </row>
    <row r="2466">
      <c r="A2466" s="140" t="s">
        <v>5777</v>
      </c>
      <c r="B2466" s="140">
        <v>72463.0</v>
      </c>
      <c r="C2466" s="140" t="s">
        <v>9236</v>
      </c>
      <c r="D2466" s="140" t="s">
        <v>6318</v>
      </c>
      <c r="E2466" s="140" t="s">
        <v>5721</v>
      </c>
      <c r="F2466" s="140" t="s">
        <v>6372</v>
      </c>
      <c r="G2466" s="141" t="s">
        <v>6311</v>
      </c>
      <c r="H2466" s="140" t="s">
        <v>6312</v>
      </c>
      <c r="I2466" s="140" t="s">
        <v>6313</v>
      </c>
      <c r="J2466" s="140" t="s">
        <v>6319</v>
      </c>
      <c r="K2466" s="140" t="s">
        <v>6320</v>
      </c>
    </row>
    <row r="2467">
      <c r="A2467" s="140" t="s">
        <v>5777</v>
      </c>
      <c r="B2467" s="140">
        <v>73730.0</v>
      </c>
      <c r="C2467" s="140" t="s">
        <v>9237</v>
      </c>
      <c r="D2467" s="140" t="s">
        <v>6318</v>
      </c>
      <c r="E2467" s="140" t="s">
        <v>5721</v>
      </c>
      <c r="F2467" s="140" t="s">
        <v>6372</v>
      </c>
      <c r="G2467" s="141" t="s">
        <v>6311</v>
      </c>
      <c r="H2467" s="140" t="s">
        <v>6312</v>
      </c>
      <c r="I2467" s="140" t="s">
        <v>6313</v>
      </c>
      <c r="J2467" s="140" t="s">
        <v>6319</v>
      </c>
      <c r="K2467" s="140" t="s">
        <v>6320</v>
      </c>
    </row>
    <row r="2468">
      <c r="A2468" s="140" t="s">
        <v>5777</v>
      </c>
      <c r="B2468" s="140">
        <v>73132.0</v>
      </c>
      <c r="C2468" s="140" t="s">
        <v>9238</v>
      </c>
      <c r="D2468" s="140" t="s">
        <v>6318</v>
      </c>
      <c r="E2468" s="140" t="s">
        <v>5721</v>
      </c>
      <c r="F2468" s="140" t="s">
        <v>6372</v>
      </c>
      <c r="G2468" s="141" t="s">
        <v>6311</v>
      </c>
      <c r="H2468" s="140" t="s">
        <v>6312</v>
      </c>
      <c r="I2468" s="140" t="s">
        <v>6313</v>
      </c>
      <c r="J2468" s="140" t="s">
        <v>6319</v>
      </c>
      <c r="K2468" s="140" t="s">
        <v>6320</v>
      </c>
    </row>
    <row r="2469">
      <c r="A2469" s="140" t="s">
        <v>5777</v>
      </c>
      <c r="B2469" s="140">
        <v>731144.0</v>
      </c>
      <c r="C2469" s="140" t="s">
        <v>9239</v>
      </c>
      <c r="D2469" s="140" t="s">
        <v>6318</v>
      </c>
      <c r="E2469" s="140" t="s">
        <v>5721</v>
      </c>
      <c r="F2469" s="140" t="s">
        <v>6372</v>
      </c>
      <c r="G2469" s="141" t="s">
        <v>6311</v>
      </c>
      <c r="H2469" s="140" t="s">
        <v>6312</v>
      </c>
      <c r="I2469" s="140" t="s">
        <v>6313</v>
      </c>
      <c r="J2469" s="140" t="s">
        <v>6319</v>
      </c>
      <c r="K2469" s="140" t="s">
        <v>6320</v>
      </c>
    </row>
    <row r="2470">
      <c r="A2470" s="140" t="s">
        <v>5777</v>
      </c>
      <c r="B2470" s="140">
        <v>73550.0</v>
      </c>
      <c r="C2470" s="140" t="s">
        <v>9240</v>
      </c>
      <c r="D2470" s="140" t="s">
        <v>6318</v>
      </c>
      <c r="E2470" s="140" t="s">
        <v>5721</v>
      </c>
      <c r="F2470" s="140" t="s">
        <v>6372</v>
      </c>
      <c r="G2470" s="141" t="s">
        <v>6311</v>
      </c>
      <c r="H2470" s="140" t="s">
        <v>6312</v>
      </c>
      <c r="I2470" s="140" t="s">
        <v>6313</v>
      </c>
      <c r="J2470" s="140" t="s">
        <v>6319</v>
      </c>
      <c r="K2470" s="140" t="s">
        <v>6320</v>
      </c>
    </row>
    <row r="2471">
      <c r="A2471" s="140" t="s">
        <v>5777</v>
      </c>
      <c r="B2471" s="140">
        <v>731145.0</v>
      </c>
      <c r="C2471" s="140" t="s">
        <v>9241</v>
      </c>
      <c r="D2471" s="140" t="s">
        <v>6318</v>
      </c>
      <c r="E2471" s="140" t="s">
        <v>5721</v>
      </c>
      <c r="F2471" s="140" t="s">
        <v>6372</v>
      </c>
      <c r="G2471" s="141" t="s">
        <v>6311</v>
      </c>
      <c r="H2471" s="140" t="s">
        <v>6312</v>
      </c>
      <c r="I2471" s="140" t="s">
        <v>6313</v>
      </c>
      <c r="J2471" s="140" t="s">
        <v>6319</v>
      </c>
      <c r="K2471" s="140" t="s">
        <v>6320</v>
      </c>
    </row>
    <row r="2472">
      <c r="A2472" s="140" t="s">
        <v>5777</v>
      </c>
      <c r="B2472" s="140">
        <v>72643.0</v>
      </c>
      <c r="C2472" s="140" t="s">
        <v>9242</v>
      </c>
      <c r="D2472" s="140" t="s">
        <v>6318</v>
      </c>
      <c r="E2472" s="140" t="s">
        <v>5721</v>
      </c>
      <c r="F2472" s="140" t="s">
        <v>6372</v>
      </c>
      <c r="G2472" s="141" t="s">
        <v>6311</v>
      </c>
      <c r="H2472" s="140" t="s">
        <v>6312</v>
      </c>
      <c r="I2472" s="140" t="s">
        <v>6313</v>
      </c>
      <c r="J2472" s="140" t="s">
        <v>6319</v>
      </c>
      <c r="K2472" s="140" t="s">
        <v>6320</v>
      </c>
    </row>
    <row r="2473">
      <c r="A2473" s="140" t="s">
        <v>5777</v>
      </c>
      <c r="B2473" s="140">
        <v>752077.0</v>
      </c>
      <c r="C2473" s="140" t="s">
        <v>9243</v>
      </c>
      <c r="D2473" s="140" t="s">
        <v>6318</v>
      </c>
      <c r="E2473" s="140" t="s">
        <v>1301</v>
      </c>
      <c r="F2473" s="140" t="s">
        <v>1302</v>
      </c>
      <c r="G2473" s="141" t="s">
        <v>6311</v>
      </c>
      <c r="H2473" s="140" t="s">
        <v>6312</v>
      </c>
      <c r="I2473" s="140" t="s">
        <v>6313</v>
      </c>
      <c r="J2473" s="140" t="s">
        <v>6319</v>
      </c>
      <c r="K2473" s="140" t="s">
        <v>6320</v>
      </c>
    </row>
    <row r="2474">
      <c r="A2474" s="140" t="s">
        <v>5777</v>
      </c>
      <c r="B2474" s="140">
        <v>100692.0</v>
      </c>
      <c r="C2474" s="140" t="s">
        <v>9244</v>
      </c>
      <c r="D2474" s="140" t="s">
        <v>6318</v>
      </c>
      <c r="E2474" s="140" t="s">
        <v>1301</v>
      </c>
      <c r="F2474" s="140" t="s">
        <v>735</v>
      </c>
      <c r="G2474" s="141" t="s">
        <v>6311</v>
      </c>
      <c r="H2474" s="140" t="s">
        <v>6312</v>
      </c>
      <c r="I2474" s="140" t="s">
        <v>6313</v>
      </c>
      <c r="J2474" s="140" t="s">
        <v>6319</v>
      </c>
      <c r="K2474" s="140" t="s">
        <v>6320</v>
      </c>
    </row>
    <row r="2475">
      <c r="A2475" s="140" t="s">
        <v>5777</v>
      </c>
      <c r="B2475" s="140">
        <v>72743.0</v>
      </c>
      <c r="C2475" s="140" t="s">
        <v>9245</v>
      </c>
      <c r="D2475" s="140" t="s">
        <v>6318</v>
      </c>
      <c r="E2475" s="140" t="s">
        <v>1301</v>
      </c>
      <c r="F2475" s="140" t="s">
        <v>735</v>
      </c>
      <c r="G2475" s="141" t="s">
        <v>6311</v>
      </c>
      <c r="H2475" s="140" t="s">
        <v>6312</v>
      </c>
      <c r="I2475" s="140" t="s">
        <v>6313</v>
      </c>
      <c r="J2475" s="140" t="s">
        <v>6319</v>
      </c>
      <c r="K2475" s="140" t="s">
        <v>6320</v>
      </c>
    </row>
    <row r="2476">
      <c r="A2476" s="140" t="s">
        <v>5777</v>
      </c>
      <c r="B2476" s="140">
        <v>75341.0</v>
      </c>
      <c r="C2476" s="140" t="s">
        <v>9246</v>
      </c>
      <c r="D2476" s="140" t="s">
        <v>6318</v>
      </c>
      <c r="E2476" s="140" t="s">
        <v>1301</v>
      </c>
      <c r="F2476" s="140" t="s">
        <v>735</v>
      </c>
      <c r="G2476" s="141" t="s">
        <v>6311</v>
      </c>
      <c r="H2476" s="140" t="s">
        <v>6312</v>
      </c>
      <c r="I2476" s="140" t="s">
        <v>6313</v>
      </c>
      <c r="J2476" s="140" t="s">
        <v>6319</v>
      </c>
      <c r="K2476" s="140" t="s">
        <v>6320</v>
      </c>
    </row>
    <row r="2477">
      <c r="A2477" s="140" t="s">
        <v>5777</v>
      </c>
      <c r="B2477" s="140">
        <v>74169.0</v>
      </c>
      <c r="C2477" s="140" t="s">
        <v>9247</v>
      </c>
      <c r="D2477" s="140" t="s">
        <v>6318</v>
      </c>
      <c r="E2477" s="140" t="s">
        <v>1301</v>
      </c>
      <c r="F2477" s="140" t="s">
        <v>735</v>
      </c>
      <c r="G2477" s="141" t="s">
        <v>6311</v>
      </c>
      <c r="H2477" s="140" t="s">
        <v>6312</v>
      </c>
      <c r="I2477" s="140" t="s">
        <v>6313</v>
      </c>
      <c r="J2477" s="140" t="s">
        <v>6319</v>
      </c>
      <c r="K2477" s="140" t="s">
        <v>6320</v>
      </c>
    </row>
    <row r="2478">
      <c r="A2478" s="140" t="s">
        <v>5828</v>
      </c>
      <c r="B2478" s="140">
        <v>72784.0</v>
      </c>
      <c r="C2478" s="140" t="s">
        <v>9248</v>
      </c>
      <c r="D2478" s="140" t="s">
        <v>6318</v>
      </c>
      <c r="E2478" s="140" t="s">
        <v>1301</v>
      </c>
      <c r="F2478" s="140" t="s">
        <v>735</v>
      </c>
      <c r="G2478" s="141" t="s">
        <v>6311</v>
      </c>
      <c r="H2478" s="140" t="s">
        <v>6312</v>
      </c>
      <c r="I2478" s="140" t="s">
        <v>6313</v>
      </c>
      <c r="J2478" s="140" t="s">
        <v>6319</v>
      </c>
      <c r="K2478" s="140" t="s">
        <v>6320</v>
      </c>
    </row>
    <row r="2479">
      <c r="A2479" s="140" t="s">
        <v>5777</v>
      </c>
      <c r="B2479" s="140">
        <v>10644.0</v>
      </c>
      <c r="C2479" s="140" t="s">
        <v>9249</v>
      </c>
      <c r="D2479" s="140" t="s">
        <v>6318</v>
      </c>
      <c r="E2479" s="140" t="s">
        <v>1301</v>
      </c>
      <c r="F2479" s="140" t="s">
        <v>6863</v>
      </c>
      <c r="G2479" s="141" t="s">
        <v>6311</v>
      </c>
      <c r="H2479" s="140" t="s">
        <v>6312</v>
      </c>
      <c r="I2479" s="140" t="s">
        <v>6313</v>
      </c>
      <c r="J2479" s="140" t="s">
        <v>6319</v>
      </c>
      <c r="K2479" s="140" t="s">
        <v>6320</v>
      </c>
    </row>
    <row r="2480">
      <c r="A2480" s="140" t="s">
        <v>5777</v>
      </c>
      <c r="B2480" s="140" t="s">
        <v>9250</v>
      </c>
      <c r="C2480" s="140" t="s">
        <v>9251</v>
      </c>
      <c r="D2480" s="140" t="s">
        <v>6318</v>
      </c>
      <c r="E2480" s="140" t="s">
        <v>1301</v>
      </c>
      <c r="F2480" s="140" t="s">
        <v>6863</v>
      </c>
      <c r="G2480" s="141" t="s">
        <v>6311</v>
      </c>
      <c r="H2480" s="140" t="s">
        <v>6330</v>
      </c>
      <c r="I2480" s="140" t="s">
        <v>6313</v>
      </c>
      <c r="J2480" s="140" t="s">
        <v>6319</v>
      </c>
      <c r="K2480" s="140" t="s">
        <v>6320</v>
      </c>
    </row>
    <row r="2481">
      <c r="A2481" s="140" t="s">
        <v>5777</v>
      </c>
      <c r="B2481" s="140" t="s">
        <v>9252</v>
      </c>
      <c r="C2481" s="140" t="s">
        <v>9251</v>
      </c>
      <c r="D2481" s="140" t="s">
        <v>6318</v>
      </c>
      <c r="E2481" s="140" t="s">
        <v>1301</v>
      </c>
      <c r="F2481" s="140" t="s">
        <v>6863</v>
      </c>
      <c r="G2481" s="141" t="s">
        <v>6311</v>
      </c>
      <c r="H2481" s="140" t="s">
        <v>6330</v>
      </c>
      <c r="I2481" s="140" t="s">
        <v>6313</v>
      </c>
      <c r="J2481" s="140" t="s">
        <v>6319</v>
      </c>
      <c r="K2481" s="140" t="s">
        <v>6320</v>
      </c>
    </row>
    <row r="2482">
      <c r="A2482" s="140" t="s">
        <v>5777</v>
      </c>
      <c r="B2482" s="140">
        <v>82285.0</v>
      </c>
      <c r="C2482" s="140" t="s">
        <v>9253</v>
      </c>
      <c r="D2482" s="140" t="s">
        <v>6318</v>
      </c>
      <c r="E2482" s="140" t="s">
        <v>1301</v>
      </c>
      <c r="F2482" s="140" t="s">
        <v>6863</v>
      </c>
      <c r="G2482" s="141" t="s">
        <v>6311</v>
      </c>
      <c r="H2482" s="140" t="s">
        <v>6312</v>
      </c>
      <c r="I2482" s="140" t="s">
        <v>6313</v>
      </c>
      <c r="J2482" s="140" t="s">
        <v>6319</v>
      </c>
      <c r="K2482" s="140" t="s">
        <v>6320</v>
      </c>
    </row>
    <row r="2483">
      <c r="A2483" s="140" t="s">
        <v>5777</v>
      </c>
      <c r="B2483" s="140" t="s">
        <v>6111</v>
      </c>
      <c r="C2483" s="140" t="s">
        <v>9254</v>
      </c>
      <c r="D2483" s="140" t="s">
        <v>6318</v>
      </c>
      <c r="E2483" s="140" t="s">
        <v>1301</v>
      </c>
      <c r="F2483" s="140" t="s">
        <v>6863</v>
      </c>
      <c r="G2483" s="141" t="s">
        <v>6311</v>
      </c>
      <c r="H2483" s="140" t="s">
        <v>6330</v>
      </c>
      <c r="I2483" s="140" t="s">
        <v>6313</v>
      </c>
      <c r="J2483" s="140" t="s">
        <v>6319</v>
      </c>
      <c r="K2483" s="140" t="s">
        <v>6320</v>
      </c>
    </row>
    <row r="2484">
      <c r="A2484" s="140" t="s">
        <v>5777</v>
      </c>
      <c r="B2484" s="140">
        <v>72429.0</v>
      </c>
      <c r="C2484" s="140" t="s">
        <v>9255</v>
      </c>
      <c r="D2484" s="140" t="s">
        <v>6318</v>
      </c>
      <c r="E2484" s="140" t="s">
        <v>1323</v>
      </c>
      <c r="F2484" s="140" t="s">
        <v>1324</v>
      </c>
      <c r="G2484" s="141" t="s">
        <v>6311</v>
      </c>
      <c r="H2484" s="140" t="s">
        <v>6312</v>
      </c>
      <c r="I2484" s="140" t="s">
        <v>6313</v>
      </c>
      <c r="J2484" s="140" t="s">
        <v>6319</v>
      </c>
      <c r="K2484" s="140" t="s">
        <v>6320</v>
      </c>
    </row>
    <row r="2485">
      <c r="A2485" s="140" t="s">
        <v>5777</v>
      </c>
      <c r="B2485" s="140">
        <v>72381.0</v>
      </c>
      <c r="C2485" s="140" t="s">
        <v>9256</v>
      </c>
      <c r="D2485" s="140" t="s">
        <v>6318</v>
      </c>
      <c r="E2485" s="140" t="s">
        <v>1323</v>
      </c>
      <c r="F2485" s="140" t="s">
        <v>1324</v>
      </c>
      <c r="G2485" s="141" t="s">
        <v>6311</v>
      </c>
      <c r="H2485" s="140" t="s">
        <v>6312</v>
      </c>
      <c r="I2485" s="140" t="s">
        <v>6313</v>
      </c>
      <c r="J2485" s="140" t="s">
        <v>6319</v>
      </c>
      <c r="K2485" s="140" t="s">
        <v>6320</v>
      </c>
    </row>
    <row r="2486">
      <c r="A2486" s="140" t="s">
        <v>5777</v>
      </c>
      <c r="B2486" s="140">
        <v>73545.0</v>
      </c>
      <c r="C2486" s="140" t="s">
        <v>9257</v>
      </c>
      <c r="D2486" s="140" t="s">
        <v>6318</v>
      </c>
      <c r="E2486" s="140" t="s">
        <v>1323</v>
      </c>
      <c r="F2486" s="140" t="s">
        <v>1324</v>
      </c>
      <c r="G2486" s="141" t="s">
        <v>6311</v>
      </c>
      <c r="H2486" s="140" t="s">
        <v>6312</v>
      </c>
      <c r="I2486" s="140" t="s">
        <v>6313</v>
      </c>
      <c r="J2486" s="140" t="s">
        <v>6319</v>
      </c>
      <c r="K2486" s="140" t="s">
        <v>6320</v>
      </c>
    </row>
    <row r="2487">
      <c r="A2487" s="140" t="s">
        <v>5777</v>
      </c>
      <c r="B2487" s="140">
        <v>72497.0</v>
      </c>
      <c r="C2487" s="140" t="s">
        <v>9258</v>
      </c>
      <c r="D2487" s="140" t="s">
        <v>6318</v>
      </c>
      <c r="E2487" s="140" t="s">
        <v>1323</v>
      </c>
      <c r="F2487" s="140" t="s">
        <v>1324</v>
      </c>
      <c r="G2487" s="141" t="s">
        <v>6311</v>
      </c>
      <c r="H2487" s="140" t="s">
        <v>6312</v>
      </c>
      <c r="I2487" s="140" t="s">
        <v>6313</v>
      </c>
      <c r="J2487" s="140" t="s">
        <v>6319</v>
      </c>
      <c r="K2487" s="140" t="s">
        <v>6320</v>
      </c>
    </row>
    <row r="2488">
      <c r="A2488" s="140" t="s">
        <v>5777</v>
      </c>
      <c r="B2488" s="140">
        <v>72498.0</v>
      </c>
      <c r="C2488" s="140" t="s">
        <v>9259</v>
      </c>
      <c r="D2488" s="140" t="s">
        <v>6318</v>
      </c>
      <c r="E2488" s="140" t="s">
        <v>1323</v>
      </c>
      <c r="F2488" s="140" t="s">
        <v>1324</v>
      </c>
      <c r="G2488" s="141" t="s">
        <v>6311</v>
      </c>
      <c r="H2488" s="140" t="s">
        <v>6312</v>
      </c>
      <c r="I2488" s="140" t="s">
        <v>6313</v>
      </c>
      <c r="J2488" s="140" t="s">
        <v>6319</v>
      </c>
      <c r="K2488" s="140" t="s">
        <v>6320</v>
      </c>
    </row>
    <row r="2489">
      <c r="A2489" s="140" t="s">
        <v>5777</v>
      </c>
      <c r="B2489" s="140">
        <v>73544.0</v>
      </c>
      <c r="C2489" s="140" t="s">
        <v>9260</v>
      </c>
      <c r="D2489" s="140" t="s">
        <v>6318</v>
      </c>
      <c r="E2489" s="140" t="s">
        <v>1323</v>
      </c>
      <c r="F2489" s="140" t="s">
        <v>1324</v>
      </c>
      <c r="G2489" s="141" t="s">
        <v>6311</v>
      </c>
      <c r="H2489" s="140" t="s">
        <v>6312</v>
      </c>
      <c r="I2489" s="140" t="s">
        <v>6313</v>
      </c>
      <c r="J2489" s="140" t="s">
        <v>6319</v>
      </c>
      <c r="K2489" s="140" t="s">
        <v>6320</v>
      </c>
    </row>
    <row r="2490">
      <c r="A2490" s="140" t="s">
        <v>5777</v>
      </c>
      <c r="B2490" s="140">
        <v>756324.0</v>
      </c>
      <c r="C2490" s="140" t="s">
        <v>9261</v>
      </c>
      <c r="D2490" s="140" t="s">
        <v>6318</v>
      </c>
      <c r="E2490" s="140" t="s">
        <v>1323</v>
      </c>
      <c r="F2490" s="140" t="s">
        <v>1333</v>
      </c>
      <c r="G2490" s="141" t="s">
        <v>6311</v>
      </c>
      <c r="H2490" s="140" t="s">
        <v>6312</v>
      </c>
      <c r="I2490" s="140" t="s">
        <v>6313</v>
      </c>
      <c r="J2490" s="140" t="s">
        <v>6319</v>
      </c>
      <c r="K2490" s="140" t="s">
        <v>6320</v>
      </c>
    </row>
    <row r="2491">
      <c r="A2491" s="140" t="s">
        <v>5777</v>
      </c>
      <c r="B2491" s="140">
        <v>756325.0</v>
      </c>
      <c r="C2491" s="140" t="s">
        <v>9262</v>
      </c>
      <c r="D2491" s="140" t="s">
        <v>6318</v>
      </c>
      <c r="E2491" s="140" t="s">
        <v>1323</v>
      </c>
      <c r="F2491" s="140" t="s">
        <v>1333</v>
      </c>
      <c r="G2491" s="141" t="s">
        <v>6311</v>
      </c>
      <c r="H2491" s="140" t="s">
        <v>6312</v>
      </c>
      <c r="I2491" s="140" t="s">
        <v>6313</v>
      </c>
      <c r="J2491" s="140" t="s">
        <v>6319</v>
      </c>
      <c r="K2491" s="140" t="s">
        <v>6320</v>
      </c>
    </row>
    <row r="2492">
      <c r="A2492" s="140" t="s">
        <v>5777</v>
      </c>
      <c r="B2492" s="140">
        <v>74143.0</v>
      </c>
      <c r="C2492" s="140" t="s">
        <v>9263</v>
      </c>
      <c r="D2492" s="140" t="s">
        <v>6318</v>
      </c>
      <c r="E2492" s="140" t="s">
        <v>1323</v>
      </c>
      <c r="F2492" s="140" t="s">
        <v>5780</v>
      </c>
      <c r="G2492" s="141" t="s">
        <v>6311</v>
      </c>
      <c r="H2492" s="140" t="s">
        <v>6312</v>
      </c>
      <c r="I2492" s="140" t="s">
        <v>6313</v>
      </c>
      <c r="J2492" s="140" t="s">
        <v>6319</v>
      </c>
      <c r="K2492" s="140" t="s">
        <v>6320</v>
      </c>
    </row>
    <row r="2493">
      <c r="A2493" s="140" t="s">
        <v>5777</v>
      </c>
      <c r="B2493" s="140">
        <v>72384.0</v>
      </c>
      <c r="C2493" s="140" t="s">
        <v>9264</v>
      </c>
      <c r="D2493" s="140" t="s">
        <v>6318</v>
      </c>
      <c r="E2493" s="140" t="s">
        <v>1323</v>
      </c>
      <c r="F2493" s="140" t="s">
        <v>5780</v>
      </c>
      <c r="G2493" s="141" t="s">
        <v>6311</v>
      </c>
      <c r="H2493" s="140" t="s">
        <v>6312</v>
      </c>
      <c r="I2493" s="140" t="s">
        <v>6313</v>
      </c>
      <c r="J2493" s="140" t="s">
        <v>6319</v>
      </c>
      <c r="K2493" s="140" t="s">
        <v>6320</v>
      </c>
    </row>
    <row r="2494">
      <c r="A2494" s="140" t="s">
        <v>5777</v>
      </c>
      <c r="B2494" s="140">
        <v>73896.0</v>
      </c>
      <c r="C2494" s="140" t="s">
        <v>9265</v>
      </c>
      <c r="D2494" s="140" t="s">
        <v>6318</v>
      </c>
      <c r="E2494" s="140" t="s">
        <v>1323</v>
      </c>
      <c r="F2494" s="140" t="s">
        <v>5780</v>
      </c>
      <c r="G2494" s="141" t="s">
        <v>6311</v>
      </c>
      <c r="H2494" s="140" t="s">
        <v>6312</v>
      </c>
      <c r="I2494" s="140" t="s">
        <v>6313</v>
      </c>
      <c r="J2494" s="140" t="s">
        <v>6319</v>
      </c>
      <c r="K2494" s="140" t="s">
        <v>6320</v>
      </c>
    </row>
    <row r="2495">
      <c r="A2495" s="140" t="s">
        <v>5777</v>
      </c>
      <c r="B2495" s="140">
        <v>77076.0</v>
      </c>
      <c r="C2495" s="140" t="s">
        <v>9266</v>
      </c>
      <c r="D2495" s="140" t="s">
        <v>6318</v>
      </c>
      <c r="E2495" s="140" t="s">
        <v>1323</v>
      </c>
      <c r="F2495" s="140" t="s">
        <v>5780</v>
      </c>
      <c r="G2495" s="141" t="s">
        <v>6311</v>
      </c>
      <c r="H2495" s="140" t="s">
        <v>6312</v>
      </c>
      <c r="I2495" s="140" t="s">
        <v>6313</v>
      </c>
      <c r="J2495" s="140" t="s">
        <v>6319</v>
      </c>
      <c r="K2495" s="140" t="s">
        <v>6320</v>
      </c>
    </row>
    <row r="2496">
      <c r="A2496" s="140" t="s">
        <v>5777</v>
      </c>
      <c r="B2496" s="140">
        <v>77918.0</v>
      </c>
      <c r="C2496" s="140" t="s">
        <v>9267</v>
      </c>
      <c r="D2496" s="140" t="s">
        <v>6318</v>
      </c>
      <c r="E2496" s="140" t="s">
        <v>1323</v>
      </c>
      <c r="F2496" s="140" t="s">
        <v>5780</v>
      </c>
      <c r="G2496" s="141" t="s">
        <v>6311</v>
      </c>
      <c r="H2496" s="140" t="s">
        <v>6312</v>
      </c>
      <c r="I2496" s="140" t="s">
        <v>6313</v>
      </c>
      <c r="J2496" s="140" t="s">
        <v>6319</v>
      </c>
      <c r="K2496" s="140" t="s">
        <v>6320</v>
      </c>
    </row>
    <row r="2497">
      <c r="A2497" s="140" t="s">
        <v>5777</v>
      </c>
      <c r="B2497" s="140">
        <v>72630.0</v>
      </c>
      <c r="C2497" s="140" t="s">
        <v>9268</v>
      </c>
      <c r="D2497" s="140" t="s">
        <v>6318</v>
      </c>
      <c r="E2497" s="140" t="s">
        <v>1323</v>
      </c>
      <c r="F2497" s="140" t="s">
        <v>5780</v>
      </c>
      <c r="G2497" s="141" t="s">
        <v>6311</v>
      </c>
      <c r="H2497" s="140" t="s">
        <v>6312</v>
      </c>
      <c r="I2497" s="140" t="s">
        <v>6313</v>
      </c>
      <c r="J2497" s="140" t="s">
        <v>6319</v>
      </c>
      <c r="K2497" s="140" t="s">
        <v>6320</v>
      </c>
    </row>
    <row r="2498">
      <c r="A2498" s="140" t="s">
        <v>5777</v>
      </c>
      <c r="B2498" s="140">
        <v>72178.0</v>
      </c>
      <c r="C2498" s="140" t="s">
        <v>9269</v>
      </c>
      <c r="D2498" s="140" t="s">
        <v>6318</v>
      </c>
      <c r="E2498" s="140" t="s">
        <v>1323</v>
      </c>
      <c r="F2498" s="140" t="s">
        <v>1340</v>
      </c>
      <c r="G2498" s="141" t="s">
        <v>6311</v>
      </c>
      <c r="H2498" s="140" t="s">
        <v>6312</v>
      </c>
      <c r="I2498" s="140" t="s">
        <v>6313</v>
      </c>
      <c r="J2498" s="140" t="s">
        <v>6319</v>
      </c>
      <c r="K2498" s="140" t="s">
        <v>6320</v>
      </c>
    </row>
    <row r="2499">
      <c r="A2499" s="140" t="s">
        <v>5777</v>
      </c>
      <c r="B2499" s="140">
        <v>77919.0</v>
      </c>
      <c r="C2499" s="140" t="s">
        <v>9270</v>
      </c>
      <c r="D2499" s="140" t="s">
        <v>6318</v>
      </c>
      <c r="E2499" s="140" t="s">
        <v>1323</v>
      </c>
      <c r="F2499" s="140" t="s">
        <v>1340</v>
      </c>
      <c r="G2499" s="141" t="s">
        <v>6311</v>
      </c>
      <c r="H2499" s="140" t="s">
        <v>6312</v>
      </c>
      <c r="I2499" s="140" t="s">
        <v>6313</v>
      </c>
      <c r="J2499" s="140" t="s">
        <v>6319</v>
      </c>
      <c r="K2499" s="140" t="s">
        <v>6320</v>
      </c>
    </row>
    <row r="2500">
      <c r="A2500" s="140" t="s">
        <v>5777</v>
      </c>
      <c r="B2500" s="140">
        <v>74142.0</v>
      </c>
      <c r="C2500" s="140" t="s">
        <v>9271</v>
      </c>
      <c r="D2500" s="140" t="s">
        <v>6318</v>
      </c>
      <c r="E2500" s="140" t="s">
        <v>1323</v>
      </c>
      <c r="F2500" s="140" t="s">
        <v>1340</v>
      </c>
      <c r="G2500" s="141" t="s">
        <v>6311</v>
      </c>
      <c r="H2500" s="140" t="s">
        <v>6312</v>
      </c>
      <c r="I2500" s="140" t="s">
        <v>6313</v>
      </c>
      <c r="J2500" s="140" t="s">
        <v>6319</v>
      </c>
      <c r="K2500" s="140" t="s">
        <v>6320</v>
      </c>
    </row>
    <row r="2501">
      <c r="A2501" s="140" t="s">
        <v>5777</v>
      </c>
      <c r="B2501" s="140">
        <v>73849.0</v>
      </c>
      <c r="C2501" s="140" t="s">
        <v>9272</v>
      </c>
      <c r="D2501" s="140" t="s">
        <v>6318</v>
      </c>
      <c r="E2501" s="140" t="s">
        <v>1323</v>
      </c>
      <c r="F2501" s="140" t="s">
        <v>1340</v>
      </c>
      <c r="G2501" s="141" t="s">
        <v>6311</v>
      </c>
      <c r="H2501" s="140" t="s">
        <v>6312</v>
      </c>
      <c r="I2501" s="140" t="s">
        <v>6313</v>
      </c>
      <c r="J2501" s="140" t="s">
        <v>6319</v>
      </c>
      <c r="K2501" s="140" t="s">
        <v>6320</v>
      </c>
    </row>
    <row r="2502">
      <c r="A2502" s="140" t="s">
        <v>5777</v>
      </c>
      <c r="B2502" s="140">
        <v>72389.0</v>
      </c>
      <c r="C2502" s="140" t="s">
        <v>9273</v>
      </c>
      <c r="D2502" s="140" t="s">
        <v>6318</v>
      </c>
      <c r="E2502" s="140" t="s">
        <v>1323</v>
      </c>
      <c r="F2502" s="140" t="s">
        <v>1340</v>
      </c>
      <c r="G2502" s="141" t="s">
        <v>6311</v>
      </c>
      <c r="H2502" s="140" t="s">
        <v>6312</v>
      </c>
      <c r="I2502" s="140" t="s">
        <v>6313</v>
      </c>
      <c r="J2502" s="140" t="s">
        <v>6319</v>
      </c>
      <c r="K2502" s="140" t="s">
        <v>6320</v>
      </c>
    </row>
    <row r="2503">
      <c r="A2503" s="140" t="s">
        <v>5777</v>
      </c>
      <c r="B2503" s="140">
        <v>72383.0</v>
      </c>
      <c r="C2503" s="140" t="s">
        <v>9274</v>
      </c>
      <c r="D2503" s="140" t="s">
        <v>6318</v>
      </c>
      <c r="E2503" s="140" t="s">
        <v>1323</v>
      </c>
      <c r="F2503" s="140" t="s">
        <v>1340</v>
      </c>
      <c r="G2503" s="141" t="s">
        <v>6311</v>
      </c>
      <c r="H2503" s="140" t="s">
        <v>6312</v>
      </c>
      <c r="I2503" s="140" t="s">
        <v>6313</v>
      </c>
      <c r="J2503" s="140" t="s">
        <v>6319</v>
      </c>
      <c r="K2503" s="140" t="s">
        <v>6320</v>
      </c>
    </row>
    <row r="2504">
      <c r="A2504" s="140" t="s">
        <v>5777</v>
      </c>
      <c r="B2504" s="140">
        <v>100027.0</v>
      </c>
      <c r="C2504" s="140" t="s">
        <v>9275</v>
      </c>
      <c r="D2504" s="140" t="s">
        <v>6318</v>
      </c>
      <c r="E2504" s="140" t="s">
        <v>1323</v>
      </c>
      <c r="F2504" s="140" t="s">
        <v>1340</v>
      </c>
      <c r="G2504" s="141" t="s">
        <v>6311</v>
      </c>
      <c r="H2504" s="140" t="s">
        <v>6312</v>
      </c>
      <c r="I2504" s="140" t="s">
        <v>6313</v>
      </c>
      <c r="J2504" s="140" t="s">
        <v>6319</v>
      </c>
      <c r="K2504" s="140" t="s">
        <v>6320</v>
      </c>
    </row>
    <row r="2505">
      <c r="A2505" s="140" t="s">
        <v>5777</v>
      </c>
      <c r="B2505" s="140">
        <v>72633.0</v>
      </c>
      <c r="C2505" s="140" t="s">
        <v>9276</v>
      </c>
      <c r="D2505" s="140" t="s">
        <v>6318</v>
      </c>
      <c r="E2505" s="140" t="s">
        <v>1323</v>
      </c>
      <c r="F2505" s="140" t="s">
        <v>1340</v>
      </c>
      <c r="G2505" s="141" t="s">
        <v>6311</v>
      </c>
      <c r="H2505" s="140" t="s">
        <v>6312</v>
      </c>
      <c r="I2505" s="140" t="s">
        <v>6313</v>
      </c>
      <c r="J2505" s="140" t="s">
        <v>6319</v>
      </c>
      <c r="K2505" s="140" t="s">
        <v>6320</v>
      </c>
    </row>
    <row r="2506">
      <c r="A2506" s="140" t="s">
        <v>5828</v>
      </c>
      <c r="B2506" s="140">
        <v>74134.0</v>
      </c>
      <c r="C2506" s="140" t="s">
        <v>9277</v>
      </c>
      <c r="D2506" s="140" t="s">
        <v>6318</v>
      </c>
      <c r="E2506" s="140" t="s">
        <v>1323</v>
      </c>
      <c r="F2506" s="140" t="s">
        <v>1340</v>
      </c>
      <c r="G2506" s="141" t="s">
        <v>6311</v>
      </c>
      <c r="H2506" s="140" t="s">
        <v>6312</v>
      </c>
      <c r="I2506" s="140" t="s">
        <v>6313</v>
      </c>
      <c r="J2506" s="140" t="s">
        <v>6319</v>
      </c>
      <c r="K2506" s="140" t="s">
        <v>6320</v>
      </c>
    </row>
    <row r="2507">
      <c r="A2507" s="140" t="s">
        <v>5777</v>
      </c>
      <c r="B2507" s="140">
        <v>731154.0</v>
      </c>
      <c r="C2507" s="140" t="s">
        <v>9278</v>
      </c>
      <c r="D2507" s="140" t="s">
        <v>6318</v>
      </c>
      <c r="E2507" s="140" t="s">
        <v>1323</v>
      </c>
      <c r="F2507" s="140" t="s">
        <v>1340</v>
      </c>
      <c r="G2507" s="141" t="s">
        <v>6311</v>
      </c>
      <c r="H2507" s="140" t="s">
        <v>6312</v>
      </c>
      <c r="I2507" s="140" t="s">
        <v>6313</v>
      </c>
      <c r="J2507" s="140" t="s">
        <v>6319</v>
      </c>
      <c r="K2507" s="140" t="s">
        <v>6320</v>
      </c>
    </row>
    <row r="2508">
      <c r="A2508" s="140" t="s">
        <v>5777</v>
      </c>
      <c r="B2508" s="140">
        <v>72651.0</v>
      </c>
      <c r="C2508" s="140" t="s">
        <v>9279</v>
      </c>
      <c r="D2508" s="140" t="s">
        <v>6318</v>
      </c>
      <c r="E2508" s="140" t="s">
        <v>1323</v>
      </c>
      <c r="F2508" s="140" t="s">
        <v>1340</v>
      </c>
      <c r="G2508" s="141" t="s">
        <v>6311</v>
      </c>
      <c r="H2508" s="140" t="s">
        <v>6312</v>
      </c>
      <c r="I2508" s="140" t="s">
        <v>6313</v>
      </c>
      <c r="J2508" s="140" t="s">
        <v>6319</v>
      </c>
      <c r="K2508" s="140" t="s">
        <v>6320</v>
      </c>
    </row>
    <row r="2509">
      <c r="A2509" s="140" t="s">
        <v>5777</v>
      </c>
      <c r="B2509" s="140">
        <v>72662.0</v>
      </c>
      <c r="C2509" s="140" t="s">
        <v>9280</v>
      </c>
      <c r="D2509" s="140" t="s">
        <v>6318</v>
      </c>
      <c r="E2509" s="140" t="s">
        <v>1323</v>
      </c>
      <c r="F2509" s="140" t="s">
        <v>1340</v>
      </c>
      <c r="G2509" s="141" t="s">
        <v>6311</v>
      </c>
      <c r="H2509" s="140" t="s">
        <v>6312</v>
      </c>
      <c r="I2509" s="140" t="s">
        <v>6313</v>
      </c>
      <c r="J2509" s="140" t="s">
        <v>6319</v>
      </c>
      <c r="K2509" s="140" t="s">
        <v>6320</v>
      </c>
    </row>
    <row r="2510">
      <c r="A2510" s="140" t="s">
        <v>5777</v>
      </c>
      <c r="B2510" s="140">
        <v>74086.0</v>
      </c>
      <c r="C2510" s="140" t="s">
        <v>9281</v>
      </c>
      <c r="D2510" s="140" t="s">
        <v>6318</v>
      </c>
      <c r="E2510" s="140" t="s">
        <v>1323</v>
      </c>
      <c r="F2510" s="140" t="s">
        <v>1340</v>
      </c>
      <c r="G2510" s="141" t="s">
        <v>6311</v>
      </c>
      <c r="H2510" s="140" t="s">
        <v>6312</v>
      </c>
      <c r="I2510" s="140" t="s">
        <v>6313</v>
      </c>
      <c r="J2510" s="140" t="s">
        <v>6319</v>
      </c>
      <c r="K2510" s="140" t="s">
        <v>6320</v>
      </c>
    </row>
    <row r="2511">
      <c r="A2511" s="140" t="s">
        <v>5777</v>
      </c>
      <c r="B2511" s="140">
        <v>74049.0</v>
      </c>
      <c r="C2511" s="140" t="s">
        <v>9282</v>
      </c>
      <c r="D2511" s="140" t="s">
        <v>6318</v>
      </c>
      <c r="E2511" s="140" t="s">
        <v>1323</v>
      </c>
      <c r="F2511" s="140" t="s">
        <v>1340</v>
      </c>
      <c r="G2511" s="141" t="s">
        <v>6311</v>
      </c>
      <c r="H2511" s="140" t="s">
        <v>6312</v>
      </c>
      <c r="I2511" s="140" t="s">
        <v>6313</v>
      </c>
      <c r="J2511" s="140" t="s">
        <v>6319</v>
      </c>
      <c r="K2511" s="140" t="s">
        <v>6320</v>
      </c>
    </row>
    <row r="2512">
      <c r="A2512" s="140" t="s">
        <v>5777</v>
      </c>
      <c r="B2512" s="140">
        <v>83318.0</v>
      </c>
      <c r="C2512" s="140" t="s">
        <v>9283</v>
      </c>
      <c r="D2512" s="140" t="s">
        <v>6318</v>
      </c>
      <c r="E2512" s="140" t="s">
        <v>1323</v>
      </c>
      <c r="F2512" s="140" t="s">
        <v>1340</v>
      </c>
      <c r="G2512" s="141" t="s">
        <v>6311</v>
      </c>
      <c r="H2512" s="140" t="s">
        <v>6312</v>
      </c>
      <c r="I2512" s="140" t="s">
        <v>6313</v>
      </c>
      <c r="J2512" s="140" t="s">
        <v>6319</v>
      </c>
      <c r="K2512" s="140" t="s">
        <v>6320</v>
      </c>
    </row>
    <row r="2513">
      <c r="A2513" s="140" t="s">
        <v>5777</v>
      </c>
      <c r="B2513" s="140">
        <v>753100.0</v>
      </c>
      <c r="C2513" s="140" t="s">
        <v>9284</v>
      </c>
      <c r="D2513" s="140" t="s">
        <v>6318</v>
      </c>
      <c r="E2513" s="140" t="s">
        <v>1323</v>
      </c>
      <c r="F2513" s="140" t="s">
        <v>1371</v>
      </c>
      <c r="G2513" s="141" t="s">
        <v>6311</v>
      </c>
      <c r="H2513" s="140" t="s">
        <v>6312</v>
      </c>
      <c r="I2513" s="140" t="s">
        <v>6313</v>
      </c>
      <c r="J2513" s="140" t="s">
        <v>6319</v>
      </c>
      <c r="K2513" s="140" t="s">
        <v>6320</v>
      </c>
    </row>
    <row r="2514">
      <c r="A2514" s="140" t="s">
        <v>5777</v>
      </c>
      <c r="B2514" s="140">
        <v>751902.0</v>
      </c>
      <c r="C2514" s="140" t="s">
        <v>9285</v>
      </c>
      <c r="D2514" s="140" t="s">
        <v>6318</v>
      </c>
      <c r="E2514" s="140" t="s">
        <v>1323</v>
      </c>
      <c r="F2514" s="140" t="s">
        <v>1371</v>
      </c>
      <c r="G2514" s="141" t="s">
        <v>6311</v>
      </c>
      <c r="H2514" s="140" t="s">
        <v>6312</v>
      </c>
      <c r="I2514" s="140" t="s">
        <v>6313</v>
      </c>
      <c r="J2514" s="140" t="s">
        <v>6319</v>
      </c>
      <c r="K2514" s="140" t="s">
        <v>6320</v>
      </c>
    </row>
    <row r="2515">
      <c r="A2515" s="140" t="s">
        <v>5777</v>
      </c>
      <c r="B2515" s="140">
        <v>77070.0</v>
      </c>
      <c r="C2515" s="140" t="s">
        <v>9286</v>
      </c>
      <c r="D2515" s="140" t="s">
        <v>6318</v>
      </c>
      <c r="E2515" s="140" t="s">
        <v>1323</v>
      </c>
      <c r="F2515" s="140" t="s">
        <v>1371</v>
      </c>
      <c r="G2515" s="141" t="s">
        <v>6311</v>
      </c>
      <c r="H2515" s="140" t="s">
        <v>6312</v>
      </c>
      <c r="I2515" s="140" t="s">
        <v>6313</v>
      </c>
      <c r="J2515" s="140" t="s">
        <v>6319</v>
      </c>
      <c r="K2515" s="140" t="s">
        <v>6320</v>
      </c>
    </row>
    <row r="2516">
      <c r="A2516" s="140" t="s">
        <v>5777</v>
      </c>
      <c r="B2516" s="140">
        <v>100706.0</v>
      </c>
      <c r="C2516" s="140" t="s">
        <v>9287</v>
      </c>
      <c r="D2516" s="140" t="s">
        <v>6318</v>
      </c>
      <c r="E2516" s="140" t="s">
        <v>1323</v>
      </c>
      <c r="F2516" s="140" t="s">
        <v>1371</v>
      </c>
      <c r="G2516" s="141" t="s">
        <v>6311</v>
      </c>
      <c r="H2516" s="140" t="s">
        <v>6312</v>
      </c>
      <c r="I2516" s="140" t="s">
        <v>6313</v>
      </c>
      <c r="J2516" s="140" t="s">
        <v>6319</v>
      </c>
      <c r="K2516" s="140" t="s">
        <v>6320</v>
      </c>
    </row>
    <row r="2517">
      <c r="A2517" s="140" t="s">
        <v>5777</v>
      </c>
      <c r="B2517" s="140">
        <v>76290.0</v>
      </c>
      <c r="C2517" s="140" t="s">
        <v>9288</v>
      </c>
      <c r="D2517" s="140" t="s">
        <v>6318</v>
      </c>
      <c r="E2517" s="140" t="s">
        <v>1395</v>
      </c>
      <c r="F2517" s="140" t="s">
        <v>1396</v>
      </c>
      <c r="G2517" s="141" t="s">
        <v>6311</v>
      </c>
      <c r="H2517" s="140" t="s">
        <v>6312</v>
      </c>
      <c r="I2517" s="140" t="s">
        <v>6313</v>
      </c>
      <c r="J2517" s="140" t="s">
        <v>6319</v>
      </c>
      <c r="K2517" s="140" t="s">
        <v>6320</v>
      </c>
    </row>
    <row r="2518">
      <c r="A2518" s="140" t="s">
        <v>5777</v>
      </c>
      <c r="B2518" s="140">
        <v>761500.0</v>
      </c>
      <c r="C2518" s="140" t="s">
        <v>9289</v>
      </c>
      <c r="D2518" s="140" t="s">
        <v>6318</v>
      </c>
      <c r="E2518" s="140" t="s">
        <v>1395</v>
      </c>
      <c r="F2518" s="140" t="s">
        <v>1421</v>
      </c>
      <c r="G2518" s="141" t="s">
        <v>6311</v>
      </c>
      <c r="H2518" s="140" t="s">
        <v>6312</v>
      </c>
      <c r="I2518" s="140" t="s">
        <v>6313</v>
      </c>
      <c r="J2518" s="140" t="s">
        <v>6319</v>
      </c>
      <c r="K2518" s="140" t="s">
        <v>6320</v>
      </c>
    </row>
    <row r="2519">
      <c r="A2519" s="140" t="s">
        <v>5777</v>
      </c>
      <c r="B2519" s="140">
        <v>73001.0</v>
      </c>
      <c r="C2519" s="140" t="s">
        <v>9290</v>
      </c>
      <c r="D2519" s="140" t="s">
        <v>6318</v>
      </c>
      <c r="E2519" s="140" t="s">
        <v>1395</v>
      </c>
      <c r="F2519" s="140" t="s">
        <v>1421</v>
      </c>
      <c r="G2519" s="141" t="s">
        <v>6311</v>
      </c>
      <c r="H2519" s="140" t="s">
        <v>6312</v>
      </c>
      <c r="I2519" s="140" t="s">
        <v>6313</v>
      </c>
      <c r="J2519" s="140" t="s">
        <v>6319</v>
      </c>
      <c r="K2519" s="140" t="s">
        <v>6320</v>
      </c>
    </row>
    <row r="2520">
      <c r="A2520" s="140" t="s">
        <v>5777</v>
      </c>
      <c r="B2520" s="140">
        <v>71887.0</v>
      </c>
      <c r="C2520" s="140" t="s">
        <v>9291</v>
      </c>
      <c r="D2520" s="140" t="s">
        <v>6318</v>
      </c>
      <c r="E2520" s="140" t="s">
        <v>1395</v>
      </c>
      <c r="F2520" s="140" t="s">
        <v>1421</v>
      </c>
      <c r="G2520" s="141" t="s">
        <v>6311</v>
      </c>
      <c r="H2520" s="140" t="s">
        <v>6312</v>
      </c>
      <c r="I2520" s="140" t="s">
        <v>6313</v>
      </c>
      <c r="J2520" s="140" t="s">
        <v>6319</v>
      </c>
      <c r="K2520" s="140" t="s">
        <v>6320</v>
      </c>
    </row>
    <row r="2521">
      <c r="A2521" s="140" t="s">
        <v>9292</v>
      </c>
      <c r="B2521" s="140">
        <v>1035.0</v>
      </c>
      <c r="C2521" s="140" t="s">
        <v>9293</v>
      </c>
      <c r="D2521" s="140" t="s">
        <v>6309</v>
      </c>
      <c r="E2521" s="140">
        <v>0.0</v>
      </c>
      <c r="F2521" s="140" t="s">
        <v>9294</v>
      </c>
      <c r="G2521" s="141" t="s">
        <v>6401</v>
      </c>
      <c r="H2521" s="140" t="s">
        <v>6312</v>
      </c>
      <c r="I2521" s="140" t="s">
        <v>6313</v>
      </c>
      <c r="J2521" s="140" t="s">
        <v>6314</v>
      </c>
      <c r="K2521" s="140" t="s">
        <v>6402</v>
      </c>
    </row>
    <row r="2522">
      <c r="A2522" s="140" t="s">
        <v>9292</v>
      </c>
      <c r="B2522" s="140">
        <v>1052.0</v>
      </c>
      <c r="C2522" s="140" t="s">
        <v>9295</v>
      </c>
      <c r="D2522" s="140" t="s">
        <v>6309</v>
      </c>
      <c r="E2522" s="140">
        <v>0.0</v>
      </c>
      <c r="F2522" s="140" t="s">
        <v>9294</v>
      </c>
      <c r="G2522" s="141" t="s">
        <v>6401</v>
      </c>
      <c r="H2522" s="140" t="s">
        <v>6312</v>
      </c>
      <c r="I2522" s="140" t="s">
        <v>6313</v>
      </c>
      <c r="J2522" s="140" t="s">
        <v>6314</v>
      </c>
      <c r="K2522" s="140" t="s">
        <v>6402</v>
      </c>
    </row>
    <row r="2523">
      <c r="A2523" s="140" t="s">
        <v>9292</v>
      </c>
      <c r="B2523" s="140">
        <v>1036.0</v>
      </c>
      <c r="C2523" s="140" t="s">
        <v>9296</v>
      </c>
      <c r="D2523" s="140" t="s">
        <v>6309</v>
      </c>
      <c r="E2523" s="140" t="s">
        <v>47</v>
      </c>
      <c r="F2523" s="140" t="s">
        <v>48</v>
      </c>
      <c r="G2523" s="141" t="s">
        <v>6401</v>
      </c>
      <c r="H2523" s="140" t="s">
        <v>6312</v>
      </c>
      <c r="I2523" s="140" t="s">
        <v>6313</v>
      </c>
      <c r="J2523" s="140" t="s">
        <v>6314</v>
      </c>
      <c r="K2523" s="140" t="s">
        <v>6402</v>
      </c>
    </row>
    <row r="2524">
      <c r="A2524" s="140" t="s">
        <v>9292</v>
      </c>
      <c r="B2524" s="140">
        <v>1061.0</v>
      </c>
      <c r="C2524" s="140" t="s">
        <v>9297</v>
      </c>
      <c r="D2524" s="140" t="s">
        <v>6309</v>
      </c>
      <c r="E2524" s="140" t="s">
        <v>9294</v>
      </c>
      <c r="F2524" s="140" t="s">
        <v>9294</v>
      </c>
      <c r="G2524" s="141" t="s">
        <v>6401</v>
      </c>
      <c r="H2524" s="140" t="s">
        <v>6312</v>
      </c>
      <c r="I2524" s="140" t="s">
        <v>6313</v>
      </c>
      <c r="J2524" s="140" t="s">
        <v>6314</v>
      </c>
      <c r="K2524" s="140" t="s">
        <v>6402</v>
      </c>
    </row>
    <row r="2525">
      <c r="A2525" s="140" t="s">
        <v>9292</v>
      </c>
      <c r="B2525" s="140">
        <v>1034.0</v>
      </c>
      <c r="C2525" s="140" t="s">
        <v>9298</v>
      </c>
      <c r="D2525" s="140" t="s">
        <v>6309</v>
      </c>
      <c r="E2525" s="140" t="s">
        <v>9294</v>
      </c>
      <c r="F2525" s="140" t="s">
        <v>9294</v>
      </c>
      <c r="G2525" s="141" t="s">
        <v>6401</v>
      </c>
      <c r="H2525" s="140" t="s">
        <v>6312</v>
      </c>
      <c r="I2525" s="140" t="s">
        <v>6313</v>
      </c>
      <c r="J2525" s="140" t="s">
        <v>6314</v>
      </c>
      <c r="K2525" s="140" t="s">
        <v>6402</v>
      </c>
    </row>
    <row r="2526">
      <c r="A2526" s="140" t="s">
        <v>9292</v>
      </c>
      <c r="B2526" s="140">
        <v>1028.0</v>
      </c>
      <c r="C2526" s="140" t="s">
        <v>9299</v>
      </c>
      <c r="D2526" s="140" t="s">
        <v>6309</v>
      </c>
      <c r="E2526" s="140" t="s">
        <v>9294</v>
      </c>
      <c r="F2526" s="140" t="s">
        <v>9294</v>
      </c>
      <c r="G2526" s="141" t="s">
        <v>6401</v>
      </c>
      <c r="H2526" s="140" t="s">
        <v>6312</v>
      </c>
      <c r="I2526" s="140" t="s">
        <v>6313</v>
      </c>
      <c r="J2526" s="140" t="s">
        <v>6314</v>
      </c>
      <c r="K2526" s="140" t="s">
        <v>6402</v>
      </c>
    </row>
    <row r="2527">
      <c r="A2527" s="140" t="s">
        <v>9292</v>
      </c>
      <c r="B2527" s="140">
        <v>1029.0</v>
      </c>
      <c r="C2527" s="140" t="s">
        <v>9300</v>
      </c>
      <c r="D2527" s="140" t="s">
        <v>6309</v>
      </c>
      <c r="E2527" s="140" t="s">
        <v>9294</v>
      </c>
      <c r="F2527" s="140" t="s">
        <v>9294</v>
      </c>
      <c r="G2527" s="141" t="s">
        <v>6401</v>
      </c>
      <c r="H2527" s="140" t="s">
        <v>6312</v>
      </c>
      <c r="I2527" s="140" t="s">
        <v>6313</v>
      </c>
      <c r="J2527" s="140" t="s">
        <v>6314</v>
      </c>
      <c r="K2527" s="140" t="s">
        <v>6402</v>
      </c>
    </row>
    <row r="2528">
      <c r="A2528" s="140" t="s">
        <v>9292</v>
      </c>
      <c r="B2528" s="140">
        <v>1053.0</v>
      </c>
      <c r="C2528" s="140" t="s">
        <v>9301</v>
      </c>
      <c r="D2528" s="140" t="s">
        <v>6309</v>
      </c>
      <c r="E2528" s="140" t="s">
        <v>9294</v>
      </c>
      <c r="F2528" s="140" t="s">
        <v>9294</v>
      </c>
      <c r="G2528" s="141" t="s">
        <v>6401</v>
      </c>
      <c r="H2528" s="140" t="s">
        <v>6312</v>
      </c>
      <c r="I2528" s="140" t="s">
        <v>6313</v>
      </c>
      <c r="J2528" s="140" t="s">
        <v>6314</v>
      </c>
      <c r="K2528" s="140" t="s">
        <v>6402</v>
      </c>
    </row>
    <row r="2529">
      <c r="A2529" s="140" t="s">
        <v>9292</v>
      </c>
      <c r="B2529" s="140">
        <v>1010.0</v>
      </c>
      <c r="C2529" s="140" t="s">
        <v>9302</v>
      </c>
      <c r="D2529" s="140" t="s">
        <v>6309</v>
      </c>
      <c r="E2529" s="140" t="s">
        <v>9294</v>
      </c>
      <c r="F2529" s="140" t="s">
        <v>9294</v>
      </c>
      <c r="G2529" s="141" t="s">
        <v>6401</v>
      </c>
      <c r="H2529" s="140" t="s">
        <v>6312</v>
      </c>
      <c r="I2529" s="140" t="s">
        <v>6313</v>
      </c>
      <c r="J2529" s="140" t="s">
        <v>6314</v>
      </c>
      <c r="K2529" s="140" t="s">
        <v>6402</v>
      </c>
    </row>
    <row r="2530">
      <c r="A2530" s="140" t="s">
        <v>9292</v>
      </c>
      <c r="B2530" s="140">
        <v>1015.0</v>
      </c>
      <c r="C2530" s="140" t="s">
        <v>9303</v>
      </c>
      <c r="D2530" s="140" t="s">
        <v>6309</v>
      </c>
      <c r="E2530" s="140" t="s">
        <v>9294</v>
      </c>
      <c r="F2530" s="140" t="s">
        <v>9294</v>
      </c>
      <c r="G2530" s="141" t="s">
        <v>6401</v>
      </c>
      <c r="H2530" s="140" t="s">
        <v>6312</v>
      </c>
      <c r="I2530" s="140" t="s">
        <v>6313</v>
      </c>
      <c r="J2530" s="140" t="s">
        <v>6314</v>
      </c>
      <c r="K2530" s="140" t="s">
        <v>6402</v>
      </c>
    </row>
    <row r="2531">
      <c r="A2531" s="140" t="s">
        <v>9304</v>
      </c>
      <c r="B2531" s="140" t="s">
        <v>9305</v>
      </c>
      <c r="C2531" s="140" t="s">
        <v>9306</v>
      </c>
      <c r="D2531" s="140" t="s">
        <v>9307</v>
      </c>
      <c r="E2531" s="140" t="s">
        <v>9304</v>
      </c>
      <c r="F2531" s="140" t="s">
        <v>9304</v>
      </c>
      <c r="G2531" s="141" t="s">
        <v>6401</v>
      </c>
      <c r="H2531" s="140" t="s">
        <v>6312</v>
      </c>
      <c r="I2531" s="140" t="s">
        <v>6313</v>
      </c>
      <c r="J2531" s="140" t="s">
        <v>9308</v>
      </c>
      <c r="K2531" s="140" t="s">
        <v>9309</v>
      </c>
    </row>
    <row r="2532">
      <c r="A2532" s="140" t="s">
        <v>9304</v>
      </c>
      <c r="B2532" s="140" t="s">
        <v>9310</v>
      </c>
      <c r="C2532" s="140" t="s">
        <v>9306</v>
      </c>
      <c r="D2532" s="140" t="s">
        <v>9307</v>
      </c>
      <c r="E2532" s="140" t="s">
        <v>9304</v>
      </c>
      <c r="F2532" s="140" t="s">
        <v>9304</v>
      </c>
      <c r="G2532" s="141" t="s">
        <v>6401</v>
      </c>
      <c r="H2532" s="140" t="s">
        <v>6312</v>
      </c>
      <c r="I2532" s="140" t="s">
        <v>6313</v>
      </c>
      <c r="J2532" s="140" t="s">
        <v>9308</v>
      </c>
      <c r="K2532" s="140" t="s">
        <v>9309</v>
      </c>
    </row>
    <row r="2533">
      <c r="A2533" s="140" t="s">
        <v>9311</v>
      </c>
      <c r="B2533" s="140">
        <v>27919.0</v>
      </c>
      <c r="C2533" s="140" t="s">
        <v>9312</v>
      </c>
      <c r="D2533" s="140" t="s">
        <v>6309</v>
      </c>
      <c r="E2533" s="140" t="s">
        <v>6310</v>
      </c>
      <c r="F2533" s="140" t="s">
        <v>6310</v>
      </c>
      <c r="G2533" s="141" t="s">
        <v>6311</v>
      </c>
      <c r="H2533" s="140" t="s">
        <v>6312</v>
      </c>
      <c r="I2533" s="140" t="s">
        <v>6313</v>
      </c>
      <c r="J2533" s="140" t="s">
        <v>6314</v>
      </c>
      <c r="K2533" s="140" t="s">
        <v>6315</v>
      </c>
    </row>
    <row r="2534">
      <c r="A2534" s="140" t="s">
        <v>9313</v>
      </c>
      <c r="B2534" s="140" t="s">
        <v>4381</v>
      </c>
      <c r="C2534" s="140" t="s">
        <v>9314</v>
      </c>
      <c r="D2534" s="140" t="s">
        <v>6309</v>
      </c>
      <c r="E2534" s="140" t="s">
        <v>1223</v>
      </c>
      <c r="F2534" s="140" t="s">
        <v>6414</v>
      </c>
      <c r="G2534" s="141" t="s">
        <v>6311</v>
      </c>
      <c r="H2534" s="140" t="s">
        <v>6312</v>
      </c>
      <c r="I2534" s="140" t="s">
        <v>6313</v>
      </c>
      <c r="J2534" s="140" t="s">
        <v>6314</v>
      </c>
      <c r="K2534" s="140" t="s">
        <v>6315</v>
      </c>
    </row>
    <row r="2535">
      <c r="A2535" s="140" t="s">
        <v>9315</v>
      </c>
      <c r="B2535" s="140">
        <v>18885.0</v>
      </c>
      <c r="C2535" s="140" t="s">
        <v>9316</v>
      </c>
      <c r="D2535" s="140" t="s">
        <v>6309</v>
      </c>
      <c r="E2535" s="140" t="s">
        <v>6310</v>
      </c>
      <c r="F2535" s="140" t="s">
        <v>6310</v>
      </c>
      <c r="G2535" s="141" t="s">
        <v>6311</v>
      </c>
      <c r="H2535" s="140" t="s">
        <v>6312</v>
      </c>
      <c r="I2535" s="140" t="s">
        <v>6313</v>
      </c>
      <c r="J2535" s="140" t="s">
        <v>6314</v>
      </c>
      <c r="K2535" s="140" t="s">
        <v>6315</v>
      </c>
    </row>
    <row r="2536">
      <c r="A2536" s="140" t="s">
        <v>9315</v>
      </c>
      <c r="B2536" s="140">
        <v>21564.0</v>
      </c>
      <c r="C2536" s="140" t="s">
        <v>9317</v>
      </c>
      <c r="D2536" s="140" t="s">
        <v>6309</v>
      </c>
      <c r="E2536" s="140" t="s">
        <v>6310</v>
      </c>
      <c r="F2536" s="140" t="s">
        <v>6310</v>
      </c>
      <c r="G2536" s="141" t="s">
        <v>6311</v>
      </c>
      <c r="H2536" s="140" t="s">
        <v>6312</v>
      </c>
      <c r="I2536" s="140" t="s">
        <v>6313</v>
      </c>
      <c r="J2536" s="140" t="s">
        <v>6314</v>
      </c>
      <c r="K2536" s="140" t="s">
        <v>6315</v>
      </c>
    </row>
    <row r="2537">
      <c r="A2537" s="140" t="s">
        <v>9315</v>
      </c>
      <c r="B2537" s="140">
        <v>18890.0</v>
      </c>
      <c r="C2537" s="140" t="s">
        <v>9318</v>
      </c>
      <c r="D2537" s="140" t="s">
        <v>6309</v>
      </c>
      <c r="E2537" s="140" t="s">
        <v>6310</v>
      </c>
      <c r="F2537" s="140" t="s">
        <v>6310</v>
      </c>
      <c r="G2537" s="141" t="s">
        <v>6311</v>
      </c>
      <c r="H2537" s="140" t="s">
        <v>6312</v>
      </c>
      <c r="I2537" s="140" t="s">
        <v>6313</v>
      </c>
      <c r="J2537" s="140" t="s">
        <v>6314</v>
      </c>
      <c r="K2537" s="140" t="s">
        <v>6315</v>
      </c>
    </row>
    <row r="2538">
      <c r="A2538" s="140" t="s">
        <v>9315</v>
      </c>
      <c r="B2538" s="140">
        <v>26136.0</v>
      </c>
      <c r="C2538" s="140" t="s">
        <v>9319</v>
      </c>
      <c r="D2538" s="140" t="s">
        <v>6309</v>
      </c>
      <c r="E2538" s="140" t="s">
        <v>6310</v>
      </c>
      <c r="F2538" s="140" t="s">
        <v>6310</v>
      </c>
      <c r="G2538" s="141" t="s">
        <v>6311</v>
      </c>
      <c r="H2538" s="140" t="s">
        <v>6312</v>
      </c>
      <c r="I2538" s="140" t="s">
        <v>6313</v>
      </c>
      <c r="J2538" s="140" t="s">
        <v>6314</v>
      </c>
      <c r="K2538" s="140" t="s">
        <v>6315</v>
      </c>
    </row>
    <row r="2539">
      <c r="A2539" s="140" t="s">
        <v>9320</v>
      </c>
      <c r="B2539" s="140" t="s">
        <v>90</v>
      </c>
      <c r="C2539" s="140" t="s">
        <v>9321</v>
      </c>
      <c r="D2539" s="140" t="s">
        <v>7874</v>
      </c>
      <c r="E2539" s="140" t="s">
        <v>87</v>
      </c>
      <c r="F2539" s="140" t="s">
        <v>88</v>
      </c>
      <c r="G2539" s="141" t="s">
        <v>134</v>
      </c>
      <c r="H2539" s="140" t="s">
        <v>6312</v>
      </c>
      <c r="I2539" s="140" t="s">
        <v>6313</v>
      </c>
      <c r="J2539" s="140" t="s">
        <v>6319</v>
      </c>
      <c r="K2539" s="140" t="s">
        <v>1573</v>
      </c>
    </row>
    <row r="2540">
      <c r="A2540" s="140" t="s">
        <v>9320</v>
      </c>
      <c r="B2540" s="140" t="s">
        <v>93</v>
      </c>
      <c r="C2540" s="140" t="s">
        <v>9322</v>
      </c>
      <c r="D2540" s="140" t="s">
        <v>7874</v>
      </c>
      <c r="E2540" s="140" t="s">
        <v>87</v>
      </c>
      <c r="F2540" s="140" t="s">
        <v>91</v>
      </c>
      <c r="G2540" s="141" t="s">
        <v>6668</v>
      </c>
      <c r="H2540" s="140" t="s">
        <v>6330</v>
      </c>
      <c r="I2540" s="140" t="s">
        <v>6313</v>
      </c>
      <c r="J2540" s="140" t="s">
        <v>6319</v>
      </c>
      <c r="K2540" s="140" t="s">
        <v>1573</v>
      </c>
    </row>
    <row r="2541">
      <c r="A2541" s="140" t="s">
        <v>9320</v>
      </c>
      <c r="B2541" s="140" t="s">
        <v>99</v>
      </c>
      <c r="C2541" s="140" t="s">
        <v>9323</v>
      </c>
      <c r="D2541" s="140" t="s">
        <v>7874</v>
      </c>
      <c r="E2541" s="140" t="s">
        <v>87</v>
      </c>
      <c r="F2541" s="140" t="s">
        <v>91</v>
      </c>
      <c r="G2541" s="141" t="s">
        <v>6668</v>
      </c>
      <c r="H2541" s="140" t="s">
        <v>6330</v>
      </c>
      <c r="I2541" s="140" t="s">
        <v>6313</v>
      </c>
      <c r="J2541" s="140" t="s">
        <v>6319</v>
      </c>
      <c r="K2541" s="140" t="s">
        <v>1573</v>
      </c>
    </row>
    <row r="2542">
      <c r="A2542" s="140" t="s">
        <v>9320</v>
      </c>
      <c r="B2542" s="140" t="s">
        <v>95</v>
      </c>
      <c r="C2542" s="140" t="s">
        <v>9324</v>
      </c>
      <c r="D2542" s="140" t="s">
        <v>7874</v>
      </c>
      <c r="E2542" s="140" t="s">
        <v>87</v>
      </c>
      <c r="F2542" s="140" t="s">
        <v>91</v>
      </c>
      <c r="G2542" s="141" t="s">
        <v>6664</v>
      </c>
      <c r="H2542" s="140" t="s">
        <v>6330</v>
      </c>
      <c r="I2542" s="140" t="s">
        <v>6313</v>
      </c>
      <c r="J2542" s="140" t="s">
        <v>6319</v>
      </c>
      <c r="K2542" s="140" t="s">
        <v>1573</v>
      </c>
    </row>
    <row r="2543">
      <c r="A2543" s="140" t="s">
        <v>9320</v>
      </c>
      <c r="B2543" s="140" t="s">
        <v>97</v>
      </c>
      <c r="C2543" s="140" t="s">
        <v>96</v>
      </c>
      <c r="D2543" s="140" t="s">
        <v>7874</v>
      </c>
      <c r="E2543" s="140" t="s">
        <v>87</v>
      </c>
      <c r="F2543" s="140" t="s">
        <v>91</v>
      </c>
      <c r="G2543" s="141" t="s">
        <v>6742</v>
      </c>
      <c r="H2543" s="140" t="s">
        <v>6330</v>
      </c>
      <c r="I2543" s="140" t="s">
        <v>6313</v>
      </c>
      <c r="J2543" s="140" t="s">
        <v>6319</v>
      </c>
      <c r="K2543" s="140" t="s">
        <v>1573</v>
      </c>
    </row>
    <row r="2544">
      <c r="A2544" s="140" t="s">
        <v>9320</v>
      </c>
      <c r="B2544" s="140" t="s">
        <v>103</v>
      </c>
      <c r="C2544" s="140" t="s">
        <v>9325</v>
      </c>
      <c r="D2544" s="140" t="s">
        <v>7874</v>
      </c>
      <c r="E2544" s="140" t="s">
        <v>87</v>
      </c>
      <c r="F2544" s="140" t="s">
        <v>91</v>
      </c>
      <c r="G2544" s="141" t="s">
        <v>6742</v>
      </c>
      <c r="H2544" s="140" t="s">
        <v>6330</v>
      </c>
      <c r="I2544" s="140" t="s">
        <v>6313</v>
      </c>
      <c r="J2544" s="140" t="s">
        <v>6319</v>
      </c>
      <c r="K2544" s="140" t="s">
        <v>1573</v>
      </c>
    </row>
    <row r="2545">
      <c r="A2545" s="140" t="s">
        <v>9320</v>
      </c>
      <c r="B2545" s="140" t="s">
        <v>101</v>
      </c>
      <c r="C2545" s="140" t="s">
        <v>9326</v>
      </c>
      <c r="D2545" s="140" t="s">
        <v>7874</v>
      </c>
      <c r="E2545" s="140" t="s">
        <v>87</v>
      </c>
      <c r="F2545" s="140" t="s">
        <v>91</v>
      </c>
      <c r="G2545" s="141" t="s">
        <v>6668</v>
      </c>
      <c r="H2545" s="140" t="s">
        <v>6330</v>
      </c>
      <c r="I2545" s="140" t="s">
        <v>6313</v>
      </c>
      <c r="J2545" s="140" t="s">
        <v>6319</v>
      </c>
      <c r="K2545" s="140" t="s">
        <v>1573</v>
      </c>
    </row>
    <row r="2546">
      <c r="A2546" s="140" t="s">
        <v>9327</v>
      </c>
      <c r="B2546" s="140" t="s">
        <v>9328</v>
      </c>
      <c r="C2546" s="140" t="s">
        <v>9329</v>
      </c>
      <c r="D2546" s="140" t="s">
        <v>7347</v>
      </c>
      <c r="E2546" s="140">
        <v>0.0</v>
      </c>
      <c r="F2546" s="140" t="s">
        <v>7348</v>
      </c>
      <c r="G2546" s="141" t="s">
        <v>6401</v>
      </c>
      <c r="H2546" s="140" t="s">
        <v>6312</v>
      </c>
      <c r="I2546" s="140" t="s">
        <v>6313</v>
      </c>
      <c r="J2546" s="140" t="s">
        <v>6314</v>
      </c>
      <c r="K2546" s="140" t="s">
        <v>9070</v>
      </c>
    </row>
    <row r="2547">
      <c r="A2547" s="140" t="s">
        <v>9330</v>
      </c>
      <c r="B2547" s="143">
        <v>1.00801E13</v>
      </c>
      <c r="C2547" s="140" t="s">
        <v>9331</v>
      </c>
      <c r="D2547" s="140" t="s">
        <v>6318</v>
      </c>
      <c r="E2547" s="140" t="s">
        <v>1219</v>
      </c>
      <c r="F2547" s="140" t="s">
        <v>9332</v>
      </c>
      <c r="G2547" s="141" t="s">
        <v>6668</v>
      </c>
      <c r="H2547" s="140" t="s">
        <v>6312</v>
      </c>
      <c r="I2547" s="140" t="s">
        <v>6313</v>
      </c>
      <c r="J2547" s="140" t="s">
        <v>6314</v>
      </c>
      <c r="K2547" s="140" t="s">
        <v>9330</v>
      </c>
    </row>
    <row r="2548">
      <c r="A2548" s="140" t="s">
        <v>9330</v>
      </c>
      <c r="B2548" s="143">
        <v>1.00801E13</v>
      </c>
      <c r="C2548" s="140" t="s">
        <v>9333</v>
      </c>
      <c r="D2548" s="140" t="s">
        <v>6318</v>
      </c>
      <c r="E2548" s="140" t="s">
        <v>1219</v>
      </c>
      <c r="F2548" s="140" t="s">
        <v>9332</v>
      </c>
      <c r="G2548" s="141" t="s">
        <v>6668</v>
      </c>
      <c r="H2548" s="140" t="s">
        <v>6312</v>
      </c>
      <c r="I2548" s="140" t="s">
        <v>6313</v>
      </c>
      <c r="J2548" s="140" t="s">
        <v>6314</v>
      </c>
      <c r="K2548" s="140" t="s">
        <v>9330</v>
      </c>
    </row>
    <row r="2549">
      <c r="A2549" s="140" t="s">
        <v>9330</v>
      </c>
      <c r="B2549" s="143">
        <v>1.00801E13</v>
      </c>
      <c r="C2549" s="140" t="s">
        <v>9334</v>
      </c>
      <c r="D2549" s="140" t="s">
        <v>6318</v>
      </c>
      <c r="E2549" s="140" t="s">
        <v>1219</v>
      </c>
      <c r="F2549" s="140" t="s">
        <v>9332</v>
      </c>
      <c r="G2549" s="141" t="s">
        <v>6668</v>
      </c>
      <c r="H2549" s="140" t="s">
        <v>6312</v>
      </c>
      <c r="I2549" s="140" t="s">
        <v>6313</v>
      </c>
      <c r="J2549" s="140" t="s">
        <v>6314</v>
      </c>
      <c r="K2549" s="140" t="s">
        <v>9330</v>
      </c>
    </row>
    <row r="2550">
      <c r="A2550" s="140" t="s">
        <v>9330</v>
      </c>
      <c r="B2550" s="143">
        <v>1.00801E13</v>
      </c>
      <c r="C2550" s="140" t="s">
        <v>9335</v>
      </c>
      <c r="D2550" s="140" t="s">
        <v>6318</v>
      </c>
      <c r="E2550" s="140" t="s">
        <v>1219</v>
      </c>
      <c r="F2550" s="140" t="s">
        <v>9332</v>
      </c>
      <c r="G2550" s="141" t="s">
        <v>6668</v>
      </c>
      <c r="H2550" s="140" t="s">
        <v>6312</v>
      </c>
      <c r="I2550" s="140" t="s">
        <v>6313</v>
      </c>
      <c r="J2550" s="140" t="s">
        <v>6314</v>
      </c>
      <c r="K2550" s="140" t="s">
        <v>9330</v>
      </c>
    </row>
    <row r="2551">
      <c r="A2551" s="140" t="s">
        <v>9330</v>
      </c>
      <c r="B2551" s="143">
        <v>1.00801E13</v>
      </c>
      <c r="C2551" s="140" t="s">
        <v>9336</v>
      </c>
      <c r="D2551" s="140" t="s">
        <v>6318</v>
      </c>
      <c r="E2551" s="140" t="s">
        <v>1219</v>
      </c>
      <c r="F2551" s="140" t="s">
        <v>9332</v>
      </c>
      <c r="G2551" s="141" t="s">
        <v>6668</v>
      </c>
      <c r="H2551" s="140" t="s">
        <v>6312</v>
      </c>
      <c r="I2551" s="140" t="s">
        <v>6313</v>
      </c>
      <c r="J2551" s="140" t="s">
        <v>6314</v>
      </c>
      <c r="K2551" s="140" t="s">
        <v>9330</v>
      </c>
    </row>
    <row r="2552">
      <c r="A2552" s="140" t="s">
        <v>9330</v>
      </c>
      <c r="B2552" s="143">
        <v>1.00801E13</v>
      </c>
      <c r="C2552" s="140" t="s">
        <v>9337</v>
      </c>
      <c r="D2552" s="140" t="s">
        <v>6318</v>
      </c>
      <c r="E2552" s="140" t="s">
        <v>1219</v>
      </c>
      <c r="F2552" s="140" t="s">
        <v>9332</v>
      </c>
      <c r="G2552" s="141" t="s">
        <v>6664</v>
      </c>
      <c r="H2552" s="140" t="s">
        <v>6312</v>
      </c>
      <c r="I2552" s="140" t="s">
        <v>6313</v>
      </c>
      <c r="J2552" s="140" t="s">
        <v>6314</v>
      </c>
      <c r="K2552" s="140" t="s">
        <v>9330</v>
      </c>
    </row>
    <row r="2553">
      <c r="A2553" s="140" t="s">
        <v>9330</v>
      </c>
      <c r="B2553" s="143">
        <v>1.00101E13</v>
      </c>
      <c r="C2553" s="140" t="s">
        <v>9338</v>
      </c>
      <c r="D2553" s="140" t="s">
        <v>6318</v>
      </c>
      <c r="E2553" s="140" t="s">
        <v>1219</v>
      </c>
      <c r="F2553" s="140" t="s">
        <v>9332</v>
      </c>
      <c r="G2553" s="141" t="s">
        <v>6401</v>
      </c>
      <c r="H2553" s="140" t="s">
        <v>6312</v>
      </c>
      <c r="I2553" s="140" t="s">
        <v>6313</v>
      </c>
      <c r="J2553" s="140" t="s">
        <v>6314</v>
      </c>
      <c r="K2553" s="140" t="s">
        <v>9330</v>
      </c>
    </row>
    <row r="2554">
      <c r="A2554" s="140" t="s">
        <v>9330</v>
      </c>
      <c r="B2554" s="143">
        <v>1.00101E13</v>
      </c>
      <c r="C2554" s="140" t="s">
        <v>9339</v>
      </c>
      <c r="D2554" s="140" t="s">
        <v>6318</v>
      </c>
      <c r="E2554" s="140" t="s">
        <v>1219</v>
      </c>
      <c r="F2554" s="140" t="s">
        <v>9332</v>
      </c>
      <c r="G2554" s="141" t="s">
        <v>6401</v>
      </c>
      <c r="H2554" s="140" t="s">
        <v>6312</v>
      </c>
      <c r="I2554" s="140" t="s">
        <v>6313</v>
      </c>
      <c r="J2554" s="140" t="s">
        <v>6314</v>
      </c>
      <c r="K2554" s="140" t="s">
        <v>9330</v>
      </c>
    </row>
    <row r="2555">
      <c r="A2555" s="140" t="s">
        <v>9330</v>
      </c>
      <c r="B2555" s="143">
        <v>1.00101E13</v>
      </c>
      <c r="C2555" s="140" t="s">
        <v>9340</v>
      </c>
      <c r="D2555" s="140" t="s">
        <v>6318</v>
      </c>
      <c r="E2555" s="140" t="s">
        <v>1219</v>
      </c>
      <c r="F2555" s="140" t="s">
        <v>9332</v>
      </c>
      <c r="G2555" s="141" t="s">
        <v>6401</v>
      </c>
      <c r="H2555" s="140" t="s">
        <v>6312</v>
      </c>
      <c r="I2555" s="140" t="s">
        <v>6313</v>
      </c>
      <c r="J2555" s="140" t="s">
        <v>6314</v>
      </c>
      <c r="K2555" s="140" t="s">
        <v>9330</v>
      </c>
    </row>
    <row r="2556">
      <c r="A2556" s="140" t="s">
        <v>9330</v>
      </c>
      <c r="B2556" s="143">
        <v>1.00801E13</v>
      </c>
      <c r="C2556" s="140" t="s">
        <v>9341</v>
      </c>
      <c r="D2556" s="140" t="s">
        <v>6318</v>
      </c>
      <c r="E2556" s="140" t="s">
        <v>1219</v>
      </c>
      <c r="F2556" s="140" t="s">
        <v>9332</v>
      </c>
      <c r="G2556" s="141" t="s">
        <v>6401</v>
      </c>
      <c r="H2556" s="140" t="s">
        <v>6312</v>
      </c>
      <c r="I2556" s="140" t="s">
        <v>6313</v>
      </c>
      <c r="J2556" s="140" t="s">
        <v>6314</v>
      </c>
      <c r="K2556" s="140" t="s">
        <v>9330</v>
      </c>
    </row>
    <row r="2557">
      <c r="A2557" s="140" t="s">
        <v>9330</v>
      </c>
      <c r="B2557" s="150">
        <v>7.62874E12</v>
      </c>
      <c r="C2557" s="140" t="s">
        <v>9342</v>
      </c>
      <c r="D2557" s="140" t="s">
        <v>6318</v>
      </c>
      <c r="E2557" s="140" t="s">
        <v>1219</v>
      </c>
      <c r="F2557" s="140" t="s">
        <v>9343</v>
      </c>
      <c r="G2557" s="141" t="s">
        <v>6311</v>
      </c>
      <c r="H2557" s="140" t="s">
        <v>6312</v>
      </c>
      <c r="I2557" s="140" t="s">
        <v>6313</v>
      </c>
      <c r="J2557" s="140" t="s">
        <v>6314</v>
      </c>
      <c r="K2557" s="140" t="s">
        <v>9330</v>
      </c>
    </row>
    <row r="2558">
      <c r="A2558" s="140" t="s">
        <v>9330</v>
      </c>
      <c r="B2558" s="143">
        <v>1.00801E13</v>
      </c>
      <c r="C2558" s="140" t="s">
        <v>9344</v>
      </c>
      <c r="D2558" s="140" t="s">
        <v>6318</v>
      </c>
      <c r="E2558" s="140" t="s">
        <v>1219</v>
      </c>
      <c r="F2558" s="140" t="s">
        <v>9343</v>
      </c>
      <c r="G2558" s="141" t="s">
        <v>6668</v>
      </c>
      <c r="H2558" s="140" t="s">
        <v>6312</v>
      </c>
      <c r="I2558" s="140" t="s">
        <v>6313</v>
      </c>
      <c r="J2558" s="140" t="s">
        <v>6314</v>
      </c>
      <c r="K2558" s="140" t="s">
        <v>9330</v>
      </c>
    </row>
    <row r="2559">
      <c r="A2559" s="140" t="s">
        <v>9330</v>
      </c>
      <c r="B2559" s="143">
        <v>1.00801E13</v>
      </c>
      <c r="C2559" s="140" t="s">
        <v>9345</v>
      </c>
      <c r="D2559" s="140" t="s">
        <v>6318</v>
      </c>
      <c r="E2559" s="140" t="s">
        <v>1219</v>
      </c>
      <c r="F2559" s="140" t="s">
        <v>9343</v>
      </c>
      <c r="G2559" s="141" t="s">
        <v>6668</v>
      </c>
      <c r="H2559" s="140" t="s">
        <v>6312</v>
      </c>
      <c r="I2559" s="140" t="s">
        <v>6313</v>
      </c>
      <c r="J2559" s="140" t="s">
        <v>6314</v>
      </c>
      <c r="K2559" s="140" t="s">
        <v>9330</v>
      </c>
    </row>
    <row r="2560">
      <c r="A2560" s="140" t="s">
        <v>9330</v>
      </c>
      <c r="B2560" s="143">
        <v>1.00801E13</v>
      </c>
      <c r="C2560" s="140" t="s">
        <v>9346</v>
      </c>
      <c r="D2560" s="140" t="s">
        <v>6318</v>
      </c>
      <c r="E2560" s="140" t="s">
        <v>1219</v>
      </c>
      <c r="F2560" s="140" t="s">
        <v>9343</v>
      </c>
      <c r="G2560" s="141" t="s">
        <v>6401</v>
      </c>
      <c r="H2560" s="140" t="s">
        <v>6312</v>
      </c>
      <c r="I2560" s="140" t="s">
        <v>6313</v>
      </c>
      <c r="J2560" s="140" t="s">
        <v>6314</v>
      </c>
      <c r="K2560" s="140" t="s">
        <v>9330</v>
      </c>
    </row>
    <row r="2561">
      <c r="A2561" s="140" t="s">
        <v>9330</v>
      </c>
      <c r="B2561" s="143">
        <v>1.00101E13</v>
      </c>
      <c r="C2561" s="140" t="s">
        <v>9347</v>
      </c>
      <c r="D2561" s="140" t="s">
        <v>6318</v>
      </c>
      <c r="E2561" s="140" t="s">
        <v>1219</v>
      </c>
      <c r="F2561" s="140" t="s">
        <v>9343</v>
      </c>
      <c r="G2561" s="141" t="s">
        <v>6401</v>
      </c>
      <c r="H2561" s="140" t="s">
        <v>6312</v>
      </c>
      <c r="I2561" s="140" t="s">
        <v>6313</v>
      </c>
      <c r="J2561" s="140" t="s">
        <v>6314</v>
      </c>
      <c r="K2561" s="140" t="s">
        <v>9330</v>
      </c>
    </row>
    <row r="2562">
      <c r="A2562" s="140" t="s">
        <v>9330</v>
      </c>
      <c r="B2562" s="143">
        <v>1.00101E13</v>
      </c>
      <c r="C2562" s="140" t="s">
        <v>9348</v>
      </c>
      <c r="D2562" s="140" t="s">
        <v>6318</v>
      </c>
      <c r="E2562" s="140" t="s">
        <v>1219</v>
      </c>
      <c r="F2562" s="140" t="s">
        <v>9343</v>
      </c>
      <c r="G2562" s="141" t="s">
        <v>6401</v>
      </c>
      <c r="H2562" s="140" t="s">
        <v>6312</v>
      </c>
      <c r="I2562" s="140" t="s">
        <v>6313</v>
      </c>
      <c r="J2562" s="140" t="s">
        <v>6314</v>
      </c>
      <c r="K2562" s="140" t="s">
        <v>9330</v>
      </c>
    </row>
    <row r="2563">
      <c r="A2563" s="140" t="s">
        <v>9330</v>
      </c>
      <c r="B2563" s="143">
        <v>1.00801E13</v>
      </c>
      <c r="C2563" s="140" t="s">
        <v>9349</v>
      </c>
      <c r="D2563" s="140" t="s">
        <v>6318</v>
      </c>
      <c r="E2563" s="140" t="s">
        <v>1219</v>
      </c>
      <c r="F2563" s="140" t="s">
        <v>9343</v>
      </c>
      <c r="G2563" s="141" t="s">
        <v>6311</v>
      </c>
      <c r="H2563" s="140" t="s">
        <v>6312</v>
      </c>
      <c r="I2563" s="140" t="s">
        <v>6313</v>
      </c>
      <c r="J2563" s="140" t="s">
        <v>6314</v>
      </c>
      <c r="K2563" s="140" t="s">
        <v>9330</v>
      </c>
    </row>
    <row r="2564">
      <c r="A2564" s="140" t="s">
        <v>9330</v>
      </c>
      <c r="B2564" s="143">
        <v>1.00802E13</v>
      </c>
      <c r="C2564" s="140" t="s">
        <v>9350</v>
      </c>
      <c r="D2564" s="140" t="s">
        <v>6318</v>
      </c>
      <c r="E2564" s="140" t="s">
        <v>1219</v>
      </c>
      <c r="F2564" s="140" t="s">
        <v>1220</v>
      </c>
      <c r="G2564" s="141" t="s">
        <v>6401</v>
      </c>
      <c r="H2564" s="140" t="s">
        <v>6312</v>
      </c>
      <c r="I2564" s="140" t="s">
        <v>6313</v>
      </c>
      <c r="J2564" s="140" t="s">
        <v>6314</v>
      </c>
      <c r="K2564" s="140" t="s">
        <v>9330</v>
      </c>
    </row>
    <row r="2565">
      <c r="A2565" s="140" t="s">
        <v>9330</v>
      </c>
      <c r="B2565" s="150">
        <v>7.62874E12</v>
      </c>
      <c r="C2565" s="140" t="s">
        <v>9351</v>
      </c>
      <c r="D2565" s="140" t="s">
        <v>6318</v>
      </c>
      <c r="E2565" s="140" t="s">
        <v>1219</v>
      </c>
      <c r="F2565" s="140" t="s">
        <v>1220</v>
      </c>
      <c r="G2565" s="141" t="s">
        <v>6664</v>
      </c>
      <c r="H2565" s="140" t="s">
        <v>6312</v>
      </c>
      <c r="I2565" s="140" t="s">
        <v>6313</v>
      </c>
      <c r="J2565" s="140" t="s">
        <v>6314</v>
      </c>
      <c r="K2565" s="140" t="s">
        <v>9330</v>
      </c>
    </row>
    <row r="2566">
      <c r="A2566" s="140" t="s">
        <v>9330</v>
      </c>
      <c r="B2566" s="143">
        <v>1.003E13</v>
      </c>
      <c r="C2566" s="140" t="s">
        <v>9352</v>
      </c>
      <c r="D2566" s="140" t="s">
        <v>6318</v>
      </c>
      <c r="E2566" s="140" t="s">
        <v>1219</v>
      </c>
      <c r="F2566" s="140" t="s">
        <v>9353</v>
      </c>
      <c r="G2566" s="141" t="s">
        <v>6668</v>
      </c>
      <c r="H2566" s="140" t="s">
        <v>6312</v>
      </c>
      <c r="I2566" s="140" t="s">
        <v>6313</v>
      </c>
      <c r="J2566" s="140" t="s">
        <v>6314</v>
      </c>
      <c r="K2566" s="140" t="s">
        <v>9330</v>
      </c>
    </row>
    <row r="2567">
      <c r="A2567" s="140" t="s">
        <v>9330</v>
      </c>
      <c r="B2567" s="143">
        <v>1.004E13</v>
      </c>
      <c r="C2567" s="140" t="s">
        <v>9354</v>
      </c>
      <c r="D2567" s="140" t="s">
        <v>6318</v>
      </c>
      <c r="E2567" s="140" t="s">
        <v>1219</v>
      </c>
      <c r="F2567" s="140" t="s">
        <v>9355</v>
      </c>
      <c r="G2567" s="142">
        <v>0.0</v>
      </c>
      <c r="H2567" s="140" t="s">
        <v>6312</v>
      </c>
      <c r="I2567" s="140" t="s">
        <v>6313</v>
      </c>
      <c r="J2567" s="140" t="s">
        <v>6314</v>
      </c>
      <c r="K2567" s="140" t="s">
        <v>9330</v>
      </c>
    </row>
    <row r="2568">
      <c r="A2568" s="140" t="s">
        <v>9330</v>
      </c>
      <c r="B2568" s="143">
        <v>1.00801E13</v>
      </c>
      <c r="C2568" s="140" t="s">
        <v>9356</v>
      </c>
      <c r="D2568" s="140" t="s">
        <v>6318</v>
      </c>
      <c r="E2568" s="140" t="s">
        <v>1219</v>
      </c>
      <c r="F2568" s="140" t="s">
        <v>9355</v>
      </c>
      <c r="G2568" s="141" t="s">
        <v>6668</v>
      </c>
      <c r="H2568" s="140" t="s">
        <v>6312</v>
      </c>
      <c r="I2568" s="140" t="s">
        <v>6313</v>
      </c>
      <c r="J2568" s="140" t="s">
        <v>6314</v>
      </c>
      <c r="K2568" s="140" t="s">
        <v>9330</v>
      </c>
    </row>
    <row r="2569">
      <c r="A2569" s="140" t="s">
        <v>9330</v>
      </c>
      <c r="B2569" s="143">
        <v>1.01501E13</v>
      </c>
      <c r="C2569" s="140" t="s">
        <v>9357</v>
      </c>
      <c r="D2569" s="140" t="s">
        <v>6318</v>
      </c>
      <c r="E2569" s="140" t="s">
        <v>1219</v>
      </c>
      <c r="F2569" s="140" t="s">
        <v>9355</v>
      </c>
      <c r="G2569" s="142">
        <v>0.0</v>
      </c>
      <c r="H2569" s="140" t="s">
        <v>6312</v>
      </c>
      <c r="I2569" s="140" t="s">
        <v>6313</v>
      </c>
      <c r="J2569" s="140" t="s">
        <v>6314</v>
      </c>
      <c r="K2569" s="140" t="s">
        <v>9330</v>
      </c>
    </row>
    <row r="2570">
      <c r="A2570" s="140" t="s">
        <v>9330</v>
      </c>
      <c r="B2570" s="150">
        <v>7.62874E12</v>
      </c>
      <c r="C2570" s="140" t="s">
        <v>9358</v>
      </c>
      <c r="D2570" s="140" t="s">
        <v>6318</v>
      </c>
      <c r="E2570" s="140" t="s">
        <v>1219</v>
      </c>
      <c r="F2570" s="140" t="s">
        <v>9355</v>
      </c>
      <c r="G2570" s="141" t="s">
        <v>6311</v>
      </c>
      <c r="H2570" s="140" t="s">
        <v>6312</v>
      </c>
      <c r="I2570" s="140" t="s">
        <v>6313</v>
      </c>
      <c r="J2570" s="140" t="s">
        <v>6314</v>
      </c>
      <c r="K2570" s="140" t="s">
        <v>9330</v>
      </c>
    </row>
    <row r="2571">
      <c r="A2571" s="140" t="s">
        <v>9330</v>
      </c>
      <c r="B2571" s="143">
        <v>1.00801E13</v>
      </c>
      <c r="C2571" s="140" t="s">
        <v>9359</v>
      </c>
      <c r="D2571" s="140" t="s">
        <v>6318</v>
      </c>
      <c r="E2571" s="140" t="s">
        <v>1219</v>
      </c>
      <c r="F2571" s="140" t="s">
        <v>9355</v>
      </c>
      <c r="G2571" s="141" t="s">
        <v>6668</v>
      </c>
      <c r="H2571" s="140" t="s">
        <v>6312</v>
      </c>
      <c r="I2571" s="140" t="s">
        <v>6313</v>
      </c>
      <c r="J2571" s="140" t="s">
        <v>6314</v>
      </c>
      <c r="K2571" s="140" t="s">
        <v>9330</v>
      </c>
    </row>
    <row r="2572">
      <c r="A2572" s="140" t="s">
        <v>9330</v>
      </c>
      <c r="B2572" s="143">
        <v>1.00801E13</v>
      </c>
      <c r="C2572" s="140" t="s">
        <v>9360</v>
      </c>
      <c r="D2572" s="140" t="s">
        <v>6318</v>
      </c>
      <c r="E2572" s="140" t="s">
        <v>1219</v>
      </c>
      <c r="F2572" s="140" t="s">
        <v>9355</v>
      </c>
      <c r="G2572" s="141" t="s">
        <v>6668</v>
      </c>
      <c r="H2572" s="140" t="s">
        <v>6312</v>
      </c>
      <c r="I2572" s="140" t="s">
        <v>6313</v>
      </c>
      <c r="J2572" s="140" t="s">
        <v>6314</v>
      </c>
      <c r="K2572" s="140" t="s">
        <v>9330</v>
      </c>
    </row>
    <row r="2573">
      <c r="A2573" s="140" t="s">
        <v>9361</v>
      </c>
      <c r="B2573" s="143">
        <v>1.01901E13</v>
      </c>
      <c r="C2573" s="140" t="s">
        <v>9362</v>
      </c>
      <c r="D2573" s="140" t="s">
        <v>6318</v>
      </c>
      <c r="E2573" s="140" t="s">
        <v>1219</v>
      </c>
      <c r="F2573" s="140" t="s">
        <v>9355</v>
      </c>
      <c r="G2573" s="141" t="s">
        <v>6311</v>
      </c>
      <c r="H2573" s="140" t="s">
        <v>6312</v>
      </c>
      <c r="I2573" s="140" t="s">
        <v>6313</v>
      </c>
      <c r="J2573" s="140" t="s">
        <v>6314</v>
      </c>
      <c r="K2573" s="140" t="s">
        <v>9330</v>
      </c>
    </row>
    <row r="2574">
      <c r="A2574" s="140" t="s">
        <v>9330</v>
      </c>
      <c r="B2574" s="143">
        <v>1.00801E13</v>
      </c>
      <c r="C2574" s="140" t="s">
        <v>9363</v>
      </c>
      <c r="D2574" s="140" t="s">
        <v>6318</v>
      </c>
      <c r="E2574" s="140" t="s">
        <v>1219</v>
      </c>
      <c r="F2574" s="140" t="s">
        <v>9355</v>
      </c>
      <c r="G2574" s="141" t="s">
        <v>6668</v>
      </c>
      <c r="H2574" s="140" t="s">
        <v>6312</v>
      </c>
      <c r="I2574" s="140" t="s">
        <v>6313</v>
      </c>
      <c r="J2574" s="140" t="s">
        <v>6314</v>
      </c>
      <c r="K2574" s="140" t="s">
        <v>9330</v>
      </c>
    </row>
    <row r="2575">
      <c r="A2575" s="140" t="s">
        <v>9330</v>
      </c>
      <c r="B2575" s="143">
        <v>1.00301E13</v>
      </c>
      <c r="C2575" s="140" t="s">
        <v>9364</v>
      </c>
      <c r="D2575" s="140" t="s">
        <v>6318</v>
      </c>
      <c r="E2575" s="140" t="s">
        <v>1219</v>
      </c>
      <c r="F2575" s="140" t="s">
        <v>9355</v>
      </c>
      <c r="G2575" s="141" t="s">
        <v>6668</v>
      </c>
      <c r="H2575" s="140" t="s">
        <v>6312</v>
      </c>
      <c r="I2575" s="140" t="s">
        <v>6313</v>
      </c>
      <c r="J2575" s="140" t="s">
        <v>6314</v>
      </c>
      <c r="K2575" s="140" t="s">
        <v>9330</v>
      </c>
    </row>
    <row r="2576">
      <c r="A2576" s="140" t="s">
        <v>9361</v>
      </c>
      <c r="B2576" s="143">
        <v>1.02001E13</v>
      </c>
      <c r="C2576" s="140" t="s">
        <v>9365</v>
      </c>
      <c r="D2576" s="140" t="s">
        <v>6318</v>
      </c>
      <c r="E2576" s="140" t="s">
        <v>1219</v>
      </c>
      <c r="F2576" s="140" t="s">
        <v>9355</v>
      </c>
      <c r="G2576" s="141" t="s">
        <v>6311</v>
      </c>
      <c r="H2576" s="140" t="s">
        <v>6312</v>
      </c>
      <c r="I2576" s="140" t="s">
        <v>6313</v>
      </c>
      <c r="J2576" s="140" t="s">
        <v>6314</v>
      </c>
      <c r="K2576" s="140" t="s">
        <v>9330</v>
      </c>
    </row>
    <row r="2577">
      <c r="A2577" s="140" t="s">
        <v>9330</v>
      </c>
      <c r="B2577" s="143">
        <v>1.00801E13</v>
      </c>
      <c r="C2577" s="140" t="s">
        <v>9366</v>
      </c>
      <c r="D2577" s="140" t="s">
        <v>6318</v>
      </c>
      <c r="E2577" s="140" t="s">
        <v>1219</v>
      </c>
      <c r="F2577" s="140" t="s">
        <v>9355</v>
      </c>
      <c r="G2577" s="141" t="s">
        <v>6668</v>
      </c>
      <c r="H2577" s="140" t="s">
        <v>6312</v>
      </c>
      <c r="I2577" s="140" t="s">
        <v>6313</v>
      </c>
      <c r="J2577" s="140" t="s">
        <v>6314</v>
      </c>
      <c r="K2577" s="140" t="s">
        <v>9330</v>
      </c>
    </row>
    <row r="2578">
      <c r="A2578" s="140" t="s">
        <v>9330</v>
      </c>
      <c r="B2578" s="143">
        <v>1.00301E13</v>
      </c>
      <c r="C2578" s="140" t="s">
        <v>9367</v>
      </c>
      <c r="D2578" s="140" t="s">
        <v>6318</v>
      </c>
      <c r="E2578" s="140" t="s">
        <v>1219</v>
      </c>
      <c r="F2578" s="140" t="s">
        <v>9355</v>
      </c>
      <c r="G2578" s="141" t="s">
        <v>6401</v>
      </c>
      <c r="H2578" s="140" t="s">
        <v>6312</v>
      </c>
      <c r="I2578" s="140" t="s">
        <v>6313</v>
      </c>
      <c r="J2578" s="140" t="s">
        <v>6314</v>
      </c>
      <c r="K2578" s="140" t="s">
        <v>9330</v>
      </c>
    </row>
    <row r="2579">
      <c r="A2579" s="140" t="s">
        <v>9330</v>
      </c>
      <c r="B2579" s="143">
        <v>1.00901E13</v>
      </c>
      <c r="C2579" s="140" t="s">
        <v>9368</v>
      </c>
      <c r="D2579" s="140" t="s">
        <v>6318</v>
      </c>
      <c r="E2579" s="140" t="s">
        <v>1219</v>
      </c>
      <c r="F2579" s="140" t="s">
        <v>9355</v>
      </c>
      <c r="G2579" s="141" t="s">
        <v>6668</v>
      </c>
      <c r="H2579" s="140" t="s">
        <v>6312</v>
      </c>
      <c r="I2579" s="140" t="s">
        <v>6313</v>
      </c>
      <c r="J2579" s="140" t="s">
        <v>6314</v>
      </c>
      <c r="K2579" s="140" t="s">
        <v>9330</v>
      </c>
    </row>
    <row r="2580">
      <c r="A2580" s="140" t="s">
        <v>9330</v>
      </c>
      <c r="B2580" s="143">
        <v>1.00802E13</v>
      </c>
      <c r="C2580" s="140" t="s">
        <v>9369</v>
      </c>
      <c r="D2580" s="140" t="s">
        <v>6318</v>
      </c>
      <c r="E2580" s="140" t="s">
        <v>1219</v>
      </c>
      <c r="F2580" s="140" t="s">
        <v>9370</v>
      </c>
      <c r="G2580" s="141" t="s">
        <v>6401</v>
      </c>
      <c r="H2580" s="140" t="s">
        <v>6312</v>
      </c>
      <c r="I2580" s="140" t="s">
        <v>6313</v>
      </c>
      <c r="J2580" s="140" t="s">
        <v>6314</v>
      </c>
      <c r="K2580" s="140" t="s">
        <v>9330</v>
      </c>
    </row>
    <row r="2581">
      <c r="A2581" s="140" t="s">
        <v>9330</v>
      </c>
      <c r="B2581" s="143">
        <v>1.00802E13</v>
      </c>
      <c r="C2581" s="140" t="s">
        <v>9371</v>
      </c>
      <c r="D2581" s="140" t="s">
        <v>6318</v>
      </c>
      <c r="E2581" s="140" t="s">
        <v>1219</v>
      </c>
      <c r="F2581" s="140" t="s">
        <v>9370</v>
      </c>
      <c r="G2581" s="141" t="s">
        <v>6668</v>
      </c>
      <c r="H2581" s="140" t="s">
        <v>6312</v>
      </c>
      <c r="I2581" s="140" t="s">
        <v>6313</v>
      </c>
      <c r="J2581" s="140" t="s">
        <v>6314</v>
      </c>
      <c r="K2581" s="140" t="s">
        <v>9330</v>
      </c>
    </row>
    <row r="2582">
      <c r="A2582" s="140" t="s">
        <v>9330</v>
      </c>
      <c r="B2582" s="143">
        <v>1.00802E13</v>
      </c>
      <c r="C2582" s="140" t="s">
        <v>9372</v>
      </c>
      <c r="D2582" s="140" t="s">
        <v>6318</v>
      </c>
      <c r="E2582" s="140" t="s">
        <v>1219</v>
      </c>
      <c r="F2582" s="140" t="s">
        <v>9370</v>
      </c>
      <c r="G2582" s="141" t="s">
        <v>6664</v>
      </c>
      <c r="H2582" s="140" t="s">
        <v>6312</v>
      </c>
      <c r="I2582" s="140" t="s">
        <v>6313</v>
      </c>
      <c r="J2582" s="140" t="s">
        <v>6314</v>
      </c>
      <c r="K2582" s="140" t="s">
        <v>9330</v>
      </c>
    </row>
    <row r="2583">
      <c r="A2583" s="140" t="s">
        <v>9330</v>
      </c>
      <c r="B2583" s="143">
        <v>1.00802E13</v>
      </c>
      <c r="C2583" s="140" t="s">
        <v>9373</v>
      </c>
      <c r="D2583" s="140" t="s">
        <v>6318</v>
      </c>
      <c r="E2583" s="140" t="s">
        <v>1219</v>
      </c>
      <c r="F2583" s="140" t="s">
        <v>9370</v>
      </c>
      <c r="G2583" s="141" t="s">
        <v>6668</v>
      </c>
      <c r="H2583" s="140" t="s">
        <v>6312</v>
      </c>
      <c r="I2583" s="140" t="s">
        <v>6313</v>
      </c>
      <c r="J2583" s="140" t="s">
        <v>6314</v>
      </c>
      <c r="K2583" s="140" t="s">
        <v>9330</v>
      </c>
    </row>
    <row r="2584">
      <c r="A2584" s="140" t="s">
        <v>9330</v>
      </c>
      <c r="B2584" s="143">
        <v>1.00802E13</v>
      </c>
      <c r="C2584" s="140" t="s">
        <v>9374</v>
      </c>
      <c r="D2584" s="140" t="s">
        <v>6318</v>
      </c>
      <c r="E2584" s="140" t="s">
        <v>1219</v>
      </c>
      <c r="F2584" s="140" t="s">
        <v>9370</v>
      </c>
      <c r="G2584" s="141" t="s">
        <v>6668</v>
      </c>
      <c r="H2584" s="140" t="s">
        <v>6312</v>
      </c>
      <c r="I2584" s="140" t="s">
        <v>6313</v>
      </c>
      <c r="J2584" s="140" t="s">
        <v>6314</v>
      </c>
      <c r="K2584" s="140" t="s">
        <v>9330</v>
      </c>
    </row>
    <row r="2585">
      <c r="A2585" s="140" t="s">
        <v>9330</v>
      </c>
      <c r="B2585" s="143">
        <v>1.01002E13</v>
      </c>
      <c r="C2585" s="140" t="s">
        <v>9375</v>
      </c>
      <c r="D2585" s="140" t="s">
        <v>6318</v>
      </c>
      <c r="E2585" s="140" t="s">
        <v>1219</v>
      </c>
      <c r="F2585" s="140" t="s">
        <v>9370</v>
      </c>
      <c r="G2585" s="141" t="s">
        <v>6668</v>
      </c>
      <c r="H2585" s="140" t="s">
        <v>6312</v>
      </c>
      <c r="I2585" s="140" t="s">
        <v>6313</v>
      </c>
      <c r="J2585" s="140" t="s">
        <v>6314</v>
      </c>
      <c r="K2585" s="140" t="s">
        <v>9330</v>
      </c>
    </row>
    <row r="2586">
      <c r="A2586" s="140" t="s">
        <v>9330</v>
      </c>
      <c r="B2586" s="150">
        <v>7.62874E12</v>
      </c>
      <c r="C2586" s="140" t="s">
        <v>9376</v>
      </c>
      <c r="D2586" s="140" t="s">
        <v>6318</v>
      </c>
      <c r="E2586" s="140" t="s">
        <v>1219</v>
      </c>
      <c r="F2586" s="140" t="s">
        <v>9370</v>
      </c>
      <c r="G2586" s="141" t="s">
        <v>6311</v>
      </c>
      <c r="H2586" s="140" t="s">
        <v>6312</v>
      </c>
      <c r="I2586" s="140" t="s">
        <v>6313</v>
      </c>
      <c r="J2586" s="140" t="s">
        <v>6314</v>
      </c>
      <c r="K2586" s="140" t="s">
        <v>9330</v>
      </c>
    </row>
    <row r="2587">
      <c r="A2587" s="140" t="s">
        <v>9330</v>
      </c>
      <c r="B2587" s="143">
        <v>1.00801E13</v>
      </c>
      <c r="C2587" s="140" t="s">
        <v>9377</v>
      </c>
      <c r="D2587" s="140" t="s">
        <v>6318</v>
      </c>
      <c r="E2587" s="140" t="s">
        <v>1219</v>
      </c>
      <c r="F2587" s="140" t="s">
        <v>9378</v>
      </c>
      <c r="G2587" s="141" t="s">
        <v>6311</v>
      </c>
      <c r="H2587" s="140" t="s">
        <v>6312</v>
      </c>
      <c r="I2587" s="140" t="s">
        <v>6313</v>
      </c>
      <c r="J2587" s="140" t="s">
        <v>6314</v>
      </c>
      <c r="K2587" s="140" t="s">
        <v>9330</v>
      </c>
    </row>
    <row r="2588">
      <c r="A2588" s="140" t="s">
        <v>9330</v>
      </c>
      <c r="B2588" s="143">
        <v>1.00801E13</v>
      </c>
      <c r="C2588" s="140" t="s">
        <v>9379</v>
      </c>
      <c r="D2588" s="140" t="s">
        <v>6318</v>
      </c>
      <c r="E2588" s="140" t="s">
        <v>1219</v>
      </c>
      <c r="F2588" s="140" t="s">
        <v>9378</v>
      </c>
      <c r="G2588" s="141" t="s">
        <v>6668</v>
      </c>
      <c r="H2588" s="140" t="s">
        <v>6312</v>
      </c>
      <c r="I2588" s="140" t="s">
        <v>6313</v>
      </c>
      <c r="J2588" s="140" t="s">
        <v>6314</v>
      </c>
      <c r="K2588" s="140" t="s">
        <v>9330</v>
      </c>
    </row>
    <row r="2589">
      <c r="A2589" s="140" t="s">
        <v>9330</v>
      </c>
      <c r="B2589" s="143">
        <v>1.00801E13</v>
      </c>
      <c r="C2589" s="140" t="s">
        <v>9380</v>
      </c>
      <c r="D2589" s="140" t="s">
        <v>6318</v>
      </c>
      <c r="E2589" s="140" t="s">
        <v>1219</v>
      </c>
      <c r="F2589" s="140" t="s">
        <v>9378</v>
      </c>
      <c r="G2589" s="141" t="s">
        <v>6664</v>
      </c>
      <c r="H2589" s="140" t="s">
        <v>6312</v>
      </c>
      <c r="I2589" s="140" t="s">
        <v>6313</v>
      </c>
      <c r="J2589" s="140" t="s">
        <v>6314</v>
      </c>
      <c r="K2589" s="140" t="s">
        <v>9330</v>
      </c>
    </row>
    <row r="2590">
      <c r="A2590" s="140" t="s">
        <v>9330</v>
      </c>
      <c r="B2590" s="143">
        <v>1.00801E13</v>
      </c>
      <c r="C2590" s="140" t="s">
        <v>9381</v>
      </c>
      <c r="D2590" s="140" t="s">
        <v>6318</v>
      </c>
      <c r="E2590" s="140" t="s">
        <v>1219</v>
      </c>
      <c r="F2590" s="140" t="s">
        <v>9378</v>
      </c>
      <c r="G2590" s="141" t="s">
        <v>6664</v>
      </c>
      <c r="H2590" s="140" t="s">
        <v>6312</v>
      </c>
      <c r="I2590" s="140" t="s">
        <v>6313</v>
      </c>
      <c r="J2590" s="140" t="s">
        <v>6314</v>
      </c>
      <c r="K2590" s="140" t="s">
        <v>9330</v>
      </c>
    </row>
    <row r="2591">
      <c r="A2591" s="140" t="s">
        <v>9330</v>
      </c>
      <c r="B2591" s="143">
        <v>1.00801E13</v>
      </c>
      <c r="C2591" s="140" t="s">
        <v>9382</v>
      </c>
      <c r="D2591" s="140" t="s">
        <v>6318</v>
      </c>
      <c r="E2591" s="140" t="s">
        <v>1219</v>
      </c>
      <c r="F2591" s="140" t="s">
        <v>9378</v>
      </c>
      <c r="G2591" s="141" t="s">
        <v>6664</v>
      </c>
      <c r="H2591" s="140" t="s">
        <v>6312</v>
      </c>
      <c r="I2591" s="140" t="s">
        <v>6313</v>
      </c>
      <c r="J2591" s="140" t="s">
        <v>6314</v>
      </c>
      <c r="K2591" s="140" t="s">
        <v>9330</v>
      </c>
    </row>
    <row r="2592">
      <c r="A2592" s="140" t="s">
        <v>9330</v>
      </c>
      <c r="B2592" s="143">
        <v>1.00701E13</v>
      </c>
      <c r="C2592" s="140" t="s">
        <v>9383</v>
      </c>
      <c r="D2592" s="140" t="s">
        <v>6318</v>
      </c>
      <c r="E2592" s="140" t="s">
        <v>1219</v>
      </c>
      <c r="F2592" s="140" t="s">
        <v>9384</v>
      </c>
      <c r="G2592" s="141" t="s">
        <v>6664</v>
      </c>
      <c r="H2592" s="140" t="s">
        <v>6312</v>
      </c>
      <c r="I2592" s="140" t="s">
        <v>6313</v>
      </c>
      <c r="J2592" s="140" t="s">
        <v>6314</v>
      </c>
      <c r="K2592" s="140" t="s">
        <v>9330</v>
      </c>
    </row>
    <row r="2593">
      <c r="A2593" s="140" t="s">
        <v>9330</v>
      </c>
      <c r="B2593" s="143">
        <v>1.00801E13</v>
      </c>
      <c r="C2593" s="140" t="s">
        <v>9385</v>
      </c>
      <c r="D2593" s="140" t="s">
        <v>6318</v>
      </c>
      <c r="E2593" s="140" t="s">
        <v>1219</v>
      </c>
      <c r="F2593" s="140" t="s">
        <v>9386</v>
      </c>
      <c r="G2593" s="141" t="s">
        <v>6311</v>
      </c>
      <c r="H2593" s="140" t="s">
        <v>6312</v>
      </c>
      <c r="I2593" s="140" t="s">
        <v>6313</v>
      </c>
      <c r="J2593" s="140" t="s">
        <v>6314</v>
      </c>
      <c r="K2593" s="140" t="s">
        <v>9330</v>
      </c>
    </row>
    <row r="2594">
      <c r="A2594" s="140" t="s">
        <v>9330</v>
      </c>
      <c r="B2594" s="143">
        <v>1.008E13</v>
      </c>
      <c r="C2594" s="140" t="s">
        <v>9387</v>
      </c>
      <c r="D2594" s="140" t="s">
        <v>6318</v>
      </c>
      <c r="E2594" s="140" t="s">
        <v>1219</v>
      </c>
      <c r="F2594" s="140" t="s">
        <v>9386</v>
      </c>
      <c r="G2594" s="141" t="s">
        <v>6401</v>
      </c>
      <c r="H2594" s="140" t="s">
        <v>6312</v>
      </c>
      <c r="I2594" s="140" t="s">
        <v>6313</v>
      </c>
      <c r="J2594" s="140" t="s">
        <v>6314</v>
      </c>
      <c r="K2594" s="140" t="s">
        <v>9330</v>
      </c>
    </row>
    <row r="2595">
      <c r="A2595" s="140" t="s">
        <v>9330</v>
      </c>
      <c r="B2595" s="143">
        <v>1.008E13</v>
      </c>
      <c r="C2595" s="140" t="s">
        <v>9388</v>
      </c>
      <c r="D2595" s="140" t="s">
        <v>6318</v>
      </c>
      <c r="E2595" s="140" t="s">
        <v>1219</v>
      </c>
      <c r="F2595" s="140" t="s">
        <v>9386</v>
      </c>
      <c r="G2595" s="141" t="s">
        <v>6401</v>
      </c>
      <c r="H2595" s="140" t="s">
        <v>6312</v>
      </c>
      <c r="I2595" s="140" t="s">
        <v>6313</v>
      </c>
      <c r="J2595" s="140" t="s">
        <v>6314</v>
      </c>
      <c r="K2595" s="140" t="s">
        <v>9330</v>
      </c>
    </row>
    <row r="2596">
      <c r="A2596" s="140" t="s">
        <v>9330</v>
      </c>
      <c r="B2596" s="143">
        <v>1.00801E13</v>
      </c>
      <c r="C2596" s="140" t="s">
        <v>9389</v>
      </c>
      <c r="D2596" s="140" t="s">
        <v>6318</v>
      </c>
      <c r="E2596" s="140" t="s">
        <v>1219</v>
      </c>
      <c r="F2596" s="140" t="s">
        <v>9386</v>
      </c>
      <c r="G2596" s="141" t="s">
        <v>6668</v>
      </c>
      <c r="H2596" s="140" t="s">
        <v>6312</v>
      </c>
      <c r="I2596" s="140" t="s">
        <v>6313</v>
      </c>
      <c r="J2596" s="140" t="s">
        <v>6314</v>
      </c>
      <c r="K2596" s="140" t="s">
        <v>9330</v>
      </c>
    </row>
    <row r="2597">
      <c r="A2597" s="140" t="s">
        <v>9330</v>
      </c>
      <c r="B2597" s="143">
        <v>1.003E13</v>
      </c>
      <c r="C2597" s="140" t="s">
        <v>9390</v>
      </c>
      <c r="D2597" s="140" t="s">
        <v>6318</v>
      </c>
      <c r="E2597" s="140" t="s">
        <v>1219</v>
      </c>
      <c r="F2597" s="140" t="s">
        <v>9386</v>
      </c>
      <c r="G2597" s="141" t="s">
        <v>6668</v>
      </c>
      <c r="H2597" s="140" t="s">
        <v>6312</v>
      </c>
      <c r="I2597" s="140" t="s">
        <v>6313</v>
      </c>
      <c r="J2597" s="140" t="s">
        <v>6314</v>
      </c>
      <c r="K2597" s="140" t="s">
        <v>9330</v>
      </c>
    </row>
    <row r="2598">
      <c r="A2598" s="140" t="s">
        <v>9330</v>
      </c>
      <c r="B2598" s="150">
        <v>7.62874E12</v>
      </c>
      <c r="C2598" s="140" t="s">
        <v>9391</v>
      </c>
      <c r="D2598" s="140" t="s">
        <v>6318</v>
      </c>
      <c r="E2598" s="140" t="s">
        <v>1219</v>
      </c>
      <c r="F2598" s="140" t="s">
        <v>9386</v>
      </c>
      <c r="G2598" s="141" t="s">
        <v>6311</v>
      </c>
      <c r="H2598" s="140" t="s">
        <v>6312</v>
      </c>
      <c r="I2598" s="140" t="s">
        <v>6313</v>
      </c>
      <c r="J2598" s="140" t="s">
        <v>6314</v>
      </c>
      <c r="K2598" s="140" t="s">
        <v>9330</v>
      </c>
    </row>
    <row r="2599">
      <c r="A2599" s="140" t="s">
        <v>9330</v>
      </c>
      <c r="B2599" s="143">
        <v>1.008E13</v>
      </c>
      <c r="C2599" s="140" t="s">
        <v>9392</v>
      </c>
      <c r="D2599" s="140" t="s">
        <v>6318</v>
      </c>
      <c r="E2599" s="140" t="s">
        <v>1219</v>
      </c>
      <c r="F2599" s="140" t="s">
        <v>9386</v>
      </c>
      <c r="G2599" s="141" t="s">
        <v>6401</v>
      </c>
      <c r="H2599" s="140" t="s">
        <v>6312</v>
      </c>
      <c r="I2599" s="140" t="s">
        <v>6313</v>
      </c>
      <c r="J2599" s="140" t="s">
        <v>6314</v>
      </c>
      <c r="K2599" s="140" t="s">
        <v>9330</v>
      </c>
    </row>
    <row r="2600">
      <c r="A2600" s="140" t="s">
        <v>9330</v>
      </c>
      <c r="B2600" s="143">
        <v>1.008E13</v>
      </c>
      <c r="C2600" s="140" t="s">
        <v>9393</v>
      </c>
      <c r="D2600" s="140" t="s">
        <v>6318</v>
      </c>
      <c r="E2600" s="140" t="s">
        <v>1219</v>
      </c>
      <c r="F2600" s="140" t="s">
        <v>9386</v>
      </c>
      <c r="G2600" s="141" t="s">
        <v>6401</v>
      </c>
      <c r="H2600" s="140" t="s">
        <v>6312</v>
      </c>
      <c r="I2600" s="140" t="s">
        <v>6313</v>
      </c>
      <c r="J2600" s="140" t="s">
        <v>6314</v>
      </c>
      <c r="K2600" s="140" t="s">
        <v>9330</v>
      </c>
    </row>
    <row r="2601">
      <c r="A2601" s="140" t="s">
        <v>9330</v>
      </c>
      <c r="B2601" s="143">
        <v>1.00801E13</v>
      </c>
      <c r="C2601" s="140" t="s">
        <v>9394</v>
      </c>
      <c r="D2601" s="140" t="s">
        <v>6318</v>
      </c>
      <c r="E2601" s="140" t="s">
        <v>1219</v>
      </c>
      <c r="F2601" s="140" t="s">
        <v>9395</v>
      </c>
      <c r="G2601" s="141" t="s">
        <v>6664</v>
      </c>
      <c r="H2601" s="140" t="s">
        <v>6312</v>
      </c>
      <c r="I2601" s="140" t="s">
        <v>6313</v>
      </c>
      <c r="J2601" s="140" t="s">
        <v>6314</v>
      </c>
      <c r="K2601" s="140" t="s">
        <v>9330</v>
      </c>
    </row>
    <row r="2602">
      <c r="A2602" s="140" t="s">
        <v>9330</v>
      </c>
      <c r="B2602" s="143">
        <v>1.00801E13</v>
      </c>
      <c r="C2602" s="140" t="s">
        <v>9396</v>
      </c>
      <c r="D2602" s="140" t="s">
        <v>6318</v>
      </c>
      <c r="E2602" s="140" t="s">
        <v>1219</v>
      </c>
      <c r="F2602" s="140" t="s">
        <v>5790</v>
      </c>
      <c r="G2602" s="141" t="s">
        <v>6664</v>
      </c>
      <c r="H2602" s="140" t="s">
        <v>6312</v>
      </c>
      <c r="I2602" s="140" t="s">
        <v>6313</v>
      </c>
      <c r="J2602" s="140" t="s">
        <v>6314</v>
      </c>
      <c r="K2602" s="140" t="s">
        <v>9330</v>
      </c>
    </row>
    <row r="2603">
      <c r="A2603" s="140" t="s">
        <v>9330</v>
      </c>
      <c r="B2603" s="150">
        <v>7.62874E12</v>
      </c>
      <c r="C2603" s="140" t="s">
        <v>9397</v>
      </c>
      <c r="D2603" s="140" t="s">
        <v>6318</v>
      </c>
      <c r="E2603" s="140" t="s">
        <v>1219</v>
      </c>
      <c r="F2603" s="140" t="s">
        <v>9398</v>
      </c>
      <c r="G2603" s="141" t="s">
        <v>6311</v>
      </c>
      <c r="H2603" s="140" t="s">
        <v>6312</v>
      </c>
      <c r="I2603" s="140" t="s">
        <v>6313</v>
      </c>
      <c r="J2603" s="140" t="s">
        <v>6314</v>
      </c>
      <c r="K2603" s="140" t="s">
        <v>9330</v>
      </c>
    </row>
    <row r="2604">
      <c r="A2604" s="140" t="s">
        <v>9330</v>
      </c>
      <c r="B2604" s="143">
        <v>1.002E13</v>
      </c>
      <c r="C2604" s="140" t="s">
        <v>9399</v>
      </c>
      <c r="D2604" s="140" t="s">
        <v>6318</v>
      </c>
      <c r="E2604" s="140" t="s">
        <v>1219</v>
      </c>
      <c r="F2604" s="140" t="s">
        <v>9400</v>
      </c>
      <c r="G2604" s="141" t="s">
        <v>6401</v>
      </c>
      <c r="H2604" s="140" t="s">
        <v>6312</v>
      </c>
      <c r="I2604" s="140" t="s">
        <v>6313</v>
      </c>
      <c r="J2604" s="140" t="s">
        <v>6314</v>
      </c>
      <c r="K2604" s="140" t="s">
        <v>9330</v>
      </c>
    </row>
    <row r="2605">
      <c r="A2605" s="140" t="s">
        <v>9330</v>
      </c>
      <c r="B2605" s="143">
        <v>1.002E13</v>
      </c>
      <c r="C2605" s="140" t="s">
        <v>9401</v>
      </c>
      <c r="D2605" s="140" t="s">
        <v>6318</v>
      </c>
      <c r="E2605" s="140" t="s">
        <v>1219</v>
      </c>
      <c r="F2605" s="140" t="s">
        <v>9400</v>
      </c>
      <c r="G2605" s="141" t="s">
        <v>6668</v>
      </c>
      <c r="H2605" s="140" t="s">
        <v>6312</v>
      </c>
      <c r="I2605" s="140" t="s">
        <v>6313</v>
      </c>
      <c r="J2605" s="140" t="s">
        <v>6314</v>
      </c>
      <c r="K2605" s="140" t="s">
        <v>9330</v>
      </c>
    </row>
    <row r="2606">
      <c r="A2606" s="140" t="s">
        <v>9330</v>
      </c>
      <c r="B2606" s="143">
        <v>1.002E13</v>
      </c>
      <c r="C2606" s="140" t="s">
        <v>9402</v>
      </c>
      <c r="D2606" s="140" t="s">
        <v>6318</v>
      </c>
      <c r="E2606" s="140" t="s">
        <v>1219</v>
      </c>
      <c r="F2606" s="140" t="s">
        <v>9400</v>
      </c>
      <c r="G2606" s="141" t="s">
        <v>6664</v>
      </c>
      <c r="H2606" s="140" t="s">
        <v>6312</v>
      </c>
      <c r="I2606" s="140" t="s">
        <v>6313</v>
      </c>
      <c r="J2606" s="140" t="s">
        <v>6314</v>
      </c>
      <c r="K2606" s="140" t="s">
        <v>9330</v>
      </c>
    </row>
    <row r="2607">
      <c r="A2607" s="140" t="s">
        <v>9330</v>
      </c>
      <c r="B2607" s="143">
        <v>1.011E13</v>
      </c>
      <c r="C2607" s="140" t="s">
        <v>9403</v>
      </c>
      <c r="D2607" s="140" t="s">
        <v>6318</v>
      </c>
      <c r="E2607" s="140" t="s">
        <v>1219</v>
      </c>
      <c r="F2607" s="140" t="s">
        <v>9404</v>
      </c>
      <c r="G2607" s="141" t="s">
        <v>6668</v>
      </c>
      <c r="H2607" s="140" t="s">
        <v>6312</v>
      </c>
      <c r="I2607" s="140" t="s">
        <v>6313</v>
      </c>
      <c r="J2607" s="140" t="s">
        <v>6314</v>
      </c>
      <c r="K2607" s="140" t="s">
        <v>9330</v>
      </c>
    </row>
    <row r="2608">
      <c r="A2608" s="140" t="s">
        <v>9330</v>
      </c>
      <c r="B2608" s="143">
        <v>1.008E13</v>
      </c>
      <c r="C2608" s="140" t="s">
        <v>9405</v>
      </c>
      <c r="D2608" s="140" t="s">
        <v>6318</v>
      </c>
      <c r="E2608" s="140" t="s">
        <v>1219</v>
      </c>
      <c r="F2608" s="140" t="s">
        <v>9404</v>
      </c>
      <c r="G2608" s="141" t="s">
        <v>6668</v>
      </c>
      <c r="H2608" s="140" t="s">
        <v>6312</v>
      </c>
      <c r="I2608" s="140" t="s">
        <v>6313</v>
      </c>
      <c r="J2608" s="140" t="s">
        <v>6314</v>
      </c>
      <c r="K2608" s="140" t="s">
        <v>9330</v>
      </c>
    </row>
    <row r="2609">
      <c r="A2609" s="140" t="s">
        <v>9330</v>
      </c>
      <c r="B2609" s="143">
        <v>1.002E13</v>
      </c>
      <c r="C2609" s="140" t="s">
        <v>9406</v>
      </c>
      <c r="D2609" s="140" t="s">
        <v>6318</v>
      </c>
      <c r="E2609" s="140" t="s">
        <v>1219</v>
      </c>
      <c r="F2609" s="140" t="s">
        <v>9404</v>
      </c>
      <c r="G2609" s="141" t="s">
        <v>6668</v>
      </c>
      <c r="H2609" s="140" t="s">
        <v>6312</v>
      </c>
      <c r="I2609" s="140" t="s">
        <v>6313</v>
      </c>
      <c r="J2609" s="140" t="s">
        <v>6314</v>
      </c>
      <c r="K2609" s="140" t="s">
        <v>9330</v>
      </c>
    </row>
    <row r="2610">
      <c r="A2610" s="140" t="s">
        <v>9330</v>
      </c>
      <c r="B2610" s="143">
        <v>1.01001E13</v>
      </c>
      <c r="C2610" s="140" t="s">
        <v>9407</v>
      </c>
      <c r="D2610" s="140" t="s">
        <v>6318</v>
      </c>
      <c r="E2610" s="140" t="s">
        <v>1219</v>
      </c>
      <c r="F2610" s="140" t="s">
        <v>9408</v>
      </c>
      <c r="G2610" s="141" t="s">
        <v>6668</v>
      </c>
      <c r="H2610" s="140" t="s">
        <v>6312</v>
      </c>
      <c r="I2610" s="140" t="s">
        <v>6313</v>
      </c>
      <c r="J2610" s="140" t="s">
        <v>6314</v>
      </c>
      <c r="K2610" s="140" t="s">
        <v>9330</v>
      </c>
    </row>
    <row r="2611">
      <c r="A2611" s="140" t="s">
        <v>9330</v>
      </c>
      <c r="B2611" s="143">
        <v>1.00801E13</v>
      </c>
      <c r="C2611" s="140" t="s">
        <v>9409</v>
      </c>
      <c r="D2611" s="140" t="s">
        <v>6318</v>
      </c>
      <c r="E2611" s="140" t="s">
        <v>1219</v>
      </c>
      <c r="F2611" s="140" t="s">
        <v>9408</v>
      </c>
      <c r="G2611" s="141" t="s">
        <v>6668</v>
      </c>
      <c r="H2611" s="140" t="s">
        <v>6312</v>
      </c>
      <c r="I2611" s="140" t="s">
        <v>6313</v>
      </c>
      <c r="J2611" s="140" t="s">
        <v>6314</v>
      </c>
      <c r="K2611" s="140" t="s">
        <v>9330</v>
      </c>
    </row>
    <row r="2612">
      <c r="A2612" s="140" t="s">
        <v>9330</v>
      </c>
      <c r="B2612" s="143">
        <v>1.00801E13</v>
      </c>
      <c r="C2612" s="140" t="s">
        <v>9410</v>
      </c>
      <c r="D2612" s="140" t="s">
        <v>6318</v>
      </c>
      <c r="E2612" s="140" t="s">
        <v>1219</v>
      </c>
      <c r="F2612" s="140" t="s">
        <v>9408</v>
      </c>
      <c r="G2612" s="141" t="s">
        <v>6668</v>
      </c>
      <c r="H2612" s="140" t="s">
        <v>6312</v>
      </c>
      <c r="I2612" s="140" t="s">
        <v>6313</v>
      </c>
      <c r="J2612" s="140" t="s">
        <v>6314</v>
      </c>
      <c r="K2612" s="140" t="s">
        <v>9330</v>
      </c>
    </row>
    <row r="2613">
      <c r="A2613" s="140" t="s">
        <v>9330</v>
      </c>
      <c r="B2613" s="143">
        <v>1.00801E13</v>
      </c>
      <c r="C2613" s="140" t="s">
        <v>9411</v>
      </c>
      <c r="D2613" s="140" t="s">
        <v>6318</v>
      </c>
      <c r="E2613" s="140" t="s">
        <v>1219</v>
      </c>
      <c r="F2613" s="140" t="s">
        <v>9412</v>
      </c>
      <c r="G2613" s="141" t="s">
        <v>6668</v>
      </c>
      <c r="H2613" s="140" t="s">
        <v>6312</v>
      </c>
      <c r="I2613" s="140" t="s">
        <v>6313</v>
      </c>
      <c r="J2613" s="140" t="s">
        <v>6314</v>
      </c>
      <c r="K2613" s="140" t="s">
        <v>9330</v>
      </c>
    </row>
    <row r="2614">
      <c r="A2614" s="140" t="s">
        <v>9330</v>
      </c>
      <c r="B2614" s="143">
        <v>1.00802E13</v>
      </c>
      <c r="C2614" s="140" t="s">
        <v>9413</v>
      </c>
      <c r="D2614" s="140" t="s">
        <v>6318</v>
      </c>
      <c r="E2614" s="140" t="s">
        <v>1219</v>
      </c>
      <c r="F2614" s="140" t="s">
        <v>9414</v>
      </c>
      <c r="G2614" s="141" t="s">
        <v>6401</v>
      </c>
      <c r="H2614" s="140" t="s">
        <v>6312</v>
      </c>
      <c r="I2614" s="140" t="s">
        <v>6313</v>
      </c>
      <c r="J2614" s="140" t="s">
        <v>6314</v>
      </c>
      <c r="K2614" s="140" t="s">
        <v>9330</v>
      </c>
    </row>
    <row r="2615">
      <c r="A2615" s="140" t="s">
        <v>9330</v>
      </c>
      <c r="B2615" s="143">
        <v>1.00901E13</v>
      </c>
      <c r="C2615" s="140" t="s">
        <v>9415</v>
      </c>
      <c r="D2615" s="140" t="s">
        <v>6318</v>
      </c>
      <c r="E2615" s="140" t="s">
        <v>1219</v>
      </c>
      <c r="F2615" s="140" t="s">
        <v>9416</v>
      </c>
      <c r="G2615" s="141" t="s">
        <v>6668</v>
      </c>
      <c r="H2615" s="140" t="s">
        <v>6312</v>
      </c>
      <c r="I2615" s="140" t="s">
        <v>6313</v>
      </c>
      <c r="J2615" s="140" t="s">
        <v>6314</v>
      </c>
      <c r="K2615" s="140" t="s">
        <v>9330</v>
      </c>
    </row>
    <row r="2616">
      <c r="A2616" s="140" t="s">
        <v>9330</v>
      </c>
      <c r="B2616" s="143">
        <v>1.004E13</v>
      </c>
      <c r="C2616" s="140" t="s">
        <v>9417</v>
      </c>
      <c r="D2616" s="140" t="s">
        <v>6718</v>
      </c>
      <c r="E2616" s="140" t="s">
        <v>240</v>
      </c>
      <c r="F2616" s="140" t="s">
        <v>9418</v>
      </c>
      <c r="G2616" s="141" t="s">
        <v>6664</v>
      </c>
      <c r="H2616" s="140" t="s">
        <v>6312</v>
      </c>
      <c r="I2616" s="140" t="s">
        <v>6313</v>
      </c>
      <c r="J2616" s="140" t="s">
        <v>6314</v>
      </c>
      <c r="K2616" s="140" t="s">
        <v>9330</v>
      </c>
    </row>
    <row r="2617">
      <c r="A2617" s="140" t="s">
        <v>9330</v>
      </c>
      <c r="B2617" s="143">
        <v>1.004E13</v>
      </c>
      <c r="C2617" s="140" t="s">
        <v>9419</v>
      </c>
      <c r="D2617" s="140" t="s">
        <v>6718</v>
      </c>
      <c r="E2617" s="140" t="s">
        <v>240</v>
      </c>
      <c r="F2617" s="140" t="s">
        <v>9418</v>
      </c>
      <c r="G2617" s="141" t="s">
        <v>6664</v>
      </c>
      <c r="H2617" s="140" t="s">
        <v>6312</v>
      </c>
      <c r="I2617" s="140" t="s">
        <v>6313</v>
      </c>
      <c r="J2617" s="140" t="s">
        <v>6314</v>
      </c>
      <c r="K2617" s="140" t="s">
        <v>9330</v>
      </c>
    </row>
    <row r="2618">
      <c r="A2618" s="140" t="s">
        <v>9330</v>
      </c>
      <c r="B2618" s="143">
        <v>1.004E13</v>
      </c>
      <c r="C2618" s="140" t="s">
        <v>9420</v>
      </c>
      <c r="D2618" s="140" t="s">
        <v>6718</v>
      </c>
      <c r="E2618" s="140" t="s">
        <v>240</v>
      </c>
      <c r="F2618" s="140" t="s">
        <v>9418</v>
      </c>
      <c r="G2618" s="141" t="s">
        <v>6401</v>
      </c>
      <c r="H2618" s="140" t="s">
        <v>6312</v>
      </c>
      <c r="I2618" s="140" t="s">
        <v>6313</v>
      </c>
      <c r="J2618" s="140" t="s">
        <v>6314</v>
      </c>
      <c r="K2618" s="140" t="s">
        <v>9330</v>
      </c>
    </row>
    <row r="2619">
      <c r="A2619" s="140" t="s">
        <v>9330</v>
      </c>
      <c r="B2619" s="143">
        <v>1.004E13</v>
      </c>
      <c r="C2619" s="140" t="s">
        <v>9421</v>
      </c>
      <c r="D2619" s="140" t="s">
        <v>6718</v>
      </c>
      <c r="E2619" s="140" t="s">
        <v>240</v>
      </c>
      <c r="F2619" s="140" t="s">
        <v>9418</v>
      </c>
      <c r="G2619" s="141" t="s">
        <v>6668</v>
      </c>
      <c r="H2619" s="140" t="s">
        <v>6312</v>
      </c>
      <c r="I2619" s="140" t="s">
        <v>6313</v>
      </c>
      <c r="J2619" s="140" t="s">
        <v>6314</v>
      </c>
      <c r="K2619" s="140" t="s">
        <v>9330</v>
      </c>
    </row>
    <row r="2620">
      <c r="A2620" s="140" t="s">
        <v>9330</v>
      </c>
      <c r="B2620" s="150">
        <v>7.62874E12</v>
      </c>
      <c r="C2620" s="140" t="s">
        <v>9422</v>
      </c>
      <c r="D2620" s="140" t="s">
        <v>6718</v>
      </c>
      <c r="E2620" s="140" t="s">
        <v>240</v>
      </c>
      <c r="F2620" s="140" t="s">
        <v>9418</v>
      </c>
      <c r="G2620" s="141" t="s">
        <v>6311</v>
      </c>
      <c r="H2620" s="140" t="s">
        <v>6312</v>
      </c>
      <c r="I2620" s="140" t="s">
        <v>6313</v>
      </c>
      <c r="J2620" s="140" t="s">
        <v>6314</v>
      </c>
      <c r="K2620" s="140" t="s">
        <v>9330</v>
      </c>
    </row>
    <row r="2621">
      <c r="A2621" s="140" t="s">
        <v>9423</v>
      </c>
      <c r="B2621" s="140" t="s">
        <v>9424</v>
      </c>
      <c r="C2621" s="140" t="s">
        <v>9425</v>
      </c>
      <c r="D2621" s="140" t="s">
        <v>6309</v>
      </c>
      <c r="E2621" s="140">
        <v>0.0</v>
      </c>
      <c r="F2621" s="140" t="s">
        <v>7065</v>
      </c>
      <c r="G2621" s="141" t="s">
        <v>6401</v>
      </c>
      <c r="H2621" s="140" t="s">
        <v>6312</v>
      </c>
      <c r="I2621" s="140" t="s">
        <v>6313</v>
      </c>
      <c r="J2621" s="140" t="s">
        <v>6314</v>
      </c>
      <c r="K2621" s="140" t="s">
        <v>7023</v>
      </c>
    </row>
    <row r="2622">
      <c r="A2622" s="140" t="s">
        <v>9423</v>
      </c>
      <c r="B2622" s="140" t="s">
        <v>9426</v>
      </c>
      <c r="C2622" s="140" t="s">
        <v>9427</v>
      </c>
      <c r="D2622" s="140" t="s">
        <v>6309</v>
      </c>
      <c r="E2622" s="140">
        <v>0.0</v>
      </c>
      <c r="F2622" s="140" t="s">
        <v>7065</v>
      </c>
      <c r="G2622" s="141" t="s">
        <v>6401</v>
      </c>
      <c r="H2622" s="140" t="s">
        <v>6312</v>
      </c>
      <c r="I2622" s="140" t="s">
        <v>6313</v>
      </c>
      <c r="J2622" s="140" t="s">
        <v>6314</v>
      </c>
      <c r="K2622" s="140" t="s">
        <v>7023</v>
      </c>
    </row>
    <row r="2623">
      <c r="A2623" s="140" t="s">
        <v>9423</v>
      </c>
      <c r="B2623" s="140" t="s">
        <v>9428</v>
      </c>
      <c r="C2623" s="140" t="s">
        <v>9429</v>
      </c>
      <c r="D2623" s="140" t="s">
        <v>6309</v>
      </c>
      <c r="E2623" s="140">
        <v>0.0</v>
      </c>
      <c r="F2623" s="140" t="s">
        <v>7065</v>
      </c>
      <c r="G2623" s="141" t="s">
        <v>6401</v>
      </c>
      <c r="H2623" s="140" t="s">
        <v>6312</v>
      </c>
      <c r="I2623" s="140" t="s">
        <v>6313</v>
      </c>
      <c r="J2623" s="140" t="s">
        <v>6314</v>
      </c>
      <c r="K2623" s="140" t="s">
        <v>7023</v>
      </c>
    </row>
    <row r="2624">
      <c r="A2624" s="140" t="s">
        <v>9423</v>
      </c>
      <c r="B2624" s="140" t="s">
        <v>9430</v>
      </c>
      <c r="C2624" s="140" t="s">
        <v>9431</v>
      </c>
      <c r="D2624" s="140" t="s">
        <v>6309</v>
      </c>
      <c r="E2624" s="140">
        <v>0.0</v>
      </c>
      <c r="F2624" s="140" t="s">
        <v>7065</v>
      </c>
      <c r="G2624" s="141" t="s">
        <v>6401</v>
      </c>
      <c r="H2624" s="140" t="s">
        <v>6312</v>
      </c>
      <c r="I2624" s="140" t="s">
        <v>6313</v>
      </c>
      <c r="J2624" s="140" t="s">
        <v>6314</v>
      </c>
      <c r="K2624" s="140" t="s">
        <v>7023</v>
      </c>
    </row>
    <row r="2625">
      <c r="A2625" s="140" t="s">
        <v>9423</v>
      </c>
      <c r="B2625" s="140" t="s">
        <v>9432</v>
      </c>
      <c r="C2625" s="140" t="s">
        <v>9431</v>
      </c>
      <c r="D2625" s="140" t="s">
        <v>6309</v>
      </c>
      <c r="E2625" s="140">
        <v>0.0</v>
      </c>
      <c r="F2625" s="140" t="s">
        <v>7065</v>
      </c>
      <c r="G2625" s="141" t="s">
        <v>6401</v>
      </c>
      <c r="H2625" s="140" t="s">
        <v>6312</v>
      </c>
      <c r="I2625" s="140" t="s">
        <v>6313</v>
      </c>
      <c r="J2625" s="140" t="s">
        <v>6314</v>
      </c>
      <c r="K2625" s="140" t="s">
        <v>7023</v>
      </c>
    </row>
    <row r="2626">
      <c r="A2626" s="140" t="s">
        <v>9423</v>
      </c>
      <c r="B2626" s="140" t="s">
        <v>9433</v>
      </c>
      <c r="C2626" s="140" t="s">
        <v>9434</v>
      </c>
      <c r="D2626" s="140" t="s">
        <v>6309</v>
      </c>
      <c r="E2626" s="140">
        <v>0.0</v>
      </c>
      <c r="F2626" s="140" t="s">
        <v>7065</v>
      </c>
      <c r="G2626" s="141" t="s">
        <v>6401</v>
      </c>
      <c r="H2626" s="140" t="s">
        <v>6312</v>
      </c>
      <c r="I2626" s="140" t="s">
        <v>6313</v>
      </c>
      <c r="J2626" s="140" t="s">
        <v>6314</v>
      </c>
      <c r="K2626" s="140" t="s">
        <v>7023</v>
      </c>
    </row>
    <row r="2627">
      <c r="A2627" s="140" t="s">
        <v>9423</v>
      </c>
      <c r="B2627" s="140" t="s">
        <v>9435</v>
      </c>
      <c r="C2627" s="140" t="s">
        <v>9436</v>
      </c>
      <c r="D2627" s="140" t="s">
        <v>6309</v>
      </c>
      <c r="E2627" s="140">
        <v>0.0</v>
      </c>
      <c r="F2627" s="140" t="s">
        <v>7065</v>
      </c>
      <c r="G2627" s="141" t="s">
        <v>6401</v>
      </c>
      <c r="H2627" s="140" t="s">
        <v>6312</v>
      </c>
      <c r="I2627" s="140" t="s">
        <v>6313</v>
      </c>
      <c r="J2627" s="140" t="s">
        <v>6314</v>
      </c>
      <c r="K2627" s="140" t="s">
        <v>7023</v>
      </c>
    </row>
    <row r="2628">
      <c r="A2628" s="140" t="s">
        <v>9423</v>
      </c>
      <c r="B2628" s="140" t="s">
        <v>9437</v>
      </c>
      <c r="C2628" s="140" t="s">
        <v>9438</v>
      </c>
      <c r="D2628" s="140" t="s">
        <v>6309</v>
      </c>
      <c r="E2628" s="140">
        <v>0.0</v>
      </c>
      <c r="F2628" s="140" t="s">
        <v>7065</v>
      </c>
      <c r="G2628" s="141" t="s">
        <v>6401</v>
      </c>
      <c r="H2628" s="140" t="s">
        <v>6312</v>
      </c>
      <c r="I2628" s="140" t="s">
        <v>6313</v>
      </c>
      <c r="J2628" s="140" t="s">
        <v>6314</v>
      </c>
      <c r="K2628" s="140" t="s">
        <v>7023</v>
      </c>
    </row>
    <row r="2629">
      <c r="A2629" s="140" t="s">
        <v>9423</v>
      </c>
      <c r="B2629" s="140" t="s">
        <v>9439</v>
      </c>
      <c r="C2629" s="140" t="s">
        <v>9440</v>
      </c>
      <c r="D2629" s="140" t="s">
        <v>6309</v>
      </c>
      <c r="E2629" s="140">
        <v>0.0</v>
      </c>
      <c r="F2629" s="140" t="s">
        <v>7065</v>
      </c>
      <c r="G2629" s="141" t="s">
        <v>6401</v>
      </c>
      <c r="H2629" s="140" t="s">
        <v>6312</v>
      </c>
      <c r="I2629" s="140" t="s">
        <v>6313</v>
      </c>
      <c r="J2629" s="140" t="s">
        <v>6314</v>
      </c>
      <c r="K2629" s="140" t="s">
        <v>7023</v>
      </c>
    </row>
    <row r="2630">
      <c r="A2630" s="140" t="s">
        <v>9423</v>
      </c>
      <c r="B2630" s="140" t="s">
        <v>9441</v>
      </c>
      <c r="C2630" s="140" t="s">
        <v>9442</v>
      </c>
      <c r="D2630" s="140" t="s">
        <v>6309</v>
      </c>
      <c r="E2630" s="140">
        <v>0.0</v>
      </c>
      <c r="F2630" s="140" t="s">
        <v>7065</v>
      </c>
      <c r="G2630" s="141" t="s">
        <v>6401</v>
      </c>
      <c r="H2630" s="140" t="s">
        <v>6312</v>
      </c>
      <c r="I2630" s="140" t="s">
        <v>6313</v>
      </c>
      <c r="J2630" s="140" t="s">
        <v>6314</v>
      </c>
      <c r="K2630" s="140" t="s">
        <v>7023</v>
      </c>
    </row>
    <row r="2631">
      <c r="A2631" s="140" t="s">
        <v>9423</v>
      </c>
      <c r="B2631" s="140" t="s">
        <v>9443</v>
      </c>
      <c r="C2631" s="140" t="s">
        <v>9444</v>
      </c>
      <c r="D2631" s="140" t="s">
        <v>6309</v>
      </c>
      <c r="E2631" s="140">
        <v>0.0</v>
      </c>
      <c r="F2631" s="140" t="s">
        <v>7065</v>
      </c>
      <c r="G2631" s="141" t="s">
        <v>6401</v>
      </c>
      <c r="H2631" s="140" t="s">
        <v>6312</v>
      </c>
      <c r="I2631" s="140" t="s">
        <v>6313</v>
      </c>
      <c r="J2631" s="140" t="s">
        <v>6314</v>
      </c>
      <c r="K2631" s="140" t="s">
        <v>7023</v>
      </c>
    </row>
    <row r="2632">
      <c r="A2632" s="140" t="s">
        <v>9423</v>
      </c>
      <c r="B2632" s="140" t="s">
        <v>9445</v>
      </c>
      <c r="C2632" s="140" t="s">
        <v>9446</v>
      </c>
      <c r="D2632" s="140" t="s">
        <v>6309</v>
      </c>
      <c r="E2632" s="140">
        <v>0.0</v>
      </c>
      <c r="F2632" s="140" t="s">
        <v>7065</v>
      </c>
      <c r="G2632" s="141" t="s">
        <v>6401</v>
      </c>
      <c r="H2632" s="140" t="s">
        <v>6312</v>
      </c>
      <c r="I2632" s="140" t="s">
        <v>6313</v>
      </c>
      <c r="J2632" s="140" t="s">
        <v>6314</v>
      </c>
      <c r="K2632" s="140" t="s">
        <v>7023</v>
      </c>
    </row>
    <row r="2633">
      <c r="A2633" s="140" t="s">
        <v>9423</v>
      </c>
      <c r="B2633" s="140" t="s">
        <v>4387</v>
      </c>
      <c r="C2633" s="140" t="s">
        <v>9446</v>
      </c>
      <c r="D2633" s="140" t="s">
        <v>6309</v>
      </c>
      <c r="E2633" s="140">
        <v>0.0</v>
      </c>
      <c r="F2633" s="140" t="s">
        <v>7065</v>
      </c>
      <c r="G2633" s="141" t="s">
        <v>6401</v>
      </c>
      <c r="H2633" s="140" t="s">
        <v>6312</v>
      </c>
      <c r="I2633" s="140" t="s">
        <v>6313</v>
      </c>
      <c r="J2633" s="140" t="s">
        <v>6314</v>
      </c>
      <c r="K2633" s="140" t="s">
        <v>7023</v>
      </c>
    </row>
    <row r="2634">
      <c r="A2634" s="140" t="s">
        <v>9423</v>
      </c>
      <c r="B2634" s="140" t="s">
        <v>9447</v>
      </c>
      <c r="C2634" s="140" t="s">
        <v>9448</v>
      </c>
      <c r="D2634" s="140" t="s">
        <v>6309</v>
      </c>
      <c r="E2634" s="140">
        <v>0.0</v>
      </c>
      <c r="F2634" s="140" t="s">
        <v>7065</v>
      </c>
      <c r="G2634" s="141" t="s">
        <v>6401</v>
      </c>
      <c r="H2634" s="140" t="s">
        <v>6312</v>
      </c>
      <c r="I2634" s="140" t="s">
        <v>6313</v>
      </c>
      <c r="J2634" s="140" t="s">
        <v>6314</v>
      </c>
      <c r="K2634" s="140" t="s">
        <v>7023</v>
      </c>
    </row>
    <row r="2635">
      <c r="A2635" s="140" t="s">
        <v>9423</v>
      </c>
      <c r="B2635" s="140" t="s">
        <v>9449</v>
      </c>
      <c r="C2635" s="140" t="s">
        <v>9450</v>
      </c>
      <c r="D2635" s="140" t="s">
        <v>6309</v>
      </c>
      <c r="E2635" s="140">
        <v>0.0</v>
      </c>
      <c r="F2635" s="140" t="s">
        <v>7065</v>
      </c>
      <c r="G2635" s="141" t="s">
        <v>6401</v>
      </c>
      <c r="H2635" s="140" t="s">
        <v>6312</v>
      </c>
      <c r="I2635" s="140" t="s">
        <v>6313</v>
      </c>
      <c r="J2635" s="140" t="s">
        <v>6314</v>
      </c>
      <c r="K2635" s="140" t="s">
        <v>7023</v>
      </c>
    </row>
    <row r="2636">
      <c r="A2636" s="140" t="s">
        <v>9423</v>
      </c>
      <c r="B2636" s="140" t="s">
        <v>9451</v>
      </c>
      <c r="C2636" s="140" t="s">
        <v>9450</v>
      </c>
      <c r="D2636" s="140" t="s">
        <v>6309</v>
      </c>
      <c r="E2636" s="140">
        <v>0.0</v>
      </c>
      <c r="F2636" s="140" t="s">
        <v>7065</v>
      </c>
      <c r="G2636" s="141" t="s">
        <v>6401</v>
      </c>
      <c r="H2636" s="140" t="s">
        <v>6312</v>
      </c>
      <c r="I2636" s="140" t="s">
        <v>6313</v>
      </c>
      <c r="J2636" s="140" t="s">
        <v>6314</v>
      </c>
      <c r="K2636" s="140" t="s">
        <v>7023</v>
      </c>
    </row>
    <row r="2637">
      <c r="A2637" s="140" t="s">
        <v>9423</v>
      </c>
      <c r="B2637" s="140" t="s">
        <v>9452</v>
      </c>
      <c r="C2637" s="140" t="s">
        <v>9453</v>
      </c>
      <c r="D2637" s="140" t="s">
        <v>6309</v>
      </c>
      <c r="E2637" s="140">
        <v>0.0</v>
      </c>
      <c r="F2637" s="140" t="s">
        <v>7065</v>
      </c>
      <c r="G2637" s="141" t="s">
        <v>6401</v>
      </c>
      <c r="H2637" s="140" t="s">
        <v>6312</v>
      </c>
      <c r="I2637" s="140" t="s">
        <v>6313</v>
      </c>
      <c r="J2637" s="140" t="s">
        <v>6314</v>
      </c>
      <c r="K2637" s="140" t="s">
        <v>7023</v>
      </c>
    </row>
    <row r="2638">
      <c r="A2638" s="140" t="s">
        <v>9423</v>
      </c>
      <c r="B2638" s="140" t="s">
        <v>9454</v>
      </c>
      <c r="C2638" s="140" t="s">
        <v>9453</v>
      </c>
      <c r="D2638" s="140" t="s">
        <v>6309</v>
      </c>
      <c r="E2638" s="140">
        <v>0.0</v>
      </c>
      <c r="F2638" s="140" t="s">
        <v>7065</v>
      </c>
      <c r="G2638" s="141" t="s">
        <v>6401</v>
      </c>
      <c r="H2638" s="140" t="s">
        <v>6312</v>
      </c>
      <c r="I2638" s="140" t="s">
        <v>6313</v>
      </c>
      <c r="J2638" s="140" t="s">
        <v>6314</v>
      </c>
      <c r="K2638" s="140" t="s">
        <v>7023</v>
      </c>
    </row>
    <row r="2639">
      <c r="A2639" s="140" t="s">
        <v>9423</v>
      </c>
      <c r="B2639" s="140" t="s">
        <v>9455</v>
      </c>
      <c r="C2639" s="140" t="s">
        <v>9456</v>
      </c>
      <c r="D2639" s="140" t="s">
        <v>6309</v>
      </c>
      <c r="E2639" s="140">
        <v>0.0</v>
      </c>
      <c r="F2639" s="140" t="s">
        <v>7065</v>
      </c>
      <c r="G2639" s="141" t="s">
        <v>6401</v>
      </c>
      <c r="H2639" s="140" t="s">
        <v>6312</v>
      </c>
      <c r="I2639" s="140" t="s">
        <v>6313</v>
      </c>
      <c r="J2639" s="140" t="s">
        <v>6314</v>
      </c>
      <c r="K2639" s="140" t="s">
        <v>7023</v>
      </c>
    </row>
    <row r="2640">
      <c r="A2640" s="140" t="s">
        <v>9423</v>
      </c>
      <c r="B2640" s="140" t="s">
        <v>9457</v>
      </c>
      <c r="C2640" s="140" t="s">
        <v>9458</v>
      </c>
      <c r="D2640" s="140" t="s">
        <v>6309</v>
      </c>
      <c r="E2640" s="140">
        <v>0.0</v>
      </c>
      <c r="F2640" s="140" t="s">
        <v>7065</v>
      </c>
      <c r="G2640" s="141" t="s">
        <v>6401</v>
      </c>
      <c r="H2640" s="140" t="s">
        <v>6312</v>
      </c>
      <c r="I2640" s="140" t="s">
        <v>6313</v>
      </c>
      <c r="J2640" s="140" t="s">
        <v>6314</v>
      </c>
      <c r="K2640" s="140" t="s">
        <v>7023</v>
      </c>
    </row>
    <row r="2641">
      <c r="A2641" s="140" t="s">
        <v>9423</v>
      </c>
      <c r="B2641" s="140" t="s">
        <v>9459</v>
      </c>
      <c r="C2641" s="140" t="s">
        <v>9460</v>
      </c>
      <c r="D2641" s="140" t="s">
        <v>6309</v>
      </c>
      <c r="E2641" s="140">
        <v>0.0</v>
      </c>
      <c r="F2641" s="140" t="s">
        <v>7065</v>
      </c>
      <c r="G2641" s="141" t="s">
        <v>6401</v>
      </c>
      <c r="H2641" s="140" t="s">
        <v>6312</v>
      </c>
      <c r="I2641" s="140" t="s">
        <v>6313</v>
      </c>
      <c r="J2641" s="140" t="s">
        <v>6314</v>
      </c>
      <c r="K2641" s="140" t="s">
        <v>7023</v>
      </c>
    </row>
    <row r="2642">
      <c r="A2642" s="140" t="s">
        <v>9423</v>
      </c>
      <c r="B2642" s="140" t="s">
        <v>4385</v>
      </c>
      <c r="C2642" s="140" t="s">
        <v>9461</v>
      </c>
      <c r="D2642" s="140" t="s">
        <v>6740</v>
      </c>
      <c r="E2642" s="140" t="s">
        <v>6741</v>
      </c>
      <c r="F2642" s="140" t="s">
        <v>7680</v>
      </c>
      <c r="G2642" s="141" t="s">
        <v>6401</v>
      </c>
      <c r="H2642" s="140" t="s">
        <v>6312</v>
      </c>
      <c r="I2642" s="140" t="s">
        <v>6313</v>
      </c>
      <c r="J2642" s="140" t="s">
        <v>6314</v>
      </c>
      <c r="K2642" s="140" t="s">
        <v>7023</v>
      </c>
    </row>
    <row r="2643">
      <c r="A2643" s="140" t="s">
        <v>9462</v>
      </c>
      <c r="B2643" s="140" t="s">
        <v>9463</v>
      </c>
      <c r="C2643" s="140" t="s">
        <v>9464</v>
      </c>
      <c r="D2643" s="140" t="s">
        <v>7347</v>
      </c>
      <c r="E2643" s="140">
        <v>0.0</v>
      </c>
      <c r="F2643" s="140" t="s">
        <v>7348</v>
      </c>
      <c r="G2643" s="141" t="s">
        <v>6401</v>
      </c>
      <c r="H2643" s="140" t="s">
        <v>6312</v>
      </c>
      <c r="I2643" s="140" t="s">
        <v>6313</v>
      </c>
      <c r="J2643" s="140" t="s">
        <v>6314</v>
      </c>
      <c r="K2643" s="140" t="s">
        <v>9070</v>
      </c>
    </row>
    <row r="2644">
      <c r="A2644" s="140" t="s">
        <v>9462</v>
      </c>
      <c r="B2644" s="140" t="s">
        <v>9465</v>
      </c>
      <c r="C2644" s="140" t="s">
        <v>9466</v>
      </c>
      <c r="D2644" s="140" t="s">
        <v>7347</v>
      </c>
      <c r="E2644" s="140">
        <v>0.0</v>
      </c>
      <c r="F2644" s="140" t="s">
        <v>7348</v>
      </c>
      <c r="G2644" s="141" t="s">
        <v>6401</v>
      </c>
      <c r="H2644" s="140" t="s">
        <v>6312</v>
      </c>
      <c r="I2644" s="140" t="s">
        <v>6313</v>
      </c>
      <c r="J2644" s="140" t="s">
        <v>6314</v>
      </c>
      <c r="K2644" s="140" t="s">
        <v>9070</v>
      </c>
    </row>
    <row r="2645">
      <c r="A2645" s="140" t="s">
        <v>9462</v>
      </c>
      <c r="B2645" s="140" t="s">
        <v>4370</v>
      </c>
      <c r="C2645" s="140" t="s">
        <v>9467</v>
      </c>
      <c r="D2645" s="140" t="s">
        <v>7347</v>
      </c>
      <c r="E2645" s="140">
        <v>0.0</v>
      </c>
      <c r="F2645" s="140" t="s">
        <v>7348</v>
      </c>
      <c r="G2645" s="141" t="s">
        <v>6401</v>
      </c>
      <c r="H2645" s="140" t="s">
        <v>6312</v>
      </c>
      <c r="I2645" s="140" t="s">
        <v>6313</v>
      </c>
      <c r="J2645" s="140" t="s">
        <v>6314</v>
      </c>
      <c r="K2645" s="140" t="s">
        <v>9070</v>
      </c>
    </row>
    <row r="2646">
      <c r="A2646" s="140" t="s">
        <v>9462</v>
      </c>
      <c r="B2646" s="140" t="s">
        <v>9468</v>
      </c>
      <c r="C2646" s="140" t="s">
        <v>9469</v>
      </c>
      <c r="D2646" s="140" t="s">
        <v>7347</v>
      </c>
      <c r="E2646" s="140">
        <v>0.0</v>
      </c>
      <c r="F2646" s="140" t="s">
        <v>7348</v>
      </c>
      <c r="G2646" s="141" t="s">
        <v>6401</v>
      </c>
      <c r="H2646" s="140" t="s">
        <v>6312</v>
      </c>
      <c r="I2646" s="140" t="s">
        <v>6313</v>
      </c>
      <c r="J2646" s="140" t="s">
        <v>6314</v>
      </c>
      <c r="K2646" s="140" t="s">
        <v>9070</v>
      </c>
    </row>
    <row r="2647">
      <c r="A2647" s="140" t="s">
        <v>9462</v>
      </c>
      <c r="B2647" s="140" t="s">
        <v>9470</v>
      </c>
      <c r="C2647" s="140" t="s">
        <v>9471</v>
      </c>
      <c r="D2647" s="140" t="s">
        <v>7347</v>
      </c>
      <c r="E2647" s="140">
        <v>0.0</v>
      </c>
      <c r="F2647" s="140" t="s">
        <v>7348</v>
      </c>
      <c r="G2647" s="141" t="s">
        <v>6401</v>
      </c>
      <c r="H2647" s="140" t="s">
        <v>6312</v>
      </c>
      <c r="I2647" s="140" t="s">
        <v>6313</v>
      </c>
      <c r="J2647" s="140" t="s">
        <v>6314</v>
      </c>
      <c r="K2647" s="140" t="s">
        <v>9070</v>
      </c>
    </row>
    <row r="2648">
      <c r="A2648" s="140" t="s">
        <v>9462</v>
      </c>
      <c r="B2648" s="140" t="s">
        <v>9472</v>
      </c>
      <c r="C2648" s="140" t="s">
        <v>9473</v>
      </c>
      <c r="D2648" s="140" t="s">
        <v>7347</v>
      </c>
      <c r="E2648" s="140">
        <v>0.0</v>
      </c>
      <c r="F2648" s="140" t="s">
        <v>7348</v>
      </c>
      <c r="G2648" s="141" t="s">
        <v>6401</v>
      </c>
      <c r="H2648" s="140" t="s">
        <v>6312</v>
      </c>
      <c r="I2648" s="140" t="s">
        <v>6313</v>
      </c>
      <c r="J2648" s="140" t="s">
        <v>6314</v>
      </c>
      <c r="K2648" s="140" t="s">
        <v>9070</v>
      </c>
    </row>
    <row r="2649">
      <c r="A2649" s="140" t="s">
        <v>9462</v>
      </c>
      <c r="B2649" s="140" t="s">
        <v>9474</v>
      </c>
      <c r="C2649" s="140" t="s">
        <v>9475</v>
      </c>
      <c r="D2649" s="140" t="s">
        <v>7347</v>
      </c>
      <c r="E2649" s="140">
        <v>0.0</v>
      </c>
      <c r="F2649" s="140" t="s">
        <v>7348</v>
      </c>
      <c r="G2649" s="141" t="s">
        <v>6401</v>
      </c>
      <c r="H2649" s="140" t="s">
        <v>6312</v>
      </c>
      <c r="I2649" s="140" t="s">
        <v>6313</v>
      </c>
      <c r="J2649" s="140" t="s">
        <v>6314</v>
      </c>
      <c r="K2649" s="140" t="s">
        <v>9070</v>
      </c>
    </row>
    <row r="2650">
      <c r="A2650" s="140" t="s">
        <v>9462</v>
      </c>
      <c r="B2650" s="140" t="s">
        <v>9476</v>
      </c>
      <c r="C2650" s="140" t="s">
        <v>9477</v>
      </c>
      <c r="D2650" s="140" t="s">
        <v>7347</v>
      </c>
      <c r="E2650" s="140">
        <v>0.0</v>
      </c>
      <c r="F2650" s="140" t="s">
        <v>7348</v>
      </c>
      <c r="G2650" s="141" t="s">
        <v>6401</v>
      </c>
      <c r="H2650" s="140" t="s">
        <v>6312</v>
      </c>
      <c r="I2650" s="140" t="s">
        <v>6313</v>
      </c>
      <c r="J2650" s="140" t="s">
        <v>6314</v>
      </c>
      <c r="K2650" s="140" t="s">
        <v>9070</v>
      </c>
    </row>
    <row r="2651">
      <c r="A2651" s="140" t="s">
        <v>9462</v>
      </c>
      <c r="B2651" s="140" t="s">
        <v>9478</v>
      </c>
      <c r="C2651" s="140" t="s">
        <v>9479</v>
      </c>
      <c r="D2651" s="140" t="s">
        <v>7347</v>
      </c>
      <c r="E2651" s="140">
        <v>0.0</v>
      </c>
      <c r="F2651" s="140" t="s">
        <v>7348</v>
      </c>
      <c r="G2651" s="141" t="s">
        <v>6401</v>
      </c>
      <c r="H2651" s="140" t="s">
        <v>6312</v>
      </c>
      <c r="I2651" s="140" t="s">
        <v>6313</v>
      </c>
      <c r="J2651" s="140" t="s">
        <v>6314</v>
      </c>
      <c r="K2651" s="140" t="s">
        <v>9070</v>
      </c>
    </row>
    <row r="2652">
      <c r="A2652" s="140" t="s">
        <v>9462</v>
      </c>
      <c r="B2652" s="140" t="s">
        <v>9480</v>
      </c>
      <c r="C2652" s="140" t="s">
        <v>9481</v>
      </c>
      <c r="D2652" s="140" t="s">
        <v>7347</v>
      </c>
      <c r="E2652" s="140">
        <v>0.0</v>
      </c>
      <c r="F2652" s="140" t="s">
        <v>7348</v>
      </c>
      <c r="G2652" s="141" t="s">
        <v>6401</v>
      </c>
      <c r="H2652" s="140" t="s">
        <v>6312</v>
      </c>
      <c r="I2652" s="140" t="s">
        <v>6313</v>
      </c>
      <c r="J2652" s="140" t="s">
        <v>6314</v>
      </c>
      <c r="K2652" s="140" t="s">
        <v>9070</v>
      </c>
    </row>
    <row r="2653">
      <c r="A2653" s="140" t="s">
        <v>9462</v>
      </c>
      <c r="B2653" s="140" t="s">
        <v>5170</v>
      </c>
      <c r="C2653" s="140" t="s">
        <v>9482</v>
      </c>
      <c r="D2653" s="140" t="s">
        <v>7347</v>
      </c>
      <c r="E2653" s="140">
        <v>0.0</v>
      </c>
      <c r="F2653" s="140" t="s">
        <v>7348</v>
      </c>
      <c r="G2653" s="141" t="s">
        <v>6401</v>
      </c>
      <c r="H2653" s="140" t="s">
        <v>6312</v>
      </c>
      <c r="I2653" s="140" t="s">
        <v>6313</v>
      </c>
      <c r="J2653" s="140" t="s">
        <v>6314</v>
      </c>
      <c r="K2653" s="140" t="s">
        <v>9070</v>
      </c>
    </row>
    <row r="2654">
      <c r="A2654" s="140" t="s">
        <v>9462</v>
      </c>
      <c r="B2654" s="140" t="s">
        <v>9483</v>
      </c>
      <c r="C2654" s="140" t="s">
        <v>9484</v>
      </c>
      <c r="D2654" s="140" t="s">
        <v>7347</v>
      </c>
      <c r="E2654" s="140">
        <v>0.0</v>
      </c>
      <c r="F2654" s="140" t="s">
        <v>7348</v>
      </c>
      <c r="G2654" s="141" t="s">
        <v>6401</v>
      </c>
      <c r="H2654" s="140" t="s">
        <v>6312</v>
      </c>
      <c r="I2654" s="140" t="s">
        <v>6313</v>
      </c>
      <c r="J2654" s="140" t="s">
        <v>6314</v>
      </c>
      <c r="K2654" s="140" t="s">
        <v>9070</v>
      </c>
    </row>
    <row r="2655">
      <c r="A2655" s="140" t="s">
        <v>9462</v>
      </c>
      <c r="B2655" s="140" t="s">
        <v>9485</v>
      </c>
      <c r="C2655" s="140" t="s">
        <v>9486</v>
      </c>
      <c r="D2655" s="140" t="s">
        <v>7347</v>
      </c>
      <c r="E2655" s="140">
        <v>0.0</v>
      </c>
      <c r="F2655" s="140" t="s">
        <v>7348</v>
      </c>
      <c r="G2655" s="141" t="s">
        <v>6401</v>
      </c>
      <c r="H2655" s="140" t="s">
        <v>6312</v>
      </c>
      <c r="I2655" s="140" t="s">
        <v>6313</v>
      </c>
      <c r="J2655" s="140" t="s">
        <v>6314</v>
      </c>
      <c r="K2655" s="140" t="s">
        <v>9070</v>
      </c>
    </row>
    <row r="2656">
      <c r="A2656" s="140" t="s">
        <v>9462</v>
      </c>
      <c r="B2656" s="140" t="s">
        <v>9487</v>
      </c>
      <c r="C2656" s="140" t="s">
        <v>9488</v>
      </c>
      <c r="D2656" s="140" t="s">
        <v>7347</v>
      </c>
      <c r="E2656" s="140">
        <v>0.0</v>
      </c>
      <c r="F2656" s="140" t="s">
        <v>7348</v>
      </c>
      <c r="G2656" s="141" t="s">
        <v>6401</v>
      </c>
      <c r="H2656" s="140" t="s">
        <v>6312</v>
      </c>
      <c r="I2656" s="140" t="s">
        <v>6313</v>
      </c>
      <c r="J2656" s="140" t="s">
        <v>6314</v>
      </c>
      <c r="K2656" s="140" t="s">
        <v>9070</v>
      </c>
    </row>
    <row r="2657">
      <c r="A2657" s="140" t="s">
        <v>9462</v>
      </c>
      <c r="B2657" s="140" t="s">
        <v>9489</v>
      </c>
      <c r="C2657" s="140" t="s">
        <v>9490</v>
      </c>
      <c r="D2657" s="140" t="s">
        <v>7347</v>
      </c>
      <c r="E2657" s="140">
        <v>0.0</v>
      </c>
      <c r="F2657" s="140" t="s">
        <v>7348</v>
      </c>
      <c r="G2657" s="141" t="s">
        <v>6401</v>
      </c>
      <c r="H2657" s="140" t="s">
        <v>6312</v>
      </c>
      <c r="I2657" s="140" t="s">
        <v>6313</v>
      </c>
      <c r="J2657" s="140" t="s">
        <v>6314</v>
      </c>
      <c r="K2657" s="140" t="s">
        <v>9070</v>
      </c>
    </row>
    <row r="2658">
      <c r="A2658" s="140" t="s">
        <v>9462</v>
      </c>
      <c r="B2658" s="140" t="s">
        <v>9491</v>
      </c>
      <c r="C2658" s="140" t="s">
        <v>9492</v>
      </c>
      <c r="D2658" s="140" t="s">
        <v>7347</v>
      </c>
      <c r="E2658" s="140">
        <v>0.0</v>
      </c>
      <c r="F2658" s="140" t="s">
        <v>7348</v>
      </c>
      <c r="G2658" s="141" t="s">
        <v>6401</v>
      </c>
      <c r="H2658" s="140" t="s">
        <v>6312</v>
      </c>
      <c r="I2658" s="140" t="s">
        <v>6313</v>
      </c>
      <c r="J2658" s="140" t="s">
        <v>6314</v>
      </c>
      <c r="K2658" s="140" t="s">
        <v>9070</v>
      </c>
    </row>
    <row r="2659">
      <c r="A2659" s="140" t="s">
        <v>9462</v>
      </c>
      <c r="B2659" s="140" t="s">
        <v>9493</v>
      </c>
      <c r="C2659" s="140" t="s">
        <v>9494</v>
      </c>
      <c r="D2659" s="140" t="s">
        <v>7347</v>
      </c>
      <c r="E2659" s="140">
        <v>0.0</v>
      </c>
      <c r="F2659" s="140" t="s">
        <v>7348</v>
      </c>
      <c r="G2659" s="141" t="s">
        <v>6401</v>
      </c>
      <c r="H2659" s="140" t="s">
        <v>6312</v>
      </c>
      <c r="I2659" s="140" t="s">
        <v>6313</v>
      </c>
      <c r="J2659" s="140" t="s">
        <v>6314</v>
      </c>
      <c r="K2659" s="140" t="s">
        <v>9070</v>
      </c>
    </row>
    <row r="2660">
      <c r="A2660" s="140" t="s">
        <v>9462</v>
      </c>
      <c r="B2660" s="140" t="s">
        <v>5471</v>
      </c>
      <c r="C2660" s="140" t="s">
        <v>9495</v>
      </c>
      <c r="D2660" s="140" t="s">
        <v>7347</v>
      </c>
      <c r="E2660" s="140">
        <v>0.0</v>
      </c>
      <c r="F2660" s="140" t="s">
        <v>7348</v>
      </c>
      <c r="G2660" s="141" t="s">
        <v>6401</v>
      </c>
      <c r="H2660" s="140" t="s">
        <v>6312</v>
      </c>
      <c r="I2660" s="140" t="s">
        <v>6313</v>
      </c>
      <c r="J2660" s="140" t="s">
        <v>6314</v>
      </c>
      <c r="K2660" s="140" t="s">
        <v>9070</v>
      </c>
    </row>
    <row r="2661">
      <c r="A2661" s="140" t="s">
        <v>9462</v>
      </c>
      <c r="B2661" s="140" t="s">
        <v>9496</v>
      </c>
      <c r="C2661" s="140" t="s">
        <v>9497</v>
      </c>
      <c r="D2661" s="140" t="s">
        <v>7347</v>
      </c>
      <c r="E2661" s="140" t="s">
        <v>7770</v>
      </c>
      <c r="F2661" s="140" t="s">
        <v>9498</v>
      </c>
      <c r="G2661" s="141" t="s">
        <v>6401</v>
      </c>
      <c r="H2661" s="140" t="s">
        <v>6312</v>
      </c>
      <c r="I2661" s="140" t="s">
        <v>6313</v>
      </c>
      <c r="J2661" s="140" t="s">
        <v>6314</v>
      </c>
      <c r="K2661" s="140" t="s">
        <v>9070</v>
      </c>
    </row>
    <row r="2662">
      <c r="A2662" s="140" t="s">
        <v>9462</v>
      </c>
      <c r="B2662" s="140" t="s">
        <v>9499</v>
      </c>
      <c r="C2662" s="140" t="s">
        <v>9500</v>
      </c>
      <c r="D2662" s="140" t="s">
        <v>7347</v>
      </c>
      <c r="E2662" s="140" t="s">
        <v>7770</v>
      </c>
      <c r="F2662" s="140" t="s">
        <v>9498</v>
      </c>
      <c r="G2662" s="141" t="s">
        <v>6401</v>
      </c>
      <c r="H2662" s="140" t="s">
        <v>6312</v>
      </c>
      <c r="I2662" s="140" t="s">
        <v>6313</v>
      </c>
      <c r="J2662" s="140" t="s">
        <v>6314</v>
      </c>
      <c r="K2662" s="140" t="s">
        <v>9070</v>
      </c>
    </row>
    <row r="2663">
      <c r="A2663" s="140" t="s">
        <v>9462</v>
      </c>
      <c r="B2663" s="140" t="s">
        <v>9501</v>
      </c>
      <c r="C2663" s="140" t="s">
        <v>9502</v>
      </c>
      <c r="D2663" s="140" t="s">
        <v>7347</v>
      </c>
      <c r="E2663" s="140" t="s">
        <v>7770</v>
      </c>
      <c r="F2663" s="140" t="s">
        <v>9498</v>
      </c>
      <c r="G2663" s="141" t="s">
        <v>6401</v>
      </c>
      <c r="H2663" s="140" t="s">
        <v>6312</v>
      </c>
      <c r="I2663" s="140" t="s">
        <v>6313</v>
      </c>
      <c r="J2663" s="140" t="s">
        <v>6314</v>
      </c>
      <c r="K2663" s="140" t="s">
        <v>9070</v>
      </c>
    </row>
    <row r="2664">
      <c r="A2664" s="140" t="s">
        <v>9462</v>
      </c>
      <c r="B2664" s="140" t="s">
        <v>9503</v>
      </c>
      <c r="C2664" s="140" t="s">
        <v>9504</v>
      </c>
      <c r="D2664" s="140" t="s">
        <v>7347</v>
      </c>
      <c r="E2664" s="140" t="s">
        <v>7770</v>
      </c>
      <c r="F2664" s="140" t="s">
        <v>9498</v>
      </c>
      <c r="G2664" s="141" t="s">
        <v>6401</v>
      </c>
      <c r="H2664" s="140" t="s">
        <v>6312</v>
      </c>
      <c r="I2664" s="140" t="s">
        <v>6313</v>
      </c>
      <c r="J2664" s="140" t="s">
        <v>6314</v>
      </c>
      <c r="K2664" s="140" t="s">
        <v>9070</v>
      </c>
    </row>
    <row r="2665">
      <c r="A2665" s="140" t="s">
        <v>9462</v>
      </c>
      <c r="B2665" s="140" t="s">
        <v>9505</v>
      </c>
      <c r="C2665" s="140" t="s">
        <v>9506</v>
      </c>
      <c r="D2665" s="140" t="s">
        <v>7347</v>
      </c>
      <c r="E2665" s="140" t="s">
        <v>7770</v>
      </c>
      <c r="F2665" s="140" t="s">
        <v>9498</v>
      </c>
      <c r="G2665" s="141" t="s">
        <v>6401</v>
      </c>
      <c r="H2665" s="140" t="s">
        <v>6312</v>
      </c>
      <c r="I2665" s="140" t="s">
        <v>6313</v>
      </c>
      <c r="J2665" s="140" t="s">
        <v>6314</v>
      </c>
      <c r="K2665" s="140" t="s">
        <v>9070</v>
      </c>
    </row>
    <row r="2666">
      <c r="A2666" s="140" t="s">
        <v>9462</v>
      </c>
      <c r="B2666" s="140" t="s">
        <v>9507</v>
      </c>
      <c r="C2666" s="140" t="s">
        <v>9508</v>
      </c>
      <c r="D2666" s="140" t="s">
        <v>7347</v>
      </c>
      <c r="E2666" s="140" t="s">
        <v>7770</v>
      </c>
      <c r="F2666" s="140" t="s">
        <v>9498</v>
      </c>
      <c r="G2666" s="141" t="s">
        <v>6401</v>
      </c>
      <c r="H2666" s="140" t="s">
        <v>6312</v>
      </c>
      <c r="I2666" s="140" t="s">
        <v>6313</v>
      </c>
      <c r="J2666" s="140" t="s">
        <v>6314</v>
      </c>
      <c r="K2666" s="140" t="s">
        <v>9070</v>
      </c>
    </row>
    <row r="2667">
      <c r="A2667" s="140" t="s">
        <v>9462</v>
      </c>
      <c r="B2667" s="140" t="s">
        <v>9509</v>
      </c>
      <c r="C2667" s="140" t="s">
        <v>9510</v>
      </c>
      <c r="D2667" s="140" t="s">
        <v>7347</v>
      </c>
      <c r="E2667" s="140" t="s">
        <v>7770</v>
      </c>
      <c r="F2667" s="140" t="s">
        <v>9498</v>
      </c>
      <c r="G2667" s="141" t="s">
        <v>6401</v>
      </c>
      <c r="H2667" s="140" t="s">
        <v>6312</v>
      </c>
      <c r="I2667" s="140" t="s">
        <v>6313</v>
      </c>
      <c r="J2667" s="140" t="s">
        <v>6314</v>
      </c>
      <c r="K2667" s="140" t="s">
        <v>9070</v>
      </c>
    </row>
    <row r="2668">
      <c r="A2668" s="140" t="s">
        <v>9462</v>
      </c>
      <c r="B2668" s="140" t="s">
        <v>9511</v>
      </c>
      <c r="C2668" s="140" t="s">
        <v>9512</v>
      </c>
      <c r="D2668" s="140" t="s">
        <v>7347</v>
      </c>
      <c r="E2668" s="140" t="s">
        <v>7770</v>
      </c>
      <c r="F2668" s="140" t="s">
        <v>9498</v>
      </c>
      <c r="G2668" s="141" t="s">
        <v>6401</v>
      </c>
      <c r="H2668" s="140" t="s">
        <v>6312</v>
      </c>
      <c r="I2668" s="140" t="s">
        <v>6313</v>
      </c>
      <c r="J2668" s="140" t="s">
        <v>6314</v>
      </c>
      <c r="K2668" s="140" t="s">
        <v>9070</v>
      </c>
    </row>
    <row r="2669">
      <c r="A2669" s="140" t="s">
        <v>9462</v>
      </c>
      <c r="B2669" s="140" t="s">
        <v>9513</v>
      </c>
      <c r="C2669" s="140" t="s">
        <v>9514</v>
      </c>
      <c r="D2669" s="140" t="s">
        <v>7347</v>
      </c>
      <c r="E2669" s="140" t="s">
        <v>7770</v>
      </c>
      <c r="F2669" s="140" t="s">
        <v>9498</v>
      </c>
      <c r="G2669" s="141" t="s">
        <v>6401</v>
      </c>
      <c r="H2669" s="140" t="s">
        <v>6312</v>
      </c>
      <c r="I2669" s="140" t="s">
        <v>6313</v>
      </c>
      <c r="J2669" s="140" t="s">
        <v>6314</v>
      </c>
      <c r="K2669" s="140" t="s">
        <v>9070</v>
      </c>
    </row>
    <row r="2670">
      <c r="A2670" s="140" t="s">
        <v>9462</v>
      </c>
      <c r="B2670" s="140" t="s">
        <v>4640</v>
      </c>
      <c r="C2670" s="140" t="s">
        <v>9515</v>
      </c>
      <c r="D2670" s="140" t="s">
        <v>7347</v>
      </c>
      <c r="E2670" s="140" t="s">
        <v>7770</v>
      </c>
      <c r="F2670" s="140" t="s">
        <v>9498</v>
      </c>
      <c r="G2670" s="141" t="s">
        <v>6401</v>
      </c>
      <c r="H2670" s="140" t="s">
        <v>6312</v>
      </c>
      <c r="I2670" s="140" t="s">
        <v>6313</v>
      </c>
      <c r="J2670" s="140" t="s">
        <v>6314</v>
      </c>
      <c r="K2670" s="140" t="s">
        <v>9070</v>
      </c>
    </row>
    <row r="2671">
      <c r="A2671" s="140" t="s">
        <v>9462</v>
      </c>
      <c r="B2671" s="140" t="s">
        <v>9516</v>
      </c>
      <c r="C2671" s="140" t="s">
        <v>9517</v>
      </c>
      <c r="D2671" s="140" t="s">
        <v>7347</v>
      </c>
      <c r="E2671" s="140" t="s">
        <v>7770</v>
      </c>
      <c r="F2671" s="140" t="s">
        <v>9498</v>
      </c>
      <c r="G2671" s="141" t="s">
        <v>6401</v>
      </c>
      <c r="H2671" s="140" t="s">
        <v>6312</v>
      </c>
      <c r="I2671" s="140" t="s">
        <v>6313</v>
      </c>
      <c r="J2671" s="140" t="s">
        <v>6314</v>
      </c>
      <c r="K2671" s="140" t="s">
        <v>9070</v>
      </c>
    </row>
    <row r="2672">
      <c r="A2672" s="140" t="s">
        <v>9462</v>
      </c>
      <c r="B2672" s="140" t="s">
        <v>9518</v>
      </c>
      <c r="C2672" s="140" t="s">
        <v>9519</v>
      </c>
      <c r="D2672" s="140" t="s">
        <v>7347</v>
      </c>
      <c r="E2672" s="140" t="s">
        <v>7770</v>
      </c>
      <c r="F2672" s="140" t="s">
        <v>9498</v>
      </c>
      <c r="G2672" s="141" t="s">
        <v>6401</v>
      </c>
      <c r="H2672" s="140" t="s">
        <v>6312</v>
      </c>
      <c r="I2672" s="140" t="s">
        <v>6313</v>
      </c>
      <c r="J2672" s="140" t="s">
        <v>6314</v>
      </c>
      <c r="K2672" s="140" t="s">
        <v>9070</v>
      </c>
    </row>
    <row r="2673">
      <c r="A2673" s="140" t="s">
        <v>9462</v>
      </c>
      <c r="B2673" s="140" t="s">
        <v>9520</v>
      </c>
      <c r="C2673" s="140" t="s">
        <v>9521</v>
      </c>
      <c r="D2673" s="140" t="s">
        <v>7347</v>
      </c>
      <c r="E2673" s="140" t="s">
        <v>9522</v>
      </c>
      <c r="F2673" s="140" t="s">
        <v>9523</v>
      </c>
      <c r="G2673" s="141" t="s">
        <v>6401</v>
      </c>
      <c r="H2673" s="140" t="s">
        <v>6312</v>
      </c>
      <c r="I2673" s="140" t="s">
        <v>6313</v>
      </c>
      <c r="J2673" s="140" t="s">
        <v>6314</v>
      </c>
      <c r="K2673" s="140" t="s">
        <v>9070</v>
      </c>
    </row>
    <row r="2674">
      <c r="A2674" s="140" t="s">
        <v>9524</v>
      </c>
      <c r="B2674" s="140" t="s">
        <v>9525</v>
      </c>
      <c r="C2674" s="140" t="s">
        <v>9526</v>
      </c>
      <c r="D2674" s="140" t="s">
        <v>6740</v>
      </c>
      <c r="E2674" s="140" t="s">
        <v>6741</v>
      </c>
      <c r="F2674" s="140" t="s">
        <v>7680</v>
      </c>
      <c r="G2674" s="141" t="s">
        <v>6401</v>
      </c>
      <c r="H2674" s="140" t="s">
        <v>6312</v>
      </c>
      <c r="I2674" s="140" t="s">
        <v>6313</v>
      </c>
      <c r="J2674" s="140" t="s">
        <v>6314</v>
      </c>
      <c r="K2674" s="140" t="s">
        <v>7023</v>
      </c>
    </row>
    <row r="2675">
      <c r="A2675" s="140" t="s">
        <v>9524</v>
      </c>
      <c r="B2675" s="140" t="s">
        <v>9527</v>
      </c>
      <c r="C2675" s="140" t="s">
        <v>9528</v>
      </c>
      <c r="D2675" s="140" t="s">
        <v>6740</v>
      </c>
      <c r="E2675" s="140" t="s">
        <v>6741</v>
      </c>
      <c r="F2675" s="140" t="s">
        <v>7680</v>
      </c>
      <c r="G2675" s="141" t="s">
        <v>6401</v>
      </c>
      <c r="H2675" s="140" t="s">
        <v>6312</v>
      </c>
      <c r="I2675" s="140" t="s">
        <v>6313</v>
      </c>
      <c r="J2675" s="140" t="s">
        <v>6314</v>
      </c>
      <c r="K2675" s="140" t="s">
        <v>7023</v>
      </c>
    </row>
    <row r="2676">
      <c r="A2676" s="140" t="s">
        <v>9524</v>
      </c>
      <c r="B2676" s="140" t="s">
        <v>9529</v>
      </c>
      <c r="C2676" s="140" t="s">
        <v>9530</v>
      </c>
      <c r="D2676" s="140" t="s">
        <v>6740</v>
      </c>
      <c r="E2676" s="140" t="s">
        <v>6741</v>
      </c>
      <c r="F2676" s="140" t="s">
        <v>7680</v>
      </c>
      <c r="G2676" s="141" t="s">
        <v>6401</v>
      </c>
      <c r="H2676" s="140" t="s">
        <v>6312</v>
      </c>
      <c r="I2676" s="140" t="s">
        <v>6313</v>
      </c>
      <c r="J2676" s="140" t="s">
        <v>6314</v>
      </c>
      <c r="K2676" s="140" t="s">
        <v>7023</v>
      </c>
    </row>
    <row r="2677">
      <c r="A2677" s="140" t="s">
        <v>9524</v>
      </c>
      <c r="B2677" s="140" t="s">
        <v>9531</v>
      </c>
      <c r="C2677" s="140" t="s">
        <v>9532</v>
      </c>
      <c r="D2677" s="140" t="s">
        <v>6740</v>
      </c>
      <c r="E2677" s="140" t="s">
        <v>6741</v>
      </c>
      <c r="F2677" s="140" t="s">
        <v>7680</v>
      </c>
      <c r="G2677" s="141" t="s">
        <v>6401</v>
      </c>
      <c r="H2677" s="140" t="s">
        <v>6312</v>
      </c>
      <c r="I2677" s="140" t="s">
        <v>6313</v>
      </c>
      <c r="J2677" s="140" t="s">
        <v>6314</v>
      </c>
      <c r="K2677" s="140" t="s">
        <v>7023</v>
      </c>
    </row>
    <row r="2678">
      <c r="A2678" s="140" t="s">
        <v>9524</v>
      </c>
      <c r="B2678" s="140" t="s">
        <v>9533</v>
      </c>
      <c r="C2678" s="140" t="s">
        <v>9534</v>
      </c>
      <c r="D2678" s="140" t="s">
        <v>6740</v>
      </c>
      <c r="E2678" s="140" t="s">
        <v>6741</v>
      </c>
      <c r="F2678" s="140" t="s">
        <v>7680</v>
      </c>
      <c r="G2678" s="141" t="s">
        <v>6401</v>
      </c>
      <c r="H2678" s="140" t="s">
        <v>6312</v>
      </c>
      <c r="I2678" s="140" t="s">
        <v>6313</v>
      </c>
      <c r="J2678" s="140" t="s">
        <v>6314</v>
      </c>
      <c r="K2678" s="140" t="s">
        <v>7023</v>
      </c>
    </row>
    <row r="2679">
      <c r="A2679" s="140" t="s">
        <v>9524</v>
      </c>
      <c r="B2679" s="140" t="s">
        <v>9535</v>
      </c>
      <c r="C2679" s="140" t="s">
        <v>9536</v>
      </c>
      <c r="D2679" s="140" t="s">
        <v>6740</v>
      </c>
      <c r="E2679" s="140" t="s">
        <v>6741</v>
      </c>
      <c r="F2679" s="140" t="s">
        <v>7680</v>
      </c>
      <c r="G2679" s="141" t="s">
        <v>6401</v>
      </c>
      <c r="H2679" s="140" t="s">
        <v>6312</v>
      </c>
      <c r="I2679" s="140" t="s">
        <v>6313</v>
      </c>
      <c r="J2679" s="140" t="s">
        <v>6314</v>
      </c>
      <c r="K2679" s="140" t="s">
        <v>7023</v>
      </c>
    </row>
    <row r="2680">
      <c r="A2680" s="140" t="s">
        <v>9524</v>
      </c>
      <c r="B2680" s="140" t="s">
        <v>9537</v>
      </c>
      <c r="C2680" s="140" t="s">
        <v>9538</v>
      </c>
      <c r="D2680" s="140" t="s">
        <v>6740</v>
      </c>
      <c r="E2680" s="140" t="s">
        <v>6741</v>
      </c>
      <c r="F2680" s="140" t="s">
        <v>7680</v>
      </c>
      <c r="G2680" s="141" t="s">
        <v>6401</v>
      </c>
      <c r="H2680" s="140" t="s">
        <v>6312</v>
      </c>
      <c r="I2680" s="140" t="s">
        <v>6313</v>
      </c>
      <c r="J2680" s="140" t="s">
        <v>6314</v>
      </c>
      <c r="K2680" s="140" t="s">
        <v>7023</v>
      </c>
    </row>
    <row r="2681">
      <c r="A2681" s="140" t="s">
        <v>9524</v>
      </c>
      <c r="B2681" s="140" t="s">
        <v>9539</v>
      </c>
      <c r="C2681" s="140" t="s">
        <v>9540</v>
      </c>
      <c r="D2681" s="140" t="s">
        <v>6740</v>
      </c>
      <c r="E2681" s="140" t="s">
        <v>6741</v>
      </c>
      <c r="F2681" s="140" t="s">
        <v>7680</v>
      </c>
      <c r="G2681" s="141" t="s">
        <v>6401</v>
      </c>
      <c r="H2681" s="140" t="s">
        <v>6312</v>
      </c>
      <c r="I2681" s="140" t="s">
        <v>6313</v>
      </c>
      <c r="J2681" s="140" t="s">
        <v>6314</v>
      </c>
      <c r="K2681" s="140" t="s">
        <v>7023</v>
      </c>
    </row>
    <row r="2682">
      <c r="A2682" s="140" t="s">
        <v>9524</v>
      </c>
      <c r="B2682" s="140" t="s">
        <v>9541</v>
      </c>
      <c r="C2682" s="140" t="s">
        <v>9542</v>
      </c>
      <c r="D2682" s="140" t="s">
        <v>6740</v>
      </c>
      <c r="E2682" s="140" t="s">
        <v>6741</v>
      </c>
      <c r="F2682" s="140" t="s">
        <v>7680</v>
      </c>
      <c r="G2682" s="141" t="s">
        <v>6401</v>
      </c>
      <c r="H2682" s="140" t="s">
        <v>6312</v>
      </c>
      <c r="I2682" s="140" t="s">
        <v>6313</v>
      </c>
      <c r="J2682" s="140" t="s">
        <v>6314</v>
      </c>
      <c r="K2682" s="140" t="s">
        <v>7023</v>
      </c>
    </row>
    <row r="2683">
      <c r="A2683" s="140" t="s">
        <v>9524</v>
      </c>
      <c r="B2683" s="140" t="s">
        <v>9543</v>
      </c>
      <c r="C2683" s="140" t="s">
        <v>9544</v>
      </c>
      <c r="D2683" s="140" t="s">
        <v>6740</v>
      </c>
      <c r="E2683" s="140" t="s">
        <v>6741</v>
      </c>
      <c r="F2683" s="140" t="s">
        <v>7680</v>
      </c>
      <c r="G2683" s="141" t="s">
        <v>6401</v>
      </c>
      <c r="H2683" s="140" t="s">
        <v>6312</v>
      </c>
      <c r="I2683" s="140" t="s">
        <v>6313</v>
      </c>
      <c r="J2683" s="140" t="s">
        <v>6314</v>
      </c>
      <c r="K2683" s="140" t="s">
        <v>7023</v>
      </c>
    </row>
    <row r="2684">
      <c r="A2684" s="140" t="s">
        <v>9524</v>
      </c>
      <c r="B2684" s="140" t="s">
        <v>9545</v>
      </c>
      <c r="C2684" s="140" t="s">
        <v>9546</v>
      </c>
      <c r="D2684" s="140" t="s">
        <v>6740</v>
      </c>
      <c r="E2684" s="140" t="s">
        <v>6741</v>
      </c>
      <c r="F2684" s="140" t="s">
        <v>7680</v>
      </c>
      <c r="G2684" s="141" t="s">
        <v>6401</v>
      </c>
      <c r="H2684" s="140" t="s">
        <v>6312</v>
      </c>
      <c r="I2684" s="140" t="s">
        <v>6313</v>
      </c>
      <c r="J2684" s="140" t="s">
        <v>6314</v>
      </c>
      <c r="K2684" s="140" t="s">
        <v>7023</v>
      </c>
    </row>
    <row r="2685">
      <c r="A2685" s="140" t="s">
        <v>9524</v>
      </c>
      <c r="B2685" s="140" t="s">
        <v>5180</v>
      </c>
      <c r="C2685" s="140" t="s">
        <v>9547</v>
      </c>
      <c r="D2685" s="140" t="s">
        <v>6740</v>
      </c>
      <c r="E2685" s="140" t="s">
        <v>6741</v>
      </c>
      <c r="F2685" s="140" t="s">
        <v>7680</v>
      </c>
      <c r="G2685" s="141" t="s">
        <v>6401</v>
      </c>
      <c r="H2685" s="140" t="s">
        <v>6312</v>
      </c>
      <c r="I2685" s="140" t="s">
        <v>6313</v>
      </c>
      <c r="J2685" s="140" t="s">
        <v>6314</v>
      </c>
      <c r="K2685" s="140" t="s">
        <v>7023</v>
      </c>
    </row>
    <row r="2686">
      <c r="A2686" s="140" t="s">
        <v>9524</v>
      </c>
      <c r="B2686" s="140" t="s">
        <v>5178</v>
      </c>
      <c r="C2686" s="140" t="s">
        <v>9548</v>
      </c>
      <c r="D2686" s="140" t="s">
        <v>6740</v>
      </c>
      <c r="E2686" s="140" t="s">
        <v>6741</v>
      </c>
      <c r="F2686" s="140" t="s">
        <v>7680</v>
      </c>
      <c r="G2686" s="141" t="s">
        <v>6401</v>
      </c>
      <c r="H2686" s="140" t="s">
        <v>6312</v>
      </c>
      <c r="I2686" s="140" t="s">
        <v>6313</v>
      </c>
      <c r="J2686" s="140" t="s">
        <v>6314</v>
      </c>
      <c r="K2686" s="140" t="s">
        <v>7023</v>
      </c>
    </row>
    <row r="2687">
      <c r="A2687" s="140" t="s">
        <v>9524</v>
      </c>
      <c r="B2687" s="140" t="s">
        <v>5182</v>
      </c>
      <c r="C2687" s="140" t="s">
        <v>9549</v>
      </c>
      <c r="D2687" s="140" t="s">
        <v>6740</v>
      </c>
      <c r="E2687" s="140" t="s">
        <v>6741</v>
      </c>
      <c r="F2687" s="140" t="s">
        <v>7680</v>
      </c>
      <c r="G2687" s="141" t="s">
        <v>6401</v>
      </c>
      <c r="H2687" s="140" t="s">
        <v>6312</v>
      </c>
      <c r="I2687" s="140" t="s">
        <v>6313</v>
      </c>
      <c r="J2687" s="140" t="s">
        <v>6314</v>
      </c>
      <c r="K2687" s="140" t="s">
        <v>7023</v>
      </c>
    </row>
    <row r="2688">
      <c r="A2688" s="140" t="s">
        <v>9524</v>
      </c>
      <c r="B2688" s="140" t="s">
        <v>9550</v>
      </c>
      <c r="C2688" s="140" t="s">
        <v>9551</v>
      </c>
      <c r="D2688" s="140" t="s">
        <v>6740</v>
      </c>
      <c r="E2688" s="140" t="s">
        <v>6741</v>
      </c>
      <c r="F2688" s="140" t="s">
        <v>7680</v>
      </c>
      <c r="G2688" s="141" t="s">
        <v>6401</v>
      </c>
      <c r="H2688" s="140" t="s">
        <v>6312</v>
      </c>
      <c r="I2688" s="140" t="s">
        <v>6313</v>
      </c>
      <c r="J2688" s="140" t="s">
        <v>6314</v>
      </c>
      <c r="K2688" s="140" t="s">
        <v>7023</v>
      </c>
    </row>
    <row r="2689">
      <c r="A2689" s="140" t="s">
        <v>9524</v>
      </c>
      <c r="B2689" s="140" t="s">
        <v>9552</v>
      </c>
      <c r="C2689" s="140" t="s">
        <v>9553</v>
      </c>
      <c r="D2689" s="140" t="s">
        <v>6740</v>
      </c>
      <c r="E2689" s="140" t="s">
        <v>6741</v>
      </c>
      <c r="F2689" s="140" t="s">
        <v>7680</v>
      </c>
      <c r="G2689" s="141" t="s">
        <v>6401</v>
      </c>
      <c r="H2689" s="140" t="s">
        <v>6312</v>
      </c>
      <c r="I2689" s="140" t="s">
        <v>6313</v>
      </c>
      <c r="J2689" s="140" t="s">
        <v>6314</v>
      </c>
      <c r="K2689" s="140" t="s">
        <v>7023</v>
      </c>
    </row>
    <row r="2690">
      <c r="A2690" s="140" t="s">
        <v>9524</v>
      </c>
      <c r="B2690" s="140" t="s">
        <v>9554</v>
      </c>
      <c r="C2690" s="140" t="s">
        <v>9555</v>
      </c>
      <c r="D2690" s="140" t="s">
        <v>6740</v>
      </c>
      <c r="E2690" s="140" t="s">
        <v>6741</v>
      </c>
      <c r="F2690" s="140" t="s">
        <v>7680</v>
      </c>
      <c r="G2690" s="141" t="s">
        <v>6401</v>
      </c>
      <c r="H2690" s="140" t="s">
        <v>6312</v>
      </c>
      <c r="I2690" s="140" t="s">
        <v>6313</v>
      </c>
      <c r="J2690" s="140" t="s">
        <v>6314</v>
      </c>
      <c r="K2690" s="140" t="s">
        <v>7023</v>
      </c>
    </row>
    <row r="2691">
      <c r="A2691" s="140" t="s">
        <v>9524</v>
      </c>
      <c r="B2691" s="140" t="s">
        <v>9556</v>
      </c>
      <c r="C2691" s="140" t="s">
        <v>9557</v>
      </c>
      <c r="D2691" s="140" t="s">
        <v>6740</v>
      </c>
      <c r="E2691" s="140" t="s">
        <v>6741</v>
      </c>
      <c r="F2691" s="140" t="s">
        <v>7680</v>
      </c>
      <c r="G2691" s="141" t="s">
        <v>6401</v>
      </c>
      <c r="H2691" s="140" t="s">
        <v>6312</v>
      </c>
      <c r="I2691" s="140" t="s">
        <v>6313</v>
      </c>
      <c r="J2691" s="140" t="s">
        <v>6314</v>
      </c>
      <c r="K2691" s="140" t="s">
        <v>7023</v>
      </c>
    </row>
    <row r="2692">
      <c r="A2692" s="140" t="s">
        <v>9524</v>
      </c>
      <c r="B2692" s="140" t="s">
        <v>9558</v>
      </c>
      <c r="C2692" s="140" t="s">
        <v>9559</v>
      </c>
      <c r="D2692" s="140" t="s">
        <v>6740</v>
      </c>
      <c r="E2692" s="140" t="s">
        <v>6741</v>
      </c>
      <c r="F2692" s="140" t="s">
        <v>7680</v>
      </c>
      <c r="G2692" s="141" t="s">
        <v>6401</v>
      </c>
      <c r="H2692" s="140" t="s">
        <v>6312</v>
      </c>
      <c r="I2692" s="140" t="s">
        <v>6313</v>
      </c>
      <c r="J2692" s="140" t="s">
        <v>6314</v>
      </c>
      <c r="K2692" s="140" t="s">
        <v>7023</v>
      </c>
    </row>
    <row r="2693">
      <c r="A2693" s="140" t="s">
        <v>9524</v>
      </c>
      <c r="B2693" s="140" t="s">
        <v>9560</v>
      </c>
      <c r="C2693" s="140" t="s">
        <v>9561</v>
      </c>
      <c r="D2693" s="140" t="s">
        <v>6740</v>
      </c>
      <c r="E2693" s="140" t="s">
        <v>6741</v>
      </c>
      <c r="F2693" s="140" t="s">
        <v>7680</v>
      </c>
      <c r="G2693" s="141" t="s">
        <v>6401</v>
      </c>
      <c r="H2693" s="140" t="s">
        <v>6312</v>
      </c>
      <c r="I2693" s="140" t="s">
        <v>6313</v>
      </c>
      <c r="J2693" s="140" t="s">
        <v>6314</v>
      </c>
      <c r="K2693" s="140" t="s">
        <v>7023</v>
      </c>
    </row>
    <row r="2694">
      <c r="A2694" s="140" t="s">
        <v>9524</v>
      </c>
      <c r="B2694" s="140" t="s">
        <v>9562</v>
      </c>
      <c r="C2694" s="140" t="s">
        <v>9563</v>
      </c>
      <c r="D2694" s="140" t="s">
        <v>6740</v>
      </c>
      <c r="E2694" s="140" t="s">
        <v>6741</v>
      </c>
      <c r="F2694" s="140" t="s">
        <v>7680</v>
      </c>
      <c r="G2694" s="141" t="s">
        <v>6401</v>
      </c>
      <c r="H2694" s="140" t="s">
        <v>6312</v>
      </c>
      <c r="I2694" s="140" t="s">
        <v>6313</v>
      </c>
      <c r="J2694" s="140" t="s">
        <v>6314</v>
      </c>
      <c r="K2694" s="140" t="s">
        <v>7023</v>
      </c>
    </row>
    <row r="2695">
      <c r="A2695" s="140" t="s">
        <v>9524</v>
      </c>
      <c r="B2695" s="140" t="s">
        <v>9564</v>
      </c>
      <c r="C2695" s="140" t="s">
        <v>9565</v>
      </c>
      <c r="D2695" s="140" t="s">
        <v>6740</v>
      </c>
      <c r="E2695" s="140" t="s">
        <v>6741</v>
      </c>
      <c r="F2695" s="140" t="s">
        <v>7680</v>
      </c>
      <c r="G2695" s="141" t="s">
        <v>6401</v>
      </c>
      <c r="H2695" s="140" t="s">
        <v>6312</v>
      </c>
      <c r="I2695" s="140" t="s">
        <v>6313</v>
      </c>
      <c r="J2695" s="140" t="s">
        <v>6314</v>
      </c>
      <c r="K2695" s="140" t="s">
        <v>7023</v>
      </c>
    </row>
    <row r="2696">
      <c r="A2696" s="140" t="s">
        <v>9566</v>
      </c>
      <c r="B2696" s="140" t="s">
        <v>4498</v>
      </c>
      <c r="C2696" s="140" t="s">
        <v>9567</v>
      </c>
      <c r="D2696" s="140" t="s">
        <v>6309</v>
      </c>
      <c r="E2696" s="140" t="s">
        <v>47</v>
      </c>
      <c r="F2696" s="140" t="s">
        <v>7376</v>
      </c>
      <c r="G2696" s="141" t="s">
        <v>6401</v>
      </c>
      <c r="H2696" s="140" t="s">
        <v>6330</v>
      </c>
      <c r="I2696" s="140" t="s">
        <v>6313</v>
      </c>
      <c r="J2696" s="140" t="s">
        <v>6314</v>
      </c>
      <c r="K2696" s="140" t="s">
        <v>6402</v>
      </c>
    </row>
    <row r="2697">
      <c r="A2697" s="140" t="s">
        <v>9566</v>
      </c>
      <c r="B2697" s="140" t="s">
        <v>4490</v>
      </c>
      <c r="C2697" s="140" t="s">
        <v>9568</v>
      </c>
      <c r="D2697" s="140" t="s">
        <v>6309</v>
      </c>
      <c r="E2697" s="140" t="s">
        <v>47</v>
      </c>
      <c r="F2697" s="140" t="s">
        <v>7376</v>
      </c>
      <c r="G2697" s="141" t="s">
        <v>6401</v>
      </c>
      <c r="H2697" s="140" t="s">
        <v>6330</v>
      </c>
      <c r="I2697" s="140" t="s">
        <v>6313</v>
      </c>
      <c r="J2697" s="140" t="s">
        <v>6314</v>
      </c>
      <c r="K2697" s="140" t="s">
        <v>6402</v>
      </c>
    </row>
    <row r="2698">
      <c r="A2698" s="140" t="s">
        <v>9566</v>
      </c>
      <c r="B2698" s="140" t="s">
        <v>4486</v>
      </c>
      <c r="C2698" s="140" t="s">
        <v>9569</v>
      </c>
      <c r="D2698" s="140" t="s">
        <v>6309</v>
      </c>
      <c r="E2698" s="140" t="s">
        <v>47</v>
      </c>
      <c r="F2698" s="140" t="s">
        <v>7376</v>
      </c>
      <c r="G2698" s="141" t="s">
        <v>6401</v>
      </c>
      <c r="H2698" s="140" t="s">
        <v>6330</v>
      </c>
      <c r="I2698" s="140" t="s">
        <v>6313</v>
      </c>
      <c r="J2698" s="140" t="s">
        <v>6314</v>
      </c>
      <c r="K2698" s="140" t="s">
        <v>6402</v>
      </c>
    </row>
    <row r="2699">
      <c r="A2699" s="140" t="s">
        <v>9566</v>
      </c>
      <c r="B2699" s="140" t="s">
        <v>4484</v>
      </c>
      <c r="C2699" s="140" t="s">
        <v>9570</v>
      </c>
      <c r="D2699" s="140" t="s">
        <v>6309</v>
      </c>
      <c r="E2699" s="140" t="s">
        <v>47</v>
      </c>
      <c r="F2699" s="140" t="s">
        <v>7376</v>
      </c>
      <c r="G2699" s="141" t="s">
        <v>6401</v>
      </c>
      <c r="H2699" s="140" t="s">
        <v>6330</v>
      </c>
      <c r="I2699" s="140" t="s">
        <v>6313</v>
      </c>
      <c r="J2699" s="140" t="s">
        <v>6314</v>
      </c>
      <c r="K2699" s="140" t="s">
        <v>6402</v>
      </c>
    </row>
    <row r="2700">
      <c r="A2700" s="140" t="s">
        <v>9566</v>
      </c>
      <c r="B2700" s="140" t="s">
        <v>4488</v>
      </c>
      <c r="C2700" s="140" t="s">
        <v>9571</v>
      </c>
      <c r="D2700" s="140" t="s">
        <v>6309</v>
      </c>
      <c r="E2700" s="140" t="s">
        <v>47</v>
      </c>
      <c r="F2700" s="140" t="s">
        <v>7376</v>
      </c>
      <c r="G2700" s="141" t="s">
        <v>6401</v>
      </c>
      <c r="H2700" s="140" t="s">
        <v>6330</v>
      </c>
      <c r="I2700" s="140" t="s">
        <v>6313</v>
      </c>
      <c r="J2700" s="140" t="s">
        <v>6314</v>
      </c>
      <c r="K2700" s="140" t="s">
        <v>6402</v>
      </c>
    </row>
    <row r="2701">
      <c r="A2701" s="140" t="s">
        <v>9566</v>
      </c>
      <c r="B2701" s="140" t="s">
        <v>4492</v>
      </c>
      <c r="C2701" s="140" t="s">
        <v>9572</v>
      </c>
      <c r="D2701" s="140" t="s">
        <v>6309</v>
      </c>
      <c r="E2701" s="140" t="s">
        <v>47</v>
      </c>
      <c r="F2701" s="140" t="s">
        <v>7376</v>
      </c>
      <c r="G2701" s="141" t="s">
        <v>6401</v>
      </c>
      <c r="H2701" s="140" t="s">
        <v>6330</v>
      </c>
      <c r="I2701" s="140" t="s">
        <v>6313</v>
      </c>
      <c r="J2701" s="140" t="s">
        <v>6314</v>
      </c>
      <c r="K2701" s="140" t="s">
        <v>6402</v>
      </c>
    </row>
    <row r="2702">
      <c r="A2702" s="140" t="s">
        <v>9566</v>
      </c>
      <c r="B2702" s="140" t="s">
        <v>9573</v>
      </c>
      <c r="C2702" s="140" t="s">
        <v>9574</v>
      </c>
      <c r="D2702" s="140" t="s">
        <v>6309</v>
      </c>
      <c r="E2702" s="140" t="s">
        <v>47</v>
      </c>
      <c r="F2702" s="140" t="s">
        <v>7376</v>
      </c>
      <c r="G2702" s="141" t="s">
        <v>6401</v>
      </c>
      <c r="H2702" s="140" t="s">
        <v>6330</v>
      </c>
      <c r="I2702" s="140" t="s">
        <v>6313</v>
      </c>
      <c r="J2702" s="140" t="s">
        <v>6314</v>
      </c>
      <c r="K2702" s="140" t="s">
        <v>6402</v>
      </c>
    </row>
    <row r="2703">
      <c r="A2703" s="140" t="s">
        <v>9566</v>
      </c>
      <c r="B2703" s="140" t="s">
        <v>4496</v>
      </c>
      <c r="C2703" s="140" t="s">
        <v>9575</v>
      </c>
      <c r="D2703" s="140" t="s">
        <v>6309</v>
      </c>
      <c r="E2703" s="140" t="s">
        <v>56</v>
      </c>
      <c r="F2703" s="140" t="s">
        <v>64</v>
      </c>
      <c r="G2703" s="141" t="s">
        <v>6401</v>
      </c>
      <c r="H2703" s="140" t="s">
        <v>6330</v>
      </c>
      <c r="I2703" s="140" t="s">
        <v>6313</v>
      </c>
      <c r="J2703" s="140" t="s">
        <v>6314</v>
      </c>
      <c r="K2703" s="140" t="s">
        <v>6402</v>
      </c>
    </row>
    <row r="2704">
      <c r="A2704" s="140" t="s">
        <v>9566</v>
      </c>
      <c r="B2704" s="140" t="s">
        <v>4468</v>
      </c>
      <c r="C2704" s="140" t="s">
        <v>9576</v>
      </c>
      <c r="D2704" s="140" t="s">
        <v>6309</v>
      </c>
      <c r="E2704" s="140" t="s">
        <v>56</v>
      </c>
      <c r="F2704" s="140" t="s">
        <v>64</v>
      </c>
      <c r="G2704" s="141" t="s">
        <v>6401</v>
      </c>
      <c r="H2704" s="140" t="s">
        <v>6330</v>
      </c>
      <c r="I2704" s="140" t="s">
        <v>6313</v>
      </c>
      <c r="J2704" s="140" t="s">
        <v>6314</v>
      </c>
      <c r="K2704" s="140" t="s">
        <v>6402</v>
      </c>
    </row>
    <row r="2705">
      <c r="A2705" s="140" t="s">
        <v>9566</v>
      </c>
      <c r="B2705" s="140" t="s">
        <v>4476</v>
      </c>
      <c r="C2705" s="140" t="s">
        <v>9577</v>
      </c>
      <c r="D2705" s="140" t="s">
        <v>6309</v>
      </c>
      <c r="E2705" s="140" t="s">
        <v>56</v>
      </c>
      <c r="F2705" s="140" t="s">
        <v>64</v>
      </c>
      <c r="G2705" s="141" t="s">
        <v>6401</v>
      </c>
      <c r="H2705" s="140" t="s">
        <v>6330</v>
      </c>
      <c r="I2705" s="140" t="s">
        <v>6313</v>
      </c>
      <c r="J2705" s="140" t="s">
        <v>6314</v>
      </c>
      <c r="K2705" s="140" t="s">
        <v>6402</v>
      </c>
    </row>
    <row r="2706">
      <c r="A2706" s="140" t="s">
        <v>9566</v>
      </c>
      <c r="B2706" s="140" t="s">
        <v>9578</v>
      </c>
      <c r="C2706" s="140" t="s">
        <v>9579</v>
      </c>
      <c r="D2706" s="140" t="s">
        <v>6309</v>
      </c>
      <c r="E2706" s="140" t="s">
        <v>56</v>
      </c>
      <c r="F2706" s="140" t="s">
        <v>64</v>
      </c>
      <c r="G2706" s="141" t="s">
        <v>6401</v>
      </c>
      <c r="H2706" s="140" t="s">
        <v>6330</v>
      </c>
      <c r="I2706" s="140" t="s">
        <v>6313</v>
      </c>
      <c r="J2706" s="140" t="s">
        <v>6314</v>
      </c>
      <c r="K2706" s="140" t="s">
        <v>6402</v>
      </c>
    </row>
    <row r="2707">
      <c r="A2707" s="140" t="s">
        <v>9566</v>
      </c>
      <c r="B2707" s="140" t="s">
        <v>2511</v>
      </c>
      <c r="C2707" s="140" t="s">
        <v>9580</v>
      </c>
      <c r="D2707" s="140" t="s">
        <v>6309</v>
      </c>
      <c r="E2707" s="140" t="s">
        <v>56</v>
      </c>
      <c r="F2707" s="140" t="s">
        <v>64</v>
      </c>
      <c r="G2707" s="141" t="s">
        <v>6401</v>
      </c>
      <c r="H2707" s="140" t="s">
        <v>6330</v>
      </c>
      <c r="I2707" s="140" t="s">
        <v>6313</v>
      </c>
      <c r="J2707" s="140" t="s">
        <v>6314</v>
      </c>
      <c r="K2707" s="140" t="s">
        <v>6402</v>
      </c>
    </row>
    <row r="2708">
      <c r="A2708" s="140" t="s">
        <v>9566</v>
      </c>
      <c r="B2708" s="140" t="s">
        <v>9581</v>
      </c>
      <c r="C2708" s="140" t="s">
        <v>9582</v>
      </c>
      <c r="D2708" s="140" t="s">
        <v>6309</v>
      </c>
      <c r="E2708" s="140" t="s">
        <v>56</v>
      </c>
      <c r="F2708" s="140" t="s">
        <v>64</v>
      </c>
      <c r="G2708" s="141" t="s">
        <v>6401</v>
      </c>
      <c r="H2708" s="140" t="s">
        <v>6330</v>
      </c>
      <c r="I2708" s="140" t="s">
        <v>6313</v>
      </c>
      <c r="J2708" s="140" t="s">
        <v>6314</v>
      </c>
      <c r="K2708" s="140" t="s">
        <v>6402</v>
      </c>
    </row>
    <row r="2709">
      <c r="A2709" s="140" t="s">
        <v>9566</v>
      </c>
      <c r="B2709" s="140" t="s">
        <v>9583</v>
      </c>
      <c r="C2709" s="140" t="s">
        <v>9584</v>
      </c>
      <c r="D2709" s="140" t="s">
        <v>6309</v>
      </c>
      <c r="E2709" s="140" t="s">
        <v>56</v>
      </c>
      <c r="F2709" s="140" t="s">
        <v>64</v>
      </c>
      <c r="G2709" s="141" t="s">
        <v>6401</v>
      </c>
      <c r="H2709" s="140" t="s">
        <v>6330</v>
      </c>
      <c r="I2709" s="140" t="s">
        <v>6313</v>
      </c>
      <c r="J2709" s="140" t="s">
        <v>6314</v>
      </c>
      <c r="K2709" s="140" t="s">
        <v>6402</v>
      </c>
    </row>
    <row r="2710">
      <c r="A2710" s="140" t="s">
        <v>9566</v>
      </c>
      <c r="B2710" s="140" t="s">
        <v>4506</v>
      </c>
      <c r="C2710" s="140" t="s">
        <v>9585</v>
      </c>
      <c r="D2710" s="140" t="s">
        <v>6309</v>
      </c>
      <c r="E2710" s="140" t="s">
        <v>56</v>
      </c>
      <c r="F2710" s="140" t="s">
        <v>64</v>
      </c>
      <c r="G2710" s="141" t="s">
        <v>6401</v>
      </c>
      <c r="H2710" s="140" t="s">
        <v>6330</v>
      </c>
      <c r="I2710" s="140" t="s">
        <v>6313</v>
      </c>
      <c r="J2710" s="140" t="s">
        <v>6314</v>
      </c>
      <c r="K2710" s="140" t="s">
        <v>6402</v>
      </c>
    </row>
    <row r="2711">
      <c r="A2711" s="140" t="s">
        <v>9566</v>
      </c>
      <c r="B2711" s="140" t="s">
        <v>9586</v>
      </c>
      <c r="C2711" s="140" t="s">
        <v>9587</v>
      </c>
      <c r="D2711" s="140" t="s">
        <v>6309</v>
      </c>
      <c r="E2711" s="140" t="s">
        <v>56</v>
      </c>
      <c r="F2711" s="140" t="s">
        <v>64</v>
      </c>
      <c r="G2711" s="141" t="s">
        <v>6401</v>
      </c>
      <c r="H2711" s="140" t="s">
        <v>6330</v>
      </c>
      <c r="I2711" s="140" t="s">
        <v>6313</v>
      </c>
      <c r="J2711" s="140" t="s">
        <v>6314</v>
      </c>
      <c r="K2711" s="140" t="s">
        <v>6402</v>
      </c>
    </row>
    <row r="2712">
      <c r="A2712" s="140" t="s">
        <v>9566</v>
      </c>
      <c r="B2712" s="140" t="s">
        <v>9588</v>
      </c>
      <c r="C2712" s="140" t="s">
        <v>9589</v>
      </c>
      <c r="D2712" s="140" t="s">
        <v>6309</v>
      </c>
      <c r="E2712" s="140" t="s">
        <v>9294</v>
      </c>
      <c r="F2712" s="140" t="s">
        <v>9294</v>
      </c>
      <c r="G2712" s="141" t="s">
        <v>6401</v>
      </c>
      <c r="H2712" s="140" t="s">
        <v>6330</v>
      </c>
      <c r="I2712" s="140" t="s">
        <v>6313</v>
      </c>
      <c r="J2712" s="140" t="s">
        <v>6314</v>
      </c>
      <c r="K2712" s="140" t="s">
        <v>6402</v>
      </c>
    </row>
    <row r="2713">
      <c r="A2713" s="140" t="s">
        <v>9566</v>
      </c>
      <c r="B2713" s="140" t="s">
        <v>4466</v>
      </c>
      <c r="C2713" s="140" t="s">
        <v>9590</v>
      </c>
      <c r="D2713" s="140" t="s">
        <v>6309</v>
      </c>
      <c r="E2713" s="140" t="s">
        <v>9294</v>
      </c>
      <c r="F2713" s="140" t="s">
        <v>9294</v>
      </c>
      <c r="G2713" s="141" t="s">
        <v>6401</v>
      </c>
      <c r="H2713" s="140" t="s">
        <v>6330</v>
      </c>
      <c r="I2713" s="140" t="s">
        <v>6313</v>
      </c>
      <c r="J2713" s="140" t="s">
        <v>6314</v>
      </c>
      <c r="K2713" s="140" t="s">
        <v>6402</v>
      </c>
    </row>
    <row r="2714">
      <c r="A2714" s="140" t="s">
        <v>9566</v>
      </c>
      <c r="B2714" s="140" t="s">
        <v>4514</v>
      </c>
      <c r="C2714" s="140" t="s">
        <v>9591</v>
      </c>
      <c r="D2714" s="140" t="s">
        <v>6309</v>
      </c>
      <c r="E2714" s="140" t="s">
        <v>9294</v>
      </c>
      <c r="F2714" s="140" t="s">
        <v>9294</v>
      </c>
      <c r="G2714" s="141" t="s">
        <v>6401</v>
      </c>
      <c r="H2714" s="140" t="s">
        <v>6330</v>
      </c>
      <c r="I2714" s="140" t="s">
        <v>6313</v>
      </c>
      <c r="J2714" s="140" t="s">
        <v>6314</v>
      </c>
      <c r="K2714" s="140" t="s">
        <v>6402</v>
      </c>
    </row>
    <row r="2715">
      <c r="A2715" s="140" t="s">
        <v>9566</v>
      </c>
      <c r="B2715" s="140" t="s">
        <v>4516</v>
      </c>
      <c r="C2715" s="140" t="s">
        <v>9592</v>
      </c>
      <c r="D2715" s="140" t="s">
        <v>6309</v>
      </c>
      <c r="E2715" s="140" t="s">
        <v>9294</v>
      </c>
      <c r="F2715" s="140" t="s">
        <v>9294</v>
      </c>
      <c r="G2715" s="141" t="s">
        <v>6401</v>
      </c>
      <c r="H2715" s="140" t="s">
        <v>6330</v>
      </c>
      <c r="I2715" s="140" t="s">
        <v>6313</v>
      </c>
      <c r="J2715" s="140" t="s">
        <v>6314</v>
      </c>
      <c r="K2715" s="140" t="s">
        <v>6402</v>
      </c>
    </row>
    <row r="2716">
      <c r="A2716" s="140" t="s">
        <v>9566</v>
      </c>
      <c r="B2716" s="140" t="s">
        <v>9593</v>
      </c>
      <c r="C2716" s="140" t="s">
        <v>9594</v>
      </c>
      <c r="D2716" s="140" t="s">
        <v>6309</v>
      </c>
      <c r="E2716" s="140" t="s">
        <v>9294</v>
      </c>
      <c r="F2716" s="140" t="s">
        <v>9294</v>
      </c>
      <c r="G2716" s="141" t="s">
        <v>6401</v>
      </c>
      <c r="H2716" s="140" t="s">
        <v>6330</v>
      </c>
      <c r="I2716" s="140" t="s">
        <v>6313</v>
      </c>
      <c r="J2716" s="140" t="s">
        <v>6314</v>
      </c>
      <c r="K2716" s="140" t="s">
        <v>6402</v>
      </c>
    </row>
    <row r="2717">
      <c r="A2717" s="140" t="s">
        <v>9566</v>
      </c>
      <c r="B2717" s="140" t="s">
        <v>4494</v>
      </c>
      <c r="C2717" s="140" t="s">
        <v>9595</v>
      </c>
      <c r="D2717" s="140" t="s">
        <v>6309</v>
      </c>
      <c r="E2717" s="140" t="s">
        <v>9294</v>
      </c>
      <c r="F2717" s="140" t="s">
        <v>9294</v>
      </c>
      <c r="G2717" s="141" t="s">
        <v>6401</v>
      </c>
      <c r="H2717" s="140" t="s">
        <v>6330</v>
      </c>
      <c r="I2717" s="140" t="s">
        <v>6313</v>
      </c>
      <c r="J2717" s="140" t="s">
        <v>6314</v>
      </c>
      <c r="K2717" s="140" t="s">
        <v>6402</v>
      </c>
    </row>
    <row r="2718">
      <c r="A2718" s="140" t="s">
        <v>9566</v>
      </c>
      <c r="B2718" s="140" t="s">
        <v>9596</v>
      </c>
      <c r="C2718" s="140" t="s">
        <v>9597</v>
      </c>
      <c r="D2718" s="140" t="s">
        <v>6309</v>
      </c>
      <c r="E2718" s="140" t="s">
        <v>9294</v>
      </c>
      <c r="F2718" s="140" t="s">
        <v>9294</v>
      </c>
      <c r="G2718" s="141" t="s">
        <v>6401</v>
      </c>
      <c r="H2718" s="140" t="s">
        <v>6330</v>
      </c>
      <c r="I2718" s="140" t="s">
        <v>6313</v>
      </c>
      <c r="J2718" s="140" t="s">
        <v>6314</v>
      </c>
      <c r="K2718" s="140" t="s">
        <v>6402</v>
      </c>
    </row>
    <row r="2719">
      <c r="A2719" s="140" t="s">
        <v>9566</v>
      </c>
      <c r="B2719" s="140" t="s">
        <v>4510</v>
      </c>
      <c r="C2719" s="140" t="s">
        <v>9598</v>
      </c>
      <c r="D2719" s="140" t="s">
        <v>6309</v>
      </c>
      <c r="E2719" s="140" t="s">
        <v>9294</v>
      </c>
      <c r="F2719" s="140" t="s">
        <v>9294</v>
      </c>
      <c r="G2719" s="141" t="s">
        <v>6401</v>
      </c>
      <c r="H2719" s="140" t="s">
        <v>6330</v>
      </c>
      <c r="I2719" s="140" t="s">
        <v>6313</v>
      </c>
      <c r="J2719" s="140" t="s">
        <v>6314</v>
      </c>
      <c r="K2719" s="140" t="s">
        <v>6402</v>
      </c>
    </row>
    <row r="2720">
      <c r="A2720" s="140" t="s">
        <v>9566</v>
      </c>
      <c r="B2720" s="140" t="s">
        <v>9599</v>
      </c>
      <c r="C2720" s="140" t="s">
        <v>9600</v>
      </c>
      <c r="D2720" s="140" t="s">
        <v>6309</v>
      </c>
      <c r="E2720" s="140" t="s">
        <v>9294</v>
      </c>
      <c r="F2720" s="140" t="s">
        <v>9294</v>
      </c>
      <c r="G2720" s="141" t="s">
        <v>6401</v>
      </c>
      <c r="H2720" s="140" t="s">
        <v>6330</v>
      </c>
      <c r="I2720" s="140" t="s">
        <v>6313</v>
      </c>
      <c r="J2720" s="140" t="s">
        <v>6314</v>
      </c>
      <c r="K2720" s="140" t="s">
        <v>6402</v>
      </c>
    </row>
    <row r="2721">
      <c r="A2721" s="140" t="s">
        <v>9566</v>
      </c>
      <c r="B2721" s="140" t="s">
        <v>4504</v>
      </c>
      <c r="C2721" s="140" t="s">
        <v>9601</v>
      </c>
      <c r="D2721" s="140" t="s">
        <v>6309</v>
      </c>
      <c r="E2721" s="140" t="s">
        <v>9294</v>
      </c>
      <c r="F2721" s="140" t="s">
        <v>9294</v>
      </c>
      <c r="G2721" s="141" t="s">
        <v>6401</v>
      </c>
      <c r="H2721" s="140" t="s">
        <v>6330</v>
      </c>
      <c r="I2721" s="140" t="s">
        <v>6313</v>
      </c>
      <c r="J2721" s="140" t="s">
        <v>6314</v>
      </c>
      <c r="K2721" s="140" t="s">
        <v>6402</v>
      </c>
    </row>
    <row r="2722">
      <c r="A2722" s="140" t="s">
        <v>9566</v>
      </c>
      <c r="B2722" s="140" t="s">
        <v>9602</v>
      </c>
      <c r="C2722" s="140" t="s">
        <v>9603</v>
      </c>
      <c r="D2722" s="140" t="s">
        <v>6309</v>
      </c>
      <c r="E2722" s="140" t="s">
        <v>9294</v>
      </c>
      <c r="F2722" s="140" t="s">
        <v>9294</v>
      </c>
      <c r="G2722" s="141" t="s">
        <v>6401</v>
      </c>
      <c r="H2722" s="140" t="s">
        <v>6330</v>
      </c>
      <c r="I2722" s="140" t="s">
        <v>6313</v>
      </c>
      <c r="J2722" s="140" t="s">
        <v>6314</v>
      </c>
      <c r="K2722" s="140" t="s">
        <v>6402</v>
      </c>
    </row>
    <row r="2723">
      <c r="A2723" s="140" t="s">
        <v>9566</v>
      </c>
      <c r="B2723" s="140" t="s">
        <v>9604</v>
      </c>
      <c r="C2723" s="140" t="s">
        <v>9605</v>
      </c>
      <c r="D2723" s="140" t="s">
        <v>6309</v>
      </c>
      <c r="E2723" s="140" t="s">
        <v>9294</v>
      </c>
      <c r="F2723" s="140" t="s">
        <v>9294</v>
      </c>
      <c r="G2723" s="141" t="s">
        <v>6401</v>
      </c>
      <c r="H2723" s="140" t="s">
        <v>6330</v>
      </c>
      <c r="I2723" s="140" t="s">
        <v>6313</v>
      </c>
      <c r="J2723" s="140" t="s">
        <v>6314</v>
      </c>
      <c r="K2723" s="140" t="s">
        <v>6402</v>
      </c>
    </row>
    <row r="2724">
      <c r="A2724" s="140" t="s">
        <v>9566</v>
      </c>
      <c r="B2724" s="140" t="s">
        <v>5635</v>
      </c>
      <c r="C2724" s="140" t="s">
        <v>9606</v>
      </c>
      <c r="D2724" s="140" t="s">
        <v>6309</v>
      </c>
      <c r="E2724" s="140" t="s">
        <v>9294</v>
      </c>
      <c r="F2724" s="140" t="s">
        <v>9294</v>
      </c>
      <c r="G2724" s="141" t="s">
        <v>6401</v>
      </c>
      <c r="H2724" s="140" t="s">
        <v>6330</v>
      </c>
      <c r="I2724" s="140" t="s">
        <v>6313</v>
      </c>
      <c r="J2724" s="140" t="s">
        <v>6314</v>
      </c>
      <c r="K2724" s="140" t="s">
        <v>6402</v>
      </c>
    </row>
    <row r="2725">
      <c r="A2725" s="140" t="s">
        <v>9566</v>
      </c>
      <c r="B2725" s="140" t="s">
        <v>4472</v>
      </c>
      <c r="C2725" s="140" t="s">
        <v>9607</v>
      </c>
      <c r="D2725" s="140" t="s">
        <v>6309</v>
      </c>
      <c r="E2725" s="140" t="s">
        <v>9294</v>
      </c>
      <c r="F2725" s="140" t="s">
        <v>9294</v>
      </c>
      <c r="G2725" s="141" t="s">
        <v>6401</v>
      </c>
      <c r="H2725" s="140" t="s">
        <v>6330</v>
      </c>
      <c r="I2725" s="140" t="s">
        <v>6313</v>
      </c>
      <c r="J2725" s="140" t="s">
        <v>6314</v>
      </c>
      <c r="K2725" s="140" t="s">
        <v>6402</v>
      </c>
    </row>
    <row r="2726">
      <c r="A2726" s="140" t="s">
        <v>9566</v>
      </c>
      <c r="B2726" s="140" t="s">
        <v>4500</v>
      </c>
      <c r="C2726" s="140" t="s">
        <v>9608</v>
      </c>
      <c r="D2726" s="140" t="s">
        <v>6309</v>
      </c>
      <c r="E2726" s="140" t="s">
        <v>9294</v>
      </c>
      <c r="F2726" s="140" t="s">
        <v>9294</v>
      </c>
      <c r="G2726" s="141" t="s">
        <v>6401</v>
      </c>
      <c r="H2726" s="140" t="s">
        <v>6330</v>
      </c>
      <c r="I2726" s="140" t="s">
        <v>6313</v>
      </c>
      <c r="J2726" s="140" t="s">
        <v>6314</v>
      </c>
      <c r="K2726" s="140" t="s">
        <v>6402</v>
      </c>
    </row>
    <row r="2727">
      <c r="A2727" s="140" t="s">
        <v>9566</v>
      </c>
      <c r="B2727" s="140" t="s">
        <v>4470</v>
      </c>
      <c r="C2727" s="140" t="s">
        <v>9609</v>
      </c>
      <c r="D2727" s="140" t="s">
        <v>6309</v>
      </c>
      <c r="E2727" s="140" t="s">
        <v>9294</v>
      </c>
      <c r="F2727" s="140" t="s">
        <v>9294</v>
      </c>
      <c r="G2727" s="141" t="s">
        <v>6401</v>
      </c>
      <c r="H2727" s="140" t="s">
        <v>6330</v>
      </c>
      <c r="I2727" s="140" t="s">
        <v>6313</v>
      </c>
      <c r="J2727" s="140" t="s">
        <v>6314</v>
      </c>
      <c r="K2727" s="140" t="s">
        <v>6402</v>
      </c>
    </row>
    <row r="2728">
      <c r="A2728" s="140" t="s">
        <v>9566</v>
      </c>
      <c r="B2728" s="140" t="s">
        <v>9610</v>
      </c>
      <c r="C2728" s="140" t="s">
        <v>9611</v>
      </c>
      <c r="D2728" s="140" t="s">
        <v>6309</v>
      </c>
      <c r="E2728" s="140" t="s">
        <v>9294</v>
      </c>
      <c r="F2728" s="140" t="s">
        <v>9294</v>
      </c>
      <c r="G2728" s="141" t="s">
        <v>6401</v>
      </c>
      <c r="H2728" s="140" t="s">
        <v>6330</v>
      </c>
      <c r="I2728" s="140" t="s">
        <v>6313</v>
      </c>
      <c r="J2728" s="140" t="s">
        <v>6314</v>
      </c>
      <c r="K2728" s="140" t="s">
        <v>6402</v>
      </c>
    </row>
    <row r="2729">
      <c r="A2729" s="140" t="s">
        <v>9566</v>
      </c>
      <c r="B2729" s="140" t="s">
        <v>4480</v>
      </c>
      <c r="C2729" s="140" t="s">
        <v>9612</v>
      </c>
      <c r="D2729" s="140" t="s">
        <v>6309</v>
      </c>
      <c r="E2729" s="140" t="s">
        <v>9294</v>
      </c>
      <c r="F2729" s="140" t="s">
        <v>9294</v>
      </c>
      <c r="G2729" s="141" t="s">
        <v>6401</v>
      </c>
      <c r="H2729" s="140" t="s">
        <v>6330</v>
      </c>
      <c r="I2729" s="140" t="s">
        <v>6313</v>
      </c>
      <c r="J2729" s="140" t="s">
        <v>6314</v>
      </c>
      <c r="K2729" s="140" t="s">
        <v>6402</v>
      </c>
    </row>
    <row r="2730">
      <c r="A2730" s="140" t="s">
        <v>9566</v>
      </c>
      <c r="B2730" s="140" t="s">
        <v>9613</v>
      </c>
      <c r="C2730" s="140" t="s">
        <v>9614</v>
      </c>
      <c r="D2730" s="140" t="s">
        <v>6309</v>
      </c>
      <c r="E2730" s="140" t="s">
        <v>9294</v>
      </c>
      <c r="F2730" s="140" t="s">
        <v>9294</v>
      </c>
      <c r="G2730" s="141" t="s">
        <v>6401</v>
      </c>
      <c r="H2730" s="140" t="s">
        <v>6330</v>
      </c>
      <c r="I2730" s="140" t="s">
        <v>6313</v>
      </c>
      <c r="J2730" s="140" t="s">
        <v>6314</v>
      </c>
      <c r="K2730" s="140" t="s">
        <v>6402</v>
      </c>
    </row>
    <row r="2731">
      <c r="A2731" s="140" t="s">
        <v>9566</v>
      </c>
      <c r="B2731" s="140" t="s">
        <v>9615</v>
      </c>
      <c r="C2731" s="140" t="s">
        <v>9616</v>
      </c>
      <c r="D2731" s="140" t="s">
        <v>6309</v>
      </c>
      <c r="E2731" s="140" t="s">
        <v>9294</v>
      </c>
      <c r="F2731" s="140" t="s">
        <v>9294</v>
      </c>
      <c r="G2731" s="141" t="s">
        <v>6401</v>
      </c>
      <c r="H2731" s="140" t="s">
        <v>6330</v>
      </c>
      <c r="I2731" s="140" t="s">
        <v>6313</v>
      </c>
      <c r="J2731" s="140" t="s">
        <v>6314</v>
      </c>
      <c r="K2731" s="140" t="s">
        <v>6402</v>
      </c>
    </row>
    <row r="2732">
      <c r="A2732" s="140" t="s">
        <v>9566</v>
      </c>
      <c r="B2732" s="140" t="s">
        <v>9617</v>
      </c>
      <c r="C2732" s="140" t="s">
        <v>9618</v>
      </c>
      <c r="D2732" s="140" t="s">
        <v>6309</v>
      </c>
      <c r="E2732" s="140" t="s">
        <v>9294</v>
      </c>
      <c r="F2732" s="140" t="s">
        <v>9294</v>
      </c>
      <c r="G2732" s="141" t="s">
        <v>6401</v>
      </c>
      <c r="H2732" s="140" t="s">
        <v>6330</v>
      </c>
      <c r="I2732" s="140" t="s">
        <v>6313</v>
      </c>
      <c r="J2732" s="140" t="s">
        <v>6314</v>
      </c>
      <c r="K2732" s="140" t="s">
        <v>6402</v>
      </c>
    </row>
    <row r="2733">
      <c r="A2733" s="140" t="s">
        <v>9566</v>
      </c>
      <c r="B2733" s="140" t="s">
        <v>4512</v>
      </c>
      <c r="C2733" s="140" t="s">
        <v>9619</v>
      </c>
      <c r="D2733" s="140" t="s">
        <v>6309</v>
      </c>
      <c r="E2733" s="140" t="s">
        <v>9294</v>
      </c>
      <c r="F2733" s="140" t="s">
        <v>9294</v>
      </c>
      <c r="G2733" s="141" t="s">
        <v>6401</v>
      </c>
      <c r="H2733" s="140" t="s">
        <v>6330</v>
      </c>
      <c r="I2733" s="140" t="s">
        <v>6313</v>
      </c>
      <c r="J2733" s="140" t="s">
        <v>6314</v>
      </c>
      <c r="K2733" s="140" t="s">
        <v>6402</v>
      </c>
    </row>
    <row r="2734">
      <c r="A2734" s="140" t="s">
        <v>9566</v>
      </c>
      <c r="B2734" s="140" t="s">
        <v>4478</v>
      </c>
      <c r="C2734" s="140" t="s">
        <v>9620</v>
      </c>
      <c r="D2734" s="140" t="s">
        <v>6309</v>
      </c>
      <c r="E2734" s="140" t="s">
        <v>9294</v>
      </c>
      <c r="F2734" s="140" t="s">
        <v>9294</v>
      </c>
      <c r="G2734" s="141" t="s">
        <v>6401</v>
      </c>
      <c r="H2734" s="140" t="s">
        <v>6330</v>
      </c>
      <c r="I2734" s="140" t="s">
        <v>6313</v>
      </c>
      <c r="J2734" s="140" t="s">
        <v>6314</v>
      </c>
      <c r="K2734" s="140" t="s">
        <v>6402</v>
      </c>
    </row>
    <row r="2735">
      <c r="A2735" s="140" t="s">
        <v>9566</v>
      </c>
      <c r="B2735" s="140" t="s">
        <v>4508</v>
      </c>
      <c r="C2735" s="140" t="s">
        <v>9621</v>
      </c>
      <c r="D2735" s="140" t="s">
        <v>6309</v>
      </c>
      <c r="E2735" s="140" t="s">
        <v>9294</v>
      </c>
      <c r="F2735" s="140" t="s">
        <v>9294</v>
      </c>
      <c r="G2735" s="141" t="s">
        <v>6401</v>
      </c>
      <c r="H2735" s="140" t="s">
        <v>6330</v>
      </c>
      <c r="I2735" s="140" t="s">
        <v>6313</v>
      </c>
      <c r="J2735" s="140" t="s">
        <v>6314</v>
      </c>
      <c r="K2735" s="140" t="s">
        <v>6402</v>
      </c>
    </row>
    <row r="2736">
      <c r="A2736" s="140" t="s">
        <v>9566</v>
      </c>
      <c r="B2736" s="140" t="s">
        <v>9622</v>
      </c>
      <c r="C2736" s="140" t="s">
        <v>9623</v>
      </c>
      <c r="D2736" s="140" t="s">
        <v>6309</v>
      </c>
      <c r="E2736" s="140" t="s">
        <v>9294</v>
      </c>
      <c r="F2736" s="140" t="s">
        <v>9294</v>
      </c>
      <c r="G2736" s="141" t="s">
        <v>6401</v>
      </c>
      <c r="H2736" s="140" t="s">
        <v>6330</v>
      </c>
      <c r="I2736" s="140" t="s">
        <v>6313</v>
      </c>
      <c r="J2736" s="140" t="s">
        <v>6314</v>
      </c>
      <c r="K2736" s="140" t="s">
        <v>6402</v>
      </c>
    </row>
    <row r="2737">
      <c r="A2737" s="140" t="s">
        <v>9566</v>
      </c>
      <c r="B2737" s="140" t="s">
        <v>9624</v>
      </c>
      <c r="C2737" s="140" t="s">
        <v>9625</v>
      </c>
      <c r="D2737" s="140" t="s">
        <v>6309</v>
      </c>
      <c r="E2737" s="140" t="s">
        <v>9294</v>
      </c>
      <c r="F2737" s="140" t="s">
        <v>9294</v>
      </c>
      <c r="G2737" s="141" t="s">
        <v>6401</v>
      </c>
      <c r="H2737" s="140" t="s">
        <v>6330</v>
      </c>
      <c r="I2737" s="140" t="s">
        <v>6313</v>
      </c>
      <c r="J2737" s="140" t="s">
        <v>6314</v>
      </c>
      <c r="K2737" s="140" t="s">
        <v>6402</v>
      </c>
    </row>
    <row r="2738">
      <c r="A2738" s="140" t="s">
        <v>9566</v>
      </c>
      <c r="B2738" s="140" t="s">
        <v>9626</v>
      </c>
      <c r="C2738" s="140" t="s">
        <v>9627</v>
      </c>
      <c r="D2738" s="140" t="s">
        <v>6309</v>
      </c>
      <c r="E2738" s="140" t="s">
        <v>9294</v>
      </c>
      <c r="F2738" s="140" t="s">
        <v>9294</v>
      </c>
      <c r="G2738" s="141" t="s">
        <v>6401</v>
      </c>
      <c r="H2738" s="140" t="s">
        <v>6330</v>
      </c>
      <c r="I2738" s="140" t="s">
        <v>6313</v>
      </c>
      <c r="J2738" s="140" t="s">
        <v>6314</v>
      </c>
      <c r="K2738" s="140" t="s">
        <v>6402</v>
      </c>
    </row>
    <row r="2739">
      <c r="A2739" s="140" t="s">
        <v>9566</v>
      </c>
      <c r="B2739" s="140" t="s">
        <v>4482</v>
      </c>
      <c r="C2739" s="140" t="s">
        <v>9628</v>
      </c>
      <c r="D2739" s="140" t="s">
        <v>6309</v>
      </c>
      <c r="E2739" s="140" t="s">
        <v>9294</v>
      </c>
      <c r="F2739" s="140" t="s">
        <v>9294</v>
      </c>
      <c r="G2739" s="141" t="s">
        <v>6401</v>
      </c>
      <c r="H2739" s="140" t="s">
        <v>6330</v>
      </c>
      <c r="I2739" s="140" t="s">
        <v>6313</v>
      </c>
      <c r="J2739" s="140" t="s">
        <v>6314</v>
      </c>
      <c r="K2739" s="140" t="s">
        <v>6402</v>
      </c>
    </row>
    <row r="2740">
      <c r="A2740" s="140" t="s">
        <v>9566</v>
      </c>
      <c r="B2740" s="140" t="s">
        <v>9629</v>
      </c>
      <c r="C2740" s="140" t="s">
        <v>9630</v>
      </c>
      <c r="D2740" s="140" t="s">
        <v>6309</v>
      </c>
      <c r="E2740" s="140" t="s">
        <v>9294</v>
      </c>
      <c r="F2740" s="140" t="s">
        <v>9294</v>
      </c>
      <c r="G2740" s="141" t="s">
        <v>6401</v>
      </c>
      <c r="H2740" s="140" t="s">
        <v>6330</v>
      </c>
      <c r="I2740" s="140" t="s">
        <v>6313</v>
      </c>
      <c r="J2740" s="140" t="s">
        <v>6314</v>
      </c>
      <c r="K2740" s="140" t="s">
        <v>6402</v>
      </c>
    </row>
    <row r="2741">
      <c r="A2741" s="140" t="s">
        <v>9566</v>
      </c>
      <c r="B2741" s="140" t="s">
        <v>3395</v>
      </c>
      <c r="C2741" s="140" t="s">
        <v>9631</v>
      </c>
      <c r="D2741" s="140" t="s">
        <v>6309</v>
      </c>
      <c r="E2741" s="140" t="s">
        <v>9294</v>
      </c>
      <c r="F2741" s="140" t="s">
        <v>9294</v>
      </c>
      <c r="G2741" s="141" t="s">
        <v>6401</v>
      </c>
      <c r="H2741" s="140" t="s">
        <v>6330</v>
      </c>
      <c r="I2741" s="140" t="s">
        <v>6313</v>
      </c>
      <c r="J2741" s="140" t="s">
        <v>6314</v>
      </c>
      <c r="K2741" s="140" t="s">
        <v>6402</v>
      </c>
    </row>
    <row r="2742">
      <c r="A2742" s="140" t="s">
        <v>9566</v>
      </c>
      <c r="B2742" s="140" t="s">
        <v>9632</v>
      </c>
      <c r="C2742" s="140" t="s">
        <v>9633</v>
      </c>
      <c r="D2742" s="140" t="s">
        <v>6309</v>
      </c>
      <c r="E2742" s="140" t="s">
        <v>9294</v>
      </c>
      <c r="F2742" s="140" t="s">
        <v>9294</v>
      </c>
      <c r="G2742" s="141" t="s">
        <v>6401</v>
      </c>
      <c r="H2742" s="140" t="s">
        <v>6330</v>
      </c>
      <c r="I2742" s="140" t="s">
        <v>6313</v>
      </c>
      <c r="J2742" s="140" t="s">
        <v>6314</v>
      </c>
      <c r="K2742" s="140" t="s">
        <v>6402</v>
      </c>
    </row>
    <row r="2743">
      <c r="A2743" s="140" t="s">
        <v>9566</v>
      </c>
      <c r="B2743" s="140" t="s">
        <v>4502</v>
      </c>
      <c r="C2743" s="140" t="s">
        <v>9634</v>
      </c>
      <c r="D2743" s="140" t="s">
        <v>6309</v>
      </c>
      <c r="E2743" s="140" t="s">
        <v>9294</v>
      </c>
      <c r="F2743" s="140" t="s">
        <v>9294</v>
      </c>
      <c r="G2743" s="141" t="s">
        <v>6401</v>
      </c>
      <c r="H2743" s="140" t="s">
        <v>6330</v>
      </c>
      <c r="I2743" s="140" t="s">
        <v>6313</v>
      </c>
      <c r="J2743" s="140" t="s">
        <v>6314</v>
      </c>
      <c r="K2743" s="140" t="s">
        <v>6402</v>
      </c>
    </row>
    <row r="2744">
      <c r="A2744" s="140" t="s">
        <v>9566</v>
      </c>
      <c r="B2744" s="140" t="s">
        <v>9635</v>
      </c>
      <c r="C2744" s="140" t="s">
        <v>9636</v>
      </c>
      <c r="D2744" s="140" t="s">
        <v>6309</v>
      </c>
      <c r="E2744" s="140" t="s">
        <v>9294</v>
      </c>
      <c r="F2744" s="140" t="s">
        <v>9294</v>
      </c>
      <c r="G2744" s="141" t="s">
        <v>6401</v>
      </c>
      <c r="H2744" s="140" t="s">
        <v>6330</v>
      </c>
      <c r="I2744" s="140" t="s">
        <v>6313</v>
      </c>
      <c r="J2744" s="140" t="s">
        <v>6314</v>
      </c>
      <c r="K2744" s="140" t="s">
        <v>6402</v>
      </c>
    </row>
    <row r="2745">
      <c r="A2745" s="140" t="s">
        <v>9566</v>
      </c>
      <c r="B2745" s="140" t="s">
        <v>9637</v>
      </c>
      <c r="C2745" s="140" t="s">
        <v>9638</v>
      </c>
      <c r="D2745" s="140" t="s">
        <v>6309</v>
      </c>
      <c r="E2745" s="140" t="s">
        <v>9294</v>
      </c>
      <c r="F2745" s="140" t="s">
        <v>9294</v>
      </c>
      <c r="G2745" s="141" t="s">
        <v>6401</v>
      </c>
      <c r="H2745" s="140" t="s">
        <v>6330</v>
      </c>
      <c r="I2745" s="140" t="s">
        <v>6313</v>
      </c>
      <c r="J2745" s="140" t="s">
        <v>6314</v>
      </c>
      <c r="K2745" s="140" t="s">
        <v>6402</v>
      </c>
    </row>
    <row r="2746">
      <c r="A2746" s="140" t="s">
        <v>9566</v>
      </c>
      <c r="B2746" s="140" t="s">
        <v>2515</v>
      </c>
      <c r="C2746" s="140" t="s">
        <v>9639</v>
      </c>
      <c r="D2746" s="140" t="s">
        <v>6309</v>
      </c>
      <c r="E2746" s="140" t="s">
        <v>9294</v>
      </c>
      <c r="F2746" s="140" t="s">
        <v>9294</v>
      </c>
      <c r="G2746" s="141" t="s">
        <v>6401</v>
      </c>
      <c r="H2746" s="140" t="s">
        <v>6330</v>
      </c>
      <c r="I2746" s="140" t="s">
        <v>6313</v>
      </c>
      <c r="J2746" s="140" t="s">
        <v>6314</v>
      </c>
      <c r="K2746" s="140" t="s">
        <v>6402</v>
      </c>
    </row>
    <row r="2747">
      <c r="A2747" s="140" t="s">
        <v>9566</v>
      </c>
      <c r="B2747" s="140" t="s">
        <v>2513</v>
      </c>
      <c r="C2747" s="140" t="s">
        <v>9640</v>
      </c>
      <c r="D2747" s="140" t="s">
        <v>6309</v>
      </c>
      <c r="E2747" s="140" t="s">
        <v>9294</v>
      </c>
      <c r="F2747" s="140" t="s">
        <v>9294</v>
      </c>
      <c r="G2747" s="141" t="s">
        <v>6401</v>
      </c>
      <c r="H2747" s="140" t="s">
        <v>6330</v>
      </c>
      <c r="I2747" s="140" t="s">
        <v>6313</v>
      </c>
      <c r="J2747" s="140" t="s">
        <v>6314</v>
      </c>
      <c r="K2747" s="140" t="s">
        <v>6402</v>
      </c>
    </row>
    <row r="2748">
      <c r="A2748" s="140" t="s">
        <v>9566</v>
      </c>
      <c r="B2748" s="140" t="s">
        <v>9641</v>
      </c>
      <c r="C2748" s="140" t="s">
        <v>9642</v>
      </c>
      <c r="D2748" s="140" t="s">
        <v>6309</v>
      </c>
      <c r="E2748" s="140" t="s">
        <v>9294</v>
      </c>
      <c r="F2748" s="140" t="s">
        <v>9294</v>
      </c>
      <c r="G2748" s="141" t="s">
        <v>6401</v>
      </c>
      <c r="H2748" s="140" t="s">
        <v>6330</v>
      </c>
      <c r="I2748" s="140" t="s">
        <v>6313</v>
      </c>
      <c r="J2748" s="140" t="s">
        <v>6314</v>
      </c>
      <c r="K2748" s="140" t="s">
        <v>6402</v>
      </c>
    </row>
    <row r="2749">
      <c r="A2749" s="140" t="s">
        <v>9566</v>
      </c>
      <c r="B2749" s="140" t="s">
        <v>4474</v>
      </c>
      <c r="C2749" s="140" t="s">
        <v>9643</v>
      </c>
      <c r="D2749" s="140" t="s">
        <v>6309</v>
      </c>
      <c r="E2749" s="140" t="s">
        <v>9294</v>
      </c>
      <c r="F2749" s="140" t="s">
        <v>9294</v>
      </c>
      <c r="G2749" s="141" t="s">
        <v>6401</v>
      </c>
      <c r="H2749" s="140" t="s">
        <v>6330</v>
      </c>
      <c r="I2749" s="140" t="s">
        <v>6313</v>
      </c>
      <c r="J2749" s="140" t="s">
        <v>6314</v>
      </c>
      <c r="K2749" s="140" t="s">
        <v>6402</v>
      </c>
    </row>
    <row r="2750">
      <c r="A2750" s="140" t="s">
        <v>5738</v>
      </c>
      <c r="B2750" s="140">
        <v>134515.0</v>
      </c>
      <c r="C2750" s="140" t="s">
        <v>9644</v>
      </c>
      <c r="D2750" s="140" t="s">
        <v>6318</v>
      </c>
      <c r="E2750" s="140" t="s">
        <v>1301</v>
      </c>
      <c r="F2750" s="140" t="s">
        <v>1302</v>
      </c>
      <c r="G2750" s="141" t="s">
        <v>6311</v>
      </c>
      <c r="H2750" s="140" t="s">
        <v>6312</v>
      </c>
      <c r="I2750" s="140" t="s">
        <v>6313</v>
      </c>
      <c r="J2750" s="140" t="s">
        <v>6319</v>
      </c>
      <c r="K2750" s="140" t="s">
        <v>6320</v>
      </c>
    </row>
    <row r="2751">
      <c r="A2751" s="140" t="s">
        <v>9645</v>
      </c>
      <c r="B2751" s="143">
        <v>7.32345E12</v>
      </c>
      <c r="C2751" s="140" t="s">
        <v>9646</v>
      </c>
      <c r="D2751" s="140" t="s">
        <v>6601</v>
      </c>
      <c r="E2751" s="140">
        <v>0.0</v>
      </c>
      <c r="F2751" s="140" t="s">
        <v>9647</v>
      </c>
      <c r="G2751" s="141" t="s">
        <v>6401</v>
      </c>
      <c r="H2751" s="140" t="s">
        <v>6312</v>
      </c>
      <c r="I2751" s="140" t="s">
        <v>6313</v>
      </c>
      <c r="J2751" s="140" t="s">
        <v>6314</v>
      </c>
      <c r="K2751" s="140" t="s">
        <v>9648</v>
      </c>
    </row>
    <row r="2752">
      <c r="A2752" s="140" t="s">
        <v>9645</v>
      </c>
      <c r="B2752" s="143">
        <v>7.32345E12</v>
      </c>
      <c r="C2752" s="140" t="s">
        <v>9649</v>
      </c>
      <c r="D2752" s="140" t="s">
        <v>6601</v>
      </c>
      <c r="E2752" s="140">
        <v>0.0</v>
      </c>
      <c r="F2752" s="140" t="s">
        <v>7087</v>
      </c>
      <c r="G2752" s="141" t="s">
        <v>6401</v>
      </c>
      <c r="H2752" s="140" t="s">
        <v>6312</v>
      </c>
      <c r="I2752" s="140" t="s">
        <v>6313</v>
      </c>
      <c r="J2752" s="140" t="s">
        <v>6314</v>
      </c>
      <c r="K2752" s="140" t="s">
        <v>9648</v>
      </c>
    </row>
    <row r="2753">
      <c r="A2753" s="140" t="s">
        <v>9645</v>
      </c>
      <c r="B2753" s="143">
        <v>7.32345E12</v>
      </c>
      <c r="C2753" s="140" t="s">
        <v>9650</v>
      </c>
      <c r="D2753" s="140" t="s">
        <v>6601</v>
      </c>
      <c r="E2753" s="140">
        <v>0.0</v>
      </c>
      <c r="F2753" s="140" t="s">
        <v>7087</v>
      </c>
      <c r="G2753" s="141" t="s">
        <v>6401</v>
      </c>
      <c r="H2753" s="140" t="s">
        <v>6312</v>
      </c>
      <c r="I2753" s="140" t="s">
        <v>6313</v>
      </c>
      <c r="J2753" s="140" t="s">
        <v>6314</v>
      </c>
      <c r="K2753" s="140" t="s">
        <v>9648</v>
      </c>
    </row>
    <row r="2754">
      <c r="A2754" s="140" t="s">
        <v>9645</v>
      </c>
      <c r="B2754" s="143">
        <v>7.32345E12</v>
      </c>
      <c r="C2754" s="140" t="s">
        <v>9651</v>
      </c>
      <c r="D2754" s="140" t="s">
        <v>6601</v>
      </c>
      <c r="E2754" s="140">
        <v>0.0</v>
      </c>
      <c r="F2754" s="140" t="s">
        <v>7087</v>
      </c>
      <c r="G2754" s="141" t="s">
        <v>6401</v>
      </c>
      <c r="H2754" s="140" t="s">
        <v>6312</v>
      </c>
      <c r="I2754" s="140" t="s">
        <v>6313</v>
      </c>
      <c r="J2754" s="140" t="s">
        <v>6314</v>
      </c>
      <c r="K2754" s="140" t="s">
        <v>9648</v>
      </c>
    </row>
    <row r="2755">
      <c r="A2755" s="140" t="s">
        <v>9645</v>
      </c>
      <c r="B2755" s="143">
        <v>7.32345E12</v>
      </c>
      <c r="C2755" s="140" t="s">
        <v>9652</v>
      </c>
      <c r="D2755" s="140" t="s">
        <v>6601</v>
      </c>
      <c r="E2755" s="140">
        <v>0.0</v>
      </c>
      <c r="F2755" s="140" t="s">
        <v>7087</v>
      </c>
      <c r="G2755" s="141" t="s">
        <v>6401</v>
      </c>
      <c r="H2755" s="140" t="s">
        <v>6312</v>
      </c>
      <c r="I2755" s="140" t="s">
        <v>6313</v>
      </c>
      <c r="J2755" s="140" t="s">
        <v>6314</v>
      </c>
      <c r="K2755" s="140" t="s">
        <v>9648</v>
      </c>
    </row>
    <row r="2756">
      <c r="A2756" s="140" t="s">
        <v>9645</v>
      </c>
      <c r="B2756" s="143">
        <v>7.32345E12</v>
      </c>
      <c r="C2756" s="140" t="s">
        <v>9653</v>
      </c>
      <c r="D2756" s="140" t="s">
        <v>6601</v>
      </c>
      <c r="E2756" s="140">
        <v>0.0</v>
      </c>
      <c r="F2756" s="140" t="s">
        <v>7087</v>
      </c>
      <c r="G2756" s="141" t="s">
        <v>6401</v>
      </c>
      <c r="H2756" s="140" t="s">
        <v>6312</v>
      </c>
      <c r="I2756" s="140" t="s">
        <v>6313</v>
      </c>
      <c r="J2756" s="140" t="s">
        <v>6314</v>
      </c>
      <c r="K2756" s="140" t="s">
        <v>9648</v>
      </c>
    </row>
    <row r="2757">
      <c r="A2757" s="140" t="s">
        <v>9645</v>
      </c>
      <c r="B2757" s="143">
        <v>7.32345E12</v>
      </c>
      <c r="C2757" s="140" t="s">
        <v>9654</v>
      </c>
      <c r="D2757" s="140" t="s">
        <v>6601</v>
      </c>
      <c r="E2757" s="140">
        <v>0.0</v>
      </c>
      <c r="F2757" s="140" t="s">
        <v>6609</v>
      </c>
      <c r="G2757" s="141" t="s">
        <v>6401</v>
      </c>
      <c r="H2757" s="140" t="s">
        <v>6312</v>
      </c>
      <c r="I2757" s="140" t="s">
        <v>6313</v>
      </c>
      <c r="J2757" s="140" t="s">
        <v>6314</v>
      </c>
      <c r="K2757" s="140" t="s">
        <v>9648</v>
      </c>
    </row>
    <row r="2758">
      <c r="A2758" s="140" t="s">
        <v>9645</v>
      </c>
      <c r="B2758" s="143">
        <v>7.32345E12</v>
      </c>
      <c r="C2758" s="140" t="s">
        <v>9655</v>
      </c>
      <c r="D2758" s="140" t="s">
        <v>6601</v>
      </c>
      <c r="E2758" s="140">
        <v>0.0</v>
      </c>
      <c r="F2758" s="140" t="s">
        <v>6609</v>
      </c>
      <c r="G2758" s="141" t="s">
        <v>6401</v>
      </c>
      <c r="H2758" s="140" t="s">
        <v>6312</v>
      </c>
      <c r="I2758" s="140" t="s">
        <v>6313</v>
      </c>
      <c r="J2758" s="140" t="s">
        <v>6314</v>
      </c>
      <c r="K2758" s="140" t="s">
        <v>9648</v>
      </c>
    </row>
    <row r="2759">
      <c r="A2759" s="140" t="s">
        <v>9645</v>
      </c>
      <c r="B2759" s="143">
        <v>7.32345E12</v>
      </c>
      <c r="C2759" s="140" t="s">
        <v>9656</v>
      </c>
      <c r="D2759" s="140" t="s">
        <v>6601</v>
      </c>
      <c r="E2759" s="140">
        <v>0.0</v>
      </c>
      <c r="F2759" s="140" t="s">
        <v>6609</v>
      </c>
      <c r="G2759" s="141" t="s">
        <v>6401</v>
      </c>
      <c r="H2759" s="140" t="s">
        <v>6312</v>
      </c>
      <c r="I2759" s="140" t="s">
        <v>6313</v>
      </c>
      <c r="J2759" s="140" t="s">
        <v>6314</v>
      </c>
      <c r="K2759" s="140" t="s">
        <v>9648</v>
      </c>
    </row>
    <row r="2760">
      <c r="A2760" s="140" t="s">
        <v>9645</v>
      </c>
      <c r="B2760" s="143">
        <v>7.32345E12</v>
      </c>
      <c r="C2760" s="140" t="s">
        <v>9657</v>
      </c>
      <c r="D2760" s="140" t="s">
        <v>6601</v>
      </c>
      <c r="E2760" s="140">
        <v>0.0</v>
      </c>
      <c r="F2760" s="140" t="s">
        <v>6609</v>
      </c>
      <c r="G2760" s="141" t="s">
        <v>6401</v>
      </c>
      <c r="H2760" s="140" t="s">
        <v>6312</v>
      </c>
      <c r="I2760" s="140" t="s">
        <v>6313</v>
      </c>
      <c r="J2760" s="140" t="s">
        <v>6314</v>
      </c>
      <c r="K2760" s="140" t="s">
        <v>9648</v>
      </c>
    </row>
    <row r="2761">
      <c r="A2761" s="140" t="s">
        <v>9645</v>
      </c>
      <c r="B2761" s="143">
        <v>7.32345E12</v>
      </c>
      <c r="C2761" s="140" t="s">
        <v>9658</v>
      </c>
      <c r="D2761" s="140" t="s">
        <v>6601</v>
      </c>
      <c r="E2761" s="140">
        <v>0.0</v>
      </c>
      <c r="F2761" s="140" t="s">
        <v>6609</v>
      </c>
      <c r="G2761" s="141" t="s">
        <v>6401</v>
      </c>
      <c r="H2761" s="140" t="s">
        <v>6312</v>
      </c>
      <c r="I2761" s="140" t="s">
        <v>6313</v>
      </c>
      <c r="J2761" s="140" t="s">
        <v>6314</v>
      </c>
      <c r="K2761" s="140" t="s">
        <v>9648</v>
      </c>
    </row>
    <row r="2762">
      <c r="A2762" s="140" t="s">
        <v>9645</v>
      </c>
      <c r="B2762" s="143">
        <v>7.32345E12</v>
      </c>
      <c r="C2762" s="140" t="s">
        <v>9659</v>
      </c>
      <c r="D2762" s="140" t="s">
        <v>6601</v>
      </c>
      <c r="E2762" s="140">
        <v>0.0</v>
      </c>
      <c r="F2762" s="140" t="s">
        <v>6609</v>
      </c>
      <c r="G2762" s="141" t="s">
        <v>6401</v>
      </c>
      <c r="H2762" s="140" t="s">
        <v>6312</v>
      </c>
      <c r="I2762" s="140" t="s">
        <v>6313</v>
      </c>
      <c r="J2762" s="140" t="s">
        <v>6314</v>
      </c>
      <c r="K2762" s="140" t="s">
        <v>9648</v>
      </c>
    </row>
    <row r="2763">
      <c r="A2763" s="140" t="s">
        <v>9645</v>
      </c>
      <c r="B2763" s="143">
        <v>7.32345E12</v>
      </c>
      <c r="C2763" s="140" t="s">
        <v>9660</v>
      </c>
      <c r="D2763" s="140" t="s">
        <v>6601</v>
      </c>
      <c r="E2763" s="140">
        <v>0.0</v>
      </c>
      <c r="F2763" s="140" t="s">
        <v>6609</v>
      </c>
      <c r="G2763" s="141" t="s">
        <v>6401</v>
      </c>
      <c r="H2763" s="140" t="s">
        <v>6312</v>
      </c>
      <c r="I2763" s="140" t="s">
        <v>6313</v>
      </c>
      <c r="J2763" s="140" t="s">
        <v>6314</v>
      </c>
      <c r="K2763" s="140" t="s">
        <v>9648</v>
      </c>
    </row>
    <row r="2764">
      <c r="A2764" s="140" t="s">
        <v>9645</v>
      </c>
      <c r="B2764" s="143">
        <v>7.32345E12</v>
      </c>
      <c r="C2764" s="140" t="s">
        <v>9661</v>
      </c>
      <c r="D2764" s="140" t="s">
        <v>6601</v>
      </c>
      <c r="E2764" s="140">
        <v>0.0</v>
      </c>
      <c r="F2764" s="140" t="s">
        <v>6609</v>
      </c>
      <c r="G2764" s="141" t="s">
        <v>6401</v>
      </c>
      <c r="H2764" s="140" t="s">
        <v>6312</v>
      </c>
      <c r="I2764" s="140" t="s">
        <v>6313</v>
      </c>
      <c r="J2764" s="140" t="s">
        <v>6314</v>
      </c>
      <c r="K2764" s="140" t="s">
        <v>9648</v>
      </c>
    </row>
    <row r="2765">
      <c r="A2765" s="140" t="s">
        <v>9645</v>
      </c>
      <c r="B2765" s="143">
        <v>7.32345E12</v>
      </c>
      <c r="C2765" s="140" t="s">
        <v>9662</v>
      </c>
      <c r="D2765" s="140" t="s">
        <v>6601</v>
      </c>
      <c r="E2765" s="140">
        <v>0.0</v>
      </c>
      <c r="F2765" s="140" t="s">
        <v>6609</v>
      </c>
      <c r="G2765" s="141" t="s">
        <v>6401</v>
      </c>
      <c r="H2765" s="140" t="s">
        <v>6312</v>
      </c>
      <c r="I2765" s="140" t="s">
        <v>6313</v>
      </c>
      <c r="J2765" s="140" t="s">
        <v>6314</v>
      </c>
      <c r="K2765" s="140" t="s">
        <v>9648</v>
      </c>
    </row>
    <row r="2766">
      <c r="A2766" s="140" t="s">
        <v>9645</v>
      </c>
      <c r="B2766" s="143">
        <v>7.32345E12</v>
      </c>
      <c r="C2766" s="140" t="s">
        <v>9663</v>
      </c>
      <c r="D2766" s="140" t="s">
        <v>6601</v>
      </c>
      <c r="E2766" s="140">
        <v>0.0</v>
      </c>
      <c r="F2766" s="140" t="s">
        <v>6609</v>
      </c>
      <c r="G2766" s="141" t="s">
        <v>6401</v>
      </c>
      <c r="H2766" s="140" t="s">
        <v>6312</v>
      </c>
      <c r="I2766" s="140" t="s">
        <v>6313</v>
      </c>
      <c r="J2766" s="140" t="s">
        <v>6314</v>
      </c>
      <c r="K2766" s="140" t="s">
        <v>9648</v>
      </c>
    </row>
    <row r="2767">
      <c r="A2767" s="140" t="s">
        <v>9645</v>
      </c>
      <c r="B2767" s="143">
        <v>7.32345E12</v>
      </c>
      <c r="C2767" s="140" t="s">
        <v>9664</v>
      </c>
      <c r="D2767" s="140" t="s">
        <v>6601</v>
      </c>
      <c r="E2767" s="140">
        <v>0.0</v>
      </c>
      <c r="F2767" s="140" t="s">
        <v>6609</v>
      </c>
      <c r="G2767" s="141" t="s">
        <v>6401</v>
      </c>
      <c r="H2767" s="140" t="s">
        <v>6312</v>
      </c>
      <c r="I2767" s="140" t="s">
        <v>6313</v>
      </c>
      <c r="J2767" s="140" t="s">
        <v>6314</v>
      </c>
      <c r="K2767" s="140" t="s">
        <v>9648</v>
      </c>
    </row>
    <row r="2768">
      <c r="A2768" s="140" t="s">
        <v>9645</v>
      </c>
      <c r="B2768" s="143">
        <v>7.32345E12</v>
      </c>
      <c r="C2768" s="140" t="s">
        <v>9665</v>
      </c>
      <c r="D2768" s="140" t="s">
        <v>6601</v>
      </c>
      <c r="E2768" s="140">
        <v>0.0</v>
      </c>
      <c r="F2768" s="140" t="s">
        <v>6609</v>
      </c>
      <c r="G2768" s="141" t="s">
        <v>6401</v>
      </c>
      <c r="H2768" s="140" t="s">
        <v>6312</v>
      </c>
      <c r="I2768" s="140" t="s">
        <v>6313</v>
      </c>
      <c r="J2768" s="140" t="s">
        <v>6314</v>
      </c>
      <c r="K2768" s="140" t="s">
        <v>9648</v>
      </c>
    </row>
    <row r="2769">
      <c r="A2769" s="140" t="s">
        <v>9645</v>
      </c>
      <c r="B2769" s="143">
        <v>7.32345E12</v>
      </c>
      <c r="C2769" s="140" t="s">
        <v>9666</v>
      </c>
      <c r="D2769" s="140" t="s">
        <v>6601</v>
      </c>
      <c r="E2769" s="140">
        <v>0.0</v>
      </c>
      <c r="F2769" s="140" t="s">
        <v>6609</v>
      </c>
      <c r="G2769" s="141" t="s">
        <v>6401</v>
      </c>
      <c r="H2769" s="140" t="s">
        <v>6312</v>
      </c>
      <c r="I2769" s="140" t="s">
        <v>6313</v>
      </c>
      <c r="J2769" s="140" t="s">
        <v>6314</v>
      </c>
      <c r="K2769" s="140" t="s">
        <v>9648</v>
      </c>
    </row>
    <row r="2770">
      <c r="A2770" s="140" t="s">
        <v>9645</v>
      </c>
      <c r="B2770" s="143">
        <v>7.32345E12</v>
      </c>
      <c r="C2770" s="140" t="s">
        <v>9667</v>
      </c>
      <c r="D2770" s="140" t="s">
        <v>6601</v>
      </c>
      <c r="E2770" s="140">
        <v>0.0</v>
      </c>
      <c r="F2770" s="140" t="s">
        <v>9668</v>
      </c>
      <c r="G2770" s="141" t="s">
        <v>6401</v>
      </c>
      <c r="H2770" s="140" t="s">
        <v>6312</v>
      </c>
      <c r="I2770" s="140" t="s">
        <v>6313</v>
      </c>
      <c r="J2770" s="140" t="s">
        <v>6314</v>
      </c>
      <c r="K2770" s="140" t="s">
        <v>9648</v>
      </c>
    </row>
    <row r="2771">
      <c r="A2771" s="140" t="s">
        <v>9645</v>
      </c>
      <c r="B2771" s="143">
        <v>7.32345E12</v>
      </c>
      <c r="C2771" s="140" t="s">
        <v>9669</v>
      </c>
      <c r="D2771" s="140" t="s">
        <v>6601</v>
      </c>
      <c r="E2771" s="140">
        <v>0.0</v>
      </c>
      <c r="F2771" s="140" t="s">
        <v>9668</v>
      </c>
      <c r="G2771" s="141" t="s">
        <v>6401</v>
      </c>
      <c r="H2771" s="140" t="s">
        <v>6312</v>
      </c>
      <c r="I2771" s="140" t="s">
        <v>6313</v>
      </c>
      <c r="J2771" s="140" t="s">
        <v>6314</v>
      </c>
      <c r="K2771" s="140" t="s">
        <v>9648</v>
      </c>
    </row>
    <row r="2772">
      <c r="A2772" s="140" t="s">
        <v>9645</v>
      </c>
      <c r="B2772" s="143">
        <v>7.32345E12</v>
      </c>
      <c r="C2772" s="140" t="s">
        <v>9670</v>
      </c>
      <c r="D2772" s="140" t="s">
        <v>6601</v>
      </c>
      <c r="E2772" s="140">
        <v>0.0</v>
      </c>
      <c r="F2772" s="140" t="s">
        <v>9668</v>
      </c>
      <c r="G2772" s="141" t="s">
        <v>6401</v>
      </c>
      <c r="H2772" s="140" t="s">
        <v>6312</v>
      </c>
      <c r="I2772" s="140" t="s">
        <v>6313</v>
      </c>
      <c r="J2772" s="140" t="s">
        <v>6314</v>
      </c>
      <c r="K2772" s="140" t="s">
        <v>9648</v>
      </c>
    </row>
    <row r="2773">
      <c r="A2773" s="140" t="s">
        <v>9645</v>
      </c>
      <c r="B2773" s="143">
        <v>7.32345E12</v>
      </c>
      <c r="C2773" s="140" t="s">
        <v>9671</v>
      </c>
      <c r="D2773" s="140" t="s">
        <v>6601</v>
      </c>
      <c r="E2773" s="140">
        <v>0.0</v>
      </c>
      <c r="F2773" s="140" t="s">
        <v>9668</v>
      </c>
      <c r="G2773" s="141" t="s">
        <v>6401</v>
      </c>
      <c r="H2773" s="140" t="s">
        <v>6312</v>
      </c>
      <c r="I2773" s="140" t="s">
        <v>6313</v>
      </c>
      <c r="J2773" s="140" t="s">
        <v>6314</v>
      </c>
      <c r="K2773" s="140" t="s">
        <v>9648</v>
      </c>
    </row>
    <row r="2774">
      <c r="A2774" s="140" t="s">
        <v>9645</v>
      </c>
      <c r="B2774" s="143">
        <v>7.32345E12</v>
      </c>
      <c r="C2774" s="140" t="s">
        <v>9672</v>
      </c>
      <c r="D2774" s="140" t="s">
        <v>6601</v>
      </c>
      <c r="E2774" s="140">
        <v>0.0</v>
      </c>
      <c r="F2774" s="140" t="s">
        <v>9668</v>
      </c>
      <c r="G2774" s="141" t="s">
        <v>6401</v>
      </c>
      <c r="H2774" s="140" t="s">
        <v>6312</v>
      </c>
      <c r="I2774" s="140" t="s">
        <v>6313</v>
      </c>
      <c r="J2774" s="140" t="s">
        <v>6314</v>
      </c>
      <c r="K2774" s="140" t="s">
        <v>9648</v>
      </c>
    </row>
    <row r="2775">
      <c r="A2775" s="140" t="s">
        <v>9645</v>
      </c>
      <c r="B2775" s="143">
        <v>7.32345E12</v>
      </c>
      <c r="C2775" s="140" t="s">
        <v>9673</v>
      </c>
      <c r="D2775" s="140" t="s">
        <v>6601</v>
      </c>
      <c r="E2775" s="140">
        <v>0.0</v>
      </c>
      <c r="F2775" s="140" t="s">
        <v>9668</v>
      </c>
      <c r="G2775" s="141" t="s">
        <v>6401</v>
      </c>
      <c r="H2775" s="140" t="s">
        <v>6312</v>
      </c>
      <c r="I2775" s="140" t="s">
        <v>6313</v>
      </c>
      <c r="J2775" s="140" t="s">
        <v>6314</v>
      </c>
      <c r="K2775" s="140" t="s">
        <v>9648</v>
      </c>
    </row>
    <row r="2776">
      <c r="A2776" s="140" t="s">
        <v>9645</v>
      </c>
      <c r="B2776" s="143">
        <v>7.32345E12</v>
      </c>
      <c r="C2776" s="140" t="s">
        <v>9674</v>
      </c>
      <c r="D2776" s="140" t="s">
        <v>6601</v>
      </c>
      <c r="E2776" s="140">
        <v>0.0</v>
      </c>
      <c r="F2776" s="140" t="s">
        <v>9668</v>
      </c>
      <c r="G2776" s="141" t="s">
        <v>6401</v>
      </c>
      <c r="H2776" s="140" t="s">
        <v>6312</v>
      </c>
      <c r="I2776" s="140" t="s">
        <v>6313</v>
      </c>
      <c r="J2776" s="140" t="s">
        <v>6314</v>
      </c>
      <c r="K2776" s="140" t="s">
        <v>9648</v>
      </c>
    </row>
    <row r="2777">
      <c r="A2777" s="140" t="s">
        <v>9645</v>
      </c>
      <c r="B2777" s="143">
        <v>7.32345E12</v>
      </c>
      <c r="C2777" s="140" t="s">
        <v>9675</v>
      </c>
      <c r="D2777" s="140" t="s">
        <v>6601</v>
      </c>
      <c r="E2777" s="140">
        <v>0.0</v>
      </c>
      <c r="F2777" s="140" t="s">
        <v>9668</v>
      </c>
      <c r="G2777" s="141" t="s">
        <v>6401</v>
      </c>
      <c r="H2777" s="140" t="s">
        <v>6312</v>
      </c>
      <c r="I2777" s="140" t="s">
        <v>6313</v>
      </c>
      <c r="J2777" s="140" t="s">
        <v>6314</v>
      </c>
      <c r="K2777" s="140" t="s">
        <v>9648</v>
      </c>
    </row>
    <row r="2778">
      <c r="A2778" s="140" t="s">
        <v>9645</v>
      </c>
      <c r="B2778" s="143">
        <v>7.32345E12</v>
      </c>
      <c r="C2778" s="140" t="s">
        <v>9676</v>
      </c>
      <c r="D2778" s="140" t="s">
        <v>6601</v>
      </c>
      <c r="E2778" s="140" t="s">
        <v>526</v>
      </c>
      <c r="F2778" s="140" t="s">
        <v>9677</v>
      </c>
      <c r="G2778" s="141" t="s">
        <v>6401</v>
      </c>
      <c r="H2778" s="140" t="s">
        <v>6312</v>
      </c>
      <c r="I2778" s="140" t="s">
        <v>6313</v>
      </c>
      <c r="J2778" s="140" t="s">
        <v>6314</v>
      </c>
      <c r="K2778" s="140" t="s">
        <v>9648</v>
      </c>
    </row>
    <row r="2779">
      <c r="A2779" s="140" t="s">
        <v>9645</v>
      </c>
      <c r="B2779" s="143">
        <v>7.32345E12</v>
      </c>
      <c r="C2779" s="140" t="s">
        <v>9678</v>
      </c>
      <c r="D2779" s="140" t="s">
        <v>6601</v>
      </c>
      <c r="E2779" s="140" t="s">
        <v>526</v>
      </c>
      <c r="F2779" s="140" t="s">
        <v>9677</v>
      </c>
      <c r="G2779" s="141" t="s">
        <v>6401</v>
      </c>
      <c r="H2779" s="140" t="s">
        <v>6312</v>
      </c>
      <c r="I2779" s="140" t="s">
        <v>6313</v>
      </c>
      <c r="J2779" s="140" t="s">
        <v>6314</v>
      </c>
      <c r="K2779" s="140" t="s">
        <v>9648</v>
      </c>
    </row>
    <row r="2780">
      <c r="A2780" s="140" t="s">
        <v>9645</v>
      </c>
      <c r="B2780" s="143">
        <v>7.32345E12</v>
      </c>
      <c r="C2780" s="140" t="s">
        <v>9679</v>
      </c>
      <c r="D2780" s="140" t="s">
        <v>6601</v>
      </c>
      <c r="E2780" s="140" t="s">
        <v>526</v>
      </c>
      <c r="F2780" s="140" t="s">
        <v>9677</v>
      </c>
      <c r="G2780" s="141" t="s">
        <v>6401</v>
      </c>
      <c r="H2780" s="140" t="s">
        <v>6312</v>
      </c>
      <c r="I2780" s="140" t="s">
        <v>6313</v>
      </c>
      <c r="J2780" s="140" t="s">
        <v>6314</v>
      </c>
      <c r="K2780" s="140" t="s">
        <v>9648</v>
      </c>
    </row>
    <row r="2781">
      <c r="A2781" s="140" t="s">
        <v>9645</v>
      </c>
      <c r="B2781" s="143">
        <v>7.32345E12</v>
      </c>
      <c r="C2781" s="140" t="s">
        <v>9680</v>
      </c>
      <c r="D2781" s="140" t="s">
        <v>6601</v>
      </c>
      <c r="E2781" s="140" t="s">
        <v>526</v>
      </c>
      <c r="F2781" s="140" t="s">
        <v>9677</v>
      </c>
      <c r="G2781" s="141" t="s">
        <v>6401</v>
      </c>
      <c r="H2781" s="140" t="s">
        <v>6312</v>
      </c>
      <c r="I2781" s="140" t="s">
        <v>6313</v>
      </c>
      <c r="J2781" s="140" t="s">
        <v>6314</v>
      </c>
      <c r="K2781" s="140" t="s">
        <v>9648</v>
      </c>
    </row>
    <row r="2782">
      <c r="A2782" s="140" t="s">
        <v>9645</v>
      </c>
      <c r="B2782" s="143">
        <v>7.32345E12</v>
      </c>
      <c r="C2782" s="140" t="s">
        <v>9681</v>
      </c>
      <c r="D2782" s="140" t="s">
        <v>6601</v>
      </c>
      <c r="E2782" s="140" t="s">
        <v>526</v>
      </c>
      <c r="F2782" s="140" t="s">
        <v>9677</v>
      </c>
      <c r="G2782" s="141" t="s">
        <v>6401</v>
      </c>
      <c r="H2782" s="140" t="s">
        <v>6312</v>
      </c>
      <c r="I2782" s="140" t="s">
        <v>6313</v>
      </c>
      <c r="J2782" s="140" t="s">
        <v>6314</v>
      </c>
      <c r="K2782" s="140" t="s">
        <v>9648</v>
      </c>
    </row>
    <row r="2783">
      <c r="A2783" s="140" t="s">
        <v>9645</v>
      </c>
      <c r="B2783" s="143">
        <v>7.32345E12</v>
      </c>
      <c r="C2783" s="140" t="s">
        <v>9682</v>
      </c>
      <c r="D2783" s="140" t="s">
        <v>6601</v>
      </c>
      <c r="E2783" s="140" t="s">
        <v>526</v>
      </c>
      <c r="F2783" s="140" t="s">
        <v>9677</v>
      </c>
      <c r="G2783" s="141" t="s">
        <v>6401</v>
      </c>
      <c r="H2783" s="140" t="s">
        <v>6312</v>
      </c>
      <c r="I2783" s="140" t="s">
        <v>6313</v>
      </c>
      <c r="J2783" s="140" t="s">
        <v>6314</v>
      </c>
      <c r="K2783" s="140" t="s">
        <v>9648</v>
      </c>
    </row>
    <row r="2784">
      <c r="A2784" s="140" t="s">
        <v>9645</v>
      </c>
      <c r="B2784" s="143">
        <v>7.39216E12</v>
      </c>
      <c r="C2784" s="140" t="s">
        <v>9683</v>
      </c>
      <c r="D2784" s="140" t="s">
        <v>6601</v>
      </c>
      <c r="E2784" s="140" t="s">
        <v>526</v>
      </c>
      <c r="F2784" s="140" t="s">
        <v>9677</v>
      </c>
      <c r="G2784" s="141" t="s">
        <v>6401</v>
      </c>
      <c r="H2784" s="140" t="s">
        <v>6312</v>
      </c>
      <c r="I2784" s="140" t="s">
        <v>6313</v>
      </c>
      <c r="J2784" s="140" t="s">
        <v>6314</v>
      </c>
      <c r="K2784" s="140" t="s">
        <v>9648</v>
      </c>
    </row>
    <row r="2785">
      <c r="A2785" s="140" t="s">
        <v>9645</v>
      </c>
      <c r="B2785" s="143">
        <v>7.32345E12</v>
      </c>
      <c r="C2785" s="140" t="s">
        <v>9684</v>
      </c>
      <c r="D2785" s="140" t="s">
        <v>6601</v>
      </c>
      <c r="E2785" s="140" t="s">
        <v>526</v>
      </c>
      <c r="F2785" s="140" t="s">
        <v>527</v>
      </c>
      <c r="G2785" s="141" t="s">
        <v>6401</v>
      </c>
      <c r="H2785" s="140" t="s">
        <v>6312</v>
      </c>
      <c r="I2785" s="140" t="s">
        <v>6313</v>
      </c>
      <c r="J2785" s="140" t="s">
        <v>6314</v>
      </c>
      <c r="K2785" s="140" t="s">
        <v>9648</v>
      </c>
    </row>
    <row r="2786">
      <c r="A2786" s="140" t="s">
        <v>9645</v>
      </c>
      <c r="B2786" s="143">
        <v>7.32345E12</v>
      </c>
      <c r="C2786" s="140" t="s">
        <v>9685</v>
      </c>
      <c r="D2786" s="140" t="s">
        <v>6601</v>
      </c>
      <c r="E2786" s="140" t="s">
        <v>526</v>
      </c>
      <c r="F2786" s="140" t="s">
        <v>527</v>
      </c>
      <c r="G2786" s="141" t="s">
        <v>6401</v>
      </c>
      <c r="H2786" s="140" t="s">
        <v>6312</v>
      </c>
      <c r="I2786" s="140" t="s">
        <v>6313</v>
      </c>
      <c r="J2786" s="140" t="s">
        <v>6314</v>
      </c>
      <c r="K2786" s="140" t="s">
        <v>9648</v>
      </c>
    </row>
    <row r="2787">
      <c r="A2787" s="140" t="s">
        <v>9645</v>
      </c>
      <c r="B2787" s="143">
        <v>7.32345E12</v>
      </c>
      <c r="C2787" s="140" t="s">
        <v>9686</v>
      </c>
      <c r="D2787" s="140" t="s">
        <v>6601</v>
      </c>
      <c r="E2787" s="140" t="s">
        <v>526</v>
      </c>
      <c r="F2787" s="140" t="s">
        <v>527</v>
      </c>
      <c r="G2787" s="141" t="s">
        <v>6401</v>
      </c>
      <c r="H2787" s="140" t="s">
        <v>6312</v>
      </c>
      <c r="I2787" s="140" t="s">
        <v>6313</v>
      </c>
      <c r="J2787" s="140" t="s">
        <v>6314</v>
      </c>
      <c r="K2787" s="140" t="s">
        <v>9648</v>
      </c>
    </row>
    <row r="2788">
      <c r="A2788" s="140" t="s">
        <v>9645</v>
      </c>
      <c r="B2788" s="143">
        <v>7.32345E12</v>
      </c>
      <c r="C2788" s="140" t="s">
        <v>9687</v>
      </c>
      <c r="D2788" s="140" t="s">
        <v>6601</v>
      </c>
      <c r="E2788" s="140" t="s">
        <v>526</v>
      </c>
      <c r="F2788" s="140" t="s">
        <v>527</v>
      </c>
      <c r="G2788" s="141" t="s">
        <v>6401</v>
      </c>
      <c r="H2788" s="140" t="s">
        <v>6312</v>
      </c>
      <c r="I2788" s="140" t="s">
        <v>6313</v>
      </c>
      <c r="J2788" s="140" t="s">
        <v>6314</v>
      </c>
      <c r="K2788" s="140" t="s">
        <v>9648</v>
      </c>
    </row>
    <row r="2789">
      <c r="A2789" s="140" t="s">
        <v>9645</v>
      </c>
      <c r="B2789" s="143">
        <v>7.32345E12</v>
      </c>
      <c r="C2789" s="140" t="s">
        <v>9688</v>
      </c>
      <c r="D2789" s="140" t="s">
        <v>6601</v>
      </c>
      <c r="E2789" s="140" t="s">
        <v>526</v>
      </c>
      <c r="F2789" s="140" t="s">
        <v>527</v>
      </c>
      <c r="G2789" s="141" t="s">
        <v>6401</v>
      </c>
      <c r="H2789" s="140" t="s">
        <v>6312</v>
      </c>
      <c r="I2789" s="140" t="s">
        <v>6313</v>
      </c>
      <c r="J2789" s="140" t="s">
        <v>6314</v>
      </c>
      <c r="K2789" s="140" t="s">
        <v>9648</v>
      </c>
    </row>
    <row r="2790">
      <c r="A2790" s="140" t="s">
        <v>9645</v>
      </c>
      <c r="B2790" s="143">
        <v>7.32345E12</v>
      </c>
      <c r="C2790" s="140" t="s">
        <v>9689</v>
      </c>
      <c r="D2790" s="140" t="s">
        <v>6601</v>
      </c>
      <c r="E2790" s="140" t="s">
        <v>526</v>
      </c>
      <c r="F2790" s="140" t="s">
        <v>527</v>
      </c>
      <c r="G2790" s="141" t="s">
        <v>6401</v>
      </c>
      <c r="H2790" s="140" t="s">
        <v>6312</v>
      </c>
      <c r="I2790" s="140" t="s">
        <v>6313</v>
      </c>
      <c r="J2790" s="140" t="s">
        <v>6314</v>
      </c>
      <c r="K2790" s="140" t="s">
        <v>9648</v>
      </c>
    </row>
    <row r="2791">
      <c r="A2791" s="140" t="s">
        <v>9645</v>
      </c>
      <c r="B2791" s="143">
        <v>7.32345E12</v>
      </c>
      <c r="C2791" s="140" t="s">
        <v>9689</v>
      </c>
      <c r="D2791" s="140" t="s">
        <v>6601</v>
      </c>
      <c r="E2791" s="140" t="s">
        <v>526</v>
      </c>
      <c r="F2791" s="140" t="s">
        <v>527</v>
      </c>
      <c r="G2791" s="141" t="s">
        <v>6401</v>
      </c>
      <c r="H2791" s="140" t="s">
        <v>6312</v>
      </c>
      <c r="I2791" s="140" t="s">
        <v>6313</v>
      </c>
      <c r="J2791" s="140" t="s">
        <v>6314</v>
      </c>
      <c r="K2791" s="140" t="s">
        <v>9648</v>
      </c>
    </row>
    <row r="2792">
      <c r="A2792" s="140" t="s">
        <v>9645</v>
      </c>
      <c r="B2792" s="143">
        <v>7.32345E12</v>
      </c>
      <c r="C2792" s="140" t="s">
        <v>9690</v>
      </c>
      <c r="D2792" s="140" t="s">
        <v>6601</v>
      </c>
      <c r="E2792" s="140" t="s">
        <v>526</v>
      </c>
      <c r="F2792" s="140" t="s">
        <v>7105</v>
      </c>
      <c r="G2792" s="141" t="s">
        <v>6401</v>
      </c>
      <c r="H2792" s="140" t="s">
        <v>6312</v>
      </c>
      <c r="I2792" s="140" t="s">
        <v>6313</v>
      </c>
      <c r="J2792" s="140" t="s">
        <v>6314</v>
      </c>
      <c r="K2792" s="140" t="s">
        <v>9648</v>
      </c>
    </row>
    <row r="2793">
      <c r="A2793" s="140" t="s">
        <v>9645</v>
      </c>
      <c r="B2793" s="143">
        <v>7.32345E12</v>
      </c>
      <c r="C2793" s="140" t="s">
        <v>9691</v>
      </c>
      <c r="D2793" s="140" t="s">
        <v>6601</v>
      </c>
      <c r="E2793" s="140" t="s">
        <v>526</v>
      </c>
      <c r="F2793" s="140" t="s">
        <v>7105</v>
      </c>
      <c r="G2793" s="141" t="s">
        <v>6401</v>
      </c>
      <c r="H2793" s="140" t="s">
        <v>6312</v>
      </c>
      <c r="I2793" s="140" t="s">
        <v>6313</v>
      </c>
      <c r="J2793" s="140" t="s">
        <v>6314</v>
      </c>
      <c r="K2793" s="140" t="s">
        <v>9648</v>
      </c>
    </row>
    <row r="2794">
      <c r="A2794" s="140" t="s">
        <v>9645</v>
      </c>
      <c r="B2794" s="143">
        <v>7.32345E12</v>
      </c>
      <c r="C2794" s="140" t="s">
        <v>9692</v>
      </c>
      <c r="D2794" s="140" t="s">
        <v>6601</v>
      </c>
      <c r="E2794" s="140" t="s">
        <v>526</v>
      </c>
      <c r="F2794" s="140" t="s">
        <v>7105</v>
      </c>
      <c r="G2794" s="141" t="s">
        <v>6401</v>
      </c>
      <c r="H2794" s="140" t="s">
        <v>6312</v>
      </c>
      <c r="I2794" s="140" t="s">
        <v>6313</v>
      </c>
      <c r="J2794" s="140" t="s">
        <v>6314</v>
      </c>
      <c r="K2794" s="140" t="s">
        <v>9648</v>
      </c>
    </row>
    <row r="2795">
      <c r="A2795" s="140" t="s">
        <v>9645</v>
      </c>
      <c r="B2795" s="143">
        <v>7.32345E12</v>
      </c>
      <c r="C2795" s="140" t="s">
        <v>9693</v>
      </c>
      <c r="D2795" s="140" t="s">
        <v>6601</v>
      </c>
      <c r="E2795" s="140" t="s">
        <v>526</v>
      </c>
      <c r="F2795" s="140" t="s">
        <v>7105</v>
      </c>
      <c r="G2795" s="141" t="s">
        <v>6401</v>
      </c>
      <c r="H2795" s="140" t="s">
        <v>6312</v>
      </c>
      <c r="I2795" s="140" t="s">
        <v>6313</v>
      </c>
      <c r="J2795" s="140" t="s">
        <v>6314</v>
      </c>
      <c r="K2795" s="140" t="s">
        <v>9648</v>
      </c>
    </row>
    <row r="2796">
      <c r="A2796" s="140" t="s">
        <v>9645</v>
      </c>
      <c r="B2796" s="143">
        <v>7.32345E12</v>
      </c>
      <c r="C2796" s="140" t="s">
        <v>9694</v>
      </c>
      <c r="D2796" s="140" t="s">
        <v>6601</v>
      </c>
      <c r="E2796" s="140" t="s">
        <v>526</v>
      </c>
      <c r="F2796" s="140" t="s">
        <v>7105</v>
      </c>
      <c r="G2796" s="141" t="s">
        <v>6401</v>
      </c>
      <c r="H2796" s="140" t="s">
        <v>6312</v>
      </c>
      <c r="I2796" s="140" t="s">
        <v>6313</v>
      </c>
      <c r="J2796" s="140" t="s">
        <v>6314</v>
      </c>
      <c r="K2796" s="140" t="s">
        <v>9648</v>
      </c>
    </row>
    <row r="2797">
      <c r="A2797" s="140" t="s">
        <v>9645</v>
      </c>
      <c r="B2797" s="143">
        <v>7.32345E12</v>
      </c>
      <c r="C2797" s="140" t="s">
        <v>9695</v>
      </c>
      <c r="D2797" s="140" t="s">
        <v>6601</v>
      </c>
      <c r="E2797" s="140" t="s">
        <v>526</v>
      </c>
      <c r="F2797" s="140" t="s">
        <v>7112</v>
      </c>
      <c r="G2797" s="141" t="s">
        <v>6401</v>
      </c>
      <c r="H2797" s="140" t="s">
        <v>6312</v>
      </c>
      <c r="I2797" s="140" t="s">
        <v>6313</v>
      </c>
      <c r="J2797" s="140" t="s">
        <v>6314</v>
      </c>
      <c r="K2797" s="140" t="s">
        <v>9648</v>
      </c>
    </row>
    <row r="2798">
      <c r="A2798" s="140" t="s">
        <v>9645</v>
      </c>
      <c r="B2798" s="143">
        <v>7.32345E12</v>
      </c>
      <c r="C2798" s="140" t="s">
        <v>9696</v>
      </c>
      <c r="D2798" s="140" t="s">
        <v>6601</v>
      </c>
      <c r="E2798" s="140" t="s">
        <v>526</v>
      </c>
      <c r="F2798" s="140" t="s">
        <v>7112</v>
      </c>
      <c r="G2798" s="141" t="s">
        <v>6401</v>
      </c>
      <c r="H2798" s="140" t="s">
        <v>6312</v>
      </c>
      <c r="I2798" s="140" t="s">
        <v>6313</v>
      </c>
      <c r="J2798" s="140" t="s">
        <v>6314</v>
      </c>
      <c r="K2798" s="140" t="s">
        <v>9648</v>
      </c>
    </row>
    <row r="2799">
      <c r="A2799" s="140" t="s">
        <v>9645</v>
      </c>
      <c r="B2799" s="143">
        <v>7.32345E12</v>
      </c>
      <c r="C2799" s="140" t="s">
        <v>9697</v>
      </c>
      <c r="D2799" s="140" t="s">
        <v>6601</v>
      </c>
      <c r="E2799" s="140" t="s">
        <v>526</v>
      </c>
      <c r="F2799" s="140" t="s">
        <v>7112</v>
      </c>
      <c r="G2799" s="141" t="s">
        <v>6401</v>
      </c>
      <c r="H2799" s="140" t="s">
        <v>6312</v>
      </c>
      <c r="I2799" s="140" t="s">
        <v>6313</v>
      </c>
      <c r="J2799" s="140" t="s">
        <v>6314</v>
      </c>
      <c r="K2799" s="140" t="s">
        <v>9648</v>
      </c>
    </row>
    <row r="2800">
      <c r="A2800" s="140" t="s">
        <v>9645</v>
      </c>
      <c r="B2800" s="143">
        <v>7.32345E12</v>
      </c>
      <c r="C2800" s="140" t="s">
        <v>9698</v>
      </c>
      <c r="D2800" s="140" t="s">
        <v>6601</v>
      </c>
      <c r="E2800" s="140" t="s">
        <v>526</v>
      </c>
      <c r="F2800" s="140" t="s">
        <v>7112</v>
      </c>
      <c r="G2800" s="141" t="s">
        <v>6401</v>
      </c>
      <c r="H2800" s="140" t="s">
        <v>6312</v>
      </c>
      <c r="I2800" s="140" t="s">
        <v>6313</v>
      </c>
      <c r="J2800" s="140" t="s">
        <v>6314</v>
      </c>
      <c r="K2800" s="140" t="s">
        <v>9648</v>
      </c>
    </row>
    <row r="2801">
      <c r="A2801" s="140" t="s">
        <v>9645</v>
      </c>
      <c r="B2801" s="143">
        <v>7.32345E12</v>
      </c>
      <c r="C2801" s="140" t="s">
        <v>9699</v>
      </c>
      <c r="D2801" s="140" t="s">
        <v>6601</v>
      </c>
      <c r="E2801" s="140" t="s">
        <v>526</v>
      </c>
      <c r="F2801" s="140" t="s">
        <v>7112</v>
      </c>
      <c r="G2801" s="141" t="s">
        <v>6401</v>
      </c>
      <c r="H2801" s="140" t="s">
        <v>6312</v>
      </c>
      <c r="I2801" s="140" t="s">
        <v>6313</v>
      </c>
      <c r="J2801" s="140" t="s">
        <v>6314</v>
      </c>
      <c r="K2801" s="140" t="s">
        <v>9648</v>
      </c>
    </row>
    <row r="2802">
      <c r="A2802" s="140" t="s">
        <v>9645</v>
      </c>
      <c r="B2802" s="143">
        <v>7.32345E12</v>
      </c>
      <c r="C2802" s="140" t="s">
        <v>9700</v>
      </c>
      <c r="D2802" s="140" t="s">
        <v>6601</v>
      </c>
      <c r="E2802" s="140" t="s">
        <v>526</v>
      </c>
      <c r="F2802" s="140" t="s">
        <v>175</v>
      </c>
      <c r="G2802" s="141" t="s">
        <v>6401</v>
      </c>
      <c r="H2802" s="140" t="s">
        <v>6312</v>
      </c>
      <c r="I2802" s="140" t="s">
        <v>6313</v>
      </c>
      <c r="J2802" s="140" t="s">
        <v>6314</v>
      </c>
      <c r="K2802" s="140" t="s">
        <v>9648</v>
      </c>
    </row>
    <row r="2803">
      <c r="A2803" s="140" t="s">
        <v>9645</v>
      </c>
      <c r="B2803" s="143">
        <v>7.32345E12</v>
      </c>
      <c r="C2803" s="140" t="s">
        <v>9701</v>
      </c>
      <c r="D2803" s="140" t="s">
        <v>6601</v>
      </c>
      <c r="E2803" s="140" t="s">
        <v>526</v>
      </c>
      <c r="F2803" s="140" t="s">
        <v>175</v>
      </c>
      <c r="G2803" s="141" t="s">
        <v>6401</v>
      </c>
      <c r="H2803" s="140" t="s">
        <v>6312</v>
      </c>
      <c r="I2803" s="140" t="s">
        <v>6313</v>
      </c>
      <c r="J2803" s="140" t="s">
        <v>6314</v>
      </c>
      <c r="K2803" s="140" t="s">
        <v>9648</v>
      </c>
    </row>
    <row r="2804">
      <c r="A2804" s="140" t="s">
        <v>9645</v>
      </c>
      <c r="B2804" s="143">
        <v>7.32345E12</v>
      </c>
      <c r="C2804" s="140" t="s">
        <v>9702</v>
      </c>
      <c r="D2804" s="140" t="s">
        <v>6601</v>
      </c>
      <c r="E2804" s="140" t="s">
        <v>526</v>
      </c>
      <c r="F2804" s="140" t="s">
        <v>175</v>
      </c>
      <c r="G2804" s="141" t="s">
        <v>6401</v>
      </c>
      <c r="H2804" s="140" t="s">
        <v>6312</v>
      </c>
      <c r="I2804" s="140" t="s">
        <v>6313</v>
      </c>
      <c r="J2804" s="140" t="s">
        <v>6314</v>
      </c>
      <c r="K2804" s="140" t="s">
        <v>9648</v>
      </c>
    </row>
    <row r="2805">
      <c r="A2805" s="140" t="s">
        <v>9645</v>
      </c>
      <c r="B2805" s="143">
        <v>7.39216E12</v>
      </c>
      <c r="C2805" s="140" t="s">
        <v>9703</v>
      </c>
      <c r="D2805" s="140" t="s">
        <v>6601</v>
      </c>
      <c r="E2805" s="140" t="s">
        <v>526</v>
      </c>
      <c r="F2805" s="140" t="s">
        <v>175</v>
      </c>
      <c r="G2805" s="141" t="s">
        <v>6401</v>
      </c>
      <c r="H2805" s="140" t="s">
        <v>6312</v>
      </c>
      <c r="I2805" s="140" t="s">
        <v>6313</v>
      </c>
      <c r="J2805" s="140" t="s">
        <v>6314</v>
      </c>
      <c r="K2805" s="140" t="s">
        <v>9648</v>
      </c>
    </row>
    <row r="2806">
      <c r="A2806" s="140" t="s">
        <v>9645</v>
      </c>
      <c r="B2806" s="143">
        <v>7.32345E12</v>
      </c>
      <c r="C2806" s="140" t="s">
        <v>9704</v>
      </c>
      <c r="D2806" s="140" t="s">
        <v>6601</v>
      </c>
      <c r="E2806" s="140" t="s">
        <v>526</v>
      </c>
      <c r="F2806" s="140" t="s">
        <v>175</v>
      </c>
      <c r="G2806" s="141" t="s">
        <v>6401</v>
      </c>
      <c r="H2806" s="140" t="s">
        <v>6312</v>
      </c>
      <c r="I2806" s="140" t="s">
        <v>6313</v>
      </c>
      <c r="J2806" s="140" t="s">
        <v>6314</v>
      </c>
      <c r="K2806" s="140" t="s">
        <v>9648</v>
      </c>
    </row>
    <row r="2807">
      <c r="A2807" s="140" t="s">
        <v>9645</v>
      </c>
      <c r="B2807" s="143">
        <v>7.32345E12</v>
      </c>
      <c r="C2807" s="140" t="s">
        <v>9705</v>
      </c>
      <c r="D2807" s="140" t="s">
        <v>6601</v>
      </c>
      <c r="E2807" s="140" t="s">
        <v>526</v>
      </c>
      <c r="F2807" s="140" t="s">
        <v>175</v>
      </c>
      <c r="G2807" s="141" t="s">
        <v>6401</v>
      </c>
      <c r="H2807" s="140" t="s">
        <v>6312</v>
      </c>
      <c r="I2807" s="140" t="s">
        <v>6313</v>
      </c>
      <c r="J2807" s="140" t="s">
        <v>6314</v>
      </c>
      <c r="K2807" s="140" t="s">
        <v>9648</v>
      </c>
    </row>
    <row r="2808">
      <c r="A2808" s="140" t="s">
        <v>9645</v>
      </c>
      <c r="B2808" s="143">
        <v>7.39216E12</v>
      </c>
      <c r="C2808" s="140" t="s">
        <v>9706</v>
      </c>
      <c r="D2808" s="140" t="s">
        <v>6601</v>
      </c>
      <c r="E2808" s="140" t="s">
        <v>526</v>
      </c>
      <c r="F2808" s="140" t="s">
        <v>175</v>
      </c>
      <c r="G2808" s="141" t="s">
        <v>6401</v>
      </c>
      <c r="H2808" s="140" t="s">
        <v>6312</v>
      </c>
      <c r="I2808" s="140" t="s">
        <v>6313</v>
      </c>
      <c r="J2808" s="140" t="s">
        <v>6314</v>
      </c>
      <c r="K2808" s="140" t="s">
        <v>9648</v>
      </c>
    </row>
    <row r="2809">
      <c r="A2809" s="140" t="s">
        <v>9645</v>
      </c>
      <c r="B2809" s="143">
        <v>7.32345E12</v>
      </c>
      <c r="C2809" s="140" t="s">
        <v>9707</v>
      </c>
      <c r="D2809" s="140" t="s">
        <v>6601</v>
      </c>
      <c r="E2809" s="140" t="s">
        <v>526</v>
      </c>
      <c r="F2809" s="140" t="s">
        <v>175</v>
      </c>
      <c r="G2809" s="141" t="s">
        <v>6401</v>
      </c>
      <c r="H2809" s="140" t="s">
        <v>6312</v>
      </c>
      <c r="I2809" s="140" t="s">
        <v>6313</v>
      </c>
      <c r="J2809" s="140" t="s">
        <v>6314</v>
      </c>
      <c r="K2809" s="140" t="s">
        <v>9648</v>
      </c>
    </row>
    <row r="2810">
      <c r="A2810" s="140" t="s">
        <v>9645</v>
      </c>
      <c r="B2810" s="143">
        <v>7.32345E12</v>
      </c>
      <c r="C2810" s="140" t="s">
        <v>9708</v>
      </c>
      <c r="D2810" s="140" t="s">
        <v>6601</v>
      </c>
      <c r="E2810" s="140" t="s">
        <v>526</v>
      </c>
      <c r="F2810" s="140" t="s">
        <v>175</v>
      </c>
      <c r="G2810" s="141" t="s">
        <v>6401</v>
      </c>
      <c r="H2810" s="140" t="s">
        <v>6312</v>
      </c>
      <c r="I2810" s="140" t="s">
        <v>6313</v>
      </c>
      <c r="J2810" s="140" t="s">
        <v>6314</v>
      </c>
      <c r="K2810" s="140" t="s">
        <v>9648</v>
      </c>
    </row>
    <row r="2811">
      <c r="A2811" s="140" t="s">
        <v>9645</v>
      </c>
      <c r="B2811" s="143">
        <v>7.32345E12</v>
      </c>
      <c r="C2811" s="140" t="s">
        <v>9708</v>
      </c>
      <c r="D2811" s="140" t="s">
        <v>6601</v>
      </c>
      <c r="E2811" s="140" t="s">
        <v>526</v>
      </c>
      <c r="F2811" s="140" t="s">
        <v>175</v>
      </c>
      <c r="G2811" s="141" t="s">
        <v>6401</v>
      </c>
      <c r="H2811" s="140" t="s">
        <v>6312</v>
      </c>
      <c r="I2811" s="140" t="s">
        <v>6313</v>
      </c>
      <c r="J2811" s="140" t="s">
        <v>6314</v>
      </c>
      <c r="K2811" s="140" t="s">
        <v>9648</v>
      </c>
    </row>
    <row r="2812">
      <c r="A2812" s="140" t="s">
        <v>9645</v>
      </c>
      <c r="B2812" s="143">
        <v>7.32345E12</v>
      </c>
      <c r="C2812" s="140" t="s">
        <v>9709</v>
      </c>
      <c r="D2812" s="140" t="s">
        <v>6601</v>
      </c>
      <c r="E2812" s="140" t="s">
        <v>526</v>
      </c>
      <c r="F2812" s="140" t="s">
        <v>175</v>
      </c>
      <c r="G2812" s="141" t="s">
        <v>6401</v>
      </c>
      <c r="H2812" s="140" t="s">
        <v>6312</v>
      </c>
      <c r="I2812" s="140" t="s">
        <v>6313</v>
      </c>
      <c r="J2812" s="140" t="s">
        <v>6314</v>
      </c>
      <c r="K2812" s="140" t="s">
        <v>9648</v>
      </c>
    </row>
    <row r="2813">
      <c r="A2813" s="140" t="s">
        <v>9645</v>
      </c>
      <c r="B2813" s="143">
        <v>7.32345E12</v>
      </c>
      <c r="C2813" s="140" t="s">
        <v>9710</v>
      </c>
      <c r="D2813" s="140" t="s">
        <v>6601</v>
      </c>
      <c r="E2813" s="140" t="s">
        <v>526</v>
      </c>
      <c r="F2813" s="140" t="s">
        <v>175</v>
      </c>
      <c r="G2813" s="141" t="s">
        <v>6401</v>
      </c>
      <c r="H2813" s="140" t="s">
        <v>6312</v>
      </c>
      <c r="I2813" s="140" t="s">
        <v>6313</v>
      </c>
      <c r="J2813" s="140" t="s">
        <v>6314</v>
      </c>
      <c r="K2813" s="140" t="s">
        <v>9648</v>
      </c>
    </row>
    <row r="2814">
      <c r="A2814" s="140" t="s">
        <v>9645</v>
      </c>
      <c r="B2814" s="143">
        <v>7.32345E12</v>
      </c>
      <c r="C2814" s="140" t="s">
        <v>9711</v>
      </c>
      <c r="D2814" s="140" t="s">
        <v>6601</v>
      </c>
      <c r="E2814" s="140" t="s">
        <v>526</v>
      </c>
      <c r="F2814" s="140" t="s">
        <v>175</v>
      </c>
      <c r="G2814" s="141" t="s">
        <v>6401</v>
      </c>
      <c r="H2814" s="140" t="s">
        <v>6312</v>
      </c>
      <c r="I2814" s="140" t="s">
        <v>6313</v>
      </c>
      <c r="J2814" s="140" t="s">
        <v>6314</v>
      </c>
      <c r="K2814" s="140" t="s">
        <v>9648</v>
      </c>
    </row>
    <row r="2815">
      <c r="A2815" s="140" t="s">
        <v>9645</v>
      </c>
      <c r="B2815" s="143">
        <v>7.32345E12</v>
      </c>
      <c r="C2815" s="140" t="s">
        <v>9712</v>
      </c>
      <c r="D2815" s="140" t="s">
        <v>6601</v>
      </c>
      <c r="E2815" s="140" t="s">
        <v>526</v>
      </c>
      <c r="F2815" s="140" t="s">
        <v>175</v>
      </c>
      <c r="G2815" s="141" t="s">
        <v>6401</v>
      </c>
      <c r="H2815" s="140" t="s">
        <v>6312</v>
      </c>
      <c r="I2815" s="140" t="s">
        <v>6313</v>
      </c>
      <c r="J2815" s="140" t="s">
        <v>6314</v>
      </c>
      <c r="K2815" s="140" t="s">
        <v>9648</v>
      </c>
    </row>
    <row r="2816">
      <c r="A2816" s="140" t="s">
        <v>9645</v>
      </c>
      <c r="B2816" s="143">
        <v>7.32345E12</v>
      </c>
      <c r="C2816" s="140" t="s">
        <v>9713</v>
      </c>
      <c r="D2816" s="140" t="s">
        <v>6601</v>
      </c>
      <c r="E2816" s="140" t="s">
        <v>526</v>
      </c>
      <c r="F2816" s="140" t="s">
        <v>175</v>
      </c>
      <c r="G2816" s="141" t="s">
        <v>6401</v>
      </c>
      <c r="H2816" s="140" t="s">
        <v>6312</v>
      </c>
      <c r="I2816" s="140" t="s">
        <v>6313</v>
      </c>
      <c r="J2816" s="140" t="s">
        <v>6314</v>
      </c>
      <c r="K2816" s="140" t="s">
        <v>9648</v>
      </c>
    </row>
    <row r="2817">
      <c r="A2817" s="140" t="s">
        <v>9645</v>
      </c>
      <c r="B2817" s="143">
        <v>7.32345E12</v>
      </c>
      <c r="C2817" s="140" t="s">
        <v>9714</v>
      </c>
      <c r="D2817" s="140" t="s">
        <v>6601</v>
      </c>
      <c r="E2817" s="140" t="s">
        <v>526</v>
      </c>
      <c r="F2817" s="140" t="s">
        <v>175</v>
      </c>
      <c r="G2817" s="141" t="s">
        <v>6401</v>
      </c>
      <c r="H2817" s="140" t="s">
        <v>6312</v>
      </c>
      <c r="I2817" s="140" t="s">
        <v>6313</v>
      </c>
      <c r="J2817" s="140" t="s">
        <v>6314</v>
      </c>
      <c r="K2817" s="140" t="s">
        <v>9648</v>
      </c>
    </row>
    <row r="2818">
      <c r="A2818" s="140" t="s">
        <v>9645</v>
      </c>
      <c r="B2818" s="143">
        <v>7.32345E12</v>
      </c>
      <c r="C2818" s="140" t="s">
        <v>9715</v>
      </c>
      <c r="D2818" s="140" t="s">
        <v>6601</v>
      </c>
      <c r="E2818" s="140" t="s">
        <v>526</v>
      </c>
      <c r="F2818" s="140" t="s">
        <v>175</v>
      </c>
      <c r="G2818" s="141" t="s">
        <v>6401</v>
      </c>
      <c r="H2818" s="140" t="s">
        <v>6312</v>
      </c>
      <c r="I2818" s="140" t="s">
        <v>6313</v>
      </c>
      <c r="J2818" s="140" t="s">
        <v>6314</v>
      </c>
      <c r="K2818" s="140" t="s">
        <v>9648</v>
      </c>
    </row>
    <row r="2819">
      <c r="A2819" s="140" t="s">
        <v>9645</v>
      </c>
      <c r="B2819" s="143">
        <v>7.39216E12</v>
      </c>
      <c r="C2819" s="140" t="s">
        <v>9716</v>
      </c>
      <c r="D2819" s="140" t="s">
        <v>6601</v>
      </c>
      <c r="E2819" s="140" t="s">
        <v>526</v>
      </c>
      <c r="F2819" s="140" t="s">
        <v>175</v>
      </c>
      <c r="G2819" s="141" t="s">
        <v>6401</v>
      </c>
      <c r="H2819" s="140" t="s">
        <v>6312</v>
      </c>
      <c r="I2819" s="140" t="s">
        <v>6313</v>
      </c>
      <c r="J2819" s="140" t="s">
        <v>6314</v>
      </c>
      <c r="K2819" s="140" t="s">
        <v>9648</v>
      </c>
    </row>
    <row r="2820">
      <c r="A2820" s="140" t="s">
        <v>9645</v>
      </c>
      <c r="B2820" s="143">
        <v>7.32345E12</v>
      </c>
      <c r="C2820" s="140" t="s">
        <v>9717</v>
      </c>
      <c r="D2820" s="140" t="s">
        <v>6601</v>
      </c>
      <c r="E2820" s="140" t="s">
        <v>526</v>
      </c>
      <c r="F2820" s="140" t="s">
        <v>175</v>
      </c>
      <c r="G2820" s="141" t="s">
        <v>6401</v>
      </c>
      <c r="H2820" s="140" t="s">
        <v>6312</v>
      </c>
      <c r="I2820" s="140" t="s">
        <v>6313</v>
      </c>
      <c r="J2820" s="140" t="s">
        <v>6314</v>
      </c>
      <c r="K2820" s="140" t="s">
        <v>9648</v>
      </c>
    </row>
    <row r="2821">
      <c r="A2821" s="140" t="s">
        <v>9645</v>
      </c>
      <c r="B2821" s="143">
        <v>7.32345E12</v>
      </c>
      <c r="C2821" s="140" t="s">
        <v>9718</v>
      </c>
      <c r="D2821" s="140" t="s">
        <v>6601</v>
      </c>
      <c r="E2821" s="140" t="s">
        <v>526</v>
      </c>
      <c r="F2821" s="140" t="s">
        <v>175</v>
      </c>
      <c r="G2821" s="141" t="s">
        <v>6401</v>
      </c>
      <c r="H2821" s="140" t="s">
        <v>6312</v>
      </c>
      <c r="I2821" s="140" t="s">
        <v>6313</v>
      </c>
      <c r="J2821" s="140" t="s">
        <v>6314</v>
      </c>
      <c r="K2821" s="140" t="s">
        <v>9648</v>
      </c>
    </row>
    <row r="2822">
      <c r="A2822" s="140" t="s">
        <v>9645</v>
      </c>
      <c r="B2822" s="143">
        <v>7.39216E12</v>
      </c>
      <c r="C2822" s="140" t="s">
        <v>9719</v>
      </c>
      <c r="D2822" s="140" t="s">
        <v>6601</v>
      </c>
      <c r="E2822" s="140" t="s">
        <v>526</v>
      </c>
      <c r="F2822" s="140" t="s">
        <v>175</v>
      </c>
      <c r="G2822" s="141" t="s">
        <v>6401</v>
      </c>
      <c r="H2822" s="140" t="s">
        <v>6312</v>
      </c>
      <c r="I2822" s="140" t="s">
        <v>6313</v>
      </c>
      <c r="J2822" s="140" t="s">
        <v>6314</v>
      </c>
      <c r="K2822" s="140" t="s">
        <v>9648</v>
      </c>
    </row>
    <row r="2823">
      <c r="A2823" s="140" t="s">
        <v>9645</v>
      </c>
      <c r="B2823" s="143">
        <v>7.39216E12</v>
      </c>
      <c r="C2823" s="140" t="s">
        <v>9720</v>
      </c>
      <c r="D2823" s="140" t="s">
        <v>6601</v>
      </c>
      <c r="E2823" s="140" t="s">
        <v>526</v>
      </c>
      <c r="F2823" s="140" t="s">
        <v>175</v>
      </c>
      <c r="G2823" s="141" t="s">
        <v>6401</v>
      </c>
      <c r="H2823" s="140" t="s">
        <v>6312</v>
      </c>
      <c r="I2823" s="140" t="s">
        <v>6313</v>
      </c>
      <c r="J2823" s="140" t="s">
        <v>6314</v>
      </c>
      <c r="K2823" s="140" t="s">
        <v>9648</v>
      </c>
    </row>
    <row r="2824">
      <c r="A2824" s="140" t="s">
        <v>9645</v>
      </c>
      <c r="B2824" s="143">
        <v>7.32345E12</v>
      </c>
      <c r="C2824" s="140" t="s">
        <v>9721</v>
      </c>
      <c r="D2824" s="140" t="s">
        <v>6601</v>
      </c>
      <c r="E2824" s="140" t="s">
        <v>526</v>
      </c>
      <c r="F2824" s="140" t="s">
        <v>175</v>
      </c>
      <c r="G2824" s="141" t="s">
        <v>6401</v>
      </c>
      <c r="H2824" s="140" t="s">
        <v>6312</v>
      </c>
      <c r="I2824" s="140" t="s">
        <v>6313</v>
      </c>
      <c r="J2824" s="140" t="s">
        <v>6314</v>
      </c>
      <c r="K2824" s="140" t="s">
        <v>9648</v>
      </c>
    </row>
    <row r="2825">
      <c r="A2825" s="140" t="s">
        <v>9645</v>
      </c>
      <c r="B2825" s="143">
        <v>7.32345E12</v>
      </c>
      <c r="C2825" s="140" t="s">
        <v>9722</v>
      </c>
      <c r="D2825" s="140" t="s">
        <v>6601</v>
      </c>
      <c r="E2825" s="140" t="s">
        <v>526</v>
      </c>
      <c r="F2825" s="140" t="s">
        <v>175</v>
      </c>
      <c r="G2825" s="141" t="s">
        <v>6401</v>
      </c>
      <c r="H2825" s="140" t="s">
        <v>6312</v>
      </c>
      <c r="I2825" s="140" t="s">
        <v>6313</v>
      </c>
      <c r="J2825" s="140" t="s">
        <v>6314</v>
      </c>
      <c r="K2825" s="140" t="s">
        <v>9648</v>
      </c>
    </row>
    <row r="2826">
      <c r="A2826" s="140" t="s">
        <v>9645</v>
      </c>
      <c r="B2826" s="143">
        <v>7.32345E12</v>
      </c>
      <c r="C2826" s="140" t="s">
        <v>9723</v>
      </c>
      <c r="D2826" s="140" t="s">
        <v>6601</v>
      </c>
      <c r="E2826" s="140" t="s">
        <v>526</v>
      </c>
      <c r="F2826" s="140" t="s">
        <v>175</v>
      </c>
      <c r="G2826" s="141" t="s">
        <v>6401</v>
      </c>
      <c r="H2826" s="140" t="s">
        <v>6312</v>
      </c>
      <c r="I2826" s="140" t="s">
        <v>6313</v>
      </c>
      <c r="J2826" s="140" t="s">
        <v>6314</v>
      </c>
      <c r="K2826" s="140" t="s">
        <v>9648</v>
      </c>
    </row>
    <row r="2827">
      <c r="A2827" s="140" t="s">
        <v>9645</v>
      </c>
      <c r="B2827" s="143">
        <v>7.32345E12</v>
      </c>
      <c r="C2827" s="140" t="s">
        <v>9724</v>
      </c>
      <c r="D2827" s="140" t="s">
        <v>6601</v>
      </c>
      <c r="E2827" s="140" t="s">
        <v>526</v>
      </c>
      <c r="F2827" s="140" t="s">
        <v>175</v>
      </c>
      <c r="G2827" s="141" t="s">
        <v>6401</v>
      </c>
      <c r="H2827" s="140" t="s">
        <v>6312</v>
      </c>
      <c r="I2827" s="140" t="s">
        <v>6313</v>
      </c>
      <c r="J2827" s="140" t="s">
        <v>6314</v>
      </c>
      <c r="K2827" s="140" t="s">
        <v>9648</v>
      </c>
    </row>
    <row r="2828">
      <c r="A2828" s="140" t="s">
        <v>9645</v>
      </c>
      <c r="B2828" s="143">
        <v>7.32345E12</v>
      </c>
      <c r="C2828" s="140" t="s">
        <v>9725</v>
      </c>
      <c r="D2828" s="140" t="s">
        <v>6601</v>
      </c>
      <c r="E2828" s="140" t="s">
        <v>526</v>
      </c>
      <c r="F2828" s="140" t="s">
        <v>175</v>
      </c>
      <c r="G2828" s="141" t="s">
        <v>6401</v>
      </c>
      <c r="H2828" s="140" t="s">
        <v>6312</v>
      </c>
      <c r="I2828" s="140" t="s">
        <v>6313</v>
      </c>
      <c r="J2828" s="140" t="s">
        <v>6314</v>
      </c>
      <c r="K2828" s="140" t="s">
        <v>9648</v>
      </c>
    </row>
    <row r="2829">
      <c r="A2829" s="140" t="s">
        <v>9645</v>
      </c>
      <c r="B2829" s="143">
        <v>7.32345E12</v>
      </c>
      <c r="C2829" s="140" t="s">
        <v>9726</v>
      </c>
      <c r="D2829" s="140" t="s">
        <v>6601</v>
      </c>
      <c r="E2829" s="140" t="s">
        <v>526</v>
      </c>
      <c r="F2829" s="140" t="s">
        <v>175</v>
      </c>
      <c r="G2829" s="141" t="s">
        <v>6401</v>
      </c>
      <c r="H2829" s="140" t="s">
        <v>6312</v>
      </c>
      <c r="I2829" s="140" t="s">
        <v>6313</v>
      </c>
      <c r="J2829" s="140" t="s">
        <v>6314</v>
      </c>
      <c r="K2829" s="140" t="s">
        <v>9648</v>
      </c>
    </row>
    <row r="2830">
      <c r="A2830" s="140" t="s">
        <v>9645</v>
      </c>
      <c r="B2830" s="143">
        <v>7.32345E12</v>
      </c>
      <c r="C2830" s="140" t="s">
        <v>9727</v>
      </c>
      <c r="D2830" s="140" t="s">
        <v>6601</v>
      </c>
      <c r="E2830" s="140" t="s">
        <v>526</v>
      </c>
      <c r="F2830" s="140" t="s">
        <v>175</v>
      </c>
      <c r="G2830" s="141" t="s">
        <v>6401</v>
      </c>
      <c r="H2830" s="140" t="s">
        <v>6312</v>
      </c>
      <c r="I2830" s="140" t="s">
        <v>6313</v>
      </c>
      <c r="J2830" s="140" t="s">
        <v>6314</v>
      </c>
      <c r="K2830" s="140" t="s">
        <v>9648</v>
      </c>
    </row>
    <row r="2831">
      <c r="A2831" s="140" t="s">
        <v>9645</v>
      </c>
      <c r="B2831" s="143">
        <v>7.32345E12</v>
      </c>
      <c r="C2831" s="140" t="s">
        <v>9728</v>
      </c>
      <c r="D2831" s="140" t="s">
        <v>6601</v>
      </c>
      <c r="E2831" s="140" t="s">
        <v>526</v>
      </c>
      <c r="F2831" s="140" t="s">
        <v>175</v>
      </c>
      <c r="G2831" s="141" t="s">
        <v>6401</v>
      </c>
      <c r="H2831" s="140" t="s">
        <v>6312</v>
      </c>
      <c r="I2831" s="140" t="s">
        <v>6313</v>
      </c>
      <c r="J2831" s="140" t="s">
        <v>6314</v>
      </c>
      <c r="K2831" s="140" t="s">
        <v>9648</v>
      </c>
    </row>
    <row r="2832">
      <c r="A2832" s="140" t="s">
        <v>9645</v>
      </c>
      <c r="B2832" s="143">
        <v>7.32345E12</v>
      </c>
      <c r="C2832" s="140" t="s">
        <v>9729</v>
      </c>
      <c r="D2832" s="140" t="s">
        <v>6601</v>
      </c>
      <c r="E2832" s="140" t="s">
        <v>526</v>
      </c>
      <c r="F2832" s="140" t="s">
        <v>175</v>
      </c>
      <c r="G2832" s="141" t="s">
        <v>6401</v>
      </c>
      <c r="H2832" s="140" t="s">
        <v>6312</v>
      </c>
      <c r="I2832" s="140" t="s">
        <v>6313</v>
      </c>
      <c r="J2832" s="140" t="s">
        <v>6314</v>
      </c>
      <c r="K2832" s="140" t="s">
        <v>9648</v>
      </c>
    </row>
    <row r="2833">
      <c r="A2833" s="140" t="s">
        <v>9645</v>
      </c>
      <c r="B2833" s="143">
        <v>7.32345E12</v>
      </c>
      <c r="C2833" s="140" t="s">
        <v>9730</v>
      </c>
      <c r="D2833" s="140" t="s">
        <v>6601</v>
      </c>
      <c r="E2833" s="140" t="s">
        <v>526</v>
      </c>
      <c r="F2833" s="140" t="s">
        <v>175</v>
      </c>
      <c r="G2833" s="141" t="s">
        <v>6401</v>
      </c>
      <c r="H2833" s="140" t="s">
        <v>6312</v>
      </c>
      <c r="I2833" s="140" t="s">
        <v>6313</v>
      </c>
      <c r="J2833" s="140" t="s">
        <v>6314</v>
      </c>
      <c r="K2833" s="140" t="s">
        <v>9648</v>
      </c>
    </row>
    <row r="2834">
      <c r="A2834" s="140" t="s">
        <v>9645</v>
      </c>
      <c r="B2834" s="143">
        <v>7.39216E12</v>
      </c>
      <c r="C2834" s="140" t="s">
        <v>9731</v>
      </c>
      <c r="D2834" s="140" t="s">
        <v>6601</v>
      </c>
      <c r="E2834" s="140" t="s">
        <v>526</v>
      </c>
      <c r="F2834" s="140" t="s">
        <v>175</v>
      </c>
      <c r="G2834" s="141" t="s">
        <v>6401</v>
      </c>
      <c r="H2834" s="140" t="s">
        <v>6312</v>
      </c>
      <c r="I2834" s="140" t="s">
        <v>6313</v>
      </c>
      <c r="J2834" s="140" t="s">
        <v>6314</v>
      </c>
      <c r="K2834" s="140" t="s">
        <v>9648</v>
      </c>
    </row>
    <row r="2835">
      <c r="A2835" s="140" t="s">
        <v>9645</v>
      </c>
      <c r="B2835" s="143">
        <v>7.39216E12</v>
      </c>
      <c r="C2835" s="140" t="s">
        <v>9732</v>
      </c>
      <c r="D2835" s="140" t="s">
        <v>6601</v>
      </c>
      <c r="E2835" s="140" t="s">
        <v>526</v>
      </c>
      <c r="F2835" s="140" t="s">
        <v>175</v>
      </c>
      <c r="G2835" s="141" t="s">
        <v>6401</v>
      </c>
      <c r="H2835" s="140" t="s">
        <v>6312</v>
      </c>
      <c r="I2835" s="140" t="s">
        <v>6313</v>
      </c>
      <c r="J2835" s="140" t="s">
        <v>6314</v>
      </c>
      <c r="K2835" s="140" t="s">
        <v>9648</v>
      </c>
    </row>
    <row r="2836">
      <c r="A2836" s="140" t="s">
        <v>9645</v>
      </c>
      <c r="B2836" s="143">
        <v>7.32345E12</v>
      </c>
      <c r="C2836" s="140" t="s">
        <v>9733</v>
      </c>
      <c r="D2836" s="140" t="s">
        <v>6601</v>
      </c>
      <c r="E2836" s="140" t="s">
        <v>526</v>
      </c>
      <c r="F2836" s="140" t="s">
        <v>175</v>
      </c>
      <c r="G2836" s="141" t="s">
        <v>6401</v>
      </c>
      <c r="H2836" s="140" t="s">
        <v>6312</v>
      </c>
      <c r="I2836" s="140" t="s">
        <v>6313</v>
      </c>
      <c r="J2836" s="140" t="s">
        <v>6314</v>
      </c>
      <c r="K2836" s="140" t="s">
        <v>9648</v>
      </c>
    </row>
    <row r="2837">
      <c r="A2837" s="140" t="s">
        <v>9645</v>
      </c>
      <c r="B2837" s="143">
        <v>7.39216E12</v>
      </c>
      <c r="C2837" s="140" t="s">
        <v>9734</v>
      </c>
      <c r="D2837" s="140" t="s">
        <v>6601</v>
      </c>
      <c r="E2837" s="140" t="s">
        <v>526</v>
      </c>
      <c r="F2837" s="140" t="s">
        <v>175</v>
      </c>
      <c r="G2837" s="141" t="s">
        <v>6401</v>
      </c>
      <c r="H2837" s="140" t="s">
        <v>6312</v>
      </c>
      <c r="I2837" s="140" t="s">
        <v>6313</v>
      </c>
      <c r="J2837" s="140" t="s">
        <v>6314</v>
      </c>
      <c r="K2837" s="140" t="s">
        <v>9648</v>
      </c>
    </row>
    <row r="2838">
      <c r="A2838" s="140" t="s">
        <v>9645</v>
      </c>
      <c r="B2838" s="143">
        <v>7.32345E12</v>
      </c>
      <c r="C2838" s="140" t="s">
        <v>9735</v>
      </c>
      <c r="D2838" s="140" t="s">
        <v>6601</v>
      </c>
      <c r="E2838" s="140" t="s">
        <v>526</v>
      </c>
      <c r="F2838" s="140" t="s">
        <v>175</v>
      </c>
      <c r="G2838" s="141" t="s">
        <v>6401</v>
      </c>
      <c r="H2838" s="140" t="s">
        <v>6312</v>
      </c>
      <c r="I2838" s="140" t="s">
        <v>6313</v>
      </c>
      <c r="J2838" s="140" t="s">
        <v>6314</v>
      </c>
      <c r="K2838" s="140" t="s">
        <v>9648</v>
      </c>
    </row>
    <row r="2839">
      <c r="A2839" s="140" t="s">
        <v>9645</v>
      </c>
      <c r="B2839" s="143">
        <v>7.32345E12</v>
      </c>
      <c r="C2839" s="140" t="s">
        <v>9736</v>
      </c>
      <c r="D2839" s="140" t="s">
        <v>6601</v>
      </c>
      <c r="E2839" s="140" t="s">
        <v>526</v>
      </c>
      <c r="F2839" s="140" t="s">
        <v>175</v>
      </c>
      <c r="G2839" s="141" t="s">
        <v>6401</v>
      </c>
      <c r="H2839" s="140" t="s">
        <v>6312</v>
      </c>
      <c r="I2839" s="140" t="s">
        <v>6313</v>
      </c>
      <c r="J2839" s="140" t="s">
        <v>6314</v>
      </c>
      <c r="K2839" s="140" t="s">
        <v>9648</v>
      </c>
    </row>
    <row r="2840">
      <c r="A2840" s="140" t="s">
        <v>9645</v>
      </c>
      <c r="B2840" s="143">
        <v>7.32345E12</v>
      </c>
      <c r="C2840" s="140" t="s">
        <v>9737</v>
      </c>
      <c r="D2840" s="140" t="s">
        <v>6601</v>
      </c>
      <c r="E2840" s="140" t="s">
        <v>526</v>
      </c>
      <c r="F2840" s="140" t="s">
        <v>175</v>
      </c>
      <c r="G2840" s="141" t="s">
        <v>6401</v>
      </c>
      <c r="H2840" s="140" t="s">
        <v>6312</v>
      </c>
      <c r="I2840" s="140" t="s">
        <v>6313</v>
      </c>
      <c r="J2840" s="140" t="s">
        <v>6314</v>
      </c>
      <c r="K2840" s="140" t="s">
        <v>9648</v>
      </c>
    </row>
    <row r="2841">
      <c r="A2841" s="140" t="s">
        <v>9645</v>
      </c>
      <c r="B2841" s="143">
        <v>7.32345E12</v>
      </c>
      <c r="C2841" s="140" t="s">
        <v>9738</v>
      </c>
      <c r="D2841" s="140" t="s">
        <v>6601</v>
      </c>
      <c r="E2841" s="140" t="s">
        <v>526</v>
      </c>
      <c r="F2841" s="140" t="s">
        <v>175</v>
      </c>
      <c r="G2841" s="141" t="s">
        <v>6401</v>
      </c>
      <c r="H2841" s="140" t="s">
        <v>6312</v>
      </c>
      <c r="I2841" s="140" t="s">
        <v>6313</v>
      </c>
      <c r="J2841" s="140" t="s">
        <v>6314</v>
      </c>
      <c r="K2841" s="140" t="s">
        <v>9648</v>
      </c>
    </row>
    <row r="2842">
      <c r="A2842" s="140" t="s">
        <v>9645</v>
      </c>
      <c r="B2842" s="143">
        <v>7.32345E12</v>
      </c>
      <c r="C2842" s="140" t="s">
        <v>9739</v>
      </c>
      <c r="D2842" s="140" t="s">
        <v>6601</v>
      </c>
      <c r="E2842" s="140" t="s">
        <v>526</v>
      </c>
      <c r="F2842" s="140" t="s">
        <v>175</v>
      </c>
      <c r="G2842" s="141" t="s">
        <v>6401</v>
      </c>
      <c r="H2842" s="140" t="s">
        <v>6312</v>
      </c>
      <c r="I2842" s="140" t="s">
        <v>6313</v>
      </c>
      <c r="J2842" s="140" t="s">
        <v>6314</v>
      </c>
      <c r="K2842" s="140" t="s">
        <v>9648</v>
      </c>
    </row>
    <row r="2843">
      <c r="A2843" s="140" t="s">
        <v>9645</v>
      </c>
      <c r="B2843" s="143">
        <v>7.32345E12</v>
      </c>
      <c r="C2843" s="140" t="s">
        <v>9740</v>
      </c>
      <c r="D2843" s="140" t="s">
        <v>6601</v>
      </c>
      <c r="E2843" s="140" t="s">
        <v>526</v>
      </c>
      <c r="F2843" s="140" t="s">
        <v>175</v>
      </c>
      <c r="G2843" s="141" t="s">
        <v>6401</v>
      </c>
      <c r="H2843" s="140" t="s">
        <v>6312</v>
      </c>
      <c r="I2843" s="140" t="s">
        <v>6313</v>
      </c>
      <c r="J2843" s="140" t="s">
        <v>6314</v>
      </c>
      <c r="K2843" s="140" t="s">
        <v>9648</v>
      </c>
    </row>
    <row r="2844">
      <c r="A2844" s="140" t="s">
        <v>9645</v>
      </c>
      <c r="B2844" s="143">
        <v>7.32345E12</v>
      </c>
      <c r="C2844" s="140" t="s">
        <v>9741</v>
      </c>
      <c r="D2844" s="140" t="s">
        <v>6601</v>
      </c>
      <c r="E2844" s="140" t="s">
        <v>526</v>
      </c>
      <c r="F2844" s="140" t="s">
        <v>175</v>
      </c>
      <c r="G2844" s="141" t="s">
        <v>6401</v>
      </c>
      <c r="H2844" s="140" t="s">
        <v>6312</v>
      </c>
      <c r="I2844" s="140" t="s">
        <v>6313</v>
      </c>
      <c r="J2844" s="140" t="s">
        <v>6314</v>
      </c>
      <c r="K2844" s="140" t="s">
        <v>9648</v>
      </c>
    </row>
    <row r="2845">
      <c r="A2845" s="140" t="s">
        <v>9645</v>
      </c>
      <c r="B2845" s="143">
        <v>7.32345E12</v>
      </c>
      <c r="C2845" s="140" t="s">
        <v>9742</v>
      </c>
      <c r="D2845" s="140" t="s">
        <v>6601</v>
      </c>
      <c r="E2845" s="140" t="s">
        <v>526</v>
      </c>
      <c r="F2845" s="140" t="s">
        <v>175</v>
      </c>
      <c r="G2845" s="141" t="s">
        <v>6401</v>
      </c>
      <c r="H2845" s="140" t="s">
        <v>6312</v>
      </c>
      <c r="I2845" s="140" t="s">
        <v>6313</v>
      </c>
      <c r="J2845" s="140" t="s">
        <v>6314</v>
      </c>
      <c r="K2845" s="140" t="s">
        <v>9648</v>
      </c>
    </row>
    <row r="2846">
      <c r="A2846" s="140" t="s">
        <v>9645</v>
      </c>
      <c r="B2846" s="143">
        <v>7.39216E12</v>
      </c>
      <c r="C2846" s="140" t="s">
        <v>9743</v>
      </c>
      <c r="D2846" s="140" t="s">
        <v>6601</v>
      </c>
      <c r="E2846" s="140" t="s">
        <v>526</v>
      </c>
      <c r="F2846" s="140" t="s">
        <v>175</v>
      </c>
      <c r="G2846" s="141" t="s">
        <v>6401</v>
      </c>
      <c r="H2846" s="140" t="s">
        <v>6312</v>
      </c>
      <c r="I2846" s="140" t="s">
        <v>6313</v>
      </c>
      <c r="J2846" s="140" t="s">
        <v>6314</v>
      </c>
      <c r="K2846" s="140" t="s">
        <v>9648</v>
      </c>
    </row>
    <row r="2847">
      <c r="A2847" s="140" t="s">
        <v>9645</v>
      </c>
      <c r="B2847" s="143">
        <v>7.32345E12</v>
      </c>
      <c r="C2847" s="140" t="s">
        <v>9744</v>
      </c>
      <c r="D2847" s="140" t="s">
        <v>6601</v>
      </c>
      <c r="E2847" s="140" t="s">
        <v>526</v>
      </c>
      <c r="F2847" s="140" t="s">
        <v>175</v>
      </c>
      <c r="G2847" s="141" t="s">
        <v>6401</v>
      </c>
      <c r="H2847" s="140" t="s">
        <v>6312</v>
      </c>
      <c r="I2847" s="140" t="s">
        <v>6313</v>
      </c>
      <c r="J2847" s="140" t="s">
        <v>6314</v>
      </c>
      <c r="K2847" s="140" t="s">
        <v>9648</v>
      </c>
    </row>
    <row r="2848">
      <c r="A2848" s="140" t="s">
        <v>9645</v>
      </c>
      <c r="B2848" s="143">
        <v>7.39216E12</v>
      </c>
      <c r="C2848" s="140" t="s">
        <v>9745</v>
      </c>
      <c r="D2848" s="140" t="s">
        <v>6601</v>
      </c>
      <c r="E2848" s="140" t="s">
        <v>526</v>
      </c>
      <c r="F2848" s="140" t="s">
        <v>175</v>
      </c>
      <c r="G2848" s="141" t="s">
        <v>6401</v>
      </c>
      <c r="H2848" s="140" t="s">
        <v>6312</v>
      </c>
      <c r="I2848" s="140" t="s">
        <v>6313</v>
      </c>
      <c r="J2848" s="140" t="s">
        <v>6314</v>
      </c>
      <c r="K2848" s="140" t="s">
        <v>9648</v>
      </c>
    </row>
    <row r="2849">
      <c r="A2849" s="140" t="s">
        <v>9645</v>
      </c>
      <c r="B2849" s="143">
        <v>7.32345E12</v>
      </c>
      <c r="C2849" s="140" t="s">
        <v>9746</v>
      </c>
      <c r="D2849" s="140" t="s">
        <v>6601</v>
      </c>
      <c r="E2849" s="140" t="s">
        <v>526</v>
      </c>
      <c r="F2849" s="140" t="s">
        <v>175</v>
      </c>
      <c r="G2849" s="141" t="s">
        <v>6401</v>
      </c>
      <c r="H2849" s="140" t="s">
        <v>6312</v>
      </c>
      <c r="I2849" s="140" t="s">
        <v>6313</v>
      </c>
      <c r="J2849" s="140" t="s">
        <v>6314</v>
      </c>
      <c r="K2849" s="140" t="s">
        <v>9648</v>
      </c>
    </row>
    <row r="2850">
      <c r="A2850" s="140" t="s">
        <v>9645</v>
      </c>
      <c r="B2850" s="143">
        <v>7.39216E12</v>
      </c>
      <c r="C2850" s="140" t="s">
        <v>9747</v>
      </c>
      <c r="D2850" s="140" t="s">
        <v>6601</v>
      </c>
      <c r="E2850" s="140" t="s">
        <v>526</v>
      </c>
      <c r="F2850" s="140" t="s">
        <v>175</v>
      </c>
      <c r="G2850" s="141" t="s">
        <v>6401</v>
      </c>
      <c r="H2850" s="140" t="s">
        <v>6312</v>
      </c>
      <c r="I2850" s="140" t="s">
        <v>6313</v>
      </c>
      <c r="J2850" s="140" t="s">
        <v>6314</v>
      </c>
      <c r="K2850" s="140" t="s">
        <v>9648</v>
      </c>
    </row>
    <row r="2851">
      <c r="A2851" s="140" t="s">
        <v>9645</v>
      </c>
      <c r="B2851" s="143">
        <v>7.32345E12</v>
      </c>
      <c r="C2851" s="140" t="s">
        <v>9748</v>
      </c>
      <c r="D2851" s="140" t="s">
        <v>6601</v>
      </c>
      <c r="E2851" s="140" t="s">
        <v>526</v>
      </c>
      <c r="F2851" s="140" t="s">
        <v>175</v>
      </c>
      <c r="G2851" s="141" t="s">
        <v>6401</v>
      </c>
      <c r="H2851" s="140" t="s">
        <v>6312</v>
      </c>
      <c r="I2851" s="140" t="s">
        <v>6313</v>
      </c>
      <c r="J2851" s="140" t="s">
        <v>6314</v>
      </c>
      <c r="K2851" s="140" t="s">
        <v>9648</v>
      </c>
    </row>
    <row r="2852">
      <c r="A2852" s="140" t="s">
        <v>9645</v>
      </c>
      <c r="B2852" s="143">
        <v>7.39216E12</v>
      </c>
      <c r="C2852" s="140" t="s">
        <v>9749</v>
      </c>
      <c r="D2852" s="140" t="s">
        <v>6601</v>
      </c>
      <c r="E2852" s="140" t="s">
        <v>526</v>
      </c>
      <c r="F2852" s="140" t="s">
        <v>175</v>
      </c>
      <c r="G2852" s="141" t="s">
        <v>6401</v>
      </c>
      <c r="H2852" s="140" t="s">
        <v>6312</v>
      </c>
      <c r="I2852" s="140" t="s">
        <v>6313</v>
      </c>
      <c r="J2852" s="140" t="s">
        <v>6314</v>
      </c>
      <c r="K2852" s="140" t="s">
        <v>9648</v>
      </c>
    </row>
    <row r="2853">
      <c r="A2853" s="140" t="s">
        <v>9645</v>
      </c>
      <c r="B2853" s="143">
        <v>7.39216E12</v>
      </c>
      <c r="C2853" s="140" t="s">
        <v>9750</v>
      </c>
      <c r="D2853" s="140" t="s">
        <v>6601</v>
      </c>
      <c r="E2853" s="140" t="s">
        <v>526</v>
      </c>
      <c r="F2853" s="140" t="s">
        <v>175</v>
      </c>
      <c r="G2853" s="141" t="s">
        <v>6401</v>
      </c>
      <c r="H2853" s="140" t="s">
        <v>6312</v>
      </c>
      <c r="I2853" s="140" t="s">
        <v>6313</v>
      </c>
      <c r="J2853" s="140" t="s">
        <v>6314</v>
      </c>
      <c r="K2853" s="140" t="s">
        <v>9648</v>
      </c>
    </row>
    <row r="2854">
      <c r="A2854" s="140" t="s">
        <v>9645</v>
      </c>
      <c r="B2854" s="143">
        <v>7.39216E12</v>
      </c>
      <c r="C2854" s="140" t="s">
        <v>9751</v>
      </c>
      <c r="D2854" s="140" t="s">
        <v>6601</v>
      </c>
      <c r="E2854" s="140" t="s">
        <v>526</v>
      </c>
      <c r="F2854" s="140" t="s">
        <v>175</v>
      </c>
      <c r="G2854" s="141" t="s">
        <v>6401</v>
      </c>
      <c r="H2854" s="140" t="s">
        <v>6312</v>
      </c>
      <c r="I2854" s="140" t="s">
        <v>6313</v>
      </c>
      <c r="J2854" s="140" t="s">
        <v>6314</v>
      </c>
      <c r="K2854" s="140" t="s">
        <v>9648</v>
      </c>
    </row>
    <row r="2855">
      <c r="A2855" s="140" t="s">
        <v>9645</v>
      </c>
      <c r="B2855" s="143">
        <v>7.39216E12</v>
      </c>
      <c r="C2855" s="140" t="s">
        <v>9752</v>
      </c>
      <c r="D2855" s="140" t="s">
        <v>6601</v>
      </c>
      <c r="E2855" s="140" t="s">
        <v>526</v>
      </c>
      <c r="F2855" s="140" t="s">
        <v>175</v>
      </c>
      <c r="G2855" s="141" t="s">
        <v>6401</v>
      </c>
      <c r="H2855" s="140" t="s">
        <v>6312</v>
      </c>
      <c r="I2855" s="140" t="s">
        <v>6313</v>
      </c>
      <c r="J2855" s="140" t="s">
        <v>6314</v>
      </c>
      <c r="K2855" s="140" t="s">
        <v>9648</v>
      </c>
    </row>
    <row r="2856">
      <c r="A2856" s="140" t="s">
        <v>9645</v>
      </c>
      <c r="B2856" s="143">
        <v>7.39216E12</v>
      </c>
      <c r="C2856" s="140" t="s">
        <v>9753</v>
      </c>
      <c r="D2856" s="140" t="s">
        <v>6601</v>
      </c>
      <c r="E2856" s="140" t="s">
        <v>526</v>
      </c>
      <c r="F2856" s="140" t="s">
        <v>175</v>
      </c>
      <c r="G2856" s="141" t="s">
        <v>6401</v>
      </c>
      <c r="H2856" s="140" t="s">
        <v>6312</v>
      </c>
      <c r="I2856" s="140" t="s">
        <v>6313</v>
      </c>
      <c r="J2856" s="140" t="s">
        <v>6314</v>
      </c>
      <c r="K2856" s="140" t="s">
        <v>9648</v>
      </c>
    </row>
    <row r="2857">
      <c r="A2857" s="140" t="s">
        <v>9645</v>
      </c>
      <c r="B2857" s="143">
        <v>7.32345E12</v>
      </c>
      <c r="C2857" s="140" t="s">
        <v>9754</v>
      </c>
      <c r="D2857" s="140" t="s">
        <v>6601</v>
      </c>
      <c r="E2857" s="140" t="s">
        <v>526</v>
      </c>
      <c r="F2857" s="140" t="s">
        <v>175</v>
      </c>
      <c r="G2857" s="141" t="s">
        <v>6401</v>
      </c>
      <c r="H2857" s="140" t="s">
        <v>6312</v>
      </c>
      <c r="I2857" s="140" t="s">
        <v>6313</v>
      </c>
      <c r="J2857" s="140" t="s">
        <v>6314</v>
      </c>
      <c r="K2857" s="140" t="s">
        <v>9648</v>
      </c>
    </row>
    <row r="2858">
      <c r="A2858" s="140" t="s">
        <v>9645</v>
      </c>
      <c r="B2858" s="143">
        <v>7.39216E12</v>
      </c>
      <c r="C2858" s="140" t="s">
        <v>9755</v>
      </c>
      <c r="D2858" s="140" t="s">
        <v>6601</v>
      </c>
      <c r="E2858" s="140" t="s">
        <v>526</v>
      </c>
      <c r="F2858" s="140" t="s">
        <v>175</v>
      </c>
      <c r="G2858" s="141" t="s">
        <v>6401</v>
      </c>
      <c r="H2858" s="140" t="s">
        <v>6312</v>
      </c>
      <c r="I2858" s="140" t="s">
        <v>6313</v>
      </c>
      <c r="J2858" s="140" t="s">
        <v>6314</v>
      </c>
      <c r="K2858" s="140" t="s">
        <v>9648</v>
      </c>
    </row>
    <row r="2859">
      <c r="A2859" s="140" t="s">
        <v>9645</v>
      </c>
      <c r="B2859" s="143">
        <v>7.32345E12</v>
      </c>
      <c r="C2859" s="140" t="s">
        <v>9756</v>
      </c>
      <c r="D2859" s="140" t="s">
        <v>6601</v>
      </c>
      <c r="E2859" s="140" t="s">
        <v>526</v>
      </c>
      <c r="F2859" s="140" t="s">
        <v>175</v>
      </c>
      <c r="G2859" s="141" t="s">
        <v>6401</v>
      </c>
      <c r="H2859" s="140" t="s">
        <v>6312</v>
      </c>
      <c r="I2859" s="140" t="s">
        <v>6313</v>
      </c>
      <c r="J2859" s="140" t="s">
        <v>6314</v>
      </c>
      <c r="K2859" s="140" t="s">
        <v>9648</v>
      </c>
    </row>
    <row r="2860">
      <c r="A2860" s="140" t="s">
        <v>9645</v>
      </c>
      <c r="B2860" s="143">
        <v>7.32345E12</v>
      </c>
      <c r="C2860" s="140" t="s">
        <v>9757</v>
      </c>
      <c r="D2860" s="140" t="s">
        <v>6601</v>
      </c>
      <c r="E2860" s="140" t="s">
        <v>526</v>
      </c>
      <c r="F2860" s="140" t="s">
        <v>175</v>
      </c>
      <c r="G2860" s="141" t="s">
        <v>6401</v>
      </c>
      <c r="H2860" s="140" t="s">
        <v>6312</v>
      </c>
      <c r="I2860" s="140" t="s">
        <v>6313</v>
      </c>
      <c r="J2860" s="140" t="s">
        <v>6314</v>
      </c>
      <c r="K2860" s="140" t="s">
        <v>9648</v>
      </c>
    </row>
    <row r="2861">
      <c r="A2861" s="140" t="s">
        <v>9645</v>
      </c>
      <c r="B2861" s="143">
        <v>7.32345E12</v>
      </c>
      <c r="C2861" s="140" t="s">
        <v>9758</v>
      </c>
      <c r="D2861" s="140" t="s">
        <v>6601</v>
      </c>
      <c r="E2861" s="140" t="s">
        <v>526</v>
      </c>
      <c r="F2861" s="140" t="s">
        <v>175</v>
      </c>
      <c r="G2861" s="141" t="s">
        <v>6401</v>
      </c>
      <c r="H2861" s="140" t="s">
        <v>6312</v>
      </c>
      <c r="I2861" s="140" t="s">
        <v>6313</v>
      </c>
      <c r="J2861" s="140" t="s">
        <v>6314</v>
      </c>
      <c r="K2861" s="140" t="s">
        <v>9648</v>
      </c>
    </row>
    <row r="2862">
      <c r="A2862" s="140" t="s">
        <v>9645</v>
      </c>
      <c r="B2862" s="143">
        <v>7.32345E12</v>
      </c>
      <c r="C2862" s="140" t="s">
        <v>9759</v>
      </c>
      <c r="D2862" s="140" t="s">
        <v>6601</v>
      </c>
      <c r="E2862" s="140" t="s">
        <v>526</v>
      </c>
      <c r="F2862" s="140" t="s">
        <v>175</v>
      </c>
      <c r="G2862" s="141" t="s">
        <v>6401</v>
      </c>
      <c r="H2862" s="140" t="s">
        <v>6312</v>
      </c>
      <c r="I2862" s="140" t="s">
        <v>6313</v>
      </c>
      <c r="J2862" s="140" t="s">
        <v>6314</v>
      </c>
      <c r="K2862" s="140" t="s">
        <v>9648</v>
      </c>
    </row>
    <row r="2863">
      <c r="A2863" s="140" t="s">
        <v>9645</v>
      </c>
      <c r="B2863" s="143">
        <v>7.32345E12</v>
      </c>
      <c r="C2863" s="140" t="s">
        <v>9760</v>
      </c>
      <c r="D2863" s="140" t="s">
        <v>6601</v>
      </c>
      <c r="E2863" s="140" t="s">
        <v>526</v>
      </c>
      <c r="F2863" s="140" t="s">
        <v>175</v>
      </c>
      <c r="G2863" s="141" t="s">
        <v>6401</v>
      </c>
      <c r="H2863" s="140" t="s">
        <v>6312</v>
      </c>
      <c r="I2863" s="140" t="s">
        <v>6313</v>
      </c>
      <c r="J2863" s="140" t="s">
        <v>6314</v>
      </c>
      <c r="K2863" s="140" t="s">
        <v>9648</v>
      </c>
    </row>
    <row r="2864">
      <c r="A2864" s="140" t="s">
        <v>9645</v>
      </c>
      <c r="B2864" s="143">
        <v>7.32345E12</v>
      </c>
      <c r="C2864" s="140" t="s">
        <v>9761</v>
      </c>
      <c r="D2864" s="140" t="s">
        <v>6601</v>
      </c>
      <c r="E2864" s="140" t="s">
        <v>526</v>
      </c>
      <c r="F2864" s="140" t="s">
        <v>175</v>
      </c>
      <c r="G2864" s="141" t="s">
        <v>6401</v>
      </c>
      <c r="H2864" s="140" t="s">
        <v>6312</v>
      </c>
      <c r="I2864" s="140" t="s">
        <v>6313</v>
      </c>
      <c r="J2864" s="140" t="s">
        <v>6314</v>
      </c>
      <c r="K2864" s="140" t="s">
        <v>9648</v>
      </c>
    </row>
    <row r="2865">
      <c r="A2865" s="140" t="s">
        <v>9645</v>
      </c>
      <c r="B2865" s="143">
        <v>7.32345E12</v>
      </c>
      <c r="C2865" s="140" t="s">
        <v>9762</v>
      </c>
      <c r="D2865" s="140" t="s">
        <v>6601</v>
      </c>
      <c r="E2865" s="140" t="s">
        <v>526</v>
      </c>
      <c r="F2865" s="140" t="s">
        <v>175</v>
      </c>
      <c r="G2865" s="141" t="s">
        <v>6401</v>
      </c>
      <c r="H2865" s="140" t="s">
        <v>6312</v>
      </c>
      <c r="I2865" s="140" t="s">
        <v>6313</v>
      </c>
      <c r="J2865" s="140" t="s">
        <v>6314</v>
      </c>
      <c r="K2865" s="140" t="s">
        <v>9648</v>
      </c>
    </row>
    <row r="2866">
      <c r="A2866" s="140" t="s">
        <v>9645</v>
      </c>
      <c r="B2866" s="143">
        <v>7.32345E12</v>
      </c>
      <c r="C2866" s="140" t="s">
        <v>9763</v>
      </c>
      <c r="D2866" s="140" t="s">
        <v>6601</v>
      </c>
      <c r="E2866" s="140" t="s">
        <v>526</v>
      </c>
      <c r="F2866" s="140" t="s">
        <v>175</v>
      </c>
      <c r="G2866" s="141" t="s">
        <v>6401</v>
      </c>
      <c r="H2866" s="140" t="s">
        <v>6312</v>
      </c>
      <c r="I2866" s="140" t="s">
        <v>6313</v>
      </c>
      <c r="J2866" s="140" t="s">
        <v>6314</v>
      </c>
      <c r="K2866" s="140" t="s">
        <v>9648</v>
      </c>
    </row>
    <row r="2867">
      <c r="A2867" s="140" t="s">
        <v>9645</v>
      </c>
      <c r="B2867" s="143">
        <v>7.32345E12</v>
      </c>
      <c r="C2867" s="140" t="s">
        <v>9764</v>
      </c>
      <c r="D2867" s="140" t="s">
        <v>6601</v>
      </c>
      <c r="E2867" s="140" t="s">
        <v>526</v>
      </c>
      <c r="F2867" s="140" t="s">
        <v>175</v>
      </c>
      <c r="G2867" s="141" t="s">
        <v>6401</v>
      </c>
      <c r="H2867" s="140" t="s">
        <v>6312</v>
      </c>
      <c r="I2867" s="140" t="s">
        <v>6313</v>
      </c>
      <c r="J2867" s="140" t="s">
        <v>6314</v>
      </c>
      <c r="K2867" s="140" t="s">
        <v>9648</v>
      </c>
    </row>
    <row r="2868">
      <c r="A2868" s="140" t="s">
        <v>9645</v>
      </c>
      <c r="B2868" s="143">
        <v>7.32345E12</v>
      </c>
      <c r="C2868" s="140" t="s">
        <v>9765</v>
      </c>
      <c r="D2868" s="140" t="s">
        <v>6601</v>
      </c>
      <c r="E2868" s="140" t="s">
        <v>526</v>
      </c>
      <c r="F2868" s="140" t="s">
        <v>175</v>
      </c>
      <c r="G2868" s="141" t="s">
        <v>6401</v>
      </c>
      <c r="H2868" s="140" t="s">
        <v>6312</v>
      </c>
      <c r="I2868" s="140" t="s">
        <v>6313</v>
      </c>
      <c r="J2868" s="140" t="s">
        <v>6314</v>
      </c>
      <c r="K2868" s="140" t="s">
        <v>9648</v>
      </c>
    </row>
    <row r="2869">
      <c r="A2869" s="140" t="s">
        <v>9645</v>
      </c>
      <c r="B2869" s="143">
        <v>7.39216E12</v>
      </c>
      <c r="C2869" s="140" t="s">
        <v>9766</v>
      </c>
      <c r="D2869" s="140" t="s">
        <v>6601</v>
      </c>
      <c r="E2869" s="140" t="s">
        <v>526</v>
      </c>
      <c r="F2869" s="140" t="s">
        <v>175</v>
      </c>
      <c r="G2869" s="141" t="s">
        <v>6401</v>
      </c>
      <c r="H2869" s="140" t="s">
        <v>6312</v>
      </c>
      <c r="I2869" s="140" t="s">
        <v>6313</v>
      </c>
      <c r="J2869" s="140" t="s">
        <v>6314</v>
      </c>
      <c r="K2869" s="140" t="s">
        <v>9648</v>
      </c>
    </row>
    <row r="2870">
      <c r="A2870" s="140" t="s">
        <v>9645</v>
      </c>
      <c r="B2870" s="143">
        <v>7.39216E12</v>
      </c>
      <c r="C2870" s="140" t="s">
        <v>9767</v>
      </c>
      <c r="D2870" s="140" t="s">
        <v>6601</v>
      </c>
      <c r="E2870" s="140" t="s">
        <v>526</v>
      </c>
      <c r="F2870" s="140" t="s">
        <v>175</v>
      </c>
      <c r="G2870" s="141" t="s">
        <v>6401</v>
      </c>
      <c r="H2870" s="140" t="s">
        <v>6312</v>
      </c>
      <c r="I2870" s="140" t="s">
        <v>6313</v>
      </c>
      <c r="J2870" s="140" t="s">
        <v>6314</v>
      </c>
      <c r="K2870" s="140" t="s">
        <v>9648</v>
      </c>
    </row>
    <row r="2871">
      <c r="A2871" s="140" t="s">
        <v>9645</v>
      </c>
      <c r="B2871" s="143">
        <v>7.32345E12</v>
      </c>
      <c r="C2871" s="140" t="s">
        <v>9768</v>
      </c>
      <c r="D2871" s="140" t="s">
        <v>6601</v>
      </c>
      <c r="E2871" s="140" t="s">
        <v>526</v>
      </c>
      <c r="F2871" s="140" t="s">
        <v>175</v>
      </c>
      <c r="G2871" s="141" t="s">
        <v>6401</v>
      </c>
      <c r="H2871" s="140" t="s">
        <v>6312</v>
      </c>
      <c r="I2871" s="140" t="s">
        <v>6313</v>
      </c>
      <c r="J2871" s="140" t="s">
        <v>6314</v>
      </c>
      <c r="K2871" s="140" t="s">
        <v>9648</v>
      </c>
    </row>
    <row r="2872">
      <c r="A2872" s="140" t="s">
        <v>9645</v>
      </c>
      <c r="B2872" s="143">
        <v>7.32345E12</v>
      </c>
      <c r="C2872" s="140" t="s">
        <v>9769</v>
      </c>
      <c r="D2872" s="140" t="s">
        <v>6601</v>
      </c>
      <c r="E2872" s="140" t="s">
        <v>526</v>
      </c>
      <c r="F2872" s="140" t="s">
        <v>175</v>
      </c>
      <c r="G2872" s="141" t="s">
        <v>6401</v>
      </c>
      <c r="H2872" s="140" t="s">
        <v>6312</v>
      </c>
      <c r="I2872" s="140" t="s">
        <v>6313</v>
      </c>
      <c r="J2872" s="140" t="s">
        <v>6314</v>
      </c>
      <c r="K2872" s="140" t="s">
        <v>9648</v>
      </c>
    </row>
    <row r="2873">
      <c r="A2873" s="140" t="s">
        <v>9645</v>
      </c>
      <c r="B2873" s="143">
        <v>7.32345E12</v>
      </c>
      <c r="C2873" s="140" t="s">
        <v>9770</v>
      </c>
      <c r="D2873" s="140" t="s">
        <v>6601</v>
      </c>
      <c r="E2873" s="140" t="s">
        <v>526</v>
      </c>
      <c r="F2873" s="140" t="s">
        <v>175</v>
      </c>
      <c r="G2873" s="141" t="s">
        <v>6401</v>
      </c>
      <c r="H2873" s="140" t="s">
        <v>6312</v>
      </c>
      <c r="I2873" s="140" t="s">
        <v>6313</v>
      </c>
      <c r="J2873" s="140" t="s">
        <v>6314</v>
      </c>
      <c r="K2873" s="140" t="s">
        <v>9648</v>
      </c>
    </row>
    <row r="2874">
      <c r="A2874" s="140" t="s">
        <v>9645</v>
      </c>
      <c r="B2874" s="143">
        <v>7.39216E12</v>
      </c>
      <c r="C2874" s="140" t="s">
        <v>9771</v>
      </c>
      <c r="D2874" s="140" t="s">
        <v>6601</v>
      </c>
      <c r="E2874" s="140" t="s">
        <v>526</v>
      </c>
      <c r="F2874" s="140" t="s">
        <v>175</v>
      </c>
      <c r="G2874" s="141" t="s">
        <v>6401</v>
      </c>
      <c r="H2874" s="140" t="s">
        <v>6312</v>
      </c>
      <c r="I2874" s="140" t="s">
        <v>6313</v>
      </c>
      <c r="J2874" s="140" t="s">
        <v>6314</v>
      </c>
      <c r="K2874" s="140" t="s">
        <v>9648</v>
      </c>
    </row>
    <row r="2875">
      <c r="A2875" s="140" t="s">
        <v>9645</v>
      </c>
      <c r="B2875" s="143">
        <v>7.32345E12</v>
      </c>
      <c r="C2875" s="140" t="s">
        <v>9772</v>
      </c>
      <c r="D2875" s="140" t="s">
        <v>6601</v>
      </c>
      <c r="E2875" s="140" t="s">
        <v>526</v>
      </c>
      <c r="F2875" s="140" t="s">
        <v>175</v>
      </c>
      <c r="G2875" s="141" t="s">
        <v>6401</v>
      </c>
      <c r="H2875" s="140" t="s">
        <v>6312</v>
      </c>
      <c r="I2875" s="140" t="s">
        <v>6313</v>
      </c>
      <c r="J2875" s="140" t="s">
        <v>6314</v>
      </c>
      <c r="K2875" s="140" t="s">
        <v>9648</v>
      </c>
    </row>
    <row r="2876">
      <c r="A2876" s="140" t="s">
        <v>9645</v>
      </c>
      <c r="B2876" s="143">
        <v>7.32345E12</v>
      </c>
      <c r="C2876" s="140" t="s">
        <v>9773</v>
      </c>
      <c r="D2876" s="140" t="s">
        <v>6601</v>
      </c>
      <c r="E2876" s="140" t="s">
        <v>526</v>
      </c>
      <c r="F2876" s="140" t="s">
        <v>175</v>
      </c>
      <c r="G2876" s="141" t="s">
        <v>6401</v>
      </c>
      <c r="H2876" s="140" t="s">
        <v>6312</v>
      </c>
      <c r="I2876" s="140" t="s">
        <v>6313</v>
      </c>
      <c r="J2876" s="140" t="s">
        <v>6314</v>
      </c>
      <c r="K2876" s="140" t="s">
        <v>9648</v>
      </c>
    </row>
    <row r="2877">
      <c r="A2877" s="140" t="s">
        <v>9645</v>
      </c>
      <c r="B2877" s="143">
        <v>7.32345E12</v>
      </c>
      <c r="C2877" s="140" t="s">
        <v>9774</v>
      </c>
      <c r="D2877" s="140" t="s">
        <v>6601</v>
      </c>
      <c r="E2877" s="140" t="s">
        <v>526</v>
      </c>
      <c r="F2877" s="140" t="s">
        <v>175</v>
      </c>
      <c r="G2877" s="141" t="s">
        <v>6401</v>
      </c>
      <c r="H2877" s="140" t="s">
        <v>6312</v>
      </c>
      <c r="I2877" s="140" t="s">
        <v>6313</v>
      </c>
      <c r="J2877" s="140" t="s">
        <v>6314</v>
      </c>
      <c r="K2877" s="140" t="s">
        <v>9648</v>
      </c>
    </row>
    <row r="2878">
      <c r="A2878" s="140" t="s">
        <v>9645</v>
      </c>
      <c r="B2878" s="143">
        <v>7.39216E12</v>
      </c>
      <c r="C2878" s="140" t="s">
        <v>9775</v>
      </c>
      <c r="D2878" s="140" t="s">
        <v>6601</v>
      </c>
      <c r="E2878" s="140" t="s">
        <v>526</v>
      </c>
      <c r="F2878" s="140" t="s">
        <v>175</v>
      </c>
      <c r="G2878" s="141" t="s">
        <v>6401</v>
      </c>
      <c r="H2878" s="140" t="s">
        <v>6312</v>
      </c>
      <c r="I2878" s="140" t="s">
        <v>6313</v>
      </c>
      <c r="J2878" s="140" t="s">
        <v>6314</v>
      </c>
      <c r="K2878" s="140" t="s">
        <v>9648</v>
      </c>
    </row>
    <row r="2879">
      <c r="A2879" s="140" t="s">
        <v>9645</v>
      </c>
      <c r="B2879" s="143">
        <v>7.32345E12</v>
      </c>
      <c r="C2879" s="140" t="s">
        <v>9776</v>
      </c>
      <c r="D2879" s="140" t="s">
        <v>6601</v>
      </c>
      <c r="E2879" s="140" t="s">
        <v>526</v>
      </c>
      <c r="F2879" s="140" t="s">
        <v>175</v>
      </c>
      <c r="G2879" s="141" t="s">
        <v>6401</v>
      </c>
      <c r="H2879" s="140" t="s">
        <v>6312</v>
      </c>
      <c r="I2879" s="140" t="s">
        <v>6313</v>
      </c>
      <c r="J2879" s="140" t="s">
        <v>6314</v>
      </c>
      <c r="K2879" s="140" t="s">
        <v>9648</v>
      </c>
    </row>
    <row r="2880">
      <c r="A2880" s="140" t="s">
        <v>9645</v>
      </c>
      <c r="B2880" s="143">
        <v>7.32345E12</v>
      </c>
      <c r="C2880" s="140" t="s">
        <v>9777</v>
      </c>
      <c r="D2880" s="140" t="s">
        <v>6601</v>
      </c>
      <c r="E2880" s="140" t="s">
        <v>526</v>
      </c>
      <c r="F2880" s="140" t="s">
        <v>175</v>
      </c>
      <c r="G2880" s="141" t="s">
        <v>6401</v>
      </c>
      <c r="H2880" s="140" t="s">
        <v>6312</v>
      </c>
      <c r="I2880" s="140" t="s">
        <v>6313</v>
      </c>
      <c r="J2880" s="140" t="s">
        <v>6314</v>
      </c>
      <c r="K2880" s="140" t="s">
        <v>9648</v>
      </c>
    </row>
    <row r="2881">
      <c r="A2881" s="140" t="s">
        <v>9645</v>
      </c>
      <c r="B2881" s="143">
        <v>7.39216E12</v>
      </c>
      <c r="C2881" s="140" t="s">
        <v>9778</v>
      </c>
      <c r="D2881" s="140" t="s">
        <v>6601</v>
      </c>
      <c r="E2881" s="140" t="s">
        <v>526</v>
      </c>
      <c r="F2881" s="140" t="s">
        <v>175</v>
      </c>
      <c r="G2881" s="141" t="s">
        <v>6401</v>
      </c>
      <c r="H2881" s="140" t="s">
        <v>6312</v>
      </c>
      <c r="I2881" s="140" t="s">
        <v>6313</v>
      </c>
      <c r="J2881" s="140" t="s">
        <v>6314</v>
      </c>
      <c r="K2881" s="140" t="s">
        <v>9648</v>
      </c>
    </row>
    <row r="2882">
      <c r="A2882" s="140" t="s">
        <v>9645</v>
      </c>
      <c r="B2882" s="143">
        <v>7.39216E12</v>
      </c>
      <c r="C2882" s="140" t="s">
        <v>9779</v>
      </c>
      <c r="D2882" s="140" t="s">
        <v>6601</v>
      </c>
      <c r="E2882" s="140" t="s">
        <v>526</v>
      </c>
      <c r="F2882" s="140" t="s">
        <v>175</v>
      </c>
      <c r="G2882" s="141" t="s">
        <v>6401</v>
      </c>
      <c r="H2882" s="140" t="s">
        <v>6312</v>
      </c>
      <c r="I2882" s="140" t="s">
        <v>6313</v>
      </c>
      <c r="J2882" s="140" t="s">
        <v>6314</v>
      </c>
      <c r="K2882" s="140" t="s">
        <v>9648</v>
      </c>
    </row>
    <row r="2883">
      <c r="A2883" s="140" t="s">
        <v>9645</v>
      </c>
      <c r="B2883" s="143">
        <v>7.39216E12</v>
      </c>
      <c r="C2883" s="140" t="s">
        <v>9780</v>
      </c>
      <c r="D2883" s="140" t="s">
        <v>6601</v>
      </c>
      <c r="E2883" s="140" t="s">
        <v>526</v>
      </c>
      <c r="F2883" s="140" t="s">
        <v>175</v>
      </c>
      <c r="G2883" s="141" t="s">
        <v>6401</v>
      </c>
      <c r="H2883" s="140" t="s">
        <v>6312</v>
      </c>
      <c r="I2883" s="140" t="s">
        <v>6313</v>
      </c>
      <c r="J2883" s="140" t="s">
        <v>6314</v>
      </c>
      <c r="K2883" s="140" t="s">
        <v>9648</v>
      </c>
    </row>
    <row r="2884">
      <c r="A2884" s="140" t="s">
        <v>9645</v>
      </c>
      <c r="B2884" s="143">
        <v>7.32345E12</v>
      </c>
      <c r="C2884" s="140" t="s">
        <v>9781</v>
      </c>
      <c r="D2884" s="140" t="s">
        <v>6601</v>
      </c>
      <c r="E2884" s="140" t="s">
        <v>526</v>
      </c>
      <c r="F2884" s="140" t="s">
        <v>175</v>
      </c>
      <c r="G2884" s="141" t="s">
        <v>6401</v>
      </c>
      <c r="H2884" s="140" t="s">
        <v>6312</v>
      </c>
      <c r="I2884" s="140" t="s">
        <v>6313</v>
      </c>
      <c r="J2884" s="140" t="s">
        <v>6314</v>
      </c>
      <c r="K2884" s="140" t="s">
        <v>9648</v>
      </c>
    </row>
    <row r="2885">
      <c r="A2885" s="140" t="s">
        <v>9645</v>
      </c>
      <c r="B2885" s="143">
        <v>7.39216E12</v>
      </c>
      <c r="C2885" s="140" t="s">
        <v>9782</v>
      </c>
      <c r="D2885" s="140" t="s">
        <v>6601</v>
      </c>
      <c r="E2885" s="140" t="s">
        <v>526</v>
      </c>
      <c r="F2885" s="140" t="s">
        <v>175</v>
      </c>
      <c r="G2885" s="141" t="s">
        <v>6401</v>
      </c>
      <c r="H2885" s="140" t="s">
        <v>6312</v>
      </c>
      <c r="I2885" s="140" t="s">
        <v>6313</v>
      </c>
      <c r="J2885" s="140" t="s">
        <v>6314</v>
      </c>
      <c r="K2885" s="140" t="s">
        <v>9648</v>
      </c>
    </row>
    <row r="2886">
      <c r="A2886" s="140" t="s">
        <v>9645</v>
      </c>
      <c r="B2886" s="143">
        <v>7.39216E12</v>
      </c>
      <c r="C2886" s="140" t="s">
        <v>9783</v>
      </c>
      <c r="D2886" s="140" t="s">
        <v>6601</v>
      </c>
      <c r="E2886" s="140" t="s">
        <v>526</v>
      </c>
      <c r="F2886" s="140" t="s">
        <v>175</v>
      </c>
      <c r="G2886" s="141" t="s">
        <v>6401</v>
      </c>
      <c r="H2886" s="140" t="s">
        <v>6312</v>
      </c>
      <c r="I2886" s="140" t="s">
        <v>6313</v>
      </c>
      <c r="J2886" s="140" t="s">
        <v>6314</v>
      </c>
      <c r="K2886" s="140" t="s">
        <v>9648</v>
      </c>
    </row>
    <row r="2887">
      <c r="A2887" s="140" t="s">
        <v>9645</v>
      </c>
      <c r="B2887" s="143">
        <v>7.32345E12</v>
      </c>
      <c r="C2887" s="140" t="s">
        <v>9784</v>
      </c>
      <c r="D2887" s="140" t="s">
        <v>6601</v>
      </c>
      <c r="E2887" s="140" t="s">
        <v>526</v>
      </c>
      <c r="F2887" s="140" t="s">
        <v>175</v>
      </c>
      <c r="G2887" s="141" t="s">
        <v>6401</v>
      </c>
      <c r="H2887" s="140" t="s">
        <v>6312</v>
      </c>
      <c r="I2887" s="140" t="s">
        <v>6313</v>
      </c>
      <c r="J2887" s="140" t="s">
        <v>6314</v>
      </c>
      <c r="K2887" s="140" t="s">
        <v>9648</v>
      </c>
    </row>
    <row r="2888">
      <c r="A2888" s="140" t="s">
        <v>9645</v>
      </c>
      <c r="B2888" s="143">
        <v>7.39216E12</v>
      </c>
      <c r="C2888" s="140" t="s">
        <v>9785</v>
      </c>
      <c r="D2888" s="140" t="s">
        <v>6601</v>
      </c>
      <c r="E2888" s="140" t="s">
        <v>526</v>
      </c>
      <c r="F2888" s="140" t="s">
        <v>175</v>
      </c>
      <c r="G2888" s="141" t="s">
        <v>6401</v>
      </c>
      <c r="H2888" s="140" t="s">
        <v>6312</v>
      </c>
      <c r="I2888" s="140" t="s">
        <v>6313</v>
      </c>
      <c r="J2888" s="140" t="s">
        <v>6314</v>
      </c>
      <c r="K2888" s="140" t="s">
        <v>9648</v>
      </c>
    </row>
    <row r="2889">
      <c r="A2889" s="140" t="s">
        <v>9645</v>
      </c>
      <c r="B2889" s="143">
        <v>7.32345E12</v>
      </c>
      <c r="C2889" s="140" t="s">
        <v>9786</v>
      </c>
      <c r="D2889" s="140" t="s">
        <v>6601</v>
      </c>
      <c r="E2889" s="140" t="s">
        <v>526</v>
      </c>
      <c r="F2889" s="140" t="s">
        <v>175</v>
      </c>
      <c r="G2889" s="141" t="s">
        <v>6401</v>
      </c>
      <c r="H2889" s="140" t="s">
        <v>6312</v>
      </c>
      <c r="I2889" s="140" t="s">
        <v>6313</v>
      </c>
      <c r="J2889" s="140" t="s">
        <v>6314</v>
      </c>
      <c r="K2889" s="140" t="s">
        <v>9648</v>
      </c>
    </row>
    <row r="2890">
      <c r="A2890" s="140" t="s">
        <v>9645</v>
      </c>
      <c r="B2890" s="143">
        <v>7.32345E12</v>
      </c>
      <c r="C2890" s="140" t="s">
        <v>9787</v>
      </c>
      <c r="D2890" s="140" t="s">
        <v>6601</v>
      </c>
      <c r="E2890" s="140" t="s">
        <v>526</v>
      </c>
      <c r="F2890" s="140" t="s">
        <v>175</v>
      </c>
      <c r="G2890" s="141" t="s">
        <v>6401</v>
      </c>
      <c r="H2890" s="140" t="s">
        <v>6312</v>
      </c>
      <c r="I2890" s="140" t="s">
        <v>6313</v>
      </c>
      <c r="J2890" s="140" t="s">
        <v>6314</v>
      </c>
      <c r="K2890" s="140" t="s">
        <v>9648</v>
      </c>
    </row>
    <row r="2891">
      <c r="A2891" s="140" t="s">
        <v>9645</v>
      </c>
      <c r="B2891" s="143">
        <v>7.39216E12</v>
      </c>
      <c r="C2891" s="140" t="s">
        <v>9788</v>
      </c>
      <c r="D2891" s="140" t="s">
        <v>6601</v>
      </c>
      <c r="E2891" s="140" t="s">
        <v>526</v>
      </c>
      <c r="F2891" s="140" t="s">
        <v>175</v>
      </c>
      <c r="G2891" s="141" t="s">
        <v>6401</v>
      </c>
      <c r="H2891" s="140" t="s">
        <v>6312</v>
      </c>
      <c r="I2891" s="140" t="s">
        <v>6313</v>
      </c>
      <c r="J2891" s="140" t="s">
        <v>6314</v>
      </c>
      <c r="K2891" s="140" t="s">
        <v>9648</v>
      </c>
    </row>
    <row r="2892">
      <c r="A2892" s="140" t="s">
        <v>9645</v>
      </c>
      <c r="B2892" s="143">
        <v>7.32345E12</v>
      </c>
      <c r="C2892" s="140" t="s">
        <v>9789</v>
      </c>
      <c r="D2892" s="140" t="s">
        <v>6601</v>
      </c>
      <c r="E2892" s="140" t="s">
        <v>526</v>
      </c>
      <c r="F2892" s="140" t="s">
        <v>175</v>
      </c>
      <c r="G2892" s="141" t="s">
        <v>6401</v>
      </c>
      <c r="H2892" s="140" t="s">
        <v>6312</v>
      </c>
      <c r="I2892" s="140" t="s">
        <v>6313</v>
      </c>
      <c r="J2892" s="140" t="s">
        <v>6314</v>
      </c>
      <c r="K2892" s="140" t="s">
        <v>9648</v>
      </c>
    </row>
    <row r="2893">
      <c r="A2893" s="140" t="s">
        <v>9645</v>
      </c>
      <c r="B2893" s="143">
        <v>7.32345E12</v>
      </c>
      <c r="C2893" s="140" t="s">
        <v>9790</v>
      </c>
      <c r="D2893" s="140" t="s">
        <v>6601</v>
      </c>
      <c r="E2893" s="140" t="s">
        <v>526</v>
      </c>
      <c r="F2893" s="140" t="s">
        <v>175</v>
      </c>
      <c r="G2893" s="141" t="s">
        <v>6401</v>
      </c>
      <c r="H2893" s="140" t="s">
        <v>6312</v>
      </c>
      <c r="I2893" s="140" t="s">
        <v>6313</v>
      </c>
      <c r="J2893" s="140" t="s">
        <v>6314</v>
      </c>
      <c r="K2893" s="140" t="s">
        <v>9648</v>
      </c>
    </row>
    <row r="2894">
      <c r="A2894" s="140" t="s">
        <v>9645</v>
      </c>
      <c r="B2894" s="143">
        <v>7.32345E12</v>
      </c>
      <c r="C2894" s="140" t="s">
        <v>9791</v>
      </c>
      <c r="D2894" s="140" t="s">
        <v>6601</v>
      </c>
      <c r="E2894" s="140" t="s">
        <v>526</v>
      </c>
      <c r="F2894" s="140" t="s">
        <v>175</v>
      </c>
      <c r="G2894" s="141" t="s">
        <v>6401</v>
      </c>
      <c r="H2894" s="140" t="s">
        <v>6312</v>
      </c>
      <c r="I2894" s="140" t="s">
        <v>6313</v>
      </c>
      <c r="J2894" s="140" t="s">
        <v>6314</v>
      </c>
      <c r="K2894" s="140" t="s">
        <v>9648</v>
      </c>
    </row>
    <row r="2895">
      <c r="A2895" s="140" t="s">
        <v>9645</v>
      </c>
      <c r="B2895" s="143">
        <v>7.32345E12</v>
      </c>
      <c r="C2895" s="140" t="s">
        <v>9792</v>
      </c>
      <c r="D2895" s="140" t="s">
        <v>6601</v>
      </c>
      <c r="E2895" s="140" t="s">
        <v>526</v>
      </c>
      <c r="F2895" s="140" t="s">
        <v>175</v>
      </c>
      <c r="G2895" s="141" t="s">
        <v>6401</v>
      </c>
      <c r="H2895" s="140" t="s">
        <v>6312</v>
      </c>
      <c r="I2895" s="140" t="s">
        <v>6313</v>
      </c>
      <c r="J2895" s="140" t="s">
        <v>6314</v>
      </c>
      <c r="K2895" s="140" t="s">
        <v>9648</v>
      </c>
    </row>
    <row r="2896">
      <c r="A2896" s="140" t="s">
        <v>9645</v>
      </c>
      <c r="B2896" s="143">
        <v>7.32345E12</v>
      </c>
      <c r="C2896" s="140" t="s">
        <v>9793</v>
      </c>
      <c r="D2896" s="140" t="s">
        <v>6601</v>
      </c>
      <c r="E2896" s="140" t="s">
        <v>526</v>
      </c>
      <c r="F2896" s="140" t="s">
        <v>175</v>
      </c>
      <c r="G2896" s="141" t="s">
        <v>6401</v>
      </c>
      <c r="H2896" s="140" t="s">
        <v>6312</v>
      </c>
      <c r="I2896" s="140" t="s">
        <v>6313</v>
      </c>
      <c r="J2896" s="140" t="s">
        <v>6314</v>
      </c>
      <c r="K2896" s="140" t="s">
        <v>9648</v>
      </c>
    </row>
    <row r="2897">
      <c r="A2897" s="140" t="s">
        <v>9645</v>
      </c>
      <c r="B2897" s="143">
        <v>7.32345E12</v>
      </c>
      <c r="C2897" s="140" t="s">
        <v>9794</v>
      </c>
      <c r="D2897" s="140" t="s">
        <v>6601</v>
      </c>
      <c r="E2897" s="140" t="s">
        <v>526</v>
      </c>
      <c r="F2897" s="140" t="s">
        <v>175</v>
      </c>
      <c r="G2897" s="141" t="s">
        <v>6401</v>
      </c>
      <c r="H2897" s="140" t="s">
        <v>6312</v>
      </c>
      <c r="I2897" s="140" t="s">
        <v>6313</v>
      </c>
      <c r="J2897" s="140" t="s">
        <v>6314</v>
      </c>
      <c r="K2897" s="140" t="s">
        <v>9648</v>
      </c>
    </row>
    <row r="2898">
      <c r="A2898" s="140" t="s">
        <v>9645</v>
      </c>
      <c r="B2898" s="143">
        <v>7.32345E12</v>
      </c>
      <c r="C2898" s="140" t="s">
        <v>9795</v>
      </c>
      <c r="D2898" s="140" t="s">
        <v>6601</v>
      </c>
      <c r="E2898" s="140" t="s">
        <v>526</v>
      </c>
      <c r="F2898" s="140" t="s">
        <v>175</v>
      </c>
      <c r="G2898" s="141" t="s">
        <v>6401</v>
      </c>
      <c r="H2898" s="140" t="s">
        <v>6312</v>
      </c>
      <c r="I2898" s="140" t="s">
        <v>6313</v>
      </c>
      <c r="J2898" s="140" t="s">
        <v>6314</v>
      </c>
      <c r="K2898" s="140" t="s">
        <v>9648</v>
      </c>
    </row>
    <row r="2899">
      <c r="A2899" s="140" t="s">
        <v>9645</v>
      </c>
      <c r="B2899" s="143">
        <v>7.32345E12</v>
      </c>
      <c r="C2899" s="140" t="s">
        <v>9796</v>
      </c>
      <c r="D2899" s="140" t="s">
        <v>6601</v>
      </c>
      <c r="E2899" s="140" t="s">
        <v>526</v>
      </c>
      <c r="F2899" s="140" t="s">
        <v>175</v>
      </c>
      <c r="G2899" s="141" t="s">
        <v>6401</v>
      </c>
      <c r="H2899" s="140" t="s">
        <v>6312</v>
      </c>
      <c r="I2899" s="140" t="s">
        <v>6313</v>
      </c>
      <c r="J2899" s="140" t="s">
        <v>6314</v>
      </c>
      <c r="K2899" s="140" t="s">
        <v>9648</v>
      </c>
    </row>
    <row r="2900">
      <c r="A2900" s="140" t="s">
        <v>9645</v>
      </c>
      <c r="B2900" s="143">
        <v>7.32345E12</v>
      </c>
      <c r="C2900" s="140" t="s">
        <v>9797</v>
      </c>
      <c r="D2900" s="140" t="s">
        <v>6601</v>
      </c>
      <c r="E2900" s="140" t="s">
        <v>526</v>
      </c>
      <c r="F2900" s="140" t="s">
        <v>175</v>
      </c>
      <c r="G2900" s="141" t="s">
        <v>6401</v>
      </c>
      <c r="H2900" s="140" t="s">
        <v>6312</v>
      </c>
      <c r="I2900" s="140" t="s">
        <v>6313</v>
      </c>
      <c r="J2900" s="140" t="s">
        <v>6314</v>
      </c>
      <c r="K2900" s="140" t="s">
        <v>9648</v>
      </c>
    </row>
    <row r="2901">
      <c r="A2901" s="140" t="s">
        <v>9645</v>
      </c>
      <c r="B2901" s="143">
        <v>7.32345E12</v>
      </c>
      <c r="C2901" s="140" t="s">
        <v>9798</v>
      </c>
      <c r="D2901" s="140" t="s">
        <v>6601</v>
      </c>
      <c r="E2901" s="140" t="s">
        <v>526</v>
      </c>
      <c r="F2901" s="140" t="s">
        <v>175</v>
      </c>
      <c r="G2901" s="141" t="s">
        <v>6401</v>
      </c>
      <c r="H2901" s="140" t="s">
        <v>6312</v>
      </c>
      <c r="I2901" s="140" t="s">
        <v>6313</v>
      </c>
      <c r="J2901" s="140" t="s">
        <v>6314</v>
      </c>
      <c r="K2901" s="140" t="s">
        <v>9648</v>
      </c>
    </row>
    <row r="2902">
      <c r="A2902" s="140" t="s">
        <v>9645</v>
      </c>
      <c r="B2902" s="143">
        <v>7.32345E12</v>
      </c>
      <c r="C2902" s="140" t="s">
        <v>9799</v>
      </c>
      <c r="D2902" s="140" t="s">
        <v>6601</v>
      </c>
      <c r="E2902" s="140" t="s">
        <v>526</v>
      </c>
      <c r="F2902" s="140" t="s">
        <v>175</v>
      </c>
      <c r="G2902" s="141" t="s">
        <v>6401</v>
      </c>
      <c r="H2902" s="140" t="s">
        <v>6312</v>
      </c>
      <c r="I2902" s="140" t="s">
        <v>6313</v>
      </c>
      <c r="J2902" s="140" t="s">
        <v>6314</v>
      </c>
      <c r="K2902" s="140" t="s">
        <v>9648</v>
      </c>
    </row>
    <row r="2903">
      <c r="A2903" s="140" t="s">
        <v>9645</v>
      </c>
      <c r="B2903" s="143">
        <v>7.32345E12</v>
      </c>
      <c r="C2903" s="140" t="s">
        <v>9800</v>
      </c>
      <c r="D2903" s="140" t="s">
        <v>6601</v>
      </c>
      <c r="E2903" s="140" t="s">
        <v>526</v>
      </c>
      <c r="F2903" s="140" t="s">
        <v>175</v>
      </c>
      <c r="G2903" s="141" t="s">
        <v>6401</v>
      </c>
      <c r="H2903" s="140" t="s">
        <v>6312</v>
      </c>
      <c r="I2903" s="140" t="s">
        <v>6313</v>
      </c>
      <c r="J2903" s="140" t="s">
        <v>6314</v>
      </c>
      <c r="K2903" s="140" t="s">
        <v>9648</v>
      </c>
    </row>
    <row r="2904">
      <c r="A2904" s="140" t="s">
        <v>9645</v>
      </c>
      <c r="B2904" s="143">
        <v>7.32345E12</v>
      </c>
      <c r="C2904" s="140" t="s">
        <v>9801</v>
      </c>
      <c r="D2904" s="140" t="s">
        <v>6601</v>
      </c>
      <c r="E2904" s="140" t="s">
        <v>526</v>
      </c>
      <c r="F2904" s="140" t="s">
        <v>175</v>
      </c>
      <c r="G2904" s="141" t="s">
        <v>6401</v>
      </c>
      <c r="H2904" s="140" t="s">
        <v>6312</v>
      </c>
      <c r="I2904" s="140" t="s">
        <v>6313</v>
      </c>
      <c r="J2904" s="140" t="s">
        <v>6314</v>
      </c>
      <c r="K2904" s="140" t="s">
        <v>9648</v>
      </c>
    </row>
    <row r="2905">
      <c r="A2905" s="140" t="s">
        <v>9645</v>
      </c>
      <c r="B2905" s="143">
        <v>7.32345E12</v>
      </c>
      <c r="C2905" s="140" t="s">
        <v>9802</v>
      </c>
      <c r="D2905" s="140" t="s">
        <v>6601</v>
      </c>
      <c r="E2905" s="140" t="s">
        <v>526</v>
      </c>
      <c r="F2905" s="140" t="s">
        <v>175</v>
      </c>
      <c r="G2905" s="141" t="s">
        <v>6401</v>
      </c>
      <c r="H2905" s="140" t="s">
        <v>6312</v>
      </c>
      <c r="I2905" s="140" t="s">
        <v>6313</v>
      </c>
      <c r="J2905" s="140" t="s">
        <v>6314</v>
      </c>
      <c r="K2905" s="140" t="s">
        <v>9648</v>
      </c>
    </row>
    <row r="2906">
      <c r="A2906" s="140" t="s">
        <v>9645</v>
      </c>
      <c r="B2906" s="143">
        <v>7.32345E12</v>
      </c>
      <c r="C2906" s="140" t="s">
        <v>9803</v>
      </c>
      <c r="D2906" s="140" t="s">
        <v>6601</v>
      </c>
      <c r="E2906" s="140" t="s">
        <v>165</v>
      </c>
      <c r="F2906" s="140" t="s">
        <v>166</v>
      </c>
      <c r="G2906" s="141" t="s">
        <v>6401</v>
      </c>
      <c r="H2906" s="140" t="s">
        <v>6312</v>
      </c>
      <c r="I2906" s="140" t="s">
        <v>6313</v>
      </c>
      <c r="J2906" s="140" t="s">
        <v>6314</v>
      </c>
      <c r="K2906" s="140" t="s">
        <v>9648</v>
      </c>
    </row>
    <row r="2907">
      <c r="A2907" s="140" t="s">
        <v>9645</v>
      </c>
      <c r="B2907" s="143">
        <v>7.32345E12</v>
      </c>
      <c r="C2907" s="140" t="s">
        <v>9804</v>
      </c>
      <c r="D2907" s="140" t="s">
        <v>6601</v>
      </c>
      <c r="E2907" s="140" t="s">
        <v>165</v>
      </c>
      <c r="F2907" s="140" t="s">
        <v>166</v>
      </c>
      <c r="G2907" s="141" t="s">
        <v>6401</v>
      </c>
      <c r="H2907" s="140" t="s">
        <v>6312</v>
      </c>
      <c r="I2907" s="140" t="s">
        <v>6313</v>
      </c>
      <c r="J2907" s="140" t="s">
        <v>6314</v>
      </c>
      <c r="K2907" s="140" t="s">
        <v>9648</v>
      </c>
    </row>
    <row r="2908">
      <c r="A2908" s="140" t="s">
        <v>9645</v>
      </c>
      <c r="B2908" s="143">
        <v>7.32345E12</v>
      </c>
      <c r="C2908" s="140" t="s">
        <v>9805</v>
      </c>
      <c r="D2908" s="140" t="s">
        <v>6601</v>
      </c>
      <c r="E2908" s="140" t="s">
        <v>165</v>
      </c>
      <c r="F2908" s="140" t="s">
        <v>166</v>
      </c>
      <c r="G2908" s="141" t="s">
        <v>6401</v>
      </c>
      <c r="H2908" s="140" t="s">
        <v>6312</v>
      </c>
      <c r="I2908" s="140" t="s">
        <v>6313</v>
      </c>
      <c r="J2908" s="140" t="s">
        <v>6314</v>
      </c>
      <c r="K2908" s="140" t="s">
        <v>9648</v>
      </c>
    </row>
    <row r="2909">
      <c r="A2909" s="140" t="s">
        <v>9645</v>
      </c>
      <c r="B2909" s="143">
        <v>7.32345E12</v>
      </c>
      <c r="C2909" s="140" t="s">
        <v>9806</v>
      </c>
      <c r="D2909" s="140" t="s">
        <v>6601</v>
      </c>
      <c r="E2909" s="140" t="s">
        <v>165</v>
      </c>
      <c r="F2909" s="140" t="s">
        <v>175</v>
      </c>
      <c r="G2909" s="141" t="s">
        <v>6401</v>
      </c>
      <c r="H2909" s="140" t="s">
        <v>6312</v>
      </c>
      <c r="I2909" s="140" t="s">
        <v>6313</v>
      </c>
      <c r="J2909" s="140" t="s">
        <v>6314</v>
      </c>
      <c r="K2909" s="140" t="s">
        <v>9648</v>
      </c>
    </row>
    <row r="2910">
      <c r="A2910" s="140" t="s">
        <v>9645</v>
      </c>
      <c r="B2910" s="143">
        <v>7.32345E12</v>
      </c>
      <c r="C2910" s="140" t="s">
        <v>9807</v>
      </c>
      <c r="D2910" s="140" t="s">
        <v>6601</v>
      </c>
      <c r="E2910" s="140" t="s">
        <v>165</v>
      </c>
      <c r="F2910" s="140" t="s">
        <v>175</v>
      </c>
      <c r="G2910" s="141" t="s">
        <v>6401</v>
      </c>
      <c r="H2910" s="140" t="s">
        <v>6312</v>
      </c>
      <c r="I2910" s="140" t="s">
        <v>6313</v>
      </c>
      <c r="J2910" s="140" t="s">
        <v>6314</v>
      </c>
      <c r="K2910" s="140" t="s">
        <v>9648</v>
      </c>
    </row>
    <row r="2911">
      <c r="A2911" s="140" t="s">
        <v>9645</v>
      </c>
      <c r="B2911" s="143">
        <v>7.39216E12</v>
      </c>
      <c r="C2911" s="140" t="s">
        <v>9808</v>
      </c>
      <c r="D2911" s="140" t="s">
        <v>6601</v>
      </c>
      <c r="E2911" s="140" t="s">
        <v>165</v>
      </c>
      <c r="F2911" s="140" t="s">
        <v>175</v>
      </c>
      <c r="G2911" s="141" t="s">
        <v>6401</v>
      </c>
      <c r="H2911" s="140" t="s">
        <v>6312</v>
      </c>
      <c r="I2911" s="140" t="s">
        <v>6313</v>
      </c>
      <c r="J2911" s="140" t="s">
        <v>6314</v>
      </c>
      <c r="K2911" s="140" t="s">
        <v>9648</v>
      </c>
    </row>
    <row r="2912">
      <c r="A2912" s="140" t="s">
        <v>9645</v>
      </c>
      <c r="B2912" s="143">
        <v>7.32345E12</v>
      </c>
      <c r="C2912" s="140" t="s">
        <v>9809</v>
      </c>
      <c r="D2912" s="140" t="s">
        <v>6601</v>
      </c>
      <c r="E2912" s="140" t="s">
        <v>165</v>
      </c>
      <c r="F2912" s="140" t="s">
        <v>175</v>
      </c>
      <c r="G2912" s="141" t="s">
        <v>6401</v>
      </c>
      <c r="H2912" s="140" t="s">
        <v>6312</v>
      </c>
      <c r="I2912" s="140" t="s">
        <v>6313</v>
      </c>
      <c r="J2912" s="140" t="s">
        <v>6314</v>
      </c>
      <c r="K2912" s="140" t="s">
        <v>9648</v>
      </c>
    </row>
    <row r="2913">
      <c r="A2913" s="140" t="s">
        <v>9645</v>
      </c>
      <c r="B2913" s="143">
        <v>7.32345E12</v>
      </c>
      <c r="C2913" s="140" t="s">
        <v>9810</v>
      </c>
      <c r="D2913" s="140" t="s">
        <v>6601</v>
      </c>
      <c r="E2913" s="140" t="s">
        <v>165</v>
      </c>
      <c r="F2913" s="140" t="s">
        <v>175</v>
      </c>
      <c r="G2913" s="141" t="s">
        <v>6401</v>
      </c>
      <c r="H2913" s="140" t="s">
        <v>6312</v>
      </c>
      <c r="I2913" s="140" t="s">
        <v>6313</v>
      </c>
      <c r="J2913" s="140" t="s">
        <v>6314</v>
      </c>
      <c r="K2913" s="140" t="s">
        <v>9648</v>
      </c>
    </row>
    <row r="2914">
      <c r="A2914" s="140" t="s">
        <v>9645</v>
      </c>
      <c r="B2914" s="143">
        <v>7.39216E12</v>
      </c>
      <c r="C2914" s="140" t="s">
        <v>9811</v>
      </c>
      <c r="D2914" s="140" t="s">
        <v>6601</v>
      </c>
      <c r="E2914" s="140" t="s">
        <v>165</v>
      </c>
      <c r="F2914" s="140" t="s">
        <v>175</v>
      </c>
      <c r="G2914" s="141" t="s">
        <v>6401</v>
      </c>
      <c r="H2914" s="140" t="s">
        <v>6312</v>
      </c>
      <c r="I2914" s="140" t="s">
        <v>6313</v>
      </c>
      <c r="J2914" s="140" t="s">
        <v>6314</v>
      </c>
      <c r="K2914" s="140" t="s">
        <v>9648</v>
      </c>
    </row>
    <row r="2915">
      <c r="A2915" s="140" t="s">
        <v>9645</v>
      </c>
      <c r="B2915" s="143">
        <v>7.32345E12</v>
      </c>
      <c r="C2915" s="140" t="s">
        <v>9812</v>
      </c>
      <c r="D2915" s="140" t="s">
        <v>6601</v>
      </c>
      <c r="E2915" s="140" t="s">
        <v>796</v>
      </c>
      <c r="F2915" s="140" t="s">
        <v>830</v>
      </c>
      <c r="G2915" s="141" t="s">
        <v>6401</v>
      </c>
      <c r="H2915" s="140" t="s">
        <v>6312</v>
      </c>
      <c r="I2915" s="140" t="s">
        <v>6313</v>
      </c>
      <c r="J2915" s="140" t="s">
        <v>6314</v>
      </c>
      <c r="K2915" s="140" t="s">
        <v>9648</v>
      </c>
    </row>
    <row r="2916">
      <c r="A2916" s="140" t="s">
        <v>9813</v>
      </c>
      <c r="B2916" s="140" t="s">
        <v>9814</v>
      </c>
      <c r="C2916" s="140" t="s">
        <v>9815</v>
      </c>
      <c r="D2916" s="140" t="s">
        <v>9064</v>
      </c>
      <c r="E2916" s="140" t="s">
        <v>513</v>
      </c>
      <c r="F2916" s="140" t="s">
        <v>519</v>
      </c>
      <c r="G2916" s="141" t="s">
        <v>6401</v>
      </c>
      <c r="H2916" s="140" t="s">
        <v>6312</v>
      </c>
      <c r="I2916" s="140" t="s">
        <v>6313</v>
      </c>
      <c r="J2916" s="140" t="s">
        <v>6314</v>
      </c>
      <c r="K2916" s="140" t="s">
        <v>7349</v>
      </c>
    </row>
    <row r="2917">
      <c r="A2917" s="140" t="s">
        <v>9813</v>
      </c>
      <c r="B2917" s="140" t="s">
        <v>9816</v>
      </c>
      <c r="C2917" s="140" t="s">
        <v>9817</v>
      </c>
      <c r="D2917" s="140" t="s">
        <v>7347</v>
      </c>
      <c r="E2917" s="140" t="s">
        <v>7770</v>
      </c>
      <c r="F2917" s="140" t="s">
        <v>9498</v>
      </c>
      <c r="G2917" s="141" t="s">
        <v>6401</v>
      </c>
      <c r="H2917" s="140" t="s">
        <v>6312</v>
      </c>
      <c r="I2917" s="140" t="s">
        <v>6313</v>
      </c>
      <c r="J2917" s="140" t="s">
        <v>6314</v>
      </c>
      <c r="K2917" s="140" t="s">
        <v>7349</v>
      </c>
    </row>
    <row r="2918">
      <c r="A2918" s="140" t="s">
        <v>9813</v>
      </c>
      <c r="B2918" s="140" t="s">
        <v>9818</v>
      </c>
      <c r="C2918" s="140" t="s">
        <v>9819</v>
      </c>
      <c r="D2918" s="140" t="s">
        <v>7347</v>
      </c>
      <c r="E2918" s="140" t="s">
        <v>7770</v>
      </c>
      <c r="F2918" s="140" t="s">
        <v>9498</v>
      </c>
      <c r="G2918" s="141" t="s">
        <v>6401</v>
      </c>
      <c r="H2918" s="140" t="s">
        <v>6312</v>
      </c>
      <c r="I2918" s="140" t="s">
        <v>6313</v>
      </c>
      <c r="J2918" s="140" t="s">
        <v>6314</v>
      </c>
      <c r="K2918" s="140" t="s">
        <v>7349</v>
      </c>
    </row>
    <row r="2919">
      <c r="A2919" s="140" t="s">
        <v>9820</v>
      </c>
      <c r="B2919" s="140" t="s">
        <v>9821</v>
      </c>
      <c r="C2919" s="140" t="s">
        <v>9822</v>
      </c>
      <c r="D2919" s="140" t="s">
        <v>7347</v>
      </c>
      <c r="E2919" s="140" t="s">
        <v>7770</v>
      </c>
      <c r="F2919" s="140" t="s">
        <v>9498</v>
      </c>
      <c r="G2919" s="141" t="s">
        <v>6401</v>
      </c>
      <c r="H2919" s="140" t="s">
        <v>6312</v>
      </c>
      <c r="I2919" s="140" t="s">
        <v>6313</v>
      </c>
      <c r="J2919" s="140" t="s">
        <v>6314</v>
      </c>
      <c r="K2919" s="140" t="s">
        <v>7349</v>
      </c>
    </row>
    <row r="2920">
      <c r="A2920" s="140" t="s">
        <v>9820</v>
      </c>
      <c r="B2920" s="140" t="s">
        <v>9823</v>
      </c>
      <c r="C2920" s="140" t="s">
        <v>9822</v>
      </c>
      <c r="D2920" s="140" t="s">
        <v>7347</v>
      </c>
      <c r="E2920" s="140" t="s">
        <v>7770</v>
      </c>
      <c r="F2920" s="140" t="s">
        <v>9498</v>
      </c>
      <c r="G2920" s="141" t="s">
        <v>6401</v>
      </c>
      <c r="H2920" s="140" t="s">
        <v>6312</v>
      </c>
      <c r="I2920" s="140" t="s">
        <v>6313</v>
      </c>
      <c r="J2920" s="140" t="s">
        <v>6314</v>
      </c>
      <c r="K2920" s="140" t="s">
        <v>7349</v>
      </c>
    </row>
    <row r="2921">
      <c r="A2921" s="140" t="s">
        <v>9820</v>
      </c>
      <c r="B2921" s="140" t="s">
        <v>9824</v>
      </c>
      <c r="C2921" s="140" t="s">
        <v>9825</v>
      </c>
      <c r="D2921" s="140" t="s">
        <v>7347</v>
      </c>
      <c r="E2921" s="140" t="s">
        <v>7770</v>
      </c>
      <c r="F2921" s="140" t="s">
        <v>9498</v>
      </c>
      <c r="G2921" s="141" t="s">
        <v>6401</v>
      </c>
      <c r="H2921" s="140" t="s">
        <v>6312</v>
      </c>
      <c r="I2921" s="140" t="s">
        <v>6313</v>
      </c>
      <c r="J2921" s="140" t="s">
        <v>6314</v>
      </c>
      <c r="K2921" s="140" t="s">
        <v>7349</v>
      </c>
    </row>
    <row r="2922">
      <c r="A2922" s="140" t="s">
        <v>9813</v>
      </c>
      <c r="B2922" s="140" t="s">
        <v>9826</v>
      </c>
      <c r="C2922" s="140" t="s">
        <v>9827</v>
      </c>
      <c r="D2922" s="140" t="s">
        <v>7347</v>
      </c>
      <c r="E2922" s="140" t="s">
        <v>7770</v>
      </c>
      <c r="F2922" s="140" t="s">
        <v>9498</v>
      </c>
      <c r="G2922" s="141" t="s">
        <v>6401</v>
      </c>
      <c r="H2922" s="140" t="s">
        <v>6312</v>
      </c>
      <c r="I2922" s="140" t="s">
        <v>6313</v>
      </c>
      <c r="J2922" s="140" t="s">
        <v>6314</v>
      </c>
      <c r="K2922" s="140" t="s">
        <v>7349</v>
      </c>
    </row>
    <row r="2923">
      <c r="A2923" s="140" t="s">
        <v>9820</v>
      </c>
      <c r="B2923" s="140" t="s">
        <v>9828</v>
      </c>
      <c r="C2923" s="140" t="s">
        <v>9829</v>
      </c>
      <c r="D2923" s="140" t="s">
        <v>7347</v>
      </c>
      <c r="E2923" s="140" t="s">
        <v>7770</v>
      </c>
      <c r="F2923" s="140" t="s">
        <v>9498</v>
      </c>
      <c r="G2923" s="141" t="s">
        <v>6401</v>
      </c>
      <c r="H2923" s="140" t="s">
        <v>6312</v>
      </c>
      <c r="I2923" s="140" t="s">
        <v>6313</v>
      </c>
      <c r="J2923" s="140" t="s">
        <v>6314</v>
      </c>
      <c r="K2923" s="140" t="s">
        <v>7349</v>
      </c>
    </row>
    <row r="2924">
      <c r="A2924" s="140" t="s">
        <v>9813</v>
      </c>
      <c r="B2924" s="140" t="s">
        <v>9830</v>
      </c>
      <c r="C2924" s="140" t="s">
        <v>9831</v>
      </c>
      <c r="D2924" s="140" t="s">
        <v>7347</v>
      </c>
      <c r="E2924" s="140" t="s">
        <v>7770</v>
      </c>
      <c r="F2924" s="140" t="s">
        <v>9498</v>
      </c>
      <c r="G2924" s="141" t="s">
        <v>6401</v>
      </c>
      <c r="H2924" s="140" t="s">
        <v>6312</v>
      </c>
      <c r="I2924" s="140" t="s">
        <v>6313</v>
      </c>
      <c r="J2924" s="140" t="s">
        <v>6314</v>
      </c>
      <c r="K2924" s="140" t="s">
        <v>7349</v>
      </c>
    </row>
    <row r="2925">
      <c r="A2925" s="140" t="s">
        <v>9813</v>
      </c>
      <c r="B2925" s="140" t="s">
        <v>9832</v>
      </c>
      <c r="C2925" s="140" t="s">
        <v>9833</v>
      </c>
      <c r="D2925" s="140" t="s">
        <v>7347</v>
      </c>
      <c r="E2925" s="140" t="s">
        <v>7770</v>
      </c>
      <c r="F2925" s="140" t="s">
        <v>9498</v>
      </c>
      <c r="G2925" s="141" t="s">
        <v>6401</v>
      </c>
      <c r="H2925" s="140" t="s">
        <v>6312</v>
      </c>
      <c r="I2925" s="140" t="s">
        <v>6313</v>
      </c>
      <c r="J2925" s="140" t="s">
        <v>6314</v>
      </c>
      <c r="K2925" s="140" t="s">
        <v>7349</v>
      </c>
    </row>
    <row r="2926">
      <c r="A2926" s="140" t="s">
        <v>9813</v>
      </c>
      <c r="B2926" s="140" t="s">
        <v>9834</v>
      </c>
      <c r="C2926" s="140" t="s">
        <v>9835</v>
      </c>
      <c r="D2926" s="140" t="s">
        <v>7347</v>
      </c>
      <c r="E2926" s="140" t="s">
        <v>7770</v>
      </c>
      <c r="F2926" s="140" t="s">
        <v>9498</v>
      </c>
      <c r="G2926" s="141" t="s">
        <v>6401</v>
      </c>
      <c r="H2926" s="140" t="s">
        <v>6312</v>
      </c>
      <c r="I2926" s="140" t="s">
        <v>6313</v>
      </c>
      <c r="J2926" s="140" t="s">
        <v>6314</v>
      </c>
      <c r="K2926" s="140" t="s">
        <v>7349</v>
      </c>
    </row>
    <row r="2927">
      <c r="A2927" s="140" t="s">
        <v>9813</v>
      </c>
      <c r="B2927" s="140" t="s">
        <v>9836</v>
      </c>
      <c r="C2927" s="140" t="s">
        <v>9837</v>
      </c>
      <c r="D2927" s="140" t="s">
        <v>7874</v>
      </c>
      <c r="E2927" s="140" t="s">
        <v>7879</v>
      </c>
      <c r="F2927" s="140" t="s">
        <v>9838</v>
      </c>
      <c r="G2927" s="141" t="s">
        <v>6401</v>
      </c>
      <c r="H2927" s="140" t="s">
        <v>6312</v>
      </c>
      <c r="I2927" s="140" t="s">
        <v>6313</v>
      </c>
      <c r="J2927" s="140" t="s">
        <v>6314</v>
      </c>
      <c r="K2927" s="140" t="s">
        <v>7349</v>
      </c>
    </row>
    <row r="2928">
      <c r="A2928" s="140" t="s">
        <v>9813</v>
      </c>
      <c r="B2928" s="140" t="s">
        <v>3496</v>
      </c>
      <c r="C2928" s="140" t="s">
        <v>9839</v>
      </c>
      <c r="D2928" s="140" t="s">
        <v>7347</v>
      </c>
      <c r="E2928" s="140" t="s">
        <v>9522</v>
      </c>
      <c r="F2928" s="140" t="s">
        <v>9523</v>
      </c>
      <c r="G2928" s="141" t="s">
        <v>6401</v>
      </c>
      <c r="H2928" s="140" t="s">
        <v>6312</v>
      </c>
      <c r="I2928" s="140" t="s">
        <v>6313</v>
      </c>
      <c r="J2928" s="140" t="s">
        <v>6314</v>
      </c>
      <c r="K2928" s="140" t="s">
        <v>7349</v>
      </c>
    </row>
    <row r="2929">
      <c r="A2929" s="140" t="s">
        <v>9840</v>
      </c>
      <c r="B2929" s="140" t="s">
        <v>9841</v>
      </c>
      <c r="C2929" s="140" t="s">
        <v>9842</v>
      </c>
      <c r="D2929" s="140" t="s">
        <v>6309</v>
      </c>
      <c r="E2929" s="140" t="s">
        <v>6310</v>
      </c>
      <c r="F2929" s="140" t="s">
        <v>6310</v>
      </c>
      <c r="G2929" s="141" t="s">
        <v>6401</v>
      </c>
      <c r="H2929" s="140" t="s">
        <v>6330</v>
      </c>
      <c r="I2929" s="140" t="s">
        <v>6313</v>
      </c>
      <c r="J2929" s="140" t="s">
        <v>6314</v>
      </c>
      <c r="K2929" s="140" t="s">
        <v>6402</v>
      </c>
    </row>
    <row r="2930">
      <c r="A2930" s="140" t="s">
        <v>9840</v>
      </c>
      <c r="B2930" s="140" t="s">
        <v>4530</v>
      </c>
      <c r="C2930" s="140" t="s">
        <v>9843</v>
      </c>
      <c r="D2930" s="140" t="s">
        <v>6309</v>
      </c>
      <c r="E2930" s="140" t="s">
        <v>6310</v>
      </c>
      <c r="F2930" s="140" t="s">
        <v>6310</v>
      </c>
      <c r="G2930" s="141" t="s">
        <v>6401</v>
      </c>
      <c r="H2930" s="140" t="s">
        <v>6330</v>
      </c>
      <c r="I2930" s="140" t="s">
        <v>6313</v>
      </c>
      <c r="J2930" s="140" t="s">
        <v>6314</v>
      </c>
      <c r="K2930" s="140" t="s">
        <v>6402</v>
      </c>
    </row>
    <row r="2931">
      <c r="A2931" s="140" t="s">
        <v>9840</v>
      </c>
      <c r="B2931" s="140" t="s">
        <v>2517</v>
      </c>
      <c r="C2931" s="140" t="s">
        <v>9844</v>
      </c>
      <c r="D2931" s="140" t="s">
        <v>6309</v>
      </c>
      <c r="E2931" s="140" t="s">
        <v>6310</v>
      </c>
      <c r="F2931" s="140" t="s">
        <v>6310</v>
      </c>
      <c r="G2931" s="141" t="s">
        <v>6401</v>
      </c>
      <c r="H2931" s="140" t="s">
        <v>6330</v>
      </c>
      <c r="I2931" s="140" t="s">
        <v>6313</v>
      </c>
      <c r="J2931" s="140" t="s">
        <v>6314</v>
      </c>
      <c r="K2931" s="140" t="s">
        <v>6402</v>
      </c>
    </row>
    <row r="2932">
      <c r="A2932" s="140" t="s">
        <v>9840</v>
      </c>
      <c r="B2932" s="140" t="s">
        <v>3560</v>
      </c>
      <c r="C2932" s="140" t="s">
        <v>9845</v>
      </c>
      <c r="D2932" s="140" t="s">
        <v>6309</v>
      </c>
      <c r="E2932" s="140" t="s">
        <v>6310</v>
      </c>
      <c r="F2932" s="140" t="s">
        <v>6310</v>
      </c>
      <c r="G2932" s="141" t="s">
        <v>6401</v>
      </c>
      <c r="H2932" s="140" t="s">
        <v>6330</v>
      </c>
      <c r="I2932" s="140" t="s">
        <v>6313</v>
      </c>
      <c r="J2932" s="140" t="s">
        <v>6314</v>
      </c>
      <c r="K2932" s="140" t="s">
        <v>6402</v>
      </c>
    </row>
    <row r="2933">
      <c r="A2933" s="140" t="s">
        <v>9840</v>
      </c>
      <c r="B2933" s="140" t="s">
        <v>9846</v>
      </c>
      <c r="C2933" s="140" t="s">
        <v>9847</v>
      </c>
      <c r="D2933" s="140" t="s">
        <v>6309</v>
      </c>
      <c r="E2933" s="140" t="s">
        <v>6310</v>
      </c>
      <c r="F2933" s="140" t="s">
        <v>6310</v>
      </c>
      <c r="G2933" s="141" t="s">
        <v>6401</v>
      </c>
      <c r="H2933" s="140" t="s">
        <v>6330</v>
      </c>
      <c r="I2933" s="140" t="s">
        <v>6313</v>
      </c>
      <c r="J2933" s="140" t="s">
        <v>6314</v>
      </c>
      <c r="K2933" s="140" t="s">
        <v>6402</v>
      </c>
    </row>
    <row r="2934">
      <c r="A2934" s="140" t="s">
        <v>9840</v>
      </c>
      <c r="B2934" s="140" t="s">
        <v>9848</v>
      </c>
      <c r="C2934" s="140" t="s">
        <v>9849</v>
      </c>
      <c r="D2934" s="140" t="s">
        <v>6309</v>
      </c>
      <c r="E2934" s="140" t="s">
        <v>6310</v>
      </c>
      <c r="F2934" s="140" t="s">
        <v>6310</v>
      </c>
      <c r="G2934" s="141" t="s">
        <v>6401</v>
      </c>
      <c r="H2934" s="140" t="s">
        <v>6330</v>
      </c>
      <c r="I2934" s="140" t="s">
        <v>6313</v>
      </c>
      <c r="J2934" s="140" t="s">
        <v>6314</v>
      </c>
      <c r="K2934" s="140" t="s">
        <v>6402</v>
      </c>
    </row>
    <row r="2935">
      <c r="A2935" s="140" t="s">
        <v>9850</v>
      </c>
      <c r="B2935" s="140" t="s">
        <v>4548</v>
      </c>
      <c r="C2935" s="140" t="s">
        <v>9851</v>
      </c>
      <c r="D2935" s="140" t="s">
        <v>6601</v>
      </c>
      <c r="E2935" s="140" t="s">
        <v>526</v>
      </c>
      <c r="F2935" s="140" t="s">
        <v>7099</v>
      </c>
      <c r="G2935" s="141" t="s">
        <v>6401</v>
      </c>
      <c r="H2935" s="140" t="s">
        <v>6312</v>
      </c>
      <c r="I2935" s="140" t="s">
        <v>6313</v>
      </c>
      <c r="J2935" s="140" t="s">
        <v>6314</v>
      </c>
      <c r="K2935" s="140" t="s">
        <v>6966</v>
      </c>
    </row>
    <row r="2936">
      <c r="A2936" s="140" t="s">
        <v>9850</v>
      </c>
      <c r="B2936" s="140" t="s">
        <v>4576</v>
      </c>
      <c r="C2936" s="140" t="s">
        <v>9852</v>
      </c>
      <c r="D2936" s="140" t="s">
        <v>6601</v>
      </c>
      <c r="E2936" s="140" t="s">
        <v>526</v>
      </c>
      <c r="F2936" s="140" t="s">
        <v>7099</v>
      </c>
      <c r="G2936" s="141" t="s">
        <v>6401</v>
      </c>
      <c r="H2936" s="140" t="s">
        <v>6312</v>
      </c>
      <c r="I2936" s="140" t="s">
        <v>6313</v>
      </c>
      <c r="J2936" s="140" t="s">
        <v>6314</v>
      </c>
      <c r="K2936" s="140" t="s">
        <v>6966</v>
      </c>
    </row>
    <row r="2937">
      <c r="A2937" s="140" t="s">
        <v>9850</v>
      </c>
      <c r="B2937" s="140" t="s">
        <v>4572</v>
      </c>
      <c r="C2937" s="140" t="s">
        <v>9853</v>
      </c>
      <c r="D2937" s="140" t="s">
        <v>6601</v>
      </c>
      <c r="E2937" s="140" t="s">
        <v>526</v>
      </c>
      <c r="F2937" s="140" t="s">
        <v>7099</v>
      </c>
      <c r="G2937" s="141" t="s">
        <v>6401</v>
      </c>
      <c r="H2937" s="140" t="s">
        <v>6312</v>
      </c>
      <c r="I2937" s="140" t="s">
        <v>6313</v>
      </c>
      <c r="J2937" s="140" t="s">
        <v>6314</v>
      </c>
      <c r="K2937" s="140" t="s">
        <v>6966</v>
      </c>
    </row>
    <row r="2938">
      <c r="A2938" s="140" t="s">
        <v>9850</v>
      </c>
      <c r="B2938" s="140" t="s">
        <v>4574</v>
      </c>
      <c r="C2938" s="140" t="s">
        <v>9854</v>
      </c>
      <c r="D2938" s="140" t="s">
        <v>6601</v>
      </c>
      <c r="E2938" s="140" t="s">
        <v>526</v>
      </c>
      <c r="F2938" s="140" t="s">
        <v>7099</v>
      </c>
      <c r="G2938" s="141" t="s">
        <v>6401</v>
      </c>
      <c r="H2938" s="140" t="s">
        <v>6312</v>
      </c>
      <c r="I2938" s="140" t="s">
        <v>6313</v>
      </c>
      <c r="J2938" s="140" t="s">
        <v>6314</v>
      </c>
      <c r="K2938" s="140" t="s">
        <v>6966</v>
      </c>
    </row>
    <row r="2939">
      <c r="A2939" s="140" t="s">
        <v>9850</v>
      </c>
      <c r="B2939" s="140" t="s">
        <v>4556</v>
      </c>
      <c r="C2939" s="140" t="s">
        <v>9855</v>
      </c>
      <c r="D2939" s="140" t="s">
        <v>6601</v>
      </c>
      <c r="E2939" s="140" t="s">
        <v>526</v>
      </c>
      <c r="F2939" s="140" t="s">
        <v>7099</v>
      </c>
      <c r="G2939" s="141" t="s">
        <v>6401</v>
      </c>
      <c r="H2939" s="140" t="s">
        <v>6312</v>
      </c>
      <c r="I2939" s="140" t="s">
        <v>6313</v>
      </c>
      <c r="J2939" s="140" t="s">
        <v>6314</v>
      </c>
      <c r="K2939" s="140" t="s">
        <v>6966</v>
      </c>
    </row>
    <row r="2940">
      <c r="A2940" s="140" t="s">
        <v>9850</v>
      </c>
      <c r="B2940" s="140" t="s">
        <v>4566</v>
      </c>
      <c r="C2940" s="140" t="s">
        <v>9856</v>
      </c>
      <c r="D2940" s="140" t="s">
        <v>6601</v>
      </c>
      <c r="E2940" s="140" t="s">
        <v>526</v>
      </c>
      <c r="F2940" s="140" t="s">
        <v>7099</v>
      </c>
      <c r="G2940" s="141" t="s">
        <v>6401</v>
      </c>
      <c r="H2940" s="140" t="s">
        <v>6312</v>
      </c>
      <c r="I2940" s="140" t="s">
        <v>6313</v>
      </c>
      <c r="J2940" s="140" t="s">
        <v>6314</v>
      </c>
      <c r="K2940" s="140" t="s">
        <v>6966</v>
      </c>
    </row>
    <row r="2941">
      <c r="A2941" s="140" t="s">
        <v>9850</v>
      </c>
      <c r="B2941" s="140" t="s">
        <v>4568</v>
      </c>
      <c r="C2941" s="140" t="s">
        <v>9857</v>
      </c>
      <c r="D2941" s="140" t="s">
        <v>6601</v>
      </c>
      <c r="E2941" s="140" t="s">
        <v>526</v>
      </c>
      <c r="F2941" s="140" t="s">
        <v>7099</v>
      </c>
      <c r="G2941" s="141" t="s">
        <v>6401</v>
      </c>
      <c r="H2941" s="140" t="s">
        <v>6312</v>
      </c>
      <c r="I2941" s="140" t="s">
        <v>6313</v>
      </c>
      <c r="J2941" s="140" t="s">
        <v>6314</v>
      </c>
      <c r="K2941" s="140" t="s">
        <v>6966</v>
      </c>
    </row>
    <row r="2942">
      <c r="A2942" s="140" t="s">
        <v>9850</v>
      </c>
      <c r="B2942" s="140" t="s">
        <v>4588</v>
      </c>
      <c r="C2942" s="140" t="s">
        <v>9858</v>
      </c>
      <c r="D2942" s="140" t="s">
        <v>6601</v>
      </c>
      <c r="E2942" s="140" t="s">
        <v>526</v>
      </c>
      <c r="F2942" s="140" t="s">
        <v>7099</v>
      </c>
      <c r="G2942" s="141" t="s">
        <v>6401</v>
      </c>
      <c r="H2942" s="140" t="s">
        <v>6312</v>
      </c>
      <c r="I2942" s="140" t="s">
        <v>6313</v>
      </c>
      <c r="J2942" s="140" t="s">
        <v>6314</v>
      </c>
      <c r="K2942" s="140" t="s">
        <v>6966</v>
      </c>
    </row>
    <row r="2943">
      <c r="A2943" s="140" t="s">
        <v>9850</v>
      </c>
      <c r="B2943" s="140" t="s">
        <v>4538</v>
      </c>
      <c r="C2943" s="140" t="s">
        <v>9859</v>
      </c>
      <c r="D2943" s="140" t="s">
        <v>6601</v>
      </c>
      <c r="E2943" s="140" t="s">
        <v>526</v>
      </c>
      <c r="F2943" s="140" t="s">
        <v>7099</v>
      </c>
      <c r="G2943" s="141" t="s">
        <v>6401</v>
      </c>
      <c r="H2943" s="140" t="s">
        <v>6312</v>
      </c>
      <c r="I2943" s="140" t="s">
        <v>6313</v>
      </c>
      <c r="J2943" s="140" t="s">
        <v>6314</v>
      </c>
      <c r="K2943" s="140" t="s">
        <v>6966</v>
      </c>
    </row>
    <row r="2944">
      <c r="A2944" s="140" t="s">
        <v>9850</v>
      </c>
      <c r="B2944" s="140" t="s">
        <v>4586</v>
      </c>
      <c r="C2944" s="140" t="s">
        <v>9860</v>
      </c>
      <c r="D2944" s="140" t="s">
        <v>6601</v>
      </c>
      <c r="E2944" s="140" t="s">
        <v>526</v>
      </c>
      <c r="F2944" s="140" t="s">
        <v>7099</v>
      </c>
      <c r="G2944" s="141" t="s">
        <v>6401</v>
      </c>
      <c r="H2944" s="140" t="s">
        <v>6312</v>
      </c>
      <c r="I2944" s="140" t="s">
        <v>6313</v>
      </c>
      <c r="J2944" s="140" t="s">
        <v>6314</v>
      </c>
      <c r="K2944" s="140" t="s">
        <v>6966</v>
      </c>
    </row>
    <row r="2945">
      <c r="A2945" s="140" t="s">
        <v>9850</v>
      </c>
      <c r="B2945" s="140" t="s">
        <v>4570</v>
      </c>
      <c r="C2945" s="140" t="s">
        <v>9861</v>
      </c>
      <c r="D2945" s="140" t="s">
        <v>6601</v>
      </c>
      <c r="E2945" s="140" t="s">
        <v>526</v>
      </c>
      <c r="F2945" s="140" t="s">
        <v>7099</v>
      </c>
      <c r="G2945" s="141" t="s">
        <v>6401</v>
      </c>
      <c r="H2945" s="140" t="s">
        <v>6312</v>
      </c>
      <c r="I2945" s="140" t="s">
        <v>6313</v>
      </c>
      <c r="J2945" s="140" t="s">
        <v>6314</v>
      </c>
      <c r="K2945" s="140" t="s">
        <v>6966</v>
      </c>
    </row>
    <row r="2946">
      <c r="A2946" s="140" t="s">
        <v>9850</v>
      </c>
      <c r="B2946" s="140" t="s">
        <v>9862</v>
      </c>
      <c r="C2946" s="140" t="s">
        <v>9863</v>
      </c>
      <c r="D2946" s="140" t="s">
        <v>6601</v>
      </c>
      <c r="E2946" s="140" t="s">
        <v>526</v>
      </c>
      <c r="F2946" s="140" t="s">
        <v>7099</v>
      </c>
      <c r="G2946" s="141" t="s">
        <v>6401</v>
      </c>
      <c r="H2946" s="140" t="s">
        <v>6312</v>
      </c>
      <c r="I2946" s="140" t="s">
        <v>6313</v>
      </c>
      <c r="J2946" s="140" t="s">
        <v>6314</v>
      </c>
      <c r="K2946" s="140" t="s">
        <v>6966</v>
      </c>
    </row>
    <row r="2947">
      <c r="A2947" s="140" t="s">
        <v>9850</v>
      </c>
      <c r="B2947" s="140" t="s">
        <v>4546</v>
      </c>
      <c r="C2947" s="140" t="s">
        <v>9864</v>
      </c>
      <c r="D2947" s="140" t="s">
        <v>6601</v>
      </c>
      <c r="E2947" s="140" t="s">
        <v>526</v>
      </c>
      <c r="F2947" s="140" t="s">
        <v>7099</v>
      </c>
      <c r="G2947" s="141" t="s">
        <v>6401</v>
      </c>
      <c r="H2947" s="140" t="s">
        <v>6312</v>
      </c>
      <c r="I2947" s="140" t="s">
        <v>6313</v>
      </c>
      <c r="J2947" s="140" t="s">
        <v>6314</v>
      </c>
      <c r="K2947" s="140" t="s">
        <v>6966</v>
      </c>
    </row>
    <row r="2948">
      <c r="A2948" s="140" t="s">
        <v>9850</v>
      </c>
      <c r="B2948" s="140" t="s">
        <v>4542</v>
      </c>
      <c r="C2948" s="140" t="s">
        <v>9865</v>
      </c>
      <c r="D2948" s="140" t="s">
        <v>6601</v>
      </c>
      <c r="E2948" s="140" t="s">
        <v>526</v>
      </c>
      <c r="F2948" s="140" t="s">
        <v>7099</v>
      </c>
      <c r="G2948" s="141" t="s">
        <v>6401</v>
      </c>
      <c r="H2948" s="140" t="s">
        <v>6312</v>
      </c>
      <c r="I2948" s="140" t="s">
        <v>6313</v>
      </c>
      <c r="J2948" s="140" t="s">
        <v>6314</v>
      </c>
      <c r="K2948" s="140" t="s">
        <v>6966</v>
      </c>
    </row>
    <row r="2949">
      <c r="A2949" s="140" t="s">
        <v>9850</v>
      </c>
      <c r="B2949" s="140" t="s">
        <v>4544</v>
      </c>
      <c r="C2949" s="140" t="s">
        <v>9866</v>
      </c>
      <c r="D2949" s="140" t="s">
        <v>6601</v>
      </c>
      <c r="E2949" s="140" t="s">
        <v>526</v>
      </c>
      <c r="F2949" s="140" t="s">
        <v>7099</v>
      </c>
      <c r="G2949" s="141" t="s">
        <v>6401</v>
      </c>
      <c r="H2949" s="140" t="s">
        <v>6312</v>
      </c>
      <c r="I2949" s="140" t="s">
        <v>6313</v>
      </c>
      <c r="J2949" s="140" t="s">
        <v>6314</v>
      </c>
      <c r="K2949" s="140" t="s">
        <v>6966</v>
      </c>
    </row>
    <row r="2950">
      <c r="A2950" s="140" t="s">
        <v>9850</v>
      </c>
      <c r="B2950" s="140" t="s">
        <v>4558</v>
      </c>
      <c r="C2950" s="140" t="s">
        <v>9867</v>
      </c>
      <c r="D2950" s="140" t="s">
        <v>6601</v>
      </c>
      <c r="E2950" s="140" t="s">
        <v>526</v>
      </c>
      <c r="F2950" s="140" t="s">
        <v>7099</v>
      </c>
      <c r="G2950" s="141" t="s">
        <v>6401</v>
      </c>
      <c r="H2950" s="140" t="s">
        <v>6312</v>
      </c>
      <c r="I2950" s="140" t="s">
        <v>6313</v>
      </c>
      <c r="J2950" s="140" t="s">
        <v>6314</v>
      </c>
      <c r="K2950" s="140" t="s">
        <v>6966</v>
      </c>
    </row>
    <row r="2951">
      <c r="A2951" s="140" t="s">
        <v>9850</v>
      </c>
      <c r="B2951" s="140" t="s">
        <v>4592</v>
      </c>
      <c r="C2951" s="140" t="s">
        <v>9868</v>
      </c>
      <c r="D2951" s="140" t="s">
        <v>6601</v>
      </c>
      <c r="E2951" s="140" t="s">
        <v>526</v>
      </c>
      <c r="F2951" s="140" t="s">
        <v>7099</v>
      </c>
      <c r="G2951" s="141" t="s">
        <v>6401</v>
      </c>
      <c r="H2951" s="140" t="s">
        <v>6312</v>
      </c>
      <c r="I2951" s="140" t="s">
        <v>6313</v>
      </c>
      <c r="J2951" s="140" t="s">
        <v>6314</v>
      </c>
      <c r="K2951" s="140" t="s">
        <v>6966</v>
      </c>
    </row>
    <row r="2952">
      <c r="A2952" s="140" t="s">
        <v>9850</v>
      </c>
      <c r="B2952" s="140" t="s">
        <v>4564</v>
      </c>
      <c r="C2952" s="140" t="s">
        <v>9869</v>
      </c>
      <c r="D2952" s="140" t="s">
        <v>6601</v>
      </c>
      <c r="E2952" s="140" t="s">
        <v>526</v>
      </c>
      <c r="F2952" s="140" t="s">
        <v>7099</v>
      </c>
      <c r="G2952" s="141" t="s">
        <v>6401</v>
      </c>
      <c r="H2952" s="140" t="s">
        <v>6312</v>
      </c>
      <c r="I2952" s="140" t="s">
        <v>6313</v>
      </c>
      <c r="J2952" s="140" t="s">
        <v>6314</v>
      </c>
      <c r="K2952" s="140" t="s">
        <v>6966</v>
      </c>
    </row>
    <row r="2953">
      <c r="A2953" s="140" t="s">
        <v>9850</v>
      </c>
      <c r="B2953" s="140" t="s">
        <v>4590</v>
      </c>
      <c r="C2953" s="140" t="s">
        <v>9870</v>
      </c>
      <c r="D2953" s="140" t="s">
        <v>6601</v>
      </c>
      <c r="E2953" s="140" t="s">
        <v>526</v>
      </c>
      <c r="F2953" s="140" t="s">
        <v>7099</v>
      </c>
      <c r="G2953" s="141" t="s">
        <v>6401</v>
      </c>
      <c r="H2953" s="140" t="s">
        <v>6312</v>
      </c>
      <c r="I2953" s="140" t="s">
        <v>6313</v>
      </c>
      <c r="J2953" s="140" t="s">
        <v>6314</v>
      </c>
      <c r="K2953" s="140" t="s">
        <v>6966</v>
      </c>
    </row>
    <row r="2954">
      <c r="A2954" s="140" t="s">
        <v>9850</v>
      </c>
      <c r="B2954" s="140" t="s">
        <v>4560</v>
      </c>
      <c r="C2954" s="140" t="s">
        <v>9871</v>
      </c>
      <c r="D2954" s="140" t="s">
        <v>6601</v>
      </c>
      <c r="E2954" s="140" t="s">
        <v>526</v>
      </c>
      <c r="F2954" s="140" t="s">
        <v>7099</v>
      </c>
      <c r="G2954" s="141" t="s">
        <v>6401</v>
      </c>
      <c r="H2954" s="140" t="s">
        <v>6312</v>
      </c>
      <c r="I2954" s="140" t="s">
        <v>6313</v>
      </c>
      <c r="J2954" s="140" t="s">
        <v>6314</v>
      </c>
      <c r="K2954" s="140" t="s">
        <v>6966</v>
      </c>
    </row>
    <row r="2955">
      <c r="A2955" s="140" t="s">
        <v>9850</v>
      </c>
      <c r="B2955" s="140" t="s">
        <v>4562</v>
      </c>
      <c r="C2955" s="140" t="s">
        <v>9872</v>
      </c>
      <c r="D2955" s="140" t="s">
        <v>6601</v>
      </c>
      <c r="E2955" s="140" t="s">
        <v>526</v>
      </c>
      <c r="F2955" s="140" t="s">
        <v>7099</v>
      </c>
      <c r="G2955" s="141" t="s">
        <v>6401</v>
      </c>
      <c r="H2955" s="140" t="s">
        <v>6312</v>
      </c>
      <c r="I2955" s="140" t="s">
        <v>6313</v>
      </c>
      <c r="J2955" s="140" t="s">
        <v>6314</v>
      </c>
      <c r="K2955" s="140" t="s">
        <v>6966</v>
      </c>
    </row>
    <row r="2956">
      <c r="A2956" s="140" t="s">
        <v>9850</v>
      </c>
      <c r="B2956" s="140" t="s">
        <v>9873</v>
      </c>
      <c r="C2956" s="140" t="s">
        <v>9874</v>
      </c>
      <c r="D2956" s="140" t="s">
        <v>6601</v>
      </c>
      <c r="E2956" s="140" t="s">
        <v>526</v>
      </c>
      <c r="F2956" s="140" t="s">
        <v>7099</v>
      </c>
      <c r="G2956" s="141" t="s">
        <v>6401</v>
      </c>
      <c r="H2956" s="140" t="s">
        <v>6312</v>
      </c>
      <c r="I2956" s="140" t="s">
        <v>6313</v>
      </c>
      <c r="J2956" s="140" t="s">
        <v>6314</v>
      </c>
      <c r="K2956" s="140" t="s">
        <v>6966</v>
      </c>
    </row>
    <row r="2957">
      <c r="A2957" s="140" t="s">
        <v>9850</v>
      </c>
      <c r="B2957" s="140" t="s">
        <v>9875</v>
      </c>
      <c r="C2957" s="140" t="s">
        <v>9876</v>
      </c>
      <c r="D2957" s="140" t="s">
        <v>6601</v>
      </c>
      <c r="E2957" s="140" t="s">
        <v>526</v>
      </c>
      <c r="F2957" s="140" t="s">
        <v>7099</v>
      </c>
      <c r="G2957" s="141" t="s">
        <v>6401</v>
      </c>
      <c r="H2957" s="140" t="s">
        <v>6312</v>
      </c>
      <c r="I2957" s="140" t="s">
        <v>6313</v>
      </c>
      <c r="J2957" s="140" t="s">
        <v>6314</v>
      </c>
      <c r="K2957" s="140" t="s">
        <v>6966</v>
      </c>
    </row>
    <row r="2958">
      <c r="A2958" s="140" t="s">
        <v>9850</v>
      </c>
      <c r="B2958" s="140" t="s">
        <v>4540</v>
      </c>
      <c r="C2958" s="140" t="s">
        <v>9877</v>
      </c>
      <c r="D2958" s="140" t="s">
        <v>6601</v>
      </c>
      <c r="E2958" s="140" t="s">
        <v>526</v>
      </c>
      <c r="F2958" s="140" t="s">
        <v>7099</v>
      </c>
      <c r="G2958" s="141" t="s">
        <v>6401</v>
      </c>
      <c r="H2958" s="140" t="s">
        <v>6312</v>
      </c>
      <c r="I2958" s="140" t="s">
        <v>6313</v>
      </c>
      <c r="J2958" s="140" t="s">
        <v>6314</v>
      </c>
      <c r="K2958" s="140" t="s">
        <v>6966</v>
      </c>
    </row>
    <row r="2959">
      <c r="A2959" s="140" t="s">
        <v>9850</v>
      </c>
      <c r="B2959" s="140" t="s">
        <v>9878</v>
      </c>
      <c r="C2959" s="140" t="s">
        <v>9879</v>
      </c>
      <c r="D2959" s="140" t="s">
        <v>6601</v>
      </c>
      <c r="E2959" s="140" t="s">
        <v>526</v>
      </c>
      <c r="F2959" s="140" t="s">
        <v>7099</v>
      </c>
      <c r="G2959" s="141" t="s">
        <v>6401</v>
      </c>
      <c r="H2959" s="140" t="s">
        <v>6312</v>
      </c>
      <c r="I2959" s="140" t="s">
        <v>6313</v>
      </c>
      <c r="J2959" s="140" t="s">
        <v>6314</v>
      </c>
      <c r="K2959" s="140" t="s">
        <v>6966</v>
      </c>
    </row>
    <row r="2960">
      <c r="A2960" s="140" t="s">
        <v>9850</v>
      </c>
      <c r="B2960" s="140" t="s">
        <v>5637</v>
      </c>
      <c r="C2960" s="140" t="s">
        <v>9880</v>
      </c>
      <c r="D2960" s="140" t="s">
        <v>6601</v>
      </c>
      <c r="E2960" s="140" t="s">
        <v>526</v>
      </c>
      <c r="F2960" s="140" t="s">
        <v>7099</v>
      </c>
      <c r="G2960" s="141" t="s">
        <v>6401</v>
      </c>
      <c r="H2960" s="140" t="s">
        <v>6312</v>
      </c>
      <c r="I2960" s="140" t="s">
        <v>6313</v>
      </c>
      <c r="J2960" s="140" t="s">
        <v>6314</v>
      </c>
      <c r="K2960" s="140" t="s">
        <v>6966</v>
      </c>
    </row>
    <row r="2961">
      <c r="A2961" s="140" t="s">
        <v>9850</v>
      </c>
      <c r="B2961" s="140" t="s">
        <v>4534</v>
      </c>
      <c r="C2961" s="140" t="s">
        <v>9881</v>
      </c>
      <c r="D2961" s="140" t="s">
        <v>6601</v>
      </c>
      <c r="E2961" s="140" t="s">
        <v>526</v>
      </c>
      <c r="F2961" s="140" t="s">
        <v>7099</v>
      </c>
      <c r="G2961" s="141" t="s">
        <v>6311</v>
      </c>
      <c r="H2961" s="140" t="s">
        <v>6312</v>
      </c>
      <c r="I2961" s="140" t="s">
        <v>6313</v>
      </c>
      <c r="J2961" s="140" t="s">
        <v>6314</v>
      </c>
      <c r="K2961" s="140" t="s">
        <v>6966</v>
      </c>
    </row>
    <row r="2962">
      <c r="A2962" s="140" t="s">
        <v>9850</v>
      </c>
      <c r="B2962" s="140" t="s">
        <v>4536</v>
      </c>
      <c r="C2962" s="140" t="s">
        <v>9882</v>
      </c>
      <c r="D2962" s="140" t="s">
        <v>6601</v>
      </c>
      <c r="E2962" s="140" t="s">
        <v>526</v>
      </c>
      <c r="F2962" s="140" t="s">
        <v>7099</v>
      </c>
      <c r="G2962" s="141" t="s">
        <v>6311</v>
      </c>
      <c r="H2962" s="140" t="s">
        <v>6312</v>
      </c>
      <c r="I2962" s="140" t="s">
        <v>6313</v>
      </c>
      <c r="J2962" s="140" t="s">
        <v>6314</v>
      </c>
      <c r="K2962" s="140" t="s">
        <v>6966</v>
      </c>
    </row>
    <row r="2963">
      <c r="A2963" s="140" t="s">
        <v>9850</v>
      </c>
      <c r="B2963" s="140" t="s">
        <v>4584</v>
      </c>
      <c r="C2963" s="140" t="s">
        <v>9883</v>
      </c>
      <c r="D2963" s="140" t="s">
        <v>6601</v>
      </c>
      <c r="E2963" s="140" t="s">
        <v>526</v>
      </c>
      <c r="F2963" s="140" t="s">
        <v>7099</v>
      </c>
      <c r="G2963" s="141" t="s">
        <v>6401</v>
      </c>
      <c r="H2963" s="140" t="s">
        <v>6312</v>
      </c>
      <c r="I2963" s="140" t="s">
        <v>6313</v>
      </c>
      <c r="J2963" s="140" t="s">
        <v>6314</v>
      </c>
      <c r="K2963" s="140" t="s">
        <v>6966</v>
      </c>
    </row>
    <row r="2964">
      <c r="A2964" s="140" t="s">
        <v>9850</v>
      </c>
      <c r="B2964" s="140" t="s">
        <v>9884</v>
      </c>
      <c r="C2964" s="140" t="s">
        <v>9885</v>
      </c>
      <c r="D2964" s="140" t="s">
        <v>6601</v>
      </c>
      <c r="E2964" s="140" t="s">
        <v>526</v>
      </c>
      <c r="F2964" s="140" t="s">
        <v>7099</v>
      </c>
      <c r="G2964" s="141" t="s">
        <v>6401</v>
      </c>
      <c r="H2964" s="140" t="s">
        <v>6312</v>
      </c>
      <c r="I2964" s="140" t="s">
        <v>6313</v>
      </c>
      <c r="J2964" s="140" t="s">
        <v>6314</v>
      </c>
      <c r="K2964" s="140" t="s">
        <v>6966</v>
      </c>
    </row>
    <row r="2965">
      <c r="A2965" s="140" t="s">
        <v>9850</v>
      </c>
      <c r="B2965" s="140" t="s">
        <v>4582</v>
      </c>
      <c r="C2965" s="140" t="s">
        <v>9886</v>
      </c>
      <c r="D2965" s="140" t="s">
        <v>6601</v>
      </c>
      <c r="E2965" s="140" t="s">
        <v>526</v>
      </c>
      <c r="F2965" s="140" t="s">
        <v>7099</v>
      </c>
      <c r="G2965" s="141" t="s">
        <v>6401</v>
      </c>
      <c r="H2965" s="140" t="s">
        <v>6312</v>
      </c>
      <c r="I2965" s="140" t="s">
        <v>6313</v>
      </c>
      <c r="J2965" s="140" t="s">
        <v>6314</v>
      </c>
      <c r="K2965" s="140" t="s">
        <v>6966</v>
      </c>
    </row>
    <row r="2966">
      <c r="A2966" s="140" t="s">
        <v>9850</v>
      </c>
      <c r="B2966" s="140" t="s">
        <v>4578</v>
      </c>
      <c r="C2966" s="140" t="s">
        <v>9887</v>
      </c>
      <c r="D2966" s="140" t="s">
        <v>6601</v>
      </c>
      <c r="E2966" s="140" t="s">
        <v>526</v>
      </c>
      <c r="F2966" s="140" t="s">
        <v>7099</v>
      </c>
      <c r="G2966" s="141" t="s">
        <v>6401</v>
      </c>
      <c r="H2966" s="140" t="s">
        <v>6312</v>
      </c>
      <c r="I2966" s="140" t="s">
        <v>6313</v>
      </c>
      <c r="J2966" s="140" t="s">
        <v>6314</v>
      </c>
      <c r="K2966" s="140" t="s">
        <v>6966</v>
      </c>
    </row>
    <row r="2967">
      <c r="A2967" s="140" t="s">
        <v>9850</v>
      </c>
      <c r="B2967" s="140" t="s">
        <v>4580</v>
      </c>
      <c r="C2967" s="140" t="s">
        <v>9888</v>
      </c>
      <c r="D2967" s="140" t="s">
        <v>6601</v>
      </c>
      <c r="E2967" s="140" t="s">
        <v>526</v>
      </c>
      <c r="F2967" s="140" t="s">
        <v>7099</v>
      </c>
      <c r="G2967" s="141" t="s">
        <v>6401</v>
      </c>
      <c r="H2967" s="140" t="s">
        <v>6312</v>
      </c>
      <c r="I2967" s="140" t="s">
        <v>6313</v>
      </c>
      <c r="J2967" s="140" t="s">
        <v>6314</v>
      </c>
      <c r="K2967" s="140" t="s">
        <v>6966</v>
      </c>
    </row>
    <row r="2968">
      <c r="A2968" s="140" t="s">
        <v>9850</v>
      </c>
      <c r="B2968" s="140" t="s">
        <v>4550</v>
      </c>
      <c r="C2968" s="140" t="s">
        <v>9889</v>
      </c>
      <c r="D2968" s="140" t="s">
        <v>6601</v>
      </c>
      <c r="E2968" s="140" t="s">
        <v>526</v>
      </c>
      <c r="F2968" s="140" t="s">
        <v>7099</v>
      </c>
      <c r="G2968" s="141" t="s">
        <v>6401</v>
      </c>
      <c r="H2968" s="140" t="s">
        <v>6312</v>
      </c>
      <c r="I2968" s="140" t="s">
        <v>6313</v>
      </c>
      <c r="J2968" s="140" t="s">
        <v>6314</v>
      </c>
      <c r="K2968" s="140" t="s">
        <v>6966</v>
      </c>
    </row>
    <row r="2969">
      <c r="A2969" s="140" t="s">
        <v>9850</v>
      </c>
      <c r="B2969" s="140" t="s">
        <v>4552</v>
      </c>
      <c r="C2969" s="140" t="s">
        <v>9890</v>
      </c>
      <c r="D2969" s="140" t="s">
        <v>6601</v>
      </c>
      <c r="E2969" s="140" t="s">
        <v>526</v>
      </c>
      <c r="F2969" s="140" t="s">
        <v>7099</v>
      </c>
      <c r="G2969" s="141" t="s">
        <v>6401</v>
      </c>
      <c r="H2969" s="140" t="s">
        <v>6312</v>
      </c>
      <c r="I2969" s="140" t="s">
        <v>6313</v>
      </c>
      <c r="J2969" s="140" t="s">
        <v>6314</v>
      </c>
      <c r="K2969" s="140" t="s">
        <v>6966</v>
      </c>
    </row>
    <row r="2970">
      <c r="A2970" s="140" t="s">
        <v>9850</v>
      </c>
      <c r="B2970" s="140" t="s">
        <v>4554</v>
      </c>
      <c r="C2970" s="140" t="s">
        <v>9891</v>
      </c>
      <c r="D2970" s="140" t="s">
        <v>6601</v>
      </c>
      <c r="E2970" s="140" t="s">
        <v>526</v>
      </c>
      <c r="F2970" s="140" t="s">
        <v>7099</v>
      </c>
      <c r="G2970" s="141" t="s">
        <v>6401</v>
      </c>
      <c r="H2970" s="140" t="s">
        <v>6312</v>
      </c>
      <c r="I2970" s="140" t="s">
        <v>6313</v>
      </c>
      <c r="J2970" s="140" t="s">
        <v>6314</v>
      </c>
      <c r="K2970" s="140" t="s">
        <v>6966</v>
      </c>
    </row>
    <row r="2971">
      <c r="A2971" s="140" t="s">
        <v>9850</v>
      </c>
      <c r="B2971" s="140" t="s">
        <v>9892</v>
      </c>
      <c r="C2971" s="140" t="s">
        <v>9893</v>
      </c>
      <c r="D2971" s="140" t="s">
        <v>6601</v>
      </c>
      <c r="E2971" s="140" t="s">
        <v>526</v>
      </c>
      <c r="F2971" s="140" t="s">
        <v>553</v>
      </c>
      <c r="G2971" s="141" t="s">
        <v>6401</v>
      </c>
      <c r="H2971" s="140" t="s">
        <v>6312</v>
      </c>
      <c r="I2971" s="140" t="s">
        <v>6313</v>
      </c>
      <c r="J2971" s="140" t="s">
        <v>6314</v>
      </c>
      <c r="K2971" s="140" t="s">
        <v>6966</v>
      </c>
    </row>
    <row r="2972">
      <c r="A2972" s="140" t="s">
        <v>9894</v>
      </c>
      <c r="B2972" s="140">
        <v>26421.0</v>
      </c>
      <c r="C2972" s="140" t="s">
        <v>9895</v>
      </c>
      <c r="D2972" s="140" t="s">
        <v>6309</v>
      </c>
      <c r="E2972" s="140" t="s">
        <v>1223</v>
      </c>
      <c r="F2972" s="140" t="s">
        <v>6414</v>
      </c>
      <c r="G2972" s="141" t="s">
        <v>6311</v>
      </c>
      <c r="H2972" s="140" t="s">
        <v>6312</v>
      </c>
      <c r="I2972" s="140" t="s">
        <v>6313</v>
      </c>
      <c r="J2972" s="140" t="s">
        <v>6314</v>
      </c>
      <c r="K2972" s="140" t="s">
        <v>6315</v>
      </c>
    </row>
    <row r="2973">
      <c r="A2973" s="140" t="s">
        <v>9894</v>
      </c>
      <c r="B2973" s="140">
        <v>26419.0</v>
      </c>
      <c r="C2973" s="140" t="s">
        <v>9896</v>
      </c>
      <c r="D2973" s="140" t="s">
        <v>6309</v>
      </c>
      <c r="E2973" s="140" t="s">
        <v>47</v>
      </c>
      <c r="F2973" s="140" t="s">
        <v>48</v>
      </c>
      <c r="G2973" s="141" t="s">
        <v>6311</v>
      </c>
      <c r="H2973" s="140" t="s">
        <v>6312</v>
      </c>
      <c r="I2973" s="140" t="s">
        <v>6313</v>
      </c>
      <c r="J2973" s="140" t="s">
        <v>6314</v>
      </c>
      <c r="K2973" s="140" t="s">
        <v>6315</v>
      </c>
    </row>
    <row r="2974">
      <c r="A2974" s="140" t="s">
        <v>9897</v>
      </c>
      <c r="B2974" s="140" t="s">
        <v>1639</v>
      </c>
      <c r="C2974" s="140" t="s">
        <v>9898</v>
      </c>
      <c r="D2974" s="140" t="s">
        <v>6318</v>
      </c>
      <c r="E2974" s="140" t="s">
        <v>1631</v>
      </c>
      <c r="F2974" s="140" t="s">
        <v>9899</v>
      </c>
      <c r="G2974" s="141" t="s">
        <v>6311</v>
      </c>
      <c r="H2974" s="140" t="s">
        <v>6330</v>
      </c>
      <c r="I2974" s="140" t="s">
        <v>6313</v>
      </c>
      <c r="J2974" s="140" t="s">
        <v>6319</v>
      </c>
      <c r="K2974" s="140" t="s">
        <v>1573</v>
      </c>
    </row>
    <row r="2975">
      <c r="A2975" s="140" t="s">
        <v>9897</v>
      </c>
      <c r="B2975" s="140" t="s">
        <v>1634</v>
      </c>
      <c r="C2975" s="140" t="s">
        <v>9900</v>
      </c>
      <c r="D2975" s="140" t="s">
        <v>6318</v>
      </c>
      <c r="E2975" s="140" t="s">
        <v>1631</v>
      </c>
      <c r="F2975" s="140" t="s">
        <v>9899</v>
      </c>
      <c r="G2975" s="141" t="s">
        <v>6311</v>
      </c>
      <c r="H2975" s="140" t="s">
        <v>6330</v>
      </c>
      <c r="I2975" s="140" t="s">
        <v>6313</v>
      </c>
      <c r="J2975" s="140" t="s">
        <v>6319</v>
      </c>
      <c r="K2975" s="140" t="s">
        <v>1573</v>
      </c>
    </row>
    <row r="2976">
      <c r="A2976" s="140" t="s">
        <v>9897</v>
      </c>
      <c r="B2976" s="140" t="s">
        <v>1637</v>
      </c>
      <c r="C2976" s="140" t="s">
        <v>9901</v>
      </c>
      <c r="D2976" s="140" t="s">
        <v>6318</v>
      </c>
      <c r="E2976" s="140" t="s">
        <v>1631</v>
      </c>
      <c r="F2976" s="140" t="s">
        <v>9899</v>
      </c>
      <c r="G2976" s="141" t="s">
        <v>6311</v>
      </c>
      <c r="H2976" s="140" t="s">
        <v>6330</v>
      </c>
      <c r="I2976" s="140" t="s">
        <v>6313</v>
      </c>
      <c r="J2976" s="140" t="s">
        <v>6319</v>
      </c>
      <c r="K2976" s="140" t="s">
        <v>1573</v>
      </c>
    </row>
    <row r="2977">
      <c r="A2977" s="140" t="s">
        <v>9897</v>
      </c>
      <c r="B2977" s="140" t="s">
        <v>1638</v>
      </c>
      <c r="C2977" s="140" t="s">
        <v>9902</v>
      </c>
      <c r="D2977" s="140" t="s">
        <v>6318</v>
      </c>
      <c r="E2977" s="140" t="s">
        <v>1631</v>
      </c>
      <c r="F2977" s="140" t="s">
        <v>9899</v>
      </c>
      <c r="G2977" s="141" t="s">
        <v>6311</v>
      </c>
      <c r="H2977" s="140" t="s">
        <v>6330</v>
      </c>
      <c r="I2977" s="140" t="s">
        <v>6313</v>
      </c>
      <c r="J2977" s="140" t="s">
        <v>6319</v>
      </c>
      <c r="K2977" s="140" t="s">
        <v>1573</v>
      </c>
    </row>
    <row r="2978">
      <c r="A2978" s="140" t="s">
        <v>9897</v>
      </c>
      <c r="B2978" s="140" t="s">
        <v>1487</v>
      </c>
      <c r="C2978" s="140" t="s">
        <v>9903</v>
      </c>
      <c r="D2978" s="140" t="s">
        <v>6318</v>
      </c>
      <c r="E2978" s="140" t="s">
        <v>1631</v>
      </c>
      <c r="F2978" s="140" t="s">
        <v>9899</v>
      </c>
      <c r="G2978" s="141" t="s">
        <v>6311</v>
      </c>
      <c r="H2978" s="140" t="s">
        <v>6330</v>
      </c>
      <c r="I2978" s="140" t="s">
        <v>6313</v>
      </c>
      <c r="J2978" s="140" t="s">
        <v>6319</v>
      </c>
      <c r="K2978" s="140" t="s">
        <v>1573</v>
      </c>
    </row>
    <row r="2979">
      <c r="A2979" s="140" t="s">
        <v>9897</v>
      </c>
      <c r="B2979" s="140" t="s">
        <v>1489</v>
      </c>
      <c r="C2979" s="140" t="s">
        <v>9904</v>
      </c>
      <c r="D2979" s="140" t="s">
        <v>6318</v>
      </c>
      <c r="E2979" s="140" t="s">
        <v>1631</v>
      </c>
      <c r="F2979" s="140" t="s">
        <v>9899</v>
      </c>
      <c r="G2979" s="141" t="s">
        <v>6311</v>
      </c>
      <c r="H2979" s="140" t="s">
        <v>6330</v>
      </c>
      <c r="I2979" s="140" t="s">
        <v>6313</v>
      </c>
      <c r="J2979" s="140" t="s">
        <v>6319</v>
      </c>
      <c r="K2979" s="140" t="s">
        <v>1573</v>
      </c>
    </row>
    <row r="2980">
      <c r="A2980" s="140" t="s">
        <v>9897</v>
      </c>
      <c r="B2980" s="140" t="s">
        <v>1493</v>
      </c>
      <c r="C2980" s="140" t="s">
        <v>9905</v>
      </c>
      <c r="D2980" s="140" t="s">
        <v>6318</v>
      </c>
      <c r="E2980" s="140" t="s">
        <v>1631</v>
      </c>
      <c r="F2980" s="140" t="s">
        <v>9899</v>
      </c>
      <c r="G2980" s="141" t="s">
        <v>6311</v>
      </c>
      <c r="H2980" s="140" t="s">
        <v>6330</v>
      </c>
      <c r="I2980" s="140" t="s">
        <v>6313</v>
      </c>
      <c r="J2980" s="140" t="s">
        <v>6319</v>
      </c>
      <c r="K2980" s="140" t="s">
        <v>1573</v>
      </c>
    </row>
    <row r="2981">
      <c r="A2981" s="140" t="s">
        <v>9897</v>
      </c>
      <c r="B2981" s="140" t="s">
        <v>1491</v>
      </c>
      <c r="C2981" s="140" t="s">
        <v>9906</v>
      </c>
      <c r="D2981" s="140" t="s">
        <v>6318</v>
      </c>
      <c r="E2981" s="140" t="s">
        <v>1631</v>
      </c>
      <c r="F2981" s="140" t="s">
        <v>9899</v>
      </c>
      <c r="G2981" s="141" t="s">
        <v>6311</v>
      </c>
      <c r="H2981" s="140" t="s">
        <v>6330</v>
      </c>
      <c r="I2981" s="140" t="s">
        <v>6313</v>
      </c>
      <c r="J2981" s="140" t="s">
        <v>6319</v>
      </c>
      <c r="K2981" s="140" t="s">
        <v>1573</v>
      </c>
    </row>
    <row r="2982">
      <c r="A2982" s="140" t="s">
        <v>1484</v>
      </c>
      <c r="B2982" s="140" t="s">
        <v>9907</v>
      </c>
      <c r="C2982" s="140" t="s">
        <v>9908</v>
      </c>
      <c r="D2982" s="140" t="s">
        <v>6318</v>
      </c>
      <c r="E2982" s="140" t="s">
        <v>1631</v>
      </c>
      <c r="F2982" s="140" t="s">
        <v>9909</v>
      </c>
      <c r="G2982" s="141" t="s">
        <v>6311</v>
      </c>
      <c r="H2982" s="140" t="s">
        <v>6312</v>
      </c>
      <c r="I2982" s="140" t="s">
        <v>6313</v>
      </c>
      <c r="J2982" s="140" t="s">
        <v>6319</v>
      </c>
      <c r="K2982" s="140" t="s">
        <v>1573</v>
      </c>
    </row>
    <row r="2983">
      <c r="A2983" s="140" t="s">
        <v>9897</v>
      </c>
      <c r="B2983" s="140" t="s">
        <v>9910</v>
      </c>
      <c r="C2983" s="140" t="s">
        <v>9911</v>
      </c>
      <c r="D2983" s="140" t="s">
        <v>6318</v>
      </c>
      <c r="E2983" s="140" t="s">
        <v>1631</v>
      </c>
      <c r="F2983" s="140" t="s">
        <v>9909</v>
      </c>
      <c r="G2983" s="141" t="s">
        <v>6311</v>
      </c>
      <c r="H2983" s="140" t="s">
        <v>6330</v>
      </c>
      <c r="I2983" s="140" t="s">
        <v>6313</v>
      </c>
      <c r="J2983" s="140" t="s">
        <v>6319</v>
      </c>
      <c r="K2983" s="140" t="s">
        <v>1573</v>
      </c>
    </row>
    <row r="2984">
      <c r="A2984" s="140" t="s">
        <v>9897</v>
      </c>
      <c r="B2984" s="140" t="s">
        <v>1633</v>
      </c>
      <c r="C2984" s="140" t="s">
        <v>9912</v>
      </c>
      <c r="D2984" s="140" t="s">
        <v>6318</v>
      </c>
      <c r="E2984" s="140" t="s">
        <v>1631</v>
      </c>
      <c r="F2984" s="140" t="s">
        <v>9909</v>
      </c>
      <c r="G2984" s="141" t="s">
        <v>6311</v>
      </c>
      <c r="H2984" s="140" t="s">
        <v>6330</v>
      </c>
      <c r="I2984" s="140" t="s">
        <v>6313</v>
      </c>
      <c r="J2984" s="140" t="s">
        <v>6319</v>
      </c>
      <c r="K2984" s="140" t="s">
        <v>1573</v>
      </c>
    </row>
    <row r="2985">
      <c r="A2985" s="140" t="s">
        <v>9897</v>
      </c>
      <c r="B2985" s="140" t="s">
        <v>9913</v>
      </c>
      <c r="C2985" s="140" t="s">
        <v>9914</v>
      </c>
      <c r="D2985" s="140" t="s">
        <v>6318</v>
      </c>
      <c r="E2985" s="140" t="s">
        <v>1631</v>
      </c>
      <c r="F2985" s="140" t="s">
        <v>9909</v>
      </c>
      <c r="G2985" s="141" t="s">
        <v>6311</v>
      </c>
      <c r="H2985" s="140" t="s">
        <v>6330</v>
      </c>
      <c r="I2985" s="140" t="s">
        <v>6313</v>
      </c>
      <c r="J2985" s="140" t="s">
        <v>6319</v>
      </c>
      <c r="K2985" s="140" t="s">
        <v>1573</v>
      </c>
    </row>
    <row r="2986">
      <c r="A2986" s="140" t="s">
        <v>9897</v>
      </c>
      <c r="B2986" s="140" t="s">
        <v>9915</v>
      </c>
      <c r="C2986" s="140" t="s">
        <v>9916</v>
      </c>
      <c r="D2986" s="140" t="s">
        <v>6318</v>
      </c>
      <c r="E2986" s="140" t="s">
        <v>1631</v>
      </c>
      <c r="F2986" s="140" t="s">
        <v>9909</v>
      </c>
      <c r="G2986" s="141" t="s">
        <v>6311</v>
      </c>
      <c r="H2986" s="140" t="s">
        <v>6330</v>
      </c>
      <c r="I2986" s="140" t="s">
        <v>6527</v>
      </c>
      <c r="J2986" s="140" t="s">
        <v>6319</v>
      </c>
      <c r="K2986" s="140" t="s">
        <v>1573</v>
      </c>
    </row>
    <row r="2987">
      <c r="A2987" s="140" t="s">
        <v>9897</v>
      </c>
      <c r="B2987" s="140" t="s">
        <v>9917</v>
      </c>
      <c r="C2987" s="140" t="s">
        <v>9918</v>
      </c>
      <c r="D2987" s="140" t="s">
        <v>6318</v>
      </c>
      <c r="E2987" s="140" t="s">
        <v>1631</v>
      </c>
      <c r="F2987" s="140" t="s">
        <v>9909</v>
      </c>
      <c r="G2987" s="141" t="s">
        <v>6311</v>
      </c>
      <c r="H2987" s="140" t="s">
        <v>6330</v>
      </c>
      <c r="I2987" s="140" t="s">
        <v>6527</v>
      </c>
      <c r="J2987" s="140" t="s">
        <v>6319</v>
      </c>
      <c r="K2987" s="140" t="s">
        <v>1573</v>
      </c>
    </row>
    <row r="2988">
      <c r="A2988" s="140" t="s">
        <v>9897</v>
      </c>
      <c r="B2988" s="140" t="s">
        <v>9919</v>
      </c>
      <c r="C2988" s="140" t="s">
        <v>9918</v>
      </c>
      <c r="D2988" s="140" t="s">
        <v>6318</v>
      </c>
      <c r="E2988" s="140" t="s">
        <v>1631</v>
      </c>
      <c r="F2988" s="140" t="s">
        <v>9909</v>
      </c>
      <c r="G2988" s="141" t="s">
        <v>6311</v>
      </c>
      <c r="H2988" s="140" t="s">
        <v>6330</v>
      </c>
      <c r="I2988" s="140" t="s">
        <v>6527</v>
      </c>
      <c r="J2988" s="140" t="s">
        <v>6319</v>
      </c>
      <c r="K2988" s="140" t="s">
        <v>1573</v>
      </c>
    </row>
    <row r="2989">
      <c r="A2989" s="140" t="s">
        <v>9897</v>
      </c>
      <c r="B2989" s="140" t="s">
        <v>9920</v>
      </c>
      <c r="C2989" s="140" t="s">
        <v>9921</v>
      </c>
      <c r="D2989" s="140" t="s">
        <v>6318</v>
      </c>
      <c r="E2989" s="140" t="s">
        <v>1631</v>
      </c>
      <c r="F2989" s="140" t="s">
        <v>9909</v>
      </c>
      <c r="G2989" s="141" t="s">
        <v>6311</v>
      </c>
      <c r="H2989" s="140" t="s">
        <v>6330</v>
      </c>
      <c r="I2989" s="140" t="s">
        <v>6527</v>
      </c>
      <c r="J2989" s="140" t="s">
        <v>6319</v>
      </c>
      <c r="K2989" s="140" t="s">
        <v>1573</v>
      </c>
    </row>
    <row r="2990">
      <c r="A2990" s="140" t="s">
        <v>9897</v>
      </c>
      <c r="B2990" s="140" t="s">
        <v>9922</v>
      </c>
      <c r="C2990" s="140" t="s">
        <v>9923</v>
      </c>
      <c r="D2990" s="140" t="s">
        <v>6318</v>
      </c>
      <c r="E2990" s="140" t="s">
        <v>1631</v>
      </c>
      <c r="F2990" s="140" t="s">
        <v>9909</v>
      </c>
      <c r="G2990" s="141" t="s">
        <v>6311</v>
      </c>
      <c r="H2990" s="140" t="s">
        <v>6330</v>
      </c>
      <c r="I2990" s="140" t="s">
        <v>6527</v>
      </c>
      <c r="J2990" s="140" t="s">
        <v>6319</v>
      </c>
      <c r="K2990" s="140" t="s">
        <v>1573</v>
      </c>
    </row>
    <row r="2991">
      <c r="A2991" s="140" t="s">
        <v>9897</v>
      </c>
      <c r="B2991" s="140" t="s">
        <v>1630</v>
      </c>
      <c r="C2991" s="140" t="s">
        <v>9924</v>
      </c>
      <c r="D2991" s="140" t="s">
        <v>6318</v>
      </c>
      <c r="E2991" s="140" t="s">
        <v>1631</v>
      </c>
      <c r="F2991" s="140" t="s">
        <v>9909</v>
      </c>
      <c r="G2991" s="141" t="s">
        <v>6311</v>
      </c>
      <c r="H2991" s="140" t="s">
        <v>6330</v>
      </c>
      <c r="I2991" s="140" t="s">
        <v>6313</v>
      </c>
      <c r="J2991" s="140" t="s">
        <v>6319</v>
      </c>
      <c r="K2991" s="140" t="s">
        <v>1573</v>
      </c>
    </row>
    <row r="2992">
      <c r="A2992" s="140" t="s">
        <v>9897</v>
      </c>
      <c r="B2992" s="140" t="s">
        <v>1495</v>
      </c>
      <c r="C2992" s="140" t="s">
        <v>9925</v>
      </c>
      <c r="D2992" s="140" t="s">
        <v>6318</v>
      </c>
      <c r="E2992" s="140" t="s">
        <v>1631</v>
      </c>
      <c r="F2992" s="140" t="s">
        <v>9909</v>
      </c>
      <c r="G2992" s="141" t="s">
        <v>6311</v>
      </c>
      <c r="H2992" s="140" t="s">
        <v>6330</v>
      </c>
      <c r="I2992" s="140" t="s">
        <v>6313</v>
      </c>
      <c r="J2992" s="140" t="s">
        <v>6319</v>
      </c>
      <c r="K2992" s="140" t="s">
        <v>1573</v>
      </c>
    </row>
    <row r="2993">
      <c r="A2993" s="140" t="s">
        <v>9897</v>
      </c>
      <c r="B2993" s="140" t="s">
        <v>1497</v>
      </c>
      <c r="C2993" s="140" t="s">
        <v>9926</v>
      </c>
      <c r="D2993" s="140" t="s">
        <v>6318</v>
      </c>
      <c r="E2993" s="140" t="s">
        <v>1631</v>
      </c>
      <c r="F2993" s="140" t="s">
        <v>9909</v>
      </c>
      <c r="G2993" s="141" t="s">
        <v>6311</v>
      </c>
      <c r="H2993" s="140" t="s">
        <v>6330</v>
      </c>
      <c r="I2993" s="140" t="s">
        <v>6313</v>
      </c>
      <c r="J2993" s="140" t="s">
        <v>6319</v>
      </c>
      <c r="K2993" s="140" t="s">
        <v>1573</v>
      </c>
    </row>
    <row r="2994">
      <c r="A2994" s="140" t="s">
        <v>9897</v>
      </c>
      <c r="B2994" s="140" t="s">
        <v>1501</v>
      </c>
      <c r="C2994" s="140" t="s">
        <v>9927</v>
      </c>
      <c r="D2994" s="140" t="s">
        <v>6318</v>
      </c>
      <c r="E2994" s="140" t="s">
        <v>1631</v>
      </c>
      <c r="F2994" s="140" t="s">
        <v>9909</v>
      </c>
      <c r="G2994" s="141" t="s">
        <v>6311</v>
      </c>
      <c r="H2994" s="140" t="s">
        <v>6330</v>
      </c>
      <c r="I2994" s="140" t="s">
        <v>6313</v>
      </c>
      <c r="J2994" s="140" t="s">
        <v>6319</v>
      </c>
      <c r="K2994" s="140" t="s">
        <v>1573</v>
      </c>
    </row>
    <row r="2995">
      <c r="A2995" s="140" t="s">
        <v>9897</v>
      </c>
      <c r="B2995" s="140" t="s">
        <v>1499</v>
      </c>
      <c r="C2995" s="140" t="s">
        <v>9928</v>
      </c>
      <c r="D2995" s="140" t="s">
        <v>6318</v>
      </c>
      <c r="E2995" s="140" t="s">
        <v>1631</v>
      </c>
      <c r="F2995" s="140" t="s">
        <v>9909</v>
      </c>
      <c r="G2995" s="141" t="s">
        <v>6311</v>
      </c>
      <c r="H2995" s="140" t="s">
        <v>6330</v>
      </c>
      <c r="I2995" s="140" t="s">
        <v>6313</v>
      </c>
      <c r="J2995" s="140" t="s">
        <v>6319</v>
      </c>
      <c r="K2995" s="140" t="s">
        <v>1573</v>
      </c>
    </row>
    <row r="2996">
      <c r="A2996" s="140" t="s">
        <v>9897</v>
      </c>
      <c r="B2996" s="140" t="s">
        <v>9929</v>
      </c>
      <c r="C2996" s="140" t="s">
        <v>9930</v>
      </c>
      <c r="D2996" s="140" t="s">
        <v>6318</v>
      </c>
      <c r="E2996" s="140" t="s">
        <v>1631</v>
      </c>
      <c r="F2996" s="140" t="s">
        <v>9909</v>
      </c>
      <c r="G2996" s="141" t="s">
        <v>6311</v>
      </c>
      <c r="H2996" s="140" t="s">
        <v>6330</v>
      </c>
      <c r="I2996" s="140" t="s">
        <v>6527</v>
      </c>
      <c r="J2996" s="140" t="s">
        <v>6319</v>
      </c>
      <c r="K2996" s="140" t="s">
        <v>1573</v>
      </c>
    </row>
    <row r="2997">
      <c r="A2997" s="140" t="s">
        <v>9897</v>
      </c>
      <c r="B2997" s="140" t="s">
        <v>9931</v>
      </c>
      <c r="C2997" s="140" t="s">
        <v>9932</v>
      </c>
      <c r="D2997" s="140" t="s">
        <v>6318</v>
      </c>
      <c r="E2997" s="140" t="s">
        <v>1631</v>
      </c>
      <c r="F2997" s="140" t="s">
        <v>9909</v>
      </c>
      <c r="G2997" s="141" t="s">
        <v>6311</v>
      </c>
      <c r="H2997" s="140" t="s">
        <v>6330</v>
      </c>
      <c r="I2997" s="140" t="s">
        <v>6527</v>
      </c>
      <c r="J2997" s="140" t="s">
        <v>6319</v>
      </c>
      <c r="K2997" s="140" t="s">
        <v>1573</v>
      </c>
    </row>
    <row r="2998">
      <c r="A2998" s="140" t="s">
        <v>9897</v>
      </c>
      <c r="B2998" s="140" t="s">
        <v>9933</v>
      </c>
      <c r="C2998" s="140" t="s">
        <v>9934</v>
      </c>
      <c r="D2998" s="140" t="s">
        <v>6318</v>
      </c>
      <c r="E2998" s="140" t="s">
        <v>1631</v>
      </c>
      <c r="F2998" s="140" t="s">
        <v>9909</v>
      </c>
      <c r="G2998" s="141" t="s">
        <v>6311</v>
      </c>
      <c r="H2998" s="140" t="s">
        <v>6330</v>
      </c>
      <c r="I2998" s="140" t="s">
        <v>6527</v>
      </c>
      <c r="J2998" s="140" t="s">
        <v>6319</v>
      </c>
      <c r="K2998" s="140" t="s">
        <v>1573</v>
      </c>
    </row>
    <row r="2999">
      <c r="A2999" s="140" t="s">
        <v>5880</v>
      </c>
      <c r="B2999" s="140">
        <v>889932.0</v>
      </c>
      <c r="C2999" s="140" t="s">
        <v>9935</v>
      </c>
      <c r="D2999" s="140" t="s">
        <v>6318</v>
      </c>
      <c r="E2999" s="140" t="s">
        <v>6323</v>
      </c>
      <c r="F2999" s="140" t="s">
        <v>6457</v>
      </c>
      <c r="G2999" s="141" t="s">
        <v>6311</v>
      </c>
      <c r="H2999" s="140" t="s">
        <v>6330</v>
      </c>
      <c r="I2999" s="140" t="s">
        <v>6313</v>
      </c>
      <c r="J2999" s="140" t="s">
        <v>6314</v>
      </c>
      <c r="K2999" s="140" t="s">
        <v>6320</v>
      </c>
    </row>
    <row r="3000">
      <c r="A3000" s="140" t="s">
        <v>5880</v>
      </c>
      <c r="B3000" s="140">
        <v>97754.0</v>
      </c>
      <c r="C3000" s="140" t="s">
        <v>9936</v>
      </c>
      <c r="D3000" s="140" t="s">
        <v>6318</v>
      </c>
      <c r="E3000" s="140" t="s">
        <v>7938</v>
      </c>
      <c r="F3000" s="140" t="s">
        <v>7939</v>
      </c>
      <c r="G3000" s="141" t="s">
        <v>6311</v>
      </c>
      <c r="H3000" s="140" t="s">
        <v>6330</v>
      </c>
      <c r="I3000" s="140" t="s">
        <v>6313</v>
      </c>
      <c r="J3000" s="140" t="s">
        <v>6314</v>
      </c>
      <c r="K3000" s="140" t="s">
        <v>6320</v>
      </c>
    </row>
    <row r="3001">
      <c r="A3001" s="140" t="s">
        <v>5880</v>
      </c>
      <c r="B3001" s="140">
        <v>21217.0</v>
      </c>
      <c r="C3001" s="140" t="s">
        <v>9937</v>
      </c>
      <c r="D3001" s="140" t="s">
        <v>6318</v>
      </c>
      <c r="E3001" s="140" t="s">
        <v>7938</v>
      </c>
      <c r="F3001" s="140" t="s">
        <v>7939</v>
      </c>
      <c r="G3001" s="141" t="s">
        <v>6311</v>
      </c>
      <c r="H3001" s="140" t="s">
        <v>6330</v>
      </c>
      <c r="I3001" s="140" t="s">
        <v>6313</v>
      </c>
      <c r="J3001" s="140" t="s">
        <v>6314</v>
      </c>
      <c r="K3001" s="140" t="s">
        <v>6320</v>
      </c>
    </row>
    <row r="3002">
      <c r="A3002" s="140" t="s">
        <v>5880</v>
      </c>
      <c r="B3002" s="140">
        <v>97678.0</v>
      </c>
      <c r="C3002" s="140" t="s">
        <v>9938</v>
      </c>
      <c r="D3002" s="140" t="s">
        <v>6318</v>
      </c>
      <c r="E3002" s="140" t="s">
        <v>7938</v>
      </c>
      <c r="F3002" s="140" t="s">
        <v>7939</v>
      </c>
      <c r="G3002" s="141" t="s">
        <v>6311</v>
      </c>
      <c r="H3002" s="140" t="s">
        <v>6330</v>
      </c>
      <c r="I3002" s="140" t="s">
        <v>6313</v>
      </c>
      <c r="J3002" s="140" t="s">
        <v>6314</v>
      </c>
      <c r="K3002" s="140" t="s">
        <v>6320</v>
      </c>
    </row>
    <row r="3003">
      <c r="A3003" s="140" t="s">
        <v>5880</v>
      </c>
      <c r="B3003" s="140">
        <v>21222.0</v>
      </c>
      <c r="C3003" s="140" t="s">
        <v>9939</v>
      </c>
      <c r="D3003" s="140" t="s">
        <v>6318</v>
      </c>
      <c r="E3003" s="140" t="s">
        <v>7938</v>
      </c>
      <c r="F3003" s="140" t="s">
        <v>7939</v>
      </c>
      <c r="G3003" s="141" t="s">
        <v>6311</v>
      </c>
      <c r="H3003" s="140" t="s">
        <v>6330</v>
      </c>
      <c r="I3003" s="140" t="s">
        <v>6313</v>
      </c>
      <c r="J3003" s="140" t="s">
        <v>6314</v>
      </c>
      <c r="K3003" s="140" t="s">
        <v>6320</v>
      </c>
    </row>
    <row r="3004">
      <c r="A3004" s="140" t="s">
        <v>5880</v>
      </c>
      <c r="B3004" s="140">
        <v>97547.0</v>
      </c>
      <c r="C3004" s="140" t="s">
        <v>9940</v>
      </c>
      <c r="D3004" s="140" t="s">
        <v>6318</v>
      </c>
      <c r="E3004" s="140" t="s">
        <v>7938</v>
      </c>
      <c r="F3004" s="140" t="s">
        <v>7939</v>
      </c>
      <c r="G3004" s="141" t="s">
        <v>6311</v>
      </c>
      <c r="H3004" s="140" t="s">
        <v>6330</v>
      </c>
      <c r="I3004" s="140" t="s">
        <v>6313</v>
      </c>
      <c r="J3004" s="140" t="s">
        <v>6314</v>
      </c>
      <c r="K3004" s="140" t="s">
        <v>6320</v>
      </c>
    </row>
    <row r="3005">
      <c r="A3005" s="140" t="s">
        <v>5880</v>
      </c>
      <c r="B3005" s="140">
        <v>97554.0</v>
      </c>
      <c r="C3005" s="140" t="s">
        <v>9941</v>
      </c>
      <c r="D3005" s="140" t="s">
        <v>6318</v>
      </c>
      <c r="E3005" s="140" t="s">
        <v>7938</v>
      </c>
      <c r="F3005" s="140" t="s">
        <v>7939</v>
      </c>
      <c r="G3005" s="141" t="s">
        <v>6311</v>
      </c>
      <c r="H3005" s="140" t="s">
        <v>6330</v>
      </c>
      <c r="I3005" s="140" t="s">
        <v>6313</v>
      </c>
      <c r="J3005" s="140" t="s">
        <v>6314</v>
      </c>
      <c r="K3005" s="140" t="s">
        <v>6320</v>
      </c>
    </row>
    <row r="3006">
      <c r="A3006" s="140" t="s">
        <v>5880</v>
      </c>
      <c r="B3006" s="140">
        <v>98060.0</v>
      </c>
      <c r="C3006" s="140" t="s">
        <v>9942</v>
      </c>
      <c r="D3006" s="140" t="s">
        <v>6318</v>
      </c>
      <c r="E3006" s="140" t="s">
        <v>7938</v>
      </c>
      <c r="F3006" s="140" t="s">
        <v>7939</v>
      </c>
      <c r="G3006" s="141" t="s">
        <v>6311</v>
      </c>
      <c r="H3006" s="140" t="s">
        <v>6330</v>
      </c>
      <c r="I3006" s="140" t="s">
        <v>6313</v>
      </c>
      <c r="J3006" s="140" t="s">
        <v>6314</v>
      </c>
      <c r="K3006" s="140" t="s">
        <v>6320</v>
      </c>
    </row>
    <row r="3007">
      <c r="A3007" s="140" t="s">
        <v>5880</v>
      </c>
      <c r="B3007" s="140">
        <v>97550.0</v>
      </c>
      <c r="C3007" s="140" t="s">
        <v>9943</v>
      </c>
      <c r="D3007" s="140" t="s">
        <v>6318</v>
      </c>
      <c r="E3007" s="140" t="s">
        <v>7938</v>
      </c>
      <c r="F3007" s="140" t="s">
        <v>7939</v>
      </c>
      <c r="G3007" s="141" t="s">
        <v>6311</v>
      </c>
      <c r="H3007" s="140" t="s">
        <v>6330</v>
      </c>
      <c r="I3007" s="140" t="s">
        <v>6313</v>
      </c>
      <c r="J3007" s="140" t="s">
        <v>6314</v>
      </c>
      <c r="K3007" s="140" t="s">
        <v>6320</v>
      </c>
    </row>
    <row r="3008">
      <c r="A3008" s="140" t="s">
        <v>5880</v>
      </c>
      <c r="B3008" s="140">
        <v>97551.0</v>
      </c>
      <c r="C3008" s="140" t="s">
        <v>9944</v>
      </c>
      <c r="D3008" s="140" t="s">
        <v>6318</v>
      </c>
      <c r="E3008" s="140" t="s">
        <v>7938</v>
      </c>
      <c r="F3008" s="140" t="s">
        <v>7939</v>
      </c>
      <c r="G3008" s="141" t="s">
        <v>6311</v>
      </c>
      <c r="H3008" s="140" t="s">
        <v>6330</v>
      </c>
      <c r="I3008" s="140" t="s">
        <v>6313</v>
      </c>
      <c r="J3008" s="140" t="s">
        <v>6314</v>
      </c>
      <c r="K3008" s="140" t="s">
        <v>6320</v>
      </c>
    </row>
    <row r="3009">
      <c r="A3009" s="140" t="s">
        <v>5880</v>
      </c>
      <c r="B3009" s="140">
        <v>889925.0</v>
      </c>
      <c r="C3009" s="140" t="s">
        <v>9945</v>
      </c>
      <c r="D3009" s="140" t="s">
        <v>6318</v>
      </c>
      <c r="E3009" s="140" t="s">
        <v>7938</v>
      </c>
      <c r="F3009" s="140" t="s">
        <v>7939</v>
      </c>
      <c r="G3009" s="141" t="s">
        <v>6311</v>
      </c>
      <c r="H3009" s="140" t="s">
        <v>6330</v>
      </c>
      <c r="I3009" s="140" t="s">
        <v>6313</v>
      </c>
      <c r="J3009" s="140" t="s">
        <v>6314</v>
      </c>
      <c r="K3009" s="140" t="s">
        <v>6320</v>
      </c>
    </row>
    <row r="3010">
      <c r="A3010" s="140" t="s">
        <v>5880</v>
      </c>
      <c r="B3010" s="140">
        <v>10227.0</v>
      </c>
      <c r="C3010" s="140" t="s">
        <v>9946</v>
      </c>
      <c r="D3010" s="140" t="s">
        <v>6318</v>
      </c>
      <c r="E3010" s="140" t="s">
        <v>7938</v>
      </c>
      <c r="F3010" s="140" t="s">
        <v>7939</v>
      </c>
      <c r="G3010" s="141" t="s">
        <v>6311</v>
      </c>
      <c r="H3010" s="140" t="s">
        <v>6330</v>
      </c>
      <c r="I3010" s="140" t="s">
        <v>6313</v>
      </c>
      <c r="J3010" s="140" t="s">
        <v>6314</v>
      </c>
      <c r="K3010" s="140" t="s">
        <v>6320</v>
      </c>
    </row>
    <row r="3011">
      <c r="A3011" s="140" t="s">
        <v>5880</v>
      </c>
      <c r="B3011" s="140">
        <v>97298.0</v>
      </c>
      <c r="C3011" s="140" t="s">
        <v>9947</v>
      </c>
      <c r="D3011" s="140" t="s">
        <v>6318</v>
      </c>
      <c r="E3011" s="140" t="s">
        <v>7938</v>
      </c>
      <c r="F3011" s="140" t="s">
        <v>7939</v>
      </c>
      <c r="G3011" s="141" t="s">
        <v>6311</v>
      </c>
      <c r="H3011" s="140" t="s">
        <v>6330</v>
      </c>
      <c r="I3011" s="140" t="s">
        <v>6313</v>
      </c>
      <c r="J3011" s="140" t="s">
        <v>6314</v>
      </c>
      <c r="K3011" s="140" t="s">
        <v>6320</v>
      </c>
    </row>
    <row r="3012">
      <c r="A3012" s="140" t="s">
        <v>5880</v>
      </c>
      <c r="B3012" s="140">
        <v>97361.0</v>
      </c>
      <c r="C3012" s="140" t="s">
        <v>9948</v>
      </c>
      <c r="D3012" s="140" t="s">
        <v>6318</v>
      </c>
      <c r="E3012" s="140" t="s">
        <v>7938</v>
      </c>
      <c r="F3012" s="140" t="s">
        <v>7939</v>
      </c>
      <c r="G3012" s="141" t="s">
        <v>6311</v>
      </c>
      <c r="H3012" s="140" t="s">
        <v>6330</v>
      </c>
      <c r="I3012" s="140" t="s">
        <v>6313</v>
      </c>
      <c r="J3012" s="140" t="s">
        <v>6314</v>
      </c>
      <c r="K3012" s="140" t="s">
        <v>6320</v>
      </c>
    </row>
    <row r="3013">
      <c r="A3013" s="140" t="s">
        <v>5880</v>
      </c>
      <c r="B3013" s="140">
        <v>97334.0</v>
      </c>
      <c r="C3013" s="140" t="s">
        <v>9949</v>
      </c>
      <c r="D3013" s="140" t="s">
        <v>6318</v>
      </c>
      <c r="E3013" s="140" t="s">
        <v>7938</v>
      </c>
      <c r="F3013" s="140" t="s">
        <v>7939</v>
      </c>
      <c r="G3013" s="141" t="s">
        <v>6311</v>
      </c>
      <c r="H3013" s="140" t="s">
        <v>6330</v>
      </c>
      <c r="I3013" s="140" t="s">
        <v>6313</v>
      </c>
      <c r="J3013" s="140" t="s">
        <v>6314</v>
      </c>
      <c r="K3013" s="140" t="s">
        <v>6320</v>
      </c>
    </row>
    <row r="3014">
      <c r="A3014" s="140" t="s">
        <v>5880</v>
      </c>
      <c r="B3014" s="140">
        <v>21219.0</v>
      </c>
      <c r="C3014" s="140" t="s">
        <v>9950</v>
      </c>
      <c r="D3014" s="140" t="s">
        <v>6318</v>
      </c>
      <c r="E3014" s="140" t="s">
        <v>7938</v>
      </c>
      <c r="F3014" s="140" t="s">
        <v>7939</v>
      </c>
      <c r="G3014" s="141" t="s">
        <v>6311</v>
      </c>
      <c r="H3014" s="140" t="s">
        <v>6330</v>
      </c>
      <c r="I3014" s="140" t="s">
        <v>6313</v>
      </c>
      <c r="J3014" s="140" t="s">
        <v>6314</v>
      </c>
      <c r="K3014" s="140" t="s">
        <v>6320</v>
      </c>
    </row>
    <row r="3015">
      <c r="A3015" s="140" t="s">
        <v>5880</v>
      </c>
      <c r="B3015" s="140">
        <v>95665.0</v>
      </c>
      <c r="C3015" s="140" t="s">
        <v>9951</v>
      </c>
      <c r="D3015" s="140" t="s">
        <v>6318</v>
      </c>
      <c r="E3015" s="140" t="s">
        <v>7938</v>
      </c>
      <c r="F3015" s="140" t="s">
        <v>7939</v>
      </c>
      <c r="G3015" s="141" t="s">
        <v>6311</v>
      </c>
      <c r="H3015" s="140" t="s">
        <v>6330</v>
      </c>
      <c r="I3015" s="140" t="s">
        <v>6313</v>
      </c>
      <c r="J3015" s="140" t="s">
        <v>6314</v>
      </c>
      <c r="K3015" s="140" t="s">
        <v>6320</v>
      </c>
    </row>
    <row r="3016">
      <c r="A3016" s="140" t="s">
        <v>5880</v>
      </c>
      <c r="B3016" s="140">
        <v>97536.0</v>
      </c>
      <c r="C3016" s="140" t="s">
        <v>9952</v>
      </c>
      <c r="D3016" s="140" t="s">
        <v>6318</v>
      </c>
      <c r="E3016" s="140" t="s">
        <v>7938</v>
      </c>
      <c r="F3016" s="140" t="s">
        <v>7939</v>
      </c>
      <c r="G3016" s="141" t="s">
        <v>6311</v>
      </c>
      <c r="H3016" s="140" t="s">
        <v>6330</v>
      </c>
      <c r="I3016" s="140" t="s">
        <v>6313</v>
      </c>
      <c r="J3016" s="140" t="s">
        <v>6314</v>
      </c>
      <c r="K3016" s="140" t="s">
        <v>6320</v>
      </c>
    </row>
    <row r="3017">
      <c r="A3017" s="140" t="s">
        <v>5880</v>
      </c>
      <c r="B3017" s="140">
        <v>97373.0</v>
      </c>
      <c r="C3017" s="140" t="s">
        <v>9953</v>
      </c>
      <c r="D3017" s="140" t="s">
        <v>6318</v>
      </c>
      <c r="E3017" s="140" t="s">
        <v>7938</v>
      </c>
      <c r="F3017" s="140" t="s">
        <v>7939</v>
      </c>
      <c r="G3017" s="141" t="s">
        <v>6311</v>
      </c>
      <c r="H3017" s="140" t="s">
        <v>6330</v>
      </c>
      <c r="I3017" s="140" t="s">
        <v>6313</v>
      </c>
      <c r="J3017" s="140" t="s">
        <v>6314</v>
      </c>
      <c r="K3017" s="140" t="s">
        <v>6320</v>
      </c>
    </row>
    <row r="3018">
      <c r="A3018" s="140" t="s">
        <v>5880</v>
      </c>
      <c r="B3018" s="140">
        <v>97130.0</v>
      </c>
      <c r="C3018" s="140" t="s">
        <v>9954</v>
      </c>
      <c r="D3018" s="140" t="s">
        <v>6318</v>
      </c>
      <c r="E3018" s="140" t="s">
        <v>7938</v>
      </c>
      <c r="F3018" s="140" t="s">
        <v>7939</v>
      </c>
      <c r="G3018" s="141" t="s">
        <v>6311</v>
      </c>
      <c r="H3018" s="140" t="s">
        <v>6330</v>
      </c>
      <c r="I3018" s="140" t="s">
        <v>6313</v>
      </c>
      <c r="J3018" s="140" t="s">
        <v>6314</v>
      </c>
      <c r="K3018" s="140" t="s">
        <v>6320</v>
      </c>
    </row>
    <row r="3019">
      <c r="A3019" s="140" t="s">
        <v>5880</v>
      </c>
      <c r="B3019" s="140">
        <v>97576.0</v>
      </c>
      <c r="C3019" s="140" t="s">
        <v>9955</v>
      </c>
      <c r="D3019" s="140" t="s">
        <v>6318</v>
      </c>
      <c r="E3019" s="140" t="s">
        <v>7938</v>
      </c>
      <c r="F3019" s="140" t="s">
        <v>7939</v>
      </c>
      <c r="G3019" s="141" t="s">
        <v>6311</v>
      </c>
      <c r="H3019" s="140" t="s">
        <v>6330</v>
      </c>
      <c r="I3019" s="140" t="s">
        <v>6313</v>
      </c>
      <c r="J3019" s="140" t="s">
        <v>6314</v>
      </c>
      <c r="K3019" s="140" t="s">
        <v>6320</v>
      </c>
    </row>
    <row r="3020">
      <c r="A3020" s="140" t="s">
        <v>5880</v>
      </c>
      <c r="B3020" s="140">
        <v>21220.0</v>
      </c>
      <c r="C3020" s="140" t="s">
        <v>9956</v>
      </c>
      <c r="D3020" s="140" t="s">
        <v>6318</v>
      </c>
      <c r="E3020" s="140" t="s">
        <v>7938</v>
      </c>
      <c r="F3020" s="140" t="s">
        <v>7939</v>
      </c>
      <c r="G3020" s="141" t="s">
        <v>6311</v>
      </c>
      <c r="H3020" s="140" t="s">
        <v>6330</v>
      </c>
      <c r="I3020" s="140" t="s">
        <v>6313</v>
      </c>
      <c r="J3020" s="140" t="s">
        <v>6314</v>
      </c>
      <c r="K3020" s="140" t="s">
        <v>6320</v>
      </c>
    </row>
    <row r="3021">
      <c r="A3021" s="140" t="s">
        <v>5880</v>
      </c>
      <c r="B3021" s="140">
        <v>98042.0</v>
      </c>
      <c r="C3021" s="140" t="s">
        <v>9957</v>
      </c>
      <c r="D3021" s="140" t="s">
        <v>6318</v>
      </c>
      <c r="E3021" s="140" t="s">
        <v>7938</v>
      </c>
      <c r="F3021" s="140" t="s">
        <v>7939</v>
      </c>
      <c r="G3021" s="141" t="s">
        <v>6311</v>
      </c>
      <c r="H3021" s="140" t="s">
        <v>6330</v>
      </c>
      <c r="I3021" s="140" t="s">
        <v>6313</v>
      </c>
      <c r="J3021" s="140" t="s">
        <v>6314</v>
      </c>
      <c r="K3021" s="140" t="s">
        <v>6320</v>
      </c>
    </row>
    <row r="3022">
      <c r="A3022" s="140" t="s">
        <v>5880</v>
      </c>
      <c r="B3022" s="140">
        <v>97512.0</v>
      </c>
      <c r="C3022" s="140" t="s">
        <v>9958</v>
      </c>
      <c r="D3022" s="140" t="s">
        <v>6318</v>
      </c>
      <c r="E3022" s="140" t="s">
        <v>7938</v>
      </c>
      <c r="F3022" s="140" t="s">
        <v>7939</v>
      </c>
      <c r="G3022" s="141" t="s">
        <v>6311</v>
      </c>
      <c r="H3022" s="140" t="s">
        <v>6330</v>
      </c>
      <c r="I3022" s="140" t="s">
        <v>6313</v>
      </c>
      <c r="J3022" s="140" t="s">
        <v>6314</v>
      </c>
      <c r="K3022" s="140" t="s">
        <v>6320</v>
      </c>
    </row>
    <row r="3023">
      <c r="A3023" s="140" t="s">
        <v>5880</v>
      </c>
      <c r="B3023" s="140">
        <v>97510.0</v>
      </c>
      <c r="C3023" s="140" t="s">
        <v>9959</v>
      </c>
      <c r="D3023" s="140" t="s">
        <v>6318</v>
      </c>
      <c r="E3023" s="140" t="s">
        <v>7938</v>
      </c>
      <c r="F3023" s="140" t="s">
        <v>7939</v>
      </c>
      <c r="G3023" s="141" t="s">
        <v>6311</v>
      </c>
      <c r="H3023" s="140" t="s">
        <v>6330</v>
      </c>
      <c r="I3023" s="140" t="s">
        <v>6313</v>
      </c>
      <c r="J3023" s="140" t="s">
        <v>6314</v>
      </c>
      <c r="K3023" s="140" t="s">
        <v>6320</v>
      </c>
    </row>
    <row r="3024">
      <c r="A3024" s="140" t="s">
        <v>5880</v>
      </c>
      <c r="B3024" s="140">
        <v>98041.0</v>
      </c>
      <c r="C3024" s="140" t="s">
        <v>9960</v>
      </c>
      <c r="D3024" s="140" t="s">
        <v>6318</v>
      </c>
      <c r="E3024" s="140" t="s">
        <v>7938</v>
      </c>
      <c r="F3024" s="140" t="s">
        <v>7939</v>
      </c>
      <c r="G3024" s="141" t="s">
        <v>6311</v>
      </c>
      <c r="H3024" s="140" t="s">
        <v>6330</v>
      </c>
      <c r="I3024" s="140" t="s">
        <v>6313</v>
      </c>
      <c r="J3024" s="140" t="s">
        <v>6314</v>
      </c>
      <c r="K3024" s="140" t="s">
        <v>6320</v>
      </c>
    </row>
    <row r="3025">
      <c r="A3025" s="140" t="s">
        <v>5880</v>
      </c>
      <c r="B3025" s="140">
        <v>97435.0</v>
      </c>
      <c r="C3025" s="140" t="s">
        <v>9961</v>
      </c>
      <c r="D3025" s="140" t="s">
        <v>6318</v>
      </c>
      <c r="E3025" s="140" t="s">
        <v>7938</v>
      </c>
      <c r="F3025" s="140" t="s">
        <v>7939</v>
      </c>
      <c r="G3025" s="141" t="s">
        <v>6311</v>
      </c>
      <c r="H3025" s="140" t="s">
        <v>6330</v>
      </c>
      <c r="I3025" s="140" t="s">
        <v>6313</v>
      </c>
      <c r="J3025" s="140" t="s">
        <v>6314</v>
      </c>
      <c r="K3025" s="140" t="s">
        <v>6320</v>
      </c>
    </row>
    <row r="3026">
      <c r="A3026" s="140" t="s">
        <v>5880</v>
      </c>
      <c r="B3026" s="140">
        <v>98613.0</v>
      </c>
      <c r="C3026" s="140" t="s">
        <v>9962</v>
      </c>
      <c r="D3026" s="140" t="s">
        <v>6318</v>
      </c>
      <c r="E3026" s="140" t="s">
        <v>7938</v>
      </c>
      <c r="F3026" s="140" t="s">
        <v>7939</v>
      </c>
      <c r="G3026" s="141" t="s">
        <v>6311</v>
      </c>
      <c r="H3026" s="140" t="s">
        <v>6330</v>
      </c>
      <c r="I3026" s="140" t="s">
        <v>6313</v>
      </c>
      <c r="J3026" s="140" t="s">
        <v>6314</v>
      </c>
      <c r="K3026" s="140" t="s">
        <v>6320</v>
      </c>
    </row>
    <row r="3027">
      <c r="A3027" s="140" t="s">
        <v>5880</v>
      </c>
      <c r="B3027" s="140">
        <v>72291.0</v>
      </c>
      <c r="C3027" s="140" t="s">
        <v>9963</v>
      </c>
      <c r="D3027" s="140" t="s">
        <v>6318</v>
      </c>
      <c r="E3027" s="140" t="s">
        <v>7938</v>
      </c>
      <c r="F3027" s="140" t="s">
        <v>7152</v>
      </c>
      <c r="G3027" s="141" t="s">
        <v>6311</v>
      </c>
      <c r="H3027" s="140" t="s">
        <v>6330</v>
      </c>
      <c r="I3027" s="140" t="s">
        <v>6313</v>
      </c>
      <c r="J3027" s="140" t="s">
        <v>6314</v>
      </c>
      <c r="K3027" s="140" t="s">
        <v>6320</v>
      </c>
    </row>
    <row r="3028">
      <c r="A3028" s="140" t="s">
        <v>9964</v>
      </c>
      <c r="B3028" s="140">
        <v>34620.0</v>
      </c>
      <c r="C3028" s="140" t="s">
        <v>9965</v>
      </c>
      <c r="D3028" s="140" t="s">
        <v>6309</v>
      </c>
      <c r="E3028" s="140" t="s">
        <v>1223</v>
      </c>
      <c r="F3028" s="140" t="s">
        <v>6416</v>
      </c>
      <c r="G3028" s="141" t="s">
        <v>6311</v>
      </c>
      <c r="H3028" s="140" t="s">
        <v>6312</v>
      </c>
      <c r="I3028" s="140" t="s">
        <v>6313</v>
      </c>
      <c r="J3028" s="140" t="s">
        <v>6314</v>
      </c>
      <c r="K3028" s="140" t="s">
        <v>6315</v>
      </c>
    </row>
    <row r="3029">
      <c r="A3029" s="140" t="s">
        <v>9966</v>
      </c>
      <c r="B3029" s="140" t="s">
        <v>9967</v>
      </c>
      <c r="C3029" s="140" t="s">
        <v>9968</v>
      </c>
      <c r="D3029" s="140" t="s">
        <v>7347</v>
      </c>
      <c r="E3029" s="140">
        <v>0.0</v>
      </c>
      <c r="F3029" s="140" t="s">
        <v>9969</v>
      </c>
      <c r="G3029" s="141" t="s">
        <v>6401</v>
      </c>
      <c r="H3029" s="140" t="s">
        <v>6312</v>
      </c>
      <c r="I3029" s="140" t="s">
        <v>6313</v>
      </c>
      <c r="J3029" s="140" t="s">
        <v>6314</v>
      </c>
      <c r="K3029" s="140" t="s">
        <v>8996</v>
      </c>
    </row>
    <row r="3030">
      <c r="A3030" s="140" t="s">
        <v>9966</v>
      </c>
      <c r="B3030" s="140" t="s">
        <v>3572</v>
      </c>
      <c r="C3030" s="140" t="s">
        <v>9970</v>
      </c>
      <c r="D3030" s="140" t="s">
        <v>7347</v>
      </c>
      <c r="E3030" s="140">
        <v>0.0</v>
      </c>
      <c r="F3030" s="140" t="s">
        <v>9969</v>
      </c>
      <c r="G3030" s="141" t="s">
        <v>6401</v>
      </c>
      <c r="H3030" s="140" t="s">
        <v>6312</v>
      </c>
      <c r="I3030" s="140" t="s">
        <v>6313</v>
      </c>
      <c r="J3030" s="140" t="s">
        <v>6314</v>
      </c>
      <c r="K3030" s="140" t="s">
        <v>8996</v>
      </c>
    </row>
    <row r="3031">
      <c r="A3031" s="140" t="s">
        <v>9966</v>
      </c>
      <c r="B3031" s="140" t="s">
        <v>9971</v>
      </c>
      <c r="C3031" s="140" t="s">
        <v>9972</v>
      </c>
      <c r="D3031" s="140" t="s">
        <v>7347</v>
      </c>
      <c r="E3031" s="140">
        <v>0.0</v>
      </c>
      <c r="F3031" s="140" t="s">
        <v>9969</v>
      </c>
      <c r="G3031" s="141" t="s">
        <v>6401</v>
      </c>
      <c r="H3031" s="140" t="s">
        <v>6312</v>
      </c>
      <c r="I3031" s="140" t="s">
        <v>6313</v>
      </c>
      <c r="J3031" s="140" t="s">
        <v>6314</v>
      </c>
      <c r="K3031" s="140" t="s">
        <v>8996</v>
      </c>
    </row>
    <row r="3032">
      <c r="A3032" s="140" t="s">
        <v>9966</v>
      </c>
      <c r="B3032" s="140" t="s">
        <v>9973</v>
      </c>
      <c r="C3032" s="140" t="s">
        <v>9974</v>
      </c>
      <c r="D3032" s="140" t="s">
        <v>7347</v>
      </c>
      <c r="E3032" s="140">
        <v>0.0</v>
      </c>
      <c r="F3032" s="140" t="s">
        <v>9969</v>
      </c>
      <c r="G3032" s="141" t="s">
        <v>6401</v>
      </c>
      <c r="H3032" s="140" t="s">
        <v>6312</v>
      </c>
      <c r="I3032" s="140" t="s">
        <v>6313</v>
      </c>
      <c r="J3032" s="140" t="s">
        <v>6314</v>
      </c>
      <c r="K3032" s="140" t="s">
        <v>8996</v>
      </c>
    </row>
    <row r="3033">
      <c r="A3033" s="140" t="s">
        <v>9966</v>
      </c>
      <c r="B3033" s="140" t="s">
        <v>9975</v>
      </c>
      <c r="C3033" s="140" t="s">
        <v>9976</v>
      </c>
      <c r="D3033" s="140" t="s">
        <v>7347</v>
      </c>
      <c r="E3033" s="140">
        <v>0.0</v>
      </c>
      <c r="F3033" s="140" t="s">
        <v>9969</v>
      </c>
      <c r="G3033" s="141" t="s">
        <v>6401</v>
      </c>
      <c r="H3033" s="140" t="s">
        <v>6312</v>
      </c>
      <c r="I3033" s="140" t="s">
        <v>6313</v>
      </c>
      <c r="J3033" s="140" t="s">
        <v>6314</v>
      </c>
      <c r="K3033" s="140" t="s">
        <v>8996</v>
      </c>
    </row>
    <row r="3034">
      <c r="A3034" s="140" t="s">
        <v>9966</v>
      </c>
      <c r="B3034" s="140" t="s">
        <v>9977</v>
      </c>
      <c r="C3034" s="140" t="s">
        <v>9978</v>
      </c>
      <c r="D3034" s="140" t="s">
        <v>7347</v>
      </c>
      <c r="E3034" s="140">
        <v>0.0</v>
      </c>
      <c r="F3034" s="140" t="s">
        <v>9969</v>
      </c>
      <c r="G3034" s="141" t="s">
        <v>6401</v>
      </c>
      <c r="H3034" s="140" t="s">
        <v>6312</v>
      </c>
      <c r="I3034" s="140" t="s">
        <v>6313</v>
      </c>
      <c r="J3034" s="140" t="s">
        <v>6314</v>
      </c>
      <c r="K3034" s="140" t="s">
        <v>8996</v>
      </c>
    </row>
    <row r="3035">
      <c r="A3035" s="140" t="s">
        <v>9966</v>
      </c>
      <c r="B3035" s="140" t="s">
        <v>9979</v>
      </c>
      <c r="C3035" s="140" t="s">
        <v>9980</v>
      </c>
      <c r="D3035" s="140" t="s">
        <v>7347</v>
      </c>
      <c r="E3035" s="140">
        <v>0.0</v>
      </c>
      <c r="F3035" s="140" t="s">
        <v>9969</v>
      </c>
      <c r="G3035" s="141" t="s">
        <v>6401</v>
      </c>
      <c r="H3035" s="140" t="s">
        <v>6312</v>
      </c>
      <c r="I3035" s="140" t="s">
        <v>6313</v>
      </c>
      <c r="J3035" s="140" t="s">
        <v>6314</v>
      </c>
      <c r="K3035" s="140" t="s">
        <v>8996</v>
      </c>
    </row>
    <row r="3036">
      <c r="A3036" s="140" t="s">
        <v>9981</v>
      </c>
      <c r="B3036" s="140" t="s">
        <v>9982</v>
      </c>
      <c r="C3036" s="140" t="s">
        <v>9983</v>
      </c>
      <c r="D3036" s="140" t="s">
        <v>6309</v>
      </c>
      <c r="E3036" s="140">
        <v>0.0</v>
      </c>
      <c r="F3036" s="140" t="s">
        <v>8995</v>
      </c>
      <c r="G3036" s="141" t="s">
        <v>6304</v>
      </c>
      <c r="H3036" s="140" t="s">
        <v>6312</v>
      </c>
      <c r="I3036" s="140" t="s">
        <v>6527</v>
      </c>
      <c r="J3036" s="140" t="s">
        <v>6314</v>
      </c>
      <c r="K3036" s="140" t="s">
        <v>8996</v>
      </c>
    </row>
    <row r="3037">
      <c r="A3037" s="140" t="s">
        <v>9981</v>
      </c>
      <c r="B3037" s="140" t="s">
        <v>9984</v>
      </c>
      <c r="C3037" s="140" t="s">
        <v>9985</v>
      </c>
      <c r="D3037" s="140" t="s">
        <v>6309</v>
      </c>
      <c r="E3037" s="140">
        <v>0.0</v>
      </c>
      <c r="F3037" s="140" t="s">
        <v>8995</v>
      </c>
      <c r="G3037" s="141" t="s">
        <v>6304</v>
      </c>
      <c r="H3037" s="140" t="s">
        <v>6312</v>
      </c>
      <c r="I3037" s="140" t="s">
        <v>6527</v>
      </c>
      <c r="J3037" s="140" t="s">
        <v>6314</v>
      </c>
      <c r="K3037" s="140" t="s">
        <v>8996</v>
      </c>
    </row>
    <row r="3038">
      <c r="A3038" s="140" t="s">
        <v>9966</v>
      </c>
      <c r="B3038" s="140">
        <v>2252006.0</v>
      </c>
      <c r="C3038" s="140" t="s">
        <v>9986</v>
      </c>
      <c r="D3038" s="140" t="s">
        <v>6309</v>
      </c>
      <c r="E3038" s="140">
        <v>0.0</v>
      </c>
      <c r="F3038" s="140" t="s">
        <v>8995</v>
      </c>
      <c r="G3038" s="141" t="s">
        <v>6401</v>
      </c>
      <c r="H3038" s="140" t="s">
        <v>6312</v>
      </c>
      <c r="I3038" s="140" t="s">
        <v>6313</v>
      </c>
      <c r="J3038" s="140" t="s">
        <v>6314</v>
      </c>
      <c r="K3038" s="140" t="s">
        <v>8996</v>
      </c>
    </row>
    <row r="3039">
      <c r="A3039" s="140" t="s">
        <v>9966</v>
      </c>
      <c r="B3039" s="140">
        <v>2252004.0</v>
      </c>
      <c r="C3039" s="140" t="s">
        <v>9986</v>
      </c>
      <c r="D3039" s="140" t="s">
        <v>6309</v>
      </c>
      <c r="E3039" s="140">
        <v>0.0</v>
      </c>
      <c r="F3039" s="140" t="s">
        <v>8995</v>
      </c>
      <c r="G3039" s="141" t="s">
        <v>6401</v>
      </c>
      <c r="H3039" s="140" t="s">
        <v>6312</v>
      </c>
      <c r="I3039" s="140" t="s">
        <v>6313</v>
      </c>
      <c r="J3039" s="140" t="s">
        <v>6314</v>
      </c>
      <c r="K3039" s="140" t="s">
        <v>8996</v>
      </c>
    </row>
    <row r="3040">
      <c r="A3040" s="140" t="s">
        <v>9966</v>
      </c>
      <c r="B3040" s="140">
        <v>2253002.0</v>
      </c>
      <c r="C3040" s="140" t="s">
        <v>9987</v>
      </c>
      <c r="D3040" s="140" t="s">
        <v>6309</v>
      </c>
      <c r="E3040" s="140">
        <v>0.0</v>
      </c>
      <c r="F3040" s="140" t="s">
        <v>8995</v>
      </c>
      <c r="G3040" s="141" t="s">
        <v>6401</v>
      </c>
      <c r="H3040" s="140" t="s">
        <v>6312</v>
      </c>
      <c r="I3040" s="140" t="s">
        <v>6313</v>
      </c>
      <c r="J3040" s="140" t="s">
        <v>6314</v>
      </c>
      <c r="K3040" s="140" t="s">
        <v>8996</v>
      </c>
    </row>
    <row r="3041">
      <c r="A3041" s="140" t="s">
        <v>9966</v>
      </c>
      <c r="B3041" s="140">
        <v>2253003.0</v>
      </c>
      <c r="C3041" s="140" t="s">
        <v>9987</v>
      </c>
      <c r="D3041" s="140" t="s">
        <v>6309</v>
      </c>
      <c r="E3041" s="140">
        <v>0.0</v>
      </c>
      <c r="F3041" s="140" t="s">
        <v>8995</v>
      </c>
      <c r="G3041" s="141" t="s">
        <v>6401</v>
      </c>
      <c r="H3041" s="140" t="s">
        <v>6312</v>
      </c>
      <c r="I3041" s="140" t="s">
        <v>6313</v>
      </c>
      <c r="J3041" s="140" t="s">
        <v>6314</v>
      </c>
      <c r="K3041" s="140" t="s">
        <v>8996</v>
      </c>
    </row>
    <row r="3042">
      <c r="A3042" s="140" t="s">
        <v>9966</v>
      </c>
      <c r="B3042" s="140">
        <v>2254003.0</v>
      </c>
      <c r="C3042" s="140" t="s">
        <v>9988</v>
      </c>
      <c r="D3042" s="140" t="s">
        <v>6309</v>
      </c>
      <c r="E3042" s="140">
        <v>0.0</v>
      </c>
      <c r="F3042" s="140" t="s">
        <v>8995</v>
      </c>
      <c r="G3042" s="141" t="s">
        <v>6401</v>
      </c>
      <c r="H3042" s="140" t="s">
        <v>6312</v>
      </c>
      <c r="I3042" s="140" t="s">
        <v>6313</v>
      </c>
      <c r="J3042" s="140" t="s">
        <v>6314</v>
      </c>
      <c r="K3042" s="140" t="s">
        <v>8996</v>
      </c>
    </row>
    <row r="3043">
      <c r="A3043" s="140" t="s">
        <v>9966</v>
      </c>
      <c r="B3043" s="140">
        <v>2250002.0</v>
      </c>
      <c r="C3043" s="140" t="s">
        <v>9989</v>
      </c>
      <c r="D3043" s="140" t="s">
        <v>6309</v>
      </c>
      <c r="E3043" s="140">
        <v>0.0</v>
      </c>
      <c r="F3043" s="140" t="s">
        <v>8995</v>
      </c>
      <c r="G3043" s="141" t="s">
        <v>6401</v>
      </c>
      <c r="H3043" s="140" t="s">
        <v>6312</v>
      </c>
      <c r="I3043" s="140" t="s">
        <v>6313</v>
      </c>
      <c r="J3043" s="140" t="s">
        <v>6314</v>
      </c>
      <c r="K3043" s="140" t="s">
        <v>8996</v>
      </c>
    </row>
    <row r="3044">
      <c r="A3044" s="140" t="s">
        <v>9966</v>
      </c>
      <c r="B3044" s="140">
        <v>2250004.0</v>
      </c>
      <c r="C3044" s="140" t="s">
        <v>9989</v>
      </c>
      <c r="D3044" s="140" t="s">
        <v>6309</v>
      </c>
      <c r="E3044" s="140">
        <v>0.0</v>
      </c>
      <c r="F3044" s="140" t="s">
        <v>8995</v>
      </c>
      <c r="G3044" s="141" t="s">
        <v>6401</v>
      </c>
      <c r="H3044" s="140" t="s">
        <v>6312</v>
      </c>
      <c r="I3044" s="140" t="s">
        <v>6313</v>
      </c>
      <c r="J3044" s="140" t="s">
        <v>6314</v>
      </c>
      <c r="K3044" s="140" t="s">
        <v>8996</v>
      </c>
    </row>
    <row r="3045">
      <c r="A3045" s="140" t="s">
        <v>9966</v>
      </c>
      <c r="B3045" s="140">
        <v>2251003.0</v>
      </c>
      <c r="C3045" s="140" t="s">
        <v>9990</v>
      </c>
      <c r="D3045" s="140" t="s">
        <v>6309</v>
      </c>
      <c r="E3045" s="140">
        <v>0.0</v>
      </c>
      <c r="F3045" s="140" t="s">
        <v>8995</v>
      </c>
      <c r="G3045" s="141" t="s">
        <v>6401</v>
      </c>
      <c r="H3045" s="140" t="s">
        <v>6312</v>
      </c>
      <c r="I3045" s="140" t="s">
        <v>6313</v>
      </c>
      <c r="J3045" s="140" t="s">
        <v>6314</v>
      </c>
      <c r="K3045" s="140" t="s">
        <v>8996</v>
      </c>
    </row>
    <row r="3046">
      <c r="A3046" s="140" t="s">
        <v>9981</v>
      </c>
      <c r="B3046" s="140">
        <v>2281320.0</v>
      </c>
      <c r="C3046" s="140" t="s">
        <v>9991</v>
      </c>
      <c r="D3046" s="140" t="s">
        <v>7347</v>
      </c>
      <c r="E3046" s="140" t="s">
        <v>7770</v>
      </c>
      <c r="F3046" s="140" t="s">
        <v>9992</v>
      </c>
      <c r="G3046" s="141" t="s">
        <v>6401</v>
      </c>
      <c r="H3046" s="140" t="s">
        <v>6312</v>
      </c>
      <c r="I3046" s="140" t="s">
        <v>6313</v>
      </c>
      <c r="J3046" s="140" t="s">
        <v>6314</v>
      </c>
      <c r="K3046" s="140" t="s">
        <v>8996</v>
      </c>
    </row>
    <row r="3047">
      <c r="A3047" s="140" t="s">
        <v>9981</v>
      </c>
      <c r="B3047" s="140">
        <v>2281218.0</v>
      </c>
      <c r="C3047" s="140" t="s">
        <v>9993</v>
      </c>
      <c r="D3047" s="140" t="s">
        <v>7347</v>
      </c>
      <c r="E3047" s="140" t="s">
        <v>7770</v>
      </c>
      <c r="F3047" s="140" t="s">
        <v>9992</v>
      </c>
      <c r="G3047" s="141" t="s">
        <v>6401</v>
      </c>
      <c r="H3047" s="140" t="s">
        <v>6312</v>
      </c>
      <c r="I3047" s="140" t="s">
        <v>6313</v>
      </c>
      <c r="J3047" s="140" t="s">
        <v>6314</v>
      </c>
      <c r="K3047" s="140" t="s">
        <v>8996</v>
      </c>
    </row>
    <row r="3048">
      <c r="A3048" s="140" t="s">
        <v>9981</v>
      </c>
      <c r="B3048" s="140">
        <v>2282018.0</v>
      </c>
      <c r="C3048" s="140" t="s">
        <v>9994</v>
      </c>
      <c r="D3048" s="140" t="s">
        <v>7347</v>
      </c>
      <c r="E3048" s="140" t="s">
        <v>7770</v>
      </c>
      <c r="F3048" s="140" t="s">
        <v>9992</v>
      </c>
      <c r="G3048" s="141" t="s">
        <v>6401</v>
      </c>
      <c r="H3048" s="140" t="s">
        <v>6312</v>
      </c>
      <c r="I3048" s="140" t="s">
        <v>6313</v>
      </c>
      <c r="J3048" s="140" t="s">
        <v>6314</v>
      </c>
      <c r="K3048" s="140" t="s">
        <v>8996</v>
      </c>
    </row>
    <row r="3049">
      <c r="A3049" s="140" t="s">
        <v>9966</v>
      </c>
      <c r="B3049" s="140" t="s">
        <v>9995</v>
      </c>
      <c r="C3049" s="140" t="s">
        <v>9996</v>
      </c>
      <c r="D3049" s="140" t="s">
        <v>7347</v>
      </c>
      <c r="E3049" s="140" t="s">
        <v>9997</v>
      </c>
      <c r="F3049" s="140" t="s">
        <v>9998</v>
      </c>
      <c r="G3049" s="141" t="s">
        <v>6401</v>
      </c>
      <c r="H3049" s="140" t="s">
        <v>6312</v>
      </c>
      <c r="I3049" s="140" t="s">
        <v>6313</v>
      </c>
      <c r="J3049" s="140" t="s">
        <v>6314</v>
      </c>
      <c r="K3049" s="140" t="s">
        <v>8996</v>
      </c>
    </row>
    <row r="3050">
      <c r="A3050" s="140" t="s">
        <v>9966</v>
      </c>
      <c r="B3050" s="140" t="s">
        <v>9999</v>
      </c>
      <c r="C3050" s="140" t="s">
        <v>10000</v>
      </c>
      <c r="D3050" s="140" t="s">
        <v>7347</v>
      </c>
      <c r="E3050" s="140" t="s">
        <v>9997</v>
      </c>
      <c r="F3050" s="140" t="s">
        <v>9998</v>
      </c>
      <c r="G3050" s="141" t="s">
        <v>6401</v>
      </c>
      <c r="H3050" s="140" t="s">
        <v>6312</v>
      </c>
      <c r="I3050" s="140" t="s">
        <v>6313</v>
      </c>
      <c r="J3050" s="140" t="s">
        <v>6314</v>
      </c>
      <c r="K3050" s="140" t="s">
        <v>8996</v>
      </c>
    </row>
    <row r="3051">
      <c r="A3051" s="140" t="s">
        <v>9966</v>
      </c>
      <c r="B3051" s="140" t="s">
        <v>3570</v>
      </c>
      <c r="C3051" s="140" t="s">
        <v>10001</v>
      </c>
      <c r="D3051" s="140" t="s">
        <v>7347</v>
      </c>
      <c r="E3051" s="140" t="s">
        <v>9997</v>
      </c>
      <c r="F3051" s="140" t="s">
        <v>10002</v>
      </c>
      <c r="G3051" s="141" t="s">
        <v>6401</v>
      </c>
      <c r="H3051" s="140" t="s">
        <v>6312</v>
      </c>
      <c r="I3051" s="140" t="s">
        <v>6313</v>
      </c>
      <c r="J3051" s="140" t="s">
        <v>6314</v>
      </c>
      <c r="K3051" s="140" t="s">
        <v>8996</v>
      </c>
    </row>
    <row r="3052">
      <c r="A3052" s="140" t="s">
        <v>9966</v>
      </c>
      <c r="B3052" s="140" t="s">
        <v>10003</v>
      </c>
      <c r="C3052" s="140" t="s">
        <v>10004</v>
      </c>
      <c r="D3052" s="140" t="s">
        <v>7347</v>
      </c>
      <c r="E3052" s="140" t="s">
        <v>9997</v>
      </c>
      <c r="F3052" s="140" t="s">
        <v>10002</v>
      </c>
      <c r="G3052" s="141" t="s">
        <v>6401</v>
      </c>
      <c r="H3052" s="140" t="s">
        <v>6312</v>
      </c>
      <c r="I3052" s="140" t="s">
        <v>6313</v>
      </c>
      <c r="J3052" s="140" t="s">
        <v>6314</v>
      </c>
      <c r="K3052" s="140" t="s">
        <v>8996</v>
      </c>
    </row>
    <row r="3053">
      <c r="A3053" s="140" t="s">
        <v>9966</v>
      </c>
      <c r="B3053" s="140" t="s">
        <v>10005</v>
      </c>
      <c r="C3053" s="140" t="s">
        <v>10006</v>
      </c>
      <c r="D3053" s="140" t="s">
        <v>7347</v>
      </c>
      <c r="E3053" s="140" t="s">
        <v>9997</v>
      </c>
      <c r="F3053" s="140" t="s">
        <v>10002</v>
      </c>
      <c r="G3053" s="141" t="s">
        <v>6401</v>
      </c>
      <c r="H3053" s="140" t="s">
        <v>6312</v>
      </c>
      <c r="I3053" s="140" t="s">
        <v>6313</v>
      </c>
      <c r="J3053" s="140" t="s">
        <v>6314</v>
      </c>
      <c r="K3053" s="140" t="s">
        <v>8996</v>
      </c>
    </row>
    <row r="3054">
      <c r="A3054" s="140" t="s">
        <v>9966</v>
      </c>
      <c r="B3054" s="140" t="s">
        <v>10007</v>
      </c>
      <c r="C3054" s="140" t="s">
        <v>10008</v>
      </c>
      <c r="D3054" s="140" t="s">
        <v>7347</v>
      </c>
      <c r="E3054" s="140" t="s">
        <v>9997</v>
      </c>
      <c r="F3054" s="140" t="s">
        <v>10002</v>
      </c>
      <c r="G3054" s="141" t="s">
        <v>6401</v>
      </c>
      <c r="H3054" s="140" t="s">
        <v>6312</v>
      </c>
      <c r="I3054" s="140" t="s">
        <v>6313</v>
      </c>
      <c r="J3054" s="140" t="s">
        <v>6314</v>
      </c>
      <c r="K3054" s="140" t="s">
        <v>8996</v>
      </c>
    </row>
    <row r="3055">
      <c r="A3055" s="140" t="s">
        <v>9966</v>
      </c>
      <c r="B3055" s="140" t="s">
        <v>10009</v>
      </c>
      <c r="C3055" s="140" t="s">
        <v>10010</v>
      </c>
      <c r="D3055" s="140" t="s">
        <v>7347</v>
      </c>
      <c r="E3055" s="140" t="s">
        <v>9997</v>
      </c>
      <c r="F3055" s="140" t="s">
        <v>10002</v>
      </c>
      <c r="G3055" s="141" t="s">
        <v>6401</v>
      </c>
      <c r="H3055" s="140" t="s">
        <v>6312</v>
      </c>
      <c r="I3055" s="140" t="s">
        <v>6313</v>
      </c>
      <c r="J3055" s="140" t="s">
        <v>6314</v>
      </c>
      <c r="K3055" s="140" t="s">
        <v>8996</v>
      </c>
    </row>
    <row r="3056">
      <c r="A3056" s="140" t="s">
        <v>9966</v>
      </c>
      <c r="B3056" s="140" t="s">
        <v>10011</v>
      </c>
      <c r="C3056" s="140" t="s">
        <v>10012</v>
      </c>
      <c r="D3056" s="140" t="s">
        <v>7347</v>
      </c>
      <c r="E3056" s="140" t="s">
        <v>9997</v>
      </c>
      <c r="F3056" s="140" t="s">
        <v>10002</v>
      </c>
      <c r="G3056" s="141" t="s">
        <v>6401</v>
      </c>
      <c r="H3056" s="140" t="s">
        <v>6312</v>
      </c>
      <c r="I3056" s="140" t="s">
        <v>6313</v>
      </c>
      <c r="J3056" s="140" t="s">
        <v>6314</v>
      </c>
      <c r="K3056" s="140" t="s">
        <v>8996</v>
      </c>
    </row>
    <row r="3057">
      <c r="A3057" s="140" t="s">
        <v>9966</v>
      </c>
      <c r="B3057" s="140" t="s">
        <v>10013</v>
      </c>
      <c r="C3057" s="140" t="s">
        <v>10014</v>
      </c>
      <c r="D3057" s="140" t="s">
        <v>7347</v>
      </c>
      <c r="E3057" s="140" t="s">
        <v>9997</v>
      </c>
      <c r="F3057" s="140" t="s">
        <v>10002</v>
      </c>
      <c r="G3057" s="141" t="s">
        <v>6401</v>
      </c>
      <c r="H3057" s="140" t="s">
        <v>6312</v>
      </c>
      <c r="I3057" s="140" t="s">
        <v>6313</v>
      </c>
      <c r="J3057" s="140" t="s">
        <v>6314</v>
      </c>
      <c r="K3057" s="140" t="s">
        <v>8996</v>
      </c>
    </row>
    <row r="3058">
      <c r="A3058" s="140" t="s">
        <v>9966</v>
      </c>
      <c r="B3058" s="140" t="s">
        <v>10015</v>
      </c>
      <c r="C3058" s="140" t="s">
        <v>10016</v>
      </c>
      <c r="D3058" s="140" t="s">
        <v>7347</v>
      </c>
      <c r="E3058" s="140" t="s">
        <v>9997</v>
      </c>
      <c r="F3058" s="140" t="s">
        <v>10002</v>
      </c>
      <c r="G3058" s="141" t="s">
        <v>6401</v>
      </c>
      <c r="H3058" s="140" t="s">
        <v>6312</v>
      </c>
      <c r="I3058" s="140" t="s">
        <v>6313</v>
      </c>
      <c r="J3058" s="140" t="s">
        <v>6314</v>
      </c>
      <c r="K3058" s="140" t="s">
        <v>8996</v>
      </c>
    </row>
    <row r="3059">
      <c r="A3059" s="140" t="s">
        <v>9966</v>
      </c>
      <c r="B3059" s="140" t="s">
        <v>10017</v>
      </c>
      <c r="C3059" s="140" t="s">
        <v>10018</v>
      </c>
      <c r="D3059" s="140" t="s">
        <v>7347</v>
      </c>
      <c r="E3059" s="140" t="s">
        <v>9997</v>
      </c>
      <c r="F3059" s="140" t="s">
        <v>10002</v>
      </c>
      <c r="G3059" s="141" t="s">
        <v>6401</v>
      </c>
      <c r="H3059" s="140" t="s">
        <v>6312</v>
      </c>
      <c r="I3059" s="140" t="s">
        <v>6313</v>
      </c>
      <c r="J3059" s="140" t="s">
        <v>6314</v>
      </c>
      <c r="K3059" s="140" t="s">
        <v>8996</v>
      </c>
    </row>
    <row r="3060">
      <c r="A3060" s="140" t="s">
        <v>9966</v>
      </c>
      <c r="B3060" s="140" t="s">
        <v>10019</v>
      </c>
      <c r="C3060" s="140" t="s">
        <v>10020</v>
      </c>
      <c r="D3060" s="140" t="s">
        <v>7347</v>
      </c>
      <c r="E3060" s="140" t="s">
        <v>9997</v>
      </c>
      <c r="F3060" s="140" t="s">
        <v>10002</v>
      </c>
      <c r="G3060" s="141" t="s">
        <v>6401</v>
      </c>
      <c r="H3060" s="140" t="s">
        <v>6312</v>
      </c>
      <c r="I3060" s="140" t="s">
        <v>6313</v>
      </c>
      <c r="J3060" s="140" t="s">
        <v>6314</v>
      </c>
      <c r="K3060" s="140" t="s">
        <v>8996</v>
      </c>
    </row>
    <row r="3061">
      <c r="A3061" s="140" t="s">
        <v>9966</v>
      </c>
      <c r="B3061" s="140" t="s">
        <v>10021</v>
      </c>
      <c r="C3061" s="140" t="s">
        <v>10022</v>
      </c>
      <c r="D3061" s="140" t="s">
        <v>7347</v>
      </c>
      <c r="E3061" s="140" t="s">
        <v>9997</v>
      </c>
      <c r="F3061" s="140" t="s">
        <v>10002</v>
      </c>
      <c r="G3061" s="141" t="s">
        <v>6401</v>
      </c>
      <c r="H3061" s="140" t="s">
        <v>6312</v>
      </c>
      <c r="I3061" s="140" t="s">
        <v>6313</v>
      </c>
      <c r="J3061" s="140" t="s">
        <v>6314</v>
      </c>
      <c r="K3061" s="140" t="s">
        <v>8996</v>
      </c>
    </row>
    <row r="3062">
      <c r="A3062" s="140" t="s">
        <v>9966</v>
      </c>
      <c r="B3062" s="140" t="s">
        <v>10023</v>
      </c>
      <c r="C3062" s="140" t="s">
        <v>10024</v>
      </c>
      <c r="D3062" s="140" t="s">
        <v>7347</v>
      </c>
      <c r="E3062" s="140" t="s">
        <v>9997</v>
      </c>
      <c r="F3062" s="140" t="s">
        <v>10002</v>
      </c>
      <c r="G3062" s="141" t="s">
        <v>6401</v>
      </c>
      <c r="H3062" s="140" t="s">
        <v>6312</v>
      </c>
      <c r="I3062" s="140" t="s">
        <v>6313</v>
      </c>
      <c r="J3062" s="140" t="s">
        <v>6314</v>
      </c>
      <c r="K3062" s="140" t="s">
        <v>8996</v>
      </c>
    </row>
    <row r="3063">
      <c r="A3063" s="140" t="s">
        <v>9966</v>
      </c>
      <c r="B3063" s="140" t="s">
        <v>10025</v>
      </c>
      <c r="C3063" s="140" t="s">
        <v>10026</v>
      </c>
      <c r="D3063" s="140" t="s">
        <v>7347</v>
      </c>
      <c r="E3063" s="140" t="s">
        <v>9997</v>
      </c>
      <c r="F3063" s="140" t="s">
        <v>10002</v>
      </c>
      <c r="G3063" s="141" t="s">
        <v>6401</v>
      </c>
      <c r="H3063" s="140" t="s">
        <v>6312</v>
      </c>
      <c r="I3063" s="140" t="s">
        <v>6313</v>
      </c>
      <c r="J3063" s="140" t="s">
        <v>6314</v>
      </c>
      <c r="K3063" s="140" t="s">
        <v>8996</v>
      </c>
    </row>
    <row r="3064">
      <c r="A3064" s="140" t="s">
        <v>9966</v>
      </c>
      <c r="B3064" s="140" t="s">
        <v>10027</v>
      </c>
      <c r="C3064" s="140" t="s">
        <v>10028</v>
      </c>
      <c r="D3064" s="140" t="s">
        <v>7347</v>
      </c>
      <c r="E3064" s="140" t="s">
        <v>9997</v>
      </c>
      <c r="F3064" s="140" t="s">
        <v>10002</v>
      </c>
      <c r="G3064" s="141" t="s">
        <v>6401</v>
      </c>
      <c r="H3064" s="140" t="s">
        <v>6312</v>
      </c>
      <c r="I3064" s="140" t="s">
        <v>6313</v>
      </c>
      <c r="J3064" s="140" t="s">
        <v>6314</v>
      </c>
      <c r="K3064" s="140" t="s">
        <v>8996</v>
      </c>
    </row>
    <row r="3065">
      <c r="A3065" s="140" t="s">
        <v>9966</v>
      </c>
      <c r="B3065" s="140" t="s">
        <v>10029</v>
      </c>
      <c r="C3065" s="140" t="s">
        <v>10030</v>
      </c>
      <c r="D3065" s="140" t="s">
        <v>7347</v>
      </c>
      <c r="E3065" s="140" t="s">
        <v>9997</v>
      </c>
      <c r="F3065" s="140" t="s">
        <v>10002</v>
      </c>
      <c r="G3065" s="141" t="s">
        <v>6401</v>
      </c>
      <c r="H3065" s="140" t="s">
        <v>6312</v>
      </c>
      <c r="I3065" s="140" t="s">
        <v>6313</v>
      </c>
      <c r="J3065" s="140" t="s">
        <v>6314</v>
      </c>
      <c r="K3065" s="140" t="s">
        <v>8996</v>
      </c>
    </row>
    <row r="3066">
      <c r="A3066" s="140" t="s">
        <v>9966</v>
      </c>
      <c r="B3066" s="140" t="s">
        <v>10031</v>
      </c>
      <c r="C3066" s="140" t="s">
        <v>10032</v>
      </c>
      <c r="D3066" s="140" t="s">
        <v>7347</v>
      </c>
      <c r="E3066" s="140" t="s">
        <v>9997</v>
      </c>
      <c r="F3066" s="140" t="s">
        <v>10002</v>
      </c>
      <c r="G3066" s="141" t="s">
        <v>6401</v>
      </c>
      <c r="H3066" s="140" t="s">
        <v>6312</v>
      </c>
      <c r="I3066" s="140" t="s">
        <v>6313</v>
      </c>
      <c r="J3066" s="140" t="s">
        <v>6314</v>
      </c>
      <c r="K3066" s="140" t="s">
        <v>8996</v>
      </c>
    </row>
    <row r="3067">
      <c r="A3067" s="140" t="s">
        <v>9966</v>
      </c>
      <c r="B3067" s="140" t="s">
        <v>10033</v>
      </c>
      <c r="C3067" s="140" t="s">
        <v>10034</v>
      </c>
      <c r="D3067" s="140" t="s">
        <v>7347</v>
      </c>
      <c r="E3067" s="140" t="s">
        <v>9997</v>
      </c>
      <c r="F3067" s="140" t="s">
        <v>10002</v>
      </c>
      <c r="G3067" s="141" t="s">
        <v>6401</v>
      </c>
      <c r="H3067" s="140" t="s">
        <v>6312</v>
      </c>
      <c r="I3067" s="140" t="s">
        <v>6313</v>
      </c>
      <c r="J3067" s="140" t="s">
        <v>6314</v>
      </c>
      <c r="K3067" s="140" t="s">
        <v>8996</v>
      </c>
    </row>
    <row r="3068">
      <c r="A3068" s="140" t="s">
        <v>9981</v>
      </c>
      <c r="B3068" s="140" t="s">
        <v>10035</v>
      </c>
      <c r="C3068" s="140" t="s">
        <v>10036</v>
      </c>
      <c r="D3068" s="140" t="s">
        <v>7347</v>
      </c>
      <c r="E3068" s="140" t="s">
        <v>9997</v>
      </c>
      <c r="F3068" s="140" t="s">
        <v>10037</v>
      </c>
      <c r="G3068" s="141" t="s">
        <v>6401</v>
      </c>
      <c r="H3068" s="140" t="s">
        <v>6312</v>
      </c>
      <c r="I3068" s="140" t="s">
        <v>6313</v>
      </c>
      <c r="J3068" s="140" t="s">
        <v>6314</v>
      </c>
      <c r="K3068" s="140" t="s">
        <v>8996</v>
      </c>
    </row>
    <row r="3069">
      <c r="A3069" s="140" t="s">
        <v>9981</v>
      </c>
      <c r="B3069" s="140" t="s">
        <v>10038</v>
      </c>
      <c r="C3069" s="140" t="s">
        <v>10039</v>
      </c>
      <c r="D3069" s="140" t="s">
        <v>7347</v>
      </c>
      <c r="E3069" s="140" t="s">
        <v>9997</v>
      </c>
      <c r="F3069" s="140" t="s">
        <v>10037</v>
      </c>
      <c r="G3069" s="141" t="s">
        <v>6401</v>
      </c>
      <c r="H3069" s="140" t="s">
        <v>6312</v>
      </c>
      <c r="I3069" s="140" t="s">
        <v>6313</v>
      </c>
      <c r="J3069" s="140" t="s">
        <v>6314</v>
      </c>
      <c r="K3069" s="140" t="s">
        <v>8996</v>
      </c>
    </row>
    <row r="3070">
      <c r="A3070" s="140" t="s">
        <v>9981</v>
      </c>
      <c r="B3070" s="140" t="s">
        <v>10040</v>
      </c>
      <c r="C3070" s="140" t="s">
        <v>10041</v>
      </c>
      <c r="D3070" s="140" t="s">
        <v>7347</v>
      </c>
      <c r="E3070" s="140" t="s">
        <v>9997</v>
      </c>
      <c r="F3070" s="140" t="s">
        <v>10037</v>
      </c>
      <c r="G3070" s="141" t="s">
        <v>6401</v>
      </c>
      <c r="H3070" s="140" t="s">
        <v>6312</v>
      </c>
      <c r="I3070" s="140" t="s">
        <v>6313</v>
      </c>
      <c r="J3070" s="140" t="s">
        <v>6314</v>
      </c>
      <c r="K3070" s="140" t="s">
        <v>8996</v>
      </c>
    </row>
    <row r="3071">
      <c r="A3071" s="140" t="s">
        <v>9966</v>
      </c>
      <c r="B3071" s="140" t="s">
        <v>10042</v>
      </c>
      <c r="C3071" s="140" t="s">
        <v>10043</v>
      </c>
      <c r="D3071" s="140" t="s">
        <v>7347</v>
      </c>
      <c r="E3071" s="140" t="s">
        <v>9997</v>
      </c>
      <c r="F3071" s="140" t="s">
        <v>10037</v>
      </c>
      <c r="G3071" s="141" t="s">
        <v>6401</v>
      </c>
      <c r="H3071" s="140" t="s">
        <v>6312</v>
      </c>
      <c r="I3071" s="140" t="s">
        <v>6313</v>
      </c>
      <c r="J3071" s="140" t="s">
        <v>6314</v>
      </c>
      <c r="K3071" s="140" t="s">
        <v>8996</v>
      </c>
    </row>
    <row r="3072">
      <c r="A3072" s="140" t="s">
        <v>9981</v>
      </c>
      <c r="B3072" s="140" t="s">
        <v>10044</v>
      </c>
      <c r="C3072" s="140" t="s">
        <v>10045</v>
      </c>
      <c r="D3072" s="140" t="s">
        <v>7347</v>
      </c>
      <c r="E3072" s="140" t="s">
        <v>9997</v>
      </c>
      <c r="F3072" s="140" t="s">
        <v>10037</v>
      </c>
      <c r="G3072" s="141" t="s">
        <v>6401</v>
      </c>
      <c r="H3072" s="140" t="s">
        <v>6312</v>
      </c>
      <c r="I3072" s="140" t="s">
        <v>6313</v>
      </c>
      <c r="J3072" s="140" t="s">
        <v>6314</v>
      </c>
      <c r="K3072" s="140" t="s">
        <v>8996</v>
      </c>
    </row>
    <row r="3073">
      <c r="A3073" s="140" t="s">
        <v>9981</v>
      </c>
      <c r="B3073" s="140" t="s">
        <v>10046</v>
      </c>
      <c r="C3073" s="140" t="s">
        <v>10045</v>
      </c>
      <c r="D3073" s="140" t="s">
        <v>7347</v>
      </c>
      <c r="E3073" s="140" t="s">
        <v>9997</v>
      </c>
      <c r="F3073" s="140" t="s">
        <v>10037</v>
      </c>
      <c r="G3073" s="141" t="s">
        <v>6401</v>
      </c>
      <c r="H3073" s="140" t="s">
        <v>6312</v>
      </c>
      <c r="I3073" s="140" t="s">
        <v>6313</v>
      </c>
      <c r="J3073" s="140" t="s">
        <v>6314</v>
      </c>
      <c r="K3073" s="140" t="s">
        <v>8996</v>
      </c>
    </row>
    <row r="3074">
      <c r="A3074" s="140" t="s">
        <v>9981</v>
      </c>
      <c r="B3074" s="140" t="s">
        <v>10047</v>
      </c>
      <c r="C3074" s="140" t="s">
        <v>10045</v>
      </c>
      <c r="D3074" s="140" t="s">
        <v>7347</v>
      </c>
      <c r="E3074" s="140" t="s">
        <v>9997</v>
      </c>
      <c r="F3074" s="140" t="s">
        <v>10037</v>
      </c>
      <c r="G3074" s="141" t="s">
        <v>6401</v>
      </c>
      <c r="H3074" s="140" t="s">
        <v>6312</v>
      </c>
      <c r="I3074" s="140" t="s">
        <v>6313</v>
      </c>
      <c r="J3074" s="140" t="s">
        <v>6314</v>
      </c>
      <c r="K3074" s="140" t="s">
        <v>8996</v>
      </c>
    </row>
    <row r="3075">
      <c r="A3075" s="140" t="s">
        <v>9981</v>
      </c>
      <c r="B3075" s="140" t="s">
        <v>10048</v>
      </c>
      <c r="C3075" s="140" t="s">
        <v>10045</v>
      </c>
      <c r="D3075" s="140" t="s">
        <v>7347</v>
      </c>
      <c r="E3075" s="140" t="s">
        <v>9997</v>
      </c>
      <c r="F3075" s="140" t="s">
        <v>10037</v>
      </c>
      <c r="G3075" s="141" t="s">
        <v>6401</v>
      </c>
      <c r="H3075" s="140" t="s">
        <v>6312</v>
      </c>
      <c r="I3075" s="140" t="s">
        <v>6313</v>
      </c>
      <c r="J3075" s="140" t="s">
        <v>6314</v>
      </c>
      <c r="K3075" s="140" t="s">
        <v>8996</v>
      </c>
    </row>
    <row r="3076">
      <c r="A3076" s="140" t="s">
        <v>9966</v>
      </c>
      <c r="B3076" s="140">
        <v>1.671477442E9</v>
      </c>
      <c r="C3076" s="140" t="s">
        <v>10049</v>
      </c>
      <c r="D3076" s="140" t="s">
        <v>7347</v>
      </c>
      <c r="E3076" s="140" t="s">
        <v>9997</v>
      </c>
      <c r="F3076" s="140" t="s">
        <v>10037</v>
      </c>
      <c r="G3076" s="141" t="s">
        <v>6401</v>
      </c>
      <c r="H3076" s="147" t="s">
        <v>6312</v>
      </c>
      <c r="I3076" s="140" t="s">
        <v>6313</v>
      </c>
      <c r="J3076" s="140" t="s">
        <v>6314</v>
      </c>
      <c r="K3076" s="140" t="s">
        <v>8996</v>
      </c>
    </row>
    <row r="3077">
      <c r="A3077" s="140" t="s">
        <v>9966</v>
      </c>
      <c r="B3077" s="140" t="s">
        <v>2897</v>
      </c>
      <c r="C3077" s="140" t="s">
        <v>10049</v>
      </c>
      <c r="D3077" s="140" t="s">
        <v>7347</v>
      </c>
      <c r="E3077" s="140" t="s">
        <v>9997</v>
      </c>
      <c r="F3077" s="140" t="s">
        <v>10037</v>
      </c>
      <c r="G3077" s="141" t="s">
        <v>6401</v>
      </c>
      <c r="H3077" s="140" t="s">
        <v>6312</v>
      </c>
      <c r="I3077" s="140" t="s">
        <v>6313</v>
      </c>
      <c r="J3077" s="140" t="s">
        <v>6314</v>
      </c>
      <c r="K3077" s="140" t="s">
        <v>8996</v>
      </c>
    </row>
    <row r="3078">
      <c r="A3078" s="140" t="s">
        <v>9966</v>
      </c>
      <c r="B3078" s="140" t="s">
        <v>10050</v>
      </c>
      <c r="C3078" s="140" t="s">
        <v>10051</v>
      </c>
      <c r="D3078" s="140" t="s">
        <v>7347</v>
      </c>
      <c r="E3078" s="140" t="s">
        <v>9997</v>
      </c>
      <c r="F3078" s="140" t="s">
        <v>10037</v>
      </c>
      <c r="G3078" s="141" t="s">
        <v>6401</v>
      </c>
      <c r="H3078" s="147" t="s">
        <v>6312</v>
      </c>
      <c r="I3078" s="140" t="s">
        <v>6313</v>
      </c>
      <c r="J3078" s="140" t="s">
        <v>6314</v>
      </c>
      <c r="K3078" s="140" t="s">
        <v>8996</v>
      </c>
    </row>
    <row r="3079">
      <c r="A3079" s="140" t="s">
        <v>9966</v>
      </c>
      <c r="B3079" s="140" t="s">
        <v>3332</v>
      </c>
      <c r="C3079" s="140" t="s">
        <v>10052</v>
      </c>
      <c r="D3079" s="140" t="s">
        <v>7347</v>
      </c>
      <c r="E3079" s="140" t="s">
        <v>9997</v>
      </c>
      <c r="F3079" s="140" t="s">
        <v>10037</v>
      </c>
      <c r="G3079" s="141" t="s">
        <v>6664</v>
      </c>
      <c r="H3079" s="140" t="s">
        <v>6312</v>
      </c>
      <c r="I3079" s="140" t="s">
        <v>6313</v>
      </c>
      <c r="J3079" s="140" t="s">
        <v>6314</v>
      </c>
      <c r="K3079" s="140" t="s">
        <v>8996</v>
      </c>
    </row>
    <row r="3080">
      <c r="A3080" s="140" t="s">
        <v>9981</v>
      </c>
      <c r="B3080" s="140" t="s">
        <v>10053</v>
      </c>
      <c r="C3080" s="140" t="s">
        <v>10054</v>
      </c>
      <c r="D3080" s="140" t="s">
        <v>7347</v>
      </c>
      <c r="E3080" s="140" t="s">
        <v>9997</v>
      </c>
      <c r="F3080" s="140" t="s">
        <v>10037</v>
      </c>
      <c r="G3080" s="141" t="s">
        <v>6401</v>
      </c>
      <c r="H3080" s="140" t="s">
        <v>6312</v>
      </c>
      <c r="I3080" s="140" t="s">
        <v>6313</v>
      </c>
      <c r="J3080" s="140" t="s">
        <v>6314</v>
      </c>
      <c r="K3080" s="140" t="s">
        <v>8996</v>
      </c>
    </row>
    <row r="3081">
      <c r="A3081" s="140" t="s">
        <v>9966</v>
      </c>
      <c r="B3081" s="140" t="s">
        <v>3568</v>
      </c>
      <c r="C3081" s="140" t="s">
        <v>10055</v>
      </c>
      <c r="D3081" s="140" t="s">
        <v>7347</v>
      </c>
      <c r="E3081" s="140" t="s">
        <v>9997</v>
      </c>
      <c r="F3081" s="140" t="s">
        <v>10037</v>
      </c>
      <c r="G3081" s="141" t="s">
        <v>6401</v>
      </c>
      <c r="H3081" s="140" t="s">
        <v>6312</v>
      </c>
      <c r="I3081" s="140" t="s">
        <v>6313</v>
      </c>
      <c r="J3081" s="140" t="s">
        <v>6314</v>
      </c>
      <c r="K3081" s="140" t="s">
        <v>8996</v>
      </c>
    </row>
    <row r="3082">
      <c r="A3082" s="140" t="s">
        <v>9966</v>
      </c>
      <c r="B3082" s="140" t="s">
        <v>10056</v>
      </c>
      <c r="C3082" s="140" t="s">
        <v>10057</v>
      </c>
      <c r="D3082" s="140" t="s">
        <v>7347</v>
      </c>
      <c r="E3082" s="140" t="s">
        <v>9997</v>
      </c>
      <c r="F3082" s="140" t="s">
        <v>10037</v>
      </c>
      <c r="G3082" s="141" t="s">
        <v>6401</v>
      </c>
      <c r="H3082" s="140" t="s">
        <v>6312</v>
      </c>
      <c r="I3082" s="140" t="s">
        <v>6313</v>
      </c>
      <c r="J3082" s="140" t="s">
        <v>6314</v>
      </c>
      <c r="K3082" s="140" t="s">
        <v>8996</v>
      </c>
    </row>
    <row r="3083">
      <c r="A3083" s="140" t="s">
        <v>9966</v>
      </c>
      <c r="B3083" s="140" t="s">
        <v>10058</v>
      </c>
      <c r="C3083" s="140" t="s">
        <v>10059</v>
      </c>
      <c r="D3083" s="140" t="s">
        <v>7347</v>
      </c>
      <c r="E3083" s="140" t="s">
        <v>9997</v>
      </c>
      <c r="F3083" s="140" t="s">
        <v>10037</v>
      </c>
      <c r="G3083" s="141" t="s">
        <v>6401</v>
      </c>
      <c r="H3083" s="140" t="s">
        <v>6312</v>
      </c>
      <c r="I3083" s="140" t="s">
        <v>6313</v>
      </c>
      <c r="J3083" s="140" t="s">
        <v>6314</v>
      </c>
      <c r="K3083" s="140" t="s">
        <v>8996</v>
      </c>
    </row>
    <row r="3084">
      <c r="A3084" s="140" t="s">
        <v>9966</v>
      </c>
      <c r="B3084" s="140">
        <v>2211102.0</v>
      </c>
      <c r="C3084" s="140" t="s">
        <v>10060</v>
      </c>
      <c r="D3084" s="140" t="s">
        <v>7347</v>
      </c>
      <c r="E3084" s="140" t="s">
        <v>9997</v>
      </c>
      <c r="F3084" s="140" t="s">
        <v>10037</v>
      </c>
      <c r="G3084" s="141" t="s">
        <v>6401</v>
      </c>
      <c r="H3084" s="140" t="s">
        <v>6312</v>
      </c>
      <c r="I3084" s="140" t="s">
        <v>6313</v>
      </c>
      <c r="J3084" s="140" t="s">
        <v>6314</v>
      </c>
      <c r="K3084" s="140" t="s">
        <v>8996</v>
      </c>
    </row>
    <row r="3085">
      <c r="A3085" s="140" t="s">
        <v>9966</v>
      </c>
      <c r="B3085" s="140" t="s">
        <v>3564</v>
      </c>
      <c r="C3085" s="140" t="s">
        <v>10061</v>
      </c>
      <c r="D3085" s="140" t="s">
        <v>7347</v>
      </c>
      <c r="E3085" s="140" t="s">
        <v>9997</v>
      </c>
      <c r="F3085" s="140" t="s">
        <v>10037</v>
      </c>
      <c r="G3085" s="141" t="s">
        <v>6401</v>
      </c>
      <c r="H3085" s="140" t="s">
        <v>6312</v>
      </c>
      <c r="I3085" s="140" t="s">
        <v>6313</v>
      </c>
      <c r="J3085" s="140" t="s">
        <v>6314</v>
      </c>
      <c r="K3085" s="140" t="s">
        <v>8996</v>
      </c>
    </row>
    <row r="3086">
      <c r="A3086" s="140" t="s">
        <v>9966</v>
      </c>
      <c r="B3086" s="140" t="s">
        <v>10062</v>
      </c>
      <c r="C3086" s="140" t="s">
        <v>10063</v>
      </c>
      <c r="D3086" s="140" t="s">
        <v>7347</v>
      </c>
      <c r="E3086" s="140" t="s">
        <v>9997</v>
      </c>
      <c r="F3086" s="140" t="s">
        <v>10037</v>
      </c>
      <c r="G3086" s="141" t="s">
        <v>6401</v>
      </c>
      <c r="H3086" s="140" t="s">
        <v>6312</v>
      </c>
      <c r="I3086" s="140" t="s">
        <v>6313</v>
      </c>
      <c r="J3086" s="140" t="s">
        <v>6314</v>
      </c>
      <c r="K3086" s="140" t="s">
        <v>8996</v>
      </c>
    </row>
    <row r="3087">
      <c r="A3087" s="140" t="s">
        <v>9966</v>
      </c>
      <c r="B3087" s="140" t="s">
        <v>10064</v>
      </c>
      <c r="C3087" s="140" t="s">
        <v>10063</v>
      </c>
      <c r="D3087" s="140" t="s">
        <v>7347</v>
      </c>
      <c r="E3087" s="140" t="s">
        <v>9997</v>
      </c>
      <c r="F3087" s="140" t="s">
        <v>10037</v>
      </c>
      <c r="G3087" s="141" t="s">
        <v>6401</v>
      </c>
      <c r="H3087" s="140" t="s">
        <v>6312</v>
      </c>
      <c r="I3087" s="140" t="s">
        <v>6313</v>
      </c>
      <c r="J3087" s="140" t="s">
        <v>6314</v>
      </c>
      <c r="K3087" s="140" t="s">
        <v>8996</v>
      </c>
    </row>
    <row r="3088">
      <c r="A3088" s="140" t="s">
        <v>9966</v>
      </c>
      <c r="B3088" s="140" t="s">
        <v>3135</v>
      </c>
      <c r="C3088" s="140" t="s">
        <v>10065</v>
      </c>
      <c r="D3088" s="140" t="s">
        <v>7347</v>
      </c>
      <c r="E3088" s="140" t="s">
        <v>9997</v>
      </c>
      <c r="F3088" s="140" t="s">
        <v>10037</v>
      </c>
      <c r="G3088" s="141" t="s">
        <v>6664</v>
      </c>
      <c r="H3088" s="140" t="s">
        <v>6330</v>
      </c>
      <c r="I3088" s="140" t="s">
        <v>6313</v>
      </c>
      <c r="J3088" s="140" t="s">
        <v>6314</v>
      </c>
      <c r="K3088" s="140" t="s">
        <v>8996</v>
      </c>
    </row>
    <row r="3089">
      <c r="A3089" s="140" t="s">
        <v>9966</v>
      </c>
      <c r="B3089" s="140" t="s">
        <v>10066</v>
      </c>
      <c r="C3089" s="140" t="s">
        <v>10067</v>
      </c>
      <c r="D3089" s="140" t="s">
        <v>7347</v>
      </c>
      <c r="E3089" s="140" t="s">
        <v>9997</v>
      </c>
      <c r="F3089" s="140" t="s">
        <v>10037</v>
      </c>
      <c r="G3089" s="141" t="s">
        <v>6401</v>
      </c>
      <c r="H3089" s="140" t="s">
        <v>6312</v>
      </c>
      <c r="I3089" s="140" t="s">
        <v>6313</v>
      </c>
      <c r="J3089" s="140" t="s">
        <v>6314</v>
      </c>
      <c r="K3089" s="140" t="s">
        <v>8996</v>
      </c>
    </row>
    <row r="3090">
      <c r="A3090" s="140" t="s">
        <v>9966</v>
      </c>
      <c r="B3090" s="140" t="s">
        <v>10068</v>
      </c>
      <c r="C3090" s="140" t="s">
        <v>10069</v>
      </c>
      <c r="D3090" s="140" t="s">
        <v>7347</v>
      </c>
      <c r="E3090" s="140" t="s">
        <v>9997</v>
      </c>
      <c r="F3090" s="140" t="s">
        <v>10037</v>
      </c>
      <c r="G3090" s="141" t="s">
        <v>6401</v>
      </c>
      <c r="H3090" s="140" t="s">
        <v>6312</v>
      </c>
      <c r="I3090" s="140" t="s">
        <v>6313</v>
      </c>
      <c r="J3090" s="140" t="s">
        <v>6314</v>
      </c>
      <c r="K3090" s="140" t="s">
        <v>8996</v>
      </c>
    </row>
    <row r="3091">
      <c r="A3091" s="140" t="s">
        <v>9966</v>
      </c>
      <c r="B3091" s="140" t="s">
        <v>10070</v>
      </c>
      <c r="C3091" s="140" t="s">
        <v>10071</v>
      </c>
      <c r="D3091" s="140" t="s">
        <v>7347</v>
      </c>
      <c r="E3091" s="140" t="s">
        <v>9997</v>
      </c>
      <c r="F3091" s="140" t="s">
        <v>10037</v>
      </c>
      <c r="G3091" s="141" t="s">
        <v>6401</v>
      </c>
      <c r="H3091" s="140" t="s">
        <v>6312</v>
      </c>
      <c r="I3091" s="140" t="s">
        <v>6313</v>
      </c>
      <c r="J3091" s="140" t="s">
        <v>6314</v>
      </c>
      <c r="K3091" s="140" t="s">
        <v>8996</v>
      </c>
    </row>
    <row r="3092">
      <c r="A3092" s="140" t="s">
        <v>9966</v>
      </c>
      <c r="B3092" s="140" t="s">
        <v>10072</v>
      </c>
      <c r="C3092" s="140" t="s">
        <v>10073</v>
      </c>
      <c r="D3092" s="140" t="s">
        <v>7347</v>
      </c>
      <c r="E3092" s="140" t="s">
        <v>9997</v>
      </c>
      <c r="F3092" s="140" t="s">
        <v>10037</v>
      </c>
      <c r="G3092" s="141" t="s">
        <v>6401</v>
      </c>
      <c r="H3092" s="140" t="s">
        <v>6312</v>
      </c>
      <c r="I3092" s="140" t="s">
        <v>6313</v>
      </c>
      <c r="J3092" s="140" t="s">
        <v>6314</v>
      </c>
      <c r="K3092" s="140" t="s">
        <v>8996</v>
      </c>
    </row>
    <row r="3093">
      <c r="A3093" s="140" t="s">
        <v>9966</v>
      </c>
      <c r="B3093" s="140" t="s">
        <v>10074</v>
      </c>
      <c r="C3093" s="140" t="s">
        <v>10075</v>
      </c>
      <c r="D3093" s="140" t="s">
        <v>7347</v>
      </c>
      <c r="E3093" s="140" t="s">
        <v>9997</v>
      </c>
      <c r="F3093" s="140" t="s">
        <v>10037</v>
      </c>
      <c r="G3093" s="141" t="s">
        <v>6401</v>
      </c>
      <c r="H3093" s="140" t="s">
        <v>6312</v>
      </c>
      <c r="I3093" s="140" t="s">
        <v>6313</v>
      </c>
      <c r="J3093" s="140" t="s">
        <v>6314</v>
      </c>
      <c r="K3093" s="140" t="s">
        <v>8996</v>
      </c>
    </row>
    <row r="3094">
      <c r="A3094" s="140" t="s">
        <v>9966</v>
      </c>
      <c r="B3094" s="140" t="s">
        <v>10076</v>
      </c>
      <c r="C3094" s="140" t="s">
        <v>10077</v>
      </c>
      <c r="D3094" s="140" t="s">
        <v>7347</v>
      </c>
      <c r="E3094" s="140" t="s">
        <v>9997</v>
      </c>
      <c r="F3094" s="140" t="s">
        <v>10037</v>
      </c>
      <c r="G3094" s="141" t="s">
        <v>6401</v>
      </c>
      <c r="H3094" s="140" t="s">
        <v>6312</v>
      </c>
      <c r="I3094" s="140" t="s">
        <v>6313</v>
      </c>
      <c r="J3094" s="140" t="s">
        <v>6314</v>
      </c>
      <c r="K3094" s="140" t="s">
        <v>8996</v>
      </c>
    </row>
    <row r="3095">
      <c r="A3095" s="140" t="s">
        <v>9966</v>
      </c>
      <c r="B3095" s="140">
        <v>2210302.0</v>
      </c>
      <c r="C3095" s="140" t="s">
        <v>10078</v>
      </c>
      <c r="D3095" s="140" t="s">
        <v>7347</v>
      </c>
      <c r="E3095" s="140" t="s">
        <v>9997</v>
      </c>
      <c r="F3095" s="140" t="s">
        <v>10037</v>
      </c>
      <c r="G3095" s="141" t="s">
        <v>6401</v>
      </c>
      <c r="H3095" s="140" t="s">
        <v>6312</v>
      </c>
      <c r="I3095" s="140" t="s">
        <v>6313</v>
      </c>
      <c r="J3095" s="140" t="s">
        <v>6314</v>
      </c>
      <c r="K3095" s="140" t="s">
        <v>8996</v>
      </c>
    </row>
    <row r="3096">
      <c r="A3096" s="140" t="s">
        <v>9966</v>
      </c>
      <c r="B3096" s="140">
        <v>2210301.0</v>
      </c>
      <c r="C3096" s="140" t="s">
        <v>10079</v>
      </c>
      <c r="D3096" s="140" t="s">
        <v>7347</v>
      </c>
      <c r="E3096" s="140" t="s">
        <v>9997</v>
      </c>
      <c r="F3096" s="140" t="s">
        <v>10037</v>
      </c>
      <c r="G3096" s="141" t="s">
        <v>6401</v>
      </c>
      <c r="H3096" s="140" t="s">
        <v>6312</v>
      </c>
      <c r="I3096" s="140" t="s">
        <v>6313</v>
      </c>
      <c r="J3096" s="140" t="s">
        <v>6314</v>
      </c>
      <c r="K3096" s="140" t="s">
        <v>8996</v>
      </c>
    </row>
    <row r="3097">
      <c r="A3097" s="140" t="s">
        <v>9966</v>
      </c>
      <c r="B3097" s="140" t="s">
        <v>10080</v>
      </c>
      <c r="C3097" s="140" t="s">
        <v>10081</v>
      </c>
      <c r="D3097" s="140" t="s">
        <v>7347</v>
      </c>
      <c r="E3097" s="140" t="s">
        <v>9997</v>
      </c>
      <c r="F3097" s="140" t="s">
        <v>10037</v>
      </c>
      <c r="G3097" s="141" t="s">
        <v>6401</v>
      </c>
      <c r="H3097" s="140" t="s">
        <v>6312</v>
      </c>
      <c r="I3097" s="140" t="s">
        <v>6313</v>
      </c>
      <c r="J3097" s="140" t="s">
        <v>6314</v>
      </c>
      <c r="K3097" s="140" t="s">
        <v>8996</v>
      </c>
    </row>
    <row r="3098">
      <c r="A3098" s="140" t="s">
        <v>9966</v>
      </c>
      <c r="B3098" s="140" t="s">
        <v>10082</v>
      </c>
      <c r="C3098" s="140" t="s">
        <v>10083</v>
      </c>
      <c r="D3098" s="140" t="s">
        <v>7347</v>
      </c>
      <c r="E3098" s="140" t="s">
        <v>9997</v>
      </c>
      <c r="F3098" s="140" t="s">
        <v>10037</v>
      </c>
      <c r="G3098" s="141" t="s">
        <v>6401</v>
      </c>
      <c r="H3098" s="140" t="s">
        <v>6312</v>
      </c>
      <c r="I3098" s="140" t="s">
        <v>6313</v>
      </c>
      <c r="J3098" s="140" t="s">
        <v>6314</v>
      </c>
      <c r="K3098" s="140" t="s">
        <v>8996</v>
      </c>
    </row>
    <row r="3099">
      <c r="A3099" s="140" t="s">
        <v>9966</v>
      </c>
      <c r="B3099" s="140" t="s">
        <v>10084</v>
      </c>
      <c r="C3099" s="140" t="s">
        <v>10085</v>
      </c>
      <c r="D3099" s="140" t="s">
        <v>7347</v>
      </c>
      <c r="E3099" s="140" t="s">
        <v>9997</v>
      </c>
      <c r="F3099" s="140" t="s">
        <v>10037</v>
      </c>
      <c r="G3099" s="141" t="s">
        <v>6401</v>
      </c>
      <c r="H3099" s="140" t="s">
        <v>6312</v>
      </c>
      <c r="I3099" s="140" t="s">
        <v>6313</v>
      </c>
      <c r="J3099" s="140" t="s">
        <v>6314</v>
      </c>
      <c r="K3099" s="140" t="s">
        <v>8996</v>
      </c>
    </row>
    <row r="3100">
      <c r="A3100" s="140" t="s">
        <v>9966</v>
      </c>
      <c r="B3100" s="140" t="s">
        <v>10086</v>
      </c>
      <c r="C3100" s="140" t="s">
        <v>10087</v>
      </c>
      <c r="D3100" s="140" t="s">
        <v>7347</v>
      </c>
      <c r="E3100" s="140" t="s">
        <v>9997</v>
      </c>
      <c r="F3100" s="140" t="s">
        <v>10037</v>
      </c>
      <c r="G3100" s="141" t="s">
        <v>6401</v>
      </c>
      <c r="H3100" s="140" t="s">
        <v>6312</v>
      </c>
      <c r="I3100" s="140" t="s">
        <v>6313</v>
      </c>
      <c r="J3100" s="140" t="s">
        <v>6314</v>
      </c>
      <c r="K3100" s="140" t="s">
        <v>8996</v>
      </c>
    </row>
    <row r="3101">
      <c r="A3101" s="140" t="s">
        <v>9966</v>
      </c>
      <c r="B3101" s="140" t="s">
        <v>10088</v>
      </c>
      <c r="C3101" s="140" t="s">
        <v>10089</v>
      </c>
      <c r="D3101" s="140" t="s">
        <v>7347</v>
      </c>
      <c r="E3101" s="140" t="s">
        <v>9997</v>
      </c>
      <c r="F3101" s="140" t="s">
        <v>10037</v>
      </c>
      <c r="G3101" s="141" t="s">
        <v>6401</v>
      </c>
      <c r="H3101" s="140" t="s">
        <v>6312</v>
      </c>
      <c r="I3101" s="140" t="s">
        <v>6313</v>
      </c>
      <c r="J3101" s="140" t="s">
        <v>6314</v>
      </c>
      <c r="K3101" s="140" t="s">
        <v>8996</v>
      </c>
    </row>
    <row r="3102">
      <c r="A3102" s="140" t="s">
        <v>9966</v>
      </c>
      <c r="B3102" s="140" t="s">
        <v>10090</v>
      </c>
      <c r="C3102" s="140" t="s">
        <v>10091</v>
      </c>
      <c r="D3102" s="140" t="s">
        <v>7347</v>
      </c>
      <c r="E3102" s="140" t="s">
        <v>9997</v>
      </c>
      <c r="F3102" s="140" t="s">
        <v>10037</v>
      </c>
      <c r="G3102" s="141" t="s">
        <v>6401</v>
      </c>
      <c r="H3102" s="140" t="s">
        <v>6312</v>
      </c>
      <c r="I3102" s="140" t="s">
        <v>6313</v>
      </c>
      <c r="J3102" s="140" t="s">
        <v>6314</v>
      </c>
      <c r="K3102" s="140" t="s">
        <v>8996</v>
      </c>
    </row>
    <row r="3103">
      <c r="A3103" s="140" t="s">
        <v>9966</v>
      </c>
      <c r="B3103" s="140" t="s">
        <v>10092</v>
      </c>
      <c r="C3103" s="140" t="s">
        <v>10093</v>
      </c>
      <c r="D3103" s="140" t="s">
        <v>7347</v>
      </c>
      <c r="E3103" s="140" t="s">
        <v>9997</v>
      </c>
      <c r="F3103" s="140" t="s">
        <v>10037</v>
      </c>
      <c r="G3103" s="141" t="s">
        <v>6401</v>
      </c>
      <c r="H3103" s="140" t="s">
        <v>6312</v>
      </c>
      <c r="I3103" s="140" t="s">
        <v>6313</v>
      </c>
      <c r="J3103" s="140" t="s">
        <v>6314</v>
      </c>
      <c r="K3103" s="140" t="s">
        <v>8996</v>
      </c>
    </row>
    <row r="3104">
      <c r="A3104" s="140" t="s">
        <v>9966</v>
      </c>
      <c r="B3104" s="140" t="s">
        <v>10094</v>
      </c>
      <c r="C3104" s="140" t="s">
        <v>10095</v>
      </c>
      <c r="D3104" s="140" t="s">
        <v>7347</v>
      </c>
      <c r="E3104" s="140" t="s">
        <v>9997</v>
      </c>
      <c r="F3104" s="140" t="s">
        <v>10037</v>
      </c>
      <c r="G3104" s="141" t="s">
        <v>6401</v>
      </c>
      <c r="H3104" s="140" t="s">
        <v>6312</v>
      </c>
      <c r="I3104" s="140" t="s">
        <v>6313</v>
      </c>
      <c r="J3104" s="140" t="s">
        <v>6314</v>
      </c>
      <c r="K3104" s="140" t="s">
        <v>8996</v>
      </c>
    </row>
    <row r="3105">
      <c r="A3105" s="140" t="s">
        <v>9966</v>
      </c>
      <c r="B3105" s="140" t="s">
        <v>10096</v>
      </c>
      <c r="C3105" s="140" t="s">
        <v>10097</v>
      </c>
      <c r="D3105" s="140" t="s">
        <v>7347</v>
      </c>
      <c r="E3105" s="140" t="s">
        <v>9997</v>
      </c>
      <c r="F3105" s="140" t="s">
        <v>10037</v>
      </c>
      <c r="G3105" s="141" t="s">
        <v>6401</v>
      </c>
      <c r="H3105" s="140" t="s">
        <v>6312</v>
      </c>
      <c r="I3105" s="140" t="s">
        <v>6313</v>
      </c>
      <c r="J3105" s="140" t="s">
        <v>6314</v>
      </c>
      <c r="K3105" s="140" t="s">
        <v>8996</v>
      </c>
    </row>
    <row r="3106">
      <c r="A3106" s="140" t="s">
        <v>9966</v>
      </c>
      <c r="B3106" s="140">
        <v>2210243.0</v>
      </c>
      <c r="C3106" s="140" t="s">
        <v>10098</v>
      </c>
      <c r="D3106" s="140" t="s">
        <v>7347</v>
      </c>
      <c r="E3106" s="140" t="s">
        <v>9997</v>
      </c>
      <c r="F3106" s="140" t="s">
        <v>10037</v>
      </c>
      <c r="G3106" s="141" t="s">
        <v>6401</v>
      </c>
      <c r="H3106" s="140" t="s">
        <v>6312</v>
      </c>
      <c r="I3106" s="140" t="s">
        <v>6313</v>
      </c>
      <c r="J3106" s="140" t="s">
        <v>6314</v>
      </c>
      <c r="K3106" s="140" t="s">
        <v>8996</v>
      </c>
    </row>
    <row r="3107">
      <c r="A3107" s="140" t="s">
        <v>9966</v>
      </c>
      <c r="B3107" s="140">
        <v>2210244.0</v>
      </c>
      <c r="C3107" s="140" t="s">
        <v>10099</v>
      </c>
      <c r="D3107" s="140" t="s">
        <v>7347</v>
      </c>
      <c r="E3107" s="140" t="s">
        <v>9997</v>
      </c>
      <c r="F3107" s="140" t="s">
        <v>10037</v>
      </c>
      <c r="G3107" s="141" t="s">
        <v>6401</v>
      </c>
      <c r="H3107" s="140" t="s">
        <v>6312</v>
      </c>
      <c r="I3107" s="140" t="s">
        <v>6313</v>
      </c>
      <c r="J3107" s="140" t="s">
        <v>6314</v>
      </c>
      <c r="K3107" s="140" t="s">
        <v>8996</v>
      </c>
    </row>
    <row r="3108">
      <c r="A3108" s="140" t="s">
        <v>9966</v>
      </c>
      <c r="B3108" s="140">
        <v>2210245.0</v>
      </c>
      <c r="C3108" s="140" t="s">
        <v>10100</v>
      </c>
      <c r="D3108" s="140" t="s">
        <v>7347</v>
      </c>
      <c r="E3108" s="140" t="s">
        <v>9997</v>
      </c>
      <c r="F3108" s="140" t="s">
        <v>10037</v>
      </c>
      <c r="G3108" s="141" t="s">
        <v>6401</v>
      </c>
      <c r="H3108" s="140" t="s">
        <v>6312</v>
      </c>
      <c r="I3108" s="140" t="s">
        <v>6313</v>
      </c>
      <c r="J3108" s="140" t="s">
        <v>6314</v>
      </c>
      <c r="K3108" s="140" t="s">
        <v>8996</v>
      </c>
    </row>
    <row r="3109">
      <c r="A3109" s="140" t="s">
        <v>9966</v>
      </c>
      <c r="B3109" s="140">
        <v>2210246.0</v>
      </c>
      <c r="C3109" s="140" t="s">
        <v>10101</v>
      </c>
      <c r="D3109" s="140" t="s">
        <v>7347</v>
      </c>
      <c r="E3109" s="140" t="s">
        <v>9997</v>
      </c>
      <c r="F3109" s="140" t="s">
        <v>10037</v>
      </c>
      <c r="G3109" s="141" t="s">
        <v>6401</v>
      </c>
      <c r="H3109" s="140" t="s">
        <v>6312</v>
      </c>
      <c r="I3109" s="140" t="s">
        <v>6313</v>
      </c>
      <c r="J3109" s="140" t="s">
        <v>6314</v>
      </c>
      <c r="K3109" s="140" t="s">
        <v>8996</v>
      </c>
    </row>
    <row r="3110">
      <c r="A3110" s="140" t="s">
        <v>9966</v>
      </c>
      <c r="B3110" s="140" t="s">
        <v>10102</v>
      </c>
      <c r="C3110" s="140" t="s">
        <v>10103</v>
      </c>
      <c r="D3110" s="140" t="s">
        <v>7347</v>
      </c>
      <c r="E3110" s="140" t="s">
        <v>9997</v>
      </c>
      <c r="F3110" s="140" t="s">
        <v>10037</v>
      </c>
      <c r="G3110" s="141" t="s">
        <v>6401</v>
      </c>
      <c r="H3110" s="140" t="s">
        <v>6312</v>
      </c>
      <c r="I3110" s="140" t="s">
        <v>6313</v>
      </c>
      <c r="J3110" s="140" t="s">
        <v>6314</v>
      </c>
      <c r="K3110" s="140" t="s">
        <v>8996</v>
      </c>
    </row>
    <row r="3111">
      <c r="A3111" s="140" t="s">
        <v>9966</v>
      </c>
      <c r="B3111" s="140" t="s">
        <v>3566</v>
      </c>
      <c r="C3111" s="140" t="s">
        <v>10104</v>
      </c>
      <c r="D3111" s="140" t="s">
        <v>7347</v>
      </c>
      <c r="E3111" s="140" t="s">
        <v>9997</v>
      </c>
      <c r="F3111" s="140" t="s">
        <v>10037</v>
      </c>
      <c r="G3111" s="141" t="s">
        <v>6401</v>
      </c>
      <c r="H3111" s="140" t="s">
        <v>6330</v>
      </c>
      <c r="I3111" s="140" t="s">
        <v>6313</v>
      </c>
      <c r="J3111" s="140" t="s">
        <v>6314</v>
      </c>
      <c r="K3111" s="140" t="s">
        <v>8996</v>
      </c>
    </row>
    <row r="3112">
      <c r="A3112" s="140" t="s">
        <v>9966</v>
      </c>
      <c r="B3112" s="140" t="s">
        <v>3330</v>
      </c>
      <c r="C3112" s="140" t="s">
        <v>10105</v>
      </c>
      <c r="D3112" s="140" t="s">
        <v>7347</v>
      </c>
      <c r="E3112" s="140" t="s">
        <v>9997</v>
      </c>
      <c r="F3112" s="140" t="s">
        <v>10037</v>
      </c>
      <c r="G3112" s="141" t="s">
        <v>6401</v>
      </c>
      <c r="H3112" s="140" t="s">
        <v>6330</v>
      </c>
      <c r="I3112" s="140" t="s">
        <v>6313</v>
      </c>
      <c r="J3112" s="140" t="s">
        <v>6314</v>
      </c>
      <c r="K3112" s="140" t="s">
        <v>8996</v>
      </c>
    </row>
    <row r="3113">
      <c r="A3113" s="140" t="s">
        <v>9966</v>
      </c>
      <c r="B3113" s="140" t="s">
        <v>3562</v>
      </c>
      <c r="C3113" s="140" t="s">
        <v>10106</v>
      </c>
      <c r="D3113" s="140" t="s">
        <v>7347</v>
      </c>
      <c r="E3113" s="140" t="s">
        <v>9997</v>
      </c>
      <c r="F3113" s="140" t="s">
        <v>10037</v>
      </c>
      <c r="G3113" s="141" t="s">
        <v>6401</v>
      </c>
      <c r="H3113" s="140" t="s">
        <v>6330</v>
      </c>
      <c r="I3113" s="140" t="s">
        <v>6313</v>
      </c>
      <c r="J3113" s="140" t="s">
        <v>6314</v>
      </c>
      <c r="K3113" s="140" t="s">
        <v>8996</v>
      </c>
    </row>
    <row r="3114">
      <c r="A3114" s="140" t="s">
        <v>9966</v>
      </c>
      <c r="B3114" s="140" t="s">
        <v>10107</v>
      </c>
      <c r="C3114" s="140" t="s">
        <v>10108</v>
      </c>
      <c r="D3114" s="140" t="s">
        <v>7347</v>
      </c>
      <c r="E3114" s="140" t="s">
        <v>9997</v>
      </c>
      <c r="F3114" s="140" t="s">
        <v>10109</v>
      </c>
      <c r="G3114" s="141" t="s">
        <v>6401</v>
      </c>
      <c r="H3114" s="140" t="s">
        <v>6312</v>
      </c>
      <c r="I3114" s="140" t="s">
        <v>6313</v>
      </c>
      <c r="J3114" s="140" t="s">
        <v>6314</v>
      </c>
      <c r="K3114" s="140" t="s">
        <v>8996</v>
      </c>
    </row>
    <row r="3115">
      <c r="A3115" s="140" t="s">
        <v>9966</v>
      </c>
      <c r="B3115" s="140" t="s">
        <v>10110</v>
      </c>
      <c r="C3115" s="140" t="s">
        <v>10111</v>
      </c>
      <c r="D3115" s="140" t="s">
        <v>7347</v>
      </c>
      <c r="E3115" s="140" t="s">
        <v>9997</v>
      </c>
      <c r="F3115" s="140" t="s">
        <v>10109</v>
      </c>
      <c r="G3115" s="141" t="s">
        <v>6401</v>
      </c>
      <c r="H3115" s="140" t="s">
        <v>6312</v>
      </c>
      <c r="I3115" s="140" t="s">
        <v>6313</v>
      </c>
      <c r="J3115" s="140" t="s">
        <v>6314</v>
      </c>
      <c r="K3115" s="140" t="s">
        <v>8996</v>
      </c>
    </row>
    <row r="3116">
      <c r="A3116" s="140" t="s">
        <v>9966</v>
      </c>
      <c r="B3116" s="140" t="s">
        <v>10112</v>
      </c>
      <c r="C3116" s="140" t="s">
        <v>10113</v>
      </c>
      <c r="D3116" s="140" t="s">
        <v>7347</v>
      </c>
      <c r="E3116" s="140" t="s">
        <v>9997</v>
      </c>
      <c r="F3116" s="140" t="s">
        <v>10109</v>
      </c>
      <c r="G3116" s="141" t="s">
        <v>6401</v>
      </c>
      <c r="H3116" s="140" t="s">
        <v>6312</v>
      </c>
      <c r="I3116" s="140" t="s">
        <v>6313</v>
      </c>
      <c r="J3116" s="140" t="s">
        <v>6314</v>
      </c>
      <c r="K3116" s="140" t="s">
        <v>8996</v>
      </c>
    </row>
    <row r="3117">
      <c r="A3117" s="140" t="s">
        <v>9966</v>
      </c>
      <c r="B3117" s="140" t="s">
        <v>10114</v>
      </c>
      <c r="C3117" s="140" t="s">
        <v>10115</v>
      </c>
      <c r="D3117" s="140" t="s">
        <v>7347</v>
      </c>
      <c r="E3117" s="140" t="s">
        <v>9997</v>
      </c>
      <c r="F3117" s="140" t="s">
        <v>10116</v>
      </c>
      <c r="G3117" s="141" t="s">
        <v>6401</v>
      </c>
      <c r="H3117" s="147" t="s">
        <v>6312</v>
      </c>
      <c r="I3117" s="140" t="s">
        <v>6313</v>
      </c>
      <c r="J3117" s="140" t="s">
        <v>6314</v>
      </c>
      <c r="K3117" s="140" t="s">
        <v>8996</v>
      </c>
    </row>
    <row r="3118">
      <c r="A3118" s="140" t="s">
        <v>9966</v>
      </c>
      <c r="B3118" s="140" t="s">
        <v>10117</v>
      </c>
      <c r="C3118" s="140" t="s">
        <v>10118</v>
      </c>
      <c r="D3118" s="140" t="s">
        <v>7347</v>
      </c>
      <c r="E3118" s="140" t="s">
        <v>9997</v>
      </c>
      <c r="F3118" s="140" t="s">
        <v>10119</v>
      </c>
      <c r="G3118" s="141" t="s">
        <v>6401</v>
      </c>
      <c r="H3118" s="140" t="s">
        <v>6312</v>
      </c>
      <c r="I3118" s="140" t="s">
        <v>6313</v>
      </c>
      <c r="J3118" s="140" t="s">
        <v>6314</v>
      </c>
      <c r="K3118" s="140" t="s">
        <v>8996</v>
      </c>
    </row>
    <row r="3119">
      <c r="A3119" s="140" t="s">
        <v>9966</v>
      </c>
      <c r="B3119" s="140" t="s">
        <v>4601</v>
      </c>
      <c r="C3119" s="140" t="s">
        <v>10120</v>
      </c>
      <c r="D3119" s="140" t="s">
        <v>7347</v>
      </c>
      <c r="E3119" s="140" t="s">
        <v>9522</v>
      </c>
      <c r="F3119" s="140" t="s">
        <v>9523</v>
      </c>
      <c r="G3119" s="141" t="s">
        <v>6401</v>
      </c>
      <c r="H3119" s="140" t="s">
        <v>6312</v>
      </c>
      <c r="I3119" s="140" t="s">
        <v>6313</v>
      </c>
      <c r="J3119" s="140" t="s">
        <v>6314</v>
      </c>
      <c r="K3119" s="140" t="s">
        <v>8996</v>
      </c>
    </row>
    <row r="3120">
      <c r="A3120" s="140" t="s">
        <v>9966</v>
      </c>
      <c r="B3120" s="140" t="s">
        <v>4603</v>
      </c>
      <c r="C3120" s="140" t="s">
        <v>10121</v>
      </c>
      <c r="D3120" s="140" t="s">
        <v>7347</v>
      </c>
      <c r="E3120" s="140" t="s">
        <v>9522</v>
      </c>
      <c r="F3120" s="140" t="s">
        <v>9523</v>
      </c>
      <c r="G3120" s="141" t="s">
        <v>6401</v>
      </c>
      <c r="H3120" s="140" t="s">
        <v>6312</v>
      </c>
      <c r="I3120" s="140" t="s">
        <v>6313</v>
      </c>
      <c r="J3120" s="140" t="s">
        <v>6314</v>
      </c>
      <c r="K3120" s="140" t="s">
        <v>8996</v>
      </c>
    </row>
    <row r="3121">
      <c r="A3121" s="140" t="s">
        <v>9966</v>
      </c>
      <c r="B3121" s="140" t="s">
        <v>10122</v>
      </c>
      <c r="C3121" s="140" t="s">
        <v>10123</v>
      </c>
      <c r="D3121" s="140" t="s">
        <v>7347</v>
      </c>
      <c r="E3121" s="140" t="s">
        <v>9522</v>
      </c>
      <c r="F3121" s="140" t="s">
        <v>9523</v>
      </c>
      <c r="G3121" s="141" t="s">
        <v>6401</v>
      </c>
      <c r="H3121" s="140" t="s">
        <v>6312</v>
      </c>
      <c r="I3121" s="140" t="s">
        <v>6313</v>
      </c>
      <c r="J3121" s="140" t="s">
        <v>6314</v>
      </c>
      <c r="K3121" s="140" t="s">
        <v>8996</v>
      </c>
    </row>
    <row r="3122">
      <c r="A3122" s="140" t="s">
        <v>9966</v>
      </c>
      <c r="B3122" s="140" t="s">
        <v>10124</v>
      </c>
      <c r="C3122" s="140" t="s">
        <v>10125</v>
      </c>
      <c r="D3122" s="140" t="s">
        <v>7347</v>
      </c>
      <c r="E3122" s="140" t="s">
        <v>9522</v>
      </c>
      <c r="F3122" s="140" t="s">
        <v>9523</v>
      </c>
      <c r="G3122" s="141" t="s">
        <v>6401</v>
      </c>
      <c r="H3122" s="140" t="s">
        <v>6312</v>
      </c>
      <c r="I3122" s="140" t="s">
        <v>6313</v>
      </c>
      <c r="J3122" s="140" t="s">
        <v>6314</v>
      </c>
      <c r="K3122" s="140" t="s">
        <v>8996</v>
      </c>
    </row>
    <row r="3123">
      <c r="A3123" s="140" t="s">
        <v>10126</v>
      </c>
      <c r="B3123" s="143">
        <v>7.80681E12</v>
      </c>
      <c r="C3123" s="140" t="s">
        <v>10127</v>
      </c>
      <c r="D3123" s="140" t="s">
        <v>6318</v>
      </c>
      <c r="E3123" s="140" t="s">
        <v>1225</v>
      </c>
      <c r="F3123" s="140" t="s">
        <v>1226</v>
      </c>
      <c r="G3123" s="141" t="s">
        <v>6401</v>
      </c>
      <c r="H3123" s="140" t="s">
        <v>6312</v>
      </c>
      <c r="I3123" s="140" t="s">
        <v>6313</v>
      </c>
      <c r="J3123" s="140" t="s">
        <v>6314</v>
      </c>
      <c r="K3123" s="140" t="s">
        <v>8954</v>
      </c>
    </row>
    <row r="3124">
      <c r="A3124" s="140" t="s">
        <v>10126</v>
      </c>
      <c r="B3124" s="143">
        <v>1.78068E13</v>
      </c>
      <c r="C3124" s="140" t="s">
        <v>10128</v>
      </c>
      <c r="D3124" s="140" t="s">
        <v>6318</v>
      </c>
      <c r="E3124" s="140" t="s">
        <v>1225</v>
      </c>
      <c r="F3124" s="140" t="s">
        <v>1243</v>
      </c>
      <c r="G3124" s="141" t="s">
        <v>6401</v>
      </c>
      <c r="H3124" s="140" t="s">
        <v>6312</v>
      </c>
      <c r="I3124" s="140" t="s">
        <v>6313</v>
      </c>
      <c r="J3124" s="140" t="s">
        <v>6314</v>
      </c>
      <c r="K3124" s="140" t="s">
        <v>8954</v>
      </c>
    </row>
    <row r="3125">
      <c r="A3125" s="140" t="s">
        <v>10126</v>
      </c>
      <c r="B3125" s="143">
        <v>1.78068E13</v>
      </c>
      <c r="C3125" s="140" t="s">
        <v>10129</v>
      </c>
      <c r="D3125" s="140" t="s">
        <v>6318</v>
      </c>
      <c r="E3125" s="140" t="s">
        <v>1225</v>
      </c>
      <c r="F3125" s="140" t="s">
        <v>1243</v>
      </c>
      <c r="G3125" s="141" t="s">
        <v>6401</v>
      </c>
      <c r="H3125" s="140" t="s">
        <v>6312</v>
      </c>
      <c r="I3125" s="140" t="s">
        <v>6313</v>
      </c>
      <c r="J3125" s="140" t="s">
        <v>6314</v>
      </c>
      <c r="K3125" s="140" t="s">
        <v>8954</v>
      </c>
    </row>
    <row r="3126">
      <c r="A3126" s="140" t="s">
        <v>10126</v>
      </c>
      <c r="B3126" s="143">
        <v>1.78068E13</v>
      </c>
      <c r="C3126" s="140" t="s">
        <v>10130</v>
      </c>
      <c r="D3126" s="140" t="s">
        <v>6318</v>
      </c>
      <c r="E3126" s="140" t="s">
        <v>1225</v>
      </c>
      <c r="F3126" s="140" t="s">
        <v>1243</v>
      </c>
      <c r="G3126" s="141" t="s">
        <v>6401</v>
      </c>
      <c r="H3126" s="140" t="s">
        <v>6312</v>
      </c>
      <c r="I3126" s="140" t="s">
        <v>6313</v>
      </c>
      <c r="J3126" s="140" t="s">
        <v>6314</v>
      </c>
      <c r="K3126" s="140" t="s">
        <v>8954</v>
      </c>
    </row>
    <row r="3127">
      <c r="A3127" s="140" t="s">
        <v>10126</v>
      </c>
      <c r="B3127" s="143">
        <v>7.80681E12</v>
      </c>
      <c r="C3127" s="140" t="s">
        <v>10131</v>
      </c>
      <c r="D3127" s="140" t="s">
        <v>6318</v>
      </c>
      <c r="E3127" s="140" t="s">
        <v>1225</v>
      </c>
      <c r="F3127" s="140" t="s">
        <v>1243</v>
      </c>
      <c r="G3127" s="141" t="s">
        <v>6401</v>
      </c>
      <c r="H3127" s="140" t="s">
        <v>6312</v>
      </c>
      <c r="I3127" s="140" t="s">
        <v>6313</v>
      </c>
      <c r="J3127" s="140" t="s">
        <v>6314</v>
      </c>
      <c r="K3127" s="140" t="s">
        <v>8954</v>
      </c>
    </row>
    <row r="3128">
      <c r="A3128" s="140" t="s">
        <v>10132</v>
      </c>
      <c r="B3128" s="143">
        <v>6.32628E11</v>
      </c>
      <c r="C3128" s="140" t="s">
        <v>10133</v>
      </c>
      <c r="D3128" s="140" t="s">
        <v>6601</v>
      </c>
      <c r="E3128" s="140" t="s">
        <v>303</v>
      </c>
      <c r="F3128" s="140" t="s">
        <v>8317</v>
      </c>
      <c r="G3128" s="141" t="s">
        <v>6401</v>
      </c>
      <c r="H3128" s="140" t="s">
        <v>6312</v>
      </c>
      <c r="I3128" s="140" t="s">
        <v>6313</v>
      </c>
      <c r="J3128" s="140" t="s">
        <v>6314</v>
      </c>
      <c r="K3128" s="140" t="s">
        <v>10132</v>
      </c>
    </row>
    <row r="3129">
      <c r="A3129" s="140" t="s">
        <v>10132</v>
      </c>
      <c r="B3129" s="143">
        <v>6.32628E11</v>
      </c>
      <c r="C3129" s="140" t="s">
        <v>10134</v>
      </c>
      <c r="D3129" s="140" t="s">
        <v>6601</v>
      </c>
      <c r="E3129" s="140" t="s">
        <v>303</v>
      </c>
      <c r="F3129" s="140" t="s">
        <v>8317</v>
      </c>
      <c r="G3129" s="141" t="s">
        <v>6401</v>
      </c>
      <c r="H3129" s="140" t="s">
        <v>6312</v>
      </c>
      <c r="I3129" s="140" t="s">
        <v>6313</v>
      </c>
      <c r="J3129" s="140" t="s">
        <v>6314</v>
      </c>
      <c r="K3129" s="140" t="s">
        <v>10132</v>
      </c>
    </row>
    <row r="3130">
      <c r="A3130" s="140" t="s">
        <v>10132</v>
      </c>
      <c r="B3130" s="143">
        <v>6.32628E11</v>
      </c>
      <c r="C3130" s="140" t="s">
        <v>10135</v>
      </c>
      <c r="D3130" s="140" t="s">
        <v>6601</v>
      </c>
      <c r="E3130" s="140" t="s">
        <v>303</v>
      </c>
      <c r="F3130" s="140" t="s">
        <v>8317</v>
      </c>
      <c r="G3130" s="141" t="s">
        <v>6401</v>
      </c>
      <c r="H3130" s="140" t="s">
        <v>6312</v>
      </c>
      <c r="I3130" s="140" t="s">
        <v>6313</v>
      </c>
      <c r="J3130" s="140" t="s">
        <v>6314</v>
      </c>
      <c r="K3130" s="140" t="s">
        <v>10132</v>
      </c>
    </row>
    <row r="3131">
      <c r="A3131" s="140" t="s">
        <v>10132</v>
      </c>
      <c r="B3131" s="143">
        <v>6.32628E11</v>
      </c>
      <c r="C3131" s="140" t="s">
        <v>10136</v>
      </c>
      <c r="D3131" s="140" t="s">
        <v>6601</v>
      </c>
      <c r="E3131" s="140" t="s">
        <v>303</v>
      </c>
      <c r="F3131" s="140" t="s">
        <v>8317</v>
      </c>
      <c r="G3131" s="141" t="s">
        <v>6401</v>
      </c>
      <c r="H3131" s="140" t="s">
        <v>6312</v>
      </c>
      <c r="I3131" s="140" t="s">
        <v>6313</v>
      </c>
      <c r="J3131" s="140" t="s">
        <v>6314</v>
      </c>
      <c r="K3131" s="140" t="s">
        <v>10132</v>
      </c>
    </row>
    <row r="3132">
      <c r="A3132" s="140" t="s">
        <v>10132</v>
      </c>
      <c r="B3132" s="143">
        <v>6.32628E11</v>
      </c>
      <c r="C3132" s="140" t="s">
        <v>10137</v>
      </c>
      <c r="D3132" s="140" t="s">
        <v>6601</v>
      </c>
      <c r="E3132" s="140" t="s">
        <v>303</v>
      </c>
      <c r="F3132" s="140" t="s">
        <v>8317</v>
      </c>
      <c r="G3132" s="141" t="s">
        <v>6401</v>
      </c>
      <c r="H3132" s="140" t="s">
        <v>6312</v>
      </c>
      <c r="I3132" s="140" t="s">
        <v>6313</v>
      </c>
      <c r="J3132" s="140" t="s">
        <v>6314</v>
      </c>
      <c r="K3132" s="140" t="s">
        <v>10132</v>
      </c>
    </row>
    <row r="3133">
      <c r="A3133" s="140" t="s">
        <v>10132</v>
      </c>
      <c r="B3133" s="143">
        <v>6.32628E11</v>
      </c>
      <c r="C3133" s="140" t="s">
        <v>10138</v>
      </c>
      <c r="D3133" s="140" t="s">
        <v>6601</v>
      </c>
      <c r="E3133" s="140" t="s">
        <v>303</v>
      </c>
      <c r="F3133" s="140" t="s">
        <v>8317</v>
      </c>
      <c r="G3133" s="141" t="s">
        <v>6401</v>
      </c>
      <c r="H3133" s="140" t="s">
        <v>6312</v>
      </c>
      <c r="I3133" s="140" t="s">
        <v>6313</v>
      </c>
      <c r="J3133" s="140" t="s">
        <v>6314</v>
      </c>
      <c r="K3133" s="140" t="s">
        <v>10132</v>
      </c>
    </row>
    <row r="3134">
      <c r="A3134" s="140" t="s">
        <v>10132</v>
      </c>
      <c r="B3134" s="143">
        <v>6.32628E11</v>
      </c>
      <c r="C3134" s="140" t="s">
        <v>10139</v>
      </c>
      <c r="D3134" s="140" t="s">
        <v>6601</v>
      </c>
      <c r="E3134" s="140" t="s">
        <v>303</v>
      </c>
      <c r="F3134" s="140" t="s">
        <v>8317</v>
      </c>
      <c r="G3134" s="141" t="s">
        <v>6401</v>
      </c>
      <c r="H3134" s="140" t="s">
        <v>6312</v>
      </c>
      <c r="I3134" s="140" t="s">
        <v>6313</v>
      </c>
      <c r="J3134" s="140" t="s">
        <v>6314</v>
      </c>
      <c r="K3134" s="140" t="s">
        <v>10132</v>
      </c>
    </row>
    <row r="3135">
      <c r="A3135" s="140" t="s">
        <v>10132</v>
      </c>
      <c r="B3135" s="143">
        <v>6.32628E11</v>
      </c>
      <c r="C3135" s="140" t="s">
        <v>10140</v>
      </c>
      <c r="D3135" s="140" t="s">
        <v>6601</v>
      </c>
      <c r="E3135" s="140" t="s">
        <v>303</v>
      </c>
      <c r="F3135" s="140" t="s">
        <v>8317</v>
      </c>
      <c r="G3135" s="141" t="s">
        <v>6401</v>
      </c>
      <c r="H3135" s="140" t="s">
        <v>6312</v>
      </c>
      <c r="I3135" s="140" t="s">
        <v>6313</v>
      </c>
      <c r="J3135" s="140" t="s">
        <v>6314</v>
      </c>
      <c r="K3135" s="140" t="s">
        <v>10132</v>
      </c>
    </row>
    <row r="3136">
      <c r="A3136" s="140" t="s">
        <v>10132</v>
      </c>
      <c r="B3136" s="143">
        <v>6.32628E11</v>
      </c>
      <c r="C3136" s="140" t="s">
        <v>10141</v>
      </c>
      <c r="D3136" s="140" t="s">
        <v>6601</v>
      </c>
      <c r="E3136" s="140" t="s">
        <v>303</v>
      </c>
      <c r="F3136" s="140" t="s">
        <v>8317</v>
      </c>
      <c r="G3136" s="141" t="s">
        <v>6401</v>
      </c>
      <c r="H3136" s="140" t="s">
        <v>6312</v>
      </c>
      <c r="I3136" s="140" t="s">
        <v>6313</v>
      </c>
      <c r="J3136" s="140" t="s">
        <v>6314</v>
      </c>
      <c r="K3136" s="140" t="s">
        <v>10132</v>
      </c>
    </row>
    <row r="3137">
      <c r="A3137" s="140" t="s">
        <v>10132</v>
      </c>
      <c r="B3137" s="143">
        <v>6.32628E11</v>
      </c>
      <c r="C3137" s="140" t="s">
        <v>10142</v>
      </c>
      <c r="D3137" s="140" t="s">
        <v>6601</v>
      </c>
      <c r="E3137" s="140" t="s">
        <v>303</v>
      </c>
      <c r="F3137" s="140" t="s">
        <v>8317</v>
      </c>
      <c r="G3137" s="141" t="s">
        <v>6401</v>
      </c>
      <c r="H3137" s="140" t="s">
        <v>6312</v>
      </c>
      <c r="I3137" s="140" t="s">
        <v>6313</v>
      </c>
      <c r="J3137" s="140" t="s">
        <v>6314</v>
      </c>
      <c r="K3137" s="140" t="s">
        <v>10132</v>
      </c>
    </row>
    <row r="3138">
      <c r="A3138" s="140" t="s">
        <v>10132</v>
      </c>
      <c r="B3138" s="143">
        <v>6.32628E11</v>
      </c>
      <c r="C3138" s="140" t="s">
        <v>10143</v>
      </c>
      <c r="D3138" s="140" t="s">
        <v>6601</v>
      </c>
      <c r="E3138" s="140" t="s">
        <v>303</v>
      </c>
      <c r="F3138" s="140" t="s">
        <v>8317</v>
      </c>
      <c r="G3138" s="141" t="s">
        <v>6401</v>
      </c>
      <c r="H3138" s="140" t="s">
        <v>6312</v>
      </c>
      <c r="I3138" s="140" t="s">
        <v>6313</v>
      </c>
      <c r="J3138" s="140" t="s">
        <v>6314</v>
      </c>
      <c r="K3138" s="140" t="s">
        <v>10132</v>
      </c>
    </row>
    <row r="3139">
      <c r="A3139" s="140" t="s">
        <v>10132</v>
      </c>
      <c r="B3139" s="143">
        <v>6.32628E11</v>
      </c>
      <c r="C3139" s="140" t="s">
        <v>10144</v>
      </c>
      <c r="D3139" s="140" t="s">
        <v>6601</v>
      </c>
      <c r="E3139" s="140" t="s">
        <v>303</v>
      </c>
      <c r="F3139" s="140" t="s">
        <v>8317</v>
      </c>
      <c r="G3139" s="141" t="s">
        <v>6401</v>
      </c>
      <c r="H3139" s="140" t="s">
        <v>6312</v>
      </c>
      <c r="I3139" s="140" t="s">
        <v>6313</v>
      </c>
      <c r="J3139" s="140" t="s">
        <v>6314</v>
      </c>
      <c r="K3139" s="140" t="s">
        <v>10132</v>
      </c>
    </row>
    <row r="3140">
      <c r="A3140" s="140" t="s">
        <v>10132</v>
      </c>
      <c r="B3140" s="143">
        <v>6.32628E11</v>
      </c>
      <c r="C3140" s="140" t="s">
        <v>10145</v>
      </c>
      <c r="D3140" s="140" t="s">
        <v>6601</v>
      </c>
      <c r="E3140" s="140" t="s">
        <v>303</v>
      </c>
      <c r="F3140" s="140" t="s">
        <v>8317</v>
      </c>
      <c r="G3140" s="141" t="s">
        <v>6401</v>
      </c>
      <c r="H3140" s="140" t="s">
        <v>6312</v>
      </c>
      <c r="I3140" s="140" t="s">
        <v>6313</v>
      </c>
      <c r="J3140" s="140" t="s">
        <v>6314</v>
      </c>
      <c r="K3140" s="140" t="s">
        <v>10132</v>
      </c>
    </row>
    <row r="3141">
      <c r="A3141" s="140" t="s">
        <v>10132</v>
      </c>
      <c r="B3141" s="143">
        <v>6.32628E11</v>
      </c>
      <c r="C3141" s="140" t="s">
        <v>10146</v>
      </c>
      <c r="D3141" s="140" t="s">
        <v>6601</v>
      </c>
      <c r="E3141" s="140" t="s">
        <v>303</v>
      </c>
      <c r="F3141" s="140" t="s">
        <v>8317</v>
      </c>
      <c r="G3141" s="141" t="s">
        <v>6401</v>
      </c>
      <c r="H3141" s="140" t="s">
        <v>6312</v>
      </c>
      <c r="I3141" s="140" t="s">
        <v>6313</v>
      </c>
      <c r="J3141" s="140" t="s">
        <v>6314</v>
      </c>
      <c r="K3141" s="140" t="s">
        <v>10132</v>
      </c>
    </row>
    <row r="3142">
      <c r="A3142" s="140" t="s">
        <v>10132</v>
      </c>
      <c r="B3142" s="143">
        <v>6.32628E11</v>
      </c>
      <c r="C3142" s="140" t="s">
        <v>10147</v>
      </c>
      <c r="D3142" s="140" t="s">
        <v>6601</v>
      </c>
      <c r="E3142" s="140" t="s">
        <v>303</v>
      </c>
      <c r="F3142" s="140" t="s">
        <v>8317</v>
      </c>
      <c r="G3142" s="141" t="s">
        <v>6401</v>
      </c>
      <c r="H3142" s="140" t="s">
        <v>6312</v>
      </c>
      <c r="I3142" s="140" t="s">
        <v>6313</v>
      </c>
      <c r="J3142" s="140" t="s">
        <v>6314</v>
      </c>
      <c r="K3142" s="140" t="s">
        <v>10132</v>
      </c>
    </row>
    <row r="3143">
      <c r="A3143" s="140" t="s">
        <v>10132</v>
      </c>
      <c r="B3143" s="143">
        <v>6.32628E11</v>
      </c>
      <c r="C3143" s="140" t="s">
        <v>10148</v>
      </c>
      <c r="D3143" s="140" t="s">
        <v>6601</v>
      </c>
      <c r="E3143" s="140" t="s">
        <v>303</v>
      </c>
      <c r="F3143" s="140" t="s">
        <v>8317</v>
      </c>
      <c r="G3143" s="141" t="s">
        <v>6401</v>
      </c>
      <c r="H3143" s="140" t="s">
        <v>6312</v>
      </c>
      <c r="I3143" s="140" t="s">
        <v>6313</v>
      </c>
      <c r="J3143" s="140" t="s">
        <v>6314</v>
      </c>
      <c r="K3143" s="140" t="s">
        <v>10132</v>
      </c>
    </row>
    <row r="3144">
      <c r="A3144" s="140" t="s">
        <v>10132</v>
      </c>
      <c r="B3144" s="143">
        <v>6.32628E11</v>
      </c>
      <c r="C3144" s="140" t="s">
        <v>10149</v>
      </c>
      <c r="D3144" s="140" t="s">
        <v>6601</v>
      </c>
      <c r="E3144" s="140" t="s">
        <v>303</v>
      </c>
      <c r="F3144" s="140" t="s">
        <v>8317</v>
      </c>
      <c r="G3144" s="141" t="s">
        <v>6401</v>
      </c>
      <c r="H3144" s="140" t="s">
        <v>6312</v>
      </c>
      <c r="I3144" s="140" t="s">
        <v>6313</v>
      </c>
      <c r="J3144" s="140" t="s">
        <v>6314</v>
      </c>
      <c r="K3144" s="140" t="s">
        <v>10132</v>
      </c>
    </row>
    <row r="3145">
      <c r="A3145" s="140" t="s">
        <v>10132</v>
      </c>
      <c r="B3145" s="143">
        <v>6.32628E11</v>
      </c>
      <c r="C3145" s="140" t="s">
        <v>10150</v>
      </c>
      <c r="D3145" s="140" t="s">
        <v>6601</v>
      </c>
      <c r="E3145" s="140" t="s">
        <v>303</v>
      </c>
      <c r="F3145" s="140" t="s">
        <v>8317</v>
      </c>
      <c r="G3145" s="141" t="s">
        <v>6401</v>
      </c>
      <c r="H3145" s="140" t="s">
        <v>6312</v>
      </c>
      <c r="I3145" s="140" t="s">
        <v>6313</v>
      </c>
      <c r="J3145" s="140" t="s">
        <v>6314</v>
      </c>
      <c r="K3145" s="140" t="s">
        <v>10132</v>
      </c>
    </row>
    <row r="3146">
      <c r="A3146" s="140" t="s">
        <v>10132</v>
      </c>
      <c r="B3146" s="143">
        <v>6.32628E11</v>
      </c>
      <c r="C3146" s="140" t="s">
        <v>10151</v>
      </c>
      <c r="D3146" s="140" t="s">
        <v>6601</v>
      </c>
      <c r="E3146" s="140" t="s">
        <v>303</v>
      </c>
      <c r="F3146" s="140" t="s">
        <v>8317</v>
      </c>
      <c r="G3146" s="141" t="s">
        <v>6401</v>
      </c>
      <c r="H3146" s="140" t="s">
        <v>6312</v>
      </c>
      <c r="I3146" s="140" t="s">
        <v>6313</v>
      </c>
      <c r="J3146" s="140" t="s">
        <v>6314</v>
      </c>
      <c r="K3146" s="140" t="s">
        <v>10132</v>
      </c>
    </row>
    <row r="3147">
      <c r="A3147" s="140" t="s">
        <v>10132</v>
      </c>
      <c r="B3147" s="143">
        <v>6.32628E11</v>
      </c>
      <c r="C3147" s="140" t="s">
        <v>10152</v>
      </c>
      <c r="D3147" s="140" t="s">
        <v>6601</v>
      </c>
      <c r="E3147" s="140" t="s">
        <v>303</v>
      </c>
      <c r="F3147" s="140" t="s">
        <v>8317</v>
      </c>
      <c r="G3147" s="141" t="s">
        <v>6401</v>
      </c>
      <c r="H3147" s="140" t="s">
        <v>6312</v>
      </c>
      <c r="I3147" s="140" t="s">
        <v>6313</v>
      </c>
      <c r="J3147" s="140" t="s">
        <v>6314</v>
      </c>
      <c r="K3147" s="140" t="s">
        <v>10132</v>
      </c>
    </row>
    <row r="3148">
      <c r="A3148" s="140" t="s">
        <v>10132</v>
      </c>
      <c r="B3148" s="143">
        <v>6.32628E11</v>
      </c>
      <c r="C3148" s="140" t="s">
        <v>10153</v>
      </c>
      <c r="D3148" s="140" t="s">
        <v>6601</v>
      </c>
      <c r="E3148" s="140" t="s">
        <v>303</v>
      </c>
      <c r="F3148" s="140" t="s">
        <v>8317</v>
      </c>
      <c r="G3148" s="141" t="s">
        <v>6401</v>
      </c>
      <c r="H3148" s="140" t="s">
        <v>6312</v>
      </c>
      <c r="I3148" s="140" t="s">
        <v>6313</v>
      </c>
      <c r="J3148" s="140" t="s">
        <v>6314</v>
      </c>
      <c r="K3148" s="140" t="s">
        <v>10132</v>
      </c>
    </row>
    <row r="3149">
      <c r="A3149" s="140" t="s">
        <v>10132</v>
      </c>
      <c r="B3149" s="143">
        <v>6.32628E11</v>
      </c>
      <c r="C3149" s="140" t="s">
        <v>10154</v>
      </c>
      <c r="D3149" s="140" t="s">
        <v>6601</v>
      </c>
      <c r="E3149" s="140" t="s">
        <v>303</v>
      </c>
      <c r="F3149" s="140" t="s">
        <v>8317</v>
      </c>
      <c r="G3149" s="141" t="s">
        <v>6401</v>
      </c>
      <c r="H3149" s="140" t="s">
        <v>6312</v>
      </c>
      <c r="I3149" s="140" t="s">
        <v>6313</v>
      </c>
      <c r="J3149" s="140" t="s">
        <v>6314</v>
      </c>
      <c r="K3149" s="140" t="s">
        <v>10132</v>
      </c>
    </row>
    <row r="3150">
      <c r="A3150" s="140" t="s">
        <v>10132</v>
      </c>
      <c r="B3150" s="143">
        <v>6.32628E11</v>
      </c>
      <c r="C3150" s="140" t="s">
        <v>10155</v>
      </c>
      <c r="D3150" s="140" t="s">
        <v>6601</v>
      </c>
      <c r="E3150" s="140" t="s">
        <v>303</v>
      </c>
      <c r="F3150" s="140" t="s">
        <v>8317</v>
      </c>
      <c r="G3150" s="141" t="s">
        <v>6401</v>
      </c>
      <c r="H3150" s="140" t="s">
        <v>6312</v>
      </c>
      <c r="I3150" s="140" t="s">
        <v>6313</v>
      </c>
      <c r="J3150" s="140" t="s">
        <v>6314</v>
      </c>
      <c r="K3150" s="140" t="s">
        <v>10132</v>
      </c>
    </row>
    <row r="3151">
      <c r="A3151" s="140" t="s">
        <v>10132</v>
      </c>
      <c r="B3151" s="143">
        <v>6.32628E11</v>
      </c>
      <c r="C3151" s="140" t="s">
        <v>10156</v>
      </c>
      <c r="D3151" s="140" t="s">
        <v>6601</v>
      </c>
      <c r="E3151" s="140" t="s">
        <v>303</v>
      </c>
      <c r="F3151" s="140" t="s">
        <v>8317</v>
      </c>
      <c r="G3151" s="141" t="s">
        <v>6401</v>
      </c>
      <c r="H3151" s="140" t="s">
        <v>6312</v>
      </c>
      <c r="I3151" s="140" t="s">
        <v>6313</v>
      </c>
      <c r="J3151" s="140" t="s">
        <v>6314</v>
      </c>
      <c r="K3151" s="140" t="s">
        <v>10132</v>
      </c>
    </row>
    <row r="3152">
      <c r="A3152" s="140" t="s">
        <v>10132</v>
      </c>
      <c r="B3152" s="143">
        <v>6.32628E11</v>
      </c>
      <c r="C3152" s="140" t="s">
        <v>10157</v>
      </c>
      <c r="D3152" s="140" t="s">
        <v>6601</v>
      </c>
      <c r="E3152" s="140" t="s">
        <v>303</v>
      </c>
      <c r="F3152" s="140" t="s">
        <v>8317</v>
      </c>
      <c r="G3152" s="141" t="s">
        <v>6401</v>
      </c>
      <c r="H3152" s="140" t="s">
        <v>6312</v>
      </c>
      <c r="I3152" s="140" t="s">
        <v>6313</v>
      </c>
      <c r="J3152" s="140" t="s">
        <v>6314</v>
      </c>
      <c r="K3152" s="140" t="s">
        <v>10132</v>
      </c>
    </row>
    <row r="3153">
      <c r="A3153" s="140" t="s">
        <v>10132</v>
      </c>
      <c r="B3153" s="143">
        <v>6.32628E11</v>
      </c>
      <c r="C3153" s="140" t="s">
        <v>10158</v>
      </c>
      <c r="D3153" s="140" t="s">
        <v>6601</v>
      </c>
      <c r="E3153" s="140" t="s">
        <v>303</v>
      </c>
      <c r="F3153" s="140" t="s">
        <v>8317</v>
      </c>
      <c r="G3153" s="141" t="s">
        <v>6401</v>
      </c>
      <c r="H3153" s="140" t="s">
        <v>6312</v>
      </c>
      <c r="I3153" s="140" t="s">
        <v>6313</v>
      </c>
      <c r="J3153" s="140" t="s">
        <v>6314</v>
      </c>
      <c r="K3153" s="140" t="s">
        <v>10132</v>
      </c>
    </row>
    <row r="3154">
      <c r="A3154" s="140" t="s">
        <v>10132</v>
      </c>
      <c r="B3154" s="143">
        <v>6.32628E11</v>
      </c>
      <c r="C3154" s="140" t="s">
        <v>10159</v>
      </c>
      <c r="D3154" s="140" t="s">
        <v>6601</v>
      </c>
      <c r="E3154" s="140" t="s">
        <v>303</v>
      </c>
      <c r="F3154" s="140" t="s">
        <v>8317</v>
      </c>
      <c r="G3154" s="141" t="s">
        <v>6401</v>
      </c>
      <c r="H3154" s="140" t="s">
        <v>6312</v>
      </c>
      <c r="I3154" s="140" t="s">
        <v>6313</v>
      </c>
      <c r="J3154" s="140" t="s">
        <v>6314</v>
      </c>
      <c r="K3154" s="140" t="s">
        <v>10132</v>
      </c>
    </row>
    <row r="3155">
      <c r="A3155" s="140" t="s">
        <v>10132</v>
      </c>
      <c r="B3155" s="143">
        <v>6.32628E11</v>
      </c>
      <c r="C3155" s="140" t="s">
        <v>10160</v>
      </c>
      <c r="D3155" s="140" t="s">
        <v>6601</v>
      </c>
      <c r="E3155" s="140" t="s">
        <v>303</v>
      </c>
      <c r="F3155" s="140" t="s">
        <v>8317</v>
      </c>
      <c r="G3155" s="141" t="s">
        <v>6401</v>
      </c>
      <c r="H3155" s="140" t="s">
        <v>6312</v>
      </c>
      <c r="I3155" s="140" t="s">
        <v>6313</v>
      </c>
      <c r="J3155" s="140" t="s">
        <v>6314</v>
      </c>
      <c r="K3155" s="140" t="s">
        <v>10132</v>
      </c>
    </row>
    <row r="3156">
      <c r="A3156" s="140" t="s">
        <v>10132</v>
      </c>
      <c r="B3156" s="143">
        <v>6.32628E11</v>
      </c>
      <c r="C3156" s="140" t="s">
        <v>10161</v>
      </c>
      <c r="D3156" s="140" t="s">
        <v>6601</v>
      </c>
      <c r="E3156" s="140" t="s">
        <v>303</v>
      </c>
      <c r="F3156" s="140" t="s">
        <v>8317</v>
      </c>
      <c r="G3156" s="141" t="s">
        <v>6401</v>
      </c>
      <c r="H3156" s="140" t="s">
        <v>6312</v>
      </c>
      <c r="I3156" s="140" t="s">
        <v>6313</v>
      </c>
      <c r="J3156" s="140" t="s">
        <v>6314</v>
      </c>
      <c r="K3156" s="140" t="s">
        <v>10132</v>
      </c>
    </row>
    <row r="3157">
      <c r="A3157" s="140" t="s">
        <v>10132</v>
      </c>
      <c r="B3157" s="143">
        <v>6.32628E11</v>
      </c>
      <c r="C3157" s="140" t="s">
        <v>10162</v>
      </c>
      <c r="D3157" s="140" t="s">
        <v>6601</v>
      </c>
      <c r="E3157" s="140" t="s">
        <v>303</v>
      </c>
      <c r="F3157" s="140" t="s">
        <v>8317</v>
      </c>
      <c r="G3157" s="141" t="s">
        <v>6401</v>
      </c>
      <c r="H3157" s="140" t="s">
        <v>6312</v>
      </c>
      <c r="I3157" s="140" t="s">
        <v>6313</v>
      </c>
      <c r="J3157" s="140" t="s">
        <v>6314</v>
      </c>
      <c r="K3157" s="140" t="s">
        <v>10132</v>
      </c>
    </row>
    <row r="3158">
      <c r="A3158" s="140" t="s">
        <v>10132</v>
      </c>
      <c r="B3158" s="143">
        <v>6.32628E11</v>
      </c>
      <c r="C3158" s="140" t="s">
        <v>10163</v>
      </c>
      <c r="D3158" s="140" t="s">
        <v>6601</v>
      </c>
      <c r="E3158" s="140" t="s">
        <v>303</v>
      </c>
      <c r="F3158" s="140" t="s">
        <v>8317</v>
      </c>
      <c r="G3158" s="141" t="s">
        <v>6401</v>
      </c>
      <c r="H3158" s="140" t="s">
        <v>6312</v>
      </c>
      <c r="I3158" s="140" t="s">
        <v>6313</v>
      </c>
      <c r="J3158" s="140" t="s">
        <v>6314</v>
      </c>
      <c r="K3158" s="140" t="s">
        <v>10132</v>
      </c>
    </row>
    <row r="3159">
      <c r="A3159" s="140" t="s">
        <v>10132</v>
      </c>
      <c r="B3159" s="143">
        <v>6.32628E11</v>
      </c>
      <c r="C3159" s="140" t="s">
        <v>10164</v>
      </c>
      <c r="D3159" s="140" t="s">
        <v>6601</v>
      </c>
      <c r="E3159" s="140" t="s">
        <v>303</v>
      </c>
      <c r="F3159" s="140" t="s">
        <v>8317</v>
      </c>
      <c r="G3159" s="141" t="s">
        <v>6401</v>
      </c>
      <c r="H3159" s="140" t="s">
        <v>6312</v>
      </c>
      <c r="I3159" s="140" t="s">
        <v>6313</v>
      </c>
      <c r="J3159" s="140" t="s">
        <v>6314</v>
      </c>
      <c r="K3159" s="140" t="s">
        <v>10132</v>
      </c>
    </row>
    <row r="3160">
      <c r="A3160" s="140" t="s">
        <v>10132</v>
      </c>
      <c r="B3160" s="143">
        <v>6.32628E11</v>
      </c>
      <c r="C3160" s="140" t="s">
        <v>10165</v>
      </c>
      <c r="D3160" s="140" t="s">
        <v>6601</v>
      </c>
      <c r="E3160" s="140" t="s">
        <v>303</v>
      </c>
      <c r="F3160" s="140" t="s">
        <v>8317</v>
      </c>
      <c r="G3160" s="141" t="s">
        <v>6401</v>
      </c>
      <c r="H3160" s="140" t="s">
        <v>6312</v>
      </c>
      <c r="I3160" s="140" t="s">
        <v>6313</v>
      </c>
      <c r="J3160" s="140" t="s">
        <v>6314</v>
      </c>
      <c r="K3160" s="140" t="s">
        <v>10132</v>
      </c>
    </row>
    <row r="3161">
      <c r="A3161" s="140" t="s">
        <v>10132</v>
      </c>
      <c r="B3161" s="143">
        <v>6.32628E11</v>
      </c>
      <c r="C3161" s="140" t="s">
        <v>10166</v>
      </c>
      <c r="D3161" s="140" t="s">
        <v>6601</v>
      </c>
      <c r="E3161" s="140" t="s">
        <v>303</v>
      </c>
      <c r="F3161" s="140" t="s">
        <v>8317</v>
      </c>
      <c r="G3161" s="141" t="s">
        <v>6401</v>
      </c>
      <c r="H3161" s="140" t="s">
        <v>6312</v>
      </c>
      <c r="I3161" s="140" t="s">
        <v>6313</v>
      </c>
      <c r="J3161" s="140" t="s">
        <v>6314</v>
      </c>
      <c r="K3161" s="140" t="s">
        <v>10132</v>
      </c>
    </row>
    <row r="3162">
      <c r="A3162" s="140" t="s">
        <v>10132</v>
      </c>
      <c r="B3162" s="143">
        <v>6.32628E11</v>
      </c>
      <c r="C3162" s="140" t="s">
        <v>10167</v>
      </c>
      <c r="D3162" s="140" t="s">
        <v>6601</v>
      </c>
      <c r="E3162" s="140" t="s">
        <v>303</v>
      </c>
      <c r="F3162" s="140" t="s">
        <v>8317</v>
      </c>
      <c r="G3162" s="141" t="s">
        <v>6401</v>
      </c>
      <c r="H3162" s="140" t="s">
        <v>6312</v>
      </c>
      <c r="I3162" s="140" t="s">
        <v>6313</v>
      </c>
      <c r="J3162" s="140" t="s">
        <v>6314</v>
      </c>
      <c r="K3162" s="140" t="s">
        <v>10132</v>
      </c>
    </row>
    <row r="3163">
      <c r="A3163" s="140" t="s">
        <v>10132</v>
      </c>
      <c r="B3163" s="143">
        <v>6.32628E11</v>
      </c>
      <c r="C3163" s="140" t="s">
        <v>10168</v>
      </c>
      <c r="D3163" s="140" t="s">
        <v>6601</v>
      </c>
      <c r="E3163" s="140" t="s">
        <v>303</v>
      </c>
      <c r="F3163" s="140" t="s">
        <v>8317</v>
      </c>
      <c r="G3163" s="141" t="s">
        <v>6401</v>
      </c>
      <c r="H3163" s="140" t="s">
        <v>6312</v>
      </c>
      <c r="I3163" s="140" t="s">
        <v>6313</v>
      </c>
      <c r="J3163" s="140" t="s">
        <v>6314</v>
      </c>
      <c r="K3163" s="140" t="s">
        <v>10132</v>
      </c>
    </row>
    <row r="3164">
      <c r="A3164" s="140" t="s">
        <v>10132</v>
      </c>
      <c r="B3164" s="143">
        <v>6.32628E11</v>
      </c>
      <c r="C3164" s="140" t="s">
        <v>10169</v>
      </c>
      <c r="D3164" s="140" t="s">
        <v>6601</v>
      </c>
      <c r="E3164" s="140" t="s">
        <v>303</v>
      </c>
      <c r="F3164" s="140" t="s">
        <v>8317</v>
      </c>
      <c r="G3164" s="141" t="s">
        <v>6401</v>
      </c>
      <c r="H3164" s="140" t="s">
        <v>6312</v>
      </c>
      <c r="I3164" s="140" t="s">
        <v>6313</v>
      </c>
      <c r="J3164" s="140" t="s">
        <v>6314</v>
      </c>
      <c r="K3164" s="140" t="s">
        <v>10132</v>
      </c>
    </row>
    <row r="3165">
      <c r="A3165" s="140" t="s">
        <v>10132</v>
      </c>
      <c r="B3165" s="143">
        <v>6.32628E11</v>
      </c>
      <c r="C3165" s="140" t="s">
        <v>10170</v>
      </c>
      <c r="D3165" s="140" t="s">
        <v>6601</v>
      </c>
      <c r="E3165" s="140" t="s">
        <v>303</v>
      </c>
      <c r="F3165" s="140" t="s">
        <v>8317</v>
      </c>
      <c r="G3165" s="141" t="s">
        <v>6401</v>
      </c>
      <c r="H3165" s="140" t="s">
        <v>6312</v>
      </c>
      <c r="I3165" s="140" t="s">
        <v>6313</v>
      </c>
      <c r="J3165" s="140" t="s">
        <v>6314</v>
      </c>
      <c r="K3165" s="140" t="s">
        <v>10132</v>
      </c>
    </row>
    <row r="3166">
      <c r="A3166" s="140" t="s">
        <v>10132</v>
      </c>
      <c r="B3166" s="143">
        <v>6.32628E11</v>
      </c>
      <c r="C3166" s="140" t="s">
        <v>10171</v>
      </c>
      <c r="D3166" s="140" t="s">
        <v>6601</v>
      </c>
      <c r="E3166" s="140" t="s">
        <v>303</v>
      </c>
      <c r="F3166" s="140" t="s">
        <v>8317</v>
      </c>
      <c r="G3166" s="141" t="s">
        <v>6401</v>
      </c>
      <c r="H3166" s="140" t="s">
        <v>6312</v>
      </c>
      <c r="I3166" s="140" t="s">
        <v>6313</v>
      </c>
      <c r="J3166" s="140" t="s">
        <v>6314</v>
      </c>
      <c r="K3166" s="140" t="s">
        <v>10132</v>
      </c>
    </row>
    <row r="3167">
      <c r="A3167" s="140" t="s">
        <v>10132</v>
      </c>
      <c r="B3167" s="143">
        <v>6.32628E11</v>
      </c>
      <c r="C3167" s="140" t="s">
        <v>10172</v>
      </c>
      <c r="D3167" s="140" t="s">
        <v>6601</v>
      </c>
      <c r="E3167" s="140" t="s">
        <v>303</v>
      </c>
      <c r="F3167" s="140" t="s">
        <v>8317</v>
      </c>
      <c r="G3167" s="141" t="s">
        <v>6401</v>
      </c>
      <c r="H3167" s="140" t="s">
        <v>6312</v>
      </c>
      <c r="I3167" s="140" t="s">
        <v>6313</v>
      </c>
      <c r="J3167" s="140" t="s">
        <v>6314</v>
      </c>
      <c r="K3167" s="140" t="s">
        <v>10132</v>
      </c>
    </row>
    <row r="3168">
      <c r="A3168" s="140" t="s">
        <v>10132</v>
      </c>
      <c r="B3168" s="143">
        <v>6.32628E11</v>
      </c>
      <c r="C3168" s="140" t="s">
        <v>10173</v>
      </c>
      <c r="D3168" s="140" t="s">
        <v>6601</v>
      </c>
      <c r="E3168" s="140" t="s">
        <v>303</v>
      </c>
      <c r="F3168" s="140" t="s">
        <v>8317</v>
      </c>
      <c r="G3168" s="141" t="s">
        <v>6401</v>
      </c>
      <c r="H3168" s="140" t="s">
        <v>6312</v>
      </c>
      <c r="I3168" s="140" t="s">
        <v>6313</v>
      </c>
      <c r="J3168" s="140" t="s">
        <v>6314</v>
      </c>
      <c r="K3168" s="140" t="s">
        <v>10132</v>
      </c>
    </row>
    <row r="3169">
      <c r="A3169" s="140" t="s">
        <v>10132</v>
      </c>
      <c r="B3169" s="143">
        <v>6.32628E11</v>
      </c>
      <c r="C3169" s="140" t="s">
        <v>10174</v>
      </c>
      <c r="D3169" s="140" t="s">
        <v>6601</v>
      </c>
      <c r="E3169" s="140" t="s">
        <v>303</v>
      </c>
      <c r="F3169" s="140" t="s">
        <v>8317</v>
      </c>
      <c r="G3169" s="141" t="s">
        <v>6401</v>
      </c>
      <c r="H3169" s="140" t="s">
        <v>6312</v>
      </c>
      <c r="I3169" s="140" t="s">
        <v>6313</v>
      </c>
      <c r="J3169" s="140" t="s">
        <v>6314</v>
      </c>
      <c r="K3169" s="140" t="s">
        <v>10132</v>
      </c>
    </row>
    <row r="3170">
      <c r="A3170" s="140" t="s">
        <v>10132</v>
      </c>
      <c r="B3170" s="143">
        <v>6.32628E11</v>
      </c>
      <c r="C3170" s="140" t="s">
        <v>10175</v>
      </c>
      <c r="D3170" s="140" t="s">
        <v>6601</v>
      </c>
      <c r="E3170" s="140" t="s">
        <v>303</v>
      </c>
      <c r="F3170" s="140" t="s">
        <v>8317</v>
      </c>
      <c r="G3170" s="141" t="s">
        <v>6401</v>
      </c>
      <c r="H3170" s="140" t="s">
        <v>6312</v>
      </c>
      <c r="I3170" s="140" t="s">
        <v>6313</v>
      </c>
      <c r="J3170" s="140" t="s">
        <v>6314</v>
      </c>
      <c r="K3170" s="140" t="s">
        <v>10132</v>
      </c>
    </row>
    <row r="3171">
      <c r="A3171" s="140" t="s">
        <v>10132</v>
      </c>
      <c r="B3171" s="143">
        <v>6.32628E11</v>
      </c>
      <c r="C3171" s="140" t="s">
        <v>10176</v>
      </c>
      <c r="D3171" s="140" t="s">
        <v>6601</v>
      </c>
      <c r="E3171" s="140" t="s">
        <v>303</v>
      </c>
      <c r="F3171" s="140" t="s">
        <v>8317</v>
      </c>
      <c r="G3171" s="141" t="s">
        <v>6401</v>
      </c>
      <c r="H3171" s="140" t="s">
        <v>6312</v>
      </c>
      <c r="I3171" s="140" t="s">
        <v>6313</v>
      </c>
      <c r="J3171" s="140" t="s">
        <v>6314</v>
      </c>
      <c r="K3171" s="140" t="s">
        <v>10132</v>
      </c>
    </row>
    <row r="3172">
      <c r="A3172" s="140" t="s">
        <v>10132</v>
      </c>
      <c r="B3172" s="143">
        <v>6.32628E11</v>
      </c>
      <c r="C3172" s="140" t="s">
        <v>10177</v>
      </c>
      <c r="D3172" s="140" t="s">
        <v>6601</v>
      </c>
      <c r="E3172" s="140" t="s">
        <v>303</v>
      </c>
      <c r="F3172" s="140" t="s">
        <v>8317</v>
      </c>
      <c r="G3172" s="141" t="s">
        <v>6401</v>
      </c>
      <c r="H3172" s="140" t="s">
        <v>6312</v>
      </c>
      <c r="I3172" s="140" t="s">
        <v>6313</v>
      </c>
      <c r="J3172" s="140" t="s">
        <v>6314</v>
      </c>
      <c r="K3172" s="140" t="s">
        <v>10132</v>
      </c>
    </row>
    <row r="3173">
      <c r="A3173" s="140" t="s">
        <v>10132</v>
      </c>
      <c r="B3173" s="143">
        <v>6.32628E11</v>
      </c>
      <c r="C3173" s="140" t="s">
        <v>10178</v>
      </c>
      <c r="D3173" s="140" t="s">
        <v>6601</v>
      </c>
      <c r="E3173" s="140" t="s">
        <v>303</v>
      </c>
      <c r="F3173" s="140" t="s">
        <v>8317</v>
      </c>
      <c r="G3173" s="141" t="s">
        <v>6401</v>
      </c>
      <c r="H3173" s="140" t="s">
        <v>6312</v>
      </c>
      <c r="I3173" s="140" t="s">
        <v>6313</v>
      </c>
      <c r="J3173" s="140" t="s">
        <v>6314</v>
      </c>
      <c r="K3173" s="140" t="s">
        <v>10132</v>
      </c>
    </row>
    <row r="3174">
      <c r="A3174" s="140" t="s">
        <v>10132</v>
      </c>
      <c r="B3174" s="143">
        <v>6.32628E11</v>
      </c>
      <c r="C3174" s="140" t="s">
        <v>10179</v>
      </c>
      <c r="D3174" s="140" t="s">
        <v>6601</v>
      </c>
      <c r="E3174" s="140" t="s">
        <v>303</v>
      </c>
      <c r="F3174" s="140" t="s">
        <v>8317</v>
      </c>
      <c r="G3174" s="141" t="s">
        <v>6401</v>
      </c>
      <c r="H3174" s="140" t="s">
        <v>6312</v>
      </c>
      <c r="I3174" s="140" t="s">
        <v>6313</v>
      </c>
      <c r="J3174" s="140" t="s">
        <v>6314</v>
      </c>
      <c r="K3174" s="140" t="s">
        <v>10132</v>
      </c>
    </row>
    <row r="3175">
      <c r="A3175" s="140" t="s">
        <v>10132</v>
      </c>
      <c r="B3175" s="143">
        <v>6.32628E11</v>
      </c>
      <c r="C3175" s="140" t="s">
        <v>10180</v>
      </c>
      <c r="D3175" s="140" t="s">
        <v>6601</v>
      </c>
      <c r="E3175" s="140" t="s">
        <v>303</v>
      </c>
      <c r="F3175" s="140" t="s">
        <v>8317</v>
      </c>
      <c r="G3175" s="141" t="s">
        <v>6401</v>
      </c>
      <c r="H3175" s="140" t="s">
        <v>6312</v>
      </c>
      <c r="I3175" s="140" t="s">
        <v>6313</v>
      </c>
      <c r="J3175" s="140" t="s">
        <v>6314</v>
      </c>
      <c r="K3175" s="140" t="s">
        <v>10132</v>
      </c>
    </row>
    <row r="3176">
      <c r="A3176" s="140" t="s">
        <v>10132</v>
      </c>
      <c r="B3176" s="143">
        <v>6.32628E11</v>
      </c>
      <c r="C3176" s="140" t="s">
        <v>10181</v>
      </c>
      <c r="D3176" s="140" t="s">
        <v>6601</v>
      </c>
      <c r="E3176" s="140" t="s">
        <v>303</v>
      </c>
      <c r="F3176" s="140" t="s">
        <v>8317</v>
      </c>
      <c r="G3176" s="141" t="s">
        <v>6401</v>
      </c>
      <c r="H3176" s="140" t="s">
        <v>6312</v>
      </c>
      <c r="I3176" s="140" t="s">
        <v>6313</v>
      </c>
      <c r="J3176" s="140" t="s">
        <v>6314</v>
      </c>
      <c r="K3176" s="140" t="s">
        <v>10132</v>
      </c>
    </row>
    <row r="3177">
      <c r="A3177" s="140" t="s">
        <v>10132</v>
      </c>
      <c r="B3177" s="143">
        <v>6.32628E11</v>
      </c>
      <c r="C3177" s="140" t="s">
        <v>10182</v>
      </c>
      <c r="D3177" s="140" t="s">
        <v>6601</v>
      </c>
      <c r="E3177" s="140" t="s">
        <v>303</v>
      </c>
      <c r="F3177" s="140" t="s">
        <v>8317</v>
      </c>
      <c r="G3177" s="141" t="s">
        <v>6401</v>
      </c>
      <c r="H3177" s="140" t="s">
        <v>6312</v>
      </c>
      <c r="I3177" s="140" t="s">
        <v>6313</v>
      </c>
      <c r="J3177" s="140" t="s">
        <v>6314</v>
      </c>
      <c r="K3177" s="140" t="s">
        <v>10132</v>
      </c>
    </row>
    <row r="3178">
      <c r="A3178" s="140" t="s">
        <v>10132</v>
      </c>
      <c r="B3178" s="143">
        <v>6.32628E11</v>
      </c>
      <c r="C3178" s="140" t="s">
        <v>10183</v>
      </c>
      <c r="D3178" s="140" t="s">
        <v>6601</v>
      </c>
      <c r="E3178" s="140" t="s">
        <v>303</v>
      </c>
      <c r="F3178" s="140" t="s">
        <v>8317</v>
      </c>
      <c r="G3178" s="141" t="s">
        <v>6401</v>
      </c>
      <c r="H3178" s="140" t="s">
        <v>6312</v>
      </c>
      <c r="I3178" s="140" t="s">
        <v>6313</v>
      </c>
      <c r="J3178" s="140" t="s">
        <v>6314</v>
      </c>
      <c r="K3178" s="140" t="s">
        <v>10132</v>
      </c>
    </row>
    <row r="3179">
      <c r="A3179" s="140" t="s">
        <v>10132</v>
      </c>
      <c r="B3179" s="143">
        <v>6.32628E11</v>
      </c>
      <c r="C3179" s="140" t="s">
        <v>10184</v>
      </c>
      <c r="D3179" s="140" t="s">
        <v>6601</v>
      </c>
      <c r="E3179" s="140" t="s">
        <v>303</v>
      </c>
      <c r="F3179" s="140" t="s">
        <v>8317</v>
      </c>
      <c r="G3179" s="141" t="s">
        <v>6401</v>
      </c>
      <c r="H3179" s="140" t="s">
        <v>6312</v>
      </c>
      <c r="I3179" s="140" t="s">
        <v>6313</v>
      </c>
      <c r="J3179" s="140" t="s">
        <v>6314</v>
      </c>
      <c r="K3179" s="140" t="s">
        <v>10132</v>
      </c>
    </row>
    <row r="3180">
      <c r="A3180" s="140" t="s">
        <v>10132</v>
      </c>
      <c r="B3180" s="143">
        <v>6.32628E11</v>
      </c>
      <c r="C3180" s="140" t="s">
        <v>10185</v>
      </c>
      <c r="D3180" s="140" t="s">
        <v>6601</v>
      </c>
      <c r="E3180" s="140" t="s">
        <v>303</v>
      </c>
      <c r="F3180" s="140" t="s">
        <v>8317</v>
      </c>
      <c r="G3180" s="141" t="s">
        <v>6401</v>
      </c>
      <c r="H3180" s="140" t="s">
        <v>6312</v>
      </c>
      <c r="I3180" s="140" t="s">
        <v>6313</v>
      </c>
      <c r="J3180" s="140" t="s">
        <v>6314</v>
      </c>
      <c r="K3180" s="140" t="s">
        <v>10132</v>
      </c>
    </row>
    <row r="3181">
      <c r="A3181" s="140" t="s">
        <v>10132</v>
      </c>
      <c r="B3181" s="143">
        <v>6.32628E11</v>
      </c>
      <c r="C3181" s="140" t="s">
        <v>10186</v>
      </c>
      <c r="D3181" s="140" t="s">
        <v>6601</v>
      </c>
      <c r="E3181" s="140" t="s">
        <v>303</v>
      </c>
      <c r="F3181" s="140" t="s">
        <v>8317</v>
      </c>
      <c r="G3181" s="141" t="s">
        <v>6401</v>
      </c>
      <c r="H3181" s="140" t="s">
        <v>6312</v>
      </c>
      <c r="I3181" s="140" t="s">
        <v>6313</v>
      </c>
      <c r="J3181" s="140" t="s">
        <v>6314</v>
      </c>
      <c r="K3181" s="140" t="s">
        <v>10132</v>
      </c>
    </row>
    <row r="3182">
      <c r="A3182" s="140" t="s">
        <v>10132</v>
      </c>
      <c r="B3182" s="143">
        <v>6.32628E11</v>
      </c>
      <c r="C3182" s="140" t="s">
        <v>10187</v>
      </c>
      <c r="D3182" s="140" t="s">
        <v>6601</v>
      </c>
      <c r="E3182" s="140" t="s">
        <v>303</v>
      </c>
      <c r="F3182" s="140" t="s">
        <v>8317</v>
      </c>
      <c r="G3182" s="141" t="s">
        <v>6401</v>
      </c>
      <c r="H3182" s="140" t="s">
        <v>6312</v>
      </c>
      <c r="I3182" s="140" t="s">
        <v>6313</v>
      </c>
      <c r="J3182" s="140" t="s">
        <v>6314</v>
      </c>
      <c r="K3182" s="140" t="s">
        <v>10132</v>
      </c>
    </row>
    <row r="3183">
      <c r="A3183" s="140" t="s">
        <v>10132</v>
      </c>
      <c r="B3183" s="143">
        <v>6.32628E11</v>
      </c>
      <c r="C3183" s="140" t="s">
        <v>10188</v>
      </c>
      <c r="D3183" s="140" t="s">
        <v>6601</v>
      </c>
      <c r="E3183" s="140" t="s">
        <v>303</v>
      </c>
      <c r="F3183" s="140" t="s">
        <v>8317</v>
      </c>
      <c r="G3183" s="141" t="s">
        <v>6401</v>
      </c>
      <c r="H3183" s="140" t="s">
        <v>6312</v>
      </c>
      <c r="I3183" s="140" t="s">
        <v>6313</v>
      </c>
      <c r="J3183" s="140" t="s">
        <v>6314</v>
      </c>
      <c r="K3183" s="140" t="s">
        <v>10132</v>
      </c>
    </row>
    <row r="3184">
      <c r="A3184" s="140" t="s">
        <v>10132</v>
      </c>
      <c r="B3184" s="143">
        <v>6.32628E11</v>
      </c>
      <c r="C3184" s="140" t="s">
        <v>10189</v>
      </c>
      <c r="D3184" s="140" t="s">
        <v>6601</v>
      </c>
      <c r="E3184" s="140" t="s">
        <v>303</v>
      </c>
      <c r="F3184" s="140" t="s">
        <v>8317</v>
      </c>
      <c r="G3184" s="141" t="s">
        <v>6401</v>
      </c>
      <c r="H3184" s="140" t="s">
        <v>6312</v>
      </c>
      <c r="I3184" s="140" t="s">
        <v>6313</v>
      </c>
      <c r="J3184" s="140" t="s">
        <v>6314</v>
      </c>
      <c r="K3184" s="140" t="s">
        <v>10132</v>
      </c>
    </row>
    <row r="3185">
      <c r="A3185" s="140" t="s">
        <v>10132</v>
      </c>
      <c r="B3185" s="143">
        <v>6.32628E11</v>
      </c>
      <c r="C3185" s="140" t="s">
        <v>10190</v>
      </c>
      <c r="D3185" s="140" t="s">
        <v>6601</v>
      </c>
      <c r="E3185" s="140" t="s">
        <v>303</v>
      </c>
      <c r="F3185" s="140" t="s">
        <v>8317</v>
      </c>
      <c r="G3185" s="141" t="s">
        <v>6401</v>
      </c>
      <c r="H3185" s="140" t="s">
        <v>6312</v>
      </c>
      <c r="I3185" s="140" t="s">
        <v>6313</v>
      </c>
      <c r="J3185" s="140" t="s">
        <v>6314</v>
      </c>
      <c r="K3185" s="140" t="s">
        <v>10132</v>
      </c>
    </row>
    <row r="3186">
      <c r="A3186" s="140" t="s">
        <v>10132</v>
      </c>
      <c r="B3186" s="143">
        <v>6.32628E11</v>
      </c>
      <c r="C3186" s="140" t="s">
        <v>10191</v>
      </c>
      <c r="D3186" s="140" t="s">
        <v>6601</v>
      </c>
      <c r="E3186" s="140" t="s">
        <v>303</v>
      </c>
      <c r="F3186" s="140" t="s">
        <v>8317</v>
      </c>
      <c r="G3186" s="141" t="s">
        <v>6401</v>
      </c>
      <c r="H3186" s="140" t="s">
        <v>6312</v>
      </c>
      <c r="I3186" s="140" t="s">
        <v>6313</v>
      </c>
      <c r="J3186" s="140" t="s">
        <v>6314</v>
      </c>
      <c r="K3186" s="140" t="s">
        <v>10132</v>
      </c>
    </row>
    <row r="3187">
      <c r="A3187" s="140" t="s">
        <v>10132</v>
      </c>
      <c r="B3187" s="143">
        <v>6.32628E11</v>
      </c>
      <c r="C3187" s="140" t="s">
        <v>10192</v>
      </c>
      <c r="D3187" s="140" t="s">
        <v>6601</v>
      </c>
      <c r="E3187" s="140" t="s">
        <v>303</v>
      </c>
      <c r="F3187" s="140" t="s">
        <v>8317</v>
      </c>
      <c r="G3187" s="141" t="s">
        <v>6401</v>
      </c>
      <c r="H3187" s="140" t="s">
        <v>6312</v>
      </c>
      <c r="I3187" s="140" t="s">
        <v>6313</v>
      </c>
      <c r="J3187" s="140" t="s">
        <v>6314</v>
      </c>
      <c r="K3187" s="140" t="s">
        <v>10132</v>
      </c>
    </row>
    <row r="3188">
      <c r="A3188" s="140" t="s">
        <v>10132</v>
      </c>
      <c r="B3188" s="143">
        <v>6.32628E11</v>
      </c>
      <c r="C3188" s="140" t="s">
        <v>10193</v>
      </c>
      <c r="D3188" s="140" t="s">
        <v>6601</v>
      </c>
      <c r="E3188" s="140" t="s">
        <v>303</v>
      </c>
      <c r="F3188" s="140" t="s">
        <v>8317</v>
      </c>
      <c r="G3188" s="141" t="s">
        <v>6401</v>
      </c>
      <c r="H3188" s="140" t="s">
        <v>6312</v>
      </c>
      <c r="I3188" s="140" t="s">
        <v>6313</v>
      </c>
      <c r="J3188" s="140" t="s">
        <v>6314</v>
      </c>
      <c r="K3188" s="140" t="s">
        <v>10132</v>
      </c>
    </row>
    <row r="3189">
      <c r="A3189" s="140" t="s">
        <v>10132</v>
      </c>
      <c r="B3189" s="143">
        <v>6.32628E11</v>
      </c>
      <c r="C3189" s="140" t="s">
        <v>10194</v>
      </c>
      <c r="D3189" s="140" t="s">
        <v>6601</v>
      </c>
      <c r="E3189" s="140" t="s">
        <v>303</v>
      </c>
      <c r="F3189" s="140" t="s">
        <v>8317</v>
      </c>
      <c r="G3189" s="141" t="s">
        <v>6401</v>
      </c>
      <c r="H3189" s="140" t="s">
        <v>6312</v>
      </c>
      <c r="I3189" s="140" t="s">
        <v>6313</v>
      </c>
      <c r="J3189" s="140" t="s">
        <v>6314</v>
      </c>
      <c r="K3189" s="140" t="s">
        <v>10132</v>
      </c>
    </row>
    <row r="3190">
      <c r="A3190" s="140" t="s">
        <v>10132</v>
      </c>
      <c r="B3190" s="143">
        <v>6.32628E11</v>
      </c>
      <c r="C3190" s="140" t="s">
        <v>10195</v>
      </c>
      <c r="D3190" s="140" t="s">
        <v>6601</v>
      </c>
      <c r="E3190" s="140" t="s">
        <v>303</v>
      </c>
      <c r="F3190" s="140" t="s">
        <v>8317</v>
      </c>
      <c r="G3190" s="141" t="s">
        <v>6401</v>
      </c>
      <c r="H3190" s="140" t="s">
        <v>6312</v>
      </c>
      <c r="I3190" s="140" t="s">
        <v>6313</v>
      </c>
      <c r="J3190" s="140" t="s">
        <v>6314</v>
      </c>
      <c r="K3190" s="140" t="s">
        <v>10132</v>
      </c>
    </row>
    <row r="3191">
      <c r="A3191" s="140" t="s">
        <v>10132</v>
      </c>
      <c r="B3191" s="143">
        <v>6.32628E11</v>
      </c>
      <c r="C3191" s="140" t="s">
        <v>10196</v>
      </c>
      <c r="D3191" s="140" t="s">
        <v>6601</v>
      </c>
      <c r="E3191" s="140" t="s">
        <v>303</v>
      </c>
      <c r="F3191" s="140" t="s">
        <v>8317</v>
      </c>
      <c r="G3191" s="141" t="s">
        <v>6401</v>
      </c>
      <c r="H3191" s="140" t="s">
        <v>6312</v>
      </c>
      <c r="I3191" s="140" t="s">
        <v>6313</v>
      </c>
      <c r="J3191" s="140" t="s">
        <v>6314</v>
      </c>
      <c r="K3191" s="140" t="s">
        <v>10132</v>
      </c>
    </row>
    <row r="3192">
      <c r="A3192" s="140" t="s">
        <v>10132</v>
      </c>
      <c r="B3192" s="143">
        <v>6.32628E11</v>
      </c>
      <c r="C3192" s="140" t="s">
        <v>10197</v>
      </c>
      <c r="D3192" s="140" t="s">
        <v>6601</v>
      </c>
      <c r="E3192" s="140" t="s">
        <v>303</v>
      </c>
      <c r="F3192" s="140" t="s">
        <v>8317</v>
      </c>
      <c r="G3192" s="141" t="s">
        <v>6401</v>
      </c>
      <c r="H3192" s="140" t="s">
        <v>6312</v>
      </c>
      <c r="I3192" s="140" t="s">
        <v>6313</v>
      </c>
      <c r="J3192" s="140" t="s">
        <v>6314</v>
      </c>
      <c r="K3192" s="140" t="s">
        <v>10132</v>
      </c>
    </row>
    <row r="3193">
      <c r="A3193" s="140" t="s">
        <v>10132</v>
      </c>
      <c r="B3193" s="143">
        <v>6.32628E11</v>
      </c>
      <c r="C3193" s="140" t="s">
        <v>10198</v>
      </c>
      <c r="D3193" s="140" t="s">
        <v>6601</v>
      </c>
      <c r="E3193" s="140" t="s">
        <v>303</v>
      </c>
      <c r="F3193" s="140" t="s">
        <v>8317</v>
      </c>
      <c r="G3193" s="141" t="s">
        <v>6401</v>
      </c>
      <c r="H3193" s="140" t="s">
        <v>6312</v>
      </c>
      <c r="I3193" s="140" t="s">
        <v>6313</v>
      </c>
      <c r="J3193" s="140" t="s">
        <v>6314</v>
      </c>
      <c r="K3193" s="140" t="s">
        <v>10132</v>
      </c>
    </row>
    <row r="3194">
      <c r="A3194" s="140" t="s">
        <v>10132</v>
      </c>
      <c r="B3194" s="143">
        <v>6.32628E11</v>
      </c>
      <c r="C3194" s="140" t="s">
        <v>10199</v>
      </c>
      <c r="D3194" s="140" t="s">
        <v>6601</v>
      </c>
      <c r="E3194" s="140" t="s">
        <v>303</v>
      </c>
      <c r="F3194" s="140" t="s">
        <v>8317</v>
      </c>
      <c r="G3194" s="141" t="s">
        <v>6401</v>
      </c>
      <c r="H3194" s="140" t="s">
        <v>6312</v>
      </c>
      <c r="I3194" s="140" t="s">
        <v>6313</v>
      </c>
      <c r="J3194" s="140" t="s">
        <v>6314</v>
      </c>
      <c r="K3194" s="140" t="s">
        <v>10132</v>
      </c>
    </row>
    <row r="3195">
      <c r="A3195" s="140" t="s">
        <v>10132</v>
      </c>
      <c r="B3195" s="143">
        <v>6.32628E11</v>
      </c>
      <c r="C3195" s="140" t="s">
        <v>10200</v>
      </c>
      <c r="D3195" s="140" t="s">
        <v>6601</v>
      </c>
      <c r="E3195" s="140" t="s">
        <v>303</v>
      </c>
      <c r="F3195" s="140" t="s">
        <v>8317</v>
      </c>
      <c r="G3195" s="141" t="s">
        <v>6401</v>
      </c>
      <c r="H3195" s="140" t="s">
        <v>6312</v>
      </c>
      <c r="I3195" s="140" t="s">
        <v>6313</v>
      </c>
      <c r="J3195" s="140" t="s">
        <v>6314</v>
      </c>
      <c r="K3195" s="140" t="s">
        <v>10132</v>
      </c>
    </row>
    <row r="3196">
      <c r="A3196" s="140" t="s">
        <v>10132</v>
      </c>
      <c r="B3196" s="143">
        <v>6.32628E11</v>
      </c>
      <c r="C3196" s="140" t="s">
        <v>10201</v>
      </c>
      <c r="D3196" s="140" t="s">
        <v>6601</v>
      </c>
      <c r="E3196" s="140" t="s">
        <v>303</v>
      </c>
      <c r="F3196" s="140" t="s">
        <v>8317</v>
      </c>
      <c r="G3196" s="141" t="s">
        <v>6401</v>
      </c>
      <c r="H3196" s="140" t="s">
        <v>6312</v>
      </c>
      <c r="I3196" s="140" t="s">
        <v>6313</v>
      </c>
      <c r="J3196" s="140" t="s">
        <v>6314</v>
      </c>
      <c r="K3196" s="140" t="s">
        <v>10132</v>
      </c>
    </row>
    <row r="3197">
      <c r="A3197" s="140" t="s">
        <v>10132</v>
      </c>
      <c r="B3197" s="143">
        <v>6.32628E11</v>
      </c>
      <c r="C3197" s="140" t="s">
        <v>10202</v>
      </c>
      <c r="D3197" s="140" t="s">
        <v>6601</v>
      </c>
      <c r="E3197" s="140" t="s">
        <v>303</v>
      </c>
      <c r="F3197" s="140" t="s">
        <v>8317</v>
      </c>
      <c r="G3197" s="141" t="s">
        <v>6401</v>
      </c>
      <c r="H3197" s="140" t="s">
        <v>6312</v>
      </c>
      <c r="I3197" s="140" t="s">
        <v>6313</v>
      </c>
      <c r="J3197" s="140" t="s">
        <v>6314</v>
      </c>
      <c r="K3197" s="140" t="s">
        <v>10132</v>
      </c>
    </row>
    <row r="3198">
      <c r="A3198" s="140" t="s">
        <v>10132</v>
      </c>
      <c r="B3198" s="143">
        <v>6.32628E11</v>
      </c>
      <c r="C3198" s="140" t="s">
        <v>10203</v>
      </c>
      <c r="D3198" s="140" t="s">
        <v>6601</v>
      </c>
      <c r="E3198" s="140" t="s">
        <v>303</v>
      </c>
      <c r="F3198" s="140" t="s">
        <v>8317</v>
      </c>
      <c r="G3198" s="141" t="s">
        <v>6401</v>
      </c>
      <c r="H3198" s="140" t="s">
        <v>6312</v>
      </c>
      <c r="I3198" s="140" t="s">
        <v>6313</v>
      </c>
      <c r="J3198" s="140" t="s">
        <v>6314</v>
      </c>
      <c r="K3198" s="140" t="s">
        <v>10132</v>
      </c>
    </row>
    <row r="3199">
      <c r="A3199" s="140" t="s">
        <v>10132</v>
      </c>
      <c r="B3199" s="143">
        <v>6.32628E11</v>
      </c>
      <c r="C3199" s="140" t="s">
        <v>10204</v>
      </c>
      <c r="D3199" s="140" t="s">
        <v>6601</v>
      </c>
      <c r="E3199" s="140" t="s">
        <v>303</v>
      </c>
      <c r="F3199" s="140" t="s">
        <v>8317</v>
      </c>
      <c r="G3199" s="141" t="s">
        <v>6401</v>
      </c>
      <c r="H3199" s="140" t="s">
        <v>6312</v>
      </c>
      <c r="I3199" s="140" t="s">
        <v>6313</v>
      </c>
      <c r="J3199" s="140" t="s">
        <v>6314</v>
      </c>
      <c r="K3199" s="140" t="s">
        <v>10132</v>
      </c>
    </row>
    <row r="3200">
      <c r="A3200" s="140" t="s">
        <v>10132</v>
      </c>
      <c r="B3200" s="143">
        <v>6.32628E11</v>
      </c>
      <c r="C3200" s="140" t="s">
        <v>10205</v>
      </c>
      <c r="D3200" s="140" t="s">
        <v>6601</v>
      </c>
      <c r="E3200" s="140" t="s">
        <v>303</v>
      </c>
      <c r="F3200" s="140" t="s">
        <v>8317</v>
      </c>
      <c r="G3200" s="141" t="s">
        <v>6401</v>
      </c>
      <c r="H3200" s="140" t="s">
        <v>6312</v>
      </c>
      <c r="I3200" s="140" t="s">
        <v>6313</v>
      </c>
      <c r="J3200" s="140" t="s">
        <v>6314</v>
      </c>
      <c r="K3200" s="140" t="s">
        <v>10132</v>
      </c>
    </row>
    <row r="3201">
      <c r="A3201" s="140" t="s">
        <v>10132</v>
      </c>
      <c r="B3201" s="143">
        <v>6.32628E11</v>
      </c>
      <c r="C3201" s="140" t="s">
        <v>10206</v>
      </c>
      <c r="D3201" s="140" t="s">
        <v>6601</v>
      </c>
      <c r="E3201" s="140" t="s">
        <v>303</v>
      </c>
      <c r="F3201" s="140" t="s">
        <v>8317</v>
      </c>
      <c r="G3201" s="141" t="s">
        <v>6401</v>
      </c>
      <c r="H3201" s="140" t="s">
        <v>6312</v>
      </c>
      <c r="I3201" s="140" t="s">
        <v>6313</v>
      </c>
      <c r="J3201" s="140" t="s">
        <v>6314</v>
      </c>
      <c r="K3201" s="140" t="s">
        <v>10132</v>
      </c>
    </row>
    <row r="3202">
      <c r="A3202" s="140" t="s">
        <v>10132</v>
      </c>
      <c r="B3202" s="143">
        <v>6.32628E11</v>
      </c>
      <c r="C3202" s="140" t="s">
        <v>10207</v>
      </c>
      <c r="D3202" s="140" t="s">
        <v>6601</v>
      </c>
      <c r="E3202" s="140" t="s">
        <v>303</v>
      </c>
      <c r="F3202" s="140" t="s">
        <v>8317</v>
      </c>
      <c r="G3202" s="141" t="s">
        <v>6401</v>
      </c>
      <c r="H3202" s="140" t="s">
        <v>6312</v>
      </c>
      <c r="I3202" s="140" t="s">
        <v>6313</v>
      </c>
      <c r="J3202" s="140" t="s">
        <v>6314</v>
      </c>
      <c r="K3202" s="140" t="s">
        <v>10132</v>
      </c>
    </row>
    <row r="3203">
      <c r="A3203" s="140" t="s">
        <v>10132</v>
      </c>
      <c r="B3203" s="143">
        <v>6.32628E11</v>
      </c>
      <c r="C3203" s="140" t="s">
        <v>10208</v>
      </c>
      <c r="D3203" s="140" t="s">
        <v>6601</v>
      </c>
      <c r="E3203" s="140" t="s">
        <v>303</v>
      </c>
      <c r="F3203" s="140" t="s">
        <v>8317</v>
      </c>
      <c r="G3203" s="141" t="s">
        <v>6401</v>
      </c>
      <c r="H3203" s="140" t="s">
        <v>6312</v>
      </c>
      <c r="I3203" s="140" t="s">
        <v>6313</v>
      </c>
      <c r="J3203" s="140" t="s">
        <v>6314</v>
      </c>
      <c r="K3203" s="140" t="s">
        <v>10132</v>
      </c>
    </row>
    <row r="3204">
      <c r="A3204" s="140" t="s">
        <v>10132</v>
      </c>
      <c r="B3204" s="143">
        <v>6.32628E11</v>
      </c>
      <c r="C3204" s="140" t="s">
        <v>10209</v>
      </c>
      <c r="D3204" s="140" t="s">
        <v>6601</v>
      </c>
      <c r="E3204" s="140" t="s">
        <v>303</v>
      </c>
      <c r="F3204" s="140" t="s">
        <v>8317</v>
      </c>
      <c r="G3204" s="141" t="s">
        <v>6401</v>
      </c>
      <c r="H3204" s="140" t="s">
        <v>6312</v>
      </c>
      <c r="I3204" s="140" t="s">
        <v>6313</v>
      </c>
      <c r="J3204" s="140" t="s">
        <v>6314</v>
      </c>
      <c r="K3204" s="140" t="s">
        <v>10132</v>
      </c>
    </row>
    <row r="3205">
      <c r="A3205" s="140" t="s">
        <v>10132</v>
      </c>
      <c r="B3205" s="143">
        <v>6.32628E11</v>
      </c>
      <c r="C3205" s="140" t="s">
        <v>10210</v>
      </c>
      <c r="D3205" s="140" t="s">
        <v>6601</v>
      </c>
      <c r="E3205" s="140" t="s">
        <v>303</v>
      </c>
      <c r="F3205" s="140" t="s">
        <v>8317</v>
      </c>
      <c r="G3205" s="141" t="s">
        <v>6401</v>
      </c>
      <c r="H3205" s="140" t="s">
        <v>6312</v>
      </c>
      <c r="I3205" s="140" t="s">
        <v>6313</v>
      </c>
      <c r="J3205" s="140" t="s">
        <v>6314</v>
      </c>
      <c r="K3205" s="140" t="s">
        <v>10132</v>
      </c>
    </row>
    <row r="3206">
      <c r="A3206" s="140" t="s">
        <v>10132</v>
      </c>
      <c r="B3206" s="143">
        <v>6.32628E11</v>
      </c>
      <c r="C3206" s="140" t="s">
        <v>10211</v>
      </c>
      <c r="D3206" s="140" t="s">
        <v>6601</v>
      </c>
      <c r="E3206" s="140" t="s">
        <v>303</v>
      </c>
      <c r="F3206" s="140" t="s">
        <v>8317</v>
      </c>
      <c r="G3206" s="141" t="s">
        <v>6401</v>
      </c>
      <c r="H3206" s="140" t="s">
        <v>6312</v>
      </c>
      <c r="I3206" s="140" t="s">
        <v>6313</v>
      </c>
      <c r="J3206" s="140" t="s">
        <v>6314</v>
      </c>
      <c r="K3206" s="140" t="s">
        <v>10132</v>
      </c>
    </row>
    <row r="3207">
      <c r="A3207" s="140" t="s">
        <v>10132</v>
      </c>
      <c r="B3207" s="143">
        <v>6.32628E11</v>
      </c>
      <c r="C3207" s="140" t="s">
        <v>10212</v>
      </c>
      <c r="D3207" s="140" t="s">
        <v>6601</v>
      </c>
      <c r="E3207" s="140" t="s">
        <v>303</v>
      </c>
      <c r="F3207" s="140" t="s">
        <v>8317</v>
      </c>
      <c r="G3207" s="141" t="s">
        <v>6401</v>
      </c>
      <c r="H3207" s="140" t="s">
        <v>6312</v>
      </c>
      <c r="I3207" s="140" t="s">
        <v>6313</v>
      </c>
      <c r="J3207" s="140" t="s">
        <v>6314</v>
      </c>
      <c r="K3207" s="140" t="s">
        <v>10132</v>
      </c>
    </row>
    <row r="3208">
      <c r="A3208" s="140" t="s">
        <v>10132</v>
      </c>
      <c r="B3208" s="143">
        <v>6.32628E11</v>
      </c>
      <c r="C3208" s="140" t="s">
        <v>10213</v>
      </c>
      <c r="D3208" s="140" t="s">
        <v>6601</v>
      </c>
      <c r="E3208" s="140" t="s">
        <v>303</v>
      </c>
      <c r="F3208" s="140" t="s">
        <v>8317</v>
      </c>
      <c r="G3208" s="141" t="s">
        <v>6401</v>
      </c>
      <c r="H3208" s="140" t="s">
        <v>6312</v>
      </c>
      <c r="I3208" s="140" t="s">
        <v>6313</v>
      </c>
      <c r="J3208" s="140" t="s">
        <v>6314</v>
      </c>
      <c r="K3208" s="140" t="s">
        <v>10132</v>
      </c>
    </row>
    <row r="3209">
      <c r="A3209" s="140" t="s">
        <v>10132</v>
      </c>
      <c r="B3209" s="143">
        <v>6.32628E11</v>
      </c>
      <c r="C3209" s="140" t="s">
        <v>10214</v>
      </c>
      <c r="D3209" s="140" t="s">
        <v>6601</v>
      </c>
      <c r="E3209" s="140" t="s">
        <v>303</v>
      </c>
      <c r="F3209" s="140" t="s">
        <v>8317</v>
      </c>
      <c r="G3209" s="141" t="s">
        <v>6401</v>
      </c>
      <c r="H3209" s="140" t="s">
        <v>6312</v>
      </c>
      <c r="I3209" s="140" t="s">
        <v>6313</v>
      </c>
      <c r="J3209" s="140" t="s">
        <v>6314</v>
      </c>
      <c r="K3209" s="140" t="s">
        <v>10132</v>
      </c>
    </row>
    <row r="3210">
      <c r="A3210" s="140" t="s">
        <v>10132</v>
      </c>
      <c r="B3210" s="143">
        <v>6.32628E11</v>
      </c>
      <c r="C3210" s="140" t="s">
        <v>10215</v>
      </c>
      <c r="D3210" s="140" t="s">
        <v>6601</v>
      </c>
      <c r="E3210" s="140" t="s">
        <v>303</v>
      </c>
      <c r="F3210" s="140" t="s">
        <v>8317</v>
      </c>
      <c r="G3210" s="141" t="s">
        <v>6401</v>
      </c>
      <c r="H3210" s="140" t="s">
        <v>6312</v>
      </c>
      <c r="I3210" s="140" t="s">
        <v>6313</v>
      </c>
      <c r="J3210" s="140" t="s">
        <v>6314</v>
      </c>
      <c r="K3210" s="140" t="s">
        <v>10132</v>
      </c>
    </row>
    <row r="3211">
      <c r="A3211" s="140" t="s">
        <v>10132</v>
      </c>
      <c r="B3211" s="143">
        <v>6.32628E11</v>
      </c>
      <c r="C3211" s="140" t="s">
        <v>10216</v>
      </c>
      <c r="D3211" s="140" t="s">
        <v>6601</v>
      </c>
      <c r="E3211" s="140" t="s">
        <v>303</v>
      </c>
      <c r="F3211" s="140" t="s">
        <v>8317</v>
      </c>
      <c r="G3211" s="141" t="s">
        <v>6401</v>
      </c>
      <c r="H3211" s="140" t="s">
        <v>6312</v>
      </c>
      <c r="I3211" s="140" t="s">
        <v>6313</v>
      </c>
      <c r="J3211" s="140" t="s">
        <v>6314</v>
      </c>
      <c r="K3211" s="140" t="s">
        <v>10132</v>
      </c>
    </row>
    <row r="3212">
      <c r="A3212" s="140" t="s">
        <v>10132</v>
      </c>
      <c r="B3212" s="143">
        <v>6.32628E11</v>
      </c>
      <c r="C3212" s="140" t="s">
        <v>10217</v>
      </c>
      <c r="D3212" s="140" t="s">
        <v>6601</v>
      </c>
      <c r="E3212" s="140" t="s">
        <v>303</v>
      </c>
      <c r="F3212" s="140" t="s">
        <v>8317</v>
      </c>
      <c r="G3212" s="141" t="s">
        <v>6401</v>
      </c>
      <c r="H3212" s="140" t="s">
        <v>6312</v>
      </c>
      <c r="I3212" s="140" t="s">
        <v>6313</v>
      </c>
      <c r="J3212" s="140" t="s">
        <v>6314</v>
      </c>
      <c r="K3212" s="140" t="s">
        <v>10132</v>
      </c>
    </row>
    <row r="3213">
      <c r="A3213" s="140" t="s">
        <v>10132</v>
      </c>
      <c r="B3213" s="143">
        <v>6.32628E11</v>
      </c>
      <c r="C3213" s="140" t="s">
        <v>10218</v>
      </c>
      <c r="D3213" s="140" t="s">
        <v>6601</v>
      </c>
      <c r="E3213" s="140" t="s">
        <v>303</v>
      </c>
      <c r="F3213" s="140" t="s">
        <v>8317</v>
      </c>
      <c r="G3213" s="141" t="s">
        <v>6401</v>
      </c>
      <c r="H3213" s="140" t="s">
        <v>6312</v>
      </c>
      <c r="I3213" s="140" t="s">
        <v>6313</v>
      </c>
      <c r="J3213" s="140" t="s">
        <v>6314</v>
      </c>
      <c r="K3213" s="140" t="s">
        <v>10132</v>
      </c>
    </row>
    <row r="3214">
      <c r="A3214" s="140" t="s">
        <v>10132</v>
      </c>
      <c r="B3214" s="143">
        <v>6.32628E11</v>
      </c>
      <c r="C3214" s="140" t="s">
        <v>10219</v>
      </c>
      <c r="D3214" s="140" t="s">
        <v>6601</v>
      </c>
      <c r="E3214" s="140" t="s">
        <v>303</v>
      </c>
      <c r="F3214" s="140" t="s">
        <v>8317</v>
      </c>
      <c r="G3214" s="141" t="s">
        <v>6401</v>
      </c>
      <c r="H3214" s="140" t="s">
        <v>6312</v>
      </c>
      <c r="I3214" s="140" t="s">
        <v>6313</v>
      </c>
      <c r="J3214" s="140" t="s">
        <v>6314</v>
      </c>
      <c r="K3214" s="140" t="s">
        <v>10132</v>
      </c>
    </row>
    <row r="3215">
      <c r="A3215" s="140" t="s">
        <v>10132</v>
      </c>
      <c r="B3215" s="143">
        <v>6.32628E11</v>
      </c>
      <c r="C3215" s="140" t="s">
        <v>10220</v>
      </c>
      <c r="D3215" s="140" t="s">
        <v>6601</v>
      </c>
      <c r="E3215" s="140" t="s">
        <v>303</v>
      </c>
      <c r="F3215" s="140" t="s">
        <v>8317</v>
      </c>
      <c r="G3215" s="141" t="s">
        <v>6401</v>
      </c>
      <c r="H3215" s="140" t="s">
        <v>6312</v>
      </c>
      <c r="I3215" s="140" t="s">
        <v>6313</v>
      </c>
      <c r="J3215" s="140" t="s">
        <v>6314</v>
      </c>
      <c r="K3215" s="140" t="s">
        <v>10132</v>
      </c>
    </row>
    <row r="3216">
      <c r="A3216" s="140" t="s">
        <v>10132</v>
      </c>
      <c r="B3216" s="143">
        <v>6.32628E11</v>
      </c>
      <c r="C3216" s="140" t="s">
        <v>10221</v>
      </c>
      <c r="D3216" s="140" t="s">
        <v>6601</v>
      </c>
      <c r="E3216" s="140" t="s">
        <v>303</v>
      </c>
      <c r="F3216" s="140" t="s">
        <v>8317</v>
      </c>
      <c r="G3216" s="141" t="s">
        <v>6401</v>
      </c>
      <c r="H3216" s="140" t="s">
        <v>6312</v>
      </c>
      <c r="I3216" s="140" t="s">
        <v>6313</v>
      </c>
      <c r="J3216" s="140" t="s">
        <v>6314</v>
      </c>
      <c r="K3216" s="140" t="s">
        <v>10132</v>
      </c>
    </row>
    <row r="3217">
      <c r="A3217" s="140" t="s">
        <v>10132</v>
      </c>
      <c r="B3217" s="143">
        <v>6.32628E11</v>
      </c>
      <c r="C3217" s="140" t="s">
        <v>10222</v>
      </c>
      <c r="D3217" s="140" t="s">
        <v>6601</v>
      </c>
      <c r="E3217" s="140" t="s">
        <v>303</v>
      </c>
      <c r="F3217" s="140" t="s">
        <v>8317</v>
      </c>
      <c r="G3217" s="141" t="s">
        <v>6401</v>
      </c>
      <c r="H3217" s="140" t="s">
        <v>6312</v>
      </c>
      <c r="I3217" s="140" t="s">
        <v>6313</v>
      </c>
      <c r="J3217" s="140" t="s">
        <v>6314</v>
      </c>
      <c r="K3217" s="140" t="s">
        <v>10132</v>
      </c>
    </row>
    <row r="3218">
      <c r="A3218" s="140" t="s">
        <v>10223</v>
      </c>
      <c r="B3218" s="143">
        <v>1.54836E12</v>
      </c>
      <c r="C3218" s="140" t="s">
        <v>10224</v>
      </c>
      <c r="D3218" s="140" t="s">
        <v>6601</v>
      </c>
      <c r="E3218" s="140">
        <v>0.0</v>
      </c>
      <c r="F3218" s="140" t="s">
        <v>8181</v>
      </c>
      <c r="G3218" s="141" t="s">
        <v>6401</v>
      </c>
      <c r="H3218" s="140" t="s">
        <v>6312</v>
      </c>
      <c r="I3218" s="140" t="s">
        <v>6313</v>
      </c>
      <c r="J3218" s="140" t="s">
        <v>6314</v>
      </c>
      <c r="K3218" s="140" t="s">
        <v>1573</v>
      </c>
    </row>
    <row r="3219">
      <c r="A3219" s="140" t="s">
        <v>10223</v>
      </c>
      <c r="B3219" s="143">
        <v>1.5397E12</v>
      </c>
      <c r="C3219" s="140" t="s">
        <v>10225</v>
      </c>
      <c r="D3219" s="140" t="s">
        <v>6601</v>
      </c>
      <c r="E3219" s="140">
        <v>0.0</v>
      </c>
      <c r="F3219" s="140" t="s">
        <v>8181</v>
      </c>
      <c r="G3219" s="141" t="s">
        <v>6401</v>
      </c>
      <c r="H3219" s="140" t="s">
        <v>6312</v>
      </c>
      <c r="I3219" s="140" t="s">
        <v>6313</v>
      </c>
      <c r="J3219" s="140" t="s">
        <v>6314</v>
      </c>
      <c r="K3219" s="140" t="s">
        <v>1573</v>
      </c>
    </row>
    <row r="3220">
      <c r="A3220" s="140" t="s">
        <v>10223</v>
      </c>
      <c r="B3220" s="143">
        <v>1.53866E12</v>
      </c>
      <c r="C3220" s="140" t="s">
        <v>10226</v>
      </c>
      <c r="D3220" s="140" t="s">
        <v>6601</v>
      </c>
      <c r="E3220" s="140">
        <v>0.0</v>
      </c>
      <c r="F3220" s="140" t="s">
        <v>8181</v>
      </c>
      <c r="G3220" s="141" t="s">
        <v>6401</v>
      </c>
      <c r="H3220" s="140" t="s">
        <v>6312</v>
      </c>
      <c r="I3220" s="140" t="s">
        <v>6313</v>
      </c>
      <c r="J3220" s="140" t="s">
        <v>6314</v>
      </c>
      <c r="K3220" s="140" t="s">
        <v>1573</v>
      </c>
    </row>
    <row r="3221">
      <c r="A3221" s="140" t="s">
        <v>10223</v>
      </c>
      <c r="B3221" s="140">
        <v>1.634583916E9</v>
      </c>
      <c r="C3221" s="140" t="s">
        <v>10227</v>
      </c>
      <c r="D3221" s="140" t="s">
        <v>6718</v>
      </c>
      <c r="E3221" s="140">
        <v>0.0</v>
      </c>
      <c r="F3221" s="140" t="s">
        <v>10228</v>
      </c>
      <c r="G3221" s="141" t="s">
        <v>6401</v>
      </c>
      <c r="H3221" s="140" t="s">
        <v>6312</v>
      </c>
      <c r="I3221" s="140" t="s">
        <v>6313</v>
      </c>
      <c r="J3221" s="140" t="s">
        <v>6314</v>
      </c>
      <c r="K3221" s="140" t="s">
        <v>1573</v>
      </c>
    </row>
    <row r="3222">
      <c r="A3222" s="140" t="s">
        <v>10223</v>
      </c>
      <c r="B3222" s="143">
        <v>1.56631E12</v>
      </c>
      <c r="C3222" s="140" t="s">
        <v>10229</v>
      </c>
      <c r="D3222" s="140" t="s">
        <v>6718</v>
      </c>
      <c r="E3222" s="140">
        <v>0.0</v>
      </c>
      <c r="F3222" s="140" t="s">
        <v>246</v>
      </c>
      <c r="G3222" s="141" t="s">
        <v>6401</v>
      </c>
      <c r="H3222" s="140" t="s">
        <v>6312</v>
      </c>
      <c r="I3222" s="140" t="s">
        <v>6313</v>
      </c>
      <c r="J3222" s="140" t="s">
        <v>6314</v>
      </c>
      <c r="K3222" s="140" t="s">
        <v>1573</v>
      </c>
    </row>
    <row r="3223">
      <c r="A3223" s="140" t="s">
        <v>10223</v>
      </c>
      <c r="B3223" s="140">
        <v>1.635887891E9</v>
      </c>
      <c r="C3223" s="140" t="s">
        <v>10230</v>
      </c>
      <c r="D3223" s="140" t="s">
        <v>6718</v>
      </c>
      <c r="E3223" s="140">
        <v>0.0</v>
      </c>
      <c r="F3223" s="140" t="s">
        <v>246</v>
      </c>
      <c r="G3223" s="141" t="s">
        <v>6401</v>
      </c>
      <c r="H3223" s="140" t="s">
        <v>6312</v>
      </c>
      <c r="I3223" s="140" t="s">
        <v>6313</v>
      </c>
      <c r="J3223" s="140" t="s">
        <v>6314</v>
      </c>
      <c r="K3223" s="140" t="s">
        <v>1573</v>
      </c>
    </row>
    <row r="3224">
      <c r="A3224" s="140" t="s">
        <v>10223</v>
      </c>
      <c r="B3224" s="140" t="s">
        <v>10231</v>
      </c>
      <c r="C3224" s="140" t="s">
        <v>10232</v>
      </c>
      <c r="D3224" s="140" t="s">
        <v>6718</v>
      </c>
      <c r="E3224" s="140">
        <v>0.0</v>
      </c>
      <c r="F3224" s="140" t="s">
        <v>10233</v>
      </c>
      <c r="G3224" s="141" t="s">
        <v>6401</v>
      </c>
      <c r="H3224" s="140" t="s">
        <v>6312</v>
      </c>
      <c r="I3224" s="140" t="s">
        <v>6313</v>
      </c>
      <c r="J3224" s="140" t="s">
        <v>6314</v>
      </c>
      <c r="K3224" s="140" t="s">
        <v>1573</v>
      </c>
    </row>
    <row r="3225">
      <c r="A3225" s="140" t="s">
        <v>10223</v>
      </c>
      <c r="B3225" s="143">
        <v>1.54757E12</v>
      </c>
      <c r="C3225" s="140" t="s">
        <v>10234</v>
      </c>
      <c r="D3225" s="140" t="s">
        <v>6718</v>
      </c>
      <c r="E3225" s="140">
        <v>0.0</v>
      </c>
      <c r="F3225" s="140" t="s">
        <v>10235</v>
      </c>
      <c r="G3225" s="141" t="s">
        <v>6401</v>
      </c>
      <c r="H3225" s="140" t="s">
        <v>6312</v>
      </c>
      <c r="I3225" s="140" t="s">
        <v>6313</v>
      </c>
      <c r="J3225" s="140" t="s">
        <v>6314</v>
      </c>
      <c r="K3225" s="140" t="s">
        <v>1573</v>
      </c>
    </row>
    <row r="3226">
      <c r="A3226" s="140" t="s">
        <v>10223</v>
      </c>
      <c r="B3226" s="143">
        <v>1.51363E12</v>
      </c>
      <c r="C3226" s="140" t="s">
        <v>10236</v>
      </c>
      <c r="D3226" s="140" t="s">
        <v>6309</v>
      </c>
      <c r="E3226" s="140">
        <v>0.0</v>
      </c>
      <c r="F3226" s="140" t="s">
        <v>7613</v>
      </c>
      <c r="G3226" s="141" t="s">
        <v>6401</v>
      </c>
      <c r="H3226" s="140" t="s">
        <v>6312</v>
      </c>
      <c r="I3226" s="140" t="s">
        <v>6313</v>
      </c>
      <c r="J3226" s="140" t="s">
        <v>6314</v>
      </c>
      <c r="K3226" s="140" t="s">
        <v>1573</v>
      </c>
    </row>
    <row r="3227">
      <c r="A3227" s="140" t="s">
        <v>10223</v>
      </c>
      <c r="B3227" s="143">
        <v>1.50824E12</v>
      </c>
      <c r="C3227" s="140" t="s">
        <v>10237</v>
      </c>
      <c r="D3227" s="140" t="s">
        <v>6309</v>
      </c>
      <c r="E3227" s="140">
        <v>0.0</v>
      </c>
      <c r="F3227" s="140" t="s">
        <v>7613</v>
      </c>
      <c r="G3227" s="141" t="s">
        <v>6401</v>
      </c>
      <c r="H3227" s="140" t="s">
        <v>6312</v>
      </c>
      <c r="I3227" s="140" t="s">
        <v>6313</v>
      </c>
      <c r="J3227" s="140" t="s">
        <v>6314</v>
      </c>
      <c r="K3227" s="140" t="s">
        <v>1573</v>
      </c>
    </row>
    <row r="3228">
      <c r="A3228" s="140" t="s">
        <v>10223</v>
      </c>
      <c r="B3228" s="143">
        <v>1.54153E12</v>
      </c>
      <c r="C3228" s="140" t="s">
        <v>10238</v>
      </c>
      <c r="D3228" s="140" t="s">
        <v>6318</v>
      </c>
      <c r="E3228" s="140">
        <v>0.0</v>
      </c>
      <c r="F3228" s="140" t="s">
        <v>1391</v>
      </c>
      <c r="G3228" s="141" t="s">
        <v>6401</v>
      </c>
      <c r="H3228" s="140" t="s">
        <v>6312</v>
      </c>
      <c r="I3228" s="140" t="s">
        <v>6313</v>
      </c>
      <c r="J3228" s="140" t="s">
        <v>6314</v>
      </c>
      <c r="K3228" s="140" t="s">
        <v>1573</v>
      </c>
    </row>
    <row r="3229">
      <c r="A3229" s="140" t="s">
        <v>10223</v>
      </c>
      <c r="B3229" s="143">
        <v>1.47985E12</v>
      </c>
      <c r="C3229" s="140" t="s">
        <v>10239</v>
      </c>
      <c r="D3229" s="140" t="s">
        <v>6718</v>
      </c>
      <c r="E3229" s="140">
        <v>0.0</v>
      </c>
      <c r="F3229" s="140" t="s">
        <v>10240</v>
      </c>
      <c r="G3229" s="141" t="s">
        <v>6401</v>
      </c>
      <c r="H3229" s="140" t="s">
        <v>6312</v>
      </c>
      <c r="I3229" s="140" t="s">
        <v>6313</v>
      </c>
      <c r="J3229" s="140" t="s">
        <v>6314</v>
      </c>
      <c r="K3229" s="140" t="s">
        <v>1573</v>
      </c>
    </row>
    <row r="3230">
      <c r="A3230" s="140" t="s">
        <v>10223</v>
      </c>
      <c r="B3230" s="144" t="s">
        <v>6757</v>
      </c>
      <c r="C3230" s="140" t="s">
        <v>10241</v>
      </c>
      <c r="D3230" s="140" t="s">
        <v>7347</v>
      </c>
      <c r="E3230" s="140">
        <v>0.0</v>
      </c>
      <c r="F3230" s="140" t="s">
        <v>10242</v>
      </c>
      <c r="G3230" s="141" t="s">
        <v>6401</v>
      </c>
      <c r="H3230" s="140" t="s">
        <v>6312</v>
      </c>
      <c r="I3230" s="140" t="s">
        <v>6313</v>
      </c>
      <c r="J3230" s="140" t="s">
        <v>6314</v>
      </c>
      <c r="K3230" s="140" t="s">
        <v>1573</v>
      </c>
    </row>
    <row r="3231">
      <c r="A3231" s="140" t="s">
        <v>10223</v>
      </c>
      <c r="B3231" s="143">
        <v>1.54153E12</v>
      </c>
      <c r="C3231" s="140" t="s">
        <v>10243</v>
      </c>
      <c r="D3231" s="140" t="s">
        <v>6318</v>
      </c>
      <c r="E3231" s="140">
        <v>0.0</v>
      </c>
      <c r="F3231" s="140" t="s">
        <v>10244</v>
      </c>
      <c r="G3231" s="141" t="s">
        <v>6401</v>
      </c>
      <c r="H3231" s="140" t="s">
        <v>6312</v>
      </c>
      <c r="I3231" s="140" t="s">
        <v>6313</v>
      </c>
      <c r="J3231" s="140" t="s">
        <v>6314</v>
      </c>
      <c r="K3231" s="140" t="s">
        <v>1573</v>
      </c>
    </row>
    <row r="3232">
      <c r="A3232" s="140" t="s">
        <v>10223</v>
      </c>
      <c r="B3232" s="143">
        <v>1.60012E12</v>
      </c>
      <c r="C3232" s="140" t="s">
        <v>10245</v>
      </c>
      <c r="D3232" s="140" t="s">
        <v>6718</v>
      </c>
      <c r="E3232" s="140" t="s">
        <v>140</v>
      </c>
      <c r="F3232" s="140" t="s">
        <v>7674</v>
      </c>
      <c r="G3232" s="141" t="s">
        <v>6401</v>
      </c>
      <c r="H3232" s="140" t="s">
        <v>6312</v>
      </c>
      <c r="I3232" s="140" t="s">
        <v>6313</v>
      </c>
      <c r="J3232" s="140" t="s">
        <v>6314</v>
      </c>
      <c r="K3232" s="140" t="s">
        <v>1573</v>
      </c>
    </row>
    <row r="3233">
      <c r="A3233" s="140" t="s">
        <v>10223</v>
      </c>
      <c r="B3233" s="143">
        <v>1.50533E12</v>
      </c>
      <c r="C3233" s="140" t="s">
        <v>10246</v>
      </c>
      <c r="D3233" s="140" t="s">
        <v>6718</v>
      </c>
      <c r="E3233" s="140" t="s">
        <v>140</v>
      </c>
      <c r="F3233" s="140" t="s">
        <v>7674</v>
      </c>
      <c r="G3233" s="141" t="s">
        <v>6401</v>
      </c>
      <c r="H3233" s="140" t="s">
        <v>6312</v>
      </c>
      <c r="I3233" s="140" t="s">
        <v>6313</v>
      </c>
      <c r="J3233" s="140" t="s">
        <v>6314</v>
      </c>
      <c r="K3233" s="140" t="s">
        <v>1573</v>
      </c>
    </row>
    <row r="3234">
      <c r="A3234" s="140" t="s">
        <v>10223</v>
      </c>
      <c r="B3234" s="143">
        <v>1.48112E12</v>
      </c>
      <c r="C3234" s="140" t="s">
        <v>10247</v>
      </c>
      <c r="D3234" s="140" t="s">
        <v>9064</v>
      </c>
      <c r="E3234" s="140" t="s">
        <v>1449</v>
      </c>
      <c r="F3234" s="140" t="s">
        <v>10248</v>
      </c>
      <c r="G3234" s="141" t="s">
        <v>6401</v>
      </c>
      <c r="H3234" s="140" t="s">
        <v>6312</v>
      </c>
      <c r="I3234" s="140" t="s">
        <v>6313</v>
      </c>
      <c r="J3234" s="140" t="s">
        <v>6314</v>
      </c>
      <c r="K3234" s="140" t="s">
        <v>1573</v>
      </c>
    </row>
    <row r="3235">
      <c r="A3235" s="140" t="s">
        <v>10223</v>
      </c>
      <c r="B3235" s="143">
        <v>1.48112E12</v>
      </c>
      <c r="C3235" s="140" t="s">
        <v>10249</v>
      </c>
      <c r="D3235" s="140" t="s">
        <v>9064</v>
      </c>
      <c r="E3235" s="140" t="s">
        <v>1449</v>
      </c>
      <c r="F3235" s="140" t="s">
        <v>10248</v>
      </c>
      <c r="G3235" s="141" t="s">
        <v>6401</v>
      </c>
      <c r="H3235" s="140" t="s">
        <v>6312</v>
      </c>
      <c r="I3235" s="140" t="s">
        <v>6313</v>
      </c>
      <c r="J3235" s="140" t="s">
        <v>6314</v>
      </c>
      <c r="K3235" s="140" t="s">
        <v>1573</v>
      </c>
    </row>
    <row r="3236">
      <c r="A3236" s="140" t="s">
        <v>10223</v>
      </c>
      <c r="B3236" s="143">
        <v>1.48112E12</v>
      </c>
      <c r="C3236" s="140" t="s">
        <v>10250</v>
      </c>
      <c r="D3236" s="140" t="s">
        <v>9064</v>
      </c>
      <c r="E3236" s="140" t="s">
        <v>1449</v>
      </c>
      <c r="F3236" s="140" t="s">
        <v>10248</v>
      </c>
      <c r="G3236" s="141" t="s">
        <v>6401</v>
      </c>
      <c r="H3236" s="140" t="s">
        <v>6312</v>
      </c>
      <c r="I3236" s="140" t="s">
        <v>6313</v>
      </c>
      <c r="J3236" s="140" t="s">
        <v>6314</v>
      </c>
      <c r="K3236" s="140" t="s">
        <v>1573</v>
      </c>
    </row>
    <row r="3237">
      <c r="A3237" s="140" t="s">
        <v>10223</v>
      </c>
      <c r="B3237" s="143">
        <v>1.48112E12</v>
      </c>
      <c r="C3237" s="140" t="s">
        <v>10251</v>
      </c>
      <c r="D3237" s="140" t="s">
        <v>9064</v>
      </c>
      <c r="E3237" s="140" t="s">
        <v>1449</v>
      </c>
      <c r="F3237" s="140" t="s">
        <v>10248</v>
      </c>
      <c r="G3237" s="141" t="s">
        <v>6401</v>
      </c>
      <c r="H3237" s="140" t="s">
        <v>6312</v>
      </c>
      <c r="I3237" s="140" t="s">
        <v>6313</v>
      </c>
      <c r="J3237" s="140" t="s">
        <v>6314</v>
      </c>
      <c r="K3237" s="140" t="s">
        <v>1573</v>
      </c>
    </row>
    <row r="3238">
      <c r="A3238" s="140" t="s">
        <v>10223</v>
      </c>
      <c r="B3238" s="143">
        <v>1.48112E12</v>
      </c>
      <c r="C3238" s="140" t="s">
        <v>10252</v>
      </c>
      <c r="D3238" s="140" t="s">
        <v>9064</v>
      </c>
      <c r="E3238" s="140" t="s">
        <v>1449</v>
      </c>
      <c r="F3238" s="140" t="s">
        <v>10248</v>
      </c>
      <c r="G3238" s="141" t="s">
        <v>6401</v>
      </c>
      <c r="H3238" s="140" t="s">
        <v>6312</v>
      </c>
      <c r="I3238" s="140" t="s">
        <v>6313</v>
      </c>
      <c r="J3238" s="140" t="s">
        <v>6314</v>
      </c>
      <c r="K3238" s="140" t="s">
        <v>1573</v>
      </c>
    </row>
    <row r="3239">
      <c r="A3239" s="140" t="s">
        <v>10223</v>
      </c>
      <c r="B3239" s="143">
        <v>1.57557E12</v>
      </c>
      <c r="C3239" s="140" t="s">
        <v>10253</v>
      </c>
      <c r="D3239" s="140" t="s">
        <v>9064</v>
      </c>
      <c r="E3239" s="140" t="s">
        <v>513</v>
      </c>
      <c r="F3239" s="140" t="s">
        <v>10254</v>
      </c>
      <c r="G3239" s="141" t="s">
        <v>6401</v>
      </c>
      <c r="H3239" s="140" t="s">
        <v>6312</v>
      </c>
      <c r="I3239" s="140" t="s">
        <v>6313</v>
      </c>
      <c r="J3239" s="140" t="s">
        <v>6314</v>
      </c>
      <c r="K3239" s="140" t="s">
        <v>1573</v>
      </c>
    </row>
    <row r="3240">
      <c r="A3240" s="140" t="s">
        <v>10223</v>
      </c>
      <c r="B3240" s="143">
        <v>1.57557E12</v>
      </c>
      <c r="C3240" s="140" t="s">
        <v>10255</v>
      </c>
      <c r="D3240" s="140" t="s">
        <v>9064</v>
      </c>
      <c r="E3240" s="140" t="s">
        <v>513</v>
      </c>
      <c r="F3240" s="140" t="s">
        <v>10254</v>
      </c>
      <c r="G3240" s="141" t="s">
        <v>6401</v>
      </c>
      <c r="H3240" s="140" t="s">
        <v>6312</v>
      </c>
      <c r="I3240" s="140" t="s">
        <v>6313</v>
      </c>
      <c r="J3240" s="140" t="s">
        <v>6314</v>
      </c>
      <c r="K3240" s="140" t="s">
        <v>1573</v>
      </c>
    </row>
    <row r="3241">
      <c r="A3241" s="140" t="s">
        <v>10223</v>
      </c>
      <c r="B3241" s="143">
        <v>1.54393E12</v>
      </c>
      <c r="C3241" s="140" t="s">
        <v>10256</v>
      </c>
      <c r="D3241" s="140" t="s">
        <v>6718</v>
      </c>
      <c r="E3241" s="140" t="s">
        <v>526</v>
      </c>
      <c r="F3241" s="140" t="s">
        <v>527</v>
      </c>
      <c r="G3241" s="141" t="s">
        <v>6401</v>
      </c>
      <c r="H3241" s="140" t="s">
        <v>6312</v>
      </c>
      <c r="I3241" s="140" t="s">
        <v>6313</v>
      </c>
      <c r="J3241" s="140" t="s">
        <v>6314</v>
      </c>
      <c r="K3241" s="140" t="s">
        <v>1573</v>
      </c>
    </row>
    <row r="3242">
      <c r="A3242" s="140" t="s">
        <v>10223</v>
      </c>
      <c r="B3242" s="143">
        <v>1.54393E12</v>
      </c>
      <c r="C3242" s="140" t="s">
        <v>10257</v>
      </c>
      <c r="D3242" s="140" t="s">
        <v>6718</v>
      </c>
      <c r="E3242" s="140" t="s">
        <v>526</v>
      </c>
      <c r="F3242" s="140" t="s">
        <v>527</v>
      </c>
      <c r="G3242" s="141" t="s">
        <v>6401</v>
      </c>
      <c r="H3242" s="140" t="s">
        <v>6312</v>
      </c>
      <c r="I3242" s="140" t="s">
        <v>6313</v>
      </c>
      <c r="J3242" s="140" t="s">
        <v>6314</v>
      </c>
      <c r="K3242" s="140" t="s">
        <v>1573</v>
      </c>
    </row>
    <row r="3243">
      <c r="A3243" s="140" t="s">
        <v>10223</v>
      </c>
      <c r="B3243" s="143">
        <v>1.53814E12</v>
      </c>
      <c r="C3243" s="140" t="s">
        <v>10258</v>
      </c>
      <c r="D3243" s="140" t="s">
        <v>6601</v>
      </c>
      <c r="E3243" s="140" t="s">
        <v>526</v>
      </c>
      <c r="F3243" s="140" t="s">
        <v>537</v>
      </c>
      <c r="G3243" s="141" t="s">
        <v>6401</v>
      </c>
      <c r="H3243" s="140" t="s">
        <v>6312</v>
      </c>
      <c r="I3243" s="140" t="s">
        <v>6313</v>
      </c>
      <c r="J3243" s="140" t="s">
        <v>6314</v>
      </c>
      <c r="K3243" s="140" t="s">
        <v>1573</v>
      </c>
    </row>
    <row r="3244">
      <c r="A3244" s="140" t="s">
        <v>10223</v>
      </c>
      <c r="B3244" s="143">
        <v>1.5397E12</v>
      </c>
      <c r="C3244" s="140" t="s">
        <v>10259</v>
      </c>
      <c r="D3244" s="140" t="s">
        <v>6601</v>
      </c>
      <c r="E3244" s="140" t="s">
        <v>526</v>
      </c>
      <c r="F3244" s="140" t="s">
        <v>537</v>
      </c>
      <c r="G3244" s="141" t="s">
        <v>6401</v>
      </c>
      <c r="H3244" s="140" t="s">
        <v>6312</v>
      </c>
      <c r="I3244" s="140" t="s">
        <v>6313</v>
      </c>
      <c r="J3244" s="140" t="s">
        <v>6314</v>
      </c>
      <c r="K3244" s="140" t="s">
        <v>1573</v>
      </c>
    </row>
    <row r="3245">
      <c r="A3245" s="140" t="s">
        <v>10260</v>
      </c>
      <c r="B3245" s="140" t="s">
        <v>110</v>
      </c>
      <c r="C3245" s="140" t="s">
        <v>109</v>
      </c>
      <c r="D3245" s="140" t="s">
        <v>10261</v>
      </c>
      <c r="E3245" s="140" t="s">
        <v>106</v>
      </c>
      <c r="F3245" s="140" t="s">
        <v>107</v>
      </c>
      <c r="G3245" s="142">
        <v>0.0</v>
      </c>
      <c r="H3245" s="140" t="s">
        <v>6330</v>
      </c>
      <c r="I3245" s="140" t="s">
        <v>6313</v>
      </c>
      <c r="J3245" s="140" t="s">
        <v>6314</v>
      </c>
      <c r="K3245" s="140" t="s">
        <v>1573</v>
      </c>
    </row>
    <row r="3246">
      <c r="A3246" s="140" t="s">
        <v>10223</v>
      </c>
      <c r="B3246" s="140" t="s">
        <v>10262</v>
      </c>
      <c r="C3246" s="140" t="s">
        <v>10263</v>
      </c>
      <c r="D3246" s="140" t="s">
        <v>10261</v>
      </c>
      <c r="E3246" s="140" t="s">
        <v>106</v>
      </c>
      <c r="F3246" s="140" t="s">
        <v>107</v>
      </c>
      <c r="G3246" s="141" t="s">
        <v>6311</v>
      </c>
      <c r="H3246" s="140" t="s">
        <v>6312</v>
      </c>
      <c r="I3246" s="140" t="s">
        <v>6313</v>
      </c>
      <c r="J3246" s="140" t="s">
        <v>6314</v>
      </c>
      <c r="K3246" s="140" t="s">
        <v>1573</v>
      </c>
    </row>
    <row r="3247">
      <c r="A3247" s="140" t="s">
        <v>10260</v>
      </c>
      <c r="B3247" s="140" t="s">
        <v>124</v>
      </c>
      <c r="C3247" s="140" t="s">
        <v>1644</v>
      </c>
      <c r="D3247" s="140" t="s">
        <v>10261</v>
      </c>
      <c r="E3247" s="140" t="s">
        <v>106</v>
      </c>
      <c r="F3247" s="140" t="s">
        <v>107</v>
      </c>
      <c r="G3247" s="142">
        <v>0.0</v>
      </c>
      <c r="H3247" s="140" t="s">
        <v>6330</v>
      </c>
      <c r="I3247" s="140" t="s">
        <v>6313</v>
      </c>
      <c r="J3247" s="140" t="s">
        <v>6314</v>
      </c>
      <c r="K3247" s="140" t="s">
        <v>1573</v>
      </c>
    </row>
    <row r="3248">
      <c r="A3248" s="140" t="s">
        <v>10260</v>
      </c>
      <c r="B3248" s="140" t="s">
        <v>112</v>
      </c>
      <c r="C3248" s="140" t="s">
        <v>111</v>
      </c>
      <c r="D3248" s="140" t="s">
        <v>10261</v>
      </c>
      <c r="E3248" s="140" t="s">
        <v>106</v>
      </c>
      <c r="F3248" s="140" t="s">
        <v>107</v>
      </c>
      <c r="G3248" s="142">
        <v>0.0</v>
      </c>
      <c r="H3248" s="140" t="s">
        <v>6330</v>
      </c>
      <c r="I3248" s="140" t="s">
        <v>6313</v>
      </c>
      <c r="J3248" s="140" t="s">
        <v>6314</v>
      </c>
      <c r="K3248" s="140" t="s">
        <v>1573</v>
      </c>
    </row>
    <row r="3249">
      <c r="A3249" s="140" t="s">
        <v>10223</v>
      </c>
      <c r="B3249" s="143">
        <v>1.66188E12</v>
      </c>
      <c r="C3249" s="140" t="s">
        <v>10264</v>
      </c>
      <c r="D3249" s="140" t="s">
        <v>10261</v>
      </c>
      <c r="E3249" s="140" t="s">
        <v>106</v>
      </c>
      <c r="F3249" s="140" t="s">
        <v>107</v>
      </c>
      <c r="G3249" s="142">
        <v>0.0</v>
      </c>
      <c r="H3249" s="140" t="s">
        <v>6330</v>
      </c>
      <c r="I3249" s="140" t="s">
        <v>6313</v>
      </c>
      <c r="J3249" s="140" t="s">
        <v>6314</v>
      </c>
      <c r="K3249" s="140" t="s">
        <v>1573</v>
      </c>
    </row>
    <row r="3250">
      <c r="A3250" s="140" t="s">
        <v>10223</v>
      </c>
      <c r="B3250" s="143">
        <v>1.66188E12</v>
      </c>
      <c r="C3250" s="140" t="s">
        <v>125</v>
      </c>
      <c r="D3250" s="140" t="s">
        <v>10261</v>
      </c>
      <c r="E3250" s="140" t="s">
        <v>106</v>
      </c>
      <c r="F3250" s="140" t="s">
        <v>107</v>
      </c>
      <c r="G3250" s="142">
        <v>0.0</v>
      </c>
      <c r="H3250" s="140" t="s">
        <v>6330</v>
      </c>
      <c r="I3250" s="140" t="s">
        <v>6313</v>
      </c>
      <c r="J3250" s="140" t="s">
        <v>6314</v>
      </c>
      <c r="K3250" s="140" t="s">
        <v>1573</v>
      </c>
    </row>
    <row r="3251">
      <c r="A3251" s="140" t="s">
        <v>10223</v>
      </c>
      <c r="B3251" s="140" t="s">
        <v>120</v>
      </c>
      <c r="C3251" s="140" t="s">
        <v>10265</v>
      </c>
      <c r="D3251" s="140" t="s">
        <v>10261</v>
      </c>
      <c r="E3251" s="140" t="s">
        <v>106</v>
      </c>
      <c r="F3251" s="140" t="s">
        <v>107</v>
      </c>
      <c r="G3251" s="142">
        <v>0.0</v>
      </c>
      <c r="H3251" s="140" t="s">
        <v>6330</v>
      </c>
      <c r="I3251" s="140" t="s">
        <v>6313</v>
      </c>
      <c r="J3251" s="140" t="s">
        <v>6314</v>
      </c>
      <c r="K3251" s="140" t="s">
        <v>1573</v>
      </c>
    </row>
    <row r="3252">
      <c r="A3252" s="140" t="s">
        <v>10260</v>
      </c>
      <c r="B3252" s="140" t="s">
        <v>114</v>
      </c>
      <c r="C3252" s="140" t="s">
        <v>113</v>
      </c>
      <c r="D3252" s="140" t="s">
        <v>10261</v>
      </c>
      <c r="E3252" s="140" t="s">
        <v>106</v>
      </c>
      <c r="F3252" s="140" t="s">
        <v>107</v>
      </c>
      <c r="G3252" s="142">
        <v>0.0</v>
      </c>
      <c r="H3252" s="140" t="s">
        <v>6330</v>
      </c>
      <c r="I3252" s="140" t="s">
        <v>6313</v>
      </c>
      <c r="J3252" s="140" t="s">
        <v>6314</v>
      </c>
      <c r="K3252" s="140" t="s">
        <v>1573</v>
      </c>
    </row>
    <row r="3253">
      <c r="A3253" s="140" t="s">
        <v>10260</v>
      </c>
      <c r="B3253" s="140" t="s">
        <v>116</v>
      </c>
      <c r="C3253" s="140" t="s">
        <v>115</v>
      </c>
      <c r="D3253" s="140" t="s">
        <v>10261</v>
      </c>
      <c r="E3253" s="140" t="s">
        <v>106</v>
      </c>
      <c r="F3253" s="140" t="s">
        <v>107</v>
      </c>
      <c r="G3253" s="142">
        <v>0.0</v>
      </c>
      <c r="H3253" s="140" t="s">
        <v>6330</v>
      </c>
      <c r="I3253" s="140" t="s">
        <v>6313</v>
      </c>
      <c r="J3253" s="140" t="s">
        <v>6314</v>
      </c>
      <c r="K3253" s="140" t="s">
        <v>1573</v>
      </c>
    </row>
    <row r="3254">
      <c r="A3254" s="140" t="s">
        <v>10223</v>
      </c>
      <c r="B3254" s="140" t="s">
        <v>118</v>
      </c>
      <c r="C3254" s="140" t="s">
        <v>117</v>
      </c>
      <c r="D3254" s="140" t="s">
        <v>10261</v>
      </c>
      <c r="E3254" s="140" t="s">
        <v>106</v>
      </c>
      <c r="F3254" s="140" t="s">
        <v>107</v>
      </c>
      <c r="G3254" s="142">
        <v>0.0</v>
      </c>
      <c r="H3254" s="140" t="s">
        <v>6330</v>
      </c>
      <c r="I3254" s="140" t="s">
        <v>6313</v>
      </c>
      <c r="J3254" s="140" t="s">
        <v>6314</v>
      </c>
      <c r="K3254" s="140" t="s">
        <v>1573</v>
      </c>
    </row>
    <row r="3255">
      <c r="A3255" s="140" t="s">
        <v>10223</v>
      </c>
      <c r="B3255" s="140" t="s">
        <v>122</v>
      </c>
      <c r="C3255" s="140" t="s">
        <v>121</v>
      </c>
      <c r="D3255" s="140" t="s">
        <v>10261</v>
      </c>
      <c r="E3255" s="140" t="s">
        <v>106</v>
      </c>
      <c r="F3255" s="140" t="s">
        <v>107</v>
      </c>
      <c r="G3255" s="142">
        <v>0.0</v>
      </c>
      <c r="H3255" s="140" t="s">
        <v>6330</v>
      </c>
      <c r="I3255" s="140" t="s">
        <v>6313</v>
      </c>
      <c r="J3255" s="140" t="s">
        <v>6314</v>
      </c>
      <c r="K3255" s="140" t="s">
        <v>1573</v>
      </c>
    </row>
    <row r="3256">
      <c r="A3256" s="140" t="s">
        <v>10223</v>
      </c>
      <c r="B3256" s="140" t="s">
        <v>10266</v>
      </c>
      <c r="C3256" s="140" t="s">
        <v>10267</v>
      </c>
      <c r="D3256" s="140" t="s">
        <v>10261</v>
      </c>
      <c r="E3256" s="140" t="s">
        <v>106</v>
      </c>
      <c r="F3256" s="140" t="s">
        <v>107</v>
      </c>
      <c r="G3256" s="141" t="s">
        <v>6401</v>
      </c>
      <c r="H3256" s="140" t="s">
        <v>6312</v>
      </c>
      <c r="I3256" s="140" t="s">
        <v>6313</v>
      </c>
      <c r="J3256" s="140" t="s">
        <v>6314</v>
      </c>
      <c r="K3256" s="140" t="s">
        <v>1573</v>
      </c>
    </row>
    <row r="3257">
      <c r="A3257" s="140" t="s">
        <v>10223</v>
      </c>
      <c r="B3257" s="140" t="s">
        <v>10268</v>
      </c>
      <c r="C3257" s="140" t="s">
        <v>10269</v>
      </c>
      <c r="D3257" s="140" t="s">
        <v>10261</v>
      </c>
      <c r="E3257" s="140" t="s">
        <v>106</v>
      </c>
      <c r="F3257" s="140" t="s">
        <v>107</v>
      </c>
      <c r="G3257" s="141" t="s">
        <v>6401</v>
      </c>
      <c r="H3257" s="140" t="s">
        <v>6312</v>
      </c>
      <c r="I3257" s="140" t="s">
        <v>6313</v>
      </c>
      <c r="J3257" s="140" t="s">
        <v>6314</v>
      </c>
      <c r="K3257" s="140" t="s">
        <v>1573</v>
      </c>
    </row>
    <row r="3258">
      <c r="A3258" s="140" t="s">
        <v>10223</v>
      </c>
      <c r="B3258" s="143">
        <v>6.82362E13</v>
      </c>
      <c r="C3258" s="140" t="s">
        <v>10270</v>
      </c>
      <c r="D3258" s="140" t="s">
        <v>10261</v>
      </c>
      <c r="E3258" s="140" t="s">
        <v>106</v>
      </c>
      <c r="F3258" s="140" t="s">
        <v>107</v>
      </c>
      <c r="G3258" s="141" t="s">
        <v>6401</v>
      </c>
      <c r="H3258" s="140" t="s">
        <v>6312</v>
      </c>
      <c r="I3258" s="140" t="s">
        <v>6313</v>
      </c>
      <c r="J3258" s="140" t="s">
        <v>6314</v>
      </c>
      <c r="K3258" s="140" t="s">
        <v>1573</v>
      </c>
    </row>
    <row r="3259">
      <c r="A3259" s="140" t="s">
        <v>10223</v>
      </c>
      <c r="B3259" s="143">
        <v>6.98788E13</v>
      </c>
      <c r="C3259" s="140" t="s">
        <v>10271</v>
      </c>
      <c r="D3259" s="140" t="s">
        <v>10261</v>
      </c>
      <c r="E3259" s="140" t="s">
        <v>106</v>
      </c>
      <c r="F3259" s="140" t="s">
        <v>107</v>
      </c>
      <c r="G3259" s="141" t="s">
        <v>6401</v>
      </c>
      <c r="H3259" s="140" t="s">
        <v>6312</v>
      </c>
      <c r="I3259" s="140" t="s">
        <v>6313</v>
      </c>
      <c r="J3259" s="140" t="s">
        <v>6314</v>
      </c>
      <c r="K3259" s="140" t="s">
        <v>1573</v>
      </c>
    </row>
    <row r="3260">
      <c r="A3260" s="140" t="s">
        <v>10223</v>
      </c>
      <c r="B3260" s="143">
        <v>1.54153E12</v>
      </c>
      <c r="C3260" s="140" t="s">
        <v>10272</v>
      </c>
      <c r="D3260" s="140" t="s">
        <v>6318</v>
      </c>
      <c r="E3260" s="140" t="s">
        <v>598</v>
      </c>
      <c r="F3260" s="140" t="s">
        <v>6338</v>
      </c>
      <c r="G3260" s="141" t="s">
        <v>6401</v>
      </c>
      <c r="H3260" s="140" t="s">
        <v>6312</v>
      </c>
      <c r="I3260" s="140" t="s">
        <v>6313</v>
      </c>
      <c r="J3260" s="140" t="s">
        <v>6314</v>
      </c>
      <c r="K3260" s="140" t="s">
        <v>1573</v>
      </c>
    </row>
    <row r="3261">
      <c r="A3261" s="140" t="s">
        <v>10223</v>
      </c>
      <c r="B3261" s="143">
        <v>1.57106E12</v>
      </c>
      <c r="C3261" s="140" t="s">
        <v>128</v>
      </c>
      <c r="D3261" s="140" t="s">
        <v>6318</v>
      </c>
      <c r="E3261" s="140" t="s">
        <v>126</v>
      </c>
      <c r="F3261" s="140" t="s">
        <v>1324</v>
      </c>
      <c r="G3261" s="141" t="s">
        <v>10273</v>
      </c>
      <c r="H3261" s="140" t="s">
        <v>6330</v>
      </c>
      <c r="I3261" s="140" t="s">
        <v>6313</v>
      </c>
      <c r="J3261" s="140" t="s">
        <v>6314</v>
      </c>
      <c r="K3261" s="140" t="s">
        <v>1573</v>
      </c>
    </row>
    <row r="3262">
      <c r="A3262" s="140" t="s">
        <v>10223</v>
      </c>
      <c r="B3262" s="140" t="s">
        <v>4644</v>
      </c>
      <c r="C3262" s="140" t="s">
        <v>10274</v>
      </c>
      <c r="D3262" s="140" t="s">
        <v>6309</v>
      </c>
      <c r="E3262" s="140" t="s">
        <v>1223</v>
      </c>
      <c r="F3262" s="140" t="s">
        <v>10275</v>
      </c>
      <c r="G3262" s="141" t="s">
        <v>6401</v>
      </c>
      <c r="H3262" s="140" t="s">
        <v>6312</v>
      </c>
      <c r="I3262" s="140" t="s">
        <v>6313</v>
      </c>
      <c r="J3262" s="140" t="s">
        <v>6314</v>
      </c>
      <c r="K3262" s="140" t="s">
        <v>1573</v>
      </c>
    </row>
    <row r="3263">
      <c r="A3263" s="140" t="s">
        <v>10260</v>
      </c>
      <c r="B3263" s="140" t="s">
        <v>4642</v>
      </c>
      <c r="C3263" s="140" t="s">
        <v>10276</v>
      </c>
      <c r="D3263" s="140" t="s">
        <v>6309</v>
      </c>
      <c r="E3263" s="140" t="s">
        <v>1223</v>
      </c>
      <c r="F3263" s="140" t="s">
        <v>10275</v>
      </c>
      <c r="G3263" s="141" t="s">
        <v>6401</v>
      </c>
      <c r="H3263" s="140" t="s">
        <v>6312</v>
      </c>
      <c r="I3263" s="140" t="s">
        <v>6313</v>
      </c>
      <c r="J3263" s="140" t="s">
        <v>6314</v>
      </c>
      <c r="K3263" s="140" t="s">
        <v>1573</v>
      </c>
    </row>
    <row r="3264">
      <c r="A3264" s="140" t="s">
        <v>10223</v>
      </c>
      <c r="B3264" s="140" t="s">
        <v>10277</v>
      </c>
      <c r="C3264" s="140" t="s">
        <v>10278</v>
      </c>
      <c r="D3264" s="140" t="s">
        <v>6309</v>
      </c>
      <c r="E3264" s="140" t="s">
        <v>1223</v>
      </c>
      <c r="F3264" s="140" t="s">
        <v>1223</v>
      </c>
      <c r="G3264" s="141" t="s">
        <v>6401</v>
      </c>
      <c r="H3264" s="140" t="s">
        <v>6312</v>
      </c>
      <c r="I3264" s="140" t="s">
        <v>6313</v>
      </c>
      <c r="J3264" s="140" t="s">
        <v>6314</v>
      </c>
      <c r="K3264" s="140" t="s">
        <v>1573</v>
      </c>
    </row>
    <row r="3265">
      <c r="A3265" s="140" t="s">
        <v>10223</v>
      </c>
      <c r="B3265" s="140" t="s">
        <v>10279</v>
      </c>
      <c r="C3265" s="140" t="s">
        <v>10280</v>
      </c>
      <c r="D3265" s="140" t="s">
        <v>6309</v>
      </c>
      <c r="E3265" s="140" t="s">
        <v>1223</v>
      </c>
      <c r="F3265" s="140" t="s">
        <v>6414</v>
      </c>
      <c r="G3265" s="141" t="s">
        <v>6401</v>
      </c>
      <c r="H3265" s="140" t="s">
        <v>6312</v>
      </c>
      <c r="I3265" s="140" t="s">
        <v>6313</v>
      </c>
      <c r="J3265" s="140" t="s">
        <v>6314</v>
      </c>
      <c r="K3265" s="140" t="s">
        <v>1573</v>
      </c>
    </row>
    <row r="3266">
      <c r="A3266" s="140" t="s">
        <v>10223</v>
      </c>
      <c r="B3266" s="143">
        <v>8.43602E12</v>
      </c>
      <c r="C3266" s="140" t="s">
        <v>10281</v>
      </c>
      <c r="D3266" s="140" t="s">
        <v>6309</v>
      </c>
      <c r="E3266" s="140" t="s">
        <v>1223</v>
      </c>
      <c r="F3266" s="140" t="s">
        <v>1223</v>
      </c>
      <c r="G3266" s="141" t="s">
        <v>6401</v>
      </c>
      <c r="H3266" s="140" t="s">
        <v>6312</v>
      </c>
      <c r="I3266" s="140" t="s">
        <v>6313</v>
      </c>
      <c r="J3266" s="140" t="s">
        <v>6314</v>
      </c>
      <c r="K3266" s="140" t="s">
        <v>1573</v>
      </c>
    </row>
    <row r="3267">
      <c r="A3267" s="140" t="s">
        <v>10223</v>
      </c>
      <c r="B3267" s="140" t="s">
        <v>10282</v>
      </c>
      <c r="C3267" s="140" t="s">
        <v>10283</v>
      </c>
      <c r="D3267" s="140" t="s">
        <v>6309</v>
      </c>
      <c r="E3267" s="140" t="s">
        <v>1223</v>
      </c>
      <c r="F3267" s="140" t="s">
        <v>1223</v>
      </c>
      <c r="G3267" s="141" t="s">
        <v>6401</v>
      </c>
      <c r="H3267" s="140" t="s">
        <v>6312</v>
      </c>
      <c r="I3267" s="140" t="s">
        <v>6313</v>
      </c>
      <c r="J3267" s="140" t="s">
        <v>6314</v>
      </c>
      <c r="K3267" s="140" t="s">
        <v>1573</v>
      </c>
    </row>
    <row r="3268">
      <c r="A3268" s="140" t="s">
        <v>10223</v>
      </c>
      <c r="B3268" s="140" t="s">
        <v>10284</v>
      </c>
      <c r="C3268" s="140" t="s">
        <v>10285</v>
      </c>
      <c r="D3268" s="140" t="s">
        <v>6309</v>
      </c>
      <c r="E3268" s="140" t="s">
        <v>1223</v>
      </c>
      <c r="F3268" s="140" t="s">
        <v>1223</v>
      </c>
      <c r="G3268" s="141" t="s">
        <v>6401</v>
      </c>
      <c r="H3268" s="140" t="s">
        <v>6312</v>
      </c>
      <c r="I3268" s="140" t="s">
        <v>6313</v>
      </c>
      <c r="J3268" s="140" t="s">
        <v>6314</v>
      </c>
      <c r="K3268" s="140" t="s">
        <v>1573</v>
      </c>
    </row>
    <row r="3269">
      <c r="A3269" s="140" t="s">
        <v>10223</v>
      </c>
      <c r="B3269" s="143">
        <v>1.56399E12</v>
      </c>
      <c r="C3269" s="140" t="s">
        <v>10286</v>
      </c>
      <c r="D3269" s="140" t="s">
        <v>6309</v>
      </c>
      <c r="E3269" s="140" t="s">
        <v>56</v>
      </c>
      <c r="F3269" s="140" t="s">
        <v>64</v>
      </c>
      <c r="G3269" s="141" t="s">
        <v>6401</v>
      </c>
      <c r="H3269" s="140" t="s">
        <v>6312</v>
      </c>
      <c r="I3269" s="140" t="s">
        <v>6313</v>
      </c>
      <c r="J3269" s="140" t="s">
        <v>6314</v>
      </c>
      <c r="K3269" s="140" t="s">
        <v>1573</v>
      </c>
    </row>
    <row r="3270">
      <c r="A3270" s="140" t="s">
        <v>10223</v>
      </c>
      <c r="B3270" s="143">
        <v>1.51438E12</v>
      </c>
      <c r="C3270" s="140" t="s">
        <v>10287</v>
      </c>
      <c r="D3270" s="140" t="s">
        <v>6309</v>
      </c>
      <c r="E3270" s="140" t="s">
        <v>56</v>
      </c>
      <c r="F3270" s="140" t="s">
        <v>64</v>
      </c>
      <c r="G3270" s="141" t="s">
        <v>6401</v>
      </c>
      <c r="H3270" s="140" t="s">
        <v>6312</v>
      </c>
      <c r="I3270" s="140" t="s">
        <v>6313</v>
      </c>
      <c r="J3270" s="140" t="s">
        <v>6314</v>
      </c>
      <c r="K3270" s="140" t="s">
        <v>1573</v>
      </c>
    </row>
    <row r="3271">
      <c r="A3271" s="140" t="s">
        <v>10223</v>
      </c>
      <c r="B3271" s="143">
        <v>1.5671E12</v>
      </c>
      <c r="C3271" s="140" t="s">
        <v>10288</v>
      </c>
      <c r="D3271" s="140" t="s">
        <v>6318</v>
      </c>
      <c r="E3271" s="140" t="s">
        <v>8000</v>
      </c>
      <c r="F3271" s="140" t="s">
        <v>8001</v>
      </c>
      <c r="G3271" s="141" t="s">
        <v>6401</v>
      </c>
      <c r="H3271" s="140" t="s">
        <v>6312</v>
      </c>
      <c r="I3271" s="140" t="s">
        <v>6313</v>
      </c>
      <c r="J3271" s="140" t="s">
        <v>6314</v>
      </c>
      <c r="K3271" s="140" t="s">
        <v>1573</v>
      </c>
    </row>
    <row r="3272">
      <c r="A3272" s="140" t="s">
        <v>10223</v>
      </c>
      <c r="B3272" s="143">
        <v>1.52E12</v>
      </c>
      <c r="C3272" s="140" t="s">
        <v>10289</v>
      </c>
      <c r="D3272" s="140" t="s">
        <v>6601</v>
      </c>
      <c r="E3272" s="140" t="s">
        <v>165</v>
      </c>
      <c r="F3272" s="140" t="s">
        <v>175</v>
      </c>
      <c r="G3272" s="141" t="s">
        <v>6401</v>
      </c>
      <c r="H3272" s="140" t="s">
        <v>6312</v>
      </c>
      <c r="I3272" s="140" t="s">
        <v>6313</v>
      </c>
      <c r="J3272" s="140" t="s">
        <v>6314</v>
      </c>
      <c r="K3272" s="140" t="s">
        <v>1573</v>
      </c>
    </row>
    <row r="3273">
      <c r="A3273" s="140" t="s">
        <v>10223</v>
      </c>
      <c r="B3273" s="143">
        <v>1.48182E12</v>
      </c>
      <c r="C3273" s="140" t="s">
        <v>10290</v>
      </c>
      <c r="D3273" s="140" t="s">
        <v>6318</v>
      </c>
      <c r="E3273" s="140" t="s">
        <v>1323</v>
      </c>
      <c r="F3273" s="140" t="s">
        <v>10291</v>
      </c>
      <c r="G3273" s="141" t="s">
        <v>6401</v>
      </c>
      <c r="H3273" s="140" t="s">
        <v>6312</v>
      </c>
      <c r="I3273" s="140" t="s">
        <v>6313</v>
      </c>
      <c r="J3273" s="140" t="s">
        <v>6314</v>
      </c>
      <c r="K3273" s="140" t="s">
        <v>1573</v>
      </c>
    </row>
    <row r="3274">
      <c r="A3274" s="140" t="s">
        <v>10223</v>
      </c>
      <c r="B3274" s="143">
        <v>1.48182E12</v>
      </c>
      <c r="C3274" s="140" t="s">
        <v>10292</v>
      </c>
      <c r="D3274" s="140" t="s">
        <v>6318</v>
      </c>
      <c r="E3274" s="140" t="s">
        <v>1323</v>
      </c>
      <c r="F3274" s="140" t="s">
        <v>10291</v>
      </c>
      <c r="G3274" s="141" t="s">
        <v>6401</v>
      </c>
      <c r="H3274" s="140" t="s">
        <v>6312</v>
      </c>
      <c r="I3274" s="140" t="s">
        <v>6313</v>
      </c>
      <c r="J3274" s="140" t="s">
        <v>6314</v>
      </c>
      <c r="K3274" s="140" t="s">
        <v>1573</v>
      </c>
    </row>
    <row r="3275">
      <c r="A3275" s="140" t="s">
        <v>10223</v>
      </c>
      <c r="B3275" s="143">
        <v>1.48182E12</v>
      </c>
      <c r="C3275" s="140" t="s">
        <v>10293</v>
      </c>
      <c r="D3275" s="140" t="s">
        <v>6318</v>
      </c>
      <c r="E3275" s="140" t="s">
        <v>1323</v>
      </c>
      <c r="F3275" s="140" t="s">
        <v>10291</v>
      </c>
      <c r="G3275" s="141" t="s">
        <v>6401</v>
      </c>
      <c r="H3275" s="140" t="s">
        <v>6312</v>
      </c>
      <c r="I3275" s="140" t="s">
        <v>6313</v>
      </c>
      <c r="J3275" s="140" t="s">
        <v>6314</v>
      </c>
      <c r="K3275" s="140" t="s">
        <v>1573</v>
      </c>
    </row>
    <row r="3276">
      <c r="A3276" s="140" t="s">
        <v>10223</v>
      </c>
      <c r="B3276" s="143">
        <v>1.47982E12</v>
      </c>
      <c r="C3276" s="140" t="s">
        <v>10294</v>
      </c>
      <c r="D3276" s="140" t="s">
        <v>6718</v>
      </c>
      <c r="E3276" s="140" t="s">
        <v>6719</v>
      </c>
      <c r="F3276" s="140" t="s">
        <v>200</v>
      </c>
      <c r="G3276" s="141" t="s">
        <v>6401</v>
      </c>
      <c r="H3276" s="140" t="s">
        <v>6312</v>
      </c>
      <c r="I3276" s="140" t="s">
        <v>6313</v>
      </c>
      <c r="J3276" s="140" t="s">
        <v>6314</v>
      </c>
      <c r="K3276" s="140" t="s">
        <v>1573</v>
      </c>
    </row>
    <row r="3277">
      <c r="A3277" s="140" t="s">
        <v>10223</v>
      </c>
      <c r="B3277" s="143">
        <v>1.48112E12</v>
      </c>
      <c r="C3277" s="140" t="s">
        <v>10295</v>
      </c>
      <c r="D3277" s="140" t="s">
        <v>6718</v>
      </c>
      <c r="E3277" s="140" t="s">
        <v>6719</v>
      </c>
      <c r="F3277" s="140" t="s">
        <v>200</v>
      </c>
      <c r="G3277" s="141" t="s">
        <v>6401</v>
      </c>
      <c r="H3277" s="140" t="s">
        <v>6312</v>
      </c>
      <c r="I3277" s="140" t="s">
        <v>6313</v>
      </c>
      <c r="J3277" s="140" t="s">
        <v>6314</v>
      </c>
      <c r="K3277" s="140" t="s">
        <v>1573</v>
      </c>
    </row>
    <row r="3278">
      <c r="A3278" s="140" t="s">
        <v>10223</v>
      </c>
      <c r="B3278" s="143">
        <v>1.60193E12</v>
      </c>
      <c r="C3278" s="140" t="s">
        <v>10296</v>
      </c>
      <c r="D3278" s="140" t="s">
        <v>6786</v>
      </c>
      <c r="E3278" s="140" t="s">
        <v>6786</v>
      </c>
      <c r="F3278" s="140" t="s">
        <v>7356</v>
      </c>
      <c r="G3278" s="141" t="s">
        <v>6401</v>
      </c>
      <c r="H3278" s="140" t="s">
        <v>6312</v>
      </c>
      <c r="I3278" s="140" t="s">
        <v>6313</v>
      </c>
      <c r="J3278" s="140" t="s">
        <v>6314</v>
      </c>
      <c r="K3278" s="140" t="s">
        <v>1573</v>
      </c>
    </row>
    <row r="3279">
      <c r="A3279" s="140" t="s">
        <v>10223</v>
      </c>
      <c r="B3279" s="143">
        <v>1.60216E12</v>
      </c>
      <c r="C3279" s="140" t="s">
        <v>10297</v>
      </c>
      <c r="D3279" s="140" t="s">
        <v>6786</v>
      </c>
      <c r="E3279" s="140" t="s">
        <v>6786</v>
      </c>
      <c r="F3279" s="140" t="s">
        <v>7356</v>
      </c>
      <c r="G3279" s="141" t="s">
        <v>6401</v>
      </c>
      <c r="H3279" s="140" t="s">
        <v>6312</v>
      </c>
      <c r="I3279" s="140" t="s">
        <v>6313</v>
      </c>
      <c r="J3279" s="140" t="s">
        <v>6314</v>
      </c>
      <c r="K3279" s="140" t="s">
        <v>1573</v>
      </c>
    </row>
    <row r="3280">
      <c r="A3280" s="140" t="s">
        <v>10223</v>
      </c>
      <c r="B3280" s="143">
        <v>1.60216E12</v>
      </c>
      <c r="C3280" s="140" t="s">
        <v>10298</v>
      </c>
      <c r="D3280" s="140" t="s">
        <v>6786</v>
      </c>
      <c r="E3280" s="140" t="s">
        <v>6786</v>
      </c>
      <c r="F3280" s="140" t="s">
        <v>7356</v>
      </c>
      <c r="G3280" s="141" t="s">
        <v>6401</v>
      </c>
      <c r="H3280" s="140" t="s">
        <v>6312</v>
      </c>
      <c r="I3280" s="140" t="s">
        <v>6313</v>
      </c>
      <c r="J3280" s="140" t="s">
        <v>6314</v>
      </c>
      <c r="K3280" s="140" t="s">
        <v>1573</v>
      </c>
    </row>
    <row r="3281">
      <c r="A3281" s="140" t="s">
        <v>10223</v>
      </c>
      <c r="B3281" s="143">
        <v>1.51362E12</v>
      </c>
      <c r="C3281" s="140" t="s">
        <v>10299</v>
      </c>
      <c r="D3281" s="140" t="s">
        <v>6718</v>
      </c>
      <c r="E3281" s="140" t="s">
        <v>240</v>
      </c>
      <c r="F3281" s="140" t="s">
        <v>10300</v>
      </c>
      <c r="G3281" s="141" t="s">
        <v>6401</v>
      </c>
      <c r="H3281" s="140" t="s">
        <v>6312</v>
      </c>
      <c r="I3281" s="140" t="s">
        <v>6313</v>
      </c>
      <c r="J3281" s="140" t="s">
        <v>6314</v>
      </c>
      <c r="K3281" s="140" t="s">
        <v>1573</v>
      </c>
    </row>
    <row r="3282">
      <c r="A3282" s="140" t="s">
        <v>10223</v>
      </c>
      <c r="B3282" s="140" t="s">
        <v>4379</v>
      </c>
      <c r="C3282" s="140" t="s">
        <v>10301</v>
      </c>
      <c r="D3282" s="140" t="s">
        <v>6718</v>
      </c>
      <c r="E3282" s="140" t="s">
        <v>10302</v>
      </c>
      <c r="F3282" s="140" t="s">
        <v>10303</v>
      </c>
      <c r="G3282" s="141" t="s">
        <v>6401</v>
      </c>
      <c r="H3282" s="140" t="s">
        <v>6312</v>
      </c>
      <c r="I3282" s="140" t="s">
        <v>6313</v>
      </c>
      <c r="J3282" s="140" t="s">
        <v>6314</v>
      </c>
      <c r="K3282" s="140" t="s">
        <v>1573</v>
      </c>
    </row>
    <row r="3283">
      <c r="A3283" s="140" t="s">
        <v>10223</v>
      </c>
      <c r="B3283" s="140" t="s">
        <v>10304</v>
      </c>
      <c r="C3283" s="140" t="s">
        <v>10305</v>
      </c>
      <c r="D3283" s="140" t="s">
        <v>6718</v>
      </c>
      <c r="E3283" s="140" t="s">
        <v>10302</v>
      </c>
      <c r="F3283" s="140" t="s">
        <v>10303</v>
      </c>
      <c r="G3283" s="141" t="s">
        <v>6401</v>
      </c>
      <c r="H3283" s="140" t="s">
        <v>6312</v>
      </c>
      <c r="I3283" s="140" t="s">
        <v>6313</v>
      </c>
      <c r="J3283" s="140" t="s">
        <v>6314</v>
      </c>
      <c r="K3283" s="140" t="s">
        <v>1573</v>
      </c>
    </row>
    <row r="3284">
      <c r="A3284" s="140" t="s">
        <v>10223</v>
      </c>
      <c r="B3284" s="140" t="s">
        <v>10306</v>
      </c>
      <c r="C3284" s="140" t="s">
        <v>10307</v>
      </c>
      <c r="D3284" s="140" t="s">
        <v>6718</v>
      </c>
      <c r="E3284" s="140" t="s">
        <v>10302</v>
      </c>
      <c r="F3284" s="140" t="s">
        <v>10303</v>
      </c>
      <c r="G3284" s="141" t="s">
        <v>6401</v>
      </c>
      <c r="H3284" s="140" t="s">
        <v>6312</v>
      </c>
      <c r="I3284" s="140" t="s">
        <v>6313</v>
      </c>
      <c r="J3284" s="140" t="s">
        <v>6314</v>
      </c>
      <c r="K3284" s="140" t="s">
        <v>1573</v>
      </c>
    </row>
    <row r="3285">
      <c r="A3285" s="140" t="s">
        <v>10223</v>
      </c>
      <c r="B3285" s="140" t="s">
        <v>4376</v>
      </c>
      <c r="C3285" s="140" t="s">
        <v>10308</v>
      </c>
      <c r="D3285" s="140" t="s">
        <v>6718</v>
      </c>
      <c r="E3285" s="140" t="s">
        <v>10302</v>
      </c>
      <c r="F3285" s="140" t="s">
        <v>10303</v>
      </c>
      <c r="G3285" s="141" t="s">
        <v>6401</v>
      </c>
      <c r="H3285" s="140" t="s">
        <v>6312</v>
      </c>
      <c r="I3285" s="140" t="s">
        <v>6313</v>
      </c>
      <c r="J3285" s="140" t="s">
        <v>6314</v>
      </c>
      <c r="K3285" s="140" t="s">
        <v>1573</v>
      </c>
    </row>
    <row r="3286">
      <c r="A3286" s="140" t="s">
        <v>10223</v>
      </c>
      <c r="B3286" s="140" t="s">
        <v>10309</v>
      </c>
      <c r="C3286" s="140" t="s">
        <v>10310</v>
      </c>
      <c r="D3286" s="140" t="s">
        <v>6718</v>
      </c>
      <c r="E3286" s="140" t="s">
        <v>10302</v>
      </c>
      <c r="F3286" s="140" t="s">
        <v>10303</v>
      </c>
      <c r="G3286" s="141" t="s">
        <v>6401</v>
      </c>
      <c r="H3286" s="140" t="s">
        <v>6312</v>
      </c>
      <c r="I3286" s="140" t="s">
        <v>6313</v>
      </c>
      <c r="J3286" s="140" t="s">
        <v>6314</v>
      </c>
      <c r="K3286" s="140" t="s">
        <v>1573</v>
      </c>
    </row>
    <row r="3287">
      <c r="A3287" s="140" t="s">
        <v>10223</v>
      </c>
      <c r="B3287" s="140" t="s">
        <v>10311</v>
      </c>
      <c r="C3287" s="140" t="s">
        <v>10312</v>
      </c>
      <c r="D3287" s="140" t="s">
        <v>6718</v>
      </c>
      <c r="E3287" s="140" t="s">
        <v>10302</v>
      </c>
      <c r="F3287" s="140" t="s">
        <v>10303</v>
      </c>
      <c r="G3287" s="141" t="s">
        <v>6401</v>
      </c>
      <c r="H3287" s="140" t="s">
        <v>6312</v>
      </c>
      <c r="I3287" s="140" t="s">
        <v>6313</v>
      </c>
      <c r="J3287" s="140" t="s">
        <v>6314</v>
      </c>
      <c r="K3287" s="140" t="s">
        <v>1573</v>
      </c>
    </row>
    <row r="3288">
      <c r="A3288" s="140" t="s">
        <v>10223</v>
      </c>
      <c r="B3288" s="140" t="s">
        <v>10313</v>
      </c>
      <c r="C3288" s="140" t="s">
        <v>10314</v>
      </c>
      <c r="D3288" s="140" t="s">
        <v>6718</v>
      </c>
      <c r="E3288" s="140" t="s">
        <v>10302</v>
      </c>
      <c r="F3288" s="140" t="s">
        <v>10303</v>
      </c>
      <c r="G3288" s="141" t="s">
        <v>6401</v>
      </c>
      <c r="H3288" s="140" t="s">
        <v>6312</v>
      </c>
      <c r="I3288" s="140" t="s">
        <v>6313</v>
      </c>
      <c r="J3288" s="140" t="s">
        <v>6314</v>
      </c>
      <c r="K3288" s="140" t="s">
        <v>1573</v>
      </c>
    </row>
    <row r="3289">
      <c r="A3289" s="140" t="s">
        <v>10223</v>
      </c>
      <c r="B3289" s="140" t="s">
        <v>10315</v>
      </c>
      <c r="C3289" s="140" t="s">
        <v>10316</v>
      </c>
      <c r="D3289" s="140" t="s">
        <v>6718</v>
      </c>
      <c r="E3289" s="140" t="s">
        <v>10302</v>
      </c>
      <c r="F3289" s="140" t="s">
        <v>10303</v>
      </c>
      <c r="G3289" s="141" t="s">
        <v>6401</v>
      </c>
      <c r="H3289" s="140" t="s">
        <v>6312</v>
      </c>
      <c r="I3289" s="140" t="s">
        <v>6313</v>
      </c>
      <c r="J3289" s="140" t="s">
        <v>6314</v>
      </c>
      <c r="K3289" s="140" t="s">
        <v>1573</v>
      </c>
    </row>
    <row r="3290">
      <c r="A3290" s="140" t="s">
        <v>10317</v>
      </c>
      <c r="B3290" s="143">
        <v>8.80966E12</v>
      </c>
      <c r="C3290" s="140" t="s">
        <v>10318</v>
      </c>
      <c r="D3290" s="140" t="s">
        <v>6620</v>
      </c>
      <c r="E3290" s="140" t="s">
        <v>6621</v>
      </c>
      <c r="F3290" s="140" t="s">
        <v>8910</v>
      </c>
      <c r="G3290" s="141" t="s">
        <v>6401</v>
      </c>
      <c r="H3290" s="140" t="s">
        <v>6312</v>
      </c>
      <c r="I3290" s="140" t="s">
        <v>6313</v>
      </c>
      <c r="J3290" s="140" t="s">
        <v>6314</v>
      </c>
      <c r="K3290" s="140" t="s">
        <v>6751</v>
      </c>
    </row>
    <row r="3291">
      <c r="A3291" s="140" t="s">
        <v>10317</v>
      </c>
      <c r="B3291" s="143">
        <v>8.80966E12</v>
      </c>
      <c r="C3291" s="140" t="s">
        <v>10319</v>
      </c>
      <c r="D3291" s="140" t="s">
        <v>6620</v>
      </c>
      <c r="E3291" s="140" t="s">
        <v>6621</v>
      </c>
      <c r="F3291" s="140" t="s">
        <v>8910</v>
      </c>
      <c r="G3291" s="141" t="s">
        <v>6401</v>
      </c>
      <c r="H3291" s="140" t="s">
        <v>6312</v>
      </c>
      <c r="I3291" s="140" t="s">
        <v>6313</v>
      </c>
      <c r="J3291" s="140" t="s">
        <v>6314</v>
      </c>
      <c r="K3291" s="140" t="s">
        <v>6751</v>
      </c>
    </row>
    <row r="3292">
      <c r="A3292" s="140" t="s">
        <v>10317</v>
      </c>
      <c r="B3292" s="143">
        <v>8.80966E12</v>
      </c>
      <c r="C3292" s="140" t="s">
        <v>10320</v>
      </c>
      <c r="D3292" s="140" t="s">
        <v>6620</v>
      </c>
      <c r="E3292" s="140" t="s">
        <v>6621</v>
      </c>
      <c r="F3292" s="140" t="s">
        <v>8910</v>
      </c>
      <c r="G3292" s="141" t="s">
        <v>6401</v>
      </c>
      <c r="H3292" s="140" t="s">
        <v>6312</v>
      </c>
      <c r="I3292" s="140" t="s">
        <v>6313</v>
      </c>
      <c r="J3292" s="140" t="s">
        <v>6314</v>
      </c>
      <c r="K3292" s="140" t="s">
        <v>6751</v>
      </c>
    </row>
    <row r="3293">
      <c r="A3293" s="140" t="s">
        <v>10317</v>
      </c>
      <c r="B3293" s="143">
        <v>8.80966E12</v>
      </c>
      <c r="C3293" s="140" t="s">
        <v>10321</v>
      </c>
      <c r="D3293" s="140" t="s">
        <v>6620</v>
      </c>
      <c r="E3293" s="140" t="s">
        <v>6621</v>
      </c>
      <c r="F3293" s="140" t="s">
        <v>8910</v>
      </c>
      <c r="G3293" s="141" t="s">
        <v>6401</v>
      </c>
      <c r="H3293" s="140" t="s">
        <v>6312</v>
      </c>
      <c r="I3293" s="140" t="s">
        <v>6313</v>
      </c>
      <c r="J3293" s="140" t="s">
        <v>6314</v>
      </c>
      <c r="K3293" s="140" t="s">
        <v>6751</v>
      </c>
    </row>
    <row r="3294">
      <c r="A3294" s="140" t="s">
        <v>10317</v>
      </c>
      <c r="B3294" s="143">
        <v>8.80966E12</v>
      </c>
      <c r="C3294" s="140" t="s">
        <v>10322</v>
      </c>
      <c r="D3294" s="140" t="s">
        <v>6620</v>
      </c>
      <c r="E3294" s="140" t="s">
        <v>6621</v>
      </c>
      <c r="F3294" s="140" t="s">
        <v>6766</v>
      </c>
      <c r="G3294" s="141" t="s">
        <v>6401</v>
      </c>
      <c r="H3294" s="140" t="s">
        <v>6312</v>
      </c>
      <c r="I3294" s="140" t="s">
        <v>6313</v>
      </c>
      <c r="J3294" s="140" t="s">
        <v>6314</v>
      </c>
      <c r="K3294" s="140" t="s">
        <v>6751</v>
      </c>
    </row>
    <row r="3295">
      <c r="A3295" s="140" t="s">
        <v>10317</v>
      </c>
      <c r="B3295" s="143">
        <v>8.80966E12</v>
      </c>
      <c r="C3295" s="140" t="s">
        <v>10323</v>
      </c>
      <c r="D3295" s="140" t="s">
        <v>6620</v>
      </c>
      <c r="E3295" s="140" t="s">
        <v>6621</v>
      </c>
      <c r="F3295" s="140" t="s">
        <v>6766</v>
      </c>
      <c r="G3295" s="141" t="s">
        <v>6401</v>
      </c>
      <c r="H3295" s="140" t="s">
        <v>6312</v>
      </c>
      <c r="I3295" s="140" t="s">
        <v>6313</v>
      </c>
      <c r="J3295" s="140" t="s">
        <v>6314</v>
      </c>
      <c r="K3295" s="140" t="s">
        <v>6751</v>
      </c>
    </row>
    <row r="3296">
      <c r="A3296" s="140" t="s">
        <v>10317</v>
      </c>
      <c r="B3296" s="143">
        <v>8.80924E12</v>
      </c>
      <c r="C3296" s="140" t="s">
        <v>10324</v>
      </c>
      <c r="D3296" s="140" t="s">
        <v>6620</v>
      </c>
      <c r="E3296" s="140" t="s">
        <v>6621</v>
      </c>
      <c r="F3296" s="140" t="s">
        <v>6768</v>
      </c>
      <c r="G3296" s="141" t="s">
        <v>6401</v>
      </c>
      <c r="H3296" s="140" t="s">
        <v>6312</v>
      </c>
      <c r="I3296" s="140" t="s">
        <v>6313</v>
      </c>
      <c r="J3296" s="140" t="s">
        <v>6314</v>
      </c>
      <c r="K3296" s="140" t="s">
        <v>6751</v>
      </c>
    </row>
    <row r="3297">
      <c r="A3297" s="140" t="s">
        <v>10317</v>
      </c>
      <c r="B3297" s="143">
        <v>8.80932E12</v>
      </c>
      <c r="C3297" s="140" t="s">
        <v>10325</v>
      </c>
      <c r="D3297" s="140" t="s">
        <v>6620</v>
      </c>
      <c r="E3297" s="140" t="s">
        <v>6621</v>
      </c>
      <c r="F3297" s="140" t="s">
        <v>6775</v>
      </c>
      <c r="G3297" s="141" t="s">
        <v>6401</v>
      </c>
      <c r="H3297" s="140" t="s">
        <v>6312</v>
      </c>
      <c r="I3297" s="140" t="s">
        <v>6313</v>
      </c>
      <c r="J3297" s="140" t="s">
        <v>6314</v>
      </c>
      <c r="K3297" s="140" t="s">
        <v>6751</v>
      </c>
    </row>
    <row r="3298">
      <c r="A3298" s="140" t="s">
        <v>10317</v>
      </c>
      <c r="B3298" s="143">
        <v>8.80924E12</v>
      </c>
      <c r="C3298" s="140" t="s">
        <v>10326</v>
      </c>
      <c r="D3298" s="140" t="s">
        <v>6620</v>
      </c>
      <c r="E3298" s="140" t="s">
        <v>6621</v>
      </c>
      <c r="F3298" s="140" t="s">
        <v>6775</v>
      </c>
      <c r="G3298" s="141" t="s">
        <v>6401</v>
      </c>
      <c r="H3298" s="140" t="s">
        <v>6312</v>
      </c>
      <c r="I3298" s="140" t="s">
        <v>6313</v>
      </c>
      <c r="J3298" s="140" t="s">
        <v>6314</v>
      </c>
      <c r="K3298" s="140" t="s">
        <v>6751</v>
      </c>
    </row>
    <row r="3299">
      <c r="A3299" s="140" t="s">
        <v>10317</v>
      </c>
      <c r="B3299" s="143">
        <v>8.80924E12</v>
      </c>
      <c r="C3299" s="140" t="s">
        <v>10327</v>
      </c>
      <c r="D3299" s="140" t="s">
        <v>6620</v>
      </c>
      <c r="E3299" s="140" t="s">
        <v>6621</v>
      </c>
      <c r="F3299" s="140" t="s">
        <v>6775</v>
      </c>
      <c r="G3299" s="141" t="s">
        <v>6401</v>
      </c>
      <c r="H3299" s="140" t="s">
        <v>6312</v>
      </c>
      <c r="I3299" s="140" t="s">
        <v>6313</v>
      </c>
      <c r="J3299" s="140" t="s">
        <v>6314</v>
      </c>
      <c r="K3299" s="140" t="s">
        <v>6751</v>
      </c>
    </row>
    <row r="3300">
      <c r="A3300" s="140" t="s">
        <v>10317</v>
      </c>
      <c r="B3300" s="143">
        <v>8.80924E12</v>
      </c>
      <c r="C3300" s="140" t="s">
        <v>10328</v>
      </c>
      <c r="D3300" s="140" t="s">
        <v>6620</v>
      </c>
      <c r="E3300" s="140" t="s">
        <v>6621</v>
      </c>
      <c r="F3300" s="140" t="s">
        <v>6775</v>
      </c>
      <c r="G3300" s="141" t="s">
        <v>6401</v>
      </c>
      <c r="H3300" s="140" t="s">
        <v>6312</v>
      </c>
      <c r="I3300" s="140" t="s">
        <v>6313</v>
      </c>
      <c r="J3300" s="140" t="s">
        <v>6314</v>
      </c>
      <c r="K3300" s="140" t="s">
        <v>6751</v>
      </c>
    </row>
    <row r="3301">
      <c r="A3301" s="140" t="s">
        <v>10317</v>
      </c>
      <c r="B3301" s="143">
        <v>8.80924E12</v>
      </c>
      <c r="C3301" s="140" t="s">
        <v>10329</v>
      </c>
      <c r="D3301" s="140" t="s">
        <v>6620</v>
      </c>
      <c r="E3301" s="140" t="s">
        <v>6621</v>
      </c>
      <c r="F3301" s="140" t="s">
        <v>6775</v>
      </c>
      <c r="G3301" s="141" t="s">
        <v>6401</v>
      </c>
      <c r="H3301" s="140" t="s">
        <v>6312</v>
      </c>
      <c r="I3301" s="140" t="s">
        <v>6313</v>
      </c>
      <c r="J3301" s="140" t="s">
        <v>6314</v>
      </c>
      <c r="K3301" s="140" t="s">
        <v>6751</v>
      </c>
    </row>
    <row r="3302">
      <c r="A3302" s="140" t="s">
        <v>10317</v>
      </c>
      <c r="B3302" s="143">
        <v>8.80924E12</v>
      </c>
      <c r="C3302" s="140" t="s">
        <v>10330</v>
      </c>
      <c r="D3302" s="140" t="s">
        <v>6620</v>
      </c>
      <c r="E3302" s="140" t="s">
        <v>6621</v>
      </c>
      <c r="F3302" s="140" t="s">
        <v>6775</v>
      </c>
      <c r="G3302" s="141" t="s">
        <v>6401</v>
      </c>
      <c r="H3302" s="140" t="s">
        <v>6312</v>
      </c>
      <c r="I3302" s="140" t="s">
        <v>6313</v>
      </c>
      <c r="J3302" s="140" t="s">
        <v>6314</v>
      </c>
      <c r="K3302" s="140" t="s">
        <v>6751</v>
      </c>
    </row>
    <row r="3303">
      <c r="A3303" s="140" t="s">
        <v>10317</v>
      </c>
      <c r="B3303" s="143">
        <v>8.80924E12</v>
      </c>
      <c r="C3303" s="140" t="s">
        <v>10331</v>
      </c>
      <c r="D3303" s="140" t="s">
        <v>6620</v>
      </c>
      <c r="E3303" s="140" t="s">
        <v>6621</v>
      </c>
      <c r="F3303" s="140" t="s">
        <v>6775</v>
      </c>
      <c r="G3303" s="141" t="s">
        <v>6401</v>
      </c>
      <c r="H3303" s="140" t="s">
        <v>6312</v>
      </c>
      <c r="I3303" s="140" t="s">
        <v>6313</v>
      </c>
      <c r="J3303" s="140" t="s">
        <v>6314</v>
      </c>
      <c r="K3303" s="140" t="s">
        <v>6751</v>
      </c>
    </row>
    <row r="3304">
      <c r="A3304" s="140" t="s">
        <v>10317</v>
      </c>
      <c r="B3304" s="143">
        <v>8.80924E12</v>
      </c>
      <c r="C3304" s="140" t="s">
        <v>10332</v>
      </c>
      <c r="D3304" s="140" t="s">
        <v>6620</v>
      </c>
      <c r="E3304" s="140" t="s">
        <v>6621</v>
      </c>
      <c r="F3304" s="140" t="s">
        <v>6775</v>
      </c>
      <c r="G3304" s="141" t="s">
        <v>6401</v>
      </c>
      <c r="H3304" s="140" t="s">
        <v>6312</v>
      </c>
      <c r="I3304" s="140" t="s">
        <v>6313</v>
      </c>
      <c r="J3304" s="140" t="s">
        <v>6314</v>
      </c>
      <c r="K3304" s="140" t="s">
        <v>6751</v>
      </c>
    </row>
    <row r="3305">
      <c r="A3305" s="140" t="s">
        <v>10317</v>
      </c>
      <c r="B3305" s="143">
        <v>8.80924E12</v>
      </c>
      <c r="C3305" s="140" t="s">
        <v>10333</v>
      </c>
      <c r="D3305" s="140" t="s">
        <v>6620</v>
      </c>
      <c r="E3305" s="140" t="s">
        <v>6621</v>
      </c>
      <c r="F3305" s="140" t="s">
        <v>6775</v>
      </c>
      <c r="G3305" s="141" t="s">
        <v>6401</v>
      </c>
      <c r="H3305" s="140" t="s">
        <v>6312</v>
      </c>
      <c r="I3305" s="140" t="s">
        <v>6313</v>
      </c>
      <c r="J3305" s="140" t="s">
        <v>6314</v>
      </c>
      <c r="K3305" s="140" t="s">
        <v>6751</v>
      </c>
    </row>
    <row r="3306">
      <c r="A3306" s="140" t="s">
        <v>10317</v>
      </c>
      <c r="B3306" s="140">
        <v>1.64192621E9</v>
      </c>
      <c r="C3306" s="140" t="s">
        <v>10334</v>
      </c>
      <c r="D3306" s="140" t="s">
        <v>6620</v>
      </c>
      <c r="E3306" s="140" t="s">
        <v>6621</v>
      </c>
      <c r="F3306" s="140" t="s">
        <v>6777</v>
      </c>
      <c r="G3306" s="141" t="s">
        <v>6401</v>
      </c>
      <c r="H3306" s="140" t="s">
        <v>6312</v>
      </c>
      <c r="I3306" s="140" t="s">
        <v>6313</v>
      </c>
      <c r="J3306" s="140" t="s">
        <v>6314</v>
      </c>
      <c r="K3306" s="140" t="s">
        <v>6751</v>
      </c>
    </row>
    <row r="3307">
      <c r="A3307" s="140" t="s">
        <v>10317</v>
      </c>
      <c r="B3307" s="144" t="s">
        <v>6757</v>
      </c>
      <c r="C3307" s="140" t="s">
        <v>10335</v>
      </c>
      <c r="D3307" s="140" t="s">
        <v>6620</v>
      </c>
      <c r="E3307" s="140" t="s">
        <v>6621</v>
      </c>
      <c r="F3307" s="140" t="s">
        <v>6777</v>
      </c>
      <c r="G3307" s="141" t="s">
        <v>6401</v>
      </c>
      <c r="H3307" s="140" t="s">
        <v>6312</v>
      </c>
      <c r="I3307" s="140" t="s">
        <v>6313</v>
      </c>
      <c r="J3307" s="140" t="s">
        <v>6314</v>
      </c>
      <c r="K3307" s="140" t="s">
        <v>6751</v>
      </c>
    </row>
    <row r="3308">
      <c r="A3308" s="140" t="s">
        <v>10317</v>
      </c>
      <c r="B3308" s="143">
        <v>8.80954E12</v>
      </c>
      <c r="C3308" s="140" t="s">
        <v>10336</v>
      </c>
      <c r="D3308" s="140" t="s">
        <v>6620</v>
      </c>
      <c r="E3308" s="140" t="s">
        <v>6621</v>
      </c>
      <c r="F3308" s="140" t="s">
        <v>6777</v>
      </c>
      <c r="G3308" s="141" t="s">
        <v>6401</v>
      </c>
      <c r="H3308" s="140" t="s">
        <v>6312</v>
      </c>
      <c r="I3308" s="140" t="s">
        <v>6313</v>
      </c>
      <c r="J3308" s="140" t="s">
        <v>6314</v>
      </c>
      <c r="K3308" s="140" t="s">
        <v>6751</v>
      </c>
    </row>
    <row r="3309">
      <c r="A3309" s="140" t="s">
        <v>10317</v>
      </c>
      <c r="B3309" s="144" t="s">
        <v>6757</v>
      </c>
      <c r="C3309" s="140" t="s">
        <v>10337</v>
      </c>
      <c r="D3309" s="140" t="s">
        <v>6620</v>
      </c>
      <c r="E3309" s="140" t="s">
        <v>6621</v>
      </c>
      <c r="F3309" s="140" t="s">
        <v>6777</v>
      </c>
      <c r="G3309" s="141" t="s">
        <v>6401</v>
      </c>
      <c r="H3309" s="140" t="s">
        <v>6312</v>
      </c>
      <c r="I3309" s="140" t="s">
        <v>6313</v>
      </c>
      <c r="J3309" s="140" t="s">
        <v>6314</v>
      </c>
      <c r="K3309" s="140" t="s">
        <v>6751</v>
      </c>
    </row>
    <row r="3310">
      <c r="A3310" s="140" t="s">
        <v>10317</v>
      </c>
      <c r="B3310" s="143">
        <v>8.80954E12</v>
      </c>
      <c r="C3310" s="140" t="s">
        <v>10338</v>
      </c>
      <c r="D3310" s="140" t="s">
        <v>6620</v>
      </c>
      <c r="E3310" s="140" t="s">
        <v>6621</v>
      </c>
      <c r="F3310" s="140" t="s">
        <v>6777</v>
      </c>
      <c r="G3310" s="141" t="s">
        <v>6401</v>
      </c>
      <c r="H3310" s="140" t="s">
        <v>6312</v>
      </c>
      <c r="I3310" s="140" t="s">
        <v>6313</v>
      </c>
      <c r="J3310" s="140" t="s">
        <v>6314</v>
      </c>
      <c r="K3310" s="140" t="s">
        <v>6751</v>
      </c>
    </row>
    <row r="3311">
      <c r="A3311" s="140" t="s">
        <v>10317</v>
      </c>
      <c r="B3311" s="143">
        <v>8.80954E12</v>
      </c>
      <c r="C3311" s="140" t="s">
        <v>10339</v>
      </c>
      <c r="D3311" s="140" t="s">
        <v>6620</v>
      </c>
      <c r="E3311" s="140" t="s">
        <v>6621</v>
      </c>
      <c r="F3311" s="140" t="s">
        <v>6777</v>
      </c>
      <c r="G3311" s="141" t="s">
        <v>6401</v>
      </c>
      <c r="H3311" s="140" t="s">
        <v>6312</v>
      </c>
      <c r="I3311" s="140" t="s">
        <v>6313</v>
      </c>
      <c r="J3311" s="140" t="s">
        <v>6314</v>
      </c>
      <c r="K3311" s="140" t="s">
        <v>6751</v>
      </c>
    </row>
    <row r="3312">
      <c r="A3312" s="140" t="s">
        <v>10317</v>
      </c>
      <c r="B3312" s="143">
        <v>8.80954E12</v>
      </c>
      <c r="C3312" s="140" t="s">
        <v>10340</v>
      </c>
      <c r="D3312" s="140" t="s">
        <v>6620</v>
      </c>
      <c r="E3312" s="140" t="s">
        <v>6621</v>
      </c>
      <c r="F3312" s="140" t="s">
        <v>6777</v>
      </c>
      <c r="G3312" s="141" t="s">
        <v>6401</v>
      </c>
      <c r="H3312" s="140" t="s">
        <v>6312</v>
      </c>
      <c r="I3312" s="140" t="s">
        <v>6313</v>
      </c>
      <c r="J3312" s="140" t="s">
        <v>6314</v>
      </c>
      <c r="K3312" s="140" t="s">
        <v>6751</v>
      </c>
    </row>
    <row r="3313">
      <c r="A3313" s="140" t="s">
        <v>10317</v>
      </c>
      <c r="B3313" s="143">
        <v>8.80954E12</v>
      </c>
      <c r="C3313" s="140" t="s">
        <v>10341</v>
      </c>
      <c r="D3313" s="140" t="s">
        <v>6620</v>
      </c>
      <c r="E3313" s="140" t="s">
        <v>6621</v>
      </c>
      <c r="F3313" s="140" t="s">
        <v>6777</v>
      </c>
      <c r="G3313" s="141" t="s">
        <v>6401</v>
      </c>
      <c r="H3313" s="140" t="s">
        <v>6312</v>
      </c>
      <c r="I3313" s="140" t="s">
        <v>6313</v>
      </c>
      <c r="J3313" s="140" t="s">
        <v>6314</v>
      </c>
      <c r="K3313" s="140" t="s">
        <v>6751</v>
      </c>
    </row>
    <row r="3314">
      <c r="A3314" s="140" t="s">
        <v>10317</v>
      </c>
      <c r="B3314" s="143">
        <v>8.80932E12</v>
      </c>
      <c r="C3314" s="140" t="s">
        <v>10342</v>
      </c>
      <c r="D3314" s="140" t="s">
        <v>6620</v>
      </c>
      <c r="E3314" s="140" t="s">
        <v>6621</v>
      </c>
      <c r="F3314" s="140" t="s">
        <v>6777</v>
      </c>
      <c r="G3314" s="141" t="s">
        <v>6401</v>
      </c>
      <c r="H3314" s="140" t="s">
        <v>6312</v>
      </c>
      <c r="I3314" s="140" t="s">
        <v>6313</v>
      </c>
      <c r="J3314" s="140" t="s">
        <v>6314</v>
      </c>
      <c r="K3314" s="140" t="s">
        <v>6751</v>
      </c>
    </row>
    <row r="3315">
      <c r="A3315" s="140" t="s">
        <v>10317</v>
      </c>
      <c r="B3315" s="143">
        <v>8.80932E12</v>
      </c>
      <c r="C3315" s="140" t="s">
        <v>10343</v>
      </c>
      <c r="D3315" s="140" t="s">
        <v>6620</v>
      </c>
      <c r="E3315" s="140" t="s">
        <v>6621</v>
      </c>
      <c r="F3315" s="140" t="s">
        <v>6777</v>
      </c>
      <c r="G3315" s="141" t="s">
        <v>6401</v>
      </c>
      <c r="H3315" s="140" t="s">
        <v>6312</v>
      </c>
      <c r="I3315" s="140" t="s">
        <v>6313</v>
      </c>
      <c r="J3315" s="140" t="s">
        <v>6314</v>
      </c>
      <c r="K3315" s="140" t="s">
        <v>6751</v>
      </c>
    </row>
    <row r="3316">
      <c r="A3316" s="140" t="s">
        <v>10317</v>
      </c>
      <c r="B3316" s="143">
        <v>8.80932E12</v>
      </c>
      <c r="C3316" s="140" t="s">
        <v>10344</v>
      </c>
      <c r="D3316" s="140" t="s">
        <v>6620</v>
      </c>
      <c r="E3316" s="140" t="s">
        <v>6621</v>
      </c>
      <c r="F3316" s="140" t="s">
        <v>6777</v>
      </c>
      <c r="G3316" s="141" t="s">
        <v>6401</v>
      </c>
      <c r="H3316" s="140" t="s">
        <v>6312</v>
      </c>
      <c r="I3316" s="140" t="s">
        <v>6313</v>
      </c>
      <c r="J3316" s="140" t="s">
        <v>6314</v>
      </c>
      <c r="K3316" s="140" t="s">
        <v>6751</v>
      </c>
    </row>
    <row r="3317">
      <c r="A3317" s="140" t="s">
        <v>10317</v>
      </c>
      <c r="B3317" s="143">
        <v>8.80954E12</v>
      </c>
      <c r="C3317" s="140" t="s">
        <v>10345</v>
      </c>
      <c r="D3317" s="140" t="s">
        <v>6620</v>
      </c>
      <c r="E3317" s="140" t="s">
        <v>6621</v>
      </c>
      <c r="F3317" s="140" t="s">
        <v>6777</v>
      </c>
      <c r="G3317" s="141" t="s">
        <v>6401</v>
      </c>
      <c r="H3317" s="140" t="s">
        <v>6312</v>
      </c>
      <c r="I3317" s="140" t="s">
        <v>6313</v>
      </c>
      <c r="J3317" s="140" t="s">
        <v>6314</v>
      </c>
      <c r="K3317" s="140" t="s">
        <v>6751</v>
      </c>
    </row>
    <row r="3318">
      <c r="A3318" s="140" t="s">
        <v>10317</v>
      </c>
      <c r="B3318" s="143">
        <v>8.80945E12</v>
      </c>
      <c r="C3318" s="140" t="s">
        <v>10346</v>
      </c>
      <c r="D3318" s="140" t="s">
        <v>6620</v>
      </c>
      <c r="E3318" s="140" t="s">
        <v>6621</v>
      </c>
      <c r="F3318" s="140" t="s">
        <v>6777</v>
      </c>
      <c r="G3318" s="141" t="s">
        <v>6401</v>
      </c>
      <c r="H3318" s="140" t="s">
        <v>6312</v>
      </c>
      <c r="I3318" s="140" t="s">
        <v>6313</v>
      </c>
      <c r="J3318" s="140" t="s">
        <v>6314</v>
      </c>
      <c r="K3318" s="140" t="s">
        <v>6751</v>
      </c>
    </row>
    <row r="3319">
      <c r="A3319" s="140" t="s">
        <v>10317</v>
      </c>
      <c r="B3319" s="143">
        <v>8.80945E12</v>
      </c>
      <c r="C3319" s="140" t="s">
        <v>10347</v>
      </c>
      <c r="D3319" s="140" t="s">
        <v>6620</v>
      </c>
      <c r="E3319" s="140" t="s">
        <v>6621</v>
      </c>
      <c r="F3319" s="140" t="s">
        <v>6777</v>
      </c>
      <c r="G3319" s="141" t="s">
        <v>6401</v>
      </c>
      <c r="H3319" s="140" t="s">
        <v>6312</v>
      </c>
      <c r="I3319" s="140" t="s">
        <v>6313</v>
      </c>
      <c r="J3319" s="140" t="s">
        <v>6314</v>
      </c>
      <c r="K3319" s="140" t="s">
        <v>6751</v>
      </c>
    </row>
    <row r="3320">
      <c r="A3320" s="140" t="s">
        <v>10317</v>
      </c>
      <c r="B3320" s="143">
        <v>8.80945E12</v>
      </c>
      <c r="C3320" s="140" t="s">
        <v>10348</v>
      </c>
      <c r="D3320" s="140" t="s">
        <v>6620</v>
      </c>
      <c r="E3320" s="140" t="s">
        <v>6621</v>
      </c>
      <c r="F3320" s="140" t="s">
        <v>6777</v>
      </c>
      <c r="G3320" s="141" t="s">
        <v>6401</v>
      </c>
      <c r="H3320" s="140" t="s">
        <v>6312</v>
      </c>
      <c r="I3320" s="140" t="s">
        <v>6313</v>
      </c>
      <c r="J3320" s="140" t="s">
        <v>6314</v>
      </c>
      <c r="K3320" s="140" t="s">
        <v>6751</v>
      </c>
    </row>
    <row r="3321">
      <c r="A3321" s="140" t="s">
        <v>10317</v>
      </c>
      <c r="B3321" s="143">
        <v>8.80954E12</v>
      </c>
      <c r="C3321" s="140" t="s">
        <v>10349</v>
      </c>
      <c r="D3321" s="140" t="s">
        <v>6620</v>
      </c>
      <c r="E3321" s="140" t="s">
        <v>6621</v>
      </c>
      <c r="F3321" s="140" t="s">
        <v>6777</v>
      </c>
      <c r="G3321" s="141" t="s">
        <v>6401</v>
      </c>
      <c r="H3321" s="140" t="s">
        <v>6312</v>
      </c>
      <c r="I3321" s="140" t="s">
        <v>6313</v>
      </c>
      <c r="J3321" s="140" t="s">
        <v>6314</v>
      </c>
      <c r="K3321" s="140" t="s">
        <v>6751</v>
      </c>
    </row>
    <row r="3322">
      <c r="A3322" s="140" t="s">
        <v>10317</v>
      </c>
      <c r="B3322" s="140">
        <v>1.641431908E9</v>
      </c>
      <c r="C3322" s="140" t="s">
        <v>10350</v>
      </c>
      <c r="D3322" s="140" t="s">
        <v>6620</v>
      </c>
      <c r="E3322" s="140" t="s">
        <v>6621</v>
      </c>
      <c r="F3322" s="140" t="s">
        <v>8945</v>
      </c>
      <c r="G3322" s="141" t="s">
        <v>6401</v>
      </c>
      <c r="H3322" s="140" t="s">
        <v>6312</v>
      </c>
      <c r="I3322" s="140" t="s">
        <v>6313</v>
      </c>
      <c r="J3322" s="140" t="s">
        <v>6314</v>
      </c>
      <c r="K3322" s="140" t="s">
        <v>6751</v>
      </c>
    </row>
    <row r="3323">
      <c r="A3323" s="140" t="s">
        <v>10317</v>
      </c>
      <c r="B3323" s="143">
        <v>8.80954E12</v>
      </c>
      <c r="C3323" s="140" t="s">
        <v>10351</v>
      </c>
      <c r="D3323" s="140" t="s">
        <v>6620</v>
      </c>
      <c r="E3323" s="140" t="s">
        <v>6621</v>
      </c>
      <c r="F3323" s="140" t="s">
        <v>8945</v>
      </c>
      <c r="G3323" s="141" t="s">
        <v>6401</v>
      </c>
      <c r="H3323" s="140" t="s">
        <v>6312</v>
      </c>
      <c r="I3323" s="140" t="s">
        <v>6313</v>
      </c>
      <c r="J3323" s="140" t="s">
        <v>6314</v>
      </c>
      <c r="K3323" s="140" t="s">
        <v>6751</v>
      </c>
    </row>
    <row r="3324">
      <c r="A3324" s="140" t="s">
        <v>10317</v>
      </c>
      <c r="B3324" s="143">
        <v>8.80954E12</v>
      </c>
      <c r="C3324" s="140" t="s">
        <v>10352</v>
      </c>
      <c r="D3324" s="140" t="s">
        <v>6620</v>
      </c>
      <c r="E3324" s="140" t="s">
        <v>6621</v>
      </c>
      <c r="F3324" s="140" t="s">
        <v>8945</v>
      </c>
      <c r="G3324" s="141" t="s">
        <v>6401</v>
      </c>
      <c r="H3324" s="140" t="s">
        <v>6312</v>
      </c>
      <c r="I3324" s="140" t="s">
        <v>6313</v>
      </c>
      <c r="J3324" s="140" t="s">
        <v>6314</v>
      </c>
      <c r="K3324" s="140" t="s">
        <v>6751</v>
      </c>
    </row>
    <row r="3325">
      <c r="A3325" s="140" t="s">
        <v>10317</v>
      </c>
      <c r="B3325" s="143">
        <v>8.80954E12</v>
      </c>
      <c r="C3325" s="140" t="s">
        <v>10353</v>
      </c>
      <c r="D3325" s="140" t="s">
        <v>6620</v>
      </c>
      <c r="E3325" s="140" t="s">
        <v>6621</v>
      </c>
      <c r="F3325" s="140" t="s">
        <v>8945</v>
      </c>
      <c r="G3325" s="141" t="s">
        <v>6401</v>
      </c>
      <c r="H3325" s="140" t="s">
        <v>6312</v>
      </c>
      <c r="I3325" s="140" t="s">
        <v>6313</v>
      </c>
      <c r="J3325" s="140" t="s">
        <v>6314</v>
      </c>
      <c r="K3325" s="140" t="s">
        <v>6751</v>
      </c>
    </row>
    <row r="3326">
      <c r="A3326" s="140" t="s">
        <v>10317</v>
      </c>
      <c r="B3326" s="144" t="s">
        <v>6757</v>
      </c>
      <c r="C3326" s="140" t="s">
        <v>10354</v>
      </c>
      <c r="D3326" s="140" t="s">
        <v>6620</v>
      </c>
      <c r="E3326" s="140" t="s">
        <v>6621</v>
      </c>
      <c r="F3326" s="140" t="s">
        <v>8945</v>
      </c>
      <c r="G3326" s="141" t="s">
        <v>6401</v>
      </c>
      <c r="H3326" s="140" t="s">
        <v>6312</v>
      </c>
      <c r="I3326" s="140" t="s">
        <v>6313</v>
      </c>
      <c r="J3326" s="140" t="s">
        <v>6314</v>
      </c>
      <c r="K3326" s="140" t="s">
        <v>6751</v>
      </c>
    </row>
    <row r="3327">
      <c r="A3327" s="140" t="s">
        <v>10317</v>
      </c>
      <c r="B3327" s="143">
        <v>8.80954E12</v>
      </c>
      <c r="C3327" s="140" t="s">
        <v>10355</v>
      </c>
      <c r="D3327" s="140" t="s">
        <v>6620</v>
      </c>
      <c r="E3327" s="140" t="s">
        <v>6621</v>
      </c>
      <c r="F3327" s="140" t="s">
        <v>8945</v>
      </c>
      <c r="G3327" s="141" t="s">
        <v>6401</v>
      </c>
      <c r="H3327" s="140" t="s">
        <v>6312</v>
      </c>
      <c r="I3327" s="140" t="s">
        <v>6313</v>
      </c>
      <c r="J3327" s="140" t="s">
        <v>6314</v>
      </c>
      <c r="K3327" s="140" t="s">
        <v>6751</v>
      </c>
    </row>
    <row r="3328">
      <c r="A3328" s="140" t="s">
        <v>10356</v>
      </c>
      <c r="B3328" s="140">
        <v>31431.0</v>
      </c>
      <c r="C3328" s="140" t="s">
        <v>10357</v>
      </c>
      <c r="D3328" s="140" t="s">
        <v>6309</v>
      </c>
      <c r="E3328" s="140" t="s">
        <v>6310</v>
      </c>
      <c r="F3328" s="140" t="s">
        <v>6310</v>
      </c>
      <c r="G3328" s="141" t="s">
        <v>6311</v>
      </c>
      <c r="H3328" s="140" t="s">
        <v>6312</v>
      </c>
      <c r="I3328" s="140" t="s">
        <v>6313</v>
      </c>
      <c r="J3328" s="140" t="s">
        <v>6314</v>
      </c>
      <c r="K3328" s="140" t="s">
        <v>8979</v>
      </c>
    </row>
    <row r="3329">
      <c r="A3329" s="140" t="s">
        <v>10356</v>
      </c>
      <c r="B3329" s="140">
        <v>34337.0</v>
      </c>
      <c r="C3329" s="140" t="s">
        <v>10358</v>
      </c>
      <c r="D3329" s="140" t="s">
        <v>6309</v>
      </c>
      <c r="E3329" s="140" t="s">
        <v>6310</v>
      </c>
      <c r="F3329" s="140" t="s">
        <v>6310</v>
      </c>
      <c r="G3329" s="141" t="s">
        <v>6311</v>
      </c>
      <c r="H3329" s="140" t="s">
        <v>6312</v>
      </c>
      <c r="I3329" s="140" t="s">
        <v>6313</v>
      </c>
      <c r="J3329" s="140" t="s">
        <v>6314</v>
      </c>
      <c r="K3329" s="140" t="s">
        <v>8979</v>
      </c>
    </row>
    <row r="3330">
      <c r="A3330" s="140" t="s">
        <v>10356</v>
      </c>
      <c r="B3330" s="140">
        <v>33694.0</v>
      </c>
      <c r="C3330" s="140" t="s">
        <v>10359</v>
      </c>
      <c r="D3330" s="140" t="s">
        <v>6309</v>
      </c>
      <c r="E3330" s="140" t="s">
        <v>6310</v>
      </c>
      <c r="F3330" s="140" t="s">
        <v>6310</v>
      </c>
      <c r="G3330" s="141" t="s">
        <v>6311</v>
      </c>
      <c r="H3330" s="140" t="s">
        <v>6312</v>
      </c>
      <c r="I3330" s="140" t="s">
        <v>6313</v>
      </c>
      <c r="J3330" s="140" t="s">
        <v>6314</v>
      </c>
      <c r="K3330" s="140" t="s">
        <v>8979</v>
      </c>
    </row>
    <row r="3331">
      <c r="A3331" s="140" t="s">
        <v>10356</v>
      </c>
      <c r="B3331" s="140">
        <v>32329.0</v>
      </c>
      <c r="C3331" s="140" t="s">
        <v>10360</v>
      </c>
      <c r="D3331" s="140" t="s">
        <v>6309</v>
      </c>
      <c r="E3331" s="140" t="s">
        <v>6310</v>
      </c>
      <c r="F3331" s="140" t="s">
        <v>6310</v>
      </c>
      <c r="G3331" s="141" t="s">
        <v>6311</v>
      </c>
      <c r="H3331" s="140" t="s">
        <v>6312</v>
      </c>
      <c r="I3331" s="140" t="s">
        <v>6313</v>
      </c>
      <c r="J3331" s="140" t="s">
        <v>6314</v>
      </c>
      <c r="K3331" s="140" t="s">
        <v>8979</v>
      </c>
    </row>
    <row r="3332">
      <c r="A3332" s="140" t="s">
        <v>10356</v>
      </c>
      <c r="B3332" s="140">
        <v>35846.0</v>
      </c>
      <c r="C3332" s="140" t="s">
        <v>10361</v>
      </c>
      <c r="D3332" s="140" t="s">
        <v>6309</v>
      </c>
      <c r="E3332" s="140" t="s">
        <v>6310</v>
      </c>
      <c r="F3332" s="140" t="s">
        <v>6310</v>
      </c>
      <c r="G3332" s="141" t="s">
        <v>6311</v>
      </c>
      <c r="H3332" s="140" t="s">
        <v>6312</v>
      </c>
      <c r="I3332" s="140" t="s">
        <v>6313</v>
      </c>
      <c r="J3332" s="140" t="s">
        <v>6314</v>
      </c>
      <c r="K3332" s="140" t="s">
        <v>8979</v>
      </c>
    </row>
    <row r="3333">
      <c r="A3333" s="140" t="s">
        <v>10356</v>
      </c>
      <c r="B3333" s="140">
        <v>30770.0</v>
      </c>
      <c r="C3333" s="140" t="s">
        <v>10362</v>
      </c>
      <c r="D3333" s="140" t="s">
        <v>6309</v>
      </c>
      <c r="E3333" s="140" t="s">
        <v>6310</v>
      </c>
      <c r="F3333" s="140" t="s">
        <v>6310</v>
      </c>
      <c r="G3333" s="141" t="s">
        <v>6311</v>
      </c>
      <c r="H3333" s="140" t="s">
        <v>6312</v>
      </c>
      <c r="I3333" s="140" t="s">
        <v>6313</v>
      </c>
      <c r="J3333" s="140" t="s">
        <v>6314</v>
      </c>
      <c r="K3333" s="140" t="s">
        <v>8979</v>
      </c>
    </row>
    <row r="3334">
      <c r="A3334" s="140" t="s">
        <v>10363</v>
      </c>
      <c r="B3334" s="140">
        <v>27962.0</v>
      </c>
      <c r="C3334" s="140" t="s">
        <v>10364</v>
      </c>
      <c r="D3334" s="140" t="s">
        <v>6309</v>
      </c>
      <c r="E3334" s="140" t="s">
        <v>6310</v>
      </c>
      <c r="F3334" s="140" t="s">
        <v>6310</v>
      </c>
      <c r="G3334" s="141" t="s">
        <v>6311</v>
      </c>
      <c r="H3334" s="140" t="s">
        <v>6312</v>
      </c>
      <c r="I3334" s="140" t="s">
        <v>6313</v>
      </c>
      <c r="J3334" s="140" t="s">
        <v>6314</v>
      </c>
      <c r="K3334" s="140" t="s">
        <v>6315</v>
      </c>
    </row>
    <row r="3335">
      <c r="A3335" s="140" t="s">
        <v>10365</v>
      </c>
      <c r="B3335" s="140" t="s">
        <v>10366</v>
      </c>
      <c r="C3335" s="140" t="s">
        <v>10367</v>
      </c>
      <c r="D3335" s="140" t="s">
        <v>7347</v>
      </c>
      <c r="E3335" s="140" t="s">
        <v>523</v>
      </c>
      <c r="F3335" s="140" t="s">
        <v>524</v>
      </c>
      <c r="G3335" s="141" t="s">
        <v>6401</v>
      </c>
      <c r="H3335" s="140" t="s">
        <v>6312</v>
      </c>
      <c r="I3335" s="140" t="s">
        <v>6313</v>
      </c>
      <c r="J3335" s="140" t="s">
        <v>6314</v>
      </c>
      <c r="K3335" s="140" t="s">
        <v>10368</v>
      </c>
    </row>
    <row r="3336">
      <c r="A3336" s="140" t="s">
        <v>10365</v>
      </c>
      <c r="B3336" s="140" t="s">
        <v>10369</v>
      </c>
      <c r="C3336" s="140" t="s">
        <v>10370</v>
      </c>
      <c r="D3336" s="140" t="s">
        <v>7347</v>
      </c>
      <c r="E3336" s="140" t="s">
        <v>523</v>
      </c>
      <c r="F3336" s="140" t="s">
        <v>524</v>
      </c>
      <c r="G3336" s="141" t="s">
        <v>6401</v>
      </c>
      <c r="H3336" s="140" t="s">
        <v>6312</v>
      </c>
      <c r="I3336" s="140" t="s">
        <v>6313</v>
      </c>
      <c r="J3336" s="140" t="s">
        <v>6314</v>
      </c>
      <c r="K3336" s="140" t="s">
        <v>10368</v>
      </c>
    </row>
    <row r="3337">
      <c r="A3337" s="140" t="s">
        <v>10365</v>
      </c>
      <c r="B3337" s="140" t="s">
        <v>10371</v>
      </c>
      <c r="C3337" s="140" t="s">
        <v>10372</v>
      </c>
      <c r="D3337" s="140" t="s">
        <v>7347</v>
      </c>
      <c r="E3337" s="140" t="s">
        <v>523</v>
      </c>
      <c r="F3337" s="140" t="s">
        <v>524</v>
      </c>
      <c r="G3337" s="141" t="s">
        <v>6401</v>
      </c>
      <c r="H3337" s="140" t="s">
        <v>6312</v>
      </c>
      <c r="I3337" s="140" t="s">
        <v>6313</v>
      </c>
      <c r="J3337" s="140" t="s">
        <v>6314</v>
      </c>
      <c r="K3337" s="140" t="s">
        <v>10368</v>
      </c>
    </row>
    <row r="3338">
      <c r="A3338" s="140" t="s">
        <v>10365</v>
      </c>
      <c r="B3338" s="140" t="s">
        <v>10373</v>
      </c>
      <c r="C3338" s="140" t="s">
        <v>10374</v>
      </c>
      <c r="D3338" s="140" t="s">
        <v>7347</v>
      </c>
      <c r="E3338" s="140" t="s">
        <v>523</v>
      </c>
      <c r="F3338" s="140" t="s">
        <v>524</v>
      </c>
      <c r="G3338" s="141" t="s">
        <v>6401</v>
      </c>
      <c r="H3338" s="140" t="s">
        <v>6312</v>
      </c>
      <c r="I3338" s="140" t="s">
        <v>6313</v>
      </c>
      <c r="J3338" s="140" t="s">
        <v>6314</v>
      </c>
      <c r="K3338" s="140" t="s">
        <v>10368</v>
      </c>
    </row>
    <row r="3339">
      <c r="A3339" s="140" t="s">
        <v>10365</v>
      </c>
      <c r="B3339" s="140" t="s">
        <v>10375</v>
      </c>
      <c r="C3339" s="140" t="s">
        <v>10376</v>
      </c>
      <c r="D3339" s="140" t="s">
        <v>7347</v>
      </c>
      <c r="E3339" s="140" t="s">
        <v>523</v>
      </c>
      <c r="F3339" s="140" t="s">
        <v>524</v>
      </c>
      <c r="G3339" s="141" t="s">
        <v>6401</v>
      </c>
      <c r="H3339" s="140" t="s">
        <v>6312</v>
      </c>
      <c r="I3339" s="140" t="s">
        <v>6313</v>
      </c>
      <c r="J3339" s="140" t="s">
        <v>6314</v>
      </c>
      <c r="K3339" s="140" t="s">
        <v>10368</v>
      </c>
    </row>
    <row r="3340">
      <c r="A3340" s="140" t="s">
        <v>10377</v>
      </c>
      <c r="B3340" s="143">
        <v>5.06049E12</v>
      </c>
      <c r="C3340" s="140" t="s">
        <v>10378</v>
      </c>
      <c r="D3340" s="140" t="s">
        <v>6601</v>
      </c>
      <c r="E3340" s="140" t="s">
        <v>303</v>
      </c>
      <c r="F3340" s="140" t="s">
        <v>8317</v>
      </c>
      <c r="G3340" s="141" t="s">
        <v>6401</v>
      </c>
      <c r="H3340" s="140" t="s">
        <v>6312</v>
      </c>
      <c r="I3340" s="140" t="s">
        <v>6313</v>
      </c>
      <c r="J3340" s="140" t="s">
        <v>6314</v>
      </c>
      <c r="K3340" s="140" t="s">
        <v>10379</v>
      </c>
    </row>
    <row r="3341">
      <c r="A3341" s="140" t="s">
        <v>10377</v>
      </c>
      <c r="B3341" s="140" t="s">
        <v>10380</v>
      </c>
      <c r="C3341" s="140" t="s">
        <v>10381</v>
      </c>
      <c r="D3341" s="140" t="s">
        <v>6601</v>
      </c>
      <c r="E3341" s="140" t="s">
        <v>303</v>
      </c>
      <c r="F3341" s="140" t="s">
        <v>8317</v>
      </c>
      <c r="G3341" s="141" t="s">
        <v>6401</v>
      </c>
      <c r="H3341" s="140" t="s">
        <v>6312</v>
      </c>
      <c r="I3341" s="140" t="s">
        <v>6313</v>
      </c>
      <c r="J3341" s="140" t="s">
        <v>6314</v>
      </c>
      <c r="K3341" s="140" t="s">
        <v>10379</v>
      </c>
    </row>
    <row r="3342">
      <c r="A3342" s="140" t="s">
        <v>10377</v>
      </c>
      <c r="B3342" s="140" t="s">
        <v>10382</v>
      </c>
      <c r="C3342" s="140" t="s">
        <v>10383</v>
      </c>
      <c r="D3342" s="140" t="s">
        <v>6601</v>
      </c>
      <c r="E3342" s="140" t="s">
        <v>303</v>
      </c>
      <c r="F3342" s="140" t="s">
        <v>8317</v>
      </c>
      <c r="G3342" s="141" t="s">
        <v>6401</v>
      </c>
      <c r="H3342" s="140" t="s">
        <v>6312</v>
      </c>
      <c r="I3342" s="140" t="s">
        <v>6313</v>
      </c>
      <c r="J3342" s="140" t="s">
        <v>6314</v>
      </c>
      <c r="K3342" s="140" t="s">
        <v>10379</v>
      </c>
    </row>
    <row r="3343">
      <c r="A3343" s="140" t="s">
        <v>10377</v>
      </c>
      <c r="B3343" s="140" t="s">
        <v>10384</v>
      </c>
      <c r="C3343" s="140" t="s">
        <v>10385</v>
      </c>
      <c r="D3343" s="140" t="s">
        <v>6601</v>
      </c>
      <c r="E3343" s="140" t="s">
        <v>303</v>
      </c>
      <c r="F3343" s="140" t="s">
        <v>8317</v>
      </c>
      <c r="G3343" s="141" t="s">
        <v>6401</v>
      </c>
      <c r="H3343" s="140" t="s">
        <v>6312</v>
      </c>
      <c r="I3343" s="140" t="s">
        <v>6313</v>
      </c>
      <c r="J3343" s="140" t="s">
        <v>6314</v>
      </c>
      <c r="K3343" s="140" t="s">
        <v>10379</v>
      </c>
    </row>
    <row r="3344">
      <c r="A3344" s="140" t="s">
        <v>10377</v>
      </c>
      <c r="B3344" s="140" t="s">
        <v>10386</v>
      </c>
      <c r="C3344" s="140" t="s">
        <v>10387</v>
      </c>
      <c r="D3344" s="140" t="s">
        <v>6601</v>
      </c>
      <c r="E3344" s="140" t="s">
        <v>303</v>
      </c>
      <c r="F3344" s="140" t="s">
        <v>8317</v>
      </c>
      <c r="G3344" s="141" t="s">
        <v>6401</v>
      </c>
      <c r="H3344" s="140" t="s">
        <v>6312</v>
      </c>
      <c r="I3344" s="140" t="s">
        <v>6313</v>
      </c>
      <c r="J3344" s="140" t="s">
        <v>6314</v>
      </c>
      <c r="K3344" s="140" t="s">
        <v>10379</v>
      </c>
    </row>
    <row r="3345">
      <c r="A3345" s="140" t="s">
        <v>10377</v>
      </c>
      <c r="B3345" s="140" t="s">
        <v>10388</v>
      </c>
      <c r="C3345" s="140" t="s">
        <v>10389</v>
      </c>
      <c r="D3345" s="140" t="s">
        <v>6601</v>
      </c>
      <c r="E3345" s="140" t="s">
        <v>303</v>
      </c>
      <c r="F3345" s="140" t="s">
        <v>8317</v>
      </c>
      <c r="G3345" s="141" t="s">
        <v>6401</v>
      </c>
      <c r="H3345" s="140" t="s">
        <v>6312</v>
      </c>
      <c r="I3345" s="140" t="s">
        <v>6313</v>
      </c>
      <c r="J3345" s="140" t="s">
        <v>6314</v>
      </c>
      <c r="K3345" s="140" t="s">
        <v>10379</v>
      </c>
    </row>
    <row r="3346">
      <c r="A3346" s="140" t="s">
        <v>10377</v>
      </c>
      <c r="B3346" s="140" t="s">
        <v>10390</v>
      </c>
      <c r="C3346" s="140" t="s">
        <v>10391</v>
      </c>
      <c r="D3346" s="140" t="s">
        <v>6601</v>
      </c>
      <c r="E3346" s="140" t="s">
        <v>303</v>
      </c>
      <c r="F3346" s="140" t="s">
        <v>8317</v>
      </c>
      <c r="G3346" s="141" t="s">
        <v>6401</v>
      </c>
      <c r="H3346" s="140" t="s">
        <v>6312</v>
      </c>
      <c r="I3346" s="140" t="s">
        <v>6313</v>
      </c>
      <c r="J3346" s="140" t="s">
        <v>6314</v>
      </c>
      <c r="K3346" s="140" t="s">
        <v>10379</v>
      </c>
    </row>
    <row r="3347">
      <c r="A3347" s="140" t="s">
        <v>10377</v>
      </c>
      <c r="B3347" s="140" t="s">
        <v>10392</v>
      </c>
      <c r="C3347" s="140" t="s">
        <v>10393</v>
      </c>
      <c r="D3347" s="140" t="s">
        <v>6601</v>
      </c>
      <c r="E3347" s="140" t="s">
        <v>303</v>
      </c>
      <c r="F3347" s="140" t="s">
        <v>8317</v>
      </c>
      <c r="G3347" s="141" t="s">
        <v>6401</v>
      </c>
      <c r="H3347" s="140" t="s">
        <v>6312</v>
      </c>
      <c r="I3347" s="140" t="s">
        <v>6313</v>
      </c>
      <c r="J3347" s="140" t="s">
        <v>6314</v>
      </c>
      <c r="K3347" s="140" t="s">
        <v>10379</v>
      </c>
    </row>
    <row r="3348">
      <c r="A3348" s="140" t="s">
        <v>10377</v>
      </c>
      <c r="B3348" s="140" t="s">
        <v>10394</v>
      </c>
      <c r="C3348" s="140" t="s">
        <v>10395</v>
      </c>
      <c r="D3348" s="140" t="s">
        <v>6601</v>
      </c>
      <c r="E3348" s="140" t="s">
        <v>303</v>
      </c>
      <c r="F3348" s="140" t="s">
        <v>8317</v>
      </c>
      <c r="G3348" s="141" t="s">
        <v>6401</v>
      </c>
      <c r="H3348" s="140" t="s">
        <v>6312</v>
      </c>
      <c r="I3348" s="140" t="s">
        <v>6313</v>
      </c>
      <c r="J3348" s="140" t="s">
        <v>6314</v>
      </c>
      <c r="K3348" s="140" t="s">
        <v>10379</v>
      </c>
    </row>
    <row r="3349">
      <c r="A3349" s="140" t="s">
        <v>10377</v>
      </c>
      <c r="B3349" s="140" t="s">
        <v>10396</v>
      </c>
      <c r="C3349" s="140" t="s">
        <v>10397</v>
      </c>
      <c r="D3349" s="140" t="s">
        <v>6601</v>
      </c>
      <c r="E3349" s="140" t="s">
        <v>303</v>
      </c>
      <c r="F3349" s="140" t="s">
        <v>8317</v>
      </c>
      <c r="G3349" s="141" t="s">
        <v>6401</v>
      </c>
      <c r="H3349" s="140" t="s">
        <v>6312</v>
      </c>
      <c r="I3349" s="140" t="s">
        <v>6313</v>
      </c>
      <c r="J3349" s="140" t="s">
        <v>6314</v>
      </c>
      <c r="K3349" s="140" t="s">
        <v>10379</v>
      </c>
    </row>
    <row r="3350">
      <c r="A3350" s="140" t="s">
        <v>10377</v>
      </c>
      <c r="B3350" s="140" t="s">
        <v>10398</v>
      </c>
      <c r="C3350" s="140" t="s">
        <v>10399</v>
      </c>
      <c r="D3350" s="140" t="s">
        <v>6601</v>
      </c>
      <c r="E3350" s="140" t="s">
        <v>303</v>
      </c>
      <c r="F3350" s="140" t="s">
        <v>8317</v>
      </c>
      <c r="G3350" s="141" t="s">
        <v>6401</v>
      </c>
      <c r="H3350" s="140" t="s">
        <v>6312</v>
      </c>
      <c r="I3350" s="140" t="s">
        <v>6313</v>
      </c>
      <c r="J3350" s="140" t="s">
        <v>6314</v>
      </c>
      <c r="K3350" s="140" t="s">
        <v>10379</v>
      </c>
    </row>
    <row r="3351">
      <c r="A3351" s="140" t="s">
        <v>10377</v>
      </c>
      <c r="B3351" s="140" t="s">
        <v>10400</v>
      </c>
      <c r="C3351" s="140" t="s">
        <v>10401</v>
      </c>
      <c r="D3351" s="140" t="s">
        <v>6601</v>
      </c>
      <c r="E3351" s="140" t="s">
        <v>303</v>
      </c>
      <c r="F3351" s="140" t="s">
        <v>8317</v>
      </c>
      <c r="G3351" s="141" t="s">
        <v>6401</v>
      </c>
      <c r="H3351" s="140" t="s">
        <v>6312</v>
      </c>
      <c r="I3351" s="140" t="s">
        <v>6313</v>
      </c>
      <c r="J3351" s="140" t="s">
        <v>6314</v>
      </c>
      <c r="K3351" s="140" t="s">
        <v>10379</v>
      </c>
    </row>
    <row r="3352">
      <c r="A3352" s="140" t="s">
        <v>10402</v>
      </c>
      <c r="B3352" s="140">
        <v>26075.0</v>
      </c>
      <c r="C3352" s="140" t="s">
        <v>10403</v>
      </c>
      <c r="D3352" s="140" t="s">
        <v>6601</v>
      </c>
      <c r="E3352" s="140">
        <v>0.0</v>
      </c>
      <c r="F3352" s="140" t="s">
        <v>7579</v>
      </c>
      <c r="G3352" s="141" t="s">
        <v>6401</v>
      </c>
      <c r="H3352" s="140" t="s">
        <v>6312</v>
      </c>
      <c r="I3352" s="140" t="s">
        <v>6313</v>
      </c>
      <c r="J3352" s="140" t="s">
        <v>6314</v>
      </c>
      <c r="K3352" s="140" t="s">
        <v>10404</v>
      </c>
    </row>
    <row r="3353">
      <c r="A3353" s="140" t="s">
        <v>10402</v>
      </c>
      <c r="B3353" s="140">
        <v>26400.0</v>
      </c>
      <c r="C3353" s="140" t="s">
        <v>10405</v>
      </c>
      <c r="D3353" s="140" t="s">
        <v>6601</v>
      </c>
      <c r="E3353" s="140">
        <v>0.0</v>
      </c>
      <c r="F3353" s="140" t="s">
        <v>7579</v>
      </c>
      <c r="G3353" s="141" t="s">
        <v>6401</v>
      </c>
      <c r="H3353" s="140" t="s">
        <v>6312</v>
      </c>
      <c r="I3353" s="140" t="s">
        <v>6313</v>
      </c>
      <c r="J3353" s="140" t="s">
        <v>6314</v>
      </c>
      <c r="K3353" s="140" t="s">
        <v>10404</v>
      </c>
    </row>
    <row r="3354">
      <c r="A3354" s="140" t="s">
        <v>10402</v>
      </c>
      <c r="B3354" s="140">
        <v>27399.0</v>
      </c>
      <c r="C3354" s="140" t="s">
        <v>10406</v>
      </c>
      <c r="D3354" s="140" t="s">
        <v>6601</v>
      </c>
      <c r="E3354" s="140">
        <v>0.0</v>
      </c>
      <c r="F3354" s="140" t="s">
        <v>7579</v>
      </c>
      <c r="G3354" s="141" t="s">
        <v>6401</v>
      </c>
      <c r="H3354" s="140" t="s">
        <v>6312</v>
      </c>
      <c r="I3354" s="140" t="s">
        <v>6313</v>
      </c>
      <c r="J3354" s="140" t="s">
        <v>6314</v>
      </c>
      <c r="K3354" s="140" t="s">
        <v>10404</v>
      </c>
    </row>
    <row r="3355">
      <c r="A3355" s="140" t="s">
        <v>10402</v>
      </c>
      <c r="B3355" s="140">
        <v>22810.0</v>
      </c>
      <c r="C3355" s="140" t="s">
        <v>10407</v>
      </c>
      <c r="D3355" s="140" t="s">
        <v>6601</v>
      </c>
      <c r="E3355" s="140">
        <v>0.0</v>
      </c>
      <c r="F3355" s="140" t="s">
        <v>7579</v>
      </c>
      <c r="G3355" s="141" t="s">
        <v>6401</v>
      </c>
      <c r="H3355" s="140" t="s">
        <v>6312</v>
      </c>
      <c r="I3355" s="140" t="s">
        <v>6313</v>
      </c>
      <c r="J3355" s="140" t="s">
        <v>6314</v>
      </c>
      <c r="K3355" s="140" t="s">
        <v>10404</v>
      </c>
    </row>
    <row r="3356">
      <c r="A3356" s="140" t="s">
        <v>10402</v>
      </c>
      <c r="B3356" s="140">
        <v>27397.0</v>
      </c>
      <c r="C3356" s="140" t="s">
        <v>10408</v>
      </c>
      <c r="D3356" s="140" t="s">
        <v>6601</v>
      </c>
      <c r="E3356" s="140">
        <v>0.0</v>
      </c>
      <c r="F3356" s="140" t="s">
        <v>7579</v>
      </c>
      <c r="G3356" s="141" t="s">
        <v>6401</v>
      </c>
      <c r="H3356" s="140" t="s">
        <v>6312</v>
      </c>
      <c r="I3356" s="140" t="s">
        <v>6313</v>
      </c>
      <c r="J3356" s="140" t="s">
        <v>6314</v>
      </c>
      <c r="K3356" s="140" t="s">
        <v>10404</v>
      </c>
    </row>
    <row r="3357">
      <c r="A3357" s="140" t="s">
        <v>10402</v>
      </c>
      <c r="B3357" s="140">
        <v>26880.0</v>
      </c>
      <c r="C3357" s="140" t="s">
        <v>10409</v>
      </c>
      <c r="D3357" s="140" t="s">
        <v>6718</v>
      </c>
      <c r="E3357" s="140">
        <v>0.0</v>
      </c>
      <c r="F3357" s="140" t="s">
        <v>10410</v>
      </c>
      <c r="G3357" s="141" t="s">
        <v>6401</v>
      </c>
      <c r="H3357" s="140" t="s">
        <v>6312</v>
      </c>
      <c r="I3357" s="140" t="s">
        <v>6313</v>
      </c>
      <c r="J3357" s="140" t="s">
        <v>6314</v>
      </c>
      <c r="K3357" s="140" t="s">
        <v>10404</v>
      </c>
    </row>
    <row r="3358">
      <c r="A3358" s="140" t="s">
        <v>10402</v>
      </c>
      <c r="B3358" s="140">
        <v>27536.0</v>
      </c>
      <c r="C3358" s="140" t="s">
        <v>10411</v>
      </c>
      <c r="D3358" s="140" t="s">
        <v>6718</v>
      </c>
      <c r="E3358" s="140">
        <v>0.0</v>
      </c>
      <c r="F3358" s="140" t="s">
        <v>10410</v>
      </c>
      <c r="G3358" s="141" t="s">
        <v>6401</v>
      </c>
      <c r="H3358" s="140" t="s">
        <v>6312</v>
      </c>
      <c r="I3358" s="140" t="s">
        <v>6313</v>
      </c>
      <c r="J3358" s="140" t="s">
        <v>6314</v>
      </c>
      <c r="K3358" s="140" t="s">
        <v>10404</v>
      </c>
    </row>
    <row r="3359">
      <c r="A3359" s="140" t="s">
        <v>10402</v>
      </c>
      <c r="B3359" s="140">
        <v>27325.0</v>
      </c>
      <c r="C3359" s="140" t="s">
        <v>10412</v>
      </c>
      <c r="D3359" s="140" t="s">
        <v>6718</v>
      </c>
      <c r="E3359" s="140" t="s">
        <v>140</v>
      </c>
      <c r="F3359" s="140" t="s">
        <v>160</v>
      </c>
      <c r="G3359" s="141" t="s">
        <v>6401</v>
      </c>
      <c r="H3359" s="140" t="s">
        <v>6312</v>
      </c>
      <c r="I3359" s="140" t="s">
        <v>6313</v>
      </c>
      <c r="J3359" s="140" t="s">
        <v>6314</v>
      </c>
      <c r="K3359" s="140" t="s">
        <v>10404</v>
      </c>
    </row>
    <row r="3360">
      <c r="A3360" s="140" t="s">
        <v>10402</v>
      </c>
      <c r="B3360" s="140">
        <v>19933.0</v>
      </c>
      <c r="C3360" s="140" t="s">
        <v>10413</v>
      </c>
      <c r="D3360" s="140" t="s">
        <v>6718</v>
      </c>
      <c r="E3360" s="140" t="s">
        <v>6719</v>
      </c>
      <c r="F3360" s="140" t="s">
        <v>10414</v>
      </c>
      <c r="G3360" s="141" t="s">
        <v>6401</v>
      </c>
      <c r="H3360" s="140" t="s">
        <v>6312</v>
      </c>
      <c r="I3360" s="140" t="s">
        <v>6313</v>
      </c>
      <c r="J3360" s="140" t="s">
        <v>6314</v>
      </c>
      <c r="K3360" s="140" t="s">
        <v>10404</v>
      </c>
    </row>
    <row r="3361">
      <c r="A3361" s="140" t="s">
        <v>10402</v>
      </c>
      <c r="B3361" s="140">
        <v>27373.0</v>
      </c>
      <c r="C3361" s="140" t="s">
        <v>10415</v>
      </c>
      <c r="D3361" s="140" t="s">
        <v>6718</v>
      </c>
      <c r="E3361" s="140" t="s">
        <v>6719</v>
      </c>
      <c r="F3361" s="140" t="s">
        <v>10414</v>
      </c>
      <c r="G3361" s="141" t="s">
        <v>6401</v>
      </c>
      <c r="H3361" s="140" t="s">
        <v>6312</v>
      </c>
      <c r="I3361" s="140" t="s">
        <v>6313</v>
      </c>
      <c r="J3361" s="140" t="s">
        <v>6314</v>
      </c>
      <c r="K3361" s="140" t="s">
        <v>10404</v>
      </c>
    </row>
    <row r="3362">
      <c r="A3362" s="140" t="s">
        <v>10402</v>
      </c>
      <c r="B3362" s="140">
        <v>26074.0</v>
      </c>
      <c r="C3362" s="140" t="s">
        <v>10416</v>
      </c>
      <c r="D3362" s="140" t="s">
        <v>6718</v>
      </c>
      <c r="E3362" s="140" t="s">
        <v>6719</v>
      </c>
      <c r="F3362" s="140" t="s">
        <v>10414</v>
      </c>
      <c r="G3362" s="141" t="s">
        <v>6401</v>
      </c>
      <c r="H3362" s="140" t="s">
        <v>6312</v>
      </c>
      <c r="I3362" s="140" t="s">
        <v>6313</v>
      </c>
      <c r="J3362" s="140" t="s">
        <v>6314</v>
      </c>
      <c r="K3362" s="140" t="s">
        <v>10404</v>
      </c>
    </row>
    <row r="3363">
      <c r="A3363" s="140" t="s">
        <v>10402</v>
      </c>
      <c r="B3363" s="140">
        <v>27374.0</v>
      </c>
      <c r="C3363" s="140" t="s">
        <v>10417</v>
      </c>
      <c r="D3363" s="140" t="s">
        <v>6718</v>
      </c>
      <c r="E3363" s="140" t="s">
        <v>6719</v>
      </c>
      <c r="F3363" s="140" t="s">
        <v>10414</v>
      </c>
      <c r="G3363" s="141" t="s">
        <v>6401</v>
      </c>
      <c r="H3363" s="140" t="s">
        <v>6312</v>
      </c>
      <c r="I3363" s="140" t="s">
        <v>6313</v>
      </c>
      <c r="J3363" s="140" t="s">
        <v>6314</v>
      </c>
      <c r="K3363" s="140" t="s">
        <v>10404</v>
      </c>
    </row>
    <row r="3364">
      <c r="A3364" s="140" t="s">
        <v>10402</v>
      </c>
      <c r="B3364" s="140">
        <v>26389.0</v>
      </c>
      <c r="C3364" s="140" t="s">
        <v>10418</v>
      </c>
      <c r="D3364" s="140" t="s">
        <v>6718</v>
      </c>
      <c r="E3364" s="140" t="s">
        <v>6719</v>
      </c>
      <c r="F3364" s="140" t="s">
        <v>10414</v>
      </c>
      <c r="G3364" s="141" t="s">
        <v>6401</v>
      </c>
      <c r="H3364" s="140" t="s">
        <v>6312</v>
      </c>
      <c r="I3364" s="140" t="s">
        <v>6313</v>
      </c>
      <c r="J3364" s="140" t="s">
        <v>6314</v>
      </c>
      <c r="K3364" s="140" t="s">
        <v>10404</v>
      </c>
    </row>
    <row r="3365">
      <c r="A3365" s="140" t="s">
        <v>10402</v>
      </c>
      <c r="B3365" s="140">
        <v>27565.0</v>
      </c>
      <c r="C3365" s="140" t="s">
        <v>10419</v>
      </c>
      <c r="D3365" s="140" t="s">
        <v>6718</v>
      </c>
      <c r="E3365" s="140" t="s">
        <v>6719</v>
      </c>
      <c r="F3365" s="140" t="s">
        <v>10414</v>
      </c>
      <c r="G3365" s="141" t="s">
        <v>6401</v>
      </c>
      <c r="H3365" s="140" t="s">
        <v>6312</v>
      </c>
      <c r="I3365" s="140" t="s">
        <v>6313</v>
      </c>
      <c r="J3365" s="140" t="s">
        <v>6314</v>
      </c>
      <c r="K3365" s="140" t="s">
        <v>10404</v>
      </c>
    </row>
    <row r="3366">
      <c r="A3366" s="140" t="s">
        <v>10402</v>
      </c>
      <c r="B3366" s="140">
        <v>27362.0</v>
      </c>
      <c r="C3366" s="140" t="s">
        <v>10420</v>
      </c>
      <c r="D3366" s="140" t="s">
        <v>6718</v>
      </c>
      <c r="E3366" s="140" t="s">
        <v>6719</v>
      </c>
      <c r="F3366" s="140" t="s">
        <v>10414</v>
      </c>
      <c r="G3366" s="141" t="s">
        <v>6401</v>
      </c>
      <c r="H3366" s="140" t="s">
        <v>6312</v>
      </c>
      <c r="I3366" s="140" t="s">
        <v>6313</v>
      </c>
      <c r="J3366" s="140" t="s">
        <v>6314</v>
      </c>
      <c r="K3366" s="140" t="s">
        <v>10404</v>
      </c>
    </row>
    <row r="3367">
      <c r="A3367" s="140" t="s">
        <v>10402</v>
      </c>
      <c r="B3367" s="140">
        <v>27361.0</v>
      </c>
      <c r="C3367" s="140" t="s">
        <v>10421</v>
      </c>
      <c r="D3367" s="140" t="s">
        <v>6718</v>
      </c>
      <c r="E3367" s="140" t="s">
        <v>6719</v>
      </c>
      <c r="F3367" s="140" t="s">
        <v>10414</v>
      </c>
      <c r="G3367" s="141" t="s">
        <v>6401</v>
      </c>
      <c r="H3367" s="140" t="s">
        <v>6312</v>
      </c>
      <c r="I3367" s="140" t="s">
        <v>6313</v>
      </c>
      <c r="J3367" s="140" t="s">
        <v>6314</v>
      </c>
      <c r="K3367" s="140" t="s">
        <v>10404</v>
      </c>
    </row>
    <row r="3368">
      <c r="A3368" s="140" t="s">
        <v>10402</v>
      </c>
      <c r="B3368" s="140">
        <v>27566.0</v>
      </c>
      <c r="C3368" s="140" t="s">
        <v>10422</v>
      </c>
      <c r="D3368" s="140" t="s">
        <v>6718</v>
      </c>
      <c r="E3368" s="140" t="s">
        <v>6719</v>
      </c>
      <c r="F3368" s="140" t="s">
        <v>6720</v>
      </c>
      <c r="G3368" s="141" t="s">
        <v>6401</v>
      </c>
      <c r="H3368" s="140" t="s">
        <v>6312</v>
      </c>
      <c r="I3368" s="140" t="s">
        <v>6313</v>
      </c>
      <c r="J3368" s="140" t="s">
        <v>6314</v>
      </c>
      <c r="K3368" s="140" t="s">
        <v>10404</v>
      </c>
    </row>
    <row r="3369">
      <c r="A3369" s="140" t="s">
        <v>10402</v>
      </c>
      <c r="B3369" s="140">
        <v>27166.0</v>
      </c>
      <c r="C3369" s="140" t="s">
        <v>10423</v>
      </c>
      <c r="D3369" s="140" t="s">
        <v>6718</v>
      </c>
      <c r="E3369" s="140" t="s">
        <v>6719</v>
      </c>
      <c r="F3369" s="140" t="s">
        <v>6720</v>
      </c>
      <c r="G3369" s="141" t="s">
        <v>6401</v>
      </c>
      <c r="H3369" s="140" t="s">
        <v>6312</v>
      </c>
      <c r="I3369" s="140" t="s">
        <v>6313</v>
      </c>
      <c r="J3369" s="140" t="s">
        <v>6314</v>
      </c>
      <c r="K3369" s="140" t="s">
        <v>10404</v>
      </c>
    </row>
    <row r="3370">
      <c r="A3370" s="140" t="s">
        <v>10402</v>
      </c>
      <c r="B3370" s="140">
        <v>27405.0</v>
      </c>
      <c r="C3370" s="140" t="s">
        <v>10424</v>
      </c>
      <c r="D3370" s="140" t="s">
        <v>6718</v>
      </c>
      <c r="E3370" s="140" t="s">
        <v>6719</v>
      </c>
      <c r="F3370" s="140" t="s">
        <v>6720</v>
      </c>
      <c r="G3370" s="141" t="s">
        <v>6401</v>
      </c>
      <c r="H3370" s="140" t="s">
        <v>6312</v>
      </c>
      <c r="I3370" s="140" t="s">
        <v>6313</v>
      </c>
      <c r="J3370" s="140" t="s">
        <v>6314</v>
      </c>
      <c r="K3370" s="140" t="s">
        <v>10404</v>
      </c>
    </row>
    <row r="3371">
      <c r="A3371" s="140" t="s">
        <v>10402</v>
      </c>
      <c r="B3371" s="140">
        <v>27404.0</v>
      </c>
      <c r="C3371" s="140" t="s">
        <v>10425</v>
      </c>
      <c r="D3371" s="140" t="s">
        <v>6718</v>
      </c>
      <c r="E3371" s="140" t="s">
        <v>6719</v>
      </c>
      <c r="F3371" s="140" t="s">
        <v>6720</v>
      </c>
      <c r="G3371" s="141" t="s">
        <v>6401</v>
      </c>
      <c r="H3371" s="140" t="s">
        <v>6312</v>
      </c>
      <c r="I3371" s="140" t="s">
        <v>6313</v>
      </c>
      <c r="J3371" s="140" t="s">
        <v>6314</v>
      </c>
      <c r="K3371" s="140" t="s">
        <v>10404</v>
      </c>
    </row>
    <row r="3372">
      <c r="A3372" s="140" t="s">
        <v>10402</v>
      </c>
      <c r="B3372" s="140">
        <v>25686.0</v>
      </c>
      <c r="C3372" s="140" t="s">
        <v>10426</v>
      </c>
      <c r="D3372" s="140" t="s">
        <v>6718</v>
      </c>
      <c r="E3372" s="140" t="s">
        <v>6719</v>
      </c>
      <c r="F3372" s="140" t="s">
        <v>6720</v>
      </c>
      <c r="G3372" s="141" t="s">
        <v>6401</v>
      </c>
      <c r="H3372" s="140" t="s">
        <v>6312</v>
      </c>
      <c r="I3372" s="140" t="s">
        <v>6313</v>
      </c>
      <c r="J3372" s="140" t="s">
        <v>6314</v>
      </c>
      <c r="K3372" s="140" t="s">
        <v>10404</v>
      </c>
    </row>
    <row r="3373">
      <c r="A3373" s="140" t="s">
        <v>10402</v>
      </c>
      <c r="B3373" s="140">
        <v>27424.0</v>
      </c>
      <c r="C3373" s="140" t="s">
        <v>10427</v>
      </c>
      <c r="D3373" s="140" t="s">
        <v>6718</v>
      </c>
      <c r="E3373" s="140" t="s">
        <v>6719</v>
      </c>
      <c r="F3373" s="140" t="s">
        <v>200</v>
      </c>
      <c r="G3373" s="141" t="s">
        <v>6401</v>
      </c>
      <c r="H3373" s="140" t="s">
        <v>6312</v>
      </c>
      <c r="I3373" s="140" t="s">
        <v>6313</v>
      </c>
      <c r="J3373" s="140" t="s">
        <v>6314</v>
      </c>
      <c r="K3373" s="140" t="s">
        <v>10404</v>
      </c>
    </row>
    <row r="3374">
      <c r="A3374" s="140" t="s">
        <v>10402</v>
      </c>
      <c r="B3374" s="140">
        <v>27697.0</v>
      </c>
      <c r="C3374" s="140" t="s">
        <v>10428</v>
      </c>
      <c r="D3374" s="140" t="s">
        <v>6718</v>
      </c>
      <c r="E3374" s="140" t="s">
        <v>6719</v>
      </c>
      <c r="F3374" s="140" t="s">
        <v>200</v>
      </c>
      <c r="G3374" s="141" t="s">
        <v>6401</v>
      </c>
      <c r="H3374" s="140" t="s">
        <v>6312</v>
      </c>
      <c r="I3374" s="140" t="s">
        <v>6313</v>
      </c>
      <c r="J3374" s="140" t="s">
        <v>6314</v>
      </c>
      <c r="K3374" s="140" t="s">
        <v>10404</v>
      </c>
    </row>
    <row r="3375">
      <c r="A3375" s="140" t="s">
        <v>10402</v>
      </c>
      <c r="B3375" s="140">
        <v>27552.0</v>
      </c>
      <c r="C3375" s="140" t="s">
        <v>10429</v>
      </c>
      <c r="D3375" s="140" t="s">
        <v>6718</v>
      </c>
      <c r="E3375" s="140" t="s">
        <v>6719</v>
      </c>
      <c r="F3375" s="140" t="s">
        <v>224</v>
      </c>
      <c r="G3375" s="141" t="s">
        <v>6401</v>
      </c>
      <c r="H3375" s="140" t="s">
        <v>6312</v>
      </c>
      <c r="I3375" s="140" t="s">
        <v>6313</v>
      </c>
      <c r="J3375" s="140" t="s">
        <v>6314</v>
      </c>
      <c r="K3375" s="140" t="s">
        <v>10404</v>
      </c>
    </row>
    <row r="3376">
      <c r="A3376" s="140" t="s">
        <v>10402</v>
      </c>
      <c r="B3376" s="140">
        <v>27178.0</v>
      </c>
      <c r="C3376" s="140" t="s">
        <v>10430</v>
      </c>
      <c r="D3376" s="140" t="s">
        <v>6718</v>
      </c>
      <c r="E3376" s="140" t="s">
        <v>6719</v>
      </c>
      <c r="F3376" s="140" t="s">
        <v>224</v>
      </c>
      <c r="G3376" s="141" t="s">
        <v>6401</v>
      </c>
      <c r="H3376" s="140" t="s">
        <v>6312</v>
      </c>
      <c r="I3376" s="140" t="s">
        <v>6313</v>
      </c>
      <c r="J3376" s="140" t="s">
        <v>6314</v>
      </c>
      <c r="K3376" s="140" t="s">
        <v>10404</v>
      </c>
    </row>
    <row r="3377">
      <c r="A3377" s="140" t="s">
        <v>10402</v>
      </c>
      <c r="B3377" s="140">
        <v>26394.0</v>
      </c>
      <c r="C3377" s="140" t="s">
        <v>10431</v>
      </c>
      <c r="D3377" s="140" t="s">
        <v>6718</v>
      </c>
      <c r="E3377" s="140" t="s">
        <v>6719</v>
      </c>
      <c r="F3377" s="140" t="s">
        <v>224</v>
      </c>
      <c r="G3377" s="141" t="s">
        <v>6401</v>
      </c>
      <c r="H3377" s="140" t="s">
        <v>6312</v>
      </c>
      <c r="I3377" s="140" t="s">
        <v>6313</v>
      </c>
      <c r="J3377" s="140" t="s">
        <v>6314</v>
      </c>
      <c r="K3377" s="140" t="s">
        <v>10404</v>
      </c>
    </row>
    <row r="3378">
      <c r="A3378" s="140" t="s">
        <v>10402</v>
      </c>
      <c r="B3378" s="140">
        <v>27448.0</v>
      </c>
      <c r="C3378" s="140" t="s">
        <v>10432</v>
      </c>
      <c r="D3378" s="140" t="s">
        <v>6718</v>
      </c>
      <c r="E3378" s="140" t="s">
        <v>6719</v>
      </c>
      <c r="F3378" s="140" t="s">
        <v>224</v>
      </c>
      <c r="G3378" s="141" t="s">
        <v>6401</v>
      </c>
      <c r="H3378" s="140" t="s">
        <v>6312</v>
      </c>
      <c r="I3378" s="140" t="s">
        <v>6313</v>
      </c>
      <c r="J3378" s="140" t="s">
        <v>6314</v>
      </c>
      <c r="K3378" s="140" t="s">
        <v>10404</v>
      </c>
    </row>
    <row r="3379">
      <c r="A3379" s="140" t="s">
        <v>10402</v>
      </c>
      <c r="B3379" s="140">
        <v>26865.0</v>
      </c>
      <c r="C3379" s="140" t="s">
        <v>10433</v>
      </c>
      <c r="D3379" s="140" t="s">
        <v>6718</v>
      </c>
      <c r="E3379" s="140" t="s">
        <v>6719</v>
      </c>
      <c r="F3379" s="140" t="s">
        <v>224</v>
      </c>
      <c r="G3379" s="141" t="s">
        <v>6401</v>
      </c>
      <c r="H3379" s="140" t="s">
        <v>6312</v>
      </c>
      <c r="I3379" s="140" t="s">
        <v>6313</v>
      </c>
      <c r="J3379" s="140" t="s">
        <v>6314</v>
      </c>
      <c r="K3379" s="140" t="s">
        <v>10404</v>
      </c>
    </row>
    <row r="3380">
      <c r="A3380" s="140" t="s">
        <v>10402</v>
      </c>
      <c r="B3380" s="140">
        <v>27001.0</v>
      </c>
      <c r="C3380" s="140" t="s">
        <v>10434</v>
      </c>
      <c r="D3380" s="140" t="s">
        <v>6718</v>
      </c>
      <c r="E3380" s="140" t="s">
        <v>6719</v>
      </c>
      <c r="F3380" s="140" t="s">
        <v>224</v>
      </c>
      <c r="G3380" s="141" t="s">
        <v>6401</v>
      </c>
      <c r="H3380" s="140" t="s">
        <v>6312</v>
      </c>
      <c r="I3380" s="140" t="s">
        <v>6313</v>
      </c>
      <c r="J3380" s="140" t="s">
        <v>6314</v>
      </c>
      <c r="K3380" s="140" t="s">
        <v>10404</v>
      </c>
    </row>
    <row r="3381">
      <c r="A3381" s="140" t="s">
        <v>10402</v>
      </c>
      <c r="B3381" s="140">
        <v>27532.0</v>
      </c>
      <c r="C3381" s="140" t="s">
        <v>10435</v>
      </c>
      <c r="D3381" s="140" t="s">
        <v>6718</v>
      </c>
      <c r="E3381" s="140" t="s">
        <v>6719</v>
      </c>
      <c r="F3381" s="140" t="s">
        <v>224</v>
      </c>
      <c r="G3381" s="141" t="s">
        <v>6401</v>
      </c>
      <c r="H3381" s="140" t="s">
        <v>6312</v>
      </c>
      <c r="I3381" s="140" t="s">
        <v>6313</v>
      </c>
      <c r="J3381" s="140" t="s">
        <v>6314</v>
      </c>
      <c r="K3381" s="140" t="s">
        <v>10404</v>
      </c>
    </row>
    <row r="3382">
      <c r="A3382" s="140" t="s">
        <v>10402</v>
      </c>
      <c r="B3382" s="140">
        <v>27468.0</v>
      </c>
      <c r="C3382" s="140" t="s">
        <v>10436</v>
      </c>
      <c r="D3382" s="140" t="s">
        <v>6718</v>
      </c>
      <c r="E3382" s="140" t="s">
        <v>6719</v>
      </c>
      <c r="F3382" s="140" t="s">
        <v>224</v>
      </c>
      <c r="G3382" s="141" t="s">
        <v>6401</v>
      </c>
      <c r="H3382" s="140" t="s">
        <v>6312</v>
      </c>
      <c r="I3382" s="140" t="s">
        <v>6313</v>
      </c>
      <c r="J3382" s="140" t="s">
        <v>6314</v>
      </c>
      <c r="K3382" s="140" t="s">
        <v>10404</v>
      </c>
    </row>
    <row r="3383">
      <c r="A3383" s="140" t="s">
        <v>10437</v>
      </c>
      <c r="B3383" s="151" t="s">
        <v>3554</v>
      </c>
      <c r="C3383" s="140" t="s">
        <v>10438</v>
      </c>
      <c r="D3383" s="140" t="s">
        <v>6318</v>
      </c>
      <c r="E3383" s="140" t="s">
        <v>1219</v>
      </c>
      <c r="F3383" s="140" t="s">
        <v>9343</v>
      </c>
      <c r="G3383" s="141" t="s">
        <v>6664</v>
      </c>
      <c r="H3383" s="140" t="s">
        <v>6312</v>
      </c>
      <c r="I3383" s="140" t="s">
        <v>6313</v>
      </c>
      <c r="J3383" s="140" t="s">
        <v>6314</v>
      </c>
      <c r="K3383" s="140" t="s">
        <v>10439</v>
      </c>
    </row>
    <row r="3384">
      <c r="A3384" s="140" t="s">
        <v>10440</v>
      </c>
      <c r="B3384" s="140" t="s">
        <v>10441</v>
      </c>
      <c r="C3384" s="140" t="s">
        <v>10442</v>
      </c>
      <c r="D3384" s="140" t="s">
        <v>6318</v>
      </c>
      <c r="E3384" s="140" t="s">
        <v>1219</v>
      </c>
      <c r="F3384" s="140" t="s">
        <v>9343</v>
      </c>
      <c r="G3384" s="141" t="s">
        <v>6311</v>
      </c>
      <c r="H3384" s="140" t="s">
        <v>6312</v>
      </c>
      <c r="I3384" s="140" t="s">
        <v>6313</v>
      </c>
      <c r="J3384" s="140" t="s">
        <v>6314</v>
      </c>
      <c r="K3384" s="140" t="s">
        <v>10439</v>
      </c>
    </row>
    <row r="3385">
      <c r="A3385" s="140" t="s">
        <v>10440</v>
      </c>
      <c r="B3385" s="140" t="s">
        <v>10443</v>
      </c>
      <c r="C3385" s="140" t="s">
        <v>10444</v>
      </c>
      <c r="D3385" s="140" t="s">
        <v>6318</v>
      </c>
      <c r="E3385" s="140" t="s">
        <v>1219</v>
      </c>
      <c r="F3385" s="140" t="s">
        <v>1220</v>
      </c>
      <c r="G3385" s="141" t="s">
        <v>6311</v>
      </c>
      <c r="H3385" s="140" t="s">
        <v>6312</v>
      </c>
      <c r="I3385" s="140" t="s">
        <v>6313</v>
      </c>
      <c r="J3385" s="140" t="s">
        <v>6314</v>
      </c>
      <c r="K3385" s="140" t="s">
        <v>10439</v>
      </c>
    </row>
    <row r="3386">
      <c r="A3386" s="140" t="s">
        <v>10437</v>
      </c>
      <c r="B3386" s="140" t="s">
        <v>3558</v>
      </c>
      <c r="C3386" s="140" t="s">
        <v>10445</v>
      </c>
      <c r="D3386" s="140" t="s">
        <v>6318</v>
      </c>
      <c r="E3386" s="140" t="s">
        <v>1219</v>
      </c>
      <c r="F3386" s="140" t="s">
        <v>9355</v>
      </c>
      <c r="G3386" s="141" t="s">
        <v>6664</v>
      </c>
      <c r="H3386" s="140" t="s">
        <v>6312</v>
      </c>
      <c r="I3386" s="140" t="s">
        <v>6313</v>
      </c>
      <c r="J3386" s="140" t="s">
        <v>6314</v>
      </c>
      <c r="K3386" s="140" t="s">
        <v>10439</v>
      </c>
    </row>
    <row r="3387">
      <c r="A3387" s="140" t="s">
        <v>10437</v>
      </c>
      <c r="B3387" s="140" t="s">
        <v>4518</v>
      </c>
      <c r="C3387" s="140" t="s">
        <v>10446</v>
      </c>
      <c r="D3387" s="140" t="s">
        <v>6318</v>
      </c>
      <c r="E3387" s="140" t="s">
        <v>1219</v>
      </c>
      <c r="F3387" s="140" t="s">
        <v>9355</v>
      </c>
      <c r="G3387" s="141" t="s">
        <v>6664</v>
      </c>
      <c r="H3387" s="140" t="s">
        <v>6312</v>
      </c>
      <c r="I3387" s="140" t="s">
        <v>6313</v>
      </c>
      <c r="J3387" s="140" t="s">
        <v>6314</v>
      </c>
      <c r="K3387" s="140" t="s">
        <v>10439</v>
      </c>
    </row>
    <row r="3388">
      <c r="A3388" s="140" t="s">
        <v>10437</v>
      </c>
      <c r="B3388" s="140" t="s">
        <v>4520</v>
      </c>
      <c r="C3388" s="140" t="s">
        <v>10447</v>
      </c>
      <c r="D3388" s="140" t="s">
        <v>6318</v>
      </c>
      <c r="E3388" s="140" t="s">
        <v>1219</v>
      </c>
      <c r="F3388" s="140" t="s">
        <v>9355</v>
      </c>
      <c r="G3388" s="141" t="s">
        <v>6664</v>
      </c>
      <c r="H3388" s="140" t="s">
        <v>6312</v>
      </c>
      <c r="I3388" s="140" t="s">
        <v>6313</v>
      </c>
      <c r="J3388" s="140" t="s">
        <v>6314</v>
      </c>
      <c r="K3388" s="140" t="s">
        <v>10439</v>
      </c>
    </row>
    <row r="3389">
      <c r="A3389" s="140" t="s">
        <v>10440</v>
      </c>
      <c r="B3389" s="140" t="s">
        <v>10448</v>
      </c>
      <c r="C3389" s="140" t="s">
        <v>10449</v>
      </c>
      <c r="D3389" s="140" t="s">
        <v>6318</v>
      </c>
      <c r="E3389" s="140" t="s">
        <v>1219</v>
      </c>
      <c r="F3389" s="140" t="s">
        <v>9355</v>
      </c>
      <c r="G3389" s="142">
        <v>0.0</v>
      </c>
      <c r="H3389" s="140" t="s">
        <v>6312</v>
      </c>
      <c r="I3389" s="140" t="s">
        <v>6313</v>
      </c>
      <c r="J3389" s="140" t="s">
        <v>6314</v>
      </c>
      <c r="K3389" s="140" t="s">
        <v>10439</v>
      </c>
    </row>
    <row r="3390">
      <c r="A3390" s="140" t="s">
        <v>10437</v>
      </c>
      <c r="B3390" s="140" t="s">
        <v>4522</v>
      </c>
      <c r="C3390" s="140" t="s">
        <v>10450</v>
      </c>
      <c r="D3390" s="140" t="s">
        <v>6318</v>
      </c>
      <c r="E3390" s="140" t="s">
        <v>1219</v>
      </c>
      <c r="F3390" s="140" t="s">
        <v>9355</v>
      </c>
      <c r="G3390" s="141" t="s">
        <v>6668</v>
      </c>
      <c r="H3390" s="140" t="s">
        <v>6312</v>
      </c>
      <c r="I3390" s="140" t="s">
        <v>6313</v>
      </c>
      <c r="J3390" s="140" t="s">
        <v>6314</v>
      </c>
      <c r="K3390" s="140" t="s">
        <v>10439</v>
      </c>
    </row>
    <row r="3391">
      <c r="A3391" s="140" t="s">
        <v>10437</v>
      </c>
      <c r="B3391" s="140" t="s">
        <v>4526</v>
      </c>
      <c r="C3391" s="140" t="s">
        <v>10451</v>
      </c>
      <c r="D3391" s="140" t="s">
        <v>6318</v>
      </c>
      <c r="E3391" s="140" t="s">
        <v>1219</v>
      </c>
      <c r="F3391" s="140" t="s">
        <v>9355</v>
      </c>
      <c r="G3391" s="141" t="s">
        <v>6668</v>
      </c>
      <c r="H3391" s="140" t="s">
        <v>6312</v>
      </c>
      <c r="I3391" s="140" t="s">
        <v>6313</v>
      </c>
      <c r="J3391" s="140" t="s">
        <v>6314</v>
      </c>
      <c r="K3391" s="140" t="s">
        <v>10439</v>
      </c>
    </row>
    <row r="3392">
      <c r="A3392" s="140" t="s">
        <v>10440</v>
      </c>
      <c r="B3392" s="140" t="s">
        <v>10452</v>
      </c>
      <c r="C3392" s="140" t="s">
        <v>10453</v>
      </c>
      <c r="D3392" s="140" t="s">
        <v>6318</v>
      </c>
      <c r="E3392" s="140" t="s">
        <v>1219</v>
      </c>
      <c r="F3392" s="140" t="s">
        <v>9355</v>
      </c>
      <c r="G3392" s="142">
        <v>0.0</v>
      </c>
      <c r="H3392" s="140" t="s">
        <v>6312</v>
      </c>
      <c r="I3392" s="140" t="s">
        <v>6313</v>
      </c>
      <c r="J3392" s="140" t="s">
        <v>6314</v>
      </c>
      <c r="K3392" s="140" t="s">
        <v>10439</v>
      </c>
    </row>
    <row r="3393">
      <c r="A3393" s="140" t="s">
        <v>10437</v>
      </c>
      <c r="B3393" s="140" t="s">
        <v>3399</v>
      </c>
      <c r="C3393" s="140" t="s">
        <v>10454</v>
      </c>
      <c r="D3393" s="140" t="s">
        <v>6318</v>
      </c>
      <c r="E3393" s="140" t="s">
        <v>1219</v>
      </c>
      <c r="F3393" s="140" t="s">
        <v>9370</v>
      </c>
      <c r="G3393" s="141" t="s">
        <v>6401</v>
      </c>
      <c r="H3393" s="140" t="s">
        <v>6312</v>
      </c>
      <c r="I3393" s="140" t="s">
        <v>6313</v>
      </c>
      <c r="J3393" s="140" t="s">
        <v>6314</v>
      </c>
      <c r="K3393" s="140" t="s">
        <v>10439</v>
      </c>
    </row>
    <row r="3394">
      <c r="A3394" s="140" t="s">
        <v>10440</v>
      </c>
      <c r="B3394" s="140" t="s">
        <v>10455</v>
      </c>
      <c r="C3394" s="140" t="s">
        <v>10456</v>
      </c>
      <c r="D3394" s="140" t="s">
        <v>6318</v>
      </c>
      <c r="E3394" s="140" t="s">
        <v>1219</v>
      </c>
      <c r="F3394" s="140" t="s">
        <v>9370</v>
      </c>
      <c r="G3394" s="141" t="s">
        <v>6311</v>
      </c>
      <c r="H3394" s="140" t="s">
        <v>6312</v>
      </c>
      <c r="I3394" s="140" t="s">
        <v>6313</v>
      </c>
      <c r="J3394" s="140" t="s">
        <v>6314</v>
      </c>
      <c r="K3394" s="140" t="s">
        <v>10439</v>
      </c>
    </row>
    <row r="3395">
      <c r="A3395" s="140" t="s">
        <v>10440</v>
      </c>
      <c r="B3395" s="140" t="s">
        <v>10457</v>
      </c>
      <c r="C3395" s="140" t="s">
        <v>10458</v>
      </c>
      <c r="D3395" s="140" t="s">
        <v>6318</v>
      </c>
      <c r="E3395" s="140" t="s">
        <v>1219</v>
      </c>
      <c r="F3395" s="140" t="s">
        <v>9370</v>
      </c>
      <c r="G3395" s="141" t="s">
        <v>6311</v>
      </c>
      <c r="H3395" s="140" t="s">
        <v>6312</v>
      </c>
      <c r="I3395" s="140" t="s">
        <v>6313</v>
      </c>
      <c r="J3395" s="140" t="s">
        <v>6314</v>
      </c>
      <c r="K3395" s="140" t="s">
        <v>10439</v>
      </c>
    </row>
    <row r="3396">
      <c r="A3396" s="140" t="s">
        <v>10440</v>
      </c>
      <c r="B3396" s="140" t="s">
        <v>10459</v>
      </c>
      <c r="C3396" s="140" t="s">
        <v>10460</v>
      </c>
      <c r="D3396" s="140" t="s">
        <v>6318</v>
      </c>
      <c r="E3396" s="140" t="s">
        <v>1219</v>
      </c>
      <c r="F3396" s="140" t="s">
        <v>9378</v>
      </c>
      <c r="G3396" s="142">
        <v>0.0</v>
      </c>
      <c r="H3396" s="140" t="s">
        <v>6312</v>
      </c>
      <c r="I3396" s="140" t="s">
        <v>6313</v>
      </c>
      <c r="J3396" s="140" t="s">
        <v>6314</v>
      </c>
      <c r="K3396" s="140" t="s">
        <v>10439</v>
      </c>
    </row>
    <row r="3397">
      <c r="A3397" s="140" t="s">
        <v>10437</v>
      </c>
      <c r="B3397" s="140" t="s">
        <v>4597</v>
      </c>
      <c r="C3397" s="140" t="s">
        <v>10461</v>
      </c>
      <c r="D3397" s="140" t="s">
        <v>6318</v>
      </c>
      <c r="E3397" s="140" t="s">
        <v>1219</v>
      </c>
      <c r="F3397" s="140" t="s">
        <v>9378</v>
      </c>
      <c r="G3397" s="141" t="s">
        <v>6401</v>
      </c>
      <c r="H3397" s="140" t="s">
        <v>6312</v>
      </c>
      <c r="I3397" s="140" t="s">
        <v>6313</v>
      </c>
      <c r="J3397" s="140" t="s">
        <v>6314</v>
      </c>
      <c r="K3397" s="140" t="s">
        <v>10439</v>
      </c>
    </row>
    <row r="3398">
      <c r="A3398" s="140" t="s">
        <v>10437</v>
      </c>
      <c r="B3398" s="140" t="s">
        <v>4599</v>
      </c>
      <c r="C3398" s="140" t="s">
        <v>10462</v>
      </c>
      <c r="D3398" s="140" t="s">
        <v>6318</v>
      </c>
      <c r="E3398" s="140" t="s">
        <v>1219</v>
      </c>
      <c r="F3398" s="140" t="s">
        <v>9378</v>
      </c>
      <c r="G3398" s="141" t="s">
        <v>6401</v>
      </c>
      <c r="H3398" s="140" t="s">
        <v>6312</v>
      </c>
      <c r="I3398" s="140" t="s">
        <v>6313</v>
      </c>
      <c r="J3398" s="140" t="s">
        <v>6314</v>
      </c>
      <c r="K3398" s="140" t="s">
        <v>10439</v>
      </c>
    </row>
    <row r="3399">
      <c r="A3399" s="140" t="s">
        <v>10440</v>
      </c>
      <c r="B3399" s="140" t="s">
        <v>10463</v>
      </c>
      <c r="C3399" s="140" t="s">
        <v>10464</v>
      </c>
      <c r="D3399" s="140" t="s">
        <v>6318</v>
      </c>
      <c r="E3399" s="140" t="s">
        <v>1219</v>
      </c>
      <c r="F3399" s="140" t="s">
        <v>9378</v>
      </c>
      <c r="G3399" s="141" t="s">
        <v>6311</v>
      </c>
      <c r="H3399" s="140" t="s">
        <v>6312</v>
      </c>
      <c r="I3399" s="140" t="s">
        <v>6313</v>
      </c>
      <c r="J3399" s="140" t="s">
        <v>6314</v>
      </c>
      <c r="K3399" s="140" t="s">
        <v>10439</v>
      </c>
    </row>
    <row r="3400">
      <c r="A3400" s="140" t="s">
        <v>10437</v>
      </c>
      <c r="B3400" s="140" t="s">
        <v>4605</v>
      </c>
      <c r="C3400" s="140" t="s">
        <v>10465</v>
      </c>
      <c r="D3400" s="140" t="s">
        <v>6318</v>
      </c>
      <c r="E3400" s="140" t="s">
        <v>1219</v>
      </c>
      <c r="F3400" s="140" t="s">
        <v>9384</v>
      </c>
      <c r="G3400" s="141" t="s">
        <v>6668</v>
      </c>
      <c r="H3400" s="140" t="s">
        <v>6312</v>
      </c>
      <c r="I3400" s="140" t="s">
        <v>6313</v>
      </c>
      <c r="J3400" s="140" t="s">
        <v>6314</v>
      </c>
      <c r="K3400" s="140" t="s">
        <v>10439</v>
      </c>
    </row>
    <row r="3401">
      <c r="A3401" s="140" t="s">
        <v>10440</v>
      </c>
      <c r="B3401" s="140" t="s">
        <v>10466</v>
      </c>
      <c r="C3401" s="140" t="s">
        <v>10467</v>
      </c>
      <c r="D3401" s="140" t="s">
        <v>6318</v>
      </c>
      <c r="E3401" s="140" t="s">
        <v>1219</v>
      </c>
      <c r="F3401" s="140" t="s">
        <v>9386</v>
      </c>
      <c r="G3401" s="141" t="s">
        <v>6311</v>
      </c>
      <c r="H3401" s="140" t="s">
        <v>6312</v>
      </c>
      <c r="I3401" s="140" t="s">
        <v>6313</v>
      </c>
      <c r="J3401" s="140" t="s">
        <v>6314</v>
      </c>
      <c r="K3401" s="140" t="s">
        <v>10439</v>
      </c>
    </row>
    <row r="3402">
      <c r="A3402" s="140" t="s">
        <v>10437</v>
      </c>
      <c r="B3402" s="140" t="s">
        <v>4725</v>
      </c>
      <c r="C3402" s="140" t="s">
        <v>10468</v>
      </c>
      <c r="D3402" s="140" t="s">
        <v>6318</v>
      </c>
      <c r="E3402" s="140" t="s">
        <v>1219</v>
      </c>
      <c r="F3402" s="140" t="s">
        <v>9386</v>
      </c>
      <c r="G3402" s="141" t="s">
        <v>6401</v>
      </c>
      <c r="H3402" s="140" t="s">
        <v>6312</v>
      </c>
      <c r="I3402" s="140" t="s">
        <v>6313</v>
      </c>
      <c r="J3402" s="140" t="s">
        <v>6314</v>
      </c>
      <c r="K3402" s="140" t="s">
        <v>10439</v>
      </c>
    </row>
    <row r="3403">
      <c r="A3403" s="140" t="s">
        <v>10440</v>
      </c>
      <c r="B3403" s="140" t="s">
        <v>10469</v>
      </c>
      <c r="C3403" s="140" t="s">
        <v>10470</v>
      </c>
      <c r="D3403" s="140" t="s">
        <v>6318</v>
      </c>
      <c r="E3403" s="140" t="s">
        <v>1219</v>
      </c>
      <c r="F3403" s="140" t="s">
        <v>9386</v>
      </c>
      <c r="G3403" s="141" t="s">
        <v>6311</v>
      </c>
      <c r="H3403" s="140" t="s">
        <v>6312</v>
      </c>
      <c r="I3403" s="140" t="s">
        <v>6313</v>
      </c>
      <c r="J3403" s="140" t="s">
        <v>6314</v>
      </c>
      <c r="K3403" s="140" t="s">
        <v>10439</v>
      </c>
    </row>
    <row r="3404">
      <c r="A3404" s="140" t="s">
        <v>10440</v>
      </c>
      <c r="B3404" s="140" t="s">
        <v>10471</v>
      </c>
      <c r="C3404" s="140" t="s">
        <v>10472</v>
      </c>
      <c r="D3404" s="140" t="s">
        <v>6318</v>
      </c>
      <c r="E3404" s="140" t="s">
        <v>1219</v>
      </c>
      <c r="F3404" s="140" t="s">
        <v>9386</v>
      </c>
      <c r="G3404" s="141" t="s">
        <v>6311</v>
      </c>
      <c r="H3404" s="140" t="s">
        <v>6312</v>
      </c>
      <c r="I3404" s="140" t="s">
        <v>6313</v>
      </c>
      <c r="J3404" s="140" t="s">
        <v>6314</v>
      </c>
      <c r="K3404" s="140" t="s">
        <v>10439</v>
      </c>
    </row>
    <row r="3405">
      <c r="A3405" s="140" t="s">
        <v>10440</v>
      </c>
      <c r="B3405" s="140" t="s">
        <v>10473</v>
      </c>
      <c r="C3405" s="140" t="s">
        <v>10474</v>
      </c>
      <c r="D3405" s="140" t="s">
        <v>6318</v>
      </c>
      <c r="E3405" s="140" t="s">
        <v>1219</v>
      </c>
      <c r="F3405" s="140" t="s">
        <v>9386</v>
      </c>
      <c r="G3405" s="141" t="s">
        <v>6311</v>
      </c>
      <c r="H3405" s="140" t="s">
        <v>6312</v>
      </c>
      <c r="I3405" s="140" t="s">
        <v>6313</v>
      </c>
      <c r="J3405" s="140" t="s">
        <v>6314</v>
      </c>
      <c r="K3405" s="140" t="s">
        <v>10439</v>
      </c>
    </row>
    <row r="3406">
      <c r="A3406" s="140" t="s">
        <v>10440</v>
      </c>
      <c r="B3406" s="140" t="s">
        <v>10475</v>
      </c>
      <c r="C3406" s="140" t="s">
        <v>10476</v>
      </c>
      <c r="D3406" s="140" t="s">
        <v>6318</v>
      </c>
      <c r="E3406" s="140" t="s">
        <v>1219</v>
      </c>
      <c r="F3406" s="140" t="s">
        <v>10477</v>
      </c>
      <c r="G3406" s="141" t="s">
        <v>6311</v>
      </c>
      <c r="H3406" s="140" t="s">
        <v>6312</v>
      </c>
      <c r="I3406" s="140" t="s">
        <v>6313</v>
      </c>
      <c r="J3406" s="140" t="s">
        <v>6314</v>
      </c>
      <c r="K3406" s="140" t="s">
        <v>10439</v>
      </c>
    </row>
    <row r="3407">
      <c r="A3407" s="140" t="s">
        <v>10437</v>
      </c>
      <c r="B3407" s="140" t="s">
        <v>3406</v>
      </c>
      <c r="C3407" s="140" t="s">
        <v>10478</v>
      </c>
      <c r="D3407" s="140" t="s">
        <v>6318</v>
      </c>
      <c r="E3407" s="140" t="s">
        <v>1219</v>
      </c>
      <c r="F3407" s="140" t="s">
        <v>10477</v>
      </c>
      <c r="G3407" s="141" t="s">
        <v>6401</v>
      </c>
      <c r="H3407" s="140" t="s">
        <v>6312</v>
      </c>
      <c r="I3407" s="140" t="s">
        <v>6313</v>
      </c>
      <c r="J3407" s="140" t="s">
        <v>6314</v>
      </c>
      <c r="K3407" s="140" t="s">
        <v>10439</v>
      </c>
    </row>
    <row r="3408">
      <c r="A3408" s="140" t="s">
        <v>10440</v>
      </c>
      <c r="B3408" s="140" t="s">
        <v>10479</v>
      </c>
      <c r="C3408" s="140" t="s">
        <v>10480</v>
      </c>
      <c r="D3408" s="140" t="s">
        <v>6318</v>
      </c>
      <c r="E3408" s="140" t="s">
        <v>1219</v>
      </c>
      <c r="F3408" s="140" t="s">
        <v>9414</v>
      </c>
      <c r="G3408" s="142">
        <v>0.0</v>
      </c>
      <c r="H3408" s="140" t="s">
        <v>6312</v>
      </c>
      <c r="I3408" s="140" t="s">
        <v>6313</v>
      </c>
      <c r="J3408" s="140" t="s">
        <v>6314</v>
      </c>
      <c r="K3408" s="140" t="s">
        <v>10439</v>
      </c>
    </row>
    <row r="3409">
      <c r="A3409" s="140" t="s">
        <v>10440</v>
      </c>
      <c r="B3409" s="140" t="s">
        <v>10481</v>
      </c>
      <c r="C3409" s="140" t="s">
        <v>10482</v>
      </c>
      <c r="D3409" s="140" t="s">
        <v>6318</v>
      </c>
      <c r="E3409" s="140" t="s">
        <v>1219</v>
      </c>
      <c r="F3409" s="140" t="s">
        <v>9414</v>
      </c>
      <c r="G3409" s="141" t="s">
        <v>6311</v>
      </c>
      <c r="H3409" s="140" t="s">
        <v>6312</v>
      </c>
      <c r="I3409" s="140" t="s">
        <v>6313</v>
      </c>
      <c r="J3409" s="140" t="s">
        <v>6314</v>
      </c>
      <c r="K3409" s="140" t="s">
        <v>10439</v>
      </c>
    </row>
    <row r="3410">
      <c r="A3410" s="140" t="s">
        <v>10437</v>
      </c>
      <c r="B3410" s="140" t="s">
        <v>3578</v>
      </c>
      <c r="C3410" s="140" t="s">
        <v>10483</v>
      </c>
      <c r="D3410" s="140" t="s">
        <v>6718</v>
      </c>
      <c r="E3410" s="140" t="s">
        <v>240</v>
      </c>
      <c r="F3410" s="140" t="s">
        <v>241</v>
      </c>
      <c r="G3410" s="141" t="s">
        <v>6668</v>
      </c>
      <c r="H3410" s="140" t="s">
        <v>6312</v>
      </c>
      <c r="I3410" s="140" t="s">
        <v>6313</v>
      </c>
      <c r="J3410" s="140" t="s">
        <v>6314</v>
      </c>
      <c r="K3410" s="140" t="s">
        <v>10439</v>
      </c>
    </row>
    <row r="3411">
      <c r="A3411" s="140" t="s">
        <v>10484</v>
      </c>
      <c r="B3411" s="140" t="s">
        <v>10485</v>
      </c>
      <c r="C3411" s="140" t="s">
        <v>10486</v>
      </c>
      <c r="D3411" s="140" t="s">
        <v>6318</v>
      </c>
      <c r="E3411" s="140">
        <v>0.0</v>
      </c>
      <c r="F3411" s="140" t="s">
        <v>1371</v>
      </c>
      <c r="G3411" s="141" t="s">
        <v>6401</v>
      </c>
      <c r="H3411" s="140" t="s">
        <v>6312</v>
      </c>
      <c r="I3411" s="140" t="s">
        <v>6313</v>
      </c>
      <c r="J3411" s="140" t="s">
        <v>6314</v>
      </c>
      <c r="K3411" s="140" t="s">
        <v>6880</v>
      </c>
    </row>
    <row r="3412">
      <c r="A3412" s="140" t="s">
        <v>10484</v>
      </c>
      <c r="B3412" s="140" t="s">
        <v>10487</v>
      </c>
      <c r="C3412" s="140" t="s">
        <v>10488</v>
      </c>
      <c r="D3412" s="140" t="s">
        <v>6318</v>
      </c>
      <c r="E3412" s="140">
        <v>0.0</v>
      </c>
      <c r="F3412" s="140" t="s">
        <v>6790</v>
      </c>
      <c r="G3412" s="141" t="s">
        <v>6304</v>
      </c>
      <c r="H3412" s="140" t="s">
        <v>6312</v>
      </c>
      <c r="I3412" s="140" t="s">
        <v>6527</v>
      </c>
      <c r="J3412" s="140" t="s">
        <v>6314</v>
      </c>
      <c r="K3412" s="140" t="s">
        <v>6880</v>
      </c>
    </row>
    <row r="3413">
      <c r="A3413" s="140" t="s">
        <v>10484</v>
      </c>
      <c r="B3413" s="140" t="s">
        <v>10489</v>
      </c>
      <c r="C3413" s="140" t="s">
        <v>10490</v>
      </c>
      <c r="D3413" s="140" t="s">
        <v>6318</v>
      </c>
      <c r="E3413" s="140">
        <v>0.0</v>
      </c>
      <c r="F3413" s="140" t="s">
        <v>6790</v>
      </c>
      <c r="G3413" s="141" t="s">
        <v>6401</v>
      </c>
      <c r="H3413" s="140" t="s">
        <v>6312</v>
      </c>
      <c r="I3413" s="140" t="s">
        <v>6313</v>
      </c>
      <c r="J3413" s="140" t="s">
        <v>6314</v>
      </c>
      <c r="K3413" s="140" t="s">
        <v>6880</v>
      </c>
    </row>
    <row r="3414">
      <c r="A3414" s="140" t="s">
        <v>10484</v>
      </c>
      <c r="B3414" s="140" t="s">
        <v>3544</v>
      </c>
      <c r="C3414" s="140" t="s">
        <v>10491</v>
      </c>
      <c r="D3414" s="140" t="s">
        <v>6318</v>
      </c>
      <c r="E3414" s="140">
        <v>0.0</v>
      </c>
      <c r="F3414" s="140" t="s">
        <v>6790</v>
      </c>
      <c r="G3414" s="141" t="s">
        <v>6401</v>
      </c>
      <c r="H3414" s="140" t="s">
        <v>6312</v>
      </c>
      <c r="I3414" s="140" t="s">
        <v>6313</v>
      </c>
      <c r="J3414" s="140" t="s">
        <v>6314</v>
      </c>
      <c r="K3414" s="140" t="s">
        <v>6880</v>
      </c>
    </row>
    <row r="3415">
      <c r="A3415" s="140" t="s">
        <v>10484</v>
      </c>
      <c r="B3415" s="140" t="s">
        <v>2907</v>
      </c>
      <c r="C3415" s="140" t="s">
        <v>10492</v>
      </c>
      <c r="D3415" s="140" t="s">
        <v>6318</v>
      </c>
      <c r="E3415" s="140">
        <v>0.0</v>
      </c>
      <c r="F3415" s="140" t="s">
        <v>6800</v>
      </c>
      <c r="G3415" s="141" t="s">
        <v>6401</v>
      </c>
      <c r="H3415" s="140" t="s">
        <v>6312</v>
      </c>
      <c r="I3415" s="140" t="s">
        <v>6313</v>
      </c>
      <c r="J3415" s="140" t="s">
        <v>6314</v>
      </c>
      <c r="K3415" s="140" t="s">
        <v>6880</v>
      </c>
    </row>
    <row r="3416">
      <c r="A3416" s="140" t="s">
        <v>10484</v>
      </c>
      <c r="B3416" s="140" t="s">
        <v>10493</v>
      </c>
      <c r="C3416" s="140" t="s">
        <v>10494</v>
      </c>
      <c r="D3416" s="140" t="s">
        <v>6318</v>
      </c>
      <c r="E3416" s="140">
        <v>0.0</v>
      </c>
      <c r="F3416" s="140" t="s">
        <v>6800</v>
      </c>
      <c r="G3416" s="141" t="s">
        <v>6401</v>
      </c>
      <c r="H3416" s="140" t="s">
        <v>6312</v>
      </c>
      <c r="I3416" s="140" t="s">
        <v>6313</v>
      </c>
      <c r="J3416" s="140" t="s">
        <v>6314</v>
      </c>
      <c r="K3416" s="140" t="s">
        <v>6880</v>
      </c>
    </row>
    <row r="3417">
      <c r="A3417" s="140" t="s">
        <v>10484</v>
      </c>
      <c r="B3417" s="140" t="s">
        <v>3582</v>
      </c>
      <c r="C3417" s="140" t="s">
        <v>10495</v>
      </c>
      <c r="D3417" s="140" t="s">
        <v>6318</v>
      </c>
      <c r="E3417" s="140">
        <v>0.0</v>
      </c>
      <c r="F3417" s="140" t="s">
        <v>6800</v>
      </c>
      <c r="G3417" s="141" t="s">
        <v>6664</v>
      </c>
      <c r="H3417" s="140" t="s">
        <v>6312</v>
      </c>
      <c r="I3417" s="140" t="s">
        <v>6313</v>
      </c>
      <c r="J3417" s="140" t="s">
        <v>6314</v>
      </c>
      <c r="K3417" s="140" t="s">
        <v>6880</v>
      </c>
    </row>
    <row r="3418">
      <c r="A3418" s="140" t="s">
        <v>10484</v>
      </c>
      <c r="B3418" s="140" t="s">
        <v>2911</v>
      </c>
      <c r="C3418" s="140" t="s">
        <v>10496</v>
      </c>
      <c r="D3418" s="140" t="s">
        <v>6318</v>
      </c>
      <c r="E3418" s="140">
        <v>0.0</v>
      </c>
      <c r="F3418" s="140" t="s">
        <v>6800</v>
      </c>
      <c r="G3418" s="141" t="s">
        <v>6401</v>
      </c>
      <c r="H3418" s="140" t="s">
        <v>6312</v>
      </c>
      <c r="I3418" s="140" t="s">
        <v>6313</v>
      </c>
      <c r="J3418" s="140" t="s">
        <v>6314</v>
      </c>
      <c r="K3418" s="140" t="s">
        <v>6880</v>
      </c>
    </row>
    <row r="3419">
      <c r="A3419" s="140" t="s">
        <v>10484</v>
      </c>
      <c r="B3419" s="140" t="s">
        <v>10497</v>
      </c>
      <c r="C3419" s="140" t="s">
        <v>10498</v>
      </c>
      <c r="D3419" s="140" t="s">
        <v>6318</v>
      </c>
      <c r="E3419" s="140">
        <v>0.0</v>
      </c>
      <c r="F3419" s="140" t="s">
        <v>6800</v>
      </c>
      <c r="G3419" s="141" t="s">
        <v>6401</v>
      </c>
      <c r="H3419" s="140" t="s">
        <v>6312</v>
      </c>
      <c r="I3419" s="140" t="s">
        <v>6313</v>
      </c>
      <c r="J3419" s="140" t="s">
        <v>6314</v>
      </c>
      <c r="K3419" s="140" t="s">
        <v>6880</v>
      </c>
    </row>
    <row r="3420">
      <c r="A3420" s="140" t="s">
        <v>10484</v>
      </c>
      <c r="B3420" s="140" t="s">
        <v>10499</v>
      </c>
      <c r="C3420" s="140" t="s">
        <v>10500</v>
      </c>
      <c r="D3420" s="140" t="s">
        <v>6318</v>
      </c>
      <c r="E3420" s="140">
        <v>0.0</v>
      </c>
      <c r="F3420" s="140" t="s">
        <v>6800</v>
      </c>
      <c r="G3420" s="141" t="s">
        <v>6401</v>
      </c>
      <c r="H3420" s="140" t="s">
        <v>6312</v>
      </c>
      <c r="I3420" s="140" t="s">
        <v>6313</v>
      </c>
      <c r="J3420" s="140" t="s">
        <v>6314</v>
      </c>
      <c r="K3420" s="140" t="s">
        <v>6880</v>
      </c>
    </row>
    <row r="3421">
      <c r="A3421" s="140" t="s">
        <v>10484</v>
      </c>
      <c r="B3421" s="140" t="s">
        <v>10501</v>
      </c>
      <c r="C3421" s="140" t="s">
        <v>10502</v>
      </c>
      <c r="D3421" s="140" t="s">
        <v>6318</v>
      </c>
      <c r="E3421" s="140">
        <v>0.0</v>
      </c>
      <c r="F3421" s="140" t="s">
        <v>6800</v>
      </c>
      <c r="G3421" s="141" t="s">
        <v>6401</v>
      </c>
      <c r="H3421" s="140" t="s">
        <v>6312</v>
      </c>
      <c r="I3421" s="140" t="s">
        <v>6313</v>
      </c>
      <c r="J3421" s="140" t="s">
        <v>6314</v>
      </c>
      <c r="K3421" s="140" t="s">
        <v>6880</v>
      </c>
    </row>
    <row r="3422">
      <c r="A3422" s="140" t="s">
        <v>10484</v>
      </c>
      <c r="B3422" s="140" t="s">
        <v>10503</v>
      </c>
      <c r="C3422" s="140" t="s">
        <v>10504</v>
      </c>
      <c r="D3422" s="140" t="s">
        <v>6318</v>
      </c>
      <c r="E3422" s="140">
        <v>0.0</v>
      </c>
      <c r="F3422" s="140" t="s">
        <v>6800</v>
      </c>
      <c r="G3422" s="141" t="s">
        <v>6401</v>
      </c>
      <c r="H3422" s="140" t="s">
        <v>6312</v>
      </c>
      <c r="I3422" s="140" t="s">
        <v>6313</v>
      </c>
      <c r="J3422" s="140" t="s">
        <v>6314</v>
      </c>
      <c r="K3422" s="140" t="s">
        <v>6880</v>
      </c>
    </row>
    <row r="3423">
      <c r="A3423" s="140" t="s">
        <v>10484</v>
      </c>
      <c r="B3423" s="140" t="s">
        <v>10505</v>
      </c>
      <c r="C3423" s="140" t="s">
        <v>10506</v>
      </c>
      <c r="D3423" s="140" t="s">
        <v>6318</v>
      </c>
      <c r="E3423" s="140">
        <v>0.0</v>
      </c>
      <c r="F3423" s="140" t="s">
        <v>6800</v>
      </c>
      <c r="G3423" s="141" t="s">
        <v>6401</v>
      </c>
      <c r="H3423" s="140" t="s">
        <v>6312</v>
      </c>
      <c r="I3423" s="140" t="s">
        <v>6313</v>
      </c>
      <c r="J3423" s="140" t="s">
        <v>6314</v>
      </c>
      <c r="K3423" s="140" t="s">
        <v>6880</v>
      </c>
    </row>
    <row r="3424">
      <c r="A3424" s="140" t="s">
        <v>10484</v>
      </c>
      <c r="B3424" s="140" t="s">
        <v>3111</v>
      </c>
      <c r="C3424" s="140" t="s">
        <v>10507</v>
      </c>
      <c r="D3424" s="140" t="s">
        <v>6318</v>
      </c>
      <c r="E3424" s="140">
        <v>0.0</v>
      </c>
      <c r="F3424" s="140" t="s">
        <v>6800</v>
      </c>
      <c r="G3424" s="141" t="s">
        <v>6401</v>
      </c>
      <c r="H3424" s="140" t="s">
        <v>6312</v>
      </c>
      <c r="I3424" s="140" t="s">
        <v>6313</v>
      </c>
      <c r="J3424" s="140" t="s">
        <v>6314</v>
      </c>
      <c r="K3424" s="140" t="s">
        <v>6880</v>
      </c>
    </row>
    <row r="3425">
      <c r="A3425" s="140" t="s">
        <v>10484</v>
      </c>
      <c r="B3425" s="140" t="s">
        <v>10508</v>
      </c>
      <c r="C3425" s="140" t="s">
        <v>10509</v>
      </c>
      <c r="D3425" s="140" t="s">
        <v>6318</v>
      </c>
      <c r="E3425" s="140">
        <v>0.0</v>
      </c>
      <c r="F3425" s="140" t="s">
        <v>6800</v>
      </c>
      <c r="G3425" s="141" t="s">
        <v>6401</v>
      </c>
      <c r="H3425" s="140" t="s">
        <v>6312</v>
      </c>
      <c r="I3425" s="140" t="s">
        <v>6313</v>
      </c>
      <c r="J3425" s="140" t="s">
        <v>6314</v>
      </c>
      <c r="K3425" s="140" t="s">
        <v>6880</v>
      </c>
    </row>
    <row r="3426">
      <c r="A3426" s="140" t="s">
        <v>10484</v>
      </c>
      <c r="B3426" s="140" t="s">
        <v>10510</v>
      </c>
      <c r="C3426" s="140" t="s">
        <v>10511</v>
      </c>
      <c r="D3426" s="140" t="s">
        <v>6318</v>
      </c>
      <c r="E3426" s="140">
        <v>0.0</v>
      </c>
      <c r="F3426" s="140" t="s">
        <v>6800</v>
      </c>
      <c r="G3426" s="141" t="s">
        <v>6401</v>
      </c>
      <c r="H3426" s="140" t="s">
        <v>6312</v>
      </c>
      <c r="I3426" s="140" t="s">
        <v>6313</v>
      </c>
      <c r="J3426" s="140" t="s">
        <v>6314</v>
      </c>
      <c r="K3426" s="140" t="s">
        <v>6880</v>
      </c>
    </row>
    <row r="3427">
      <c r="A3427" s="140" t="s">
        <v>10484</v>
      </c>
      <c r="B3427" s="140" t="s">
        <v>2863</v>
      </c>
      <c r="C3427" s="140" t="s">
        <v>10512</v>
      </c>
      <c r="D3427" s="140" t="s">
        <v>6318</v>
      </c>
      <c r="E3427" s="140">
        <v>0.0</v>
      </c>
      <c r="F3427" s="140" t="s">
        <v>6800</v>
      </c>
      <c r="G3427" s="141" t="s">
        <v>6401</v>
      </c>
      <c r="H3427" s="140" t="s">
        <v>6312</v>
      </c>
      <c r="I3427" s="140" t="s">
        <v>6313</v>
      </c>
      <c r="J3427" s="140" t="s">
        <v>6314</v>
      </c>
      <c r="K3427" s="140" t="s">
        <v>6880</v>
      </c>
    </row>
    <row r="3428">
      <c r="A3428" s="140" t="s">
        <v>10484</v>
      </c>
      <c r="B3428" s="140" t="s">
        <v>10513</v>
      </c>
      <c r="C3428" s="140" t="s">
        <v>10514</v>
      </c>
      <c r="D3428" s="140" t="s">
        <v>6318</v>
      </c>
      <c r="E3428" s="140" t="s">
        <v>6323</v>
      </c>
      <c r="F3428" s="140" t="s">
        <v>5774</v>
      </c>
      <c r="G3428" s="141" t="s">
        <v>6401</v>
      </c>
      <c r="H3428" s="140" t="s">
        <v>6312</v>
      </c>
      <c r="I3428" s="140" t="s">
        <v>6313</v>
      </c>
      <c r="J3428" s="140" t="s">
        <v>6314</v>
      </c>
      <c r="K3428" s="140" t="s">
        <v>6880</v>
      </c>
    </row>
    <row r="3429">
      <c r="A3429" s="140" t="s">
        <v>10484</v>
      </c>
      <c r="B3429" s="140" t="s">
        <v>10515</v>
      </c>
      <c r="C3429" s="140" t="s">
        <v>10516</v>
      </c>
      <c r="D3429" s="140" t="s">
        <v>6318</v>
      </c>
      <c r="E3429" s="140" t="s">
        <v>1225</v>
      </c>
      <c r="F3429" s="140" t="s">
        <v>1226</v>
      </c>
      <c r="G3429" s="141" t="s">
        <v>6401</v>
      </c>
      <c r="H3429" s="140" t="s">
        <v>6312</v>
      </c>
      <c r="I3429" s="140" t="s">
        <v>6313</v>
      </c>
      <c r="J3429" s="140" t="s">
        <v>6314</v>
      </c>
      <c r="K3429" s="140" t="s">
        <v>6880</v>
      </c>
    </row>
    <row r="3430">
      <c r="A3430" s="140" t="s">
        <v>10484</v>
      </c>
      <c r="B3430" s="140" t="s">
        <v>4528</v>
      </c>
      <c r="C3430" s="140" t="s">
        <v>10517</v>
      </c>
      <c r="D3430" s="140" t="s">
        <v>6318</v>
      </c>
      <c r="E3430" s="140" t="s">
        <v>1225</v>
      </c>
      <c r="F3430" s="140" t="s">
        <v>1226</v>
      </c>
      <c r="G3430" s="141" t="s">
        <v>6664</v>
      </c>
      <c r="H3430" s="140" t="s">
        <v>6312</v>
      </c>
      <c r="I3430" s="140" t="s">
        <v>6313</v>
      </c>
      <c r="J3430" s="140" t="s">
        <v>6314</v>
      </c>
      <c r="K3430" s="140" t="s">
        <v>6880</v>
      </c>
    </row>
    <row r="3431">
      <c r="A3431" s="140" t="s">
        <v>10484</v>
      </c>
      <c r="B3431" s="140" t="s">
        <v>3397</v>
      </c>
      <c r="C3431" s="140" t="s">
        <v>10518</v>
      </c>
      <c r="D3431" s="140" t="s">
        <v>6318</v>
      </c>
      <c r="E3431" s="140" t="s">
        <v>1225</v>
      </c>
      <c r="F3431" s="140" t="s">
        <v>1226</v>
      </c>
      <c r="G3431" s="141" t="s">
        <v>6401</v>
      </c>
      <c r="H3431" s="140" t="s">
        <v>6312</v>
      </c>
      <c r="I3431" s="140" t="s">
        <v>6313</v>
      </c>
      <c r="J3431" s="140" t="s">
        <v>6314</v>
      </c>
      <c r="K3431" s="140" t="s">
        <v>6880</v>
      </c>
    </row>
    <row r="3432">
      <c r="A3432" s="140" t="s">
        <v>10484</v>
      </c>
      <c r="B3432" s="140" t="s">
        <v>10519</v>
      </c>
      <c r="C3432" s="140" t="s">
        <v>10520</v>
      </c>
      <c r="D3432" s="140" t="s">
        <v>6318</v>
      </c>
      <c r="E3432" s="140" t="s">
        <v>1225</v>
      </c>
      <c r="F3432" s="140" t="s">
        <v>1226</v>
      </c>
      <c r="G3432" s="141" t="s">
        <v>6401</v>
      </c>
      <c r="H3432" s="140" t="s">
        <v>6312</v>
      </c>
      <c r="I3432" s="140" t="s">
        <v>6313</v>
      </c>
      <c r="J3432" s="140" t="s">
        <v>6314</v>
      </c>
      <c r="K3432" s="140" t="s">
        <v>6880</v>
      </c>
    </row>
    <row r="3433">
      <c r="A3433" s="140" t="s">
        <v>10484</v>
      </c>
      <c r="B3433" s="140" t="s">
        <v>4646</v>
      </c>
      <c r="C3433" s="140" t="s">
        <v>10521</v>
      </c>
      <c r="D3433" s="140" t="s">
        <v>6318</v>
      </c>
      <c r="E3433" s="140" t="s">
        <v>1225</v>
      </c>
      <c r="F3433" s="140" t="s">
        <v>1226</v>
      </c>
      <c r="G3433" s="141" t="s">
        <v>6401</v>
      </c>
      <c r="H3433" s="140" t="s">
        <v>6312</v>
      </c>
      <c r="I3433" s="140" t="s">
        <v>6313</v>
      </c>
      <c r="J3433" s="140" t="s">
        <v>6314</v>
      </c>
      <c r="K3433" s="140" t="s">
        <v>6880</v>
      </c>
    </row>
    <row r="3434">
      <c r="A3434" s="140" t="s">
        <v>10484</v>
      </c>
      <c r="B3434" s="140" t="s">
        <v>4409</v>
      </c>
      <c r="C3434" s="140" t="s">
        <v>10522</v>
      </c>
      <c r="D3434" s="140" t="s">
        <v>6318</v>
      </c>
      <c r="E3434" s="140" t="s">
        <v>1225</v>
      </c>
      <c r="F3434" s="140" t="s">
        <v>1226</v>
      </c>
      <c r="G3434" s="141" t="s">
        <v>6401</v>
      </c>
      <c r="H3434" s="140" t="s">
        <v>6312</v>
      </c>
      <c r="I3434" s="140" t="s">
        <v>6313</v>
      </c>
      <c r="J3434" s="140" t="s">
        <v>6314</v>
      </c>
      <c r="K3434" s="140" t="s">
        <v>6880</v>
      </c>
    </row>
    <row r="3435">
      <c r="A3435" s="140" t="s">
        <v>10484</v>
      </c>
      <c r="B3435" s="140" t="s">
        <v>4411</v>
      </c>
      <c r="C3435" s="140" t="s">
        <v>10523</v>
      </c>
      <c r="D3435" s="140" t="s">
        <v>6318</v>
      </c>
      <c r="E3435" s="140" t="s">
        <v>1225</v>
      </c>
      <c r="F3435" s="140" t="s">
        <v>1226</v>
      </c>
      <c r="G3435" s="141" t="s">
        <v>6401</v>
      </c>
      <c r="H3435" s="140" t="s">
        <v>6312</v>
      </c>
      <c r="I3435" s="140" t="s">
        <v>6313</v>
      </c>
      <c r="J3435" s="140" t="s">
        <v>6314</v>
      </c>
      <c r="K3435" s="140" t="s">
        <v>6880</v>
      </c>
    </row>
    <row r="3436">
      <c r="A3436" s="140" t="s">
        <v>10484</v>
      </c>
      <c r="B3436" s="140" t="s">
        <v>10524</v>
      </c>
      <c r="C3436" s="140" t="s">
        <v>10525</v>
      </c>
      <c r="D3436" s="140" t="s">
        <v>6318</v>
      </c>
      <c r="E3436" s="140" t="s">
        <v>1225</v>
      </c>
      <c r="F3436" s="140" t="s">
        <v>1226</v>
      </c>
      <c r="G3436" s="141" t="s">
        <v>6668</v>
      </c>
      <c r="H3436" s="140" t="s">
        <v>6312</v>
      </c>
      <c r="I3436" s="140" t="s">
        <v>6313</v>
      </c>
      <c r="J3436" s="140" t="s">
        <v>6314</v>
      </c>
      <c r="K3436" s="140" t="s">
        <v>6880</v>
      </c>
    </row>
    <row r="3437">
      <c r="A3437" s="140" t="s">
        <v>10484</v>
      </c>
      <c r="B3437" s="140" t="s">
        <v>3584</v>
      </c>
      <c r="C3437" s="140" t="s">
        <v>10526</v>
      </c>
      <c r="D3437" s="140" t="s">
        <v>6318</v>
      </c>
      <c r="E3437" s="140" t="s">
        <v>1225</v>
      </c>
      <c r="F3437" s="140" t="s">
        <v>1226</v>
      </c>
      <c r="G3437" s="141" t="s">
        <v>6401</v>
      </c>
      <c r="H3437" s="140" t="s">
        <v>6312</v>
      </c>
      <c r="I3437" s="140" t="s">
        <v>6313</v>
      </c>
      <c r="J3437" s="140" t="s">
        <v>6314</v>
      </c>
      <c r="K3437" s="140" t="s">
        <v>6880</v>
      </c>
    </row>
    <row r="3438">
      <c r="A3438" s="140" t="s">
        <v>10484</v>
      </c>
      <c r="B3438" s="140" t="s">
        <v>3580</v>
      </c>
      <c r="C3438" s="140" t="s">
        <v>10527</v>
      </c>
      <c r="D3438" s="140" t="s">
        <v>6318</v>
      </c>
      <c r="E3438" s="140" t="s">
        <v>1225</v>
      </c>
      <c r="F3438" s="140" t="s">
        <v>1226</v>
      </c>
      <c r="G3438" s="141" t="s">
        <v>6401</v>
      </c>
      <c r="H3438" s="140" t="s">
        <v>6312</v>
      </c>
      <c r="I3438" s="140" t="s">
        <v>6313</v>
      </c>
      <c r="J3438" s="140" t="s">
        <v>6314</v>
      </c>
      <c r="K3438" s="140" t="s">
        <v>6880</v>
      </c>
    </row>
    <row r="3439">
      <c r="A3439" s="140" t="s">
        <v>10484</v>
      </c>
      <c r="B3439" s="140" t="s">
        <v>10528</v>
      </c>
      <c r="C3439" s="140" t="s">
        <v>10529</v>
      </c>
      <c r="D3439" s="140" t="s">
        <v>6318</v>
      </c>
      <c r="E3439" s="140" t="s">
        <v>1225</v>
      </c>
      <c r="F3439" s="140" t="s">
        <v>1226</v>
      </c>
      <c r="G3439" s="141" t="s">
        <v>6401</v>
      </c>
      <c r="H3439" s="140" t="s">
        <v>6312</v>
      </c>
      <c r="I3439" s="140" t="s">
        <v>6313</v>
      </c>
      <c r="J3439" s="140" t="s">
        <v>6314</v>
      </c>
      <c r="K3439" s="140" t="s">
        <v>6880</v>
      </c>
    </row>
    <row r="3440">
      <c r="A3440" s="140" t="s">
        <v>10484</v>
      </c>
      <c r="B3440" s="140" t="s">
        <v>10530</v>
      </c>
      <c r="C3440" s="140" t="s">
        <v>10531</v>
      </c>
      <c r="D3440" s="140" t="s">
        <v>6318</v>
      </c>
      <c r="E3440" s="140" t="s">
        <v>1225</v>
      </c>
      <c r="F3440" s="140" t="s">
        <v>1226</v>
      </c>
      <c r="G3440" s="141" t="s">
        <v>6401</v>
      </c>
      <c r="H3440" s="140" t="s">
        <v>6312</v>
      </c>
      <c r="I3440" s="140" t="s">
        <v>6313</v>
      </c>
      <c r="J3440" s="140" t="s">
        <v>6314</v>
      </c>
      <c r="K3440" s="140" t="s">
        <v>6880</v>
      </c>
    </row>
    <row r="3441">
      <c r="A3441" s="140" t="s">
        <v>10484</v>
      </c>
      <c r="B3441" s="140" t="s">
        <v>10532</v>
      </c>
      <c r="C3441" s="140" t="s">
        <v>10533</v>
      </c>
      <c r="D3441" s="140" t="s">
        <v>6318</v>
      </c>
      <c r="E3441" s="140" t="s">
        <v>1225</v>
      </c>
      <c r="F3441" s="140" t="s">
        <v>1226</v>
      </c>
      <c r="G3441" s="141" t="s">
        <v>6664</v>
      </c>
      <c r="H3441" s="140" t="s">
        <v>6312</v>
      </c>
      <c r="I3441" s="140" t="s">
        <v>6313</v>
      </c>
      <c r="J3441" s="140" t="s">
        <v>6314</v>
      </c>
      <c r="K3441" s="140" t="s">
        <v>6880</v>
      </c>
    </row>
    <row r="3442">
      <c r="A3442" s="140" t="s">
        <v>10484</v>
      </c>
      <c r="B3442" s="140" t="s">
        <v>10534</v>
      </c>
      <c r="C3442" s="140" t="s">
        <v>10535</v>
      </c>
      <c r="D3442" s="140" t="s">
        <v>6318</v>
      </c>
      <c r="E3442" s="140" t="s">
        <v>1225</v>
      </c>
      <c r="F3442" s="140" t="s">
        <v>1226</v>
      </c>
      <c r="G3442" s="141" t="s">
        <v>6401</v>
      </c>
      <c r="H3442" s="140" t="s">
        <v>6312</v>
      </c>
      <c r="I3442" s="140" t="s">
        <v>6313</v>
      </c>
      <c r="J3442" s="140" t="s">
        <v>6314</v>
      </c>
      <c r="K3442" s="140" t="s">
        <v>6880</v>
      </c>
    </row>
    <row r="3443">
      <c r="A3443" s="140" t="s">
        <v>10484</v>
      </c>
      <c r="B3443" s="140" t="s">
        <v>10536</v>
      </c>
      <c r="C3443" s="140" t="s">
        <v>10537</v>
      </c>
      <c r="D3443" s="140" t="s">
        <v>6318</v>
      </c>
      <c r="E3443" s="140" t="s">
        <v>1225</v>
      </c>
      <c r="F3443" s="140" t="s">
        <v>1275</v>
      </c>
      <c r="G3443" s="141" t="s">
        <v>6668</v>
      </c>
      <c r="H3443" s="140" t="s">
        <v>6312</v>
      </c>
      <c r="I3443" s="140" t="s">
        <v>6313</v>
      </c>
      <c r="J3443" s="140" t="s">
        <v>6314</v>
      </c>
      <c r="K3443" s="140" t="s">
        <v>6880</v>
      </c>
    </row>
    <row r="3444">
      <c r="A3444" s="140" t="s">
        <v>10484</v>
      </c>
      <c r="B3444" s="140" t="s">
        <v>10538</v>
      </c>
      <c r="C3444" s="140" t="s">
        <v>10539</v>
      </c>
      <c r="D3444" s="140" t="s">
        <v>6318</v>
      </c>
      <c r="E3444" s="140" t="s">
        <v>1225</v>
      </c>
      <c r="F3444" s="140" t="s">
        <v>1275</v>
      </c>
      <c r="G3444" s="141" t="s">
        <v>6668</v>
      </c>
      <c r="H3444" s="140" t="s">
        <v>6312</v>
      </c>
      <c r="I3444" s="140" t="s">
        <v>6313</v>
      </c>
      <c r="J3444" s="140" t="s">
        <v>6314</v>
      </c>
      <c r="K3444" s="140" t="s">
        <v>6880</v>
      </c>
    </row>
    <row r="3445">
      <c r="A3445" s="140" t="s">
        <v>10484</v>
      </c>
      <c r="B3445" s="140" t="s">
        <v>10540</v>
      </c>
      <c r="C3445" s="140" t="s">
        <v>10541</v>
      </c>
      <c r="D3445" s="140" t="s">
        <v>6318</v>
      </c>
      <c r="E3445" s="140" t="s">
        <v>1225</v>
      </c>
      <c r="F3445" s="140" t="s">
        <v>1275</v>
      </c>
      <c r="G3445" s="141" t="s">
        <v>6401</v>
      </c>
      <c r="H3445" s="140" t="s">
        <v>6312</v>
      </c>
      <c r="I3445" s="140" t="s">
        <v>6313</v>
      </c>
      <c r="J3445" s="140" t="s">
        <v>6314</v>
      </c>
      <c r="K3445" s="140" t="s">
        <v>6880</v>
      </c>
    </row>
    <row r="3446">
      <c r="A3446" s="140" t="s">
        <v>10484</v>
      </c>
      <c r="B3446" s="140" t="s">
        <v>2909</v>
      </c>
      <c r="C3446" s="140" t="s">
        <v>10542</v>
      </c>
      <c r="D3446" s="140" t="s">
        <v>6318</v>
      </c>
      <c r="E3446" s="140" t="s">
        <v>1225</v>
      </c>
      <c r="F3446" s="140" t="s">
        <v>1275</v>
      </c>
      <c r="G3446" s="141" t="s">
        <v>6401</v>
      </c>
      <c r="H3446" s="140" t="s">
        <v>6312</v>
      </c>
      <c r="I3446" s="140" t="s">
        <v>6313</v>
      </c>
      <c r="J3446" s="140" t="s">
        <v>6314</v>
      </c>
      <c r="K3446" s="140" t="s">
        <v>6880</v>
      </c>
    </row>
    <row r="3447">
      <c r="A3447" s="140" t="s">
        <v>10484</v>
      </c>
      <c r="B3447" s="140" t="s">
        <v>3607</v>
      </c>
      <c r="C3447" s="140" t="s">
        <v>10543</v>
      </c>
      <c r="D3447" s="140" t="s">
        <v>6318</v>
      </c>
      <c r="E3447" s="140" t="s">
        <v>1225</v>
      </c>
      <c r="F3447" s="140" t="s">
        <v>1275</v>
      </c>
      <c r="G3447" s="141" t="s">
        <v>6668</v>
      </c>
      <c r="H3447" s="140" t="s">
        <v>6312</v>
      </c>
      <c r="I3447" s="140" t="s">
        <v>6313</v>
      </c>
      <c r="J3447" s="140" t="s">
        <v>6314</v>
      </c>
      <c r="K3447" s="140" t="s">
        <v>6880</v>
      </c>
    </row>
    <row r="3448">
      <c r="A3448" s="140" t="s">
        <v>10484</v>
      </c>
      <c r="B3448" s="140" t="s">
        <v>3546</v>
      </c>
      <c r="C3448" s="140" t="s">
        <v>10544</v>
      </c>
      <c r="D3448" s="140" t="s">
        <v>6318</v>
      </c>
      <c r="E3448" s="140" t="s">
        <v>1225</v>
      </c>
      <c r="F3448" s="140" t="s">
        <v>1275</v>
      </c>
      <c r="G3448" s="141" t="s">
        <v>6668</v>
      </c>
      <c r="H3448" s="140" t="s">
        <v>6312</v>
      </c>
      <c r="I3448" s="140" t="s">
        <v>6313</v>
      </c>
      <c r="J3448" s="140" t="s">
        <v>6314</v>
      </c>
      <c r="K3448" s="140" t="s">
        <v>6880</v>
      </c>
    </row>
    <row r="3449">
      <c r="A3449" s="140" t="s">
        <v>10484</v>
      </c>
      <c r="B3449" s="140" t="s">
        <v>2859</v>
      </c>
      <c r="C3449" s="140" t="s">
        <v>10545</v>
      </c>
      <c r="D3449" s="140" t="s">
        <v>6318</v>
      </c>
      <c r="E3449" s="140" t="s">
        <v>1225</v>
      </c>
      <c r="F3449" s="140" t="s">
        <v>1275</v>
      </c>
      <c r="G3449" s="141" t="s">
        <v>6668</v>
      </c>
      <c r="H3449" s="140" t="s">
        <v>6312</v>
      </c>
      <c r="I3449" s="140" t="s">
        <v>6313</v>
      </c>
      <c r="J3449" s="140" t="s">
        <v>6314</v>
      </c>
      <c r="K3449" s="140" t="s">
        <v>6880</v>
      </c>
    </row>
    <row r="3450">
      <c r="A3450" s="140" t="s">
        <v>10484</v>
      </c>
      <c r="B3450" s="140" t="s">
        <v>2875</v>
      </c>
      <c r="C3450" s="140" t="s">
        <v>10546</v>
      </c>
      <c r="D3450" s="140" t="s">
        <v>6318</v>
      </c>
      <c r="E3450" s="140" t="s">
        <v>1225</v>
      </c>
      <c r="F3450" s="140" t="s">
        <v>1275</v>
      </c>
      <c r="G3450" s="141" t="s">
        <v>6668</v>
      </c>
      <c r="H3450" s="140" t="s">
        <v>6312</v>
      </c>
      <c r="I3450" s="140" t="s">
        <v>6313</v>
      </c>
      <c r="J3450" s="140" t="s">
        <v>6314</v>
      </c>
      <c r="K3450" s="140" t="s">
        <v>6880</v>
      </c>
    </row>
    <row r="3451">
      <c r="A3451" s="140" t="s">
        <v>10484</v>
      </c>
      <c r="B3451" s="140" t="s">
        <v>10547</v>
      </c>
      <c r="C3451" s="140" t="s">
        <v>10548</v>
      </c>
      <c r="D3451" s="140" t="s">
        <v>6318</v>
      </c>
      <c r="E3451" s="140" t="s">
        <v>1225</v>
      </c>
      <c r="F3451" s="140" t="s">
        <v>1275</v>
      </c>
      <c r="G3451" s="141" t="s">
        <v>6668</v>
      </c>
      <c r="H3451" s="140" t="s">
        <v>6312</v>
      </c>
      <c r="I3451" s="140" t="s">
        <v>6313</v>
      </c>
      <c r="J3451" s="140" t="s">
        <v>6314</v>
      </c>
      <c r="K3451" s="140" t="s">
        <v>6880</v>
      </c>
    </row>
    <row r="3452">
      <c r="A3452" s="140" t="s">
        <v>10484</v>
      </c>
      <c r="B3452" s="140" t="s">
        <v>3326</v>
      </c>
      <c r="C3452" s="140" t="s">
        <v>10549</v>
      </c>
      <c r="D3452" s="140" t="s">
        <v>6318</v>
      </c>
      <c r="E3452" s="140" t="s">
        <v>1225</v>
      </c>
      <c r="F3452" s="140" t="s">
        <v>1275</v>
      </c>
      <c r="G3452" s="141" t="s">
        <v>6668</v>
      </c>
      <c r="H3452" s="140" t="s">
        <v>6312</v>
      </c>
      <c r="I3452" s="140" t="s">
        <v>6313</v>
      </c>
      <c r="J3452" s="140" t="s">
        <v>6314</v>
      </c>
      <c r="K3452" s="140" t="s">
        <v>6880</v>
      </c>
    </row>
    <row r="3453">
      <c r="A3453" s="140" t="s">
        <v>10484</v>
      </c>
      <c r="B3453" s="140" t="s">
        <v>2877</v>
      </c>
      <c r="C3453" s="140" t="s">
        <v>10550</v>
      </c>
      <c r="D3453" s="140" t="s">
        <v>6318</v>
      </c>
      <c r="E3453" s="140" t="s">
        <v>1225</v>
      </c>
      <c r="F3453" s="140" t="s">
        <v>1275</v>
      </c>
      <c r="G3453" s="141" t="s">
        <v>6668</v>
      </c>
      <c r="H3453" s="140" t="s">
        <v>6312</v>
      </c>
      <c r="I3453" s="140" t="s">
        <v>6313</v>
      </c>
      <c r="J3453" s="140" t="s">
        <v>6314</v>
      </c>
      <c r="K3453" s="140" t="s">
        <v>6880</v>
      </c>
    </row>
    <row r="3454">
      <c r="A3454" s="140" t="s">
        <v>10484</v>
      </c>
      <c r="B3454" s="140" t="s">
        <v>3556</v>
      </c>
      <c r="C3454" s="140" t="s">
        <v>10551</v>
      </c>
      <c r="D3454" s="140" t="s">
        <v>6318</v>
      </c>
      <c r="E3454" s="140" t="s">
        <v>1225</v>
      </c>
      <c r="F3454" s="140" t="s">
        <v>1275</v>
      </c>
      <c r="G3454" s="141" t="s">
        <v>6668</v>
      </c>
      <c r="H3454" s="140" t="s">
        <v>6312</v>
      </c>
      <c r="I3454" s="140" t="s">
        <v>6313</v>
      </c>
      <c r="J3454" s="140" t="s">
        <v>6314</v>
      </c>
      <c r="K3454" s="140" t="s">
        <v>6880</v>
      </c>
    </row>
    <row r="3455">
      <c r="A3455" s="140" t="s">
        <v>10484</v>
      </c>
      <c r="B3455" s="140" t="s">
        <v>2861</v>
      </c>
      <c r="C3455" s="140" t="s">
        <v>10552</v>
      </c>
      <c r="D3455" s="140" t="s">
        <v>6318</v>
      </c>
      <c r="E3455" s="140" t="s">
        <v>1225</v>
      </c>
      <c r="F3455" s="140" t="s">
        <v>1275</v>
      </c>
      <c r="G3455" s="141" t="s">
        <v>6668</v>
      </c>
      <c r="H3455" s="140" t="s">
        <v>6312</v>
      </c>
      <c r="I3455" s="140" t="s">
        <v>6313</v>
      </c>
      <c r="J3455" s="140" t="s">
        <v>6314</v>
      </c>
      <c r="K3455" s="140" t="s">
        <v>6880</v>
      </c>
    </row>
    <row r="3456">
      <c r="A3456" s="140" t="s">
        <v>10484</v>
      </c>
      <c r="B3456" s="140" t="s">
        <v>10553</v>
      </c>
      <c r="C3456" s="140" t="s">
        <v>10554</v>
      </c>
      <c r="D3456" s="140" t="s">
        <v>6318</v>
      </c>
      <c r="E3456" s="140" t="s">
        <v>1225</v>
      </c>
      <c r="F3456" s="140" t="s">
        <v>1293</v>
      </c>
      <c r="G3456" s="141" t="s">
        <v>6401</v>
      </c>
      <c r="H3456" s="140" t="s">
        <v>6312</v>
      </c>
      <c r="I3456" s="140" t="s">
        <v>6313</v>
      </c>
      <c r="J3456" s="140" t="s">
        <v>6314</v>
      </c>
      <c r="K3456" s="140" t="s">
        <v>6880</v>
      </c>
    </row>
    <row r="3457">
      <c r="A3457" s="140" t="s">
        <v>10484</v>
      </c>
      <c r="B3457" s="140" t="s">
        <v>5469</v>
      </c>
      <c r="C3457" s="140" t="s">
        <v>10555</v>
      </c>
      <c r="D3457" s="140" t="s">
        <v>6318</v>
      </c>
      <c r="E3457" s="140" t="s">
        <v>1225</v>
      </c>
      <c r="F3457" s="140" t="s">
        <v>1293</v>
      </c>
      <c r="G3457" s="141" t="s">
        <v>6401</v>
      </c>
      <c r="H3457" s="140" t="s">
        <v>6312</v>
      </c>
      <c r="I3457" s="140" t="s">
        <v>6313</v>
      </c>
      <c r="J3457" s="140" t="s">
        <v>6314</v>
      </c>
      <c r="K3457" s="140" t="s">
        <v>6880</v>
      </c>
    </row>
    <row r="3458">
      <c r="A3458" s="140" t="s">
        <v>10484</v>
      </c>
      <c r="B3458" s="140" t="s">
        <v>10556</v>
      </c>
      <c r="C3458" s="140" t="s">
        <v>10557</v>
      </c>
      <c r="D3458" s="140" t="s">
        <v>6318</v>
      </c>
      <c r="E3458" s="140" t="s">
        <v>1225</v>
      </c>
      <c r="F3458" s="140" t="s">
        <v>6362</v>
      </c>
      <c r="G3458" s="141" t="s">
        <v>6401</v>
      </c>
      <c r="H3458" s="140" t="s">
        <v>6312</v>
      </c>
      <c r="I3458" s="140" t="s">
        <v>6313</v>
      </c>
      <c r="J3458" s="140" t="s">
        <v>6314</v>
      </c>
      <c r="K3458" s="140" t="s">
        <v>6880</v>
      </c>
    </row>
    <row r="3459">
      <c r="A3459" s="140" t="s">
        <v>10484</v>
      </c>
      <c r="B3459" s="140" t="s">
        <v>5689</v>
      </c>
      <c r="C3459" s="140" t="s">
        <v>10558</v>
      </c>
      <c r="D3459" s="140" t="s">
        <v>6318</v>
      </c>
      <c r="E3459" s="140" t="s">
        <v>1225</v>
      </c>
      <c r="F3459" s="140" t="s">
        <v>6362</v>
      </c>
      <c r="G3459" s="141" t="s">
        <v>6401</v>
      </c>
      <c r="H3459" s="140" t="s">
        <v>6312</v>
      </c>
      <c r="I3459" s="140" t="s">
        <v>6313</v>
      </c>
      <c r="J3459" s="140" t="s">
        <v>6314</v>
      </c>
      <c r="K3459" s="140" t="s">
        <v>6880</v>
      </c>
    </row>
    <row r="3460">
      <c r="A3460" s="140" t="s">
        <v>10484</v>
      </c>
      <c r="B3460" s="140" t="s">
        <v>10559</v>
      </c>
      <c r="C3460" s="140" t="s">
        <v>10560</v>
      </c>
      <c r="D3460" s="140" t="s">
        <v>6318</v>
      </c>
      <c r="E3460" s="140" t="s">
        <v>1225</v>
      </c>
      <c r="F3460" s="140" t="s">
        <v>6362</v>
      </c>
      <c r="G3460" s="141" t="s">
        <v>6401</v>
      </c>
      <c r="H3460" s="140" t="s">
        <v>6312</v>
      </c>
      <c r="I3460" s="140" t="s">
        <v>6313</v>
      </c>
      <c r="J3460" s="140" t="s">
        <v>6314</v>
      </c>
      <c r="K3460" s="140" t="s">
        <v>6880</v>
      </c>
    </row>
    <row r="3461">
      <c r="A3461" s="140" t="s">
        <v>10484</v>
      </c>
      <c r="B3461" s="140" t="s">
        <v>2997</v>
      </c>
      <c r="C3461" s="140" t="s">
        <v>10561</v>
      </c>
      <c r="D3461" s="140" t="s">
        <v>6318</v>
      </c>
      <c r="E3461" s="140" t="s">
        <v>1225</v>
      </c>
      <c r="F3461" s="140" t="s">
        <v>6362</v>
      </c>
      <c r="G3461" s="141" t="s">
        <v>6401</v>
      </c>
      <c r="H3461" s="140" t="s">
        <v>6312</v>
      </c>
      <c r="I3461" s="140" t="s">
        <v>6313</v>
      </c>
      <c r="J3461" s="140" t="s">
        <v>6314</v>
      </c>
      <c r="K3461" s="140" t="s">
        <v>6880</v>
      </c>
    </row>
    <row r="3462">
      <c r="A3462" s="140" t="s">
        <v>10484</v>
      </c>
      <c r="B3462" s="140" t="s">
        <v>10562</v>
      </c>
      <c r="C3462" s="140" t="s">
        <v>10563</v>
      </c>
      <c r="D3462" s="140" t="s">
        <v>6318</v>
      </c>
      <c r="E3462" s="140" t="s">
        <v>1225</v>
      </c>
      <c r="F3462" s="140" t="s">
        <v>6362</v>
      </c>
      <c r="G3462" s="141" t="s">
        <v>6401</v>
      </c>
      <c r="H3462" s="140" t="s">
        <v>6312</v>
      </c>
      <c r="I3462" s="140" t="s">
        <v>6313</v>
      </c>
      <c r="J3462" s="140" t="s">
        <v>6314</v>
      </c>
      <c r="K3462" s="140" t="s">
        <v>6880</v>
      </c>
    </row>
    <row r="3463">
      <c r="A3463" s="140" t="s">
        <v>10484</v>
      </c>
      <c r="B3463" s="140" t="s">
        <v>10564</v>
      </c>
      <c r="C3463" s="140" t="s">
        <v>10565</v>
      </c>
      <c r="D3463" s="140" t="s">
        <v>6318</v>
      </c>
      <c r="E3463" s="140" t="s">
        <v>1225</v>
      </c>
      <c r="F3463" s="140" t="s">
        <v>6362</v>
      </c>
      <c r="G3463" s="141" t="s">
        <v>6401</v>
      </c>
      <c r="H3463" s="140" t="s">
        <v>6312</v>
      </c>
      <c r="I3463" s="140" t="s">
        <v>6313</v>
      </c>
      <c r="J3463" s="140" t="s">
        <v>6314</v>
      </c>
      <c r="K3463" s="140" t="s">
        <v>6880</v>
      </c>
    </row>
    <row r="3464">
      <c r="A3464" s="140" t="s">
        <v>130</v>
      </c>
      <c r="B3464" s="143">
        <v>6.78982E13</v>
      </c>
      <c r="C3464" s="140" t="s">
        <v>10566</v>
      </c>
      <c r="D3464" s="140" t="s">
        <v>6601</v>
      </c>
      <c r="E3464" s="140">
        <v>0.0</v>
      </c>
      <c r="F3464" s="140" t="s">
        <v>8181</v>
      </c>
      <c r="G3464" s="141" t="s">
        <v>6401</v>
      </c>
      <c r="H3464" s="140" t="s">
        <v>6312</v>
      </c>
      <c r="I3464" s="140" t="s">
        <v>6313</v>
      </c>
      <c r="J3464" s="140" t="s">
        <v>6314</v>
      </c>
      <c r="K3464" s="140" t="s">
        <v>1573</v>
      </c>
    </row>
    <row r="3465">
      <c r="A3465" s="140" t="s">
        <v>130</v>
      </c>
      <c r="B3465" s="143">
        <v>6.71145E13</v>
      </c>
      <c r="C3465" s="140" t="s">
        <v>10567</v>
      </c>
      <c r="D3465" s="140" t="s">
        <v>10568</v>
      </c>
      <c r="E3465" s="140" t="s">
        <v>131</v>
      </c>
      <c r="F3465" s="140" t="s">
        <v>10569</v>
      </c>
      <c r="G3465" s="141" t="s">
        <v>6401</v>
      </c>
      <c r="H3465" s="140" t="s">
        <v>6312</v>
      </c>
      <c r="I3465" s="140" t="s">
        <v>6313</v>
      </c>
      <c r="J3465" s="140" t="s">
        <v>6314</v>
      </c>
      <c r="K3465" s="140" t="s">
        <v>1573</v>
      </c>
    </row>
    <row r="3466">
      <c r="A3466" s="140" t="s">
        <v>130</v>
      </c>
      <c r="B3466" s="143">
        <v>6.71145E13</v>
      </c>
      <c r="C3466" s="140" t="s">
        <v>10570</v>
      </c>
      <c r="D3466" s="140" t="s">
        <v>10568</v>
      </c>
      <c r="E3466" s="140" t="s">
        <v>131</v>
      </c>
      <c r="F3466" s="140" t="s">
        <v>10569</v>
      </c>
      <c r="G3466" s="141" t="s">
        <v>6742</v>
      </c>
      <c r="H3466" s="140" t="s">
        <v>6312</v>
      </c>
      <c r="I3466" s="140" t="s">
        <v>6313</v>
      </c>
      <c r="J3466" s="140" t="s">
        <v>6314</v>
      </c>
      <c r="K3466" s="140" t="s">
        <v>1573</v>
      </c>
    </row>
    <row r="3467">
      <c r="A3467" s="140" t="s">
        <v>130</v>
      </c>
      <c r="B3467" s="143">
        <v>6.71145E13</v>
      </c>
      <c r="C3467" s="140" t="s">
        <v>10571</v>
      </c>
      <c r="D3467" s="140" t="s">
        <v>10568</v>
      </c>
      <c r="E3467" s="140" t="s">
        <v>131</v>
      </c>
      <c r="F3467" s="140" t="s">
        <v>10569</v>
      </c>
      <c r="G3467" s="141" t="s">
        <v>6401</v>
      </c>
      <c r="H3467" s="140" t="s">
        <v>6312</v>
      </c>
      <c r="I3467" s="140" t="s">
        <v>6313</v>
      </c>
      <c r="J3467" s="140" t="s">
        <v>6314</v>
      </c>
      <c r="K3467" s="140" t="s">
        <v>1573</v>
      </c>
    </row>
    <row r="3468">
      <c r="A3468" s="140" t="s">
        <v>130</v>
      </c>
      <c r="B3468" s="143">
        <v>6.71145E13</v>
      </c>
      <c r="C3468" s="140" t="s">
        <v>10572</v>
      </c>
      <c r="D3468" s="140" t="s">
        <v>10568</v>
      </c>
      <c r="E3468" s="140" t="s">
        <v>131</v>
      </c>
      <c r="F3468" s="140" t="s">
        <v>10569</v>
      </c>
      <c r="G3468" s="141" t="s">
        <v>6668</v>
      </c>
      <c r="H3468" s="140" t="s">
        <v>6312</v>
      </c>
      <c r="I3468" s="140" t="s">
        <v>6313</v>
      </c>
      <c r="J3468" s="140" t="s">
        <v>6314</v>
      </c>
      <c r="K3468" s="140" t="s">
        <v>1573</v>
      </c>
    </row>
    <row r="3469">
      <c r="A3469" s="140" t="s">
        <v>130</v>
      </c>
      <c r="B3469" s="140" t="s">
        <v>10573</v>
      </c>
      <c r="C3469" s="140" t="s">
        <v>10572</v>
      </c>
      <c r="D3469" s="140" t="s">
        <v>10568</v>
      </c>
      <c r="E3469" s="140" t="s">
        <v>131</v>
      </c>
      <c r="F3469" s="140" t="s">
        <v>10569</v>
      </c>
      <c r="G3469" s="141" t="s">
        <v>6304</v>
      </c>
      <c r="H3469" s="140" t="s">
        <v>6312</v>
      </c>
      <c r="I3469" s="140" t="s">
        <v>6527</v>
      </c>
      <c r="J3469" s="140" t="s">
        <v>6314</v>
      </c>
      <c r="K3469" s="140" t="s">
        <v>1573</v>
      </c>
    </row>
    <row r="3470">
      <c r="A3470" s="140" t="s">
        <v>10574</v>
      </c>
      <c r="B3470" s="140" t="s">
        <v>10575</v>
      </c>
      <c r="C3470" s="140" t="s">
        <v>10576</v>
      </c>
      <c r="D3470" s="140" t="s">
        <v>7347</v>
      </c>
      <c r="E3470" s="140" t="s">
        <v>7770</v>
      </c>
      <c r="F3470" s="140" t="s">
        <v>9498</v>
      </c>
      <c r="G3470" s="141" t="s">
        <v>6401</v>
      </c>
      <c r="H3470" s="140" t="s">
        <v>6312</v>
      </c>
      <c r="I3470" s="140" t="s">
        <v>6313</v>
      </c>
      <c r="J3470" s="140" t="s">
        <v>6314</v>
      </c>
      <c r="K3470" s="140" t="s">
        <v>7349</v>
      </c>
    </row>
    <row r="3471">
      <c r="A3471" s="140" t="s">
        <v>10574</v>
      </c>
      <c r="B3471" s="140" t="s">
        <v>10577</v>
      </c>
      <c r="C3471" s="140" t="s">
        <v>10578</v>
      </c>
      <c r="D3471" s="140" t="s">
        <v>7347</v>
      </c>
      <c r="E3471" s="140" t="s">
        <v>7770</v>
      </c>
      <c r="F3471" s="140" t="s">
        <v>9498</v>
      </c>
      <c r="G3471" s="141" t="s">
        <v>6401</v>
      </c>
      <c r="H3471" s="140" t="s">
        <v>6312</v>
      </c>
      <c r="I3471" s="140" t="s">
        <v>6313</v>
      </c>
      <c r="J3471" s="140" t="s">
        <v>6314</v>
      </c>
      <c r="K3471" s="140" t="s">
        <v>7349</v>
      </c>
    </row>
    <row r="3472">
      <c r="A3472" s="140" t="s">
        <v>10574</v>
      </c>
      <c r="B3472" s="140" t="s">
        <v>10579</v>
      </c>
      <c r="C3472" s="140" t="s">
        <v>10578</v>
      </c>
      <c r="D3472" s="140" t="s">
        <v>7347</v>
      </c>
      <c r="E3472" s="140" t="s">
        <v>7770</v>
      </c>
      <c r="F3472" s="140" t="s">
        <v>9498</v>
      </c>
      <c r="G3472" s="141" t="s">
        <v>6401</v>
      </c>
      <c r="H3472" s="140" t="s">
        <v>6312</v>
      </c>
      <c r="I3472" s="140" t="s">
        <v>6313</v>
      </c>
      <c r="J3472" s="140" t="s">
        <v>6314</v>
      </c>
      <c r="K3472" s="140" t="s">
        <v>7349</v>
      </c>
    </row>
    <row r="3473">
      <c r="A3473" s="140" t="s">
        <v>10580</v>
      </c>
      <c r="B3473" s="140">
        <v>20867.0</v>
      </c>
      <c r="C3473" s="140" t="s">
        <v>10581</v>
      </c>
      <c r="D3473" s="140" t="s">
        <v>6309</v>
      </c>
      <c r="E3473" s="140" t="s">
        <v>6310</v>
      </c>
      <c r="F3473" s="140" t="s">
        <v>6310</v>
      </c>
      <c r="G3473" s="141" t="s">
        <v>6311</v>
      </c>
      <c r="H3473" s="140" t="s">
        <v>6312</v>
      </c>
      <c r="I3473" s="140" t="s">
        <v>6313</v>
      </c>
      <c r="J3473" s="140" t="s">
        <v>6314</v>
      </c>
      <c r="K3473" s="140" t="s">
        <v>6315</v>
      </c>
    </row>
    <row r="3474">
      <c r="A3474" s="140" t="s">
        <v>10580</v>
      </c>
      <c r="B3474" s="140">
        <v>20862.0</v>
      </c>
      <c r="C3474" s="140" t="s">
        <v>10582</v>
      </c>
      <c r="D3474" s="140" t="s">
        <v>6309</v>
      </c>
      <c r="E3474" s="140" t="s">
        <v>6310</v>
      </c>
      <c r="F3474" s="140" t="s">
        <v>6310</v>
      </c>
      <c r="G3474" s="141" t="s">
        <v>6311</v>
      </c>
      <c r="H3474" s="140" t="s">
        <v>6312</v>
      </c>
      <c r="I3474" s="140" t="s">
        <v>6313</v>
      </c>
      <c r="J3474" s="140" t="s">
        <v>6314</v>
      </c>
      <c r="K3474" s="140" t="s">
        <v>6315</v>
      </c>
    </row>
    <row r="3475">
      <c r="A3475" s="140" t="s">
        <v>10583</v>
      </c>
      <c r="B3475" s="140" t="s">
        <v>10584</v>
      </c>
      <c r="C3475" s="140" t="s">
        <v>10585</v>
      </c>
      <c r="D3475" s="140" t="s">
        <v>6309</v>
      </c>
      <c r="E3475" s="140" t="s">
        <v>47</v>
      </c>
      <c r="F3475" s="140" t="s">
        <v>7376</v>
      </c>
      <c r="G3475" s="141" t="s">
        <v>6401</v>
      </c>
      <c r="H3475" s="140" t="s">
        <v>6312</v>
      </c>
      <c r="I3475" s="140" t="s">
        <v>6313</v>
      </c>
      <c r="J3475" s="140" t="s">
        <v>6314</v>
      </c>
      <c r="K3475" s="140" t="s">
        <v>10583</v>
      </c>
    </row>
    <row r="3476">
      <c r="A3476" s="140" t="s">
        <v>10583</v>
      </c>
      <c r="B3476" s="140" t="s">
        <v>4407</v>
      </c>
      <c r="C3476" s="140" t="s">
        <v>10586</v>
      </c>
      <c r="D3476" s="140" t="s">
        <v>6309</v>
      </c>
      <c r="E3476" s="140" t="s">
        <v>47</v>
      </c>
      <c r="F3476" s="140" t="s">
        <v>7376</v>
      </c>
      <c r="G3476" s="141" t="s">
        <v>6401</v>
      </c>
      <c r="H3476" s="140" t="s">
        <v>6312</v>
      </c>
      <c r="I3476" s="140" t="s">
        <v>6313</v>
      </c>
      <c r="J3476" s="140" t="s">
        <v>6314</v>
      </c>
      <c r="K3476" s="140" t="s">
        <v>10583</v>
      </c>
    </row>
    <row r="3477">
      <c r="A3477" s="140" t="s">
        <v>10583</v>
      </c>
      <c r="B3477" s="140" t="s">
        <v>10587</v>
      </c>
      <c r="C3477" s="140" t="s">
        <v>10588</v>
      </c>
      <c r="D3477" s="140" t="s">
        <v>6309</v>
      </c>
      <c r="E3477" s="140" t="s">
        <v>47</v>
      </c>
      <c r="F3477" s="140" t="s">
        <v>7376</v>
      </c>
      <c r="G3477" s="141" t="s">
        <v>6401</v>
      </c>
      <c r="H3477" s="140" t="s">
        <v>6312</v>
      </c>
      <c r="I3477" s="140" t="s">
        <v>6313</v>
      </c>
      <c r="J3477" s="140" t="s">
        <v>6314</v>
      </c>
      <c r="K3477" s="140" t="s">
        <v>10583</v>
      </c>
    </row>
    <row r="3478">
      <c r="A3478" s="140" t="s">
        <v>10589</v>
      </c>
      <c r="B3478" s="143">
        <v>2.11772E13</v>
      </c>
      <c r="C3478" s="140" t="s">
        <v>10590</v>
      </c>
      <c r="D3478" s="140" t="s">
        <v>6318</v>
      </c>
      <c r="E3478" s="140">
        <v>0.0</v>
      </c>
      <c r="F3478" s="140" t="s">
        <v>6790</v>
      </c>
      <c r="G3478" s="141" t="s">
        <v>6311</v>
      </c>
      <c r="H3478" s="140" t="s">
        <v>6312</v>
      </c>
      <c r="I3478" s="140" t="s">
        <v>6313</v>
      </c>
      <c r="J3478" s="140" t="s">
        <v>6314</v>
      </c>
      <c r="K3478" s="140" t="s">
        <v>10591</v>
      </c>
    </row>
    <row r="3479">
      <c r="A3479" s="140" t="s">
        <v>10589</v>
      </c>
      <c r="B3479" s="143">
        <v>2.11772E13</v>
      </c>
      <c r="C3479" s="140" t="s">
        <v>10592</v>
      </c>
      <c r="D3479" s="140" t="s">
        <v>6318</v>
      </c>
      <c r="E3479" s="140">
        <v>0.0</v>
      </c>
      <c r="F3479" s="140" t="s">
        <v>6790</v>
      </c>
      <c r="G3479" s="141" t="s">
        <v>6311</v>
      </c>
      <c r="H3479" s="140" t="s">
        <v>6312</v>
      </c>
      <c r="I3479" s="140" t="s">
        <v>6313</v>
      </c>
      <c r="J3479" s="140" t="s">
        <v>6314</v>
      </c>
      <c r="K3479" s="140" t="s">
        <v>10591</v>
      </c>
    </row>
    <row r="3480">
      <c r="A3480" s="140" t="s">
        <v>10589</v>
      </c>
      <c r="B3480" s="143">
        <v>7.19011E13</v>
      </c>
      <c r="C3480" s="140" t="s">
        <v>10593</v>
      </c>
      <c r="D3480" s="140" t="s">
        <v>6318</v>
      </c>
      <c r="E3480" s="140">
        <v>0.0</v>
      </c>
      <c r="F3480" s="140" t="s">
        <v>6790</v>
      </c>
      <c r="G3480" s="141" t="s">
        <v>6311</v>
      </c>
      <c r="H3480" s="140" t="s">
        <v>6312</v>
      </c>
      <c r="I3480" s="140" t="s">
        <v>6313</v>
      </c>
      <c r="J3480" s="140" t="s">
        <v>6314</v>
      </c>
      <c r="K3480" s="140" t="s">
        <v>10591</v>
      </c>
    </row>
    <row r="3481">
      <c r="A3481" s="140" t="s">
        <v>10589</v>
      </c>
      <c r="B3481" s="143">
        <v>7.19011E13</v>
      </c>
      <c r="C3481" s="140" t="s">
        <v>10593</v>
      </c>
      <c r="D3481" s="140" t="s">
        <v>6318</v>
      </c>
      <c r="E3481" s="140">
        <v>0.0</v>
      </c>
      <c r="F3481" s="140" t="s">
        <v>6790</v>
      </c>
      <c r="G3481" s="141" t="s">
        <v>6311</v>
      </c>
      <c r="H3481" s="140" t="s">
        <v>6312</v>
      </c>
      <c r="I3481" s="140" t="s">
        <v>6313</v>
      </c>
      <c r="J3481" s="140" t="s">
        <v>6314</v>
      </c>
      <c r="K3481" s="140" t="s">
        <v>10591</v>
      </c>
    </row>
    <row r="3482">
      <c r="A3482" s="140" t="s">
        <v>10589</v>
      </c>
      <c r="B3482" s="143">
        <v>7.19011E13</v>
      </c>
      <c r="C3482" s="140" t="s">
        <v>10593</v>
      </c>
      <c r="D3482" s="140" t="s">
        <v>6318</v>
      </c>
      <c r="E3482" s="140">
        <v>0.0</v>
      </c>
      <c r="F3482" s="140" t="s">
        <v>6790</v>
      </c>
      <c r="G3482" s="141" t="s">
        <v>6311</v>
      </c>
      <c r="H3482" s="140" t="s">
        <v>6312</v>
      </c>
      <c r="I3482" s="140" t="s">
        <v>6313</v>
      </c>
      <c r="J3482" s="140" t="s">
        <v>6314</v>
      </c>
      <c r="K3482" s="140" t="s">
        <v>10591</v>
      </c>
    </row>
    <row r="3483">
      <c r="A3483" s="140" t="s">
        <v>10589</v>
      </c>
      <c r="B3483" s="143">
        <v>7.19011E13</v>
      </c>
      <c r="C3483" s="140" t="s">
        <v>10593</v>
      </c>
      <c r="D3483" s="140" t="s">
        <v>6318</v>
      </c>
      <c r="E3483" s="140">
        <v>0.0</v>
      </c>
      <c r="F3483" s="140" t="s">
        <v>6790</v>
      </c>
      <c r="G3483" s="141" t="s">
        <v>6311</v>
      </c>
      <c r="H3483" s="140" t="s">
        <v>6312</v>
      </c>
      <c r="I3483" s="140" t="s">
        <v>6313</v>
      </c>
      <c r="J3483" s="140" t="s">
        <v>6314</v>
      </c>
      <c r="K3483" s="140" t="s">
        <v>10591</v>
      </c>
    </row>
    <row r="3484">
      <c r="A3484" s="140" t="s">
        <v>10589</v>
      </c>
      <c r="B3484" s="143">
        <v>8.92101E13</v>
      </c>
      <c r="C3484" s="140" t="s">
        <v>10594</v>
      </c>
      <c r="D3484" s="140" t="s">
        <v>6318</v>
      </c>
      <c r="E3484" s="140">
        <v>0.0</v>
      </c>
      <c r="F3484" s="140" t="s">
        <v>6790</v>
      </c>
      <c r="G3484" s="141" t="s">
        <v>6311</v>
      </c>
      <c r="H3484" s="140" t="s">
        <v>6312</v>
      </c>
      <c r="I3484" s="140" t="s">
        <v>6313</v>
      </c>
      <c r="J3484" s="140" t="s">
        <v>6314</v>
      </c>
      <c r="K3484" s="140" t="s">
        <v>10591</v>
      </c>
    </row>
    <row r="3485">
      <c r="A3485" s="140" t="s">
        <v>10589</v>
      </c>
      <c r="B3485" s="143">
        <v>4.92E13</v>
      </c>
      <c r="C3485" s="140" t="s">
        <v>10595</v>
      </c>
      <c r="D3485" s="140" t="s">
        <v>6318</v>
      </c>
      <c r="E3485" s="140" t="s">
        <v>1180</v>
      </c>
      <c r="F3485" s="140" t="s">
        <v>1181</v>
      </c>
      <c r="G3485" s="141" t="s">
        <v>6311</v>
      </c>
      <c r="H3485" s="140" t="s">
        <v>6312</v>
      </c>
      <c r="I3485" s="140" t="s">
        <v>6313</v>
      </c>
      <c r="J3485" s="140" t="s">
        <v>6314</v>
      </c>
      <c r="K3485" s="140" t="s">
        <v>10591</v>
      </c>
    </row>
    <row r="3486">
      <c r="A3486" s="140" t="s">
        <v>10589</v>
      </c>
      <c r="B3486" s="143">
        <v>5.9142E13</v>
      </c>
      <c r="C3486" s="140" t="s">
        <v>10596</v>
      </c>
      <c r="D3486" s="140" t="s">
        <v>6318</v>
      </c>
      <c r="E3486" s="140" t="s">
        <v>1180</v>
      </c>
      <c r="F3486" s="140" t="s">
        <v>1181</v>
      </c>
      <c r="G3486" s="141" t="s">
        <v>6311</v>
      </c>
      <c r="H3486" s="140" t="s">
        <v>6312</v>
      </c>
      <c r="I3486" s="140" t="s">
        <v>6313</v>
      </c>
      <c r="J3486" s="140" t="s">
        <v>6314</v>
      </c>
      <c r="K3486" s="140" t="s">
        <v>10591</v>
      </c>
    </row>
    <row r="3487">
      <c r="A3487" s="140" t="s">
        <v>10589</v>
      </c>
      <c r="B3487" s="143">
        <v>5.0814E13</v>
      </c>
      <c r="C3487" s="140" t="s">
        <v>10597</v>
      </c>
      <c r="D3487" s="140" t="s">
        <v>6318</v>
      </c>
      <c r="E3487" s="140" t="s">
        <v>1180</v>
      </c>
      <c r="F3487" s="140" t="s">
        <v>1181</v>
      </c>
      <c r="G3487" s="141" t="s">
        <v>6311</v>
      </c>
      <c r="H3487" s="140" t="s">
        <v>6312</v>
      </c>
      <c r="I3487" s="140" t="s">
        <v>6313</v>
      </c>
      <c r="J3487" s="140" t="s">
        <v>6314</v>
      </c>
      <c r="K3487" s="140" t="s">
        <v>10591</v>
      </c>
    </row>
    <row r="3488">
      <c r="A3488" s="140" t="s">
        <v>10589</v>
      </c>
      <c r="B3488" s="143">
        <v>5.914E13</v>
      </c>
      <c r="C3488" s="140" t="s">
        <v>10598</v>
      </c>
      <c r="D3488" s="140" t="s">
        <v>6318</v>
      </c>
      <c r="E3488" s="140" t="s">
        <v>1180</v>
      </c>
      <c r="F3488" s="140" t="s">
        <v>1181</v>
      </c>
      <c r="G3488" s="141" t="s">
        <v>6311</v>
      </c>
      <c r="H3488" s="140" t="s">
        <v>6312</v>
      </c>
      <c r="I3488" s="140" t="s">
        <v>6313</v>
      </c>
      <c r="J3488" s="140" t="s">
        <v>6314</v>
      </c>
      <c r="K3488" s="140" t="s">
        <v>10591</v>
      </c>
    </row>
    <row r="3489">
      <c r="A3489" s="140" t="s">
        <v>10589</v>
      </c>
      <c r="B3489" s="143">
        <v>7.19011E13</v>
      </c>
      <c r="C3489" s="140" t="s">
        <v>10593</v>
      </c>
      <c r="D3489" s="140" t="s">
        <v>6318</v>
      </c>
      <c r="E3489" s="140" t="s">
        <v>1225</v>
      </c>
      <c r="F3489" s="140" t="s">
        <v>1275</v>
      </c>
      <c r="G3489" s="141" t="s">
        <v>6311</v>
      </c>
      <c r="H3489" s="140" t="s">
        <v>6312</v>
      </c>
      <c r="I3489" s="140" t="s">
        <v>6313</v>
      </c>
      <c r="J3489" s="140" t="s">
        <v>6314</v>
      </c>
      <c r="K3489" s="140" t="s">
        <v>10591</v>
      </c>
    </row>
    <row r="3490">
      <c r="A3490" s="140" t="s">
        <v>10589</v>
      </c>
      <c r="B3490" s="143">
        <v>7.92121E13</v>
      </c>
      <c r="C3490" s="140" t="s">
        <v>10599</v>
      </c>
      <c r="D3490" s="140" t="s">
        <v>6318</v>
      </c>
      <c r="E3490" s="140" t="s">
        <v>1225</v>
      </c>
      <c r="F3490" s="140" t="s">
        <v>1275</v>
      </c>
      <c r="G3490" s="141" t="s">
        <v>6311</v>
      </c>
      <c r="H3490" s="140" t="s">
        <v>6312</v>
      </c>
      <c r="I3490" s="140" t="s">
        <v>6313</v>
      </c>
      <c r="J3490" s="140" t="s">
        <v>6314</v>
      </c>
      <c r="K3490" s="140" t="s">
        <v>10591</v>
      </c>
    </row>
    <row r="3491">
      <c r="A3491" s="140" t="s">
        <v>10589</v>
      </c>
      <c r="B3491" s="143">
        <v>9.10282E13</v>
      </c>
      <c r="C3491" s="140" t="s">
        <v>10600</v>
      </c>
      <c r="D3491" s="140" t="s">
        <v>6318</v>
      </c>
      <c r="E3491" s="140" t="s">
        <v>1301</v>
      </c>
      <c r="F3491" s="140" t="s">
        <v>1302</v>
      </c>
      <c r="G3491" s="141" t="s">
        <v>6311</v>
      </c>
      <c r="H3491" s="140" t="s">
        <v>6312</v>
      </c>
      <c r="I3491" s="140" t="s">
        <v>6313</v>
      </c>
      <c r="J3491" s="140" t="s">
        <v>6314</v>
      </c>
      <c r="K3491" s="140" t="s">
        <v>10591</v>
      </c>
    </row>
    <row r="3492">
      <c r="A3492" s="140" t="s">
        <v>10589</v>
      </c>
      <c r="B3492" s="143">
        <v>9.10282E13</v>
      </c>
      <c r="C3492" s="140" t="s">
        <v>10600</v>
      </c>
      <c r="D3492" s="140" t="s">
        <v>6318</v>
      </c>
      <c r="E3492" s="140" t="s">
        <v>1301</v>
      </c>
      <c r="F3492" s="140" t="s">
        <v>1302</v>
      </c>
      <c r="G3492" s="141" t="s">
        <v>6311</v>
      </c>
      <c r="H3492" s="140" t="s">
        <v>6312</v>
      </c>
      <c r="I3492" s="140" t="s">
        <v>6313</v>
      </c>
      <c r="J3492" s="140" t="s">
        <v>6314</v>
      </c>
      <c r="K3492" s="140" t="s">
        <v>10591</v>
      </c>
    </row>
    <row r="3493">
      <c r="A3493" s="140" t="s">
        <v>10589</v>
      </c>
      <c r="B3493" s="143">
        <v>7.03032E13</v>
      </c>
      <c r="C3493" s="140" t="s">
        <v>10601</v>
      </c>
      <c r="D3493" s="140" t="s">
        <v>6318</v>
      </c>
      <c r="E3493" s="140" t="s">
        <v>1301</v>
      </c>
      <c r="F3493" s="140" t="s">
        <v>1308</v>
      </c>
      <c r="G3493" s="141" t="s">
        <v>6311</v>
      </c>
      <c r="H3493" s="140" t="s">
        <v>6312</v>
      </c>
      <c r="I3493" s="140" t="s">
        <v>6313</v>
      </c>
      <c r="J3493" s="140" t="s">
        <v>6314</v>
      </c>
      <c r="K3493" s="140" t="s">
        <v>10591</v>
      </c>
    </row>
    <row r="3494">
      <c r="A3494" s="140" t="s">
        <v>10589</v>
      </c>
      <c r="B3494" s="143">
        <v>7.03032E13</v>
      </c>
      <c r="C3494" s="140" t="s">
        <v>10601</v>
      </c>
      <c r="D3494" s="140" t="s">
        <v>6318</v>
      </c>
      <c r="E3494" s="140" t="s">
        <v>1301</v>
      </c>
      <c r="F3494" s="140" t="s">
        <v>1308</v>
      </c>
      <c r="G3494" s="141" t="s">
        <v>6311</v>
      </c>
      <c r="H3494" s="140" t="s">
        <v>6312</v>
      </c>
      <c r="I3494" s="140" t="s">
        <v>6313</v>
      </c>
      <c r="J3494" s="140" t="s">
        <v>6314</v>
      </c>
      <c r="K3494" s="140" t="s">
        <v>10591</v>
      </c>
    </row>
    <row r="3495">
      <c r="A3495" s="140" t="s">
        <v>10589</v>
      </c>
      <c r="B3495" s="143">
        <v>7.91142E13</v>
      </c>
      <c r="C3495" s="140" t="s">
        <v>10602</v>
      </c>
      <c r="D3495" s="140" t="s">
        <v>6318</v>
      </c>
      <c r="E3495" s="140" t="s">
        <v>1323</v>
      </c>
      <c r="F3495" s="140" t="s">
        <v>1371</v>
      </c>
      <c r="G3495" s="141" t="s">
        <v>6311</v>
      </c>
      <c r="H3495" s="140" t="s">
        <v>6312</v>
      </c>
      <c r="I3495" s="140" t="s">
        <v>6313</v>
      </c>
      <c r="J3495" s="140" t="s">
        <v>6314</v>
      </c>
      <c r="K3495" s="140" t="s">
        <v>10591</v>
      </c>
    </row>
    <row r="3496">
      <c r="A3496" s="140" t="s">
        <v>10589</v>
      </c>
      <c r="B3496" s="143">
        <v>9.60025E13</v>
      </c>
      <c r="C3496" s="140" t="s">
        <v>10603</v>
      </c>
      <c r="D3496" s="140" t="s">
        <v>6318</v>
      </c>
      <c r="E3496" s="140" t="s">
        <v>1323</v>
      </c>
      <c r="F3496" s="140" t="s">
        <v>1371</v>
      </c>
      <c r="G3496" s="141" t="s">
        <v>6311</v>
      </c>
      <c r="H3496" s="140" t="s">
        <v>6312</v>
      </c>
      <c r="I3496" s="140" t="s">
        <v>6313</v>
      </c>
      <c r="J3496" s="140" t="s">
        <v>6314</v>
      </c>
      <c r="K3496" s="140" t="s">
        <v>10591</v>
      </c>
    </row>
    <row r="3497">
      <c r="A3497" s="140" t="s">
        <v>10589</v>
      </c>
      <c r="B3497" s="143">
        <v>9.60021E13</v>
      </c>
      <c r="C3497" s="140" t="s">
        <v>10604</v>
      </c>
      <c r="D3497" s="140" t="s">
        <v>6318</v>
      </c>
      <c r="E3497" s="140" t="s">
        <v>1323</v>
      </c>
      <c r="F3497" s="140" t="s">
        <v>1371</v>
      </c>
      <c r="G3497" s="141" t="s">
        <v>6311</v>
      </c>
      <c r="H3497" s="140" t="s">
        <v>6312</v>
      </c>
      <c r="I3497" s="140" t="s">
        <v>6313</v>
      </c>
      <c r="J3497" s="140" t="s">
        <v>6314</v>
      </c>
      <c r="K3497" s="140" t="s">
        <v>10591</v>
      </c>
    </row>
    <row r="3498">
      <c r="A3498" s="140" t="s">
        <v>10589</v>
      </c>
      <c r="B3498" s="143">
        <v>9.60021E13</v>
      </c>
      <c r="C3498" s="140" t="s">
        <v>10605</v>
      </c>
      <c r="D3498" s="140" t="s">
        <v>6318</v>
      </c>
      <c r="E3498" s="140" t="s">
        <v>1323</v>
      </c>
      <c r="F3498" s="140" t="s">
        <v>1371</v>
      </c>
      <c r="G3498" s="141" t="s">
        <v>6311</v>
      </c>
      <c r="H3498" s="140" t="s">
        <v>6312</v>
      </c>
      <c r="I3498" s="140" t="s">
        <v>6313</v>
      </c>
      <c r="J3498" s="140" t="s">
        <v>6314</v>
      </c>
      <c r="K3498" s="140" t="s">
        <v>10591</v>
      </c>
    </row>
    <row r="3499">
      <c r="A3499" s="140" t="s">
        <v>10589</v>
      </c>
      <c r="B3499" s="143">
        <v>8.9331E13</v>
      </c>
      <c r="C3499" s="140" t="s">
        <v>10606</v>
      </c>
      <c r="D3499" s="140" t="s">
        <v>6318</v>
      </c>
      <c r="E3499" s="140" t="s">
        <v>1395</v>
      </c>
      <c r="F3499" s="140" t="s">
        <v>1408</v>
      </c>
      <c r="G3499" s="141" t="s">
        <v>6311</v>
      </c>
      <c r="H3499" s="140" t="s">
        <v>6312</v>
      </c>
      <c r="I3499" s="140" t="s">
        <v>6313</v>
      </c>
      <c r="J3499" s="140" t="s">
        <v>6314</v>
      </c>
      <c r="K3499" s="140" t="s">
        <v>10591</v>
      </c>
    </row>
    <row r="3500">
      <c r="A3500" s="140" t="s">
        <v>10589</v>
      </c>
      <c r="B3500" s="143">
        <v>8.9331E13</v>
      </c>
      <c r="C3500" s="140" t="s">
        <v>10606</v>
      </c>
      <c r="D3500" s="140" t="s">
        <v>6318</v>
      </c>
      <c r="E3500" s="140" t="s">
        <v>1395</v>
      </c>
      <c r="F3500" s="140" t="s">
        <v>1408</v>
      </c>
      <c r="G3500" s="141" t="s">
        <v>6311</v>
      </c>
      <c r="H3500" s="140" t="s">
        <v>6312</v>
      </c>
      <c r="I3500" s="140" t="s">
        <v>6313</v>
      </c>
      <c r="J3500" s="140" t="s">
        <v>6314</v>
      </c>
      <c r="K3500" s="140" t="s">
        <v>10591</v>
      </c>
    </row>
    <row r="3501">
      <c r="A3501" s="140" t="s">
        <v>10589</v>
      </c>
      <c r="B3501" s="143">
        <v>8.9331E13</v>
      </c>
      <c r="C3501" s="140" t="s">
        <v>10606</v>
      </c>
      <c r="D3501" s="140" t="s">
        <v>6318</v>
      </c>
      <c r="E3501" s="140" t="s">
        <v>1395</v>
      </c>
      <c r="F3501" s="140" t="s">
        <v>1408</v>
      </c>
      <c r="G3501" s="141" t="s">
        <v>6311</v>
      </c>
      <c r="H3501" s="140" t="s">
        <v>6312</v>
      </c>
      <c r="I3501" s="140" t="s">
        <v>6313</v>
      </c>
      <c r="J3501" s="140" t="s">
        <v>6314</v>
      </c>
      <c r="K3501" s="140" t="s">
        <v>10591</v>
      </c>
    </row>
    <row r="3502">
      <c r="A3502" s="140" t="s">
        <v>10589</v>
      </c>
      <c r="B3502" s="143">
        <v>8.9331E13</v>
      </c>
      <c r="C3502" s="140" t="s">
        <v>10606</v>
      </c>
      <c r="D3502" s="140" t="s">
        <v>6318</v>
      </c>
      <c r="E3502" s="140" t="s">
        <v>1395</v>
      </c>
      <c r="F3502" s="140" t="s">
        <v>1408</v>
      </c>
      <c r="G3502" s="141" t="s">
        <v>6311</v>
      </c>
      <c r="H3502" s="140" t="s">
        <v>6312</v>
      </c>
      <c r="I3502" s="140" t="s">
        <v>6313</v>
      </c>
      <c r="J3502" s="140" t="s">
        <v>6314</v>
      </c>
      <c r="K3502" s="140" t="s">
        <v>10591</v>
      </c>
    </row>
    <row r="3503">
      <c r="A3503" s="140" t="s">
        <v>10589</v>
      </c>
      <c r="B3503" s="143">
        <v>9.10192E13</v>
      </c>
      <c r="C3503" s="140" t="s">
        <v>10607</v>
      </c>
      <c r="D3503" s="140" t="s">
        <v>6318</v>
      </c>
      <c r="E3503" s="140" t="s">
        <v>1395</v>
      </c>
      <c r="F3503" s="140" t="s">
        <v>1421</v>
      </c>
      <c r="G3503" s="141" t="s">
        <v>6311</v>
      </c>
      <c r="H3503" s="140" t="s">
        <v>6312</v>
      </c>
      <c r="I3503" s="140" t="s">
        <v>6313</v>
      </c>
      <c r="J3503" s="140" t="s">
        <v>6314</v>
      </c>
      <c r="K3503" s="140" t="s">
        <v>10591</v>
      </c>
    </row>
    <row r="3504">
      <c r="A3504" s="140" t="s">
        <v>10589</v>
      </c>
      <c r="B3504" s="143">
        <v>9.102E13</v>
      </c>
      <c r="C3504" s="140" t="s">
        <v>10608</v>
      </c>
      <c r="D3504" s="140" t="s">
        <v>6318</v>
      </c>
      <c r="E3504" s="140" t="s">
        <v>1395</v>
      </c>
      <c r="F3504" s="140" t="s">
        <v>1421</v>
      </c>
      <c r="G3504" s="141" t="s">
        <v>6311</v>
      </c>
      <c r="H3504" s="140" t="s">
        <v>6312</v>
      </c>
      <c r="I3504" s="140" t="s">
        <v>6313</v>
      </c>
      <c r="J3504" s="140" t="s">
        <v>6314</v>
      </c>
      <c r="K3504" s="140" t="s">
        <v>10591</v>
      </c>
    </row>
    <row r="3505">
      <c r="A3505" s="140" t="s">
        <v>10589</v>
      </c>
      <c r="B3505" s="143">
        <v>7.91341E13</v>
      </c>
      <c r="C3505" s="140" t="s">
        <v>10609</v>
      </c>
      <c r="D3505" s="140" t="s">
        <v>6318</v>
      </c>
      <c r="E3505" s="140" t="s">
        <v>1395</v>
      </c>
      <c r="F3505" s="140" t="s">
        <v>1421</v>
      </c>
      <c r="G3505" s="141" t="s">
        <v>6311</v>
      </c>
      <c r="H3505" s="140" t="s">
        <v>6312</v>
      </c>
      <c r="I3505" s="140" t="s">
        <v>6313</v>
      </c>
      <c r="J3505" s="140" t="s">
        <v>6314</v>
      </c>
      <c r="K3505" s="140" t="s">
        <v>10591</v>
      </c>
    </row>
    <row r="3506">
      <c r="A3506" s="140" t="s">
        <v>6594</v>
      </c>
      <c r="B3506" s="140" t="s">
        <v>10610</v>
      </c>
      <c r="C3506" s="140" t="s">
        <v>10611</v>
      </c>
      <c r="D3506" s="140" t="s">
        <v>6318</v>
      </c>
      <c r="E3506" s="140" t="s">
        <v>6142</v>
      </c>
      <c r="F3506" s="140" t="s">
        <v>10612</v>
      </c>
      <c r="G3506" s="141" t="s">
        <v>6401</v>
      </c>
      <c r="H3506" s="140" t="s">
        <v>6312</v>
      </c>
      <c r="I3506" s="140" t="s">
        <v>6313</v>
      </c>
      <c r="J3506" s="140" t="s">
        <v>6314</v>
      </c>
      <c r="K3506" s="140" t="s">
        <v>6594</v>
      </c>
    </row>
    <row r="3507">
      <c r="A3507" s="140" t="s">
        <v>6594</v>
      </c>
      <c r="B3507" s="140" t="s">
        <v>10613</v>
      </c>
      <c r="C3507" s="140" t="s">
        <v>10611</v>
      </c>
      <c r="D3507" s="140" t="s">
        <v>6318</v>
      </c>
      <c r="E3507" s="140" t="s">
        <v>6142</v>
      </c>
      <c r="F3507" s="140" t="s">
        <v>10612</v>
      </c>
      <c r="G3507" s="141" t="s">
        <v>6401</v>
      </c>
      <c r="H3507" s="140" t="s">
        <v>6312</v>
      </c>
      <c r="I3507" s="140" t="s">
        <v>6313</v>
      </c>
      <c r="J3507" s="140" t="s">
        <v>6314</v>
      </c>
      <c r="K3507" s="140" t="s">
        <v>6594</v>
      </c>
    </row>
    <row r="3508">
      <c r="A3508" s="140" t="s">
        <v>6594</v>
      </c>
      <c r="B3508" s="140" t="s">
        <v>10614</v>
      </c>
      <c r="C3508" s="140" t="s">
        <v>10615</v>
      </c>
      <c r="D3508" s="140" t="s">
        <v>6318</v>
      </c>
      <c r="E3508" s="140" t="s">
        <v>6142</v>
      </c>
      <c r="F3508" s="140" t="s">
        <v>10612</v>
      </c>
      <c r="G3508" s="141" t="s">
        <v>6401</v>
      </c>
      <c r="H3508" s="140" t="s">
        <v>6312</v>
      </c>
      <c r="I3508" s="140" t="s">
        <v>6313</v>
      </c>
      <c r="J3508" s="140" t="s">
        <v>6314</v>
      </c>
      <c r="K3508" s="140" t="s">
        <v>6594</v>
      </c>
    </row>
    <row r="3509">
      <c r="A3509" s="140" t="s">
        <v>6594</v>
      </c>
      <c r="B3509" s="140" t="s">
        <v>10616</v>
      </c>
      <c r="C3509" s="140" t="s">
        <v>10617</v>
      </c>
      <c r="D3509" s="140" t="s">
        <v>6318</v>
      </c>
      <c r="E3509" s="140" t="s">
        <v>6142</v>
      </c>
      <c r="F3509" s="140" t="s">
        <v>10612</v>
      </c>
      <c r="G3509" s="141" t="s">
        <v>6401</v>
      </c>
      <c r="H3509" s="140" t="s">
        <v>6312</v>
      </c>
      <c r="I3509" s="140" t="s">
        <v>6313</v>
      </c>
      <c r="J3509" s="140" t="s">
        <v>6314</v>
      </c>
      <c r="K3509" s="140" t="s">
        <v>6594</v>
      </c>
    </row>
    <row r="3510">
      <c r="A3510" s="140" t="s">
        <v>6594</v>
      </c>
      <c r="B3510" s="140" t="s">
        <v>10618</v>
      </c>
      <c r="C3510" s="140" t="s">
        <v>10617</v>
      </c>
      <c r="D3510" s="140" t="s">
        <v>6318</v>
      </c>
      <c r="E3510" s="140" t="s">
        <v>6142</v>
      </c>
      <c r="F3510" s="140" t="s">
        <v>10612</v>
      </c>
      <c r="G3510" s="141" t="s">
        <v>6401</v>
      </c>
      <c r="H3510" s="140" t="s">
        <v>6312</v>
      </c>
      <c r="I3510" s="140" t="s">
        <v>6313</v>
      </c>
      <c r="J3510" s="140" t="s">
        <v>6314</v>
      </c>
      <c r="K3510" s="140" t="s">
        <v>6594</v>
      </c>
    </row>
    <row r="3511">
      <c r="A3511" s="140" t="s">
        <v>6594</v>
      </c>
      <c r="B3511" s="140" t="s">
        <v>10619</v>
      </c>
      <c r="C3511" s="140" t="s">
        <v>10620</v>
      </c>
      <c r="D3511" s="140" t="s">
        <v>6318</v>
      </c>
      <c r="E3511" s="140" t="s">
        <v>6142</v>
      </c>
      <c r="F3511" s="140" t="s">
        <v>10612</v>
      </c>
      <c r="G3511" s="141" t="s">
        <v>6401</v>
      </c>
      <c r="H3511" s="140" t="s">
        <v>6312</v>
      </c>
      <c r="I3511" s="140" t="s">
        <v>6313</v>
      </c>
      <c r="J3511" s="140" t="s">
        <v>6314</v>
      </c>
      <c r="K3511" s="140" t="s">
        <v>6594</v>
      </c>
    </row>
    <row r="3512">
      <c r="A3512" s="140" t="s">
        <v>6594</v>
      </c>
      <c r="B3512" s="140" t="s">
        <v>10621</v>
      </c>
      <c r="C3512" s="140" t="s">
        <v>10620</v>
      </c>
      <c r="D3512" s="140" t="s">
        <v>6318</v>
      </c>
      <c r="E3512" s="140" t="s">
        <v>6142</v>
      </c>
      <c r="F3512" s="140" t="s">
        <v>10612</v>
      </c>
      <c r="G3512" s="141" t="s">
        <v>6401</v>
      </c>
      <c r="H3512" s="140" t="s">
        <v>6312</v>
      </c>
      <c r="I3512" s="140" t="s">
        <v>6313</v>
      </c>
      <c r="J3512" s="140" t="s">
        <v>6314</v>
      </c>
      <c r="K3512" s="140" t="s">
        <v>6594</v>
      </c>
    </row>
    <row r="3513">
      <c r="A3513" s="140" t="s">
        <v>6594</v>
      </c>
      <c r="B3513" s="140" t="s">
        <v>10622</v>
      </c>
      <c r="C3513" s="140" t="s">
        <v>10623</v>
      </c>
      <c r="D3513" s="140" t="s">
        <v>6318</v>
      </c>
      <c r="E3513" s="140" t="s">
        <v>6142</v>
      </c>
      <c r="F3513" s="140" t="s">
        <v>10612</v>
      </c>
      <c r="G3513" s="141" t="s">
        <v>6401</v>
      </c>
      <c r="H3513" s="140" t="s">
        <v>6312</v>
      </c>
      <c r="I3513" s="140" t="s">
        <v>6313</v>
      </c>
      <c r="J3513" s="140" t="s">
        <v>6314</v>
      </c>
      <c r="K3513" s="140" t="s">
        <v>6594</v>
      </c>
    </row>
    <row r="3514">
      <c r="A3514" s="140" t="s">
        <v>6594</v>
      </c>
      <c r="B3514" s="140" t="s">
        <v>10624</v>
      </c>
      <c r="C3514" s="140" t="s">
        <v>10623</v>
      </c>
      <c r="D3514" s="140" t="s">
        <v>6318</v>
      </c>
      <c r="E3514" s="140" t="s">
        <v>6142</v>
      </c>
      <c r="F3514" s="140" t="s">
        <v>10612</v>
      </c>
      <c r="G3514" s="141" t="s">
        <v>6401</v>
      </c>
      <c r="H3514" s="140" t="s">
        <v>6312</v>
      </c>
      <c r="I3514" s="140" t="s">
        <v>6313</v>
      </c>
      <c r="J3514" s="140" t="s">
        <v>6314</v>
      </c>
      <c r="K3514" s="140" t="s">
        <v>6594</v>
      </c>
    </row>
    <row r="3515">
      <c r="A3515" s="140" t="s">
        <v>6594</v>
      </c>
      <c r="B3515" s="140" t="s">
        <v>10625</v>
      </c>
      <c r="C3515" s="140" t="s">
        <v>10626</v>
      </c>
      <c r="D3515" s="140" t="s">
        <v>6318</v>
      </c>
      <c r="E3515" s="140" t="s">
        <v>6142</v>
      </c>
      <c r="F3515" s="140" t="s">
        <v>10612</v>
      </c>
      <c r="G3515" s="141" t="s">
        <v>6401</v>
      </c>
      <c r="H3515" s="140" t="s">
        <v>6312</v>
      </c>
      <c r="I3515" s="140" t="s">
        <v>6313</v>
      </c>
      <c r="J3515" s="140" t="s">
        <v>6314</v>
      </c>
      <c r="K3515" s="140" t="s">
        <v>6594</v>
      </c>
    </row>
    <row r="3516">
      <c r="A3516" s="140" t="s">
        <v>6594</v>
      </c>
      <c r="B3516" s="140" t="s">
        <v>10627</v>
      </c>
      <c r="C3516" s="140" t="s">
        <v>10628</v>
      </c>
      <c r="D3516" s="140" t="s">
        <v>6318</v>
      </c>
      <c r="E3516" s="140" t="s">
        <v>6142</v>
      </c>
      <c r="F3516" s="140" t="s">
        <v>10612</v>
      </c>
      <c r="G3516" s="141" t="s">
        <v>6401</v>
      </c>
      <c r="H3516" s="140" t="s">
        <v>6312</v>
      </c>
      <c r="I3516" s="140" t="s">
        <v>6313</v>
      </c>
      <c r="J3516" s="140" t="s">
        <v>6314</v>
      </c>
      <c r="K3516" s="140" t="s">
        <v>6594</v>
      </c>
    </row>
    <row r="3517">
      <c r="A3517" s="140" t="s">
        <v>6594</v>
      </c>
      <c r="B3517" s="140" t="s">
        <v>10629</v>
      </c>
      <c r="C3517" s="140" t="s">
        <v>10630</v>
      </c>
      <c r="D3517" s="140" t="s">
        <v>6318</v>
      </c>
      <c r="E3517" s="140" t="s">
        <v>6142</v>
      </c>
      <c r="F3517" s="140" t="s">
        <v>10612</v>
      </c>
      <c r="G3517" s="141" t="s">
        <v>6401</v>
      </c>
      <c r="H3517" s="140" t="s">
        <v>6312</v>
      </c>
      <c r="I3517" s="140" t="s">
        <v>6313</v>
      </c>
      <c r="J3517" s="140" t="s">
        <v>6314</v>
      </c>
      <c r="K3517" s="140" t="s">
        <v>6594</v>
      </c>
    </row>
    <row r="3518">
      <c r="A3518" s="140" t="s">
        <v>6594</v>
      </c>
      <c r="B3518" s="140" t="s">
        <v>10631</v>
      </c>
      <c r="C3518" s="140" t="s">
        <v>10632</v>
      </c>
      <c r="D3518" s="140" t="s">
        <v>6318</v>
      </c>
      <c r="E3518" s="140" t="s">
        <v>6142</v>
      </c>
      <c r="F3518" s="140" t="s">
        <v>10612</v>
      </c>
      <c r="G3518" s="141" t="s">
        <v>6401</v>
      </c>
      <c r="H3518" s="140" t="s">
        <v>6312</v>
      </c>
      <c r="I3518" s="140" t="s">
        <v>6313</v>
      </c>
      <c r="J3518" s="140" t="s">
        <v>6314</v>
      </c>
      <c r="K3518" s="140" t="s">
        <v>6594</v>
      </c>
    </row>
    <row r="3519">
      <c r="A3519" s="140" t="s">
        <v>6594</v>
      </c>
      <c r="B3519" s="140" t="s">
        <v>10633</v>
      </c>
      <c r="C3519" s="140" t="s">
        <v>10632</v>
      </c>
      <c r="D3519" s="140" t="s">
        <v>6318</v>
      </c>
      <c r="E3519" s="140" t="s">
        <v>6142</v>
      </c>
      <c r="F3519" s="140" t="s">
        <v>10612</v>
      </c>
      <c r="G3519" s="141" t="s">
        <v>6401</v>
      </c>
      <c r="H3519" s="140" t="s">
        <v>6312</v>
      </c>
      <c r="I3519" s="140" t="s">
        <v>6313</v>
      </c>
      <c r="J3519" s="140" t="s">
        <v>6314</v>
      </c>
      <c r="K3519" s="140" t="s">
        <v>6594</v>
      </c>
    </row>
    <row r="3520">
      <c r="A3520" s="140" t="s">
        <v>6594</v>
      </c>
      <c r="B3520" s="140" t="s">
        <v>10634</v>
      </c>
      <c r="C3520" s="140" t="s">
        <v>10635</v>
      </c>
      <c r="D3520" s="140" t="s">
        <v>6318</v>
      </c>
      <c r="E3520" s="140" t="s">
        <v>6142</v>
      </c>
      <c r="F3520" s="140" t="s">
        <v>10612</v>
      </c>
      <c r="G3520" s="141" t="s">
        <v>6401</v>
      </c>
      <c r="H3520" s="140" t="s">
        <v>6312</v>
      </c>
      <c r="I3520" s="140" t="s">
        <v>6313</v>
      </c>
      <c r="J3520" s="140" t="s">
        <v>6314</v>
      </c>
      <c r="K3520" s="140" t="s">
        <v>6594</v>
      </c>
    </row>
    <row r="3521">
      <c r="A3521" s="140" t="s">
        <v>6594</v>
      </c>
      <c r="B3521" s="140" t="s">
        <v>10636</v>
      </c>
      <c r="C3521" s="140" t="s">
        <v>10635</v>
      </c>
      <c r="D3521" s="140" t="s">
        <v>6318</v>
      </c>
      <c r="E3521" s="140" t="s">
        <v>6142</v>
      </c>
      <c r="F3521" s="140" t="s">
        <v>10612</v>
      </c>
      <c r="G3521" s="141" t="s">
        <v>6401</v>
      </c>
      <c r="H3521" s="140" t="s">
        <v>6312</v>
      </c>
      <c r="I3521" s="140" t="s">
        <v>6313</v>
      </c>
      <c r="J3521" s="140" t="s">
        <v>6314</v>
      </c>
      <c r="K3521" s="140" t="s">
        <v>6594</v>
      </c>
    </row>
    <row r="3522">
      <c r="A3522" s="140" t="s">
        <v>6594</v>
      </c>
      <c r="B3522" s="140" t="s">
        <v>10637</v>
      </c>
      <c r="C3522" s="140" t="s">
        <v>10638</v>
      </c>
      <c r="D3522" s="140" t="s">
        <v>6318</v>
      </c>
      <c r="E3522" s="140" t="s">
        <v>6142</v>
      </c>
      <c r="F3522" s="140" t="s">
        <v>10612</v>
      </c>
      <c r="G3522" s="141" t="s">
        <v>6401</v>
      </c>
      <c r="H3522" s="140" t="s">
        <v>6312</v>
      </c>
      <c r="I3522" s="140" t="s">
        <v>6313</v>
      </c>
      <c r="J3522" s="140" t="s">
        <v>6314</v>
      </c>
      <c r="K3522" s="140" t="s">
        <v>6594</v>
      </c>
    </row>
    <row r="3523">
      <c r="A3523" s="140" t="s">
        <v>6594</v>
      </c>
      <c r="B3523" s="140" t="s">
        <v>10639</v>
      </c>
      <c r="C3523" s="140" t="s">
        <v>10638</v>
      </c>
      <c r="D3523" s="140" t="s">
        <v>6318</v>
      </c>
      <c r="E3523" s="140" t="s">
        <v>6142</v>
      </c>
      <c r="F3523" s="140" t="s">
        <v>10612</v>
      </c>
      <c r="G3523" s="141" t="s">
        <v>6401</v>
      </c>
      <c r="H3523" s="140" t="s">
        <v>6312</v>
      </c>
      <c r="I3523" s="140" t="s">
        <v>6313</v>
      </c>
      <c r="J3523" s="140" t="s">
        <v>6314</v>
      </c>
      <c r="K3523" s="140" t="s">
        <v>6594</v>
      </c>
    </row>
    <row r="3524">
      <c r="A3524" s="140" t="s">
        <v>6594</v>
      </c>
      <c r="B3524" s="140" t="s">
        <v>10640</v>
      </c>
      <c r="C3524" s="140" t="s">
        <v>10641</v>
      </c>
      <c r="D3524" s="140" t="s">
        <v>6318</v>
      </c>
      <c r="E3524" s="140" t="s">
        <v>6142</v>
      </c>
      <c r="F3524" s="140" t="s">
        <v>10612</v>
      </c>
      <c r="G3524" s="141" t="s">
        <v>6401</v>
      </c>
      <c r="H3524" s="140" t="s">
        <v>6312</v>
      </c>
      <c r="I3524" s="140" t="s">
        <v>6313</v>
      </c>
      <c r="J3524" s="140" t="s">
        <v>6314</v>
      </c>
      <c r="K3524" s="140" t="s">
        <v>6594</v>
      </c>
    </row>
    <row r="3525">
      <c r="A3525" s="140" t="s">
        <v>6594</v>
      </c>
      <c r="B3525" s="140" t="s">
        <v>10642</v>
      </c>
      <c r="C3525" s="140" t="s">
        <v>10641</v>
      </c>
      <c r="D3525" s="140" t="s">
        <v>6318</v>
      </c>
      <c r="E3525" s="140" t="s">
        <v>6142</v>
      </c>
      <c r="F3525" s="140" t="s">
        <v>10612</v>
      </c>
      <c r="G3525" s="141" t="s">
        <v>6401</v>
      </c>
      <c r="H3525" s="140" t="s">
        <v>6312</v>
      </c>
      <c r="I3525" s="140" t="s">
        <v>6313</v>
      </c>
      <c r="J3525" s="140" t="s">
        <v>6314</v>
      </c>
      <c r="K3525" s="140" t="s">
        <v>6594</v>
      </c>
    </row>
    <row r="3526">
      <c r="A3526" s="140" t="s">
        <v>6594</v>
      </c>
      <c r="B3526" s="140" t="s">
        <v>10643</v>
      </c>
      <c r="C3526" s="140" t="s">
        <v>10644</v>
      </c>
      <c r="D3526" s="140" t="s">
        <v>6318</v>
      </c>
      <c r="E3526" s="140" t="s">
        <v>6142</v>
      </c>
      <c r="F3526" s="140" t="s">
        <v>10612</v>
      </c>
      <c r="G3526" s="141" t="s">
        <v>6401</v>
      </c>
      <c r="H3526" s="140" t="s">
        <v>6312</v>
      </c>
      <c r="I3526" s="140" t="s">
        <v>6313</v>
      </c>
      <c r="J3526" s="140" t="s">
        <v>6314</v>
      </c>
      <c r="K3526" s="140" t="s">
        <v>6594</v>
      </c>
    </row>
    <row r="3527">
      <c r="A3527" s="140" t="s">
        <v>6594</v>
      </c>
      <c r="B3527" s="140" t="s">
        <v>10645</v>
      </c>
      <c r="C3527" s="140" t="s">
        <v>10646</v>
      </c>
      <c r="D3527" s="140" t="s">
        <v>6318</v>
      </c>
      <c r="E3527" s="140" t="s">
        <v>6142</v>
      </c>
      <c r="F3527" s="140" t="s">
        <v>10612</v>
      </c>
      <c r="G3527" s="141" t="s">
        <v>6401</v>
      </c>
      <c r="H3527" s="140" t="s">
        <v>6312</v>
      </c>
      <c r="I3527" s="140" t="s">
        <v>6313</v>
      </c>
      <c r="J3527" s="140" t="s">
        <v>6314</v>
      </c>
      <c r="K3527" s="140" t="s">
        <v>6594</v>
      </c>
    </row>
    <row r="3528">
      <c r="A3528" s="140" t="s">
        <v>6594</v>
      </c>
      <c r="B3528" s="140" t="s">
        <v>10647</v>
      </c>
      <c r="C3528" s="140" t="s">
        <v>10648</v>
      </c>
      <c r="D3528" s="140" t="s">
        <v>6318</v>
      </c>
      <c r="E3528" s="140" t="s">
        <v>6142</v>
      </c>
      <c r="F3528" s="140" t="s">
        <v>10612</v>
      </c>
      <c r="G3528" s="141" t="s">
        <v>6401</v>
      </c>
      <c r="H3528" s="140" t="s">
        <v>6312</v>
      </c>
      <c r="I3528" s="140" t="s">
        <v>6313</v>
      </c>
      <c r="J3528" s="140" t="s">
        <v>6314</v>
      </c>
      <c r="K3528" s="140" t="s">
        <v>6594</v>
      </c>
    </row>
    <row r="3529">
      <c r="A3529" s="140" t="s">
        <v>6594</v>
      </c>
      <c r="B3529" s="140" t="s">
        <v>10649</v>
      </c>
      <c r="C3529" s="140" t="s">
        <v>10648</v>
      </c>
      <c r="D3529" s="140" t="s">
        <v>6318</v>
      </c>
      <c r="E3529" s="140" t="s">
        <v>6142</v>
      </c>
      <c r="F3529" s="140" t="s">
        <v>10612</v>
      </c>
      <c r="G3529" s="141" t="s">
        <v>6401</v>
      </c>
      <c r="H3529" s="140" t="s">
        <v>6312</v>
      </c>
      <c r="I3529" s="140" t="s">
        <v>6313</v>
      </c>
      <c r="J3529" s="140" t="s">
        <v>6314</v>
      </c>
      <c r="K3529" s="140" t="s">
        <v>6594</v>
      </c>
    </row>
    <row r="3530">
      <c r="A3530" s="140" t="s">
        <v>6594</v>
      </c>
      <c r="B3530" s="140" t="s">
        <v>10650</v>
      </c>
      <c r="C3530" s="140" t="s">
        <v>10651</v>
      </c>
      <c r="D3530" s="140" t="s">
        <v>6318</v>
      </c>
      <c r="E3530" s="140" t="s">
        <v>6142</v>
      </c>
      <c r="F3530" s="140" t="s">
        <v>10612</v>
      </c>
      <c r="G3530" s="141" t="s">
        <v>6401</v>
      </c>
      <c r="H3530" s="140" t="s">
        <v>6312</v>
      </c>
      <c r="I3530" s="140" t="s">
        <v>6313</v>
      </c>
      <c r="J3530" s="140" t="s">
        <v>6314</v>
      </c>
      <c r="K3530" s="140" t="s">
        <v>6594</v>
      </c>
    </row>
    <row r="3531">
      <c r="A3531" s="140" t="s">
        <v>6594</v>
      </c>
      <c r="B3531" s="140" t="s">
        <v>10652</v>
      </c>
      <c r="C3531" s="140" t="s">
        <v>10651</v>
      </c>
      <c r="D3531" s="140" t="s">
        <v>6318</v>
      </c>
      <c r="E3531" s="140" t="s">
        <v>6142</v>
      </c>
      <c r="F3531" s="140" t="s">
        <v>10612</v>
      </c>
      <c r="G3531" s="141" t="s">
        <v>6401</v>
      </c>
      <c r="H3531" s="140" t="s">
        <v>6312</v>
      </c>
      <c r="I3531" s="140" t="s">
        <v>6313</v>
      </c>
      <c r="J3531" s="140" t="s">
        <v>6314</v>
      </c>
      <c r="K3531" s="140" t="s">
        <v>6594</v>
      </c>
    </row>
    <row r="3532">
      <c r="A3532" s="140" t="s">
        <v>6594</v>
      </c>
      <c r="B3532" s="140" t="s">
        <v>10653</v>
      </c>
      <c r="C3532" s="140" t="s">
        <v>10654</v>
      </c>
      <c r="D3532" s="140" t="s">
        <v>6318</v>
      </c>
      <c r="E3532" s="140" t="s">
        <v>6142</v>
      </c>
      <c r="F3532" s="140" t="s">
        <v>10612</v>
      </c>
      <c r="G3532" s="141" t="s">
        <v>6401</v>
      </c>
      <c r="H3532" s="140" t="s">
        <v>6312</v>
      </c>
      <c r="I3532" s="140" t="s">
        <v>6313</v>
      </c>
      <c r="J3532" s="140" t="s">
        <v>6314</v>
      </c>
      <c r="K3532" s="140" t="s">
        <v>6594</v>
      </c>
    </row>
    <row r="3533">
      <c r="A3533" s="140" t="s">
        <v>6594</v>
      </c>
      <c r="B3533" s="140" t="s">
        <v>10655</v>
      </c>
      <c r="C3533" s="140" t="s">
        <v>10654</v>
      </c>
      <c r="D3533" s="140" t="s">
        <v>6318</v>
      </c>
      <c r="E3533" s="140" t="s">
        <v>6142</v>
      </c>
      <c r="F3533" s="140" t="s">
        <v>10612</v>
      </c>
      <c r="G3533" s="141" t="s">
        <v>6401</v>
      </c>
      <c r="H3533" s="140" t="s">
        <v>6312</v>
      </c>
      <c r="I3533" s="140" t="s">
        <v>6313</v>
      </c>
      <c r="J3533" s="140" t="s">
        <v>6314</v>
      </c>
      <c r="K3533" s="140" t="s">
        <v>6594</v>
      </c>
    </row>
    <row r="3534">
      <c r="A3534" s="140" t="s">
        <v>6594</v>
      </c>
      <c r="B3534" s="140" t="s">
        <v>10656</v>
      </c>
      <c r="C3534" s="140" t="s">
        <v>10657</v>
      </c>
      <c r="D3534" s="140" t="s">
        <v>6318</v>
      </c>
      <c r="E3534" s="140" t="s">
        <v>6142</v>
      </c>
      <c r="F3534" s="140" t="s">
        <v>10612</v>
      </c>
      <c r="G3534" s="141" t="s">
        <v>6401</v>
      </c>
      <c r="H3534" s="140" t="s">
        <v>6312</v>
      </c>
      <c r="I3534" s="140" t="s">
        <v>6313</v>
      </c>
      <c r="J3534" s="140" t="s">
        <v>6314</v>
      </c>
      <c r="K3534" s="140" t="s">
        <v>6594</v>
      </c>
    </row>
    <row r="3535">
      <c r="A3535" s="140" t="s">
        <v>6594</v>
      </c>
      <c r="B3535" s="140" t="s">
        <v>10658</v>
      </c>
      <c r="C3535" s="140" t="s">
        <v>10659</v>
      </c>
      <c r="D3535" s="140" t="s">
        <v>6318</v>
      </c>
      <c r="E3535" s="140" t="s">
        <v>6142</v>
      </c>
      <c r="F3535" s="140" t="s">
        <v>10612</v>
      </c>
      <c r="G3535" s="141" t="s">
        <v>6401</v>
      </c>
      <c r="H3535" s="140" t="s">
        <v>6312</v>
      </c>
      <c r="I3535" s="140" t="s">
        <v>6313</v>
      </c>
      <c r="J3535" s="140" t="s">
        <v>6314</v>
      </c>
      <c r="K3535" s="140" t="s">
        <v>6594</v>
      </c>
    </row>
    <row r="3536">
      <c r="A3536" s="140" t="s">
        <v>6594</v>
      </c>
      <c r="B3536" s="140" t="s">
        <v>10660</v>
      </c>
      <c r="C3536" s="140" t="s">
        <v>10661</v>
      </c>
      <c r="D3536" s="140" t="s">
        <v>6318</v>
      </c>
      <c r="E3536" s="140" t="s">
        <v>6142</v>
      </c>
      <c r="F3536" s="140" t="s">
        <v>10612</v>
      </c>
      <c r="G3536" s="141" t="s">
        <v>6401</v>
      </c>
      <c r="H3536" s="140" t="s">
        <v>6312</v>
      </c>
      <c r="I3536" s="140" t="s">
        <v>6313</v>
      </c>
      <c r="J3536" s="140" t="s">
        <v>6314</v>
      </c>
      <c r="K3536" s="140" t="s">
        <v>6594</v>
      </c>
    </row>
    <row r="3537">
      <c r="A3537" s="140" t="s">
        <v>6594</v>
      </c>
      <c r="B3537" s="140" t="s">
        <v>10662</v>
      </c>
      <c r="C3537" s="140" t="s">
        <v>10663</v>
      </c>
      <c r="D3537" s="140" t="s">
        <v>6318</v>
      </c>
      <c r="E3537" s="140" t="s">
        <v>6142</v>
      </c>
      <c r="F3537" s="140" t="s">
        <v>10612</v>
      </c>
      <c r="G3537" s="141" t="s">
        <v>6401</v>
      </c>
      <c r="H3537" s="140" t="s">
        <v>6312</v>
      </c>
      <c r="I3537" s="140" t="s">
        <v>6313</v>
      </c>
      <c r="J3537" s="140" t="s">
        <v>6314</v>
      </c>
      <c r="K3537" s="140" t="s">
        <v>6594</v>
      </c>
    </row>
    <row r="3538">
      <c r="A3538" s="140" t="s">
        <v>6594</v>
      </c>
      <c r="B3538" s="140" t="s">
        <v>10664</v>
      </c>
      <c r="C3538" s="140" t="s">
        <v>10665</v>
      </c>
      <c r="D3538" s="140" t="s">
        <v>6318</v>
      </c>
      <c r="E3538" s="140" t="s">
        <v>6142</v>
      </c>
      <c r="F3538" s="140" t="s">
        <v>10612</v>
      </c>
      <c r="G3538" s="141" t="s">
        <v>6401</v>
      </c>
      <c r="H3538" s="140" t="s">
        <v>6312</v>
      </c>
      <c r="I3538" s="140" t="s">
        <v>6313</v>
      </c>
      <c r="J3538" s="140" t="s">
        <v>6314</v>
      </c>
      <c r="K3538" s="140" t="s">
        <v>6594</v>
      </c>
    </row>
    <row r="3539">
      <c r="A3539" s="140" t="s">
        <v>6594</v>
      </c>
      <c r="B3539" s="140" t="s">
        <v>10666</v>
      </c>
      <c r="C3539" s="140" t="s">
        <v>10667</v>
      </c>
      <c r="D3539" s="140" t="s">
        <v>6318</v>
      </c>
      <c r="E3539" s="140" t="s">
        <v>6142</v>
      </c>
      <c r="F3539" s="140" t="s">
        <v>10612</v>
      </c>
      <c r="G3539" s="141" t="s">
        <v>6401</v>
      </c>
      <c r="H3539" s="140" t="s">
        <v>6312</v>
      </c>
      <c r="I3539" s="140" t="s">
        <v>6313</v>
      </c>
      <c r="J3539" s="140" t="s">
        <v>6314</v>
      </c>
      <c r="K3539" s="140" t="s">
        <v>6594</v>
      </c>
    </row>
    <row r="3540">
      <c r="A3540" s="140" t="s">
        <v>6594</v>
      </c>
      <c r="B3540" s="140" t="s">
        <v>10668</v>
      </c>
      <c r="C3540" s="140" t="s">
        <v>10669</v>
      </c>
      <c r="D3540" s="140" t="s">
        <v>6318</v>
      </c>
      <c r="E3540" s="140" t="s">
        <v>6142</v>
      </c>
      <c r="F3540" s="140" t="s">
        <v>10612</v>
      </c>
      <c r="G3540" s="141" t="s">
        <v>6401</v>
      </c>
      <c r="H3540" s="140" t="s">
        <v>6312</v>
      </c>
      <c r="I3540" s="140" t="s">
        <v>6313</v>
      </c>
      <c r="J3540" s="140" t="s">
        <v>6314</v>
      </c>
      <c r="K3540" s="140" t="s">
        <v>6594</v>
      </c>
    </row>
    <row r="3541">
      <c r="A3541" s="140" t="s">
        <v>6594</v>
      </c>
      <c r="B3541" s="140" t="s">
        <v>10670</v>
      </c>
      <c r="C3541" s="140" t="s">
        <v>10671</v>
      </c>
      <c r="D3541" s="140" t="s">
        <v>6318</v>
      </c>
      <c r="E3541" s="140" t="s">
        <v>6142</v>
      </c>
      <c r="F3541" s="140" t="s">
        <v>10612</v>
      </c>
      <c r="G3541" s="141" t="s">
        <v>6401</v>
      </c>
      <c r="H3541" s="140" t="s">
        <v>6312</v>
      </c>
      <c r="I3541" s="140" t="s">
        <v>6313</v>
      </c>
      <c r="J3541" s="140" t="s">
        <v>6314</v>
      </c>
      <c r="K3541" s="140" t="s">
        <v>6594</v>
      </c>
    </row>
    <row r="3542">
      <c r="A3542" s="140" t="s">
        <v>6594</v>
      </c>
      <c r="B3542" s="140" t="s">
        <v>10672</v>
      </c>
      <c r="C3542" s="140" t="s">
        <v>10673</v>
      </c>
      <c r="D3542" s="140" t="s">
        <v>6318</v>
      </c>
      <c r="E3542" s="140" t="s">
        <v>6142</v>
      </c>
      <c r="F3542" s="140" t="s">
        <v>10612</v>
      </c>
      <c r="G3542" s="141" t="s">
        <v>6401</v>
      </c>
      <c r="H3542" s="140" t="s">
        <v>6312</v>
      </c>
      <c r="I3542" s="140" t="s">
        <v>6313</v>
      </c>
      <c r="J3542" s="140" t="s">
        <v>6314</v>
      </c>
      <c r="K3542" s="140" t="s">
        <v>6594</v>
      </c>
    </row>
    <row r="3543">
      <c r="A3543" s="140" t="s">
        <v>6594</v>
      </c>
      <c r="B3543" s="140" t="s">
        <v>3526</v>
      </c>
      <c r="C3543" s="140" t="s">
        <v>10674</v>
      </c>
      <c r="D3543" s="140" t="s">
        <v>6318</v>
      </c>
      <c r="E3543" s="140" t="s">
        <v>6142</v>
      </c>
      <c r="F3543" s="140" t="s">
        <v>10612</v>
      </c>
      <c r="G3543" s="141" t="s">
        <v>6401</v>
      </c>
      <c r="H3543" s="140" t="s">
        <v>6312</v>
      </c>
      <c r="I3543" s="140" t="s">
        <v>6313</v>
      </c>
      <c r="J3543" s="140" t="s">
        <v>6314</v>
      </c>
      <c r="K3543" s="140" t="s">
        <v>6594</v>
      </c>
    </row>
    <row r="3544">
      <c r="A3544" s="140" t="s">
        <v>6594</v>
      </c>
      <c r="B3544" s="140" t="s">
        <v>10675</v>
      </c>
      <c r="C3544" s="140" t="s">
        <v>10676</v>
      </c>
      <c r="D3544" s="140" t="s">
        <v>6318</v>
      </c>
      <c r="E3544" s="140" t="s">
        <v>6142</v>
      </c>
      <c r="F3544" s="140" t="s">
        <v>10612</v>
      </c>
      <c r="G3544" s="141" t="s">
        <v>6401</v>
      </c>
      <c r="H3544" s="140" t="s">
        <v>6312</v>
      </c>
      <c r="I3544" s="140" t="s">
        <v>6313</v>
      </c>
      <c r="J3544" s="140" t="s">
        <v>6314</v>
      </c>
      <c r="K3544" s="140" t="s">
        <v>6594</v>
      </c>
    </row>
    <row r="3545">
      <c r="A3545" s="140" t="s">
        <v>6594</v>
      </c>
      <c r="B3545" s="140" t="s">
        <v>10677</v>
      </c>
      <c r="C3545" s="140" t="s">
        <v>10678</v>
      </c>
      <c r="D3545" s="140" t="s">
        <v>6318</v>
      </c>
      <c r="E3545" s="140" t="s">
        <v>6142</v>
      </c>
      <c r="F3545" s="140" t="s">
        <v>10612</v>
      </c>
      <c r="G3545" s="141" t="s">
        <v>6401</v>
      </c>
      <c r="H3545" s="140" t="s">
        <v>6312</v>
      </c>
      <c r="I3545" s="140" t="s">
        <v>6313</v>
      </c>
      <c r="J3545" s="140" t="s">
        <v>6314</v>
      </c>
      <c r="K3545" s="140" t="s">
        <v>6594</v>
      </c>
    </row>
    <row r="3546">
      <c r="A3546" s="140" t="s">
        <v>6594</v>
      </c>
      <c r="B3546" s="140" t="s">
        <v>10679</v>
      </c>
      <c r="C3546" s="140" t="s">
        <v>10680</v>
      </c>
      <c r="D3546" s="140" t="s">
        <v>6318</v>
      </c>
      <c r="E3546" s="140" t="s">
        <v>6142</v>
      </c>
      <c r="F3546" s="140" t="s">
        <v>10612</v>
      </c>
      <c r="G3546" s="141" t="s">
        <v>6401</v>
      </c>
      <c r="H3546" s="140" t="s">
        <v>6312</v>
      </c>
      <c r="I3546" s="140" t="s">
        <v>6313</v>
      </c>
      <c r="J3546" s="140" t="s">
        <v>6314</v>
      </c>
      <c r="K3546" s="140" t="s">
        <v>6594</v>
      </c>
    </row>
    <row r="3547">
      <c r="A3547" s="140" t="s">
        <v>6594</v>
      </c>
      <c r="B3547" s="140" t="s">
        <v>10681</v>
      </c>
      <c r="C3547" s="140" t="s">
        <v>10682</v>
      </c>
      <c r="D3547" s="140" t="s">
        <v>6318</v>
      </c>
      <c r="E3547" s="140" t="s">
        <v>6142</v>
      </c>
      <c r="F3547" s="140" t="s">
        <v>10612</v>
      </c>
      <c r="G3547" s="141" t="s">
        <v>6401</v>
      </c>
      <c r="H3547" s="140" t="s">
        <v>6312</v>
      </c>
      <c r="I3547" s="140" t="s">
        <v>6313</v>
      </c>
      <c r="J3547" s="140" t="s">
        <v>6314</v>
      </c>
      <c r="K3547" s="140" t="s">
        <v>6594</v>
      </c>
    </row>
    <row r="3548">
      <c r="A3548" s="140" t="s">
        <v>6594</v>
      </c>
      <c r="B3548" s="140" t="s">
        <v>10683</v>
      </c>
      <c r="C3548" s="140" t="s">
        <v>10684</v>
      </c>
      <c r="D3548" s="140" t="s">
        <v>6318</v>
      </c>
      <c r="E3548" s="140" t="s">
        <v>6142</v>
      </c>
      <c r="F3548" s="140" t="s">
        <v>10612</v>
      </c>
      <c r="G3548" s="141" t="s">
        <v>6401</v>
      </c>
      <c r="H3548" s="140" t="s">
        <v>6312</v>
      </c>
      <c r="I3548" s="140" t="s">
        <v>6313</v>
      </c>
      <c r="J3548" s="140" t="s">
        <v>6314</v>
      </c>
      <c r="K3548" s="140" t="s">
        <v>6594</v>
      </c>
    </row>
    <row r="3549">
      <c r="A3549" s="140" t="s">
        <v>6594</v>
      </c>
      <c r="B3549" s="140" t="s">
        <v>10685</v>
      </c>
      <c r="C3549" s="140" t="s">
        <v>10686</v>
      </c>
      <c r="D3549" s="140" t="s">
        <v>6318</v>
      </c>
      <c r="E3549" s="140" t="s">
        <v>6142</v>
      </c>
      <c r="F3549" s="140" t="s">
        <v>10612</v>
      </c>
      <c r="G3549" s="141" t="s">
        <v>6401</v>
      </c>
      <c r="H3549" s="140" t="s">
        <v>6312</v>
      </c>
      <c r="I3549" s="140" t="s">
        <v>6313</v>
      </c>
      <c r="J3549" s="140" t="s">
        <v>6314</v>
      </c>
      <c r="K3549" s="140" t="s">
        <v>6594</v>
      </c>
    </row>
    <row r="3550">
      <c r="A3550" s="140" t="s">
        <v>6594</v>
      </c>
      <c r="B3550" s="140" t="s">
        <v>10687</v>
      </c>
      <c r="C3550" s="140" t="s">
        <v>10688</v>
      </c>
      <c r="D3550" s="140" t="s">
        <v>6318</v>
      </c>
      <c r="E3550" s="140" t="s">
        <v>6142</v>
      </c>
      <c r="F3550" s="140" t="s">
        <v>10612</v>
      </c>
      <c r="G3550" s="141" t="s">
        <v>6401</v>
      </c>
      <c r="H3550" s="140" t="s">
        <v>6312</v>
      </c>
      <c r="I3550" s="140" t="s">
        <v>6313</v>
      </c>
      <c r="J3550" s="140" t="s">
        <v>6314</v>
      </c>
      <c r="K3550" s="140" t="s">
        <v>6594</v>
      </c>
    </row>
    <row r="3551">
      <c r="A3551" s="140" t="s">
        <v>6594</v>
      </c>
      <c r="B3551" s="140" t="s">
        <v>10689</v>
      </c>
      <c r="C3551" s="140" t="s">
        <v>10690</v>
      </c>
      <c r="D3551" s="140" t="s">
        <v>6318</v>
      </c>
      <c r="E3551" s="140" t="s">
        <v>6142</v>
      </c>
      <c r="F3551" s="140" t="s">
        <v>10612</v>
      </c>
      <c r="G3551" s="141" t="s">
        <v>6401</v>
      </c>
      <c r="H3551" s="140" t="s">
        <v>6312</v>
      </c>
      <c r="I3551" s="140" t="s">
        <v>6313</v>
      </c>
      <c r="J3551" s="140" t="s">
        <v>6314</v>
      </c>
      <c r="K3551" s="140" t="s">
        <v>6594</v>
      </c>
    </row>
    <row r="3552">
      <c r="A3552" s="140" t="s">
        <v>6594</v>
      </c>
      <c r="B3552" s="140" t="s">
        <v>10691</v>
      </c>
      <c r="C3552" s="140" t="s">
        <v>10692</v>
      </c>
      <c r="D3552" s="140" t="s">
        <v>6318</v>
      </c>
      <c r="E3552" s="140" t="s">
        <v>6142</v>
      </c>
      <c r="F3552" s="140" t="s">
        <v>10612</v>
      </c>
      <c r="G3552" s="141" t="s">
        <v>6401</v>
      </c>
      <c r="H3552" s="140" t="s">
        <v>6312</v>
      </c>
      <c r="I3552" s="140" t="s">
        <v>6313</v>
      </c>
      <c r="J3552" s="140" t="s">
        <v>6314</v>
      </c>
      <c r="K3552" s="140" t="s">
        <v>6594</v>
      </c>
    </row>
    <row r="3553">
      <c r="A3553" s="140" t="s">
        <v>6594</v>
      </c>
      <c r="B3553" s="140" t="s">
        <v>10693</v>
      </c>
      <c r="C3553" s="140" t="s">
        <v>10694</v>
      </c>
      <c r="D3553" s="140" t="s">
        <v>6318</v>
      </c>
      <c r="E3553" s="140" t="s">
        <v>6142</v>
      </c>
      <c r="F3553" s="140" t="s">
        <v>10612</v>
      </c>
      <c r="G3553" s="141" t="s">
        <v>6401</v>
      </c>
      <c r="H3553" s="140" t="s">
        <v>6312</v>
      </c>
      <c r="I3553" s="140" t="s">
        <v>6313</v>
      </c>
      <c r="J3553" s="140" t="s">
        <v>6314</v>
      </c>
      <c r="K3553" s="140" t="s">
        <v>6594</v>
      </c>
    </row>
    <row r="3554">
      <c r="A3554" s="140" t="s">
        <v>6594</v>
      </c>
      <c r="B3554" s="140" t="s">
        <v>10695</v>
      </c>
      <c r="C3554" s="140" t="s">
        <v>10696</v>
      </c>
      <c r="D3554" s="140" t="s">
        <v>6318</v>
      </c>
      <c r="E3554" s="140" t="s">
        <v>6142</v>
      </c>
      <c r="F3554" s="140" t="s">
        <v>10612</v>
      </c>
      <c r="G3554" s="141" t="s">
        <v>6401</v>
      </c>
      <c r="H3554" s="140" t="s">
        <v>6312</v>
      </c>
      <c r="I3554" s="140" t="s">
        <v>6313</v>
      </c>
      <c r="J3554" s="140" t="s">
        <v>6314</v>
      </c>
      <c r="K3554" s="140" t="s">
        <v>6594</v>
      </c>
    </row>
    <row r="3555">
      <c r="A3555" s="140" t="s">
        <v>6594</v>
      </c>
      <c r="B3555" s="140" t="s">
        <v>10697</v>
      </c>
      <c r="C3555" s="140" t="s">
        <v>10698</v>
      </c>
      <c r="D3555" s="140" t="s">
        <v>6318</v>
      </c>
      <c r="E3555" s="140" t="s">
        <v>6142</v>
      </c>
      <c r="F3555" s="140" t="s">
        <v>10612</v>
      </c>
      <c r="G3555" s="141" t="s">
        <v>6401</v>
      </c>
      <c r="H3555" s="140" t="s">
        <v>6312</v>
      </c>
      <c r="I3555" s="140" t="s">
        <v>6313</v>
      </c>
      <c r="J3555" s="140" t="s">
        <v>6314</v>
      </c>
      <c r="K3555" s="140" t="s">
        <v>6594</v>
      </c>
    </row>
    <row r="3556">
      <c r="A3556" s="140" t="s">
        <v>6594</v>
      </c>
      <c r="B3556" s="140" t="s">
        <v>10699</v>
      </c>
      <c r="C3556" s="140" t="s">
        <v>10700</v>
      </c>
      <c r="D3556" s="140" t="s">
        <v>6318</v>
      </c>
      <c r="E3556" s="140" t="s">
        <v>6142</v>
      </c>
      <c r="F3556" s="140" t="s">
        <v>10612</v>
      </c>
      <c r="G3556" s="141" t="s">
        <v>6401</v>
      </c>
      <c r="H3556" s="140" t="s">
        <v>6312</v>
      </c>
      <c r="I3556" s="140" t="s">
        <v>6313</v>
      </c>
      <c r="J3556" s="140" t="s">
        <v>6314</v>
      </c>
      <c r="K3556" s="140" t="s">
        <v>6594</v>
      </c>
    </row>
    <row r="3557">
      <c r="A3557" s="140" t="s">
        <v>6594</v>
      </c>
      <c r="B3557" s="140" t="s">
        <v>10701</v>
      </c>
      <c r="C3557" s="140" t="s">
        <v>10702</v>
      </c>
      <c r="D3557" s="140" t="s">
        <v>6318</v>
      </c>
      <c r="E3557" s="140" t="s">
        <v>6142</v>
      </c>
      <c r="F3557" s="140" t="s">
        <v>10612</v>
      </c>
      <c r="G3557" s="141" t="s">
        <v>6401</v>
      </c>
      <c r="H3557" s="140" t="s">
        <v>6312</v>
      </c>
      <c r="I3557" s="140" t="s">
        <v>6313</v>
      </c>
      <c r="J3557" s="140" t="s">
        <v>6314</v>
      </c>
      <c r="K3557" s="140" t="s">
        <v>6594</v>
      </c>
    </row>
    <row r="3558">
      <c r="A3558" s="140" t="s">
        <v>6594</v>
      </c>
      <c r="B3558" s="140" t="s">
        <v>10703</v>
      </c>
      <c r="C3558" s="140" t="s">
        <v>10704</v>
      </c>
      <c r="D3558" s="140" t="s">
        <v>6318</v>
      </c>
      <c r="E3558" s="140" t="s">
        <v>6142</v>
      </c>
      <c r="F3558" s="140" t="s">
        <v>10612</v>
      </c>
      <c r="G3558" s="141" t="s">
        <v>6401</v>
      </c>
      <c r="H3558" s="140" t="s">
        <v>6312</v>
      </c>
      <c r="I3558" s="140" t="s">
        <v>6313</v>
      </c>
      <c r="J3558" s="140" t="s">
        <v>6314</v>
      </c>
      <c r="K3558" s="140" t="s">
        <v>6594</v>
      </c>
    </row>
    <row r="3559">
      <c r="A3559" s="140" t="s">
        <v>6594</v>
      </c>
      <c r="B3559" s="140" t="s">
        <v>10705</v>
      </c>
      <c r="C3559" s="140" t="s">
        <v>10706</v>
      </c>
      <c r="D3559" s="140" t="s">
        <v>6318</v>
      </c>
      <c r="E3559" s="140" t="s">
        <v>6142</v>
      </c>
      <c r="F3559" s="140" t="s">
        <v>10612</v>
      </c>
      <c r="G3559" s="141" t="s">
        <v>6401</v>
      </c>
      <c r="H3559" s="140" t="s">
        <v>6312</v>
      </c>
      <c r="I3559" s="140" t="s">
        <v>6313</v>
      </c>
      <c r="J3559" s="140" t="s">
        <v>6314</v>
      </c>
      <c r="K3559" s="140" t="s">
        <v>6594</v>
      </c>
    </row>
    <row r="3560">
      <c r="A3560" s="140" t="s">
        <v>6594</v>
      </c>
      <c r="B3560" s="140" t="s">
        <v>10707</v>
      </c>
      <c r="C3560" s="140" t="s">
        <v>10708</v>
      </c>
      <c r="D3560" s="140" t="s">
        <v>6318</v>
      </c>
      <c r="E3560" s="140" t="s">
        <v>6142</v>
      </c>
      <c r="F3560" s="140" t="s">
        <v>10612</v>
      </c>
      <c r="G3560" s="141" t="s">
        <v>6401</v>
      </c>
      <c r="H3560" s="140" t="s">
        <v>6312</v>
      </c>
      <c r="I3560" s="140" t="s">
        <v>6313</v>
      </c>
      <c r="J3560" s="140" t="s">
        <v>6314</v>
      </c>
      <c r="K3560" s="140" t="s">
        <v>6594</v>
      </c>
    </row>
    <row r="3561">
      <c r="A3561" s="140" t="s">
        <v>6594</v>
      </c>
      <c r="B3561" s="140" t="s">
        <v>10709</v>
      </c>
      <c r="C3561" s="140" t="s">
        <v>10710</v>
      </c>
      <c r="D3561" s="140" t="s">
        <v>6318</v>
      </c>
      <c r="E3561" s="140" t="s">
        <v>6142</v>
      </c>
      <c r="F3561" s="140" t="s">
        <v>10612</v>
      </c>
      <c r="G3561" s="141" t="s">
        <v>6401</v>
      </c>
      <c r="H3561" s="140" t="s">
        <v>6312</v>
      </c>
      <c r="I3561" s="140" t="s">
        <v>6313</v>
      </c>
      <c r="J3561" s="140" t="s">
        <v>6314</v>
      </c>
      <c r="K3561" s="140" t="s">
        <v>6594</v>
      </c>
    </row>
    <row r="3562">
      <c r="A3562" s="140" t="s">
        <v>6594</v>
      </c>
      <c r="B3562" s="140" t="s">
        <v>10711</v>
      </c>
      <c r="C3562" s="140" t="s">
        <v>10712</v>
      </c>
      <c r="D3562" s="140" t="s">
        <v>6318</v>
      </c>
      <c r="E3562" s="140" t="s">
        <v>6142</v>
      </c>
      <c r="F3562" s="140" t="s">
        <v>10612</v>
      </c>
      <c r="G3562" s="141" t="s">
        <v>6401</v>
      </c>
      <c r="H3562" s="140" t="s">
        <v>6312</v>
      </c>
      <c r="I3562" s="140" t="s">
        <v>6313</v>
      </c>
      <c r="J3562" s="140" t="s">
        <v>6314</v>
      </c>
      <c r="K3562" s="140" t="s">
        <v>6594</v>
      </c>
    </row>
    <row r="3563">
      <c r="A3563" s="140" t="s">
        <v>6594</v>
      </c>
      <c r="B3563" s="140" t="s">
        <v>10713</v>
      </c>
      <c r="C3563" s="140" t="s">
        <v>10714</v>
      </c>
      <c r="D3563" s="140" t="s">
        <v>6318</v>
      </c>
      <c r="E3563" s="140" t="s">
        <v>6142</v>
      </c>
      <c r="F3563" s="140" t="s">
        <v>10715</v>
      </c>
      <c r="G3563" s="141" t="s">
        <v>6401</v>
      </c>
      <c r="H3563" s="140" t="s">
        <v>6312</v>
      </c>
      <c r="I3563" s="140" t="s">
        <v>6313</v>
      </c>
      <c r="J3563" s="140" t="s">
        <v>6314</v>
      </c>
      <c r="K3563" s="140" t="s">
        <v>6594</v>
      </c>
    </row>
    <row r="3564">
      <c r="A3564" s="140" t="s">
        <v>6594</v>
      </c>
      <c r="B3564" s="140" t="s">
        <v>10716</v>
      </c>
      <c r="C3564" s="140" t="s">
        <v>10717</v>
      </c>
      <c r="D3564" s="140" t="s">
        <v>6318</v>
      </c>
      <c r="E3564" s="140" t="s">
        <v>6142</v>
      </c>
      <c r="F3564" s="140" t="s">
        <v>10715</v>
      </c>
      <c r="G3564" s="141" t="s">
        <v>6401</v>
      </c>
      <c r="H3564" s="140" t="s">
        <v>6312</v>
      </c>
      <c r="I3564" s="140" t="s">
        <v>6313</v>
      </c>
      <c r="J3564" s="140" t="s">
        <v>6314</v>
      </c>
      <c r="K3564" s="140" t="s">
        <v>6594</v>
      </c>
    </row>
    <row r="3565">
      <c r="A3565" s="140" t="s">
        <v>6594</v>
      </c>
      <c r="B3565" s="140" t="s">
        <v>10718</v>
      </c>
      <c r="C3565" s="140" t="s">
        <v>10719</v>
      </c>
      <c r="D3565" s="140" t="s">
        <v>6318</v>
      </c>
      <c r="E3565" s="140" t="s">
        <v>6142</v>
      </c>
      <c r="F3565" s="140" t="s">
        <v>10715</v>
      </c>
      <c r="G3565" s="141" t="s">
        <v>6401</v>
      </c>
      <c r="H3565" s="140" t="s">
        <v>6312</v>
      </c>
      <c r="I3565" s="140" t="s">
        <v>6313</v>
      </c>
      <c r="J3565" s="140" t="s">
        <v>6314</v>
      </c>
      <c r="K3565" s="140" t="s">
        <v>6594</v>
      </c>
    </row>
    <row r="3566">
      <c r="A3566" s="140" t="s">
        <v>6594</v>
      </c>
      <c r="B3566" s="140" t="s">
        <v>10720</v>
      </c>
      <c r="C3566" s="140" t="s">
        <v>10721</v>
      </c>
      <c r="D3566" s="140" t="s">
        <v>6318</v>
      </c>
      <c r="E3566" s="140" t="s">
        <v>6142</v>
      </c>
      <c r="F3566" s="140" t="s">
        <v>10715</v>
      </c>
      <c r="G3566" s="141" t="s">
        <v>6401</v>
      </c>
      <c r="H3566" s="140" t="s">
        <v>6312</v>
      </c>
      <c r="I3566" s="140" t="s">
        <v>6313</v>
      </c>
      <c r="J3566" s="140" t="s">
        <v>6314</v>
      </c>
      <c r="K3566" s="140" t="s">
        <v>6594</v>
      </c>
    </row>
    <row r="3567">
      <c r="A3567" s="140" t="s">
        <v>6594</v>
      </c>
      <c r="B3567" s="140" t="s">
        <v>10722</v>
      </c>
      <c r="C3567" s="140" t="s">
        <v>10721</v>
      </c>
      <c r="D3567" s="140" t="s">
        <v>6318</v>
      </c>
      <c r="E3567" s="140" t="s">
        <v>6142</v>
      </c>
      <c r="F3567" s="140" t="s">
        <v>10715</v>
      </c>
      <c r="G3567" s="141" t="s">
        <v>6401</v>
      </c>
      <c r="H3567" s="140" t="s">
        <v>6312</v>
      </c>
      <c r="I3567" s="140" t="s">
        <v>6313</v>
      </c>
      <c r="J3567" s="140" t="s">
        <v>6314</v>
      </c>
      <c r="K3567" s="140" t="s">
        <v>6594</v>
      </c>
    </row>
    <row r="3568">
      <c r="A3568" s="140" t="s">
        <v>6594</v>
      </c>
      <c r="B3568" s="140" t="s">
        <v>10723</v>
      </c>
      <c r="C3568" s="140" t="s">
        <v>10724</v>
      </c>
      <c r="D3568" s="140" t="s">
        <v>6318</v>
      </c>
      <c r="E3568" s="140" t="s">
        <v>6142</v>
      </c>
      <c r="F3568" s="140" t="s">
        <v>10715</v>
      </c>
      <c r="G3568" s="141" t="s">
        <v>6401</v>
      </c>
      <c r="H3568" s="140" t="s">
        <v>6312</v>
      </c>
      <c r="I3568" s="140" t="s">
        <v>6313</v>
      </c>
      <c r="J3568" s="140" t="s">
        <v>6314</v>
      </c>
      <c r="K3568" s="140" t="s">
        <v>6594</v>
      </c>
    </row>
    <row r="3569">
      <c r="A3569" s="140" t="s">
        <v>6594</v>
      </c>
      <c r="B3569" s="140" t="s">
        <v>10725</v>
      </c>
      <c r="C3569" s="140" t="s">
        <v>10726</v>
      </c>
      <c r="D3569" s="140" t="s">
        <v>6318</v>
      </c>
      <c r="E3569" s="140" t="s">
        <v>6142</v>
      </c>
      <c r="F3569" s="140" t="s">
        <v>10715</v>
      </c>
      <c r="G3569" s="141" t="s">
        <v>6401</v>
      </c>
      <c r="H3569" s="140" t="s">
        <v>6312</v>
      </c>
      <c r="I3569" s="140" t="s">
        <v>6313</v>
      </c>
      <c r="J3569" s="140" t="s">
        <v>6314</v>
      </c>
      <c r="K3569" s="140" t="s">
        <v>6594</v>
      </c>
    </row>
    <row r="3570">
      <c r="A3570" s="140" t="s">
        <v>6594</v>
      </c>
      <c r="B3570" s="140" t="s">
        <v>10727</v>
      </c>
      <c r="C3570" s="140" t="s">
        <v>10728</v>
      </c>
      <c r="D3570" s="140" t="s">
        <v>6318</v>
      </c>
      <c r="E3570" s="140" t="s">
        <v>6142</v>
      </c>
      <c r="F3570" s="140" t="s">
        <v>10715</v>
      </c>
      <c r="G3570" s="141" t="s">
        <v>6401</v>
      </c>
      <c r="H3570" s="140" t="s">
        <v>6312</v>
      </c>
      <c r="I3570" s="140" t="s">
        <v>6313</v>
      </c>
      <c r="J3570" s="140" t="s">
        <v>6314</v>
      </c>
      <c r="K3570" s="140" t="s">
        <v>6594</v>
      </c>
    </row>
    <row r="3571">
      <c r="A3571" s="140" t="s">
        <v>6594</v>
      </c>
      <c r="B3571" s="140" t="s">
        <v>10729</v>
      </c>
      <c r="C3571" s="140" t="s">
        <v>10730</v>
      </c>
      <c r="D3571" s="140" t="s">
        <v>6318</v>
      </c>
      <c r="E3571" s="140" t="s">
        <v>6142</v>
      </c>
      <c r="F3571" s="140" t="s">
        <v>10715</v>
      </c>
      <c r="G3571" s="141" t="s">
        <v>6401</v>
      </c>
      <c r="H3571" s="140" t="s">
        <v>6312</v>
      </c>
      <c r="I3571" s="140" t="s">
        <v>6313</v>
      </c>
      <c r="J3571" s="140" t="s">
        <v>6314</v>
      </c>
      <c r="K3571" s="140" t="s">
        <v>6594</v>
      </c>
    </row>
    <row r="3572">
      <c r="A3572" s="140" t="s">
        <v>6594</v>
      </c>
      <c r="B3572" s="140" t="s">
        <v>10731</v>
      </c>
      <c r="C3572" s="140" t="s">
        <v>10732</v>
      </c>
      <c r="D3572" s="140" t="s">
        <v>6318</v>
      </c>
      <c r="E3572" s="140" t="s">
        <v>6142</v>
      </c>
      <c r="F3572" s="140" t="s">
        <v>10715</v>
      </c>
      <c r="G3572" s="141" t="s">
        <v>6401</v>
      </c>
      <c r="H3572" s="140" t="s">
        <v>6312</v>
      </c>
      <c r="I3572" s="140" t="s">
        <v>6313</v>
      </c>
      <c r="J3572" s="140" t="s">
        <v>6314</v>
      </c>
      <c r="K3572" s="140" t="s">
        <v>6594</v>
      </c>
    </row>
    <row r="3573">
      <c r="A3573" s="140" t="s">
        <v>6594</v>
      </c>
      <c r="B3573" s="140" t="s">
        <v>10733</v>
      </c>
      <c r="C3573" s="140" t="s">
        <v>10734</v>
      </c>
      <c r="D3573" s="140" t="s">
        <v>6318</v>
      </c>
      <c r="E3573" s="140" t="s">
        <v>6142</v>
      </c>
      <c r="F3573" s="140" t="s">
        <v>10715</v>
      </c>
      <c r="G3573" s="141" t="s">
        <v>6401</v>
      </c>
      <c r="H3573" s="140" t="s">
        <v>6312</v>
      </c>
      <c r="I3573" s="140" t="s">
        <v>6313</v>
      </c>
      <c r="J3573" s="140" t="s">
        <v>6314</v>
      </c>
      <c r="K3573" s="140" t="s">
        <v>6594</v>
      </c>
    </row>
    <row r="3574">
      <c r="A3574" s="140" t="s">
        <v>6594</v>
      </c>
      <c r="B3574" s="140" t="s">
        <v>10735</v>
      </c>
      <c r="C3574" s="140" t="s">
        <v>10736</v>
      </c>
      <c r="D3574" s="140" t="s">
        <v>6318</v>
      </c>
      <c r="E3574" s="140" t="s">
        <v>6142</v>
      </c>
      <c r="F3574" s="140" t="s">
        <v>10737</v>
      </c>
      <c r="G3574" s="141" t="s">
        <v>6401</v>
      </c>
      <c r="H3574" s="140" t="s">
        <v>6312</v>
      </c>
      <c r="I3574" s="140" t="s">
        <v>6313</v>
      </c>
      <c r="J3574" s="140" t="s">
        <v>6314</v>
      </c>
      <c r="K3574" s="140" t="s">
        <v>6594</v>
      </c>
    </row>
    <row r="3575">
      <c r="A3575" s="140" t="s">
        <v>6594</v>
      </c>
      <c r="B3575" s="140" t="s">
        <v>10738</v>
      </c>
      <c r="C3575" s="140" t="s">
        <v>10739</v>
      </c>
      <c r="D3575" s="140" t="s">
        <v>6318</v>
      </c>
      <c r="E3575" s="140" t="s">
        <v>6142</v>
      </c>
      <c r="F3575" s="140" t="s">
        <v>10737</v>
      </c>
      <c r="G3575" s="141" t="s">
        <v>6401</v>
      </c>
      <c r="H3575" s="140" t="s">
        <v>6312</v>
      </c>
      <c r="I3575" s="140" t="s">
        <v>6313</v>
      </c>
      <c r="J3575" s="140" t="s">
        <v>6314</v>
      </c>
      <c r="K3575" s="140" t="s">
        <v>6594</v>
      </c>
    </row>
    <row r="3576">
      <c r="A3576" s="140" t="s">
        <v>6594</v>
      </c>
      <c r="B3576" s="140" t="s">
        <v>10740</v>
      </c>
      <c r="C3576" s="140" t="s">
        <v>10741</v>
      </c>
      <c r="D3576" s="140" t="s">
        <v>6318</v>
      </c>
      <c r="E3576" s="140" t="s">
        <v>6142</v>
      </c>
      <c r="F3576" s="140" t="s">
        <v>10737</v>
      </c>
      <c r="G3576" s="141" t="s">
        <v>6401</v>
      </c>
      <c r="H3576" s="140" t="s">
        <v>6312</v>
      </c>
      <c r="I3576" s="140" t="s">
        <v>6313</v>
      </c>
      <c r="J3576" s="140" t="s">
        <v>6314</v>
      </c>
      <c r="K3576" s="140" t="s">
        <v>6594</v>
      </c>
    </row>
    <row r="3577">
      <c r="A3577" s="140" t="s">
        <v>6594</v>
      </c>
      <c r="B3577" s="140" t="s">
        <v>10742</v>
      </c>
      <c r="C3577" s="140" t="s">
        <v>10743</v>
      </c>
      <c r="D3577" s="140" t="s">
        <v>6318</v>
      </c>
      <c r="E3577" s="140" t="s">
        <v>6142</v>
      </c>
      <c r="F3577" s="140" t="s">
        <v>6476</v>
      </c>
      <c r="G3577" s="141" t="s">
        <v>6401</v>
      </c>
      <c r="H3577" s="140" t="s">
        <v>6312</v>
      </c>
      <c r="I3577" s="140" t="s">
        <v>6313</v>
      </c>
      <c r="J3577" s="140" t="s">
        <v>6314</v>
      </c>
      <c r="K3577" s="140" t="s">
        <v>6594</v>
      </c>
    </row>
    <row r="3578">
      <c r="A3578" s="140" t="s">
        <v>6594</v>
      </c>
      <c r="B3578" s="140" t="s">
        <v>10744</v>
      </c>
      <c r="C3578" s="140" t="s">
        <v>10745</v>
      </c>
      <c r="D3578" s="140" t="s">
        <v>6318</v>
      </c>
      <c r="E3578" s="140" t="s">
        <v>6142</v>
      </c>
      <c r="F3578" s="140" t="s">
        <v>6476</v>
      </c>
      <c r="G3578" s="141" t="s">
        <v>6401</v>
      </c>
      <c r="H3578" s="140" t="s">
        <v>6312</v>
      </c>
      <c r="I3578" s="140" t="s">
        <v>6313</v>
      </c>
      <c r="J3578" s="140" t="s">
        <v>6314</v>
      </c>
      <c r="K3578" s="140" t="s">
        <v>6594</v>
      </c>
    </row>
    <row r="3579">
      <c r="A3579" s="140" t="s">
        <v>6594</v>
      </c>
      <c r="B3579" s="140" t="s">
        <v>10746</v>
      </c>
      <c r="C3579" s="140" t="s">
        <v>10747</v>
      </c>
      <c r="D3579" s="140" t="s">
        <v>6318</v>
      </c>
      <c r="E3579" s="140" t="s">
        <v>6142</v>
      </c>
      <c r="F3579" s="140" t="s">
        <v>6476</v>
      </c>
      <c r="G3579" s="141" t="s">
        <v>6401</v>
      </c>
      <c r="H3579" s="140" t="s">
        <v>6312</v>
      </c>
      <c r="I3579" s="140" t="s">
        <v>6313</v>
      </c>
      <c r="J3579" s="140" t="s">
        <v>6314</v>
      </c>
      <c r="K3579" s="140" t="s">
        <v>6594</v>
      </c>
    </row>
    <row r="3580">
      <c r="A3580" s="140" t="s">
        <v>6594</v>
      </c>
      <c r="B3580" s="140" t="s">
        <v>10748</v>
      </c>
      <c r="C3580" s="140" t="s">
        <v>10749</v>
      </c>
      <c r="D3580" s="140" t="s">
        <v>6318</v>
      </c>
      <c r="E3580" s="140" t="s">
        <v>6142</v>
      </c>
      <c r="F3580" s="140" t="s">
        <v>6476</v>
      </c>
      <c r="G3580" s="141" t="s">
        <v>6401</v>
      </c>
      <c r="H3580" s="140" t="s">
        <v>6312</v>
      </c>
      <c r="I3580" s="140" t="s">
        <v>6313</v>
      </c>
      <c r="J3580" s="140" t="s">
        <v>6314</v>
      </c>
      <c r="K3580" s="140" t="s">
        <v>6594</v>
      </c>
    </row>
    <row r="3581">
      <c r="A3581" s="140" t="s">
        <v>6594</v>
      </c>
      <c r="B3581" s="140" t="s">
        <v>10750</v>
      </c>
      <c r="C3581" s="140" t="s">
        <v>10751</v>
      </c>
      <c r="D3581" s="140" t="s">
        <v>6318</v>
      </c>
      <c r="E3581" s="140" t="s">
        <v>6142</v>
      </c>
      <c r="F3581" s="140" t="s">
        <v>6476</v>
      </c>
      <c r="G3581" s="141" t="s">
        <v>6401</v>
      </c>
      <c r="H3581" s="140" t="s">
        <v>6312</v>
      </c>
      <c r="I3581" s="140" t="s">
        <v>6313</v>
      </c>
      <c r="J3581" s="140" t="s">
        <v>6314</v>
      </c>
      <c r="K3581" s="140" t="s">
        <v>6594</v>
      </c>
    </row>
    <row r="3582">
      <c r="A3582" s="140" t="s">
        <v>6594</v>
      </c>
      <c r="B3582" s="140" t="s">
        <v>10752</v>
      </c>
      <c r="C3582" s="140" t="s">
        <v>10753</v>
      </c>
      <c r="D3582" s="140" t="s">
        <v>6318</v>
      </c>
      <c r="E3582" s="140" t="s">
        <v>6142</v>
      </c>
      <c r="F3582" s="140" t="s">
        <v>6476</v>
      </c>
      <c r="G3582" s="141" t="s">
        <v>6401</v>
      </c>
      <c r="H3582" s="140" t="s">
        <v>6312</v>
      </c>
      <c r="I3582" s="140" t="s">
        <v>6313</v>
      </c>
      <c r="J3582" s="140" t="s">
        <v>6314</v>
      </c>
      <c r="K3582" s="140" t="s">
        <v>6594</v>
      </c>
    </row>
    <row r="3583">
      <c r="A3583" s="140" t="s">
        <v>6594</v>
      </c>
      <c r="B3583" s="140" t="s">
        <v>10754</v>
      </c>
      <c r="C3583" s="140" t="s">
        <v>10755</v>
      </c>
      <c r="D3583" s="140" t="s">
        <v>6318</v>
      </c>
      <c r="E3583" s="140" t="s">
        <v>6142</v>
      </c>
      <c r="F3583" s="140" t="s">
        <v>6476</v>
      </c>
      <c r="G3583" s="141" t="s">
        <v>6401</v>
      </c>
      <c r="H3583" s="140" t="s">
        <v>6312</v>
      </c>
      <c r="I3583" s="140" t="s">
        <v>6313</v>
      </c>
      <c r="J3583" s="140" t="s">
        <v>6314</v>
      </c>
      <c r="K3583" s="140" t="s">
        <v>6594</v>
      </c>
    </row>
    <row r="3584">
      <c r="A3584" s="140" t="s">
        <v>6594</v>
      </c>
      <c r="B3584" s="140" t="s">
        <v>10756</v>
      </c>
      <c r="C3584" s="140" t="s">
        <v>10757</v>
      </c>
      <c r="D3584" s="140" t="s">
        <v>6318</v>
      </c>
      <c r="E3584" s="140" t="s">
        <v>6142</v>
      </c>
      <c r="F3584" s="140" t="s">
        <v>6476</v>
      </c>
      <c r="G3584" s="141" t="s">
        <v>6401</v>
      </c>
      <c r="H3584" s="140" t="s">
        <v>6312</v>
      </c>
      <c r="I3584" s="140" t="s">
        <v>6313</v>
      </c>
      <c r="J3584" s="140" t="s">
        <v>6314</v>
      </c>
      <c r="K3584" s="140" t="s">
        <v>6594</v>
      </c>
    </row>
    <row r="3585">
      <c r="A3585" s="140" t="s">
        <v>6594</v>
      </c>
      <c r="B3585" s="140" t="s">
        <v>10758</v>
      </c>
      <c r="C3585" s="140" t="s">
        <v>10759</v>
      </c>
      <c r="D3585" s="140" t="s">
        <v>6318</v>
      </c>
      <c r="E3585" s="140" t="s">
        <v>6142</v>
      </c>
      <c r="F3585" s="140" t="s">
        <v>6476</v>
      </c>
      <c r="G3585" s="141" t="s">
        <v>6401</v>
      </c>
      <c r="H3585" s="140" t="s">
        <v>6312</v>
      </c>
      <c r="I3585" s="140" t="s">
        <v>6313</v>
      </c>
      <c r="J3585" s="140" t="s">
        <v>6314</v>
      </c>
      <c r="K3585" s="140" t="s">
        <v>6594</v>
      </c>
    </row>
    <row r="3586">
      <c r="A3586" s="140" t="s">
        <v>6594</v>
      </c>
      <c r="B3586" s="140" t="s">
        <v>10760</v>
      </c>
      <c r="C3586" s="140" t="s">
        <v>10761</v>
      </c>
      <c r="D3586" s="140" t="s">
        <v>6318</v>
      </c>
      <c r="E3586" s="140" t="s">
        <v>6142</v>
      </c>
      <c r="F3586" s="140" t="s">
        <v>6476</v>
      </c>
      <c r="G3586" s="141" t="s">
        <v>6401</v>
      </c>
      <c r="H3586" s="140" t="s">
        <v>6312</v>
      </c>
      <c r="I3586" s="140" t="s">
        <v>6313</v>
      </c>
      <c r="J3586" s="140" t="s">
        <v>6314</v>
      </c>
      <c r="K3586" s="140" t="s">
        <v>6594</v>
      </c>
    </row>
    <row r="3587">
      <c r="A3587" s="140" t="s">
        <v>6594</v>
      </c>
      <c r="B3587" s="140" t="s">
        <v>10762</v>
      </c>
      <c r="C3587" s="140" t="s">
        <v>10763</v>
      </c>
      <c r="D3587" s="140" t="s">
        <v>6318</v>
      </c>
      <c r="E3587" s="140" t="s">
        <v>6142</v>
      </c>
      <c r="F3587" s="140" t="s">
        <v>6476</v>
      </c>
      <c r="G3587" s="141" t="s">
        <v>6401</v>
      </c>
      <c r="H3587" s="140" t="s">
        <v>6312</v>
      </c>
      <c r="I3587" s="140" t="s">
        <v>6313</v>
      </c>
      <c r="J3587" s="140" t="s">
        <v>6314</v>
      </c>
      <c r="K3587" s="140" t="s">
        <v>6594</v>
      </c>
    </row>
    <row r="3588">
      <c r="A3588" s="140" t="s">
        <v>6594</v>
      </c>
      <c r="B3588" s="140" t="s">
        <v>10764</v>
      </c>
      <c r="C3588" s="140" t="s">
        <v>10765</v>
      </c>
      <c r="D3588" s="140" t="s">
        <v>6318</v>
      </c>
      <c r="E3588" s="140" t="s">
        <v>6142</v>
      </c>
      <c r="F3588" s="140" t="s">
        <v>6476</v>
      </c>
      <c r="G3588" s="141" t="s">
        <v>6401</v>
      </c>
      <c r="H3588" s="140" t="s">
        <v>6312</v>
      </c>
      <c r="I3588" s="140" t="s">
        <v>6313</v>
      </c>
      <c r="J3588" s="140" t="s">
        <v>6314</v>
      </c>
      <c r="K3588" s="140" t="s">
        <v>6594</v>
      </c>
    </row>
    <row r="3589">
      <c r="A3589" s="140" t="s">
        <v>6594</v>
      </c>
      <c r="B3589" s="140" t="s">
        <v>10766</v>
      </c>
      <c r="C3589" s="140" t="s">
        <v>10767</v>
      </c>
      <c r="D3589" s="140" t="s">
        <v>6318</v>
      </c>
      <c r="E3589" s="140" t="s">
        <v>6142</v>
      </c>
      <c r="F3589" s="140" t="s">
        <v>6476</v>
      </c>
      <c r="G3589" s="141" t="s">
        <v>6401</v>
      </c>
      <c r="H3589" s="140" t="s">
        <v>6312</v>
      </c>
      <c r="I3589" s="140" t="s">
        <v>6313</v>
      </c>
      <c r="J3589" s="140" t="s">
        <v>6314</v>
      </c>
      <c r="K3589" s="140" t="s">
        <v>6594</v>
      </c>
    </row>
    <row r="3590">
      <c r="A3590" s="140" t="s">
        <v>6594</v>
      </c>
      <c r="B3590" s="140" t="s">
        <v>10768</v>
      </c>
      <c r="C3590" s="140" t="s">
        <v>10769</v>
      </c>
      <c r="D3590" s="140" t="s">
        <v>6318</v>
      </c>
      <c r="E3590" s="140" t="s">
        <v>6142</v>
      </c>
      <c r="F3590" s="140" t="s">
        <v>6476</v>
      </c>
      <c r="G3590" s="141" t="s">
        <v>6401</v>
      </c>
      <c r="H3590" s="140" t="s">
        <v>6312</v>
      </c>
      <c r="I3590" s="140" t="s">
        <v>6313</v>
      </c>
      <c r="J3590" s="140" t="s">
        <v>6314</v>
      </c>
      <c r="K3590" s="140" t="s">
        <v>6594</v>
      </c>
    </row>
    <row r="3591">
      <c r="A3591" s="140" t="s">
        <v>6594</v>
      </c>
      <c r="B3591" s="140" t="s">
        <v>10770</v>
      </c>
      <c r="C3591" s="140" t="s">
        <v>10771</v>
      </c>
      <c r="D3591" s="140" t="s">
        <v>6318</v>
      </c>
      <c r="E3591" s="140" t="s">
        <v>6142</v>
      </c>
      <c r="F3591" s="140" t="s">
        <v>5760</v>
      </c>
      <c r="G3591" s="141" t="s">
        <v>6401</v>
      </c>
      <c r="H3591" s="140" t="s">
        <v>6312</v>
      </c>
      <c r="I3591" s="140" t="s">
        <v>6313</v>
      </c>
      <c r="J3591" s="140" t="s">
        <v>6314</v>
      </c>
      <c r="K3591" s="140" t="s">
        <v>6594</v>
      </c>
    </row>
    <row r="3592">
      <c r="A3592" s="140" t="s">
        <v>6594</v>
      </c>
      <c r="B3592" s="140" t="s">
        <v>10772</v>
      </c>
      <c r="C3592" s="140" t="s">
        <v>10773</v>
      </c>
      <c r="D3592" s="140" t="s">
        <v>6318</v>
      </c>
      <c r="E3592" s="140" t="s">
        <v>6142</v>
      </c>
      <c r="F3592" s="140" t="s">
        <v>5760</v>
      </c>
      <c r="G3592" s="141" t="s">
        <v>6401</v>
      </c>
      <c r="H3592" s="140" t="s">
        <v>6312</v>
      </c>
      <c r="I3592" s="140" t="s">
        <v>6313</v>
      </c>
      <c r="J3592" s="140" t="s">
        <v>6314</v>
      </c>
      <c r="K3592" s="140" t="s">
        <v>6594</v>
      </c>
    </row>
    <row r="3593">
      <c r="A3593" s="140" t="s">
        <v>6594</v>
      </c>
      <c r="B3593" s="140" t="s">
        <v>10774</v>
      </c>
      <c r="C3593" s="140" t="s">
        <v>10775</v>
      </c>
      <c r="D3593" s="140" t="s">
        <v>6318</v>
      </c>
      <c r="E3593" s="140" t="s">
        <v>6142</v>
      </c>
      <c r="F3593" s="140" t="s">
        <v>5760</v>
      </c>
      <c r="G3593" s="141" t="s">
        <v>6401</v>
      </c>
      <c r="H3593" s="140" t="s">
        <v>6312</v>
      </c>
      <c r="I3593" s="140" t="s">
        <v>6313</v>
      </c>
      <c r="J3593" s="140" t="s">
        <v>6314</v>
      </c>
      <c r="K3593" s="140" t="s">
        <v>6594</v>
      </c>
    </row>
    <row r="3594">
      <c r="A3594" s="140" t="s">
        <v>6594</v>
      </c>
      <c r="B3594" s="140" t="s">
        <v>10776</v>
      </c>
      <c r="C3594" s="140" t="s">
        <v>10777</v>
      </c>
      <c r="D3594" s="140" t="s">
        <v>6318</v>
      </c>
      <c r="E3594" s="140" t="s">
        <v>6142</v>
      </c>
      <c r="F3594" s="140" t="s">
        <v>5760</v>
      </c>
      <c r="G3594" s="141" t="s">
        <v>6401</v>
      </c>
      <c r="H3594" s="140" t="s">
        <v>6312</v>
      </c>
      <c r="I3594" s="140" t="s">
        <v>6313</v>
      </c>
      <c r="J3594" s="140" t="s">
        <v>6314</v>
      </c>
      <c r="K3594" s="140" t="s">
        <v>6594</v>
      </c>
    </row>
    <row r="3595">
      <c r="A3595" s="140" t="s">
        <v>6594</v>
      </c>
      <c r="B3595" s="140" t="s">
        <v>10778</v>
      </c>
      <c r="C3595" s="140" t="s">
        <v>10779</v>
      </c>
      <c r="D3595" s="140" t="s">
        <v>6318</v>
      </c>
      <c r="E3595" s="140" t="s">
        <v>6142</v>
      </c>
      <c r="F3595" s="140" t="s">
        <v>5760</v>
      </c>
      <c r="G3595" s="141" t="s">
        <v>6401</v>
      </c>
      <c r="H3595" s="140" t="s">
        <v>6312</v>
      </c>
      <c r="I3595" s="140" t="s">
        <v>6313</v>
      </c>
      <c r="J3595" s="140" t="s">
        <v>6314</v>
      </c>
      <c r="K3595" s="140" t="s">
        <v>6594</v>
      </c>
    </row>
    <row r="3596">
      <c r="A3596" s="140" t="s">
        <v>6594</v>
      </c>
      <c r="B3596" s="140" t="s">
        <v>10780</v>
      </c>
      <c r="C3596" s="140" t="s">
        <v>10781</v>
      </c>
      <c r="D3596" s="140" t="s">
        <v>6318</v>
      </c>
      <c r="E3596" s="140" t="s">
        <v>6142</v>
      </c>
      <c r="F3596" s="140" t="s">
        <v>5760</v>
      </c>
      <c r="G3596" s="141" t="s">
        <v>6401</v>
      </c>
      <c r="H3596" s="140" t="s">
        <v>6312</v>
      </c>
      <c r="I3596" s="140" t="s">
        <v>6313</v>
      </c>
      <c r="J3596" s="140" t="s">
        <v>6314</v>
      </c>
      <c r="K3596" s="140" t="s">
        <v>6594</v>
      </c>
    </row>
    <row r="3597">
      <c r="A3597" s="140" t="s">
        <v>6594</v>
      </c>
      <c r="B3597" s="140" t="s">
        <v>10782</v>
      </c>
      <c r="C3597" s="140" t="s">
        <v>10783</v>
      </c>
      <c r="D3597" s="140" t="s">
        <v>6318</v>
      </c>
      <c r="E3597" s="140" t="s">
        <v>6142</v>
      </c>
      <c r="F3597" s="140" t="s">
        <v>5760</v>
      </c>
      <c r="G3597" s="141" t="s">
        <v>6401</v>
      </c>
      <c r="H3597" s="140" t="s">
        <v>6312</v>
      </c>
      <c r="I3597" s="140" t="s">
        <v>6313</v>
      </c>
      <c r="J3597" s="140" t="s">
        <v>6314</v>
      </c>
      <c r="K3597" s="140" t="s">
        <v>6594</v>
      </c>
    </row>
    <row r="3598">
      <c r="A3598" s="140" t="s">
        <v>6594</v>
      </c>
      <c r="B3598" s="140" t="s">
        <v>10784</v>
      </c>
      <c r="C3598" s="140" t="s">
        <v>10785</v>
      </c>
      <c r="D3598" s="140" t="s">
        <v>6318</v>
      </c>
      <c r="E3598" s="140" t="s">
        <v>6142</v>
      </c>
      <c r="F3598" s="140" t="s">
        <v>5760</v>
      </c>
      <c r="G3598" s="141" t="s">
        <v>6401</v>
      </c>
      <c r="H3598" s="140" t="s">
        <v>6312</v>
      </c>
      <c r="I3598" s="140" t="s">
        <v>6313</v>
      </c>
      <c r="J3598" s="140" t="s">
        <v>6314</v>
      </c>
      <c r="K3598" s="140" t="s">
        <v>6594</v>
      </c>
    </row>
    <row r="3599">
      <c r="A3599" s="140" t="s">
        <v>6594</v>
      </c>
      <c r="B3599" s="140" t="s">
        <v>10786</v>
      </c>
      <c r="C3599" s="140" t="s">
        <v>10787</v>
      </c>
      <c r="D3599" s="140" t="s">
        <v>6318</v>
      </c>
      <c r="E3599" s="140" t="s">
        <v>6142</v>
      </c>
      <c r="F3599" s="140" t="s">
        <v>5760</v>
      </c>
      <c r="G3599" s="141" t="s">
        <v>6401</v>
      </c>
      <c r="H3599" s="140" t="s">
        <v>6312</v>
      </c>
      <c r="I3599" s="140" t="s">
        <v>6313</v>
      </c>
      <c r="J3599" s="140" t="s">
        <v>6314</v>
      </c>
      <c r="K3599" s="140" t="s">
        <v>6594</v>
      </c>
    </row>
    <row r="3600">
      <c r="A3600" s="140" t="s">
        <v>6594</v>
      </c>
      <c r="B3600" s="140" t="s">
        <v>10788</v>
      </c>
      <c r="C3600" s="140" t="s">
        <v>10789</v>
      </c>
      <c r="D3600" s="140" t="s">
        <v>6318</v>
      </c>
      <c r="E3600" s="140" t="s">
        <v>6142</v>
      </c>
      <c r="F3600" s="140" t="s">
        <v>5760</v>
      </c>
      <c r="G3600" s="141" t="s">
        <v>6401</v>
      </c>
      <c r="H3600" s="140" t="s">
        <v>6312</v>
      </c>
      <c r="I3600" s="140" t="s">
        <v>6313</v>
      </c>
      <c r="J3600" s="140" t="s">
        <v>6314</v>
      </c>
      <c r="K3600" s="140" t="s">
        <v>6594</v>
      </c>
    </row>
    <row r="3601">
      <c r="A3601" s="140" t="s">
        <v>6594</v>
      </c>
      <c r="B3601" s="140" t="s">
        <v>10790</v>
      </c>
      <c r="C3601" s="140" t="s">
        <v>10791</v>
      </c>
      <c r="D3601" s="140" t="s">
        <v>6318</v>
      </c>
      <c r="E3601" s="140" t="s">
        <v>6142</v>
      </c>
      <c r="F3601" s="140" t="s">
        <v>5760</v>
      </c>
      <c r="G3601" s="141" t="s">
        <v>6401</v>
      </c>
      <c r="H3601" s="140" t="s">
        <v>6312</v>
      </c>
      <c r="I3601" s="140" t="s">
        <v>6313</v>
      </c>
      <c r="J3601" s="140" t="s">
        <v>6314</v>
      </c>
      <c r="K3601" s="140" t="s">
        <v>6594</v>
      </c>
    </row>
    <row r="3602">
      <c r="A3602" s="140" t="s">
        <v>6594</v>
      </c>
      <c r="B3602" s="140" t="s">
        <v>10792</v>
      </c>
      <c r="C3602" s="140" t="s">
        <v>10793</v>
      </c>
      <c r="D3602" s="140" t="s">
        <v>6318</v>
      </c>
      <c r="E3602" s="140" t="s">
        <v>6142</v>
      </c>
      <c r="F3602" s="140" t="s">
        <v>5760</v>
      </c>
      <c r="G3602" s="141" t="s">
        <v>6401</v>
      </c>
      <c r="H3602" s="140" t="s">
        <v>6312</v>
      </c>
      <c r="I3602" s="140" t="s">
        <v>6313</v>
      </c>
      <c r="J3602" s="140" t="s">
        <v>6314</v>
      </c>
      <c r="K3602" s="140" t="s">
        <v>6594</v>
      </c>
    </row>
    <row r="3603">
      <c r="A3603" s="140" t="s">
        <v>6594</v>
      </c>
      <c r="B3603" s="140" t="s">
        <v>10794</v>
      </c>
      <c r="C3603" s="140" t="s">
        <v>10795</v>
      </c>
      <c r="D3603" s="140" t="s">
        <v>6318</v>
      </c>
      <c r="E3603" s="140" t="s">
        <v>6142</v>
      </c>
      <c r="F3603" s="140" t="s">
        <v>5760</v>
      </c>
      <c r="G3603" s="141" t="s">
        <v>6401</v>
      </c>
      <c r="H3603" s="140" t="s">
        <v>6312</v>
      </c>
      <c r="I3603" s="140" t="s">
        <v>6313</v>
      </c>
      <c r="J3603" s="140" t="s">
        <v>6314</v>
      </c>
      <c r="K3603" s="140" t="s">
        <v>6594</v>
      </c>
    </row>
    <row r="3604">
      <c r="A3604" s="140" t="s">
        <v>6594</v>
      </c>
      <c r="B3604" s="140" t="s">
        <v>10796</v>
      </c>
      <c r="C3604" s="140" t="s">
        <v>10797</v>
      </c>
      <c r="D3604" s="140" t="s">
        <v>6318</v>
      </c>
      <c r="E3604" s="140" t="s">
        <v>6142</v>
      </c>
      <c r="F3604" s="140" t="s">
        <v>5760</v>
      </c>
      <c r="G3604" s="141" t="s">
        <v>6401</v>
      </c>
      <c r="H3604" s="140" t="s">
        <v>6312</v>
      </c>
      <c r="I3604" s="140" t="s">
        <v>6313</v>
      </c>
      <c r="J3604" s="140" t="s">
        <v>6314</v>
      </c>
      <c r="K3604" s="140" t="s">
        <v>6594</v>
      </c>
    </row>
    <row r="3605">
      <c r="A3605" s="140" t="s">
        <v>6594</v>
      </c>
      <c r="B3605" s="140" t="s">
        <v>10798</v>
      </c>
      <c r="C3605" s="140" t="s">
        <v>10799</v>
      </c>
      <c r="D3605" s="140" t="s">
        <v>6318</v>
      </c>
      <c r="E3605" s="140" t="s">
        <v>6142</v>
      </c>
      <c r="F3605" s="140" t="s">
        <v>5760</v>
      </c>
      <c r="G3605" s="141" t="s">
        <v>6401</v>
      </c>
      <c r="H3605" s="140" t="s">
        <v>6312</v>
      </c>
      <c r="I3605" s="140" t="s">
        <v>6313</v>
      </c>
      <c r="J3605" s="140" t="s">
        <v>6314</v>
      </c>
      <c r="K3605" s="140" t="s">
        <v>6594</v>
      </c>
    </row>
    <row r="3606">
      <c r="A3606" s="140" t="s">
        <v>6594</v>
      </c>
      <c r="B3606" s="140" t="s">
        <v>10800</v>
      </c>
      <c r="C3606" s="140" t="s">
        <v>10801</v>
      </c>
      <c r="D3606" s="140" t="s">
        <v>6318</v>
      </c>
      <c r="E3606" s="140" t="s">
        <v>6142</v>
      </c>
      <c r="F3606" s="140" t="s">
        <v>5760</v>
      </c>
      <c r="G3606" s="141" t="s">
        <v>6401</v>
      </c>
      <c r="H3606" s="140" t="s">
        <v>6312</v>
      </c>
      <c r="I3606" s="140" t="s">
        <v>6313</v>
      </c>
      <c r="J3606" s="140" t="s">
        <v>6314</v>
      </c>
      <c r="K3606" s="140" t="s">
        <v>6594</v>
      </c>
    </row>
    <row r="3607">
      <c r="A3607" s="140" t="s">
        <v>6594</v>
      </c>
      <c r="B3607" s="140" t="s">
        <v>10802</v>
      </c>
      <c r="C3607" s="140" t="s">
        <v>10803</v>
      </c>
      <c r="D3607" s="140" t="s">
        <v>6318</v>
      </c>
      <c r="E3607" s="140" t="s">
        <v>6142</v>
      </c>
      <c r="F3607" s="140" t="s">
        <v>5760</v>
      </c>
      <c r="G3607" s="141" t="s">
        <v>6401</v>
      </c>
      <c r="H3607" s="140" t="s">
        <v>6312</v>
      </c>
      <c r="I3607" s="140" t="s">
        <v>6313</v>
      </c>
      <c r="J3607" s="140" t="s">
        <v>6314</v>
      </c>
      <c r="K3607" s="140" t="s">
        <v>6594</v>
      </c>
    </row>
    <row r="3608">
      <c r="A3608" s="140" t="s">
        <v>6594</v>
      </c>
      <c r="B3608" s="140" t="s">
        <v>10804</v>
      </c>
      <c r="C3608" s="140" t="s">
        <v>10805</v>
      </c>
      <c r="D3608" s="140" t="s">
        <v>6318</v>
      </c>
      <c r="E3608" s="140" t="s">
        <v>6142</v>
      </c>
      <c r="F3608" s="140" t="s">
        <v>5760</v>
      </c>
      <c r="G3608" s="141" t="s">
        <v>6401</v>
      </c>
      <c r="H3608" s="140" t="s">
        <v>6312</v>
      </c>
      <c r="I3608" s="140" t="s">
        <v>6313</v>
      </c>
      <c r="J3608" s="140" t="s">
        <v>6314</v>
      </c>
      <c r="K3608" s="140" t="s">
        <v>6594</v>
      </c>
    </row>
    <row r="3609">
      <c r="A3609" s="140" t="s">
        <v>6594</v>
      </c>
      <c r="B3609" s="140" t="s">
        <v>10806</v>
      </c>
      <c r="C3609" s="140" t="s">
        <v>10807</v>
      </c>
      <c r="D3609" s="140" t="s">
        <v>6318</v>
      </c>
      <c r="E3609" s="140" t="s">
        <v>6142</v>
      </c>
      <c r="F3609" s="140" t="s">
        <v>5760</v>
      </c>
      <c r="G3609" s="141" t="s">
        <v>6401</v>
      </c>
      <c r="H3609" s="140" t="s">
        <v>6312</v>
      </c>
      <c r="I3609" s="140" t="s">
        <v>6313</v>
      </c>
      <c r="J3609" s="140" t="s">
        <v>6314</v>
      </c>
      <c r="K3609" s="140" t="s">
        <v>6594</v>
      </c>
    </row>
    <row r="3610">
      <c r="A3610" s="140" t="s">
        <v>6594</v>
      </c>
      <c r="B3610" s="140" t="s">
        <v>10808</v>
      </c>
      <c r="C3610" s="140" t="s">
        <v>10809</v>
      </c>
      <c r="D3610" s="140" t="s">
        <v>6318</v>
      </c>
      <c r="E3610" s="140" t="s">
        <v>6142</v>
      </c>
      <c r="F3610" s="140" t="s">
        <v>5760</v>
      </c>
      <c r="G3610" s="141" t="s">
        <v>6401</v>
      </c>
      <c r="H3610" s="140" t="s">
        <v>6312</v>
      </c>
      <c r="I3610" s="140" t="s">
        <v>6313</v>
      </c>
      <c r="J3610" s="140" t="s">
        <v>6314</v>
      </c>
      <c r="K3610" s="140" t="s">
        <v>6594</v>
      </c>
    </row>
    <row r="3611">
      <c r="A3611" s="140" t="s">
        <v>6594</v>
      </c>
      <c r="B3611" s="140" t="s">
        <v>10810</v>
      </c>
      <c r="C3611" s="140" t="s">
        <v>10811</v>
      </c>
      <c r="D3611" s="140" t="s">
        <v>6318</v>
      </c>
      <c r="E3611" s="140" t="s">
        <v>6142</v>
      </c>
      <c r="F3611" s="140" t="s">
        <v>5760</v>
      </c>
      <c r="G3611" s="141" t="s">
        <v>6401</v>
      </c>
      <c r="H3611" s="140" t="s">
        <v>6312</v>
      </c>
      <c r="I3611" s="140" t="s">
        <v>6313</v>
      </c>
      <c r="J3611" s="140" t="s">
        <v>6314</v>
      </c>
      <c r="K3611" s="140" t="s">
        <v>6594</v>
      </c>
    </row>
    <row r="3612">
      <c r="A3612" s="140" t="s">
        <v>6594</v>
      </c>
      <c r="B3612" s="140" t="s">
        <v>10812</v>
      </c>
      <c r="C3612" s="140" t="s">
        <v>10813</v>
      </c>
      <c r="D3612" s="140" t="s">
        <v>6318</v>
      </c>
      <c r="E3612" s="140" t="s">
        <v>6142</v>
      </c>
      <c r="F3612" s="140" t="s">
        <v>5760</v>
      </c>
      <c r="G3612" s="141" t="s">
        <v>6401</v>
      </c>
      <c r="H3612" s="140" t="s">
        <v>6312</v>
      </c>
      <c r="I3612" s="140" t="s">
        <v>6313</v>
      </c>
      <c r="J3612" s="140" t="s">
        <v>6314</v>
      </c>
      <c r="K3612" s="140" t="s">
        <v>6594</v>
      </c>
    </row>
    <row r="3613">
      <c r="A3613" s="140" t="s">
        <v>6594</v>
      </c>
      <c r="B3613" s="140" t="s">
        <v>10814</v>
      </c>
      <c r="C3613" s="140" t="s">
        <v>10815</v>
      </c>
      <c r="D3613" s="140" t="s">
        <v>6318</v>
      </c>
      <c r="E3613" s="140" t="s">
        <v>6142</v>
      </c>
      <c r="F3613" s="140" t="s">
        <v>5760</v>
      </c>
      <c r="G3613" s="141" t="s">
        <v>6401</v>
      </c>
      <c r="H3613" s="140" t="s">
        <v>6312</v>
      </c>
      <c r="I3613" s="140" t="s">
        <v>6313</v>
      </c>
      <c r="J3613" s="140" t="s">
        <v>6314</v>
      </c>
      <c r="K3613" s="140" t="s">
        <v>6594</v>
      </c>
    </row>
    <row r="3614">
      <c r="A3614" s="140" t="s">
        <v>6594</v>
      </c>
      <c r="B3614" s="140" t="s">
        <v>10816</v>
      </c>
      <c r="C3614" s="140" t="s">
        <v>10817</v>
      </c>
      <c r="D3614" s="140" t="s">
        <v>6318</v>
      </c>
      <c r="E3614" s="140" t="s">
        <v>6142</v>
      </c>
      <c r="F3614" s="140" t="s">
        <v>5760</v>
      </c>
      <c r="G3614" s="141" t="s">
        <v>6401</v>
      </c>
      <c r="H3614" s="140" t="s">
        <v>6312</v>
      </c>
      <c r="I3614" s="140" t="s">
        <v>6313</v>
      </c>
      <c r="J3614" s="140" t="s">
        <v>6314</v>
      </c>
      <c r="K3614" s="140" t="s">
        <v>6594</v>
      </c>
    </row>
    <row r="3615">
      <c r="A3615" s="140" t="s">
        <v>6594</v>
      </c>
      <c r="B3615" s="140" t="s">
        <v>10818</v>
      </c>
      <c r="C3615" s="140" t="s">
        <v>10819</v>
      </c>
      <c r="D3615" s="140" t="s">
        <v>6318</v>
      </c>
      <c r="E3615" s="140" t="s">
        <v>6142</v>
      </c>
      <c r="F3615" s="140" t="s">
        <v>5760</v>
      </c>
      <c r="G3615" s="141" t="s">
        <v>6401</v>
      </c>
      <c r="H3615" s="140" t="s">
        <v>6312</v>
      </c>
      <c r="I3615" s="140" t="s">
        <v>6313</v>
      </c>
      <c r="J3615" s="140" t="s">
        <v>6314</v>
      </c>
      <c r="K3615" s="140" t="s">
        <v>6594</v>
      </c>
    </row>
    <row r="3616">
      <c r="A3616" s="140" t="s">
        <v>6594</v>
      </c>
      <c r="B3616" s="140" t="s">
        <v>10820</v>
      </c>
      <c r="C3616" s="140" t="s">
        <v>10821</v>
      </c>
      <c r="D3616" s="140" t="s">
        <v>6318</v>
      </c>
      <c r="E3616" s="140" t="s">
        <v>6142</v>
      </c>
      <c r="F3616" s="140" t="s">
        <v>5760</v>
      </c>
      <c r="G3616" s="141" t="s">
        <v>6401</v>
      </c>
      <c r="H3616" s="140" t="s">
        <v>6312</v>
      </c>
      <c r="I3616" s="140" t="s">
        <v>6313</v>
      </c>
      <c r="J3616" s="140" t="s">
        <v>6314</v>
      </c>
      <c r="K3616" s="140" t="s">
        <v>6594</v>
      </c>
    </row>
    <row r="3617">
      <c r="A3617" s="140" t="s">
        <v>6594</v>
      </c>
      <c r="B3617" s="140" t="s">
        <v>10822</v>
      </c>
      <c r="C3617" s="140" t="s">
        <v>10823</v>
      </c>
      <c r="D3617" s="140" t="s">
        <v>6318</v>
      </c>
      <c r="E3617" s="140" t="s">
        <v>6142</v>
      </c>
      <c r="F3617" s="140" t="s">
        <v>5760</v>
      </c>
      <c r="G3617" s="141" t="s">
        <v>6401</v>
      </c>
      <c r="H3617" s="140" t="s">
        <v>6312</v>
      </c>
      <c r="I3617" s="140" t="s">
        <v>6313</v>
      </c>
      <c r="J3617" s="140" t="s">
        <v>6314</v>
      </c>
      <c r="K3617" s="140" t="s">
        <v>6594</v>
      </c>
    </row>
    <row r="3618">
      <c r="A3618" s="140" t="s">
        <v>6594</v>
      </c>
      <c r="B3618" s="140" t="s">
        <v>10824</v>
      </c>
      <c r="C3618" s="140" t="s">
        <v>10825</v>
      </c>
      <c r="D3618" s="140" t="s">
        <v>6318</v>
      </c>
      <c r="E3618" s="140" t="s">
        <v>6142</v>
      </c>
      <c r="F3618" s="140" t="s">
        <v>5760</v>
      </c>
      <c r="G3618" s="141" t="s">
        <v>6401</v>
      </c>
      <c r="H3618" s="140" t="s">
        <v>6312</v>
      </c>
      <c r="I3618" s="140" t="s">
        <v>6313</v>
      </c>
      <c r="J3618" s="140" t="s">
        <v>6314</v>
      </c>
      <c r="K3618" s="140" t="s">
        <v>6594</v>
      </c>
    </row>
    <row r="3619">
      <c r="A3619" s="140" t="s">
        <v>6594</v>
      </c>
      <c r="B3619" s="140" t="s">
        <v>10826</v>
      </c>
      <c r="C3619" s="140" t="s">
        <v>10827</v>
      </c>
      <c r="D3619" s="140" t="s">
        <v>6318</v>
      </c>
      <c r="E3619" s="140" t="s">
        <v>6142</v>
      </c>
      <c r="F3619" s="140" t="s">
        <v>5760</v>
      </c>
      <c r="G3619" s="141" t="s">
        <v>6401</v>
      </c>
      <c r="H3619" s="140" t="s">
        <v>6312</v>
      </c>
      <c r="I3619" s="140" t="s">
        <v>6313</v>
      </c>
      <c r="J3619" s="140" t="s">
        <v>6314</v>
      </c>
      <c r="K3619" s="140" t="s">
        <v>6594</v>
      </c>
    </row>
    <row r="3620">
      <c r="A3620" s="140" t="s">
        <v>6594</v>
      </c>
      <c r="B3620" s="140" t="s">
        <v>10828</v>
      </c>
      <c r="C3620" s="140" t="s">
        <v>10829</v>
      </c>
      <c r="D3620" s="140" t="s">
        <v>6318</v>
      </c>
      <c r="E3620" s="140" t="s">
        <v>6142</v>
      </c>
      <c r="F3620" s="140" t="s">
        <v>5760</v>
      </c>
      <c r="G3620" s="141" t="s">
        <v>6401</v>
      </c>
      <c r="H3620" s="140" t="s">
        <v>6312</v>
      </c>
      <c r="I3620" s="140" t="s">
        <v>6313</v>
      </c>
      <c r="J3620" s="140" t="s">
        <v>6314</v>
      </c>
      <c r="K3620" s="140" t="s">
        <v>6594</v>
      </c>
    </row>
    <row r="3621">
      <c r="A3621" s="140" t="s">
        <v>6594</v>
      </c>
      <c r="B3621" s="140" t="s">
        <v>10830</v>
      </c>
      <c r="C3621" s="140" t="s">
        <v>10831</v>
      </c>
      <c r="D3621" s="140" t="s">
        <v>6318</v>
      </c>
      <c r="E3621" s="140" t="s">
        <v>6142</v>
      </c>
      <c r="F3621" s="140" t="s">
        <v>5760</v>
      </c>
      <c r="G3621" s="141" t="s">
        <v>6401</v>
      </c>
      <c r="H3621" s="140" t="s">
        <v>6312</v>
      </c>
      <c r="I3621" s="140" t="s">
        <v>6313</v>
      </c>
      <c r="J3621" s="140" t="s">
        <v>6314</v>
      </c>
      <c r="K3621" s="140" t="s">
        <v>6594</v>
      </c>
    </row>
    <row r="3622">
      <c r="A3622" s="140" t="s">
        <v>6594</v>
      </c>
      <c r="B3622" s="140" t="s">
        <v>10832</v>
      </c>
      <c r="C3622" s="140" t="s">
        <v>10833</v>
      </c>
      <c r="D3622" s="140" t="s">
        <v>6318</v>
      </c>
      <c r="E3622" s="140" t="s">
        <v>6142</v>
      </c>
      <c r="F3622" s="140" t="s">
        <v>5760</v>
      </c>
      <c r="G3622" s="141" t="s">
        <v>6401</v>
      </c>
      <c r="H3622" s="140" t="s">
        <v>6312</v>
      </c>
      <c r="I3622" s="140" t="s">
        <v>6313</v>
      </c>
      <c r="J3622" s="140" t="s">
        <v>6314</v>
      </c>
      <c r="K3622" s="140" t="s">
        <v>6594</v>
      </c>
    </row>
    <row r="3623">
      <c r="A3623" s="140" t="s">
        <v>6594</v>
      </c>
      <c r="B3623" s="140" t="s">
        <v>10834</v>
      </c>
      <c r="C3623" s="140" t="s">
        <v>10835</v>
      </c>
      <c r="D3623" s="140" t="s">
        <v>6318</v>
      </c>
      <c r="E3623" s="140" t="s">
        <v>6142</v>
      </c>
      <c r="F3623" s="140" t="s">
        <v>5760</v>
      </c>
      <c r="G3623" s="141" t="s">
        <v>6401</v>
      </c>
      <c r="H3623" s="140" t="s">
        <v>6312</v>
      </c>
      <c r="I3623" s="140" t="s">
        <v>6313</v>
      </c>
      <c r="J3623" s="140" t="s">
        <v>6314</v>
      </c>
      <c r="K3623" s="140" t="s">
        <v>6594</v>
      </c>
    </row>
    <row r="3624">
      <c r="A3624" s="140" t="s">
        <v>6594</v>
      </c>
      <c r="B3624" s="140" t="s">
        <v>10836</v>
      </c>
      <c r="C3624" s="140" t="s">
        <v>10837</v>
      </c>
      <c r="D3624" s="140" t="s">
        <v>6318</v>
      </c>
      <c r="E3624" s="140" t="s">
        <v>6142</v>
      </c>
      <c r="F3624" s="140" t="s">
        <v>5760</v>
      </c>
      <c r="G3624" s="141" t="s">
        <v>6401</v>
      </c>
      <c r="H3624" s="140" t="s">
        <v>6312</v>
      </c>
      <c r="I3624" s="140" t="s">
        <v>6313</v>
      </c>
      <c r="J3624" s="140" t="s">
        <v>6314</v>
      </c>
      <c r="K3624" s="140" t="s">
        <v>6594</v>
      </c>
    </row>
    <row r="3625">
      <c r="A3625" s="140" t="s">
        <v>6594</v>
      </c>
      <c r="B3625" s="140" t="s">
        <v>10838</v>
      </c>
      <c r="C3625" s="140" t="s">
        <v>10839</v>
      </c>
      <c r="D3625" s="140" t="s">
        <v>6318</v>
      </c>
      <c r="E3625" s="140" t="s">
        <v>6142</v>
      </c>
      <c r="F3625" s="140" t="s">
        <v>5760</v>
      </c>
      <c r="G3625" s="141" t="s">
        <v>6401</v>
      </c>
      <c r="H3625" s="140" t="s">
        <v>6312</v>
      </c>
      <c r="I3625" s="140" t="s">
        <v>6313</v>
      </c>
      <c r="J3625" s="140" t="s">
        <v>6314</v>
      </c>
      <c r="K3625" s="140" t="s">
        <v>6594</v>
      </c>
    </row>
    <row r="3626">
      <c r="A3626" s="140" t="s">
        <v>6594</v>
      </c>
      <c r="B3626" s="140" t="s">
        <v>10840</v>
      </c>
      <c r="C3626" s="140" t="s">
        <v>10841</v>
      </c>
      <c r="D3626" s="140" t="s">
        <v>6318</v>
      </c>
      <c r="E3626" s="140" t="s">
        <v>6142</v>
      </c>
      <c r="F3626" s="140" t="s">
        <v>5760</v>
      </c>
      <c r="G3626" s="141" t="s">
        <v>6401</v>
      </c>
      <c r="H3626" s="140" t="s">
        <v>6312</v>
      </c>
      <c r="I3626" s="140" t="s">
        <v>6313</v>
      </c>
      <c r="J3626" s="140" t="s">
        <v>6314</v>
      </c>
      <c r="K3626" s="140" t="s">
        <v>6594</v>
      </c>
    </row>
    <row r="3627">
      <c r="A3627" s="140" t="s">
        <v>6594</v>
      </c>
      <c r="B3627" s="140" t="s">
        <v>10842</v>
      </c>
      <c r="C3627" s="140" t="s">
        <v>10843</v>
      </c>
      <c r="D3627" s="140" t="s">
        <v>6318</v>
      </c>
      <c r="E3627" s="140" t="s">
        <v>6142</v>
      </c>
      <c r="F3627" s="140" t="s">
        <v>5760</v>
      </c>
      <c r="G3627" s="141" t="s">
        <v>6401</v>
      </c>
      <c r="H3627" s="140" t="s">
        <v>6312</v>
      </c>
      <c r="I3627" s="140" t="s">
        <v>6313</v>
      </c>
      <c r="J3627" s="140" t="s">
        <v>6314</v>
      </c>
      <c r="K3627" s="140" t="s">
        <v>6594</v>
      </c>
    </row>
    <row r="3628">
      <c r="A3628" s="140" t="s">
        <v>6594</v>
      </c>
      <c r="B3628" s="140" t="s">
        <v>10844</v>
      </c>
      <c r="C3628" s="140" t="s">
        <v>10845</v>
      </c>
      <c r="D3628" s="140" t="s">
        <v>6318</v>
      </c>
      <c r="E3628" s="140" t="s">
        <v>6142</v>
      </c>
      <c r="F3628" s="140" t="s">
        <v>5760</v>
      </c>
      <c r="G3628" s="141" t="s">
        <v>6401</v>
      </c>
      <c r="H3628" s="140" t="s">
        <v>6312</v>
      </c>
      <c r="I3628" s="140" t="s">
        <v>6313</v>
      </c>
      <c r="J3628" s="140" t="s">
        <v>6314</v>
      </c>
      <c r="K3628" s="140" t="s">
        <v>6594</v>
      </c>
    </row>
    <row r="3629">
      <c r="A3629" s="140" t="s">
        <v>6594</v>
      </c>
      <c r="B3629" s="140" t="s">
        <v>10846</v>
      </c>
      <c r="C3629" s="140" t="s">
        <v>10847</v>
      </c>
      <c r="D3629" s="140" t="s">
        <v>6318</v>
      </c>
      <c r="E3629" s="140" t="s">
        <v>6142</v>
      </c>
      <c r="F3629" s="140" t="s">
        <v>5760</v>
      </c>
      <c r="G3629" s="141" t="s">
        <v>6401</v>
      </c>
      <c r="H3629" s="140" t="s">
        <v>6312</v>
      </c>
      <c r="I3629" s="140" t="s">
        <v>6313</v>
      </c>
      <c r="J3629" s="140" t="s">
        <v>6314</v>
      </c>
      <c r="K3629" s="140" t="s">
        <v>6594</v>
      </c>
    </row>
    <row r="3630">
      <c r="A3630" s="140" t="s">
        <v>6594</v>
      </c>
      <c r="B3630" s="140" t="s">
        <v>10848</v>
      </c>
      <c r="C3630" s="140" t="s">
        <v>10849</v>
      </c>
      <c r="D3630" s="140" t="s">
        <v>6318</v>
      </c>
      <c r="E3630" s="140" t="s">
        <v>6142</v>
      </c>
      <c r="F3630" s="140" t="s">
        <v>5760</v>
      </c>
      <c r="G3630" s="141" t="s">
        <v>6401</v>
      </c>
      <c r="H3630" s="140" t="s">
        <v>6312</v>
      </c>
      <c r="I3630" s="140" t="s">
        <v>6313</v>
      </c>
      <c r="J3630" s="140" t="s">
        <v>6314</v>
      </c>
      <c r="K3630" s="140" t="s">
        <v>6594</v>
      </c>
    </row>
    <row r="3631">
      <c r="A3631" s="140" t="s">
        <v>6594</v>
      </c>
      <c r="B3631" s="140" t="s">
        <v>10850</v>
      </c>
      <c r="C3631" s="140" t="s">
        <v>10851</v>
      </c>
      <c r="D3631" s="140" t="s">
        <v>6318</v>
      </c>
      <c r="E3631" s="140" t="s">
        <v>6142</v>
      </c>
      <c r="F3631" s="140" t="s">
        <v>5760</v>
      </c>
      <c r="G3631" s="141" t="s">
        <v>6401</v>
      </c>
      <c r="H3631" s="140" t="s">
        <v>6312</v>
      </c>
      <c r="I3631" s="140" t="s">
        <v>6313</v>
      </c>
      <c r="J3631" s="140" t="s">
        <v>6314</v>
      </c>
      <c r="K3631" s="140" t="s">
        <v>6594</v>
      </c>
    </row>
    <row r="3632">
      <c r="A3632" s="140" t="s">
        <v>6594</v>
      </c>
      <c r="B3632" s="140" t="s">
        <v>10852</v>
      </c>
      <c r="C3632" s="140" t="s">
        <v>10853</v>
      </c>
      <c r="D3632" s="140" t="s">
        <v>6318</v>
      </c>
      <c r="E3632" s="140" t="s">
        <v>6142</v>
      </c>
      <c r="F3632" s="140" t="s">
        <v>5760</v>
      </c>
      <c r="G3632" s="141" t="s">
        <v>6401</v>
      </c>
      <c r="H3632" s="140" t="s">
        <v>6312</v>
      </c>
      <c r="I3632" s="140" t="s">
        <v>6313</v>
      </c>
      <c r="J3632" s="140" t="s">
        <v>6314</v>
      </c>
      <c r="K3632" s="140" t="s">
        <v>6594</v>
      </c>
    </row>
    <row r="3633">
      <c r="A3633" s="140" t="s">
        <v>6594</v>
      </c>
      <c r="B3633" s="140" t="s">
        <v>10854</v>
      </c>
      <c r="C3633" s="140" t="s">
        <v>10855</v>
      </c>
      <c r="D3633" s="140" t="s">
        <v>6318</v>
      </c>
      <c r="E3633" s="140" t="s">
        <v>6142</v>
      </c>
      <c r="F3633" s="140" t="s">
        <v>5760</v>
      </c>
      <c r="G3633" s="141" t="s">
        <v>6401</v>
      </c>
      <c r="H3633" s="140" t="s">
        <v>6312</v>
      </c>
      <c r="I3633" s="140" t="s">
        <v>6313</v>
      </c>
      <c r="J3633" s="140" t="s">
        <v>6314</v>
      </c>
      <c r="K3633" s="140" t="s">
        <v>6594</v>
      </c>
    </row>
    <row r="3634">
      <c r="A3634" s="140" t="s">
        <v>6594</v>
      </c>
      <c r="B3634" s="140" t="s">
        <v>10856</v>
      </c>
      <c r="C3634" s="140" t="s">
        <v>10857</v>
      </c>
      <c r="D3634" s="140" t="s">
        <v>6318</v>
      </c>
      <c r="E3634" s="140" t="s">
        <v>6142</v>
      </c>
      <c r="F3634" s="140" t="s">
        <v>5760</v>
      </c>
      <c r="G3634" s="141" t="s">
        <v>6401</v>
      </c>
      <c r="H3634" s="140" t="s">
        <v>6312</v>
      </c>
      <c r="I3634" s="140" t="s">
        <v>6313</v>
      </c>
      <c r="J3634" s="140" t="s">
        <v>6314</v>
      </c>
      <c r="K3634" s="140" t="s">
        <v>6594</v>
      </c>
    </row>
    <row r="3635">
      <c r="A3635" s="140" t="s">
        <v>6594</v>
      </c>
      <c r="B3635" s="140" t="s">
        <v>3328</v>
      </c>
      <c r="C3635" s="140" t="s">
        <v>10858</v>
      </c>
      <c r="D3635" s="140" t="s">
        <v>6318</v>
      </c>
      <c r="E3635" s="140" t="s">
        <v>6142</v>
      </c>
      <c r="F3635" s="140" t="s">
        <v>5760</v>
      </c>
      <c r="G3635" s="141" t="s">
        <v>6401</v>
      </c>
      <c r="H3635" s="140" t="s">
        <v>6312</v>
      </c>
      <c r="I3635" s="140" t="s">
        <v>6313</v>
      </c>
      <c r="J3635" s="140" t="s">
        <v>6314</v>
      </c>
      <c r="K3635" s="140" t="s">
        <v>6594</v>
      </c>
    </row>
    <row r="3636">
      <c r="A3636" s="140" t="s">
        <v>6594</v>
      </c>
      <c r="B3636" s="140" t="s">
        <v>10859</v>
      </c>
      <c r="C3636" s="140" t="s">
        <v>10860</v>
      </c>
      <c r="D3636" s="140" t="s">
        <v>6318</v>
      </c>
      <c r="E3636" s="140" t="s">
        <v>6142</v>
      </c>
      <c r="F3636" s="140" t="s">
        <v>5760</v>
      </c>
      <c r="G3636" s="141" t="s">
        <v>6401</v>
      </c>
      <c r="H3636" s="140" t="s">
        <v>6312</v>
      </c>
      <c r="I3636" s="140" t="s">
        <v>6313</v>
      </c>
      <c r="J3636" s="140" t="s">
        <v>6314</v>
      </c>
      <c r="K3636" s="140" t="s">
        <v>6594</v>
      </c>
    </row>
    <row r="3637">
      <c r="A3637" s="140" t="s">
        <v>6594</v>
      </c>
      <c r="B3637" s="140" t="s">
        <v>10861</v>
      </c>
      <c r="C3637" s="140" t="s">
        <v>10862</v>
      </c>
      <c r="D3637" s="140" t="s">
        <v>6318</v>
      </c>
      <c r="E3637" s="140" t="s">
        <v>6142</v>
      </c>
      <c r="F3637" s="140" t="s">
        <v>5760</v>
      </c>
      <c r="G3637" s="141" t="s">
        <v>6401</v>
      </c>
      <c r="H3637" s="140" t="s">
        <v>6312</v>
      </c>
      <c r="I3637" s="140" t="s">
        <v>6313</v>
      </c>
      <c r="J3637" s="140" t="s">
        <v>6314</v>
      </c>
      <c r="K3637" s="140" t="s">
        <v>6594</v>
      </c>
    </row>
    <row r="3638">
      <c r="A3638" s="140" t="s">
        <v>6594</v>
      </c>
      <c r="B3638" s="140" t="s">
        <v>10863</v>
      </c>
      <c r="C3638" s="140" t="s">
        <v>10864</v>
      </c>
      <c r="D3638" s="140" t="s">
        <v>6318</v>
      </c>
      <c r="E3638" s="140" t="s">
        <v>6142</v>
      </c>
      <c r="F3638" s="140" t="s">
        <v>5760</v>
      </c>
      <c r="G3638" s="141" t="s">
        <v>6401</v>
      </c>
      <c r="H3638" s="140" t="s">
        <v>6312</v>
      </c>
      <c r="I3638" s="140" t="s">
        <v>6313</v>
      </c>
      <c r="J3638" s="140" t="s">
        <v>6314</v>
      </c>
      <c r="K3638" s="140" t="s">
        <v>6594</v>
      </c>
    </row>
    <row r="3639">
      <c r="A3639" s="140" t="s">
        <v>6594</v>
      </c>
      <c r="B3639" s="140" t="s">
        <v>10865</v>
      </c>
      <c r="C3639" s="140" t="s">
        <v>10866</v>
      </c>
      <c r="D3639" s="140" t="s">
        <v>6318</v>
      </c>
      <c r="E3639" s="140" t="s">
        <v>6142</v>
      </c>
      <c r="F3639" s="140" t="s">
        <v>5760</v>
      </c>
      <c r="G3639" s="141" t="s">
        <v>6401</v>
      </c>
      <c r="H3639" s="140" t="s">
        <v>6312</v>
      </c>
      <c r="I3639" s="140" t="s">
        <v>6313</v>
      </c>
      <c r="J3639" s="140" t="s">
        <v>6314</v>
      </c>
      <c r="K3639" s="140" t="s">
        <v>6594</v>
      </c>
    </row>
    <row r="3640">
      <c r="A3640" s="140" t="s">
        <v>6594</v>
      </c>
      <c r="B3640" s="140" t="s">
        <v>10867</v>
      </c>
      <c r="C3640" s="140" t="s">
        <v>10868</v>
      </c>
      <c r="D3640" s="140" t="s">
        <v>6318</v>
      </c>
      <c r="E3640" s="140" t="s">
        <v>6142</v>
      </c>
      <c r="F3640" s="140" t="s">
        <v>5760</v>
      </c>
      <c r="G3640" s="141" t="s">
        <v>6401</v>
      </c>
      <c r="H3640" s="140" t="s">
        <v>6312</v>
      </c>
      <c r="I3640" s="140" t="s">
        <v>6313</v>
      </c>
      <c r="J3640" s="140" t="s">
        <v>6314</v>
      </c>
      <c r="K3640" s="140" t="s">
        <v>6594</v>
      </c>
    </row>
    <row r="3641">
      <c r="A3641" s="140" t="s">
        <v>6594</v>
      </c>
      <c r="B3641" s="140" t="s">
        <v>10869</v>
      </c>
      <c r="C3641" s="140" t="s">
        <v>10870</v>
      </c>
      <c r="D3641" s="140" t="s">
        <v>6318</v>
      </c>
      <c r="E3641" s="140" t="s">
        <v>6142</v>
      </c>
      <c r="F3641" s="140" t="s">
        <v>5760</v>
      </c>
      <c r="G3641" s="141" t="s">
        <v>6401</v>
      </c>
      <c r="H3641" s="140" t="s">
        <v>6312</v>
      </c>
      <c r="I3641" s="140" t="s">
        <v>6313</v>
      </c>
      <c r="J3641" s="140" t="s">
        <v>6314</v>
      </c>
      <c r="K3641" s="140" t="s">
        <v>6594</v>
      </c>
    </row>
    <row r="3642">
      <c r="A3642" s="140" t="s">
        <v>6594</v>
      </c>
      <c r="B3642" s="140" t="s">
        <v>10871</v>
      </c>
      <c r="C3642" s="140" t="s">
        <v>10872</v>
      </c>
      <c r="D3642" s="140" t="s">
        <v>6318</v>
      </c>
      <c r="E3642" s="140" t="s">
        <v>6142</v>
      </c>
      <c r="F3642" s="140" t="s">
        <v>5760</v>
      </c>
      <c r="G3642" s="141" t="s">
        <v>6401</v>
      </c>
      <c r="H3642" s="140" t="s">
        <v>6312</v>
      </c>
      <c r="I3642" s="140" t="s">
        <v>6313</v>
      </c>
      <c r="J3642" s="140" t="s">
        <v>6314</v>
      </c>
      <c r="K3642" s="140" t="s">
        <v>6594</v>
      </c>
    </row>
    <row r="3643">
      <c r="A3643" s="140" t="s">
        <v>6594</v>
      </c>
      <c r="B3643" s="140" t="s">
        <v>10873</v>
      </c>
      <c r="C3643" s="140" t="s">
        <v>10874</v>
      </c>
      <c r="D3643" s="140" t="s">
        <v>6318</v>
      </c>
      <c r="E3643" s="140" t="s">
        <v>6142</v>
      </c>
      <c r="F3643" s="140" t="s">
        <v>5760</v>
      </c>
      <c r="G3643" s="141" t="s">
        <v>6401</v>
      </c>
      <c r="H3643" s="140" t="s">
        <v>6312</v>
      </c>
      <c r="I3643" s="140" t="s">
        <v>6313</v>
      </c>
      <c r="J3643" s="140" t="s">
        <v>6314</v>
      </c>
      <c r="K3643" s="140" t="s">
        <v>6594</v>
      </c>
    </row>
    <row r="3644">
      <c r="A3644" s="140" t="s">
        <v>6594</v>
      </c>
      <c r="B3644" s="140" t="s">
        <v>10875</v>
      </c>
      <c r="C3644" s="140" t="s">
        <v>10876</v>
      </c>
      <c r="D3644" s="140" t="s">
        <v>6318</v>
      </c>
      <c r="E3644" s="140" t="s">
        <v>6142</v>
      </c>
      <c r="F3644" s="140" t="s">
        <v>5760</v>
      </c>
      <c r="G3644" s="141" t="s">
        <v>6401</v>
      </c>
      <c r="H3644" s="140" t="s">
        <v>6312</v>
      </c>
      <c r="I3644" s="140" t="s">
        <v>6313</v>
      </c>
      <c r="J3644" s="140" t="s">
        <v>6314</v>
      </c>
      <c r="K3644" s="140" t="s">
        <v>6594</v>
      </c>
    </row>
    <row r="3645">
      <c r="A3645" s="140" t="s">
        <v>6594</v>
      </c>
      <c r="B3645" s="140" t="s">
        <v>10877</v>
      </c>
      <c r="C3645" s="140" t="s">
        <v>10878</v>
      </c>
      <c r="D3645" s="140" t="s">
        <v>6318</v>
      </c>
      <c r="E3645" s="140" t="s">
        <v>6142</v>
      </c>
      <c r="F3645" s="140" t="s">
        <v>5760</v>
      </c>
      <c r="G3645" s="141" t="s">
        <v>6401</v>
      </c>
      <c r="H3645" s="140" t="s">
        <v>6312</v>
      </c>
      <c r="I3645" s="140" t="s">
        <v>6313</v>
      </c>
      <c r="J3645" s="140" t="s">
        <v>6314</v>
      </c>
      <c r="K3645" s="140" t="s">
        <v>6594</v>
      </c>
    </row>
    <row r="3646">
      <c r="A3646" s="140" t="s">
        <v>6594</v>
      </c>
      <c r="B3646" s="140" t="s">
        <v>10879</v>
      </c>
      <c r="C3646" s="140" t="s">
        <v>10880</v>
      </c>
      <c r="D3646" s="140" t="s">
        <v>6318</v>
      </c>
      <c r="E3646" s="140" t="s">
        <v>6142</v>
      </c>
      <c r="F3646" s="140" t="s">
        <v>5760</v>
      </c>
      <c r="G3646" s="141" t="s">
        <v>6401</v>
      </c>
      <c r="H3646" s="140" t="s">
        <v>6312</v>
      </c>
      <c r="I3646" s="140" t="s">
        <v>6313</v>
      </c>
      <c r="J3646" s="140" t="s">
        <v>6314</v>
      </c>
      <c r="K3646" s="140" t="s">
        <v>6594</v>
      </c>
    </row>
    <row r="3647">
      <c r="A3647" s="140" t="s">
        <v>6594</v>
      </c>
      <c r="B3647" s="140" t="s">
        <v>10881</v>
      </c>
      <c r="C3647" s="140" t="s">
        <v>10882</v>
      </c>
      <c r="D3647" s="140" t="s">
        <v>6318</v>
      </c>
      <c r="E3647" s="140" t="s">
        <v>6142</v>
      </c>
      <c r="F3647" s="140" t="s">
        <v>5760</v>
      </c>
      <c r="G3647" s="141" t="s">
        <v>6401</v>
      </c>
      <c r="H3647" s="140" t="s">
        <v>6312</v>
      </c>
      <c r="I3647" s="140" t="s">
        <v>6313</v>
      </c>
      <c r="J3647" s="140" t="s">
        <v>6314</v>
      </c>
      <c r="K3647" s="140" t="s">
        <v>6594</v>
      </c>
    </row>
    <row r="3648">
      <c r="A3648" s="140" t="s">
        <v>6594</v>
      </c>
      <c r="B3648" s="140" t="s">
        <v>10883</v>
      </c>
      <c r="C3648" s="140" t="s">
        <v>10884</v>
      </c>
      <c r="D3648" s="140" t="s">
        <v>6318</v>
      </c>
      <c r="E3648" s="140" t="s">
        <v>6142</v>
      </c>
      <c r="F3648" s="140" t="s">
        <v>5760</v>
      </c>
      <c r="G3648" s="141" t="s">
        <v>6401</v>
      </c>
      <c r="H3648" s="140" t="s">
        <v>6312</v>
      </c>
      <c r="I3648" s="140" t="s">
        <v>6313</v>
      </c>
      <c r="J3648" s="140" t="s">
        <v>6314</v>
      </c>
      <c r="K3648" s="140" t="s">
        <v>6594</v>
      </c>
    </row>
    <row r="3649">
      <c r="A3649" s="140" t="s">
        <v>6594</v>
      </c>
      <c r="B3649" s="140" t="s">
        <v>10885</v>
      </c>
      <c r="C3649" s="140" t="s">
        <v>10886</v>
      </c>
      <c r="D3649" s="140" t="s">
        <v>6318</v>
      </c>
      <c r="E3649" s="140" t="s">
        <v>6142</v>
      </c>
      <c r="F3649" s="140" t="s">
        <v>5760</v>
      </c>
      <c r="G3649" s="141" t="s">
        <v>6401</v>
      </c>
      <c r="H3649" s="140" t="s">
        <v>6312</v>
      </c>
      <c r="I3649" s="140" t="s">
        <v>6313</v>
      </c>
      <c r="J3649" s="140" t="s">
        <v>6314</v>
      </c>
      <c r="K3649" s="140" t="s">
        <v>6594</v>
      </c>
    </row>
    <row r="3650">
      <c r="A3650" s="140" t="s">
        <v>6594</v>
      </c>
      <c r="B3650" s="140" t="s">
        <v>10887</v>
      </c>
      <c r="C3650" s="140" t="s">
        <v>10888</v>
      </c>
      <c r="D3650" s="140" t="s">
        <v>6318</v>
      </c>
      <c r="E3650" s="140" t="s">
        <v>6142</v>
      </c>
      <c r="F3650" s="140" t="s">
        <v>5760</v>
      </c>
      <c r="G3650" s="141" t="s">
        <v>6401</v>
      </c>
      <c r="H3650" s="140" t="s">
        <v>6312</v>
      </c>
      <c r="I3650" s="140" t="s">
        <v>6313</v>
      </c>
      <c r="J3650" s="140" t="s">
        <v>6314</v>
      </c>
      <c r="K3650" s="140" t="s">
        <v>6594</v>
      </c>
    </row>
    <row r="3651">
      <c r="A3651" s="140" t="s">
        <v>6594</v>
      </c>
      <c r="B3651" s="140" t="s">
        <v>10889</v>
      </c>
      <c r="C3651" s="140" t="s">
        <v>10890</v>
      </c>
      <c r="D3651" s="140" t="s">
        <v>6318</v>
      </c>
      <c r="E3651" s="140" t="s">
        <v>6142</v>
      </c>
      <c r="F3651" s="140" t="s">
        <v>5760</v>
      </c>
      <c r="G3651" s="141" t="s">
        <v>6401</v>
      </c>
      <c r="H3651" s="140" t="s">
        <v>6312</v>
      </c>
      <c r="I3651" s="140" t="s">
        <v>6313</v>
      </c>
      <c r="J3651" s="140" t="s">
        <v>6314</v>
      </c>
      <c r="K3651" s="140" t="s">
        <v>6594</v>
      </c>
    </row>
    <row r="3652">
      <c r="A3652" s="140" t="s">
        <v>6594</v>
      </c>
      <c r="B3652" s="140" t="s">
        <v>10891</v>
      </c>
      <c r="C3652" s="140" t="s">
        <v>10892</v>
      </c>
      <c r="D3652" s="140" t="s">
        <v>6318</v>
      </c>
      <c r="E3652" s="140" t="s">
        <v>6142</v>
      </c>
      <c r="F3652" s="140" t="s">
        <v>5760</v>
      </c>
      <c r="G3652" s="141" t="s">
        <v>6401</v>
      </c>
      <c r="H3652" s="140" t="s">
        <v>6312</v>
      </c>
      <c r="I3652" s="140" t="s">
        <v>6313</v>
      </c>
      <c r="J3652" s="140" t="s">
        <v>6314</v>
      </c>
      <c r="K3652" s="140" t="s">
        <v>6594</v>
      </c>
    </row>
    <row r="3653">
      <c r="A3653" s="140" t="s">
        <v>6594</v>
      </c>
      <c r="B3653" s="140" t="s">
        <v>10893</v>
      </c>
      <c r="C3653" s="140" t="s">
        <v>10894</v>
      </c>
      <c r="D3653" s="140" t="s">
        <v>6318</v>
      </c>
      <c r="E3653" s="140" t="s">
        <v>6142</v>
      </c>
      <c r="F3653" s="140" t="s">
        <v>5760</v>
      </c>
      <c r="G3653" s="141" t="s">
        <v>6401</v>
      </c>
      <c r="H3653" s="140" t="s">
        <v>6312</v>
      </c>
      <c r="I3653" s="140" t="s">
        <v>6313</v>
      </c>
      <c r="J3653" s="140" t="s">
        <v>6314</v>
      </c>
      <c r="K3653" s="140" t="s">
        <v>6594</v>
      </c>
    </row>
    <row r="3654">
      <c r="A3654" s="140" t="s">
        <v>6594</v>
      </c>
      <c r="B3654" s="140" t="s">
        <v>10895</v>
      </c>
      <c r="C3654" s="140" t="s">
        <v>10896</v>
      </c>
      <c r="D3654" s="140" t="s">
        <v>6318</v>
      </c>
      <c r="E3654" s="140" t="s">
        <v>6142</v>
      </c>
      <c r="F3654" s="140" t="s">
        <v>5760</v>
      </c>
      <c r="G3654" s="141" t="s">
        <v>6401</v>
      </c>
      <c r="H3654" s="140" t="s">
        <v>6312</v>
      </c>
      <c r="I3654" s="140" t="s">
        <v>6313</v>
      </c>
      <c r="J3654" s="140" t="s">
        <v>6314</v>
      </c>
      <c r="K3654" s="140" t="s">
        <v>6594</v>
      </c>
    </row>
    <row r="3655">
      <c r="A3655" s="140" t="s">
        <v>6594</v>
      </c>
      <c r="B3655" s="140" t="s">
        <v>4594</v>
      </c>
      <c r="C3655" s="140" t="s">
        <v>10897</v>
      </c>
      <c r="D3655" s="140" t="s">
        <v>6318</v>
      </c>
      <c r="E3655" s="140" t="s">
        <v>6142</v>
      </c>
      <c r="F3655" s="140" t="s">
        <v>5760</v>
      </c>
      <c r="G3655" s="141" t="s">
        <v>6401</v>
      </c>
      <c r="H3655" s="140" t="s">
        <v>6312</v>
      </c>
      <c r="I3655" s="140" t="s">
        <v>6313</v>
      </c>
      <c r="J3655" s="140" t="s">
        <v>6314</v>
      </c>
      <c r="K3655" s="140" t="s">
        <v>6594</v>
      </c>
    </row>
    <row r="3656">
      <c r="A3656" s="140" t="s">
        <v>6594</v>
      </c>
      <c r="B3656" s="140" t="s">
        <v>10898</v>
      </c>
      <c r="C3656" s="140" t="s">
        <v>10899</v>
      </c>
      <c r="D3656" s="140" t="s">
        <v>6318</v>
      </c>
      <c r="E3656" s="140" t="s">
        <v>6142</v>
      </c>
      <c r="F3656" s="140" t="s">
        <v>5760</v>
      </c>
      <c r="G3656" s="141" t="s">
        <v>6401</v>
      </c>
      <c r="H3656" s="140" t="s">
        <v>6312</v>
      </c>
      <c r="I3656" s="140" t="s">
        <v>6313</v>
      </c>
      <c r="J3656" s="140" t="s">
        <v>6314</v>
      </c>
      <c r="K3656" s="140" t="s">
        <v>6594</v>
      </c>
    </row>
    <row r="3657">
      <c r="A3657" s="140" t="s">
        <v>6594</v>
      </c>
      <c r="B3657" s="140" t="s">
        <v>10900</v>
      </c>
      <c r="C3657" s="140" t="s">
        <v>10901</v>
      </c>
      <c r="D3657" s="140" t="s">
        <v>6318</v>
      </c>
      <c r="E3657" s="140" t="s">
        <v>6142</v>
      </c>
      <c r="F3657" s="140" t="s">
        <v>5760</v>
      </c>
      <c r="G3657" s="141" t="s">
        <v>6401</v>
      </c>
      <c r="H3657" s="140" t="s">
        <v>6312</v>
      </c>
      <c r="I3657" s="140" t="s">
        <v>6313</v>
      </c>
      <c r="J3657" s="140" t="s">
        <v>6314</v>
      </c>
      <c r="K3657" s="140" t="s">
        <v>6594</v>
      </c>
    </row>
    <row r="3658">
      <c r="A3658" s="140" t="s">
        <v>6594</v>
      </c>
      <c r="B3658" s="140" t="s">
        <v>10902</v>
      </c>
      <c r="C3658" s="140" t="s">
        <v>10903</v>
      </c>
      <c r="D3658" s="140" t="s">
        <v>6318</v>
      </c>
      <c r="E3658" s="140" t="s">
        <v>6142</v>
      </c>
      <c r="F3658" s="140" t="s">
        <v>5760</v>
      </c>
      <c r="G3658" s="141" t="s">
        <v>6401</v>
      </c>
      <c r="H3658" s="140" t="s">
        <v>6312</v>
      </c>
      <c r="I3658" s="140" t="s">
        <v>6313</v>
      </c>
      <c r="J3658" s="140" t="s">
        <v>6314</v>
      </c>
      <c r="K3658" s="140" t="s">
        <v>6594</v>
      </c>
    </row>
    <row r="3659">
      <c r="A3659" s="140" t="s">
        <v>6594</v>
      </c>
      <c r="B3659" s="140" t="s">
        <v>10904</v>
      </c>
      <c r="C3659" s="140" t="s">
        <v>10905</v>
      </c>
      <c r="D3659" s="140" t="s">
        <v>6318</v>
      </c>
      <c r="E3659" s="140" t="s">
        <v>6142</v>
      </c>
      <c r="F3659" s="140" t="s">
        <v>5760</v>
      </c>
      <c r="G3659" s="141" t="s">
        <v>6401</v>
      </c>
      <c r="H3659" s="140" t="s">
        <v>6312</v>
      </c>
      <c r="I3659" s="140" t="s">
        <v>6313</v>
      </c>
      <c r="J3659" s="140" t="s">
        <v>6314</v>
      </c>
      <c r="K3659" s="140" t="s">
        <v>6594</v>
      </c>
    </row>
    <row r="3660">
      <c r="A3660" s="140" t="s">
        <v>6594</v>
      </c>
      <c r="B3660" s="140" t="s">
        <v>10906</v>
      </c>
      <c r="C3660" s="140" t="s">
        <v>10907</v>
      </c>
      <c r="D3660" s="140" t="s">
        <v>6318</v>
      </c>
      <c r="E3660" s="140" t="s">
        <v>6142</v>
      </c>
      <c r="F3660" s="140" t="s">
        <v>5760</v>
      </c>
      <c r="G3660" s="141" t="s">
        <v>6401</v>
      </c>
      <c r="H3660" s="140" t="s">
        <v>6312</v>
      </c>
      <c r="I3660" s="140" t="s">
        <v>6313</v>
      </c>
      <c r="J3660" s="140" t="s">
        <v>6314</v>
      </c>
      <c r="K3660" s="140" t="s">
        <v>6594</v>
      </c>
    </row>
    <row r="3661">
      <c r="A3661" s="140" t="s">
        <v>6594</v>
      </c>
      <c r="B3661" s="140" t="s">
        <v>10908</v>
      </c>
      <c r="C3661" s="140" t="s">
        <v>10909</v>
      </c>
      <c r="D3661" s="140" t="s">
        <v>6318</v>
      </c>
      <c r="E3661" s="140" t="s">
        <v>6142</v>
      </c>
      <c r="F3661" s="140" t="s">
        <v>5760</v>
      </c>
      <c r="G3661" s="141" t="s">
        <v>6401</v>
      </c>
      <c r="H3661" s="140" t="s">
        <v>6312</v>
      </c>
      <c r="I3661" s="140" t="s">
        <v>6313</v>
      </c>
      <c r="J3661" s="140" t="s">
        <v>6314</v>
      </c>
      <c r="K3661" s="140" t="s">
        <v>6594</v>
      </c>
    </row>
    <row r="3662">
      <c r="A3662" s="140" t="s">
        <v>6594</v>
      </c>
      <c r="B3662" s="140" t="s">
        <v>10910</v>
      </c>
      <c r="C3662" s="140" t="s">
        <v>10911</v>
      </c>
      <c r="D3662" s="140" t="s">
        <v>6318</v>
      </c>
      <c r="E3662" s="140" t="s">
        <v>6142</v>
      </c>
      <c r="F3662" s="140" t="s">
        <v>5760</v>
      </c>
      <c r="G3662" s="141" t="s">
        <v>6401</v>
      </c>
      <c r="H3662" s="140" t="s">
        <v>6312</v>
      </c>
      <c r="I3662" s="140" t="s">
        <v>6313</v>
      </c>
      <c r="J3662" s="140" t="s">
        <v>6314</v>
      </c>
      <c r="K3662" s="140" t="s">
        <v>6594</v>
      </c>
    </row>
    <row r="3663">
      <c r="A3663" s="140" t="s">
        <v>6594</v>
      </c>
      <c r="B3663" s="140" t="s">
        <v>10912</v>
      </c>
      <c r="C3663" s="140" t="s">
        <v>10913</v>
      </c>
      <c r="D3663" s="140" t="s">
        <v>6318</v>
      </c>
      <c r="E3663" s="140" t="s">
        <v>6142</v>
      </c>
      <c r="F3663" s="140" t="s">
        <v>10914</v>
      </c>
      <c r="G3663" s="141" t="s">
        <v>6401</v>
      </c>
      <c r="H3663" s="140" t="s">
        <v>6312</v>
      </c>
      <c r="I3663" s="140" t="s">
        <v>6313</v>
      </c>
      <c r="J3663" s="140" t="s">
        <v>6314</v>
      </c>
      <c r="K3663" s="140" t="s">
        <v>6594</v>
      </c>
    </row>
    <row r="3664">
      <c r="A3664" s="140" t="s">
        <v>6594</v>
      </c>
      <c r="B3664" s="140" t="s">
        <v>10915</v>
      </c>
      <c r="C3664" s="140" t="s">
        <v>10916</v>
      </c>
      <c r="D3664" s="140" t="s">
        <v>6318</v>
      </c>
      <c r="E3664" s="140" t="s">
        <v>6142</v>
      </c>
      <c r="F3664" s="140" t="s">
        <v>10914</v>
      </c>
      <c r="G3664" s="141" t="s">
        <v>6401</v>
      </c>
      <c r="H3664" s="140" t="s">
        <v>6312</v>
      </c>
      <c r="I3664" s="140" t="s">
        <v>6313</v>
      </c>
      <c r="J3664" s="140" t="s">
        <v>6314</v>
      </c>
      <c r="K3664" s="140" t="s">
        <v>6594</v>
      </c>
    </row>
    <row r="3665">
      <c r="A3665" s="140" t="s">
        <v>6594</v>
      </c>
      <c r="B3665" s="140" t="s">
        <v>10917</v>
      </c>
      <c r="C3665" s="140" t="s">
        <v>10918</v>
      </c>
      <c r="D3665" s="140" t="s">
        <v>6318</v>
      </c>
      <c r="E3665" s="140" t="s">
        <v>6142</v>
      </c>
      <c r="F3665" s="140" t="s">
        <v>10914</v>
      </c>
      <c r="G3665" s="141" t="s">
        <v>6401</v>
      </c>
      <c r="H3665" s="140" t="s">
        <v>6312</v>
      </c>
      <c r="I3665" s="140" t="s">
        <v>6313</v>
      </c>
      <c r="J3665" s="140" t="s">
        <v>6314</v>
      </c>
      <c r="K3665" s="140" t="s">
        <v>6594</v>
      </c>
    </row>
    <row r="3666">
      <c r="A3666" s="140" t="s">
        <v>6594</v>
      </c>
      <c r="B3666" s="140" t="s">
        <v>10919</v>
      </c>
      <c r="C3666" s="140" t="s">
        <v>10920</v>
      </c>
      <c r="D3666" s="140" t="s">
        <v>6318</v>
      </c>
      <c r="E3666" s="140" t="s">
        <v>6142</v>
      </c>
      <c r="F3666" s="140" t="s">
        <v>10914</v>
      </c>
      <c r="G3666" s="141" t="s">
        <v>6401</v>
      </c>
      <c r="H3666" s="140" t="s">
        <v>6312</v>
      </c>
      <c r="I3666" s="140" t="s">
        <v>6313</v>
      </c>
      <c r="J3666" s="140" t="s">
        <v>6314</v>
      </c>
      <c r="K3666" s="140" t="s">
        <v>6594</v>
      </c>
    </row>
    <row r="3667">
      <c r="A3667" s="140" t="s">
        <v>6594</v>
      </c>
      <c r="B3667" s="140" t="s">
        <v>10921</v>
      </c>
      <c r="C3667" s="140" t="s">
        <v>10920</v>
      </c>
      <c r="D3667" s="140" t="s">
        <v>6318</v>
      </c>
      <c r="E3667" s="140" t="s">
        <v>6142</v>
      </c>
      <c r="F3667" s="140" t="s">
        <v>10914</v>
      </c>
      <c r="G3667" s="141" t="s">
        <v>6401</v>
      </c>
      <c r="H3667" s="140" t="s">
        <v>6312</v>
      </c>
      <c r="I3667" s="140" t="s">
        <v>6313</v>
      </c>
      <c r="J3667" s="140" t="s">
        <v>6314</v>
      </c>
      <c r="K3667" s="140" t="s">
        <v>6594</v>
      </c>
    </row>
    <row r="3668">
      <c r="A3668" s="140" t="s">
        <v>6594</v>
      </c>
      <c r="B3668" s="140" t="s">
        <v>10922</v>
      </c>
      <c r="C3668" s="140" t="s">
        <v>10923</v>
      </c>
      <c r="D3668" s="140" t="s">
        <v>6318</v>
      </c>
      <c r="E3668" s="140" t="s">
        <v>6142</v>
      </c>
      <c r="F3668" s="140" t="s">
        <v>10914</v>
      </c>
      <c r="G3668" s="141" t="s">
        <v>6401</v>
      </c>
      <c r="H3668" s="140" t="s">
        <v>6312</v>
      </c>
      <c r="I3668" s="140" t="s">
        <v>6313</v>
      </c>
      <c r="J3668" s="140" t="s">
        <v>6314</v>
      </c>
      <c r="K3668" s="140" t="s">
        <v>6594</v>
      </c>
    </row>
    <row r="3669">
      <c r="A3669" s="140" t="s">
        <v>6594</v>
      </c>
      <c r="B3669" s="140" t="s">
        <v>10924</v>
      </c>
      <c r="C3669" s="140" t="s">
        <v>10925</v>
      </c>
      <c r="D3669" s="140" t="s">
        <v>6318</v>
      </c>
      <c r="E3669" s="140" t="s">
        <v>6142</v>
      </c>
      <c r="F3669" s="140" t="s">
        <v>10914</v>
      </c>
      <c r="G3669" s="141" t="s">
        <v>6401</v>
      </c>
      <c r="H3669" s="140" t="s">
        <v>6312</v>
      </c>
      <c r="I3669" s="140" t="s">
        <v>6313</v>
      </c>
      <c r="J3669" s="140" t="s">
        <v>6314</v>
      </c>
      <c r="K3669" s="140" t="s">
        <v>6594</v>
      </c>
    </row>
    <row r="3670">
      <c r="A3670" s="140" t="s">
        <v>6594</v>
      </c>
      <c r="B3670" s="140" t="s">
        <v>10926</v>
      </c>
      <c r="C3670" s="140" t="s">
        <v>10925</v>
      </c>
      <c r="D3670" s="140" t="s">
        <v>6318</v>
      </c>
      <c r="E3670" s="140" t="s">
        <v>6142</v>
      </c>
      <c r="F3670" s="140" t="s">
        <v>10914</v>
      </c>
      <c r="G3670" s="141" t="s">
        <v>6401</v>
      </c>
      <c r="H3670" s="140" t="s">
        <v>6312</v>
      </c>
      <c r="I3670" s="140" t="s">
        <v>6313</v>
      </c>
      <c r="J3670" s="140" t="s">
        <v>6314</v>
      </c>
      <c r="K3670" s="140" t="s">
        <v>6594</v>
      </c>
    </row>
    <row r="3671">
      <c r="A3671" s="140" t="s">
        <v>6594</v>
      </c>
      <c r="B3671" s="140" t="s">
        <v>10927</v>
      </c>
      <c r="C3671" s="140" t="s">
        <v>10928</v>
      </c>
      <c r="D3671" s="140" t="s">
        <v>6318</v>
      </c>
      <c r="E3671" s="140" t="s">
        <v>6142</v>
      </c>
      <c r="F3671" s="140" t="s">
        <v>10914</v>
      </c>
      <c r="G3671" s="141" t="s">
        <v>6401</v>
      </c>
      <c r="H3671" s="140" t="s">
        <v>6312</v>
      </c>
      <c r="I3671" s="140" t="s">
        <v>6313</v>
      </c>
      <c r="J3671" s="140" t="s">
        <v>6314</v>
      </c>
      <c r="K3671" s="140" t="s">
        <v>6594</v>
      </c>
    </row>
    <row r="3672">
      <c r="A3672" s="140" t="s">
        <v>6594</v>
      </c>
      <c r="B3672" s="140" t="s">
        <v>10929</v>
      </c>
      <c r="C3672" s="140" t="s">
        <v>10930</v>
      </c>
      <c r="D3672" s="140" t="s">
        <v>6318</v>
      </c>
      <c r="E3672" s="140" t="s">
        <v>6142</v>
      </c>
      <c r="F3672" s="140" t="s">
        <v>10914</v>
      </c>
      <c r="G3672" s="141" t="s">
        <v>6401</v>
      </c>
      <c r="H3672" s="140" t="s">
        <v>6312</v>
      </c>
      <c r="I3672" s="140" t="s">
        <v>6313</v>
      </c>
      <c r="J3672" s="140" t="s">
        <v>6314</v>
      </c>
      <c r="K3672" s="140" t="s">
        <v>6594</v>
      </c>
    </row>
    <row r="3673">
      <c r="A3673" s="140" t="s">
        <v>6594</v>
      </c>
      <c r="B3673" s="140" t="s">
        <v>10931</v>
      </c>
      <c r="C3673" s="140" t="s">
        <v>10932</v>
      </c>
      <c r="D3673" s="140" t="s">
        <v>6318</v>
      </c>
      <c r="E3673" s="140" t="s">
        <v>6142</v>
      </c>
      <c r="F3673" s="140" t="s">
        <v>10914</v>
      </c>
      <c r="G3673" s="141" t="s">
        <v>6401</v>
      </c>
      <c r="H3673" s="140" t="s">
        <v>6312</v>
      </c>
      <c r="I3673" s="140" t="s">
        <v>6313</v>
      </c>
      <c r="J3673" s="140" t="s">
        <v>6314</v>
      </c>
      <c r="K3673" s="140" t="s">
        <v>6594</v>
      </c>
    </row>
    <row r="3674">
      <c r="A3674" s="140" t="s">
        <v>6594</v>
      </c>
      <c r="B3674" s="140" t="s">
        <v>10933</v>
      </c>
      <c r="C3674" s="140" t="s">
        <v>10934</v>
      </c>
      <c r="D3674" s="140" t="s">
        <v>6318</v>
      </c>
      <c r="E3674" s="140" t="s">
        <v>6142</v>
      </c>
      <c r="F3674" s="140" t="s">
        <v>10914</v>
      </c>
      <c r="G3674" s="141" t="s">
        <v>6401</v>
      </c>
      <c r="H3674" s="140" t="s">
        <v>6312</v>
      </c>
      <c r="I3674" s="140" t="s">
        <v>6313</v>
      </c>
      <c r="J3674" s="140" t="s">
        <v>6314</v>
      </c>
      <c r="K3674" s="140" t="s">
        <v>6594</v>
      </c>
    </row>
    <row r="3675">
      <c r="A3675" s="140" t="s">
        <v>6594</v>
      </c>
      <c r="B3675" s="140" t="s">
        <v>10935</v>
      </c>
      <c r="C3675" s="140" t="s">
        <v>10936</v>
      </c>
      <c r="D3675" s="140" t="s">
        <v>6318</v>
      </c>
      <c r="E3675" s="140" t="s">
        <v>6142</v>
      </c>
      <c r="F3675" s="140" t="s">
        <v>10914</v>
      </c>
      <c r="G3675" s="141" t="s">
        <v>6401</v>
      </c>
      <c r="H3675" s="140" t="s">
        <v>6312</v>
      </c>
      <c r="I3675" s="140" t="s">
        <v>6313</v>
      </c>
      <c r="J3675" s="140" t="s">
        <v>6314</v>
      </c>
      <c r="K3675" s="140" t="s">
        <v>6594</v>
      </c>
    </row>
    <row r="3676">
      <c r="A3676" s="140" t="s">
        <v>6594</v>
      </c>
      <c r="B3676" s="140" t="s">
        <v>10937</v>
      </c>
      <c r="C3676" s="140" t="s">
        <v>10938</v>
      </c>
      <c r="D3676" s="140" t="s">
        <v>6318</v>
      </c>
      <c r="E3676" s="140" t="s">
        <v>6142</v>
      </c>
      <c r="F3676" s="140" t="s">
        <v>10914</v>
      </c>
      <c r="G3676" s="141" t="s">
        <v>6401</v>
      </c>
      <c r="H3676" s="140" t="s">
        <v>6312</v>
      </c>
      <c r="I3676" s="140" t="s">
        <v>6313</v>
      </c>
      <c r="J3676" s="140" t="s">
        <v>6314</v>
      </c>
      <c r="K3676" s="140" t="s">
        <v>6594</v>
      </c>
    </row>
    <row r="3677">
      <c r="A3677" s="140" t="s">
        <v>6594</v>
      </c>
      <c r="B3677" s="140" t="s">
        <v>10939</v>
      </c>
      <c r="C3677" s="140" t="s">
        <v>10940</v>
      </c>
      <c r="D3677" s="140" t="s">
        <v>6318</v>
      </c>
      <c r="E3677" s="140" t="s">
        <v>6142</v>
      </c>
      <c r="F3677" s="140" t="s">
        <v>10914</v>
      </c>
      <c r="G3677" s="141" t="s">
        <v>6401</v>
      </c>
      <c r="H3677" s="140" t="s">
        <v>6312</v>
      </c>
      <c r="I3677" s="140" t="s">
        <v>6313</v>
      </c>
      <c r="J3677" s="140" t="s">
        <v>6314</v>
      </c>
      <c r="K3677" s="140" t="s">
        <v>6594</v>
      </c>
    </row>
    <row r="3678">
      <c r="A3678" s="140" t="s">
        <v>6594</v>
      </c>
      <c r="B3678" s="140" t="s">
        <v>10941</v>
      </c>
      <c r="C3678" s="140" t="s">
        <v>10942</v>
      </c>
      <c r="D3678" s="140" t="s">
        <v>6318</v>
      </c>
      <c r="E3678" s="140" t="s">
        <v>6142</v>
      </c>
      <c r="F3678" s="140" t="s">
        <v>10914</v>
      </c>
      <c r="G3678" s="141" t="s">
        <v>6401</v>
      </c>
      <c r="H3678" s="140" t="s">
        <v>6312</v>
      </c>
      <c r="I3678" s="140" t="s">
        <v>6313</v>
      </c>
      <c r="J3678" s="140" t="s">
        <v>6314</v>
      </c>
      <c r="K3678" s="140" t="s">
        <v>6594</v>
      </c>
    </row>
    <row r="3679">
      <c r="A3679" s="140" t="s">
        <v>6594</v>
      </c>
      <c r="B3679" s="140" t="s">
        <v>10943</v>
      </c>
      <c r="C3679" s="140" t="s">
        <v>10944</v>
      </c>
      <c r="D3679" s="140" t="s">
        <v>6318</v>
      </c>
      <c r="E3679" s="140" t="s">
        <v>6142</v>
      </c>
      <c r="F3679" s="140" t="s">
        <v>10914</v>
      </c>
      <c r="G3679" s="141" t="s">
        <v>6401</v>
      </c>
      <c r="H3679" s="140" t="s">
        <v>6312</v>
      </c>
      <c r="I3679" s="140" t="s">
        <v>6313</v>
      </c>
      <c r="J3679" s="140" t="s">
        <v>6314</v>
      </c>
      <c r="K3679" s="140" t="s">
        <v>6594</v>
      </c>
    </row>
    <row r="3680">
      <c r="A3680" s="140" t="s">
        <v>6594</v>
      </c>
      <c r="B3680" s="140" t="s">
        <v>10945</v>
      </c>
      <c r="C3680" s="140" t="s">
        <v>10946</v>
      </c>
      <c r="D3680" s="140" t="s">
        <v>6318</v>
      </c>
      <c r="E3680" s="140" t="s">
        <v>6142</v>
      </c>
      <c r="F3680" s="140" t="s">
        <v>10914</v>
      </c>
      <c r="G3680" s="141" t="s">
        <v>6401</v>
      </c>
      <c r="H3680" s="140" t="s">
        <v>6312</v>
      </c>
      <c r="I3680" s="140" t="s">
        <v>6313</v>
      </c>
      <c r="J3680" s="140" t="s">
        <v>6314</v>
      </c>
      <c r="K3680" s="140" t="s">
        <v>6594</v>
      </c>
    </row>
    <row r="3681">
      <c r="A3681" s="140" t="s">
        <v>6594</v>
      </c>
      <c r="B3681" s="140" t="s">
        <v>10947</v>
      </c>
      <c r="C3681" s="140" t="s">
        <v>10948</v>
      </c>
      <c r="D3681" s="140" t="s">
        <v>6318</v>
      </c>
      <c r="E3681" s="140" t="s">
        <v>6142</v>
      </c>
      <c r="F3681" s="140" t="s">
        <v>10914</v>
      </c>
      <c r="G3681" s="141" t="s">
        <v>6401</v>
      </c>
      <c r="H3681" s="140" t="s">
        <v>6312</v>
      </c>
      <c r="I3681" s="140" t="s">
        <v>6313</v>
      </c>
      <c r="J3681" s="140" t="s">
        <v>6314</v>
      </c>
      <c r="K3681" s="140" t="s">
        <v>6594</v>
      </c>
    </row>
    <row r="3682">
      <c r="A3682" s="140" t="s">
        <v>6594</v>
      </c>
      <c r="B3682" s="140" t="s">
        <v>10949</v>
      </c>
      <c r="C3682" s="140" t="s">
        <v>10950</v>
      </c>
      <c r="D3682" s="140" t="s">
        <v>6318</v>
      </c>
      <c r="E3682" s="140" t="s">
        <v>6142</v>
      </c>
      <c r="F3682" s="140" t="s">
        <v>10914</v>
      </c>
      <c r="G3682" s="141" t="s">
        <v>6401</v>
      </c>
      <c r="H3682" s="140" t="s">
        <v>6312</v>
      </c>
      <c r="I3682" s="140" t="s">
        <v>6313</v>
      </c>
      <c r="J3682" s="140" t="s">
        <v>6314</v>
      </c>
      <c r="K3682" s="140" t="s">
        <v>6594</v>
      </c>
    </row>
    <row r="3683">
      <c r="A3683" s="140" t="s">
        <v>6594</v>
      </c>
      <c r="B3683" s="140" t="s">
        <v>10951</v>
      </c>
      <c r="C3683" s="140" t="s">
        <v>10952</v>
      </c>
      <c r="D3683" s="140" t="s">
        <v>6318</v>
      </c>
      <c r="E3683" s="140" t="s">
        <v>6142</v>
      </c>
      <c r="F3683" s="140" t="s">
        <v>10914</v>
      </c>
      <c r="G3683" s="141" t="s">
        <v>6401</v>
      </c>
      <c r="H3683" s="140" t="s">
        <v>6312</v>
      </c>
      <c r="I3683" s="140" t="s">
        <v>6313</v>
      </c>
      <c r="J3683" s="140" t="s">
        <v>6314</v>
      </c>
      <c r="K3683" s="140" t="s">
        <v>6594</v>
      </c>
    </row>
    <row r="3684">
      <c r="A3684" s="140" t="s">
        <v>6594</v>
      </c>
      <c r="B3684" s="140" t="s">
        <v>10953</v>
      </c>
      <c r="C3684" s="140" t="s">
        <v>10952</v>
      </c>
      <c r="D3684" s="140" t="s">
        <v>6318</v>
      </c>
      <c r="E3684" s="140" t="s">
        <v>6142</v>
      </c>
      <c r="F3684" s="140" t="s">
        <v>10914</v>
      </c>
      <c r="G3684" s="141" t="s">
        <v>6401</v>
      </c>
      <c r="H3684" s="140" t="s">
        <v>6312</v>
      </c>
      <c r="I3684" s="140" t="s">
        <v>6313</v>
      </c>
      <c r="J3684" s="140" t="s">
        <v>6314</v>
      </c>
      <c r="K3684" s="140" t="s">
        <v>6594</v>
      </c>
    </row>
    <row r="3685">
      <c r="A3685" s="140" t="s">
        <v>6594</v>
      </c>
      <c r="B3685" s="140" t="s">
        <v>10954</v>
      </c>
      <c r="C3685" s="140" t="s">
        <v>10955</v>
      </c>
      <c r="D3685" s="140" t="s">
        <v>6318</v>
      </c>
      <c r="E3685" s="140" t="s">
        <v>6142</v>
      </c>
      <c r="F3685" s="140" t="s">
        <v>10914</v>
      </c>
      <c r="G3685" s="141" t="s">
        <v>6401</v>
      </c>
      <c r="H3685" s="140" t="s">
        <v>6312</v>
      </c>
      <c r="I3685" s="140" t="s">
        <v>6313</v>
      </c>
      <c r="J3685" s="140" t="s">
        <v>6314</v>
      </c>
      <c r="K3685" s="140" t="s">
        <v>6594</v>
      </c>
    </row>
    <row r="3686">
      <c r="A3686" s="140" t="s">
        <v>6594</v>
      </c>
      <c r="B3686" s="140" t="s">
        <v>10956</v>
      </c>
      <c r="C3686" s="140" t="s">
        <v>10957</v>
      </c>
      <c r="D3686" s="140" t="s">
        <v>6318</v>
      </c>
      <c r="E3686" s="140" t="s">
        <v>6142</v>
      </c>
      <c r="F3686" s="140" t="s">
        <v>10914</v>
      </c>
      <c r="G3686" s="141" t="s">
        <v>6401</v>
      </c>
      <c r="H3686" s="140" t="s">
        <v>6312</v>
      </c>
      <c r="I3686" s="140" t="s">
        <v>6313</v>
      </c>
      <c r="J3686" s="140" t="s">
        <v>6314</v>
      </c>
      <c r="K3686" s="140" t="s">
        <v>6594</v>
      </c>
    </row>
    <row r="3687">
      <c r="A3687" s="140" t="s">
        <v>6594</v>
      </c>
      <c r="B3687" s="140" t="s">
        <v>10958</v>
      </c>
      <c r="C3687" s="140" t="s">
        <v>10959</v>
      </c>
      <c r="D3687" s="140" t="s">
        <v>6318</v>
      </c>
      <c r="E3687" s="140" t="s">
        <v>6142</v>
      </c>
      <c r="F3687" s="140" t="s">
        <v>10914</v>
      </c>
      <c r="G3687" s="141" t="s">
        <v>6401</v>
      </c>
      <c r="H3687" s="140" t="s">
        <v>6312</v>
      </c>
      <c r="I3687" s="140" t="s">
        <v>6313</v>
      </c>
      <c r="J3687" s="140" t="s">
        <v>6314</v>
      </c>
      <c r="K3687" s="140" t="s">
        <v>6594</v>
      </c>
    </row>
    <row r="3688">
      <c r="A3688" s="140" t="s">
        <v>6594</v>
      </c>
      <c r="B3688" s="140" t="s">
        <v>10960</v>
      </c>
      <c r="C3688" s="140" t="s">
        <v>10961</v>
      </c>
      <c r="D3688" s="140" t="s">
        <v>6318</v>
      </c>
      <c r="E3688" s="140" t="s">
        <v>6142</v>
      </c>
      <c r="F3688" s="140" t="s">
        <v>10914</v>
      </c>
      <c r="G3688" s="141" t="s">
        <v>6401</v>
      </c>
      <c r="H3688" s="140" t="s">
        <v>6312</v>
      </c>
      <c r="I3688" s="140" t="s">
        <v>6313</v>
      </c>
      <c r="J3688" s="140" t="s">
        <v>6314</v>
      </c>
      <c r="K3688" s="140" t="s">
        <v>6594</v>
      </c>
    </row>
    <row r="3689">
      <c r="A3689" s="140" t="s">
        <v>6594</v>
      </c>
      <c r="B3689" s="140" t="s">
        <v>10962</v>
      </c>
      <c r="C3689" s="140" t="s">
        <v>10961</v>
      </c>
      <c r="D3689" s="140" t="s">
        <v>6318</v>
      </c>
      <c r="E3689" s="140" t="s">
        <v>6142</v>
      </c>
      <c r="F3689" s="140" t="s">
        <v>10914</v>
      </c>
      <c r="G3689" s="141" t="s">
        <v>6401</v>
      </c>
      <c r="H3689" s="140" t="s">
        <v>6312</v>
      </c>
      <c r="I3689" s="140" t="s">
        <v>6313</v>
      </c>
      <c r="J3689" s="140" t="s">
        <v>6314</v>
      </c>
      <c r="K3689" s="140" t="s">
        <v>6594</v>
      </c>
    </row>
    <row r="3690">
      <c r="A3690" s="140" t="s">
        <v>6594</v>
      </c>
      <c r="B3690" s="140" t="s">
        <v>10963</v>
      </c>
      <c r="C3690" s="140" t="s">
        <v>10964</v>
      </c>
      <c r="D3690" s="140" t="s">
        <v>6318</v>
      </c>
      <c r="E3690" s="140" t="s">
        <v>6142</v>
      </c>
      <c r="F3690" s="140" t="s">
        <v>10914</v>
      </c>
      <c r="G3690" s="141" t="s">
        <v>6401</v>
      </c>
      <c r="H3690" s="140" t="s">
        <v>6312</v>
      </c>
      <c r="I3690" s="140" t="s">
        <v>6313</v>
      </c>
      <c r="J3690" s="140" t="s">
        <v>6314</v>
      </c>
      <c r="K3690" s="140" t="s">
        <v>6594</v>
      </c>
    </row>
    <row r="3691">
      <c r="A3691" s="140" t="s">
        <v>6594</v>
      </c>
      <c r="B3691" s="140" t="s">
        <v>10965</v>
      </c>
      <c r="C3691" s="140" t="s">
        <v>10966</v>
      </c>
      <c r="D3691" s="140" t="s">
        <v>6318</v>
      </c>
      <c r="E3691" s="140" t="s">
        <v>6142</v>
      </c>
      <c r="F3691" s="140" t="s">
        <v>10914</v>
      </c>
      <c r="G3691" s="141" t="s">
        <v>6401</v>
      </c>
      <c r="H3691" s="140" t="s">
        <v>6312</v>
      </c>
      <c r="I3691" s="140" t="s">
        <v>6313</v>
      </c>
      <c r="J3691" s="140" t="s">
        <v>6314</v>
      </c>
      <c r="K3691" s="140" t="s">
        <v>6594</v>
      </c>
    </row>
    <row r="3692">
      <c r="A3692" s="140" t="s">
        <v>6594</v>
      </c>
      <c r="B3692" s="140" t="s">
        <v>10967</v>
      </c>
      <c r="C3692" s="140" t="s">
        <v>10966</v>
      </c>
      <c r="D3692" s="140" t="s">
        <v>6318</v>
      </c>
      <c r="E3692" s="140" t="s">
        <v>6142</v>
      </c>
      <c r="F3692" s="140" t="s">
        <v>10914</v>
      </c>
      <c r="G3692" s="141" t="s">
        <v>6401</v>
      </c>
      <c r="H3692" s="140" t="s">
        <v>6312</v>
      </c>
      <c r="I3692" s="140" t="s">
        <v>6313</v>
      </c>
      <c r="J3692" s="140" t="s">
        <v>6314</v>
      </c>
      <c r="K3692" s="140" t="s">
        <v>6594</v>
      </c>
    </row>
    <row r="3693">
      <c r="A3693" s="140" t="s">
        <v>6594</v>
      </c>
      <c r="B3693" s="140" t="s">
        <v>10968</v>
      </c>
      <c r="C3693" s="140" t="s">
        <v>10969</v>
      </c>
      <c r="D3693" s="140" t="s">
        <v>6318</v>
      </c>
      <c r="E3693" s="140" t="s">
        <v>6142</v>
      </c>
      <c r="F3693" s="140" t="s">
        <v>10914</v>
      </c>
      <c r="G3693" s="141" t="s">
        <v>6401</v>
      </c>
      <c r="H3693" s="140" t="s">
        <v>6312</v>
      </c>
      <c r="I3693" s="140" t="s">
        <v>6313</v>
      </c>
      <c r="J3693" s="140" t="s">
        <v>6314</v>
      </c>
      <c r="K3693" s="140" t="s">
        <v>6594</v>
      </c>
    </row>
    <row r="3694">
      <c r="A3694" s="140" t="s">
        <v>6594</v>
      </c>
      <c r="B3694" s="140" t="s">
        <v>10970</v>
      </c>
      <c r="C3694" s="140" t="s">
        <v>10971</v>
      </c>
      <c r="D3694" s="140" t="s">
        <v>6318</v>
      </c>
      <c r="E3694" s="140" t="s">
        <v>6142</v>
      </c>
      <c r="F3694" s="140" t="s">
        <v>10914</v>
      </c>
      <c r="G3694" s="141" t="s">
        <v>6401</v>
      </c>
      <c r="H3694" s="140" t="s">
        <v>6312</v>
      </c>
      <c r="I3694" s="140" t="s">
        <v>6313</v>
      </c>
      <c r="J3694" s="140" t="s">
        <v>6314</v>
      </c>
      <c r="K3694" s="140" t="s">
        <v>6594</v>
      </c>
    </row>
    <row r="3695">
      <c r="A3695" s="140" t="s">
        <v>6594</v>
      </c>
      <c r="B3695" s="140" t="s">
        <v>10972</v>
      </c>
      <c r="C3695" s="140" t="s">
        <v>10973</v>
      </c>
      <c r="D3695" s="140" t="s">
        <v>6318</v>
      </c>
      <c r="E3695" s="140" t="s">
        <v>6142</v>
      </c>
      <c r="F3695" s="140" t="s">
        <v>10914</v>
      </c>
      <c r="G3695" s="141" t="s">
        <v>6401</v>
      </c>
      <c r="H3695" s="140" t="s">
        <v>6312</v>
      </c>
      <c r="I3695" s="140" t="s">
        <v>6313</v>
      </c>
      <c r="J3695" s="140" t="s">
        <v>6314</v>
      </c>
      <c r="K3695" s="140" t="s">
        <v>6594</v>
      </c>
    </row>
    <row r="3696">
      <c r="A3696" s="140" t="s">
        <v>6594</v>
      </c>
      <c r="B3696" s="140" t="s">
        <v>10974</v>
      </c>
      <c r="C3696" s="140" t="s">
        <v>10975</v>
      </c>
      <c r="D3696" s="140" t="s">
        <v>6318</v>
      </c>
      <c r="E3696" s="140" t="s">
        <v>6142</v>
      </c>
      <c r="F3696" s="140" t="s">
        <v>10914</v>
      </c>
      <c r="G3696" s="141" t="s">
        <v>6401</v>
      </c>
      <c r="H3696" s="140" t="s">
        <v>6312</v>
      </c>
      <c r="I3696" s="140" t="s">
        <v>6313</v>
      </c>
      <c r="J3696" s="140" t="s">
        <v>6314</v>
      </c>
      <c r="K3696" s="140" t="s">
        <v>6594</v>
      </c>
    </row>
    <row r="3697">
      <c r="A3697" s="140" t="s">
        <v>6594</v>
      </c>
      <c r="B3697" s="140" t="s">
        <v>10976</v>
      </c>
      <c r="C3697" s="140" t="s">
        <v>10975</v>
      </c>
      <c r="D3697" s="140" t="s">
        <v>6318</v>
      </c>
      <c r="E3697" s="140" t="s">
        <v>6142</v>
      </c>
      <c r="F3697" s="140" t="s">
        <v>10914</v>
      </c>
      <c r="G3697" s="141" t="s">
        <v>6401</v>
      </c>
      <c r="H3697" s="140" t="s">
        <v>6312</v>
      </c>
      <c r="I3697" s="140" t="s">
        <v>6313</v>
      </c>
      <c r="J3697" s="140" t="s">
        <v>6314</v>
      </c>
      <c r="K3697" s="140" t="s">
        <v>6594</v>
      </c>
    </row>
    <row r="3698">
      <c r="A3698" s="140" t="s">
        <v>6594</v>
      </c>
      <c r="B3698" s="140" t="s">
        <v>10977</v>
      </c>
      <c r="C3698" s="140" t="s">
        <v>10978</v>
      </c>
      <c r="D3698" s="140" t="s">
        <v>6318</v>
      </c>
      <c r="E3698" s="140" t="s">
        <v>6142</v>
      </c>
      <c r="F3698" s="140" t="s">
        <v>10914</v>
      </c>
      <c r="G3698" s="141" t="s">
        <v>6401</v>
      </c>
      <c r="H3698" s="140" t="s">
        <v>6312</v>
      </c>
      <c r="I3698" s="140" t="s">
        <v>6313</v>
      </c>
      <c r="J3698" s="140" t="s">
        <v>6314</v>
      </c>
      <c r="K3698" s="140" t="s">
        <v>6594</v>
      </c>
    </row>
    <row r="3699">
      <c r="A3699" s="140" t="s">
        <v>6594</v>
      </c>
      <c r="B3699" s="140" t="s">
        <v>10979</v>
      </c>
      <c r="C3699" s="140" t="s">
        <v>10980</v>
      </c>
      <c r="D3699" s="140" t="s">
        <v>6318</v>
      </c>
      <c r="E3699" s="140" t="s">
        <v>6142</v>
      </c>
      <c r="F3699" s="140" t="s">
        <v>10914</v>
      </c>
      <c r="G3699" s="141" t="s">
        <v>6401</v>
      </c>
      <c r="H3699" s="140" t="s">
        <v>6312</v>
      </c>
      <c r="I3699" s="140" t="s">
        <v>6313</v>
      </c>
      <c r="J3699" s="140" t="s">
        <v>6314</v>
      </c>
      <c r="K3699" s="140" t="s">
        <v>6594</v>
      </c>
    </row>
    <row r="3700">
      <c r="A3700" s="140" t="s">
        <v>6594</v>
      </c>
      <c r="B3700" s="140" t="s">
        <v>10981</v>
      </c>
      <c r="C3700" s="140" t="s">
        <v>10982</v>
      </c>
      <c r="D3700" s="140" t="s">
        <v>6318</v>
      </c>
      <c r="E3700" s="140" t="s">
        <v>6142</v>
      </c>
      <c r="F3700" s="140" t="s">
        <v>10914</v>
      </c>
      <c r="G3700" s="141" t="s">
        <v>6401</v>
      </c>
      <c r="H3700" s="140" t="s">
        <v>6312</v>
      </c>
      <c r="I3700" s="140" t="s">
        <v>6313</v>
      </c>
      <c r="J3700" s="140" t="s">
        <v>6314</v>
      </c>
      <c r="K3700" s="140" t="s">
        <v>6594</v>
      </c>
    </row>
    <row r="3701">
      <c r="A3701" s="140" t="s">
        <v>6594</v>
      </c>
      <c r="B3701" s="140" t="s">
        <v>10983</v>
      </c>
      <c r="C3701" s="140" t="s">
        <v>10982</v>
      </c>
      <c r="D3701" s="140" t="s">
        <v>6318</v>
      </c>
      <c r="E3701" s="140" t="s">
        <v>6142</v>
      </c>
      <c r="F3701" s="140" t="s">
        <v>10914</v>
      </c>
      <c r="G3701" s="141" t="s">
        <v>6401</v>
      </c>
      <c r="H3701" s="140" t="s">
        <v>6312</v>
      </c>
      <c r="I3701" s="140" t="s">
        <v>6313</v>
      </c>
      <c r="J3701" s="140" t="s">
        <v>6314</v>
      </c>
      <c r="K3701" s="140" t="s">
        <v>6594</v>
      </c>
    </row>
    <row r="3702">
      <c r="A3702" s="140" t="s">
        <v>6594</v>
      </c>
      <c r="B3702" s="140" t="s">
        <v>10984</v>
      </c>
      <c r="C3702" s="140" t="s">
        <v>10985</v>
      </c>
      <c r="D3702" s="140" t="s">
        <v>6318</v>
      </c>
      <c r="E3702" s="140" t="s">
        <v>6142</v>
      </c>
      <c r="F3702" s="140" t="s">
        <v>10914</v>
      </c>
      <c r="G3702" s="141" t="s">
        <v>6401</v>
      </c>
      <c r="H3702" s="140" t="s">
        <v>6312</v>
      </c>
      <c r="I3702" s="140" t="s">
        <v>6313</v>
      </c>
      <c r="J3702" s="140" t="s">
        <v>6314</v>
      </c>
      <c r="K3702" s="140" t="s">
        <v>6594</v>
      </c>
    </row>
    <row r="3703">
      <c r="A3703" s="140" t="s">
        <v>6594</v>
      </c>
      <c r="B3703" s="140" t="s">
        <v>10986</v>
      </c>
      <c r="C3703" s="140" t="s">
        <v>10987</v>
      </c>
      <c r="D3703" s="140" t="s">
        <v>6318</v>
      </c>
      <c r="E3703" s="140" t="s">
        <v>6142</v>
      </c>
      <c r="F3703" s="140" t="s">
        <v>10914</v>
      </c>
      <c r="G3703" s="141" t="s">
        <v>6401</v>
      </c>
      <c r="H3703" s="140" t="s">
        <v>6312</v>
      </c>
      <c r="I3703" s="140" t="s">
        <v>6313</v>
      </c>
      <c r="J3703" s="140" t="s">
        <v>6314</v>
      </c>
      <c r="K3703" s="140" t="s">
        <v>6594</v>
      </c>
    </row>
    <row r="3704">
      <c r="A3704" s="140" t="s">
        <v>6594</v>
      </c>
      <c r="B3704" s="140" t="s">
        <v>10988</v>
      </c>
      <c r="C3704" s="140" t="s">
        <v>10989</v>
      </c>
      <c r="D3704" s="140" t="s">
        <v>6318</v>
      </c>
      <c r="E3704" s="140" t="s">
        <v>6142</v>
      </c>
      <c r="F3704" s="140" t="s">
        <v>10914</v>
      </c>
      <c r="G3704" s="141" t="s">
        <v>6401</v>
      </c>
      <c r="H3704" s="140" t="s">
        <v>6312</v>
      </c>
      <c r="I3704" s="140" t="s">
        <v>6313</v>
      </c>
      <c r="J3704" s="140" t="s">
        <v>6314</v>
      </c>
      <c r="K3704" s="140" t="s">
        <v>6594</v>
      </c>
    </row>
    <row r="3705">
      <c r="A3705" s="140" t="s">
        <v>6594</v>
      </c>
      <c r="B3705" s="140" t="s">
        <v>10990</v>
      </c>
      <c r="C3705" s="140" t="s">
        <v>10991</v>
      </c>
      <c r="D3705" s="140" t="s">
        <v>6318</v>
      </c>
      <c r="E3705" s="140" t="s">
        <v>6142</v>
      </c>
      <c r="F3705" s="140" t="s">
        <v>10914</v>
      </c>
      <c r="G3705" s="141" t="s">
        <v>6401</v>
      </c>
      <c r="H3705" s="140" t="s">
        <v>6312</v>
      </c>
      <c r="I3705" s="140" t="s">
        <v>6313</v>
      </c>
      <c r="J3705" s="140" t="s">
        <v>6314</v>
      </c>
      <c r="K3705" s="140" t="s">
        <v>6594</v>
      </c>
    </row>
    <row r="3706">
      <c r="A3706" s="140" t="s">
        <v>6594</v>
      </c>
      <c r="B3706" s="140" t="s">
        <v>10992</v>
      </c>
      <c r="C3706" s="140" t="s">
        <v>10993</v>
      </c>
      <c r="D3706" s="140" t="s">
        <v>6318</v>
      </c>
      <c r="E3706" s="140" t="s">
        <v>6142</v>
      </c>
      <c r="F3706" s="140" t="s">
        <v>10994</v>
      </c>
      <c r="G3706" s="141" t="s">
        <v>6401</v>
      </c>
      <c r="H3706" s="140" t="s">
        <v>6312</v>
      </c>
      <c r="I3706" s="140" t="s">
        <v>6313</v>
      </c>
      <c r="J3706" s="140" t="s">
        <v>6314</v>
      </c>
      <c r="K3706" s="140" t="s">
        <v>6594</v>
      </c>
    </row>
    <row r="3707">
      <c r="A3707" s="140" t="s">
        <v>6594</v>
      </c>
      <c r="B3707" s="140" t="s">
        <v>3615</v>
      </c>
      <c r="C3707" s="140" t="s">
        <v>10995</v>
      </c>
      <c r="D3707" s="140" t="s">
        <v>6318</v>
      </c>
      <c r="E3707" s="140" t="s">
        <v>6142</v>
      </c>
      <c r="F3707" s="140" t="s">
        <v>10994</v>
      </c>
      <c r="G3707" s="141" t="s">
        <v>6401</v>
      </c>
      <c r="H3707" s="140" t="s">
        <v>6312</v>
      </c>
      <c r="I3707" s="140" t="s">
        <v>6313</v>
      </c>
      <c r="J3707" s="140" t="s">
        <v>6314</v>
      </c>
      <c r="K3707" s="140" t="s">
        <v>6594</v>
      </c>
    </row>
    <row r="3708">
      <c r="A3708" s="140" t="s">
        <v>6594</v>
      </c>
      <c r="B3708" s="140" t="s">
        <v>10996</v>
      </c>
      <c r="C3708" s="140" t="s">
        <v>10997</v>
      </c>
      <c r="D3708" s="140" t="s">
        <v>6318</v>
      </c>
      <c r="E3708" s="140" t="s">
        <v>6142</v>
      </c>
      <c r="F3708" s="140" t="s">
        <v>10994</v>
      </c>
      <c r="G3708" s="141" t="s">
        <v>6401</v>
      </c>
      <c r="H3708" s="140" t="s">
        <v>6312</v>
      </c>
      <c r="I3708" s="140" t="s">
        <v>6313</v>
      </c>
      <c r="J3708" s="140" t="s">
        <v>6314</v>
      </c>
      <c r="K3708" s="140" t="s">
        <v>6594</v>
      </c>
    </row>
    <row r="3709">
      <c r="A3709" s="140" t="s">
        <v>6594</v>
      </c>
      <c r="B3709" s="140" t="s">
        <v>10998</v>
      </c>
      <c r="C3709" s="140" t="s">
        <v>10999</v>
      </c>
      <c r="D3709" s="140" t="s">
        <v>6318</v>
      </c>
      <c r="E3709" s="140" t="s">
        <v>6142</v>
      </c>
      <c r="F3709" s="140" t="s">
        <v>10994</v>
      </c>
      <c r="G3709" s="141" t="s">
        <v>6401</v>
      </c>
      <c r="H3709" s="140" t="s">
        <v>6312</v>
      </c>
      <c r="I3709" s="140" t="s">
        <v>6313</v>
      </c>
      <c r="J3709" s="140" t="s">
        <v>6314</v>
      </c>
      <c r="K3709" s="140" t="s">
        <v>6594</v>
      </c>
    </row>
    <row r="3710">
      <c r="A3710" s="140" t="s">
        <v>6594</v>
      </c>
      <c r="B3710" s="140" t="s">
        <v>11000</v>
      </c>
      <c r="C3710" s="140" t="s">
        <v>11001</v>
      </c>
      <c r="D3710" s="140" t="s">
        <v>6318</v>
      </c>
      <c r="E3710" s="140" t="s">
        <v>6142</v>
      </c>
      <c r="F3710" s="140" t="s">
        <v>10994</v>
      </c>
      <c r="G3710" s="141" t="s">
        <v>6401</v>
      </c>
      <c r="H3710" s="140" t="s">
        <v>6312</v>
      </c>
      <c r="I3710" s="140" t="s">
        <v>6313</v>
      </c>
      <c r="J3710" s="140" t="s">
        <v>6314</v>
      </c>
      <c r="K3710" s="140" t="s">
        <v>6594</v>
      </c>
    </row>
    <row r="3711">
      <c r="A3711" s="140" t="s">
        <v>6594</v>
      </c>
      <c r="B3711" s="140" t="s">
        <v>11002</v>
      </c>
      <c r="C3711" s="140" t="s">
        <v>11003</v>
      </c>
      <c r="D3711" s="140" t="s">
        <v>6318</v>
      </c>
      <c r="E3711" s="140" t="s">
        <v>6142</v>
      </c>
      <c r="F3711" s="140" t="s">
        <v>10994</v>
      </c>
      <c r="G3711" s="141" t="s">
        <v>6401</v>
      </c>
      <c r="H3711" s="140" t="s">
        <v>6312</v>
      </c>
      <c r="I3711" s="140" t="s">
        <v>6313</v>
      </c>
      <c r="J3711" s="140" t="s">
        <v>6314</v>
      </c>
      <c r="K3711" s="140" t="s">
        <v>6594</v>
      </c>
    </row>
    <row r="3712">
      <c r="A3712" s="140" t="s">
        <v>11004</v>
      </c>
      <c r="B3712" s="140" t="s">
        <v>4796</v>
      </c>
      <c r="C3712" s="140" t="s">
        <v>11005</v>
      </c>
      <c r="D3712" s="140" t="s">
        <v>6601</v>
      </c>
      <c r="E3712" s="140" t="s">
        <v>303</v>
      </c>
      <c r="F3712" s="140" t="s">
        <v>8317</v>
      </c>
      <c r="G3712" s="141" t="s">
        <v>6311</v>
      </c>
      <c r="H3712" s="140" t="s">
        <v>6312</v>
      </c>
      <c r="I3712" s="140" t="s">
        <v>6313</v>
      </c>
      <c r="J3712" s="140" t="s">
        <v>6314</v>
      </c>
      <c r="K3712" s="140" t="s">
        <v>11004</v>
      </c>
    </row>
    <row r="3713">
      <c r="A3713" s="140" t="s">
        <v>11004</v>
      </c>
      <c r="B3713" s="140" t="s">
        <v>4778</v>
      </c>
      <c r="C3713" s="140" t="s">
        <v>11006</v>
      </c>
      <c r="D3713" s="140" t="s">
        <v>6601</v>
      </c>
      <c r="E3713" s="140" t="s">
        <v>303</v>
      </c>
      <c r="F3713" s="140" t="s">
        <v>8317</v>
      </c>
      <c r="G3713" s="141" t="s">
        <v>6401</v>
      </c>
      <c r="H3713" s="140" t="s">
        <v>6312</v>
      </c>
      <c r="I3713" s="140" t="s">
        <v>6313</v>
      </c>
      <c r="J3713" s="140" t="s">
        <v>6314</v>
      </c>
      <c r="K3713" s="140" t="s">
        <v>11004</v>
      </c>
    </row>
    <row r="3714">
      <c r="A3714" s="140" t="s">
        <v>11004</v>
      </c>
      <c r="B3714" s="140" t="s">
        <v>4786</v>
      </c>
      <c r="C3714" s="140" t="s">
        <v>11007</v>
      </c>
      <c r="D3714" s="140" t="s">
        <v>6601</v>
      </c>
      <c r="E3714" s="140" t="s">
        <v>303</v>
      </c>
      <c r="F3714" s="140" t="s">
        <v>8317</v>
      </c>
      <c r="G3714" s="141" t="s">
        <v>6401</v>
      </c>
      <c r="H3714" s="140" t="s">
        <v>6312</v>
      </c>
      <c r="I3714" s="140" t="s">
        <v>6313</v>
      </c>
      <c r="J3714" s="140" t="s">
        <v>6314</v>
      </c>
      <c r="K3714" s="140" t="s">
        <v>11004</v>
      </c>
    </row>
    <row r="3715">
      <c r="A3715" s="140" t="s">
        <v>11004</v>
      </c>
      <c r="B3715" s="140" t="s">
        <v>4774</v>
      </c>
      <c r="C3715" s="140" t="s">
        <v>11008</v>
      </c>
      <c r="D3715" s="140" t="s">
        <v>6601</v>
      </c>
      <c r="E3715" s="140" t="s">
        <v>303</v>
      </c>
      <c r="F3715" s="140" t="s">
        <v>8317</v>
      </c>
      <c r="G3715" s="141" t="s">
        <v>6401</v>
      </c>
      <c r="H3715" s="140" t="s">
        <v>6312</v>
      </c>
      <c r="I3715" s="140" t="s">
        <v>6313</v>
      </c>
      <c r="J3715" s="140" t="s">
        <v>6314</v>
      </c>
      <c r="K3715" s="140" t="s">
        <v>11004</v>
      </c>
    </row>
    <row r="3716">
      <c r="A3716" s="140" t="s">
        <v>11004</v>
      </c>
      <c r="B3716" s="140" t="s">
        <v>4788</v>
      </c>
      <c r="C3716" s="140" t="s">
        <v>11009</v>
      </c>
      <c r="D3716" s="140" t="s">
        <v>6601</v>
      </c>
      <c r="E3716" s="140" t="s">
        <v>303</v>
      </c>
      <c r="F3716" s="140" t="s">
        <v>8317</v>
      </c>
      <c r="G3716" s="141" t="s">
        <v>6401</v>
      </c>
      <c r="H3716" s="140" t="s">
        <v>6312</v>
      </c>
      <c r="I3716" s="140" t="s">
        <v>6313</v>
      </c>
      <c r="J3716" s="140" t="s">
        <v>6314</v>
      </c>
      <c r="K3716" s="140" t="s">
        <v>11004</v>
      </c>
    </row>
    <row r="3717">
      <c r="A3717" s="140" t="s">
        <v>11004</v>
      </c>
      <c r="B3717" s="140" t="s">
        <v>4762</v>
      </c>
      <c r="C3717" s="140" t="s">
        <v>11010</v>
      </c>
      <c r="D3717" s="140" t="s">
        <v>6601</v>
      </c>
      <c r="E3717" s="140" t="s">
        <v>303</v>
      </c>
      <c r="F3717" s="140" t="s">
        <v>8317</v>
      </c>
      <c r="G3717" s="141" t="s">
        <v>6401</v>
      </c>
      <c r="H3717" s="140" t="s">
        <v>6312</v>
      </c>
      <c r="I3717" s="140" t="s">
        <v>6313</v>
      </c>
      <c r="J3717" s="140" t="s">
        <v>6314</v>
      </c>
      <c r="K3717" s="140" t="s">
        <v>11004</v>
      </c>
    </row>
    <row r="3718">
      <c r="A3718" s="140" t="s">
        <v>11004</v>
      </c>
      <c r="B3718" s="140" t="s">
        <v>4798</v>
      </c>
      <c r="C3718" s="140" t="s">
        <v>11011</v>
      </c>
      <c r="D3718" s="140" t="s">
        <v>6601</v>
      </c>
      <c r="E3718" s="140" t="s">
        <v>303</v>
      </c>
      <c r="F3718" s="140" t="s">
        <v>8317</v>
      </c>
      <c r="G3718" s="141" t="s">
        <v>6311</v>
      </c>
      <c r="H3718" s="140" t="s">
        <v>6312</v>
      </c>
      <c r="I3718" s="140" t="s">
        <v>6313</v>
      </c>
      <c r="J3718" s="140" t="s">
        <v>6314</v>
      </c>
      <c r="K3718" s="140" t="s">
        <v>11004</v>
      </c>
    </row>
    <row r="3719">
      <c r="A3719" s="140" t="s">
        <v>11004</v>
      </c>
      <c r="B3719" s="140" t="s">
        <v>4760</v>
      </c>
      <c r="C3719" s="140" t="s">
        <v>11012</v>
      </c>
      <c r="D3719" s="140" t="s">
        <v>6601</v>
      </c>
      <c r="E3719" s="140" t="s">
        <v>303</v>
      </c>
      <c r="F3719" s="140" t="s">
        <v>8317</v>
      </c>
      <c r="G3719" s="141" t="s">
        <v>6401</v>
      </c>
      <c r="H3719" s="140" t="s">
        <v>6312</v>
      </c>
      <c r="I3719" s="140" t="s">
        <v>6313</v>
      </c>
      <c r="J3719" s="140" t="s">
        <v>6314</v>
      </c>
      <c r="K3719" s="140" t="s">
        <v>11004</v>
      </c>
    </row>
    <row r="3720">
      <c r="A3720" s="140" t="s">
        <v>11004</v>
      </c>
      <c r="B3720" s="140" t="s">
        <v>4806</v>
      </c>
      <c r="C3720" s="140" t="s">
        <v>11013</v>
      </c>
      <c r="D3720" s="140" t="s">
        <v>6601</v>
      </c>
      <c r="E3720" s="140" t="s">
        <v>303</v>
      </c>
      <c r="F3720" s="140" t="s">
        <v>8317</v>
      </c>
      <c r="G3720" s="141" t="s">
        <v>6401</v>
      </c>
      <c r="H3720" s="140" t="s">
        <v>6312</v>
      </c>
      <c r="I3720" s="140" t="s">
        <v>6313</v>
      </c>
      <c r="J3720" s="140" t="s">
        <v>6314</v>
      </c>
      <c r="K3720" s="140" t="s">
        <v>11004</v>
      </c>
    </row>
    <row r="3721">
      <c r="A3721" s="140" t="s">
        <v>11004</v>
      </c>
      <c r="B3721" s="140" t="s">
        <v>4766</v>
      </c>
      <c r="C3721" s="140" t="s">
        <v>11014</v>
      </c>
      <c r="D3721" s="140" t="s">
        <v>6601</v>
      </c>
      <c r="E3721" s="140" t="s">
        <v>303</v>
      </c>
      <c r="F3721" s="140" t="s">
        <v>8317</v>
      </c>
      <c r="G3721" s="141" t="s">
        <v>6401</v>
      </c>
      <c r="H3721" s="140" t="s">
        <v>6312</v>
      </c>
      <c r="I3721" s="140" t="s">
        <v>6313</v>
      </c>
      <c r="J3721" s="140" t="s">
        <v>6314</v>
      </c>
      <c r="K3721" s="140" t="s">
        <v>11004</v>
      </c>
    </row>
    <row r="3722">
      <c r="A3722" s="140" t="s">
        <v>11004</v>
      </c>
      <c r="B3722" s="140" t="s">
        <v>4758</v>
      </c>
      <c r="C3722" s="140" t="s">
        <v>11015</v>
      </c>
      <c r="D3722" s="140" t="s">
        <v>6601</v>
      </c>
      <c r="E3722" s="140" t="s">
        <v>303</v>
      </c>
      <c r="F3722" s="140" t="s">
        <v>8317</v>
      </c>
      <c r="G3722" s="141" t="s">
        <v>6401</v>
      </c>
      <c r="H3722" s="140" t="s">
        <v>6312</v>
      </c>
      <c r="I3722" s="140" t="s">
        <v>6313</v>
      </c>
      <c r="J3722" s="140" t="s">
        <v>6314</v>
      </c>
      <c r="K3722" s="140" t="s">
        <v>11004</v>
      </c>
    </row>
    <row r="3723">
      <c r="A3723" s="140" t="s">
        <v>11004</v>
      </c>
      <c r="B3723" s="140" t="s">
        <v>4790</v>
      </c>
      <c r="C3723" s="140" t="s">
        <v>11016</v>
      </c>
      <c r="D3723" s="140" t="s">
        <v>6601</v>
      </c>
      <c r="E3723" s="140" t="s">
        <v>303</v>
      </c>
      <c r="F3723" s="140" t="s">
        <v>8317</v>
      </c>
      <c r="G3723" s="141" t="s">
        <v>6311</v>
      </c>
      <c r="H3723" s="140" t="s">
        <v>6312</v>
      </c>
      <c r="I3723" s="140" t="s">
        <v>6313</v>
      </c>
      <c r="J3723" s="140" t="s">
        <v>6314</v>
      </c>
      <c r="K3723" s="140" t="s">
        <v>11004</v>
      </c>
    </row>
    <row r="3724">
      <c r="A3724" s="140" t="s">
        <v>11004</v>
      </c>
      <c r="B3724" s="140" t="s">
        <v>4764</v>
      </c>
      <c r="C3724" s="140" t="s">
        <v>11017</v>
      </c>
      <c r="D3724" s="140" t="s">
        <v>6601</v>
      </c>
      <c r="E3724" s="140" t="s">
        <v>303</v>
      </c>
      <c r="F3724" s="140" t="s">
        <v>8317</v>
      </c>
      <c r="G3724" s="141" t="s">
        <v>6401</v>
      </c>
      <c r="H3724" s="140" t="s">
        <v>6312</v>
      </c>
      <c r="I3724" s="140" t="s">
        <v>6313</v>
      </c>
      <c r="J3724" s="140" t="s">
        <v>6314</v>
      </c>
      <c r="K3724" s="140" t="s">
        <v>11004</v>
      </c>
    </row>
    <row r="3725">
      <c r="A3725" s="140" t="s">
        <v>11004</v>
      </c>
      <c r="B3725" s="140" t="s">
        <v>4794</v>
      </c>
      <c r="C3725" s="140" t="s">
        <v>11018</v>
      </c>
      <c r="D3725" s="140" t="s">
        <v>6601</v>
      </c>
      <c r="E3725" s="140" t="s">
        <v>303</v>
      </c>
      <c r="F3725" s="140" t="s">
        <v>8317</v>
      </c>
      <c r="G3725" s="141" t="s">
        <v>6311</v>
      </c>
      <c r="H3725" s="140" t="s">
        <v>6312</v>
      </c>
      <c r="I3725" s="140" t="s">
        <v>6313</v>
      </c>
      <c r="J3725" s="140" t="s">
        <v>6314</v>
      </c>
      <c r="K3725" s="140" t="s">
        <v>11004</v>
      </c>
    </row>
    <row r="3726">
      <c r="A3726" s="140" t="s">
        <v>11004</v>
      </c>
      <c r="B3726" s="140" t="s">
        <v>4770</v>
      </c>
      <c r="C3726" s="140" t="s">
        <v>11019</v>
      </c>
      <c r="D3726" s="140" t="s">
        <v>6601</v>
      </c>
      <c r="E3726" s="140" t="s">
        <v>303</v>
      </c>
      <c r="F3726" s="140" t="s">
        <v>8317</v>
      </c>
      <c r="G3726" s="141" t="s">
        <v>6401</v>
      </c>
      <c r="H3726" s="140" t="s">
        <v>6312</v>
      </c>
      <c r="I3726" s="140" t="s">
        <v>6313</v>
      </c>
      <c r="J3726" s="140" t="s">
        <v>6314</v>
      </c>
      <c r="K3726" s="140" t="s">
        <v>11004</v>
      </c>
    </row>
    <row r="3727">
      <c r="A3727" s="140" t="s">
        <v>11004</v>
      </c>
      <c r="B3727" s="140" t="s">
        <v>4800</v>
      </c>
      <c r="C3727" s="140" t="s">
        <v>11020</v>
      </c>
      <c r="D3727" s="140" t="s">
        <v>6601</v>
      </c>
      <c r="E3727" s="140" t="s">
        <v>303</v>
      </c>
      <c r="F3727" s="140" t="s">
        <v>8317</v>
      </c>
      <c r="G3727" s="141" t="s">
        <v>6311</v>
      </c>
      <c r="H3727" s="140" t="s">
        <v>6312</v>
      </c>
      <c r="I3727" s="140" t="s">
        <v>6313</v>
      </c>
      <c r="J3727" s="140" t="s">
        <v>6314</v>
      </c>
      <c r="K3727" s="140" t="s">
        <v>11004</v>
      </c>
    </row>
    <row r="3728">
      <c r="A3728" s="140" t="s">
        <v>11004</v>
      </c>
      <c r="B3728" s="140" t="s">
        <v>4812</v>
      </c>
      <c r="C3728" s="140" t="s">
        <v>11021</v>
      </c>
      <c r="D3728" s="140" t="s">
        <v>6601</v>
      </c>
      <c r="E3728" s="140" t="s">
        <v>303</v>
      </c>
      <c r="F3728" s="140" t="s">
        <v>8317</v>
      </c>
      <c r="G3728" s="141" t="s">
        <v>6401</v>
      </c>
      <c r="H3728" s="140" t="s">
        <v>6312</v>
      </c>
      <c r="I3728" s="140" t="s">
        <v>6313</v>
      </c>
      <c r="J3728" s="140" t="s">
        <v>6314</v>
      </c>
      <c r="K3728" s="140" t="s">
        <v>11004</v>
      </c>
    </row>
    <row r="3729">
      <c r="A3729" s="140" t="s">
        <v>11004</v>
      </c>
      <c r="B3729" s="140" t="s">
        <v>4804</v>
      </c>
      <c r="C3729" s="140" t="s">
        <v>11022</v>
      </c>
      <c r="D3729" s="140" t="s">
        <v>6601</v>
      </c>
      <c r="E3729" s="140" t="s">
        <v>303</v>
      </c>
      <c r="F3729" s="140" t="s">
        <v>8317</v>
      </c>
      <c r="G3729" s="141" t="s">
        <v>6401</v>
      </c>
      <c r="H3729" s="140" t="s">
        <v>6312</v>
      </c>
      <c r="I3729" s="140" t="s">
        <v>6313</v>
      </c>
      <c r="J3729" s="140" t="s">
        <v>6314</v>
      </c>
      <c r="K3729" s="140" t="s">
        <v>11004</v>
      </c>
    </row>
    <row r="3730">
      <c r="A3730" s="140" t="s">
        <v>11004</v>
      </c>
      <c r="B3730" s="140" t="s">
        <v>4802</v>
      </c>
      <c r="C3730" s="140" t="s">
        <v>11023</v>
      </c>
      <c r="D3730" s="140" t="s">
        <v>6601</v>
      </c>
      <c r="E3730" s="140" t="s">
        <v>303</v>
      </c>
      <c r="F3730" s="140" t="s">
        <v>8317</v>
      </c>
      <c r="G3730" s="141" t="s">
        <v>6401</v>
      </c>
      <c r="H3730" s="140" t="s">
        <v>6312</v>
      </c>
      <c r="I3730" s="140" t="s">
        <v>6313</v>
      </c>
      <c r="J3730" s="140" t="s">
        <v>6314</v>
      </c>
      <c r="K3730" s="140" t="s">
        <v>11004</v>
      </c>
    </row>
    <row r="3731">
      <c r="A3731" s="140" t="s">
        <v>11004</v>
      </c>
      <c r="B3731" s="140" t="s">
        <v>4780</v>
      </c>
      <c r="C3731" s="140" t="s">
        <v>11024</v>
      </c>
      <c r="D3731" s="140" t="s">
        <v>6601</v>
      </c>
      <c r="E3731" s="140" t="s">
        <v>303</v>
      </c>
      <c r="F3731" s="140" t="s">
        <v>8317</v>
      </c>
      <c r="G3731" s="141" t="s">
        <v>6401</v>
      </c>
      <c r="H3731" s="140" t="s">
        <v>6312</v>
      </c>
      <c r="I3731" s="140" t="s">
        <v>6313</v>
      </c>
      <c r="J3731" s="140" t="s">
        <v>6314</v>
      </c>
      <c r="K3731" s="140" t="s">
        <v>11004</v>
      </c>
    </row>
    <row r="3732">
      <c r="A3732" s="140" t="s">
        <v>11004</v>
      </c>
      <c r="B3732" s="140" t="s">
        <v>4768</v>
      </c>
      <c r="C3732" s="140" t="s">
        <v>11025</v>
      </c>
      <c r="D3732" s="140" t="s">
        <v>6601</v>
      </c>
      <c r="E3732" s="140" t="s">
        <v>303</v>
      </c>
      <c r="F3732" s="140" t="s">
        <v>8317</v>
      </c>
      <c r="G3732" s="141" t="s">
        <v>6401</v>
      </c>
      <c r="H3732" s="140" t="s">
        <v>6312</v>
      </c>
      <c r="I3732" s="140" t="s">
        <v>6313</v>
      </c>
      <c r="J3732" s="140" t="s">
        <v>6314</v>
      </c>
      <c r="K3732" s="140" t="s">
        <v>11004</v>
      </c>
    </row>
    <row r="3733">
      <c r="A3733" s="140" t="s">
        <v>11004</v>
      </c>
      <c r="B3733" s="140" t="s">
        <v>4792</v>
      </c>
      <c r="C3733" s="140" t="s">
        <v>11026</v>
      </c>
      <c r="D3733" s="140" t="s">
        <v>6601</v>
      </c>
      <c r="E3733" s="140" t="s">
        <v>303</v>
      </c>
      <c r="F3733" s="140" t="s">
        <v>8317</v>
      </c>
      <c r="G3733" s="141" t="s">
        <v>6311</v>
      </c>
      <c r="H3733" s="140" t="s">
        <v>6312</v>
      </c>
      <c r="I3733" s="140" t="s">
        <v>6313</v>
      </c>
      <c r="J3733" s="140" t="s">
        <v>6314</v>
      </c>
      <c r="K3733" s="140" t="s">
        <v>11004</v>
      </c>
    </row>
    <row r="3734">
      <c r="A3734" s="140" t="s">
        <v>11004</v>
      </c>
      <c r="B3734" s="140" t="s">
        <v>4776</v>
      </c>
      <c r="C3734" s="140" t="s">
        <v>11027</v>
      </c>
      <c r="D3734" s="140" t="s">
        <v>6601</v>
      </c>
      <c r="E3734" s="140" t="s">
        <v>303</v>
      </c>
      <c r="F3734" s="140" t="s">
        <v>8317</v>
      </c>
      <c r="G3734" s="141" t="s">
        <v>6401</v>
      </c>
      <c r="H3734" s="140" t="s">
        <v>6312</v>
      </c>
      <c r="I3734" s="140" t="s">
        <v>6313</v>
      </c>
      <c r="J3734" s="140" t="s">
        <v>6314</v>
      </c>
      <c r="K3734" s="140" t="s">
        <v>11004</v>
      </c>
    </row>
    <row r="3735">
      <c r="A3735" s="140" t="s">
        <v>11004</v>
      </c>
      <c r="B3735" s="140" t="s">
        <v>4782</v>
      </c>
      <c r="C3735" s="140" t="s">
        <v>11028</v>
      </c>
      <c r="D3735" s="140" t="s">
        <v>6601</v>
      </c>
      <c r="E3735" s="140" t="s">
        <v>303</v>
      </c>
      <c r="F3735" s="140" t="s">
        <v>8317</v>
      </c>
      <c r="G3735" s="141" t="s">
        <v>6401</v>
      </c>
      <c r="H3735" s="140" t="s">
        <v>6312</v>
      </c>
      <c r="I3735" s="140" t="s">
        <v>6313</v>
      </c>
      <c r="J3735" s="140" t="s">
        <v>6314</v>
      </c>
      <c r="K3735" s="140" t="s">
        <v>11004</v>
      </c>
    </row>
    <row r="3736">
      <c r="A3736" s="140" t="s">
        <v>11004</v>
      </c>
      <c r="B3736" s="140" t="s">
        <v>4814</v>
      </c>
      <c r="C3736" s="140" t="s">
        <v>11029</v>
      </c>
      <c r="D3736" s="140" t="s">
        <v>6601</v>
      </c>
      <c r="E3736" s="140" t="s">
        <v>303</v>
      </c>
      <c r="F3736" s="140" t="s">
        <v>8317</v>
      </c>
      <c r="G3736" s="141" t="s">
        <v>6401</v>
      </c>
      <c r="H3736" s="140" t="s">
        <v>6312</v>
      </c>
      <c r="I3736" s="140" t="s">
        <v>6313</v>
      </c>
      <c r="J3736" s="140" t="s">
        <v>6314</v>
      </c>
      <c r="K3736" s="140" t="s">
        <v>11004</v>
      </c>
    </row>
    <row r="3737">
      <c r="A3737" s="140" t="s">
        <v>11004</v>
      </c>
      <c r="B3737" s="140" t="s">
        <v>4810</v>
      </c>
      <c r="C3737" s="140" t="s">
        <v>11030</v>
      </c>
      <c r="D3737" s="140" t="s">
        <v>6601</v>
      </c>
      <c r="E3737" s="140" t="s">
        <v>303</v>
      </c>
      <c r="F3737" s="140" t="s">
        <v>8317</v>
      </c>
      <c r="G3737" s="141" t="s">
        <v>6401</v>
      </c>
      <c r="H3737" s="140" t="s">
        <v>6312</v>
      </c>
      <c r="I3737" s="140" t="s">
        <v>6313</v>
      </c>
      <c r="J3737" s="140" t="s">
        <v>6314</v>
      </c>
      <c r="K3737" s="140" t="s">
        <v>11004</v>
      </c>
    </row>
    <row r="3738">
      <c r="A3738" s="140" t="s">
        <v>11004</v>
      </c>
      <c r="B3738" s="140" t="s">
        <v>4808</v>
      </c>
      <c r="C3738" s="140" t="s">
        <v>11031</v>
      </c>
      <c r="D3738" s="140" t="s">
        <v>6601</v>
      </c>
      <c r="E3738" s="140" t="s">
        <v>303</v>
      </c>
      <c r="F3738" s="140" t="s">
        <v>8317</v>
      </c>
      <c r="G3738" s="141" t="s">
        <v>6401</v>
      </c>
      <c r="H3738" s="140" t="s">
        <v>6312</v>
      </c>
      <c r="I3738" s="140" t="s">
        <v>6313</v>
      </c>
      <c r="J3738" s="140" t="s">
        <v>6314</v>
      </c>
      <c r="K3738" s="140" t="s">
        <v>11004</v>
      </c>
    </row>
    <row r="3739">
      <c r="A3739" s="140" t="s">
        <v>11004</v>
      </c>
      <c r="B3739" s="140" t="s">
        <v>4772</v>
      </c>
      <c r="C3739" s="140" t="s">
        <v>11032</v>
      </c>
      <c r="D3739" s="140" t="s">
        <v>6601</v>
      </c>
      <c r="E3739" s="140" t="s">
        <v>303</v>
      </c>
      <c r="F3739" s="140" t="s">
        <v>8317</v>
      </c>
      <c r="G3739" s="141" t="s">
        <v>6401</v>
      </c>
      <c r="H3739" s="140" t="s">
        <v>6312</v>
      </c>
      <c r="I3739" s="140" t="s">
        <v>6313</v>
      </c>
      <c r="J3739" s="140" t="s">
        <v>6314</v>
      </c>
      <c r="K3739" s="140" t="s">
        <v>11004</v>
      </c>
    </row>
    <row r="3740">
      <c r="A3740" s="140" t="s">
        <v>11004</v>
      </c>
      <c r="B3740" s="140" t="s">
        <v>4784</v>
      </c>
      <c r="C3740" s="140" t="s">
        <v>11033</v>
      </c>
      <c r="D3740" s="140" t="s">
        <v>6601</v>
      </c>
      <c r="E3740" s="140" t="s">
        <v>303</v>
      </c>
      <c r="F3740" s="140" t="s">
        <v>8317</v>
      </c>
      <c r="G3740" s="141" t="s">
        <v>6401</v>
      </c>
      <c r="H3740" s="140" t="s">
        <v>6312</v>
      </c>
      <c r="I3740" s="140" t="s">
        <v>6313</v>
      </c>
      <c r="J3740" s="140" t="s">
        <v>6314</v>
      </c>
      <c r="K3740" s="140" t="s">
        <v>11004</v>
      </c>
    </row>
    <row r="3741">
      <c r="A3741" s="140" t="s">
        <v>1666</v>
      </c>
      <c r="B3741" s="143">
        <v>1.651674709606E12</v>
      </c>
      <c r="C3741" s="140" t="s">
        <v>11034</v>
      </c>
      <c r="D3741" s="140" t="s">
        <v>11035</v>
      </c>
      <c r="E3741" s="140">
        <v>0.0</v>
      </c>
      <c r="F3741" s="140" t="s">
        <v>11035</v>
      </c>
      <c r="G3741" s="141" t="s">
        <v>6401</v>
      </c>
      <c r="H3741" s="140" t="s">
        <v>6312</v>
      </c>
      <c r="I3741" s="140" t="s">
        <v>6313</v>
      </c>
      <c r="J3741" s="140" t="s">
        <v>6319</v>
      </c>
      <c r="K3741" s="140" t="s">
        <v>1573</v>
      </c>
    </row>
    <row r="3742">
      <c r="A3742" s="140" t="s">
        <v>1666</v>
      </c>
      <c r="B3742" s="143">
        <v>1.659631061102E12</v>
      </c>
      <c r="C3742" s="140" t="s">
        <v>11036</v>
      </c>
      <c r="D3742" s="140" t="s">
        <v>11035</v>
      </c>
      <c r="E3742" s="140">
        <v>0.0</v>
      </c>
      <c r="F3742" s="140" t="s">
        <v>11035</v>
      </c>
      <c r="G3742" s="141" t="s">
        <v>6401</v>
      </c>
      <c r="H3742" s="140" t="s">
        <v>6312</v>
      </c>
      <c r="I3742" s="140" t="s">
        <v>6313</v>
      </c>
      <c r="J3742" s="140" t="s">
        <v>6319</v>
      </c>
      <c r="K3742" s="140" t="s">
        <v>1573</v>
      </c>
    </row>
    <row r="3743">
      <c r="A3743" s="140" t="s">
        <v>1666</v>
      </c>
      <c r="B3743" s="143">
        <v>1.648494506836E12</v>
      </c>
      <c r="C3743" s="140" t="s">
        <v>11037</v>
      </c>
      <c r="D3743" s="140" t="s">
        <v>11035</v>
      </c>
      <c r="E3743" s="140">
        <v>0.0</v>
      </c>
      <c r="F3743" s="140" t="s">
        <v>11035</v>
      </c>
      <c r="G3743" s="141" t="s">
        <v>6401</v>
      </c>
      <c r="H3743" s="140" t="s">
        <v>6312</v>
      </c>
      <c r="I3743" s="140" t="s">
        <v>6313</v>
      </c>
      <c r="J3743" s="140" t="s">
        <v>6319</v>
      </c>
      <c r="K3743" s="140" t="s">
        <v>1573</v>
      </c>
    </row>
    <row r="3744">
      <c r="A3744" s="140" t="s">
        <v>1666</v>
      </c>
      <c r="B3744" s="143">
        <v>1.648494493887E12</v>
      </c>
      <c r="C3744" s="140" t="s">
        <v>11038</v>
      </c>
      <c r="D3744" s="140" t="s">
        <v>11035</v>
      </c>
      <c r="E3744" s="140">
        <v>0.0</v>
      </c>
      <c r="F3744" s="140" t="s">
        <v>11035</v>
      </c>
      <c r="G3744" s="141" t="s">
        <v>6401</v>
      </c>
      <c r="H3744" s="140" t="s">
        <v>6312</v>
      </c>
      <c r="I3744" s="140" t="s">
        <v>6313</v>
      </c>
      <c r="J3744" s="140" t="s">
        <v>6319</v>
      </c>
      <c r="K3744" s="140" t="s">
        <v>1573</v>
      </c>
    </row>
    <row r="3745">
      <c r="A3745" s="140" t="s">
        <v>1666</v>
      </c>
      <c r="B3745" s="143">
        <v>1.64519976629E12</v>
      </c>
      <c r="C3745" s="140" t="s">
        <v>11039</v>
      </c>
      <c r="D3745" s="140" t="s">
        <v>11035</v>
      </c>
      <c r="E3745" s="140">
        <v>0.0</v>
      </c>
      <c r="F3745" s="140" t="s">
        <v>11035</v>
      </c>
      <c r="G3745" s="141" t="s">
        <v>6401</v>
      </c>
      <c r="H3745" s="140" t="s">
        <v>6312</v>
      </c>
      <c r="I3745" s="140" t="s">
        <v>6313</v>
      </c>
      <c r="J3745" s="140" t="s">
        <v>6319</v>
      </c>
      <c r="K3745" s="140" t="s">
        <v>1573</v>
      </c>
    </row>
    <row r="3746">
      <c r="A3746" s="140" t="s">
        <v>1666</v>
      </c>
      <c r="B3746" s="140" t="s">
        <v>11040</v>
      </c>
      <c r="C3746" s="140" t="s">
        <v>11041</v>
      </c>
      <c r="D3746" s="140" t="s">
        <v>11035</v>
      </c>
      <c r="E3746" s="140">
        <v>0.0</v>
      </c>
      <c r="F3746" s="140" t="s">
        <v>11035</v>
      </c>
      <c r="G3746" s="141" t="s">
        <v>6401</v>
      </c>
      <c r="H3746" s="140" t="s">
        <v>6312</v>
      </c>
      <c r="I3746" s="140" t="s">
        <v>6313</v>
      </c>
      <c r="J3746" s="140" t="s">
        <v>6319</v>
      </c>
      <c r="K3746" s="140" t="s">
        <v>1573</v>
      </c>
    </row>
    <row r="3747">
      <c r="A3747" s="140" t="s">
        <v>1666</v>
      </c>
      <c r="B3747" s="143">
        <v>1.513100019184E12</v>
      </c>
      <c r="C3747" s="140" t="s">
        <v>11042</v>
      </c>
      <c r="D3747" s="140" t="s">
        <v>6718</v>
      </c>
      <c r="E3747" s="140" t="s">
        <v>140</v>
      </c>
      <c r="F3747" s="140" t="s">
        <v>7674</v>
      </c>
      <c r="G3747" s="141" t="s">
        <v>6401</v>
      </c>
      <c r="H3747" s="140" t="s">
        <v>6312</v>
      </c>
      <c r="I3747" s="140" t="s">
        <v>6313</v>
      </c>
      <c r="J3747" s="140" t="s">
        <v>6319</v>
      </c>
      <c r="K3747" s="140" t="s">
        <v>1573</v>
      </c>
    </row>
    <row r="3748">
      <c r="A3748" s="140" t="s">
        <v>1666</v>
      </c>
      <c r="B3748" s="143">
        <v>1.554235431863E12</v>
      </c>
      <c r="C3748" s="140" t="s">
        <v>11043</v>
      </c>
      <c r="D3748" s="140" t="s">
        <v>6718</v>
      </c>
      <c r="E3748" s="140" t="s">
        <v>140</v>
      </c>
      <c r="F3748" s="140" t="s">
        <v>7674</v>
      </c>
      <c r="G3748" s="141" t="s">
        <v>6401</v>
      </c>
      <c r="H3748" s="140" t="s">
        <v>6312</v>
      </c>
      <c r="I3748" s="140" t="s">
        <v>6313</v>
      </c>
      <c r="J3748" s="140" t="s">
        <v>6319</v>
      </c>
      <c r="K3748" s="140" t="s">
        <v>1573</v>
      </c>
    </row>
    <row r="3749">
      <c r="A3749" s="140" t="s">
        <v>1666</v>
      </c>
      <c r="B3749" s="140" t="s">
        <v>145</v>
      </c>
      <c r="C3749" s="140" t="s">
        <v>1669</v>
      </c>
      <c r="D3749" s="140" t="s">
        <v>6718</v>
      </c>
      <c r="E3749" s="140" t="s">
        <v>140</v>
      </c>
      <c r="F3749" s="140" t="s">
        <v>141</v>
      </c>
      <c r="G3749" s="141" t="s">
        <v>6401</v>
      </c>
      <c r="H3749" s="140" t="s">
        <v>6330</v>
      </c>
      <c r="I3749" s="140" t="s">
        <v>6313</v>
      </c>
      <c r="J3749" s="140" t="s">
        <v>6319</v>
      </c>
      <c r="K3749" s="140" t="s">
        <v>1573</v>
      </c>
    </row>
    <row r="3750">
      <c r="A3750" s="140" t="s">
        <v>1666</v>
      </c>
      <c r="B3750" s="140" t="s">
        <v>147</v>
      </c>
      <c r="C3750" s="140" t="s">
        <v>1671</v>
      </c>
      <c r="D3750" s="140" t="s">
        <v>6718</v>
      </c>
      <c r="E3750" s="140" t="s">
        <v>140</v>
      </c>
      <c r="F3750" s="140" t="s">
        <v>141</v>
      </c>
      <c r="G3750" s="141" t="s">
        <v>6401</v>
      </c>
      <c r="H3750" s="140" t="s">
        <v>6330</v>
      </c>
      <c r="I3750" s="140" t="s">
        <v>6313</v>
      </c>
      <c r="J3750" s="140" t="s">
        <v>6319</v>
      </c>
      <c r="K3750" s="140" t="s">
        <v>1573</v>
      </c>
    </row>
    <row r="3751">
      <c r="A3751" s="140" t="s">
        <v>1666</v>
      </c>
      <c r="B3751" s="140" t="s">
        <v>143</v>
      </c>
      <c r="C3751" s="140" t="s">
        <v>1667</v>
      </c>
      <c r="D3751" s="140" t="s">
        <v>6718</v>
      </c>
      <c r="E3751" s="140" t="s">
        <v>140</v>
      </c>
      <c r="F3751" s="140" t="s">
        <v>141</v>
      </c>
      <c r="G3751" s="141" t="s">
        <v>6401</v>
      </c>
      <c r="H3751" s="140" t="s">
        <v>6330</v>
      </c>
      <c r="I3751" s="140" t="s">
        <v>6313</v>
      </c>
      <c r="J3751" s="140" t="s">
        <v>6319</v>
      </c>
      <c r="K3751" s="140" t="s">
        <v>1573</v>
      </c>
    </row>
    <row r="3752">
      <c r="A3752" s="140" t="s">
        <v>1666</v>
      </c>
      <c r="B3752" s="140" t="s">
        <v>11044</v>
      </c>
      <c r="C3752" s="140" t="s">
        <v>11045</v>
      </c>
      <c r="D3752" s="140" t="s">
        <v>6718</v>
      </c>
      <c r="E3752" s="140" t="s">
        <v>140</v>
      </c>
      <c r="F3752" s="140" t="s">
        <v>141</v>
      </c>
      <c r="G3752" s="141" t="s">
        <v>6311</v>
      </c>
      <c r="H3752" s="140" t="s">
        <v>6330</v>
      </c>
      <c r="I3752" s="140" t="s">
        <v>6527</v>
      </c>
      <c r="J3752" s="140" t="s">
        <v>6319</v>
      </c>
      <c r="K3752" s="140" t="s">
        <v>1573</v>
      </c>
    </row>
    <row r="3753">
      <c r="A3753" s="140" t="s">
        <v>1666</v>
      </c>
      <c r="B3753" s="140" t="s">
        <v>11046</v>
      </c>
      <c r="C3753" s="140" t="s">
        <v>11047</v>
      </c>
      <c r="D3753" s="140" t="s">
        <v>6718</v>
      </c>
      <c r="E3753" s="140" t="s">
        <v>140</v>
      </c>
      <c r="F3753" s="140" t="s">
        <v>141</v>
      </c>
      <c r="G3753" s="141" t="s">
        <v>6311</v>
      </c>
      <c r="H3753" s="140" t="s">
        <v>6330</v>
      </c>
      <c r="I3753" s="140" t="s">
        <v>6527</v>
      </c>
      <c r="J3753" s="140" t="s">
        <v>6319</v>
      </c>
      <c r="K3753" s="140" t="s">
        <v>1573</v>
      </c>
    </row>
    <row r="3754">
      <c r="A3754" s="140" t="s">
        <v>1666</v>
      </c>
      <c r="B3754" s="140" t="s">
        <v>11048</v>
      </c>
      <c r="C3754" s="140" t="s">
        <v>11047</v>
      </c>
      <c r="D3754" s="140" t="s">
        <v>6718</v>
      </c>
      <c r="E3754" s="140" t="s">
        <v>140</v>
      </c>
      <c r="F3754" s="140" t="s">
        <v>141</v>
      </c>
      <c r="G3754" s="141" t="s">
        <v>6311</v>
      </c>
      <c r="H3754" s="140" t="s">
        <v>6330</v>
      </c>
      <c r="I3754" s="140" t="s">
        <v>6527</v>
      </c>
      <c r="J3754" s="140" t="s">
        <v>6319</v>
      </c>
      <c r="K3754" s="140" t="s">
        <v>1573</v>
      </c>
    </row>
    <row r="3755">
      <c r="A3755" s="140" t="s">
        <v>1666</v>
      </c>
      <c r="B3755" s="140" t="s">
        <v>11049</v>
      </c>
      <c r="C3755" s="140" t="s">
        <v>11050</v>
      </c>
      <c r="D3755" s="140" t="s">
        <v>6718</v>
      </c>
      <c r="E3755" s="140" t="s">
        <v>140</v>
      </c>
      <c r="F3755" s="140" t="s">
        <v>141</v>
      </c>
      <c r="G3755" s="141" t="s">
        <v>6311</v>
      </c>
      <c r="H3755" s="140" t="s">
        <v>6330</v>
      </c>
      <c r="I3755" s="140" t="s">
        <v>6527</v>
      </c>
      <c r="J3755" s="140" t="s">
        <v>6319</v>
      </c>
      <c r="K3755" s="140" t="s">
        <v>1573</v>
      </c>
    </row>
    <row r="3756">
      <c r="A3756" s="140" t="s">
        <v>1666</v>
      </c>
      <c r="B3756" s="140" t="s">
        <v>11051</v>
      </c>
      <c r="C3756" s="140" t="s">
        <v>11050</v>
      </c>
      <c r="D3756" s="140" t="s">
        <v>6718</v>
      </c>
      <c r="E3756" s="140" t="s">
        <v>140</v>
      </c>
      <c r="F3756" s="140" t="s">
        <v>141</v>
      </c>
      <c r="G3756" s="141" t="s">
        <v>6311</v>
      </c>
      <c r="H3756" s="140" t="s">
        <v>6330</v>
      </c>
      <c r="I3756" s="140" t="s">
        <v>6527</v>
      </c>
      <c r="J3756" s="140" t="s">
        <v>6319</v>
      </c>
      <c r="K3756" s="140" t="s">
        <v>1573</v>
      </c>
    </row>
    <row r="3757">
      <c r="A3757" s="140" t="s">
        <v>1666</v>
      </c>
      <c r="B3757" s="143">
        <v>1.650299083874E12</v>
      </c>
      <c r="C3757" s="140" t="s">
        <v>1673</v>
      </c>
      <c r="D3757" s="140" t="s">
        <v>6718</v>
      </c>
      <c r="E3757" s="140" t="s">
        <v>140</v>
      </c>
      <c r="F3757" s="140" t="s">
        <v>148</v>
      </c>
      <c r="G3757" s="141" t="s">
        <v>6401</v>
      </c>
      <c r="H3757" s="140" t="s">
        <v>6330</v>
      </c>
      <c r="I3757" s="140" t="s">
        <v>6313</v>
      </c>
      <c r="J3757" s="140" t="s">
        <v>6319</v>
      </c>
      <c r="K3757" s="140" t="s">
        <v>1573</v>
      </c>
    </row>
    <row r="3758">
      <c r="A3758" s="140" t="s">
        <v>1666</v>
      </c>
      <c r="B3758" s="143">
        <v>1.652825203439E12</v>
      </c>
      <c r="C3758" s="140" t="s">
        <v>1675</v>
      </c>
      <c r="D3758" s="140" t="s">
        <v>6718</v>
      </c>
      <c r="E3758" s="140" t="s">
        <v>140</v>
      </c>
      <c r="F3758" s="140" t="s">
        <v>148</v>
      </c>
      <c r="G3758" s="141" t="s">
        <v>6742</v>
      </c>
      <c r="H3758" s="140" t="s">
        <v>6330</v>
      </c>
      <c r="I3758" s="140" t="s">
        <v>6313</v>
      </c>
      <c r="J3758" s="140" t="s">
        <v>6319</v>
      </c>
      <c r="K3758" s="140" t="s">
        <v>1573</v>
      </c>
    </row>
    <row r="3759">
      <c r="A3759" s="140" t="s">
        <v>1666</v>
      </c>
      <c r="B3759" s="140" t="s">
        <v>153</v>
      </c>
      <c r="C3759" s="140" t="s">
        <v>1677</v>
      </c>
      <c r="D3759" s="140" t="s">
        <v>6718</v>
      </c>
      <c r="E3759" s="140" t="s">
        <v>140</v>
      </c>
      <c r="F3759" s="140" t="s">
        <v>151</v>
      </c>
      <c r="G3759" s="141" t="s">
        <v>6401</v>
      </c>
      <c r="H3759" s="140" t="s">
        <v>6330</v>
      </c>
      <c r="I3759" s="140" t="s">
        <v>6313</v>
      </c>
      <c r="J3759" s="140" t="s">
        <v>6319</v>
      </c>
      <c r="K3759" s="140" t="s">
        <v>1573</v>
      </c>
    </row>
    <row r="3760">
      <c r="A3760" s="140" t="s">
        <v>1666</v>
      </c>
      <c r="B3760" s="140" t="s">
        <v>155</v>
      </c>
      <c r="C3760" s="140" t="s">
        <v>1679</v>
      </c>
      <c r="D3760" s="140" t="s">
        <v>6718</v>
      </c>
      <c r="E3760" s="140" t="s">
        <v>140</v>
      </c>
      <c r="F3760" s="140" t="s">
        <v>151</v>
      </c>
      <c r="G3760" s="141" t="s">
        <v>6401</v>
      </c>
      <c r="H3760" s="140" t="s">
        <v>6330</v>
      </c>
      <c r="I3760" s="140" t="s">
        <v>6313</v>
      </c>
      <c r="J3760" s="140" t="s">
        <v>6319</v>
      </c>
      <c r="K3760" s="140" t="s">
        <v>1573</v>
      </c>
    </row>
    <row r="3761">
      <c r="A3761" s="140" t="s">
        <v>1666</v>
      </c>
      <c r="B3761" s="140" t="s">
        <v>157</v>
      </c>
      <c r="C3761" s="140" t="s">
        <v>1681</v>
      </c>
      <c r="D3761" s="140" t="s">
        <v>6718</v>
      </c>
      <c r="E3761" s="140" t="s">
        <v>140</v>
      </c>
      <c r="F3761" s="140" t="s">
        <v>151</v>
      </c>
      <c r="G3761" s="141" t="s">
        <v>6401</v>
      </c>
      <c r="H3761" s="140" t="s">
        <v>6330</v>
      </c>
      <c r="I3761" s="140" t="s">
        <v>6313</v>
      </c>
      <c r="J3761" s="140" t="s">
        <v>6319</v>
      </c>
      <c r="K3761" s="140" t="s">
        <v>1573</v>
      </c>
    </row>
    <row r="3762">
      <c r="A3762" s="140" t="s">
        <v>1666</v>
      </c>
      <c r="B3762" s="140" t="s">
        <v>159</v>
      </c>
      <c r="C3762" s="140" t="s">
        <v>1684</v>
      </c>
      <c r="D3762" s="140" t="s">
        <v>6718</v>
      </c>
      <c r="E3762" s="140" t="s">
        <v>140</v>
      </c>
      <c r="F3762" s="140" t="s">
        <v>151</v>
      </c>
      <c r="G3762" s="141" t="s">
        <v>6401</v>
      </c>
      <c r="H3762" s="140" t="s">
        <v>6330</v>
      </c>
      <c r="I3762" s="140" t="s">
        <v>6313</v>
      </c>
      <c r="J3762" s="140" t="s">
        <v>6319</v>
      </c>
      <c r="K3762" s="140" t="s">
        <v>1573</v>
      </c>
    </row>
    <row r="3763">
      <c r="A3763" s="140" t="s">
        <v>1666</v>
      </c>
      <c r="B3763" s="140" t="s">
        <v>162</v>
      </c>
      <c r="C3763" s="140" t="s">
        <v>1685</v>
      </c>
      <c r="D3763" s="140" t="s">
        <v>6718</v>
      </c>
      <c r="E3763" s="140" t="s">
        <v>140</v>
      </c>
      <c r="F3763" s="140" t="s">
        <v>160</v>
      </c>
      <c r="G3763" s="141" t="s">
        <v>6401</v>
      </c>
      <c r="H3763" s="140" t="s">
        <v>6330</v>
      </c>
      <c r="I3763" s="140" t="s">
        <v>6313</v>
      </c>
      <c r="J3763" s="140" t="s">
        <v>6319</v>
      </c>
      <c r="K3763" s="140" t="s">
        <v>1573</v>
      </c>
    </row>
    <row r="3764">
      <c r="A3764" s="140" t="s">
        <v>1666</v>
      </c>
      <c r="B3764" s="140" t="s">
        <v>164</v>
      </c>
      <c r="C3764" s="140" t="s">
        <v>1687</v>
      </c>
      <c r="D3764" s="140" t="s">
        <v>6718</v>
      </c>
      <c r="E3764" s="140" t="s">
        <v>140</v>
      </c>
      <c r="F3764" s="140" t="s">
        <v>160</v>
      </c>
      <c r="G3764" s="141" t="s">
        <v>6742</v>
      </c>
      <c r="H3764" s="140" t="s">
        <v>6330</v>
      </c>
      <c r="I3764" s="140" t="s">
        <v>6313</v>
      </c>
      <c r="J3764" s="140" t="s">
        <v>6319</v>
      </c>
      <c r="K3764" s="140" t="s">
        <v>1573</v>
      </c>
    </row>
    <row r="3765">
      <c r="A3765" s="140" t="s">
        <v>1666</v>
      </c>
      <c r="B3765" s="140" t="s">
        <v>11052</v>
      </c>
      <c r="C3765" s="140" t="s">
        <v>11053</v>
      </c>
      <c r="D3765" s="140" t="s">
        <v>6318</v>
      </c>
      <c r="E3765" s="140" t="s">
        <v>1219</v>
      </c>
      <c r="F3765" s="140" t="s">
        <v>11054</v>
      </c>
      <c r="G3765" s="141" t="s">
        <v>6304</v>
      </c>
      <c r="H3765" s="140" t="s">
        <v>6312</v>
      </c>
      <c r="I3765" s="140" t="s">
        <v>6527</v>
      </c>
      <c r="J3765" s="140" t="s">
        <v>6319</v>
      </c>
      <c r="K3765" s="140" t="s">
        <v>1573</v>
      </c>
    </row>
    <row r="3766">
      <c r="A3766" s="140" t="s">
        <v>1666</v>
      </c>
      <c r="B3766" s="140" t="s">
        <v>11055</v>
      </c>
      <c r="C3766" s="140" t="s">
        <v>11056</v>
      </c>
      <c r="D3766" s="140" t="s">
        <v>11057</v>
      </c>
      <c r="E3766" s="140" t="s">
        <v>11058</v>
      </c>
      <c r="F3766" s="140" t="s">
        <v>11059</v>
      </c>
      <c r="G3766" s="141" t="s">
        <v>9308</v>
      </c>
      <c r="H3766" s="140" t="s">
        <v>6330</v>
      </c>
      <c r="I3766" s="140" t="s">
        <v>6313</v>
      </c>
      <c r="J3766" s="140" t="s">
        <v>6319</v>
      </c>
      <c r="K3766" s="140" t="s">
        <v>1573</v>
      </c>
    </row>
    <row r="3767">
      <c r="A3767" s="140" t="s">
        <v>1666</v>
      </c>
      <c r="B3767" s="140" t="s">
        <v>172</v>
      </c>
      <c r="C3767" s="140" t="s">
        <v>1690</v>
      </c>
      <c r="D3767" s="140" t="s">
        <v>6601</v>
      </c>
      <c r="E3767" s="140" t="s">
        <v>165</v>
      </c>
      <c r="F3767" s="140" t="s">
        <v>166</v>
      </c>
      <c r="G3767" s="141" t="s">
        <v>6664</v>
      </c>
      <c r="H3767" s="140" t="s">
        <v>6330</v>
      </c>
      <c r="I3767" s="140" t="s">
        <v>6313</v>
      </c>
      <c r="J3767" s="140" t="s">
        <v>6319</v>
      </c>
      <c r="K3767" s="140" t="s">
        <v>1573</v>
      </c>
    </row>
    <row r="3768">
      <c r="A3768" s="140" t="s">
        <v>1666</v>
      </c>
      <c r="B3768" s="140" t="s">
        <v>174</v>
      </c>
      <c r="C3768" s="140" t="s">
        <v>1692</v>
      </c>
      <c r="D3768" s="140" t="s">
        <v>6601</v>
      </c>
      <c r="E3768" s="140" t="s">
        <v>165</v>
      </c>
      <c r="F3768" s="140" t="s">
        <v>166</v>
      </c>
      <c r="G3768" s="141" t="s">
        <v>6664</v>
      </c>
      <c r="H3768" s="140" t="s">
        <v>6330</v>
      </c>
      <c r="I3768" s="140" t="s">
        <v>6313</v>
      </c>
      <c r="J3768" s="140" t="s">
        <v>6319</v>
      </c>
      <c r="K3768" s="140" t="s">
        <v>1573</v>
      </c>
    </row>
    <row r="3769">
      <c r="A3769" s="140" t="s">
        <v>1666</v>
      </c>
      <c r="B3769" s="140" t="s">
        <v>168</v>
      </c>
      <c r="C3769" s="140" t="s">
        <v>1694</v>
      </c>
      <c r="D3769" s="140" t="s">
        <v>6601</v>
      </c>
      <c r="E3769" s="140" t="s">
        <v>165</v>
      </c>
      <c r="F3769" s="140" t="s">
        <v>166</v>
      </c>
      <c r="G3769" s="141" t="s">
        <v>134</v>
      </c>
      <c r="H3769" s="140" t="s">
        <v>6312</v>
      </c>
      <c r="I3769" s="140" t="s">
        <v>6313</v>
      </c>
      <c r="J3769" s="140" t="s">
        <v>6319</v>
      </c>
      <c r="K3769" s="140" t="s">
        <v>1573</v>
      </c>
    </row>
    <row r="3770">
      <c r="A3770" s="140" t="s">
        <v>1666</v>
      </c>
      <c r="B3770" s="140" t="s">
        <v>170</v>
      </c>
      <c r="C3770" s="140" t="s">
        <v>1694</v>
      </c>
      <c r="D3770" s="140" t="s">
        <v>6601</v>
      </c>
      <c r="E3770" s="140" t="s">
        <v>165</v>
      </c>
      <c r="F3770" s="140" t="s">
        <v>166</v>
      </c>
      <c r="G3770" s="141" t="s">
        <v>134</v>
      </c>
      <c r="H3770" s="140" t="s">
        <v>6312</v>
      </c>
      <c r="I3770" s="140" t="s">
        <v>6313</v>
      </c>
      <c r="J3770" s="140" t="s">
        <v>6319</v>
      </c>
      <c r="K3770" s="140" t="s">
        <v>1573</v>
      </c>
    </row>
    <row r="3771">
      <c r="A3771" s="140" t="s">
        <v>1666</v>
      </c>
      <c r="B3771" s="140" t="s">
        <v>11060</v>
      </c>
      <c r="C3771" s="140" t="s">
        <v>11061</v>
      </c>
      <c r="D3771" s="140" t="s">
        <v>6601</v>
      </c>
      <c r="E3771" s="140" t="s">
        <v>165</v>
      </c>
      <c r="F3771" s="140" t="s">
        <v>175</v>
      </c>
      <c r="G3771" s="141" t="s">
        <v>6304</v>
      </c>
      <c r="H3771" s="140" t="s">
        <v>6312</v>
      </c>
      <c r="I3771" s="140" t="s">
        <v>6527</v>
      </c>
      <c r="J3771" s="140" t="s">
        <v>6319</v>
      </c>
      <c r="K3771" s="140" t="s">
        <v>1573</v>
      </c>
    </row>
    <row r="3772">
      <c r="A3772" s="140" t="s">
        <v>1666</v>
      </c>
      <c r="B3772" s="140" t="s">
        <v>11062</v>
      </c>
      <c r="C3772" s="140" t="s">
        <v>11063</v>
      </c>
      <c r="D3772" s="140" t="s">
        <v>6601</v>
      </c>
      <c r="E3772" s="140" t="s">
        <v>165</v>
      </c>
      <c r="F3772" s="140" t="s">
        <v>175</v>
      </c>
      <c r="G3772" s="141" t="s">
        <v>6304</v>
      </c>
      <c r="H3772" s="140" t="s">
        <v>6312</v>
      </c>
      <c r="I3772" s="140" t="s">
        <v>6527</v>
      </c>
      <c r="J3772" s="140" t="s">
        <v>6319</v>
      </c>
      <c r="K3772" s="140" t="s">
        <v>1573</v>
      </c>
    </row>
    <row r="3773">
      <c r="A3773" s="140" t="s">
        <v>1666</v>
      </c>
      <c r="B3773" s="140" t="s">
        <v>11064</v>
      </c>
      <c r="C3773" s="140" t="s">
        <v>11065</v>
      </c>
      <c r="D3773" s="140" t="s">
        <v>6601</v>
      </c>
      <c r="E3773" s="140" t="s">
        <v>165</v>
      </c>
      <c r="F3773" s="140" t="s">
        <v>175</v>
      </c>
      <c r="G3773" s="141" t="s">
        <v>6304</v>
      </c>
      <c r="H3773" s="140" t="s">
        <v>6312</v>
      </c>
      <c r="I3773" s="140" t="s">
        <v>6527</v>
      </c>
      <c r="J3773" s="140" t="s">
        <v>6319</v>
      </c>
      <c r="K3773" s="140" t="s">
        <v>1573</v>
      </c>
    </row>
    <row r="3774">
      <c r="A3774" s="140" t="s">
        <v>1666</v>
      </c>
      <c r="B3774" s="140" t="s">
        <v>11066</v>
      </c>
      <c r="C3774" s="140" t="s">
        <v>11067</v>
      </c>
      <c r="D3774" s="140" t="s">
        <v>6601</v>
      </c>
      <c r="E3774" s="140" t="s">
        <v>165</v>
      </c>
      <c r="F3774" s="140" t="s">
        <v>175</v>
      </c>
      <c r="G3774" s="141" t="s">
        <v>6304</v>
      </c>
      <c r="H3774" s="140" t="s">
        <v>6312</v>
      </c>
      <c r="I3774" s="140" t="s">
        <v>6527</v>
      </c>
      <c r="J3774" s="140" t="s">
        <v>6319</v>
      </c>
      <c r="K3774" s="140" t="s">
        <v>1573</v>
      </c>
    </row>
    <row r="3775">
      <c r="A3775" s="140" t="s">
        <v>1666</v>
      </c>
      <c r="B3775" s="140" t="s">
        <v>11068</v>
      </c>
      <c r="C3775" s="140" t="s">
        <v>11069</v>
      </c>
      <c r="D3775" s="140" t="s">
        <v>6601</v>
      </c>
      <c r="E3775" s="140" t="s">
        <v>165</v>
      </c>
      <c r="F3775" s="140" t="s">
        <v>175</v>
      </c>
      <c r="G3775" s="141" t="s">
        <v>6304</v>
      </c>
      <c r="H3775" s="140" t="s">
        <v>6312</v>
      </c>
      <c r="I3775" s="140" t="s">
        <v>6527</v>
      </c>
      <c r="J3775" s="140" t="s">
        <v>6319</v>
      </c>
      <c r="K3775" s="140" t="s">
        <v>1573</v>
      </c>
    </row>
    <row r="3776">
      <c r="A3776" s="140" t="s">
        <v>1666</v>
      </c>
      <c r="B3776" s="140" t="s">
        <v>11070</v>
      </c>
      <c r="C3776" s="140" t="s">
        <v>11071</v>
      </c>
      <c r="D3776" s="140" t="s">
        <v>6601</v>
      </c>
      <c r="E3776" s="140" t="s">
        <v>165</v>
      </c>
      <c r="F3776" s="140" t="s">
        <v>175</v>
      </c>
      <c r="G3776" s="141" t="s">
        <v>6304</v>
      </c>
      <c r="H3776" s="140" t="s">
        <v>6312</v>
      </c>
      <c r="I3776" s="140" t="s">
        <v>6527</v>
      </c>
      <c r="J3776" s="140" t="s">
        <v>6319</v>
      </c>
      <c r="K3776" s="140" t="s">
        <v>1573</v>
      </c>
    </row>
    <row r="3777">
      <c r="A3777" s="140" t="s">
        <v>1666</v>
      </c>
      <c r="B3777" s="140" t="s">
        <v>182</v>
      </c>
      <c r="C3777" s="140" t="s">
        <v>1702</v>
      </c>
      <c r="D3777" s="140" t="s">
        <v>6601</v>
      </c>
      <c r="E3777" s="140" t="s">
        <v>165</v>
      </c>
      <c r="F3777" s="140" t="s">
        <v>175</v>
      </c>
      <c r="G3777" s="141" t="s">
        <v>134</v>
      </c>
      <c r="H3777" s="140" t="s">
        <v>6312</v>
      </c>
      <c r="I3777" s="140" t="s">
        <v>6313</v>
      </c>
      <c r="J3777" s="140" t="s">
        <v>6319</v>
      </c>
      <c r="K3777" s="140" t="s">
        <v>1573</v>
      </c>
    </row>
    <row r="3778">
      <c r="A3778" s="140" t="s">
        <v>1666</v>
      </c>
      <c r="B3778" s="140" t="s">
        <v>184</v>
      </c>
      <c r="C3778" s="140" t="s">
        <v>1703</v>
      </c>
      <c r="D3778" s="140" t="s">
        <v>6601</v>
      </c>
      <c r="E3778" s="140" t="s">
        <v>165</v>
      </c>
      <c r="F3778" s="140" t="s">
        <v>175</v>
      </c>
      <c r="G3778" s="141" t="s">
        <v>134</v>
      </c>
      <c r="H3778" s="140" t="s">
        <v>6312</v>
      </c>
      <c r="I3778" s="140" t="s">
        <v>6313</v>
      </c>
      <c r="J3778" s="140" t="s">
        <v>6319</v>
      </c>
      <c r="K3778" s="140" t="s">
        <v>1573</v>
      </c>
    </row>
    <row r="3779">
      <c r="A3779" s="140" t="s">
        <v>1666</v>
      </c>
      <c r="B3779" s="143">
        <v>1.659999392257E12</v>
      </c>
      <c r="C3779" s="140" t="s">
        <v>1699</v>
      </c>
      <c r="D3779" s="140" t="s">
        <v>6601</v>
      </c>
      <c r="E3779" s="140" t="s">
        <v>165</v>
      </c>
      <c r="F3779" s="140" t="s">
        <v>175</v>
      </c>
      <c r="G3779" s="141" t="s">
        <v>6664</v>
      </c>
      <c r="H3779" s="140" t="s">
        <v>6330</v>
      </c>
      <c r="I3779" s="140" t="s">
        <v>6313</v>
      </c>
      <c r="J3779" s="140" t="s">
        <v>6319</v>
      </c>
      <c r="K3779" s="140" t="s">
        <v>1573</v>
      </c>
    </row>
    <row r="3780">
      <c r="A3780" s="140" t="s">
        <v>1666</v>
      </c>
      <c r="B3780" s="143">
        <v>1.659999410637E12</v>
      </c>
      <c r="C3780" s="140" t="s">
        <v>1700</v>
      </c>
      <c r="D3780" s="140" t="s">
        <v>6601</v>
      </c>
      <c r="E3780" s="140" t="s">
        <v>165</v>
      </c>
      <c r="F3780" s="140" t="s">
        <v>175</v>
      </c>
      <c r="G3780" s="141" t="s">
        <v>6664</v>
      </c>
      <c r="H3780" s="140" t="s">
        <v>6330</v>
      </c>
      <c r="I3780" s="140" t="s">
        <v>6313</v>
      </c>
      <c r="J3780" s="140" t="s">
        <v>6319</v>
      </c>
      <c r="K3780" s="140" t="s">
        <v>1573</v>
      </c>
    </row>
    <row r="3781">
      <c r="A3781" s="140" t="s">
        <v>1666</v>
      </c>
      <c r="B3781" s="140" t="s">
        <v>186</v>
      </c>
      <c r="C3781" s="140" t="s">
        <v>1705</v>
      </c>
      <c r="D3781" s="140" t="s">
        <v>6601</v>
      </c>
      <c r="E3781" s="140" t="s">
        <v>165</v>
      </c>
      <c r="F3781" s="140" t="s">
        <v>175</v>
      </c>
      <c r="G3781" s="141" t="s">
        <v>134</v>
      </c>
      <c r="H3781" s="140" t="s">
        <v>6312</v>
      </c>
      <c r="I3781" s="140" t="s">
        <v>6313</v>
      </c>
      <c r="J3781" s="140" t="s">
        <v>6319</v>
      </c>
      <c r="K3781" s="140" t="s">
        <v>1573</v>
      </c>
    </row>
    <row r="3782">
      <c r="A3782" s="140" t="s">
        <v>1666</v>
      </c>
      <c r="B3782" s="140" t="s">
        <v>11072</v>
      </c>
      <c r="C3782" s="140" t="s">
        <v>11073</v>
      </c>
      <c r="D3782" s="140" t="s">
        <v>6601</v>
      </c>
      <c r="E3782" s="140" t="s">
        <v>165</v>
      </c>
      <c r="F3782" s="140" t="s">
        <v>175</v>
      </c>
      <c r="G3782" s="141" t="s">
        <v>6304</v>
      </c>
      <c r="H3782" s="140" t="s">
        <v>6312</v>
      </c>
      <c r="I3782" s="140" t="s">
        <v>6527</v>
      </c>
      <c r="J3782" s="140" t="s">
        <v>6319</v>
      </c>
      <c r="K3782" s="140" t="s">
        <v>1573</v>
      </c>
    </row>
    <row r="3783">
      <c r="A3783" s="140" t="s">
        <v>1666</v>
      </c>
      <c r="B3783" s="140" t="s">
        <v>11074</v>
      </c>
      <c r="C3783" s="140" t="s">
        <v>11075</v>
      </c>
      <c r="D3783" s="140" t="s">
        <v>6601</v>
      </c>
      <c r="E3783" s="140" t="s">
        <v>165</v>
      </c>
      <c r="F3783" s="140" t="s">
        <v>175</v>
      </c>
      <c r="G3783" s="141" t="s">
        <v>6304</v>
      </c>
      <c r="H3783" s="140" t="s">
        <v>6312</v>
      </c>
      <c r="I3783" s="140" t="s">
        <v>6527</v>
      </c>
      <c r="J3783" s="140" t="s">
        <v>6319</v>
      </c>
      <c r="K3783" s="140" t="s">
        <v>1573</v>
      </c>
    </row>
    <row r="3784">
      <c r="A3784" s="140" t="s">
        <v>1666</v>
      </c>
      <c r="B3784" s="140" t="s">
        <v>177</v>
      </c>
      <c r="C3784" s="140" t="s">
        <v>11076</v>
      </c>
      <c r="D3784" s="140" t="s">
        <v>6601</v>
      </c>
      <c r="E3784" s="140" t="s">
        <v>165</v>
      </c>
      <c r="F3784" s="140" t="s">
        <v>175</v>
      </c>
      <c r="G3784" s="141" t="s">
        <v>6401</v>
      </c>
      <c r="H3784" s="140" t="s">
        <v>6314</v>
      </c>
      <c r="I3784" s="140" t="s">
        <v>6313</v>
      </c>
      <c r="J3784" s="140" t="s">
        <v>6319</v>
      </c>
      <c r="K3784" s="140" t="s">
        <v>1573</v>
      </c>
    </row>
    <row r="3785">
      <c r="A3785" s="140" t="s">
        <v>1666</v>
      </c>
      <c r="B3785" s="140" t="s">
        <v>11077</v>
      </c>
      <c r="C3785" s="140" t="s">
        <v>11078</v>
      </c>
      <c r="D3785" s="140" t="s">
        <v>6601</v>
      </c>
      <c r="E3785" s="140" t="s">
        <v>165</v>
      </c>
      <c r="F3785" s="140" t="s">
        <v>175</v>
      </c>
      <c r="G3785" s="141" t="s">
        <v>6304</v>
      </c>
      <c r="H3785" s="140" t="s">
        <v>6312</v>
      </c>
      <c r="I3785" s="140" t="s">
        <v>6527</v>
      </c>
      <c r="J3785" s="140" t="s">
        <v>6319</v>
      </c>
      <c r="K3785" s="140" t="s">
        <v>1573</v>
      </c>
    </row>
    <row r="3786">
      <c r="A3786" s="140" t="s">
        <v>1666</v>
      </c>
      <c r="B3786" s="140" t="s">
        <v>11079</v>
      </c>
      <c r="C3786" s="140" t="s">
        <v>11080</v>
      </c>
      <c r="D3786" s="140" t="s">
        <v>6601</v>
      </c>
      <c r="E3786" s="140" t="s">
        <v>165</v>
      </c>
      <c r="F3786" s="140" t="s">
        <v>175</v>
      </c>
      <c r="G3786" s="141" t="s">
        <v>6304</v>
      </c>
      <c r="H3786" s="140" t="s">
        <v>6312</v>
      </c>
      <c r="I3786" s="140" t="s">
        <v>6527</v>
      </c>
      <c r="J3786" s="140" t="s">
        <v>6319</v>
      </c>
      <c r="K3786" s="140" t="s">
        <v>1573</v>
      </c>
    </row>
    <row r="3787">
      <c r="A3787" s="140" t="s">
        <v>1666</v>
      </c>
      <c r="B3787" s="140" t="s">
        <v>192</v>
      </c>
      <c r="C3787" s="140" t="s">
        <v>1709</v>
      </c>
      <c r="D3787" s="140" t="s">
        <v>6718</v>
      </c>
      <c r="E3787" s="140" t="s">
        <v>187</v>
      </c>
      <c r="F3787" s="140" t="s">
        <v>188</v>
      </c>
      <c r="G3787" s="141" t="s">
        <v>6668</v>
      </c>
      <c r="H3787" s="140" t="s">
        <v>6330</v>
      </c>
      <c r="I3787" s="140" t="s">
        <v>6313</v>
      </c>
      <c r="J3787" s="140" t="s">
        <v>6319</v>
      </c>
      <c r="K3787" s="140" t="s">
        <v>1573</v>
      </c>
    </row>
    <row r="3788">
      <c r="A3788" s="140" t="s">
        <v>1666</v>
      </c>
      <c r="B3788" s="140" t="s">
        <v>190</v>
      </c>
      <c r="C3788" s="140" t="s">
        <v>1707</v>
      </c>
      <c r="D3788" s="140" t="s">
        <v>6718</v>
      </c>
      <c r="E3788" s="140" t="s">
        <v>187</v>
      </c>
      <c r="F3788" s="140" t="s">
        <v>188</v>
      </c>
      <c r="G3788" s="141" t="s">
        <v>134</v>
      </c>
      <c r="H3788" s="140" t="s">
        <v>6314</v>
      </c>
      <c r="I3788" s="140" t="s">
        <v>6313</v>
      </c>
      <c r="J3788" s="140" t="s">
        <v>6319</v>
      </c>
      <c r="K3788" s="140" t="s">
        <v>1573</v>
      </c>
    </row>
    <row r="3789">
      <c r="A3789" s="140" t="s">
        <v>1666</v>
      </c>
      <c r="B3789" s="140" t="s">
        <v>196</v>
      </c>
      <c r="C3789" s="140" t="s">
        <v>195</v>
      </c>
      <c r="D3789" s="140" t="s">
        <v>10261</v>
      </c>
      <c r="E3789" s="140" t="s">
        <v>187</v>
      </c>
      <c r="F3789" s="140" t="s">
        <v>194</v>
      </c>
      <c r="G3789" s="141" t="s">
        <v>6668</v>
      </c>
      <c r="H3789" s="140" t="s">
        <v>6330</v>
      </c>
      <c r="I3789" s="140" t="s">
        <v>6313</v>
      </c>
      <c r="J3789" s="140" t="s">
        <v>6319</v>
      </c>
      <c r="K3789" s="140" t="s">
        <v>1573</v>
      </c>
    </row>
    <row r="3790">
      <c r="A3790" s="140" t="s">
        <v>1666</v>
      </c>
      <c r="B3790" s="140" t="s">
        <v>198</v>
      </c>
      <c r="C3790" s="140" t="s">
        <v>197</v>
      </c>
      <c r="D3790" s="140" t="s">
        <v>10261</v>
      </c>
      <c r="E3790" s="140" t="s">
        <v>187</v>
      </c>
      <c r="F3790" s="140" t="s">
        <v>194</v>
      </c>
      <c r="G3790" s="141" t="s">
        <v>6668</v>
      </c>
      <c r="H3790" s="140" t="s">
        <v>6330</v>
      </c>
      <c r="I3790" s="140" t="s">
        <v>6313</v>
      </c>
      <c r="J3790" s="140" t="s">
        <v>6319</v>
      </c>
      <c r="K3790" s="140" t="s">
        <v>1573</v>
      </c>
    </row>
    <row r="3791">
      <c r="A3791" s="140" t="s">
        <v>1666</v>
      </c>
      <c r="B3791" s="140" t="s">
        <v>221</v>
      </c>
      <c r="C3791" s="140" t="s">
        <v>1732</v>
      </c>
      <c r="D3791" s="140" t="s">
        <v>6718</v>
      </c>
      <c r="E3791" s="140" t="s">
        <v>199</v>
      </c>
      <c r="F3791" s="140" t="s">
        <v>200</v>
      </c>
      <c r="G3791" s="141" t="s">
        <v>6668</v>
      </c>
      <c r="H3791" s="140" t="s">
        <v>6330</v>
      </c>
      <c r="I3791" s="140" t="s">
        <v>6313</v>
      </c>
      <c r="J3791" s="140" t="s">
        <v>6319</v>
      </c>
      <c r="K3791" s="140" t="s">
        <v>1573</v>
      </c>
    </row>
    <row r="3792">
      <c r="A3792" s="140" t="s">
        <v>1666</v>
      </c>
      <c r="B3792" s="140" t="s">
        <v>203</v>
      </c>
      <c r="C3792" s="140" t="s">
        <v>1716</v>
      </c>
      <c r="D3792" s="140" t="s">
        <v>6718</v>
      </c>
      <c r="E3792" s="140" t="s">
        <v>199</v>
      </c>
      <c r="F3792" s="140" t="s">
        <v>200</v>
      </c>
      <c r="G3792" s="141" t="s">
        <v>6668</v>
      </c>
      <c r="H3792" s="140" t="s">
        <v>6330</v>
      </c>
      <c r="I3792" s="140" t="s">
        <v>6313</v>
      </c>
      <c r="J3792" s="140" t="s">
        <v>6319</v>
      </c>
      <c r="K3792" s="140" t="s">
        <v>1573</v>
      </c>
    </row>
    <row r="3793">
      <c r="A3793" s="140" t="s">
        <v>1666</v>
      </c>
      <c r="B3793" s="143">
        <v>1.659989621591E12</v>
      </c>
      <c r="C3793" s="140" t="s">
        <v>11081</v>
      </c>
      <c r="D3793" s="140" t="s">
        <v>6718</v>
      </c>
      <c r="E3793" s="140" t="s">
        <v>199</v>
      </c>
      <c r="F3793" s="140" t="s">
        <v>200</v>
      </c>
      <c r="G3793" s="141" t="s">
        <v>6668</v>
      </c>
      <c r="H3793" s="140" t="s">
        <v>6312</v>
      </c>
      <c r="I3793" s="140" t="s">
        <v>6313</v>
      </c>
      <c r="J3793" s="140" t="s">
        <v>6319</v>
      </c>
      <c r="K3793" s="140" t="s">
        <v>1573</v>
      </c>
    </row>
    <row r="3794">
      <c r="A3794" s="140" t="s">
        <v>1666</v>
      </c>
      <c r="B3794" s="143">
        <v>1.65999080731E12</v>
      </c>
      <c r="C3794" s="140" t="s">
        <v>11082</v>
      </c>
      <c r="D3794" s="140" t="s">
        <v>6718</v>
      </c>
      <c r="E3794" s="140" t="s">
        <v>199</v>
      </c>
      <c r="F3794" s="140" t="s">
        <v>200</v>
      </c>
      <c r="G3794" s="141" t="s">
        <v>134</v>
      </c>
      <c r="H3794" s="140" t="s">
        <v>6314</v>
      </c>
      <c r="I3794" s="140" t="s">
        <v>6313</v>
      </c>
      <c r="J3794" s="140" t="s">
        <v>6319</v>
      </c>
      <c r="K3794" s="140" t="s">
        <v>1573</v>
      </c>
    </row>
    <row r="3795">
      <c r="A3795" s="140" t="s">
        <v>1666</v>
      </c>
      <c r="B3795" s="143">
        <v>1.659990788079E12</v>
      </c>
      <c r="C3795" s="140" t="s">
        <v>1723</v>
      </c>
      <c r="D3795" s="140" t="s">
        <v>6718</v>
      </c>
      <c r="E3795" s="140" t="s">
        <v>199</v>
      </c>
      <c r="F3795" s="140" t="s">
        <v>200</v>
      </c>
      <c r="G3795" s="141" t="s">
        <v>6742</v>
      </c>
      <c r="H3795" s="140" t="s">
        <v>6330</v>
      </c>
      <c r="I3795" s="140" t="s">
        <v>6313</v>
      </c>
      <c r="J3795" s="140" t="s">
        <v>6319</v>
      </c>
      <c r="K3795" s="140" t="s">
        <v>1573</v>
      </c>
    </row>
    <row r="3796">
      <c r="A3796" s="140" t="s">
        <v>1666</v>
      </c>
      <c r="B3796" s="143">
        <v>1.659990828178E12</v>
      </c>
      <c r="C3796" s="140" t="s">
        <v>1718</v>
      </c>
      <c r="D3796" s="140" t="s">
        <v>6718</v>
      </c>
      <c r="E3796" s="140" t="s">
        <v>199</v>
      </c>
      <c r="F3796" s="140" t="s">
        <v>200</v>
      </c>
      <c r="G3796" s="141" t="s">
        <v>6742</v>
      </c>
      <c r="H3796" s="140" t="s">
        <v>6330</v>
      </c>
      <c r="I3796" s="140" t="s">
        <v>6313</v>
      </c>
      <c r="J3796" s="140" t="s">
        <v>6319</v>
      </c>
      <c r="K3796" s="140" t="s">
        <v>1573</v>
      </c>
    </row>
    <row r="3797">
      <c r="A3797" s="140" t="s">
        <v>1666</v>
      </c>
      <c r="B3797" s="143">
        <v>6.6436804863605E13</v>
      </c>
      <c r="C3797" s="140" t="s">
        <v>1719</v>
      </c>
      <c r="D3797" s="140" t="s">
        <v>6718</v>
      </c>
      <c r="E3797" s="140" t="s">
        <v>199</v>
      </c>
      <c r="F3797" s="140" t="s">
        <v>200</v>
      </c>
      <c r="G3797" s="141" t="s">
        <v>6401</v>
      </c>
      <c r="H3797" s="140" t="s">
        <v>6330</v>
      </c>
      <c r="I3797" s="140" t="s">
        <v>6313</v>
      </c>
      <c r="J3797" s="140" t="s">
        <v>6319</v>
      </c>
      <c r="K3797" s="140" t="s">
        <v>1573</v>
      </c>
    </row>
    <row r="3798">
      <c r="A3798" s="140" t="s">
        <v>1666</v>
      </c>
      <c r="B3798" s="140" t="s">
        <v>216</v>
      </c>
      <c r="C3798" s="140" t="s">
        <v>11083</v>
      </c>
      <c r="D3798" s="140" t="s">
        <v>6718</v>
      </c>
      <c r="E3798" s="140" t="s">
        <v>199</v>
      </c>
      <c r="F3798" s="140" t="s">
        <v>200</v>
      </c>
      <c r="G3798" s="141" t="s">
        <v>6401</v>
      </c>
      <c r="H3798" s="140" t="s">
        <v>6312</v>
      </c>
      <c r="I3798" s="140" t="s">
        <v>6313</v>
      </c>
      <c r="J3798" s="140" t="s">
        <v>6319</v>
      </c>
      <c r="K3798" s="140" t="s">
        <v>1573</v>
      </c>
    </row>
    <row r="3799">
      <c r="A3799" s="140" t="s">
        <v>1666</v>
      </c>
      <c r="B3799" s="140" t="s">
        <v>11084</v>
      </c>
      <c r="C3799" s="140" t="s">
        <v>11085</v>
      </c>
      <c r="D3799" s="140" t="s">
        <v>6718</v>
      </c>
      <c r="E3799" s="140" t="s">
        <v>199</v>
      </c>
      <c r="F3799" s="140" t="s">
        <v>200</v>
      </c>
      <c r="G3799" s="141" t="s">
        <v>6304</v>
      </c>
      <c r="H3799" s="140" t="s">
        <v>6312</v>
      </c>
      <c r="I3799" s="140" t="s">
        <v>6527</v>
      </c>
      <c r="J3799" s="140" t="s">
        <v>6319</v>
      </c>
      <c r="K3799" s="140" t="s">
        <v>1573</v>
      </c>
    </row>
    <row r="3800">
      <c r="A3800" s="140" t="s">
        <v>1666</v>
      </c>
      <c r="B3800" s="143">
        <v>1.659971347046E12</v>
      </c>
      <c r="C3800" s="140" t="s">
        <v>11086</v>
      </c>
      <c r="D3800" s="140" t="s">
        <v>6718</v>
      </c>
      <c r="E3800" s="140" t="s">
        <v>199</v>
      </c>
      <c r="F3800" s="140" t="s">
        <v>200</v>
      </c>
      <c r="G3800" s="141" t="s">
        <v>6668</v>
      </c>
      <c r="H3800" s="140" t="s">
        <v>6312</v>
      </c>
      <c r="I3800" s="140" t="s">
        <v>6313</v>
      </c>
      <c r="J3800" s="140" t="s">
        <v>6319</v>
      </c>
      <c r="K3800" s="140" t="s">
        <v>1573</v>
      </c>
    </row>
    <row r="3801">
      <c r="A3801" s="140" t="s">
        <v>1666</v>
      </c>
      <c r="B3801" s="140" t="s">
        <v>11087</v>
      </c>
      <c r="C3801" s="140" t="s">
        <v>11086</v>
      </c>
      <c r="D3801" s="140" t="s">
        <v>6718</v>
      </c>
      <c r="E3801" s="140" t="s">
        <v>199</v>
      </c>
      <c r="F3801" s="140" t="s">
        <v>200</v>
      </c>
      <c r="G3801" s="141" t="s">
        <v>6304</v>
      </c>
      <c r="H3801" s="140" t="s">
        <v>6312</v>
      </c>
      <c r="I3801" s="140" t="s">
        <v>6527</v>
      </c>
      <c r="J3801" s="140" t="s">
        <v>6319</v>
      </c>
      <c r="K3801" s="140" t="s">
        <v>1573</v>
      </c>
    </row>
    <row r="3802">
      <c r="A3802" s="140" t="s">
        <v>1666</v>
      </c>
      <c r="B3802" s="140" t="s">
        <v>219</v>
      </c>
      <c r="C3802" s="140" t="s">
        <v>1736</v>
      </c>
      <c r="D3802" s="140" t="s">
        <v>6718</v>
      </c>
      <c r="E3802" s="140" t="s">
        <v>199</v>
      </c>
      <c r="F3802" s="140" t="s">
        <v>200</v>
      </c>
      <c r="G3802" s="141" t="s">
        <v>6742</v>
      </c>
      <c r="H3802" s="140" t="s">
        <v>6330</v>
      </c>
      <c r="I3802" s="140" t="s">
        <v>6313</v>
      </c>
      <c r="J3802" s="140" t="s">
        <v>6319</v>
      </c>
      <c r="K3802" s="140" t="s">
        <v>1573</v>
      </c>
    </row>
    <row r="3803">
      <c r="A3803" s="140" t="s">
        <v>1666</v>
      </c>
      <c r="B3803" s="140" t="s">
        <v>11088</v>
      </c>
      <c r="C3803" s="140" t="s">
        <v>11089</v>
      </c>
      <c r="D3803" s="140" t="s">
        <v>6718</v>
      </c>
      <c r="E3803" s="140" t="s">
        <v>199</v>
      </c>
      <c r="F3803" s="140" t="s">
        <v>200</v>
      </c>
      <c r="G3803" s="141" t="s">
        <v>6311</v>
      </c>
      <c r="H3803" s="140" t="s">
        <v>6330</v>
      </c>
      <c r="I3803" s="140" t="s">
        <v>6313</v>
      </c>
      <c r="J3803" s="140" t="s">
        <v>6319</v>
      </c>
      <c r="K3803" s="140" t="s">
        <v>1573</v>
      </c>
    </row>
    <row r="3804">
      <c r="A3804" s="140" t="s">
        <v>1666</v>
      </c>
      <c r="B3804" s="140" t="s">
        <v>206</v>
      </c>
      <c r="C3804" s="140" t="s">
        <v>1721</v>
      </c>
      <c r="D3804" s="140" t="s">
        <v>6718</v>
      </c>
      <c r="E3804" s="140" t="s">
        <v>199</v>
      </c>
      <c r="F3804" s="140" t="s">
        <v>200</v>
      </c>
      <c r="G3804" s="141" t="s">
        <v>6664</v>
      </c>
      <c r="H3804" s="140" t="s">
        <v>6330</v>
      </c>
      <c r="I3804" s="140" t="s">
        <v>6313</v>
      </c>
      <c r="J3804" s="140" t="s">
        <v>6319</v>
      </c>
      <c r="K3804" s="140" t="s">
        <v>1573</v>
      </c>
    </row>
    <row r="3805">
      <c r="A3805" s="140" t="s">
        <v>1666</v>
      </c>
      <c r="B3805" s="140" t="s">
        <v>11090</v>
      </c>
      <c r="C3805" s="140" t="s">
        <v>11091</v>
      </c>
      <c r="D3805" s="140" t="s">
        <v>6718</v>
      </c>
      <c r="E3805" s="140" t="s">
        <v>199</v>
      </c>
      <c r="F3805" s="140" t="s">
        <v>200</v>
      </c>
      <c r="G3805" s="141" t="s">
        <v>6311</v>
      </c>
      <c r="H3805" s="140" t="s">
        <v>6330</v>
      </c>
      <c r="I3805" s="140" t="s">
        <v>6313</v>
      </c>
      <c r="J3805" s="140" t="s">
        <v>6319</v>
      </c>
      <c r="K3805" s="140" t="s">
        <v>1573</v>
      </c>
    </row>
    <row r="3806">
      <c r="A3806" s="140" t="s">
        <v>1666</v>
      </c>
      <c r="B3806" s="140" t="s">
        <v>11092</v>
      </c>
      <c r="C3806" s="140" t="s">
        <v>11093</v>
      </c>
      <c r="D3806" s="140" t="s">
        <v>6718</v>
      </c>
      <c r="E3806" s="140" t="s">
        <v>199</v>
      </c>
      <c r="F3806" s="140" t="s">
        <v>200</v>
      </c>
      <c r="G3806" s="141" t="s">
        <v>6304</v>
      </c>
      <c r="H3806" s="140" t="s">
        <v>6312</v>
      </c>
      <c r="I3806" s="140" t="s">
        <v>6527</v>
      </c>
      <c r="J3806" s="140" t="s">
        <v>6319</v>
      </c>
      <c r="K3806" s="140" t="s">
        <v>1573</v>
      </c>
    </row>
    <row r="3807">
      <c r="A3807" s="140" t="s">
        <v>1666</v>
      </c>
      <c r="B3807" s="140" t="s">
        <v>11094</v>
      </c>
      <c r="C3807" s="140" t="s">
        <v>11095</v>
      </c>
      <c r="D3807" s="140" t="s">
        <v>6718</v>
      </c>
      <c r="E3807" s="140" t="s">
        <v>199</v>
      </c>
      <c r="F3807" s="140" t="s">
        <v>200</v>
      </c>
      <c r="G3807" s="141" t="s">
        <v>6311</v>
      </c>
      <c r="H3807" s="140" t="s">
        <v>6330</v>
      </c>
      <c r="I3807" s="140" t="s">
        <v>6527</v>
      </c>
      <c r="J3807" s="140" t="s">
        <v>6319</v>
      </c>
      <c r="K3807" s="140" t="s">
        <v>1573</v>
      </c>
    </row>
    <row r="3808">
      <c r="A3808" s="140" t="s">
        <v>1666</v>
      </c>
      <c r="B3808" s="140" t="s">
        <v>208</v>
      </c>
      <c r="C3808" s="140" t="s">
        <v>1725</v>
      </c>
      <c r="D3808" s="140" t="s">
        <v>6718</v>
      </c>
      <c r="E3808" s="140" t="s">
        <v>199</v>
      </c>
      <c r="F3808" s="140" t="s">
        <v>200</v>
      </c>
      <c r="G3808" s="141" t="s">
        <v>6668</v>
      </c>
      <c r="H3808" s="140" t="s">
        <v>6330</v>
      </c>
      <c r="I3808" s="140" t="s">
        <v>6313</v>
      </c>
      <c r="J3808" s="140" t="s">
        <v>6319</v>
      </c>
      <c r="K3808" s="140" t="s">
        <v>1573</v>
      </c>
    </row>
    <row r="3809">
      <c r="A3809" s="140" t="s">
        <v>1666</v>
      </c>
      <c r="B3809" s="140" t="s">
        <v>2989</v>
      </c>
      <c r="C3809" s="140" t="s">
        <v>11096</v>
      </c>
      <c r="D3809" s="140" t="s">
        <v>6718</v>
      </c>
      <c r="E3809" s="140" t="s">
        <v>199</v>
      </c>
      <c r="F3809" s="140" t="s">
        <v>200</v>
      </c>
      <c r="G3809" s="141" t="s">
        <v>6304</v>
      </c>
      <c r="H3809" s="140" t="s">
        <v>6312</v>
      </c>
      <c r="I3809" s="140" t="s">
        <v>6527</v>
      </c>
      <c r="J3809" s="140" t="s">
        <v>6319</v>
      </c>
      <c r="K3809" s="140" t="s">
        <v>1573</v>
      </c>
    </row>
    <row r="3810">
      <c r="A3810" s="140" t="s">
        <v>1666</v>
      </c>
      <c r="B3810" s="143">
        <v>1.659990725288E12</v>
      </c>
      <c r="C3810" s="140" t="s">
        <v>11097</v>
      </c>
      <c r="D3810" s="140" t="s">
        <v>6718</v>
      </c>
      <c r="E3810" s="140" t="s">
        <v>199</v>
      </c>
      <c r="F3810" s="140" t="s">
        <v>200</v>
      </c>
      <c r="G3810" s="141" t="s">
        <v>6742</v>
      </c>
      <c r="H3810" s="140" t="s">
        <v>6312</v>
      </c>
      <c r="I3810" s="140" t="s">
        <v>6313</v>
      </c>
      <c r="J3810" s="140" t="s">
        <v>6319</v>
      </c>
      <c r="K3810" s="140" t="s">
        <v>1573</v>
      </c>
    </row>
    <row r="3811">
      <c r="A3811" s="140" t="s">
        <v>1666</v>
      </c>
      <c r="B3811" s="140" t="s">
        <v>11098</v>
      </c>
      <c r="C3811" s="140" t="s">
        <v>11097</v>
      </c>
      <c r="D3811" s="140" t="s">
        <v>6718</v>
      </c>
      <c r="E3811" s="140" t="s">
        <v>199</v>
      </c>
      <c r="F3811" s="140" t="s">
        <v>200</v>
      </c>
      <c r="G3811" s="141" t="s">
        <v>6304</v>
      </c>
      <c r="H3811" s="140" t="s">
        <v>6312</v>
      </c>
      <c r="I3811" s="140" t="s">
        <v>6527</v>
      </c>
      <c r="J3811" s="140" t="s">
        <v>6319</v>
      </c>
      <c r="K3811" s="140" t="s">
        <v>1573</v>
      </c>
    </row>
    <row r="3812">
      <c r="A3812" s="140" t="s">
        <v>1666</v>
      </c>
      <c r="B3812" s="143">
        <v>1.479750635184E12</v>
      </c>
      <c r="C3812" s="140" t="s">
        <v>1728</v>
      </c>
      <c r="D3812" s="140" t="s">
        <v>6718</v>
      </c>
      <c r="E3812" s="140" t="s">
        <v>199</v>
      </c>
      <c r="F3812" s="140" t="s">
        <v>200</v>
      </c>
      <c r="G3812" s="141" t="s">
        <v>6742</v>
      </c>
      <c r="H3812" s="140" t="s">
        <v>6330</v>
      </c>
      <c r="I3812" s="140" t="s">
        <v>6313</v>
      </c>
      <c r="J3812" s="140" t="s">
        <v>6319</v>
      </c>
      <c r="K3812" s="140" t="s">
        <v>1573</v>
      </c>
    </row>
    <row r="3813">
      <c r="A3813" s="140" t="s">
        <v>1666</v>
      </c>
      <c r="B3813" s="143">
        <v>1.658329968514E12</v>
      </c>
      <c r="C3813" s="140" t="s">
        <v>11099</v>
      </c>
      <c r="D3813" s="140" t="s">
        <v>6718</v>
      </c>
      <c r="E3813" s="140" t="s">
        <v>199</v>
      </c>
      <c r="F3813" s="140" t="s">
        <v>200</v>
      </c>
      <c r="G3813" s="141" t="s">
        <v>6401</v>
      </c>
      <c r="H3813" s="140" t="s">
        <v>6330</v>
      </c>
      <c r="I3813" s="140" t="s">
        <v>6313</v>
      </c>
      <c r="J3813" s="140" t="s">
        <v>6319</v>
      </c>
      <c r="K3813" s="140" t="s">
        <v>1573</v>
      </c>
    </row>
    <row r="3814">
      <c r="A3814" s="140" t="s">
        <v>1666</v>
      </c>
      <c r="B3814" s="140" t="s">
        <v>11100</v>
      </c>
      <c r="C3814" s="140" t="s">
        <v>11101</v>
      </c>
      <c r="D3814" s="140" t="s">
        <v>6718</v>
      </c>
      <c r="E3814" s="140" t="s">
        <v>199</v>
      </c>
      <c r="F3814" s="140" t="s">
        <v>224</v>
      </c>
      <c r="G3814" s="141" t="s">
        <v>6304</v>
      </c>
      <c r="H3814" s="140" t="s">
        <v>6330</v>
      </c>
      <c r="I3814" s="140" t="s">
        <v>6527</v>
      </c>
      <c r="J3814" s="140" t="s">
        <v>6319</v>
      </c>
      <c r="K3814" s="140" t="s">
        <v>1573</v>
      </c>
    </row>
    <row r="3815">
      <c r="A3815" s="140" t="s">
        <v>1666</v>
      </c>
      <c r="B3815" s="140" t="s">
        <v>11102</v>
      </c>
      <c r="C3815" s="140" t="s">
        <v>11103</v>
      </c>
      <c r="D3815" s="140" t="s">
        <v>6718</v>
      </c>
      <c r="E3815" s="140" t="s">
        <v>199</v>
      </c>
      <c r="F3815" s="140" t="s">
        <v>224</v>
      </c>
      <c r="G3815" s="141" t="s">
        <v>6304</v>
      </c>
      <c r="H3815" s="140" t="s">
        <v>6330</v>
      </c>
      <c r="I3815" s="140" t="s">
        <v>6527</v>
      </c>
      <c r="J3815" s="140" t="s">
        <v>6319</v>
      </c>
      <c r="K3815" s="140" t="s">
        <v>1573</v>
      </c>
    </row>
    <row r="3816">
      <c r="A3816" s="140" t="s">
        <v>1666</v>
      </c>
      <c r="B3816" s="140" t="s">
        <v>11104</v>
      </c>
      <c r="C3816" s="140" t="s">
        <v>11105</v>
      </c>
      <c r="D3816" s="140" t="s">
        <v>6318</v>
      </c>
      <c r="E3816" s="140" t="s">
        <v>199</v>
      </c>
      <c r="F3816" s="140" t="s">
        <v>224</v>
      </c>
      <c r="G3816" s="141" t="s">
        <v>6401</v>
      </c>
      <c r="H3816" s="140" t="s">
        <v>6314</v>
      </c>
      <c r="I3816" s="140" t="s">
        <v>6313</v>
      </c>
      <c r="J3816" s="140" t="s">
        <v>6319</v>
      </c>
      <c r="K3816" s="140" t="s">
        <v>1573</v>
      </c>
    </row>
    <row r="3817">
      <c r="A3817" s="140" t="s">
        <v>1666</v>
      </c>
      <c r="B3817" s="140" t="s">
        <v>235</v>
      </c>
      <c r="C3817" s="140" t="s">
        <v>1740</v>
      </c>
      <c r="D3817" s="140" t="s">
        <v>6718</v>
      </c>
      <c r="E3817" s="140" t="s">
        <v>199</v>
      </c>
      <c r="F3817" s="140" t="s">
        <v>224</v>
      </c>
      <c r="G3817" s="141" t="s">
        <v>134</v>
      </c>
      <c r="H3817" s="140" t="s">
        <v>6312</v>
      </c>
      <c r="I3817" s="140" t="s">
        <v>6313</v>
      </c>
      <c r="J3817" s="140" t="s">
        <v>6319</v>
      </c>
      <c r="K3817" s="140" t="s">
        <v>1573</v>
      </c>
    </row>
    <row r="3818">
      <c r="A3818" s="140" t="s">
        <v>1666</v>
      </c>
      <c r="B3818" s="143">
        <v>1.627418329116E12</v>
      </c>
      <c r="C3818" s="140" t="s">
        <v>11106</v>
      </c>
      <c r="D3818" s="140" t="s">
        <v>6718</v>
      </c>
      <c r="E3818" s="140" t="s">
        <v>199</v>
      </c>
      <c r="F3818" s="140" t="s">
        <v>224</v>
      </c>
      <c r="G3818" s="141" t="s">
        <v>6664</v>
      </c>
      <c r="H3818" s="140" t="s">
        <v>6312</v>
      </c>
      <c r="I3818" s="140" t="s">
        <v>6313</v>
      </c>
      <c r="J3818" s="140" t="s">
        <v>6319</v>
      </c>
      <c r="K3818" s="140" t="s">
        <v>1573</v>
      </c>
    </row>
    <row r="3819">
      <c r="A3819" s="140" t="s">
        <v>1666</v>
      </c>
      <c r="B3819" s="140" t="s">
        <v>233</v>
      </c>
      <c r="C3819" s="140" t="s">
        <v>1727</v>
      </c>
      <c r="D3819" s="140" t="s">
        <v>6718</v>
      </c>
      <c r="E3819" s="140" t="s">
        <v>199</v>
      </c>
      <c r="F3819" s="140" t="s">
        <v>224</v>
      </c>
      <c r="G3819" s="141" t="s">
        <v>6742</v>
      </c>
      <c r="H3819" s="140" t="s">
        <v>6330</v>
      </c>
      <c r="I3819" s="140" t="s">
        <v>6313</v>
      </c>
      <c r="J3819" s="140" t="s">
        <v>6319</v>
      </c>
      <c r="K3819" s="140" t="s">
        <v>1573</v>
      </c>
    </row>
    <row r="3820">
      <c r="A3820" s="140" t="s">
        <v>1666</v>
      </c>
      <c r="B3820" s="140" t="s">
        <v>11107</v>
      </c>
      <c r="C3820" s="140" t="s">
        <v>11108</v>
      </c>
      <c r="D3820" s="140" t="s">
        <v>6718</v>
      </c>
      <c r="E3820" s="140" t="s">
        <v>199</v>
      </c>
      <c r="F3820" s="140" t="s">
        <v>224</v>
      </c>
      <c r="G3820" s="141" t="s">
        <v>6304</v>
      </c>
      <c r="H3820" s="140" t="s">
        <v>6314</v>
      </c>
      <c r="I3820" s="145" t="s">
        <v>6527</v>
      </c>
      <c r="J3820" s="140" t="s">
        <v>6319</v>
      </c>
      <c r="K3820" s="140" t="s">
        <v>1573</v>
      </c>
    </row>
    <row r="3821">
      <c r="A3821" s="140" t="s">
        <v>1666</v>
      </c>
      <c r="B3821" s="140" t="s">
        <v>239</v>
      </c>
      <c r="C3821" s="140" t="s">
        <v>1744</v>
      </c>
      <c r="D3821" s="140" t="s">
        <v>6718</v>
      </c>
      <c r="E3821" s="140" t="s">
        <v>199</v>
      </c>
      <c r="F3821" s="140" t="s">
        <v>224</v>
      </c>
      <c r="G3821" s="141" t="s">
        <v>6668</v>
      </c>
      <c r="H3821" s="140" t="s">
        <v>6330</v>
      </c>
      <c r="I3821" s="140" t="s">
        <v>6313</v>
      </c>
      <c r="J3821" s="140" t="s">
        <v>6319</v>
      </c>
      <c r="K3821" s="140" t="s">
        <v>1573</v>
      </c>
    </row>
    <row r="3822">
      <c r="A3822" s="140" t="s">
        <v>1666</v>
      </c>
      <c r="B3822" s="140" t="s">
        <v>11109</v>
      </c>
      <c r="C3822" s="140" t="s">
        <v>226</v>
      </c>
      <c r="D3822" s="140" t="s">
        <v>6718</v>
      </c>
      <c r="E3822" s="140" t="s">
        <v>199</v>
      </c>
      <c r="F3822" s="140" t="s">
        <v>224</v>
      </c>
      <c r="G3822" s="141" t="s">
        <v>6304</v>
      </c>
      <c r="H3822" s="140" t="s">
        <v>6312</v>
      </c>
      <c r="I3822" s="140" t="s">
        <v>6527</v>
      </c>
      <c r="J3822" s="140" t="s">
        <v>6319</v>
      </c>
      <c r="K3822" s="140" t="s">
        <v>1573</v>
      </c>
    </row>
    <row r="3823">
      <c r="A3823" s="140" t="s">
        <v>1666</v>
      </c>
      <c r="B3823" s="140" t="s">
        <v>11110</v>
      </c>
      <c r="C3823" s="140" t="s">
        <v>11111</v>
      </c>
      <c r="D3823" s="140" t="s">
        <v>6718</v>
      </c>
      <c r="E3823" s="140" t="s">
        <v>199</v>
      </c>
      <c r="F3823" s="140" t="s">
        <v>224</v>
      </c>
      <c r="G3823" s="141" t="s">
        <v>6401</v>
      </c>
      <c r="H3823" s="140" t="s">
        <v>6314</v>
      </c>
      <c r="I3823" s="140" t="s">
        <v>6313</v>
      </c>
      <c r="J3823" s="140" t="s">
        <v>6319</v>
      </c>
      <c r="K3823" s="140" t="s">
        <v>1573</v>
      </c>
    </row>
    <row r="3824">
      <c r="A3824" s="140" t="s">
        <v>1666</v>
      </c>
      <c r="B3824" s="140" t="s">
        <v>11112</v>
      </c>
      <c r="C3824" s="140" t="s">
        <v>11113</v>
      </c>
      <c r="D3824" s="140" t="s">
        <v>6718</v>
      </c>
      <c r="E3824" s="140" t="s">
        <v>199</v>
      </c>
      <c r="F3824" s="140" t="s">
        <v>224</v>
      </c>
      <c r="G3824" s="141" t="s">
        <v>6401</v>
      </c>
      <c r="H3824" s="140" t="s">
        <v>6314</v>
      </c>
      <c r="I3824" s="140" t="s">
        <v>6313</v>
      </c>
      <c r="J3824" s="140" t="s">
        <v>6319</v>
      </c>
      <c r="K3824" s="140" t="s">
        <v>1573</v>
      </c>
    </row>
    <row r="3825">
      <c r="A3825" s="140" t="s">
        <v>1666</v>
      </c>
      <c r="B3825" s="140" t="s">
        <v>11114</v>
      </c>
      <c r="C3825" s="140" t="s">
        <v>11115</v>
      </c>
      <c r="D3825" s="140" t="s">
        <v>6718</v>
      </c>
      <c r="E3825" s="140" t="s">
        <v>199</v>
      </c>
      <c r="F3825" s="140" t="s">
        <v>224</v>
      </c>
      <c r="G3825" s="141" t="s">
        <v>6401</v>
      </c>
      <c r="H3825" s="140" t="s">
        <v>6314</v>
      </c>
      <c r="I3825" s="140" t="s">
        <v>6313</v>
      </c>
      <c r="J3825" s="140" t="s">
        <v>6319</v>
      </c>
      <c r="K3825" s="140" t="s">
        <v>1573</v>
      </c>
    </row>
    <row r="3826">
      <c r="A3826" s="140" t="s">
        <v>1666</v>
      </c>
      <c r="B3826" s="140" t="s">
        <v>11116</v>
      </c>
      <c r="C3826" s="140" t="s">
        <v>11117</v>
      </c>
      <c r="D3826" s="140" t="s">
        <v>6718</v>
      </c>
      <c r="E3826" s="140" t="s">
        <v>199</v>
      </c>
      <c r="F3826" s="140" t="s">
        <v>224</v>
      </c>
      <c r="G3826" s="141" t="s">
        <v>6401</v>
      </c>
      <c r="H3826" s="140" t="s">
        <v>6314</v>
      </c>
      <c r="I3826" s="140" t="s">
        <v>6313</v>
      </c>
      <c r="J3826" s="140" t="s">
        <v>6319</v>
      </c>
      <c r="K3826" s="140" t="s">
        <v>1573</v>
      </c>
    </row>
    <row r="3827">
      <c r="A3827" s="140" t="s">
        <v>1666</v>
      </c>
      <c r="B3827" s="140" t="s">
        <v>11118</v>
      </c>
      <c r="C3827" s="140" t="s">
        <v>11119</v>
      </c>
      <c r="D3827" s="140" t="s">
        <v>6718</v>
      </c>
      <c r="E3827" s="140" t="s">
        <v>199</v>
      </c>
      <c r="F3827" s="140" t="s">
        <v>224</v>
      </c>
      <c r="G3827" s="141" t="s">
        <v>6401</v>
      </c>
      <c r="H3827" s="140" t="s">
        <v>6314</v>
      </c>
      <c r="I3827" s="140" t="s">
        <v>6313</v>
      </c>
      <c r="J3827" s="140" t="s">
        <v>6319</v>
      </c>
      <c r="K3827" s="140" t="s">
        <v>1573</v>
      </c>
    </row>
    <row r="3828">
      <c r="A3828" s="140" t="s">
        <v>1666</v>
      </c>
      <c r="B3828" s="143">
        <v>6.7898087132855E13</v>
      </c>
      <c r="C3828" s="140" t="s">
        <v>1742</v>
      </c>
      <c r="D3828" s="140" t="s">
        <v>6718</v>
      </c>
      <c r="E3828" s="140" t="s">
        <v>199</v>
      </c>
      <c r="F3828" s="140" t="s">
        <v>224</v>
      </c>
      <c r="G3828" s="141" t="s">
        <v>6668</v>
      </c>
      <c r="H3828" s="140" t="s">
        <v>6330</v>
      </c>
      <c r="I3828" s="140" t="s">
        <v>6313</v>
      </c>
      <c r="J3828" s="140" t="s">
        <v>6319</v>
      </c>
      <c r="K3828" s="140" t="s">
        <v>1573</v>
      </c>
    </row>
    <row r="3829">
      <c r="A3829" s="140" t="s">
        <v>1666</v>
      </c>
      <c r="B3829" s="140" t="s">
        <v>228</v>
      </c>
      <c r="C3829" s="140" t="s">
        <v>1743</v>
      </c>
      <c r="D3829" s="140" t="s">
        <v>6718</v>
      </c>
      <c r="E3829" s="140" t="s">
        <v>199</v>
      </c>
      <c r="F3829" s="140" t="s">
        <v>224</v>
      </c>
      <c r="G3829" s="141" t="s">
        <v>6668</v>
      </c>
      <c r="H3829" s="140" t="s">
        <v>6330</v>
      </c>
      <c r="I3829" s="140" t="s">
        <v>6313</v>
      </c>
      <c r="J3829" s="140" t="s">
        <v>6319</v>
      </c>
      <c r="K3829" s="140" t="s">
        <v>1573</v>
      </c>
    </row>
    <row r="3830">
      <c r="A3830" s="140" t="s">
        <v>1666</v>
      </c>
      <c r="B3830" s="143">
        <v>1.6303705794E12</v>
      </c>
      <c r="C3830" s="140" t="s">
        <v>11120</v>
      </c>
      <c r="D3830" s="140" t="s">
        <v>6718</v>
      </c>
      <c r="E3830" s="140" t="s">
        <v>199</v>
      </c>
      <c r="F3830" s="140" t="s">
        <v>224</v>
      </c>
      <c r="G3830" s="141" t="s">
        <v>6401</v>
      </c>
      <c r="H3830" s="140" t="s">
        <v>6312</v>
      </c>
      <c r="I3830" s="140" t="s">
        <v>6313</v>
      </c>
      <c r="J3830" s="140" t="s">
        <v>6319</v>
      </c>
      <c r="K3830" s="140" t="s">
        <v>1573</v>
      </c>
    </row>
    <row r="3831">
      <c r="A3831" s="140" t="s">
        <v>1666</v>
      </c>
      <c r="B3831" s="140" t="s">
        <v>231</v>
      </c>
      <c r="C3831" s="140" t="s">
        <v>1738</v>
      </c>
      <c r="D3831" s="140" t="s">
        <v>6718</v>
      </c>
      <c r="E3831" s="140" t="s">
        <v>199</v>
      </c>
      <c r="F3831" s="140" t="s">
        <v>224</v>
      </c>
      <c r="G3831" s="141" t="s">
        <v>6668</v>
      </c>
      <c r="H3831" s="140" t="s">
        <v>6330</v>
      </c>
      <c r="I3831" s="140" t="s">
        <v>6313</v>
      </c>
      <c r="J3831" s="140" t="s">
        <v>6319</v>
      </c>
      <c r="K3831" s="140" t="s">
        <v>1573</v>
      </c>
    </row>
    <row r="3832">
      <c r="A3832" s="140" t="s">
        <v>1666</v>
      </c>
      <c r="B3832" s="140" t="s">
        <v>11121</v>
      </c>
      <c r="C3832" s="140" t="s">
        <v>11122</v>
      </c>
      <c r="D3832" s="140" t="s">
        <v>6718</v>
      </c>
      <c r="E3832" s="140" t="s">
        <v>199</v>
      </c>
      <c r="F3832" s="140" t="s">
        <v>224</v>
      </c>
      <c r="G3832" s="141" t="s">
        <v>6311</v>
      </c>
      <c r="H3832" s="140" t="s">
        <v>6330</v>
      </c>
      <c r="I3832" s="140" t="s">
        <v>6527</v>
      </c>
      <c r="J3832" s="140" t="s">
        <v>6319</v>
      </c>
      <c r="K3832" s="140" t="s">
        <v>1573</v>
      </c>
    </row>
    <row r="3833">
      <c r="A3833" s="140" t="s">
        <v>1666</v>
      </c>
      <c r="B3833" s="140" t="s">
        <v>11123</v>
      </c>
      <c r="C3833" s="140" t="s">
        <v>11081</v>
      </c>
      <c r="D3833" s="140" t="s">
        <v>6718</v>
      </c>
      <c r="E3833" s="140" t="s">
        <v>6719</v>
      </c>
      <c r="F3833" s="140" t="s">
        <v>200</v>
      </c>
      <c r="G3833" s="141" t="s">
        <v>6304</v>
      </c>
      <c r="H3833" s="140" t="s">
        <v>6312</v>
      </c>
      <c r="I3833" s="140" t="s">
        <v>6527</v>
      </c>
      <c r="J3833" s="140" t="s">
        <v>6319</v>
      </c>
      <c r="K3833" s="140" t="s">
        <v>1573</v>
      </c>
    </row>
    <row r="3834">
      <c r="A3834" s="140" t="s">
        <v>1666</v>
      </c>
      <c r="B3834" s="140" t="s">
        <v>11124</v>
      </c>
      <c r="C3834" s="140" t="s">
        <v>11125</v>
      </c>
      <c r="D3834" s="140" t="s">
        <v>6718</v>
      </c>
      <c r="E3834" s="140" t="s">
        <v>6719</v>
      </c>
      <c r="F3834" s="140" t="s">
        <v>200</v>
      </c>
      <c r="G3834" s="141" t="s">
        <v>6304</v>
      </c>
      <c r="H3834" s="140" t="s">
        <v>6312</v>
      </c>
      <c r="I3834" s="140" t="s">
        <v>6527</v>
      </c>
      <c r="J3834" s="140" t="s">
        <v>6319</v>
      </c>
      <c r="K3834" s="140" t="s">
        <v>1573</v>
      </c>
    </row>
    <row r="3835">
      <c r="A3835" s="140" t="s">
        <v>1666</v>
      </c>
      <c r="B3835" s="143">
        <v>1.479823191801E12</v>
      </c>
      <c r="C3835" s="140" t="s">
        <v>210</v>
      </c>
      <c r="D3835" s="140" t="s">
        <v>6718</v>
      </c>
      <c r="E3835" s="140" t="s">
        <v>6719</v>
      </c>
      <c r="F3835" s="140" t="s">
        <v>200</v>
      </c>
      <c r="G3835" s="141" t="s">
        <v>6401</v>
      </c>
      <c r="H3835" s="140" t="s">
        <v>6330</v>
      </c>
      <c r="I3835" s="140" t="s">
        <v>6313</v>
      </c>
      <c r="J3835" s="140" t="s">
        <v>6319</v>
      </c>
      <c r="K3835" s="140" t="s">
        <v>1573</v>
      </c>
    </row>
    <row r="3836">
      <c r="A3836" s="140" t="s">
        <v>1666</v>
      </c>
      <c r="B3836" s="140" t="s">
        <v>11126</v>
      </c>
      <c r="C3836" s="140" t="s">
        <v>11127</v>
      </c>
      <c r="D3836" s="140" t="s">
        <v>6718</v>
      </c>
      <c r="E3836" s="140" t="s">
        <v>6719</v>
      </c>
      <c r="F3836" s="140" t="s">
        <v>200</v>
      </c>
      <c r="G3836" s="141" t="s">
        <v>6304</v>
      </c>
      <c r="H3836" s="140" t="s">
        <v>6312</v>
      </c>
      <c r="I3836" s="140" t="s">
        <v>6527</v>
      </c>
      <c r="J3836" s="140" t="s">
        <v>6319</v>
      </c>
      <c r="K3836" s="140" t="s">
        <v>1573</v>
      </c>
    </row>
    <row r="3837">
      <c r="A3837" s="140" t="s">
        <v>1666</v>
      </c>
      <c r="B3837" s="140" t="s">
        <v>11128</v>
      </c>
      <c r="C3837" s="140" t="s">
        <v>11129</v>
      </c>
      <c r="D3837" s="140" t="s">
        <v>6718</v>
      </c>
      <c r="E3837" s="140" t="s">
        <v>6719</v>
      </c>
      <c r="F3837" s="140" t="s">
        <v>200</v>
      </c>
      <c r="G3837" s="141" t="s">
        <v>6304</v>
      </c>
      <c r="H3837" s="140" t="s">
        <v>6312</v>
      </c>
      <c r="I3837" s="140" t="s">
        <v>6527</v>
      </c>
      <c r="J3837" s="140" t="s">
        <v>6319</v>
      </c>
      <c r="K3837" s="140" t="s">
        <v>1573</v>
      </c>
    </row>
    <row r="3838">
      <c r="A3838" s="140" t="s">
        <v>1666</v>
      </c>
      <c r="B3838" s="140" t="s">
        <v>11130</v>
      </c>
      <c r="C3838" s="140" t="s">
        <v>11129</v>
      </c>
      <c r="D3838" s="140" t="s">
        <v>6718</v>
      </c>
      <c r="E3838" s="140" t="s">
        <v>6719</v>
      </c>
      <c r="F3838" s="140" t="s">
        <v>200</v>
      </c>
      <c r="G3838" s="141" t="s">
        <v>6304</v>
      </c>
      <c r="H3838" s="140" t="s">
        <v>6312</v>
      </c>
      <c r="I3838" s="140" t="s">
        <v>6527</v>
      </c>
      <c r="J3838" s="140" t="s">
        <v>6319</v>
      </c>
      <c r="K3838" s="140" t="s">
        <v>1573</v>
      </c>
    </row>
    <row r="3839">
      <c r="A3839" s="140" t="s">
        <v>1666</v>
      </c>
      <c r="B3839" s="143">
        <v>1.598650124917E12</v>
      </c>
      <c r="C3839" s="140" t="s">
        <v>11131</v>
      </c>
      <c r="D3839" s="140" t="s">
        <v>6718</v>
      </c>
      <c r="E3839" s="140" t="s">
        <v>6719</v>
      </c>
      <c r="F3839" s="140" t="s">
        <v>224</v>
      </c>
      <c r="G3839" s="141" t="s">
        <v>6401</v>
      </c>
      <c r="H3839" s="140" t="s">
        <v>6312</v>
      </c>
      <c r="I3839" s="140" t="s">
        <v>6313</v>
      </c>
      <c r="J3839" s="140" t="s">
        <v>6319</v>
      </c>
      <c r="K3839" s="140" t="s">
        <v>1573</v>
      </c>
    </row>
    <row r="3840">
      <c r="A3840" s="140" t="s">
        <v>1666</v>
      </c>
      <c r="B3840" s="143">
        <v>1.566849641793E12</v>
      </c>
      <c r="C3840" s="140" t="s">
        <v>11132</v>
      </c>
      <c r="D3840" s="140" t="s">
        <v>6718</v>
      </c>
      <c r="E3840" s="140" t="s">
        <v>6719</v>
      </c>
      <c r="F3840" s="140" t="s">
        <v>224</v>
      </c>
      <c r="G3840" s="141" t="s">
        <v>6401</v>
      </c>
      <c r="H3840" s="140" t="s">
        <v>6312</v>
      </c>
      <c r="I3840" s="140" t="s">
        <v>6313</v>
      </c>
      <c r="J3840" s="140" t="s">
        <v>6319</v>
      </c>
      <c r="K3840" s="140" t="s">
        <v>1573</v>
      </c>
    </row>
    <row r="3841">
      <c r="A3841" s="140" t="s">
        <v>1666</v>
      </c>
      <c r="B3841" s="140" t="s">
        <v>11133</v>
      </c>
      <c r="C3841" s="140" t="s">
        <v>11134</v>
      </c>
      <c r="D3841" s="140" t="s">
        <v>6718</v>
      </c>
      <c r="E3841" s="140" t="s">
        <v>6719</v>
      </c>
      <c r="F3841" s="140" t="s">
        <v>224</v>
      </c>
      <c r="G3841" s="141" t="s">
        <v>6401</v>
      </c>
      <c r="H3841" s="140" t="s">
        <v>6312</v>
      </c>
      <c r="I3841" s="140" t="s">
        <v>6313</v>
      </c>
      <c r="J3841" s="140" t="s">
        <v>6319</v>
      </c>
      <c r="K3841" s="140" t="s">
        <v>1573</v>
      </c>
    </row>
    <row r="3842">
      <c r="A3842" s="140" t="s">
        <v>1666</v>
      </c>
      <c r="B3842" s="140" t="s">
        <v>11135</v>
      </c>
      <c r="C3842" s="140" t="s">
        <v>11136</v>
      </c>
      <c r="D3842" s="140" t="s">
        <v>6718</v>
      </c>
      <c r="E3842" s="140" t="s">
        <v>6719</v>
      </c>
      <c r="F3842" s="140" t="s">
        <v>224</v>
      </c>
      <c r="G3842" s="141" t="s">
        <v>6401</v>
      </c>
      <c r="H3842" s="140" t="s">
        <v>6312</v>
      </c>
      <c r="I3842" s="140" t="s">
        <v>6313</v>
      </c>
      <c r="J3842" s="140" t="s">
        <v>6319</v>
      </c>
      <c r="K3842" s="140" t="s">
        <v>1573</v>
      </c>
    </row>
    <row r="3843">
      <c r="A3843" s="140" t="s">
        <v>1666</v>
      </c>
      <c r="B3843" s="140" t="s">
        <v>11137</v>
      </c>
      <c r="C3843" s="140" t="s">
        <v>11106</v>
      </c>
      <c r="D3843" s="140" t="s">
        <v>6718</v>
      </c>
      <c r="E3843" s="140" t="s">
        <v>6719</v>
      </c>
      <c r="F3843" s="140" t="s">
        <v>224</v>
      </c>
      <c r="G3843" s="141" t="s">
        <v>6304</v>
      </c>
      <c r="H3843" s="140" t="s">
        <v>6312</v>
      </c>
      <c r="I3843" s="140" t="s">
        <v>6527</v>
      </c>
      <c r="J3843" s="140" t="s">
        <v>6319</v>
      </c>
      <c r="K3843" s="140" t="s">
        <v>1573</v>
      </c>
    </row>
    <row r="3844">
      <c r="A3844" s="140" t="s">
        <v>1666</v>
      </c>
      <c r="B3844" s="140" t="s">
        <v>11138</v>
      </c>
      <c r="C3844" s="140" t="s">
        <v>11139</v>
      </c>
      <c r="D3844" s="140" t="s">
        <v>6718</v>
      </c>
      <c r="E3844" s="140" t="s">
        <v>6719</v>
      </c>
      <c r="F3844" s="140" t="s">
        <v>224</v>
      </c>
      <c r="G3844" s="141" t="s">
        <v>6401</v>
      </c>
      <c r="H3844" s="140" t="s">
        <v>6312</v>
      </c>
      <c r="I3844" s="140" t="s">
        <v>6313</v>
      </c>
      <c r="J3844" s="140" t="s">
        <v>6319</v>
      </c>
      <c r="K3844" s="140" t="s">
        <v>1573</v>
      </c>
    </row>
    <row r="3845">
      <c r="A3845" s="140" t="s">
        <v>1666</v>
      </c>
      <c r="B3845" s="140" t="s">
        <v>11140</v>
      </c>
      <c r="C3845" s="140" t="s">
        <v>11141</v>
      </c>
      <c r="D3845" s="140" t="s">
        <v>6718</v>
      </c>
      <c r="E3845" s="140" t="s">
        <v>6719</v>
      </c>
      <c r="F3845" s="140" t="s">
        <v>224</v>
      </c>
      <c r="G3845" s="141" t="s">
        <v>6304</v>
      </c>
      <c r="H3845" s="140" t="s">
        <v>6312</v>
      </c>
      <c r="I3845" s="140" t="s">
        <v>6527</v>
      </c>
      <c r="J3845" s="140" t="s">
        <v>6319</v>
      </c>
      <c r="K3845" s="140" t="s">
        <v>1573</v>
      </c>
    </row>
    <row r="3846">
      <c r="A3846" s="140" t="s">
        <v>1666</v>
      </c>
      <c r="B3846" s="143">
        <v>1.595007331468E12</v>
      </c>
      <c r="C3846" s="140" t="s">
        <v>11142</v>
      </c>
      <c r="D3846" s="140" t="s">
        <v>6786</v>
      </c>
      <c r="E3846" s="140" t="s">
        <v>6786</v>
      </c>
      <c r="F3846" s="140" t="s">
        <v>11143</v>
      </c>
      <c r="G3846" s="141" t="s">
        <v>6401</v>
      </c>
      <c r="H3846" s="140" t="s">
        <v>6312</v>
      </c>
      <c r="I3846" s="140" t="s">
        <v>6313</v>
      </c>
      <c r="J3846" s="140" t="s">
        <v>6319</v>
      </c>
      <c r="K3846" s="140" t="s">
        <v>1573</v>
      </c>
    </row>
    <row r="3847">
      <c r="A3847" s="140" t="s">
        <v>1666</v>
      </c>
      <c r="B3847" s="143">
        <v>1.595007323077E12</v>
      </c>
      <c r="C3847" s="140" t="s">
        <v>11144</v>
      </c>
      <c r="D3847" s="140" t="s">
        <v>6786</v>
      </c>
      <c r="E3847" s="140" t="s">
        <v>6786</v>
      </c>
      <c r="F3847" s="140" t="s">
        <v>11143</v>
      </c>
      <c r="G3847" s="141" t="s">
        <v>6401</v>
      </c>
      <c r="H3847" s="140" t="s">
        <v>6312</v>
      </c>
      <c r="I3847" s="140" t="s">
        <v>6313</v>
      </c>
      <c r="J3847" s="140" t="s">
        <v>6319</v>
      </c>
      <c r="K3847" s="140" t="s">
        <v>1573</v>
      </c>
    </row>
    <row r="3848">
      <c r="A3848" s="140" t="s">
        <v>1666</v>
      </c>
      <c r="B3848" s="143">
        <v>1.595007277212E12</v>
      </c>
      <c r="C3848" s="140" t="s">
        <v>11145</v>
      </c>
      <c r="D3848" s="140" t="s">
        <v>6786</v>
      </c>
      <c r="E3848" s="140" t="s">
        <v>6786</v>
      </c>
      <c r="F3848" s="140" t="s">
        <v>11143</v>
      </c>
      <c r="G3848" s="141" t="s">
        <v>6401</v>
      </c>
      <c r="H3848" s="140" t="s">
        <v>6312</v>
      </c>
      <c r="I3848" s="140" t="s">
        <v>6313</v>
      </c>
      <c r="J3848" s="140" t="s">
        <v>6319</v>
      </c>
      <c r="K3848" s="140" t="s">
        <v>1573</v>
      </c>
    </row>
    <row r="3849">
      <c r="A3849" s="140" t="s">
        <v>1666</v>
      </c>
      <c r="B3849" s="143">
        <v>1.616011311193E12</v>
      </c>
      <c r="C3849" s="140" t="s">
        <v>11146</v>
      </c>
      <c r="D3849" s="140" t="s">
        <v>6786</v>
      </c>
      <c r="E3849" s="140" t="s">
        <v>6786</v>
      </c>
      <c r="F3849" s="140" t="s">
        <v>11143</v>
      </c>
      <c r="G3849" s="141" t="s">
        <v>6401</v>
      </c>
      <c r="H3849" s="140" t="s">
        <v>6312</v>
      </c>
      <c r="I3849" s="140" t="s">
        <v>6313</v>
      </c>
      <c r="J3849" s="140" t="s">
        <v>6319</v>
      </c>
      <c r="K3849" s="140" t="s">
        <v>1573</v>
      </c>
    </row>
    <row r="3850">
      <c r="A3850" s="140" t="s">
        <v>1666</v>
      </c>
      <c r="B3850" s="143">
        <v>1.616011328526E12</v>
      </c>
      <c r="C3850" s="140" t="s">
        <v>11147</v>
      </c>
      <c r="D3850" s="140" t="s">
        <v>6786</v>
      </c>
      <c r="E3850" s="140" t="s">
        <v>6786</v>
      </c>
      <c r="F3850" s="140" t="s">
        <v>11143</v>
      </c>
      <c r="G3850" s="141" t="s">
        <v>6401</v>
      </c>
      <c r="H3850" s="140" t="s">
        <v>6312</v>
      </c>
      <c r="I3850" s="140" t="s">
        <v>6313</v>
      </c>
      <c r="J3850" s="140" t="s">
        <v>6319</v>
      </c>
      <c r="K3850" s="140" t="s">
        <v>1573</v>
      </c>
    </row>
    <row r="3851">
      <c r="A3851" s="140" t="s">
        <v>1666</v>
      </c>
      <c r="B3851" s="143">
        <v>1.589209076056E12</v>
      </c>
      <c r="C3851" s="140" t="s">
        <v>11148</v>
      </c>
      <c r="D3851" s="140" t="s">
        <v>6786</v>
      </c>
      <c r="E3851" s="140" t="s">
        <v>6786</v>
      </c>
      <c r="F3851" s="140" t="s">
        <v>11143</v>
      </c>
      <c r="G3851" s="141" t="s">
        <v>6401</v>
      </c>
      <c r="H3851" s="140" t="s">
        <v>6312</v>
      </c>
      <c r="I3851" s="140" t="s">
        <v>6313</v>
      </c>
      <c r="J3851" s="140" t="s">
        <v>6319</v>
      </c>
      <c r="K3851" s="140" t="s">
        <v>1573</v>
      </c>
    </row>
    <row r="3852">
      <c r="A3852" s="140" t="s">
        <v>1666</v>
      </c>
      <c r="B3852" s="143">
        <v>1.605021590336E12</v>
      </c>
      <c r="C3852" s="140" t="s">
        <v>11149</v>
      </c>
      <c r="D3852" s="140" t="s">
        <v>6786</v>
      </c>
      <c r="E3852" s="140" t="s">
        <v>6786</v>
      </c>
      <c r="F3852" s="140" t="s">
        <v>11143</v>
      </c>
      <c r="G3852" s="141" t="s">
        <v>6401</v>
      </c>
      <c r="H3852" s="140" t="s">
        <v>6312</v>
      </c>
      <c r="I3852" s="140" t="s">
        <v>6313</v>
      </c>
      <c r="J3852" s="140" t="s">
        <v>6319</v>
      </c>
      <c r="K3852" s="140" t="s">
        <v>1573</v>
      </c>
    </row>
    <row r="3853">
      <c r="A3853" s="140" t="s">
        <v>1666</v>
      </c>
      <c r="B3853" s="143">
        <v>1.60087188499E12</v>
      </c>
      <c r="C3853" s="140" t="s">
        <v>11150</v>
      </c>
      <c r="D3853" s="140" t="s">
        <v>6786</v>
      </c>
      <c r="E3853" s="140" t="s">
        <v>6786</v>
      </c>
      <c r="F3853" s="140" t="s">
        <v>11143</v>
      </c>
      <c r="G3853" s="141" t="s">
        <v>6401</v>
      </c>
      <c r="H3853" s="140" t="s">
        <v>6312</v>
      </c>
      <c r="I3853" s="140" t="s">
        <v>6313</v>
      </c>
      <c r="J3853" s="140" t="s">
        <v>6319</v>
      </c>
      <c r="K3853" s="140" t="s">
        <v>1573</v>
      </c>
    </row>
    <row r="3854">
      <c r="A3854" s="140" t="s">
        <v>1666</v>
      </c>
      <c r="B3854" s="143">
        <v>1.586964198052E12</v>
      </c>
      <c r="C3854" s="140" t="s">
        <v>11151</v>
      </c>
      <c r="D3854" s="140" t="s">
        <v>6786</v>
      </c>
      <c r="E3854" s="140" t="s">
        <v>6786</v>
      </c>
      <c r="F3854" s="140" t="s">
        <v>11143</v>
      </c>
      <c r="G3854" s="141" t="s">
        <v>6401</v>
      </c>
      <c r="H3854" s="140" t="s">
        <v>6312</v>
      </c>
      <c r="I3854" s="140" t="s">
        <v>6313</v>
      </c>
      <c r="J3854" s="140" t="s">
        <v>6319</v>
      </c>
      <c r="K3854" s="140" t="s">
        <v>1573</v>
      </c>
    </row>
    <row r="3855">
      <c r="A3855" s="140" t="s">
        <v>1666</v>
      </c>
      <c r="B3855" s="143">
        <v>1.503404321498E12</v>
      </c>
      <c r="C3855" s="140" t="s">
        <v>11152</v>
      </c>
      <c r="D3855" s="140" t="s">
        <v>6786</v>
      </c>
      <c r="E3855" s="140" t="s">
        <v>6786</v>
      </c>
      <c r="F3855" s="140" t="s">
        <v>11143</v>
      </c>
      <c r="G3855" s="141" t="s">
        <v>6401</v>
      </c>
      <c r="H3855" s="140" t="s">
        <v>6312</v>
      </c>
      <c r="I3855" s="140" t="s">
        <v>6313</v>
      </c>
      <c r="J3855" s="140" t="s">
        <v>6319</v>
      </c>
      <c r="K3855" s="140" t="s">
        <v>1573</v>
      </c>
    </row>
    <row r="3856">
      <c r="A3856" s="140" t="s">
        <v>1666</v>
      </c>
      <c r="B3856" s="143">
        <v>1.593115256999E12</v>
      </c>
      <c r="C3856" s="140" t="s">
        <v>11153</v>
      </c>
      <c r="D3856" s="140" t="s">
        <v>6786</v>
      </c>
      <c r="E3856" s="140" t="s">
        <v>6786</v>
      </c>
      <c r="F3856" s="140" t="s">
        <v>11143</v>
      </c>
      <c r="G3856" s="141" t="s">
        <v>6401</v>
      </c>
      <c r="H3856" s="140" t="s">
        <v>6312</v>
      </c>
      <c r="I3856" s="140" t="s">
        <v>6313</v>
      </c>
      <c r="J3856" s="140" t="s">
        <v>6319</v>
      </c>
      <c r="K3856" s="140" t="s">
        <v>1573</v>
      </c>
    </row>
    <row r="3857">
      <c r="A3857" s="140" t="s">
        <v>1666</v>
      </c>
      <c r="B3857" s="144" t="s">
        <v>6757</v>
      </c>
      <c r="C3857" s="140" t="s">
        <v>11154</v>
      </c>
      <c r="D3857" s="140" t="s">
        <v>6786</v>
      </c>
      <c r="E3857" s="140" t="s">
        <v>6786</v>
      </c>
      <c r="F3857" s="140" t="s">
        <v>11155</v>
      </c>
      <c r="G3857" s="141" t="s">
        <v>6401</v>
      </c>
      <c r="H3857" s="140" t="s">
        <v>6312</v>
      </c>
      <c r="I3857" s="140" t="s">
        <v>6313</v>
      </c>
      <c r="J3857" s="140" t="s">
        <v>6319</v>
      </c>
      <c r="K3857" s="140" t="s">
        <v>1573</v>
      </c>
    </row>
    <row r="3858">
      <c r="A3858" s="140" t="s">
        <v>1666</v>
      </c>
      <c r="B3858" s="144" t="s">
        <v>6757</v>
      </c>
      <c r="C3858" s="140" t="s">
        <v>11156</v>
      </c>
      <c r="D3858" s="140" t="s">
        <v>6786</v>
      </c>
      <c r="E3858" s="140" t="s">
        <v>6786</v>
      </c>
      <c r="F3858" s="140" t="s">
        <v>11155</v>
      </c>
      <c r="G3858" s="141" t="s">
        <v>6401</v>
      </c>
      <c r="H3858" s="140" t="s">
        <v>6312</v>
      </c>
      <c r="I3858" s="140" t="s">
        <v>6313</v>
      </c>
      <c r="J3858" s="140" t="s">
        <v>6319</v>
      </c>
      <c r="K3858" s="140" t="s">
        <v>1573</v>
      </c>
    </row>
    <row r="3859">
      <c r="A3859" s="140" t="s">
        <v>1666</v>
      </c>
      <c r="B3859" s="143">
        <v>1.600881119524E12</v>
      </c>
      <c r="C3859" s="140" t="s">
        <v>11157</v>
      </c>
      <c r="D3859" s="140" t="s">
        <v>6786</v>
      </c>
      <c r="E3859" s="140" t="s">
        <v>6786</v>
      </c>
      <c r="F3859" s="140" t="s">
        <v>11158</v>
      </c>
      <c r="G3859" s="141" t="s">
        <v>6401</v>
      </c>
      <c r="H3859" s="140" t="s">
        <v>6312</v>
      </c>
      <c r="I3859" s="140" t="s">
        <v>6313</v>
      </c>
      <c r="J3859" s="140" t="s">
        <v>6319</v>
      </c>
      <c r="K3859" s="140" t="s">
        <v>1573</v>
      </c>
    </row>
    <row r="3860">
      <c r="A3860" s="140" t="s">
        <v>1666</v>
      </c>
      <c r="B3860" s="143">
        <v>1.618520900073E12</v>
      </c>
      <c r="C3860" s="140" t="s">
        <v>11159</v>
      </c>
      <c r="D3860" s="140" t="s">
        <v>6786</v>
      </c>
      <c r="E3860" s="140" t="s">
        <v>6786</v>
      </c>
      <c r="F3860" s="140" t="s">
        <v>11158</v>
      </c>
      <c r="G3860" s="141" t="s">
        <v>6401</v>
      </c>
      <c r="H3860" s="140" t="s">
        <v>6312</v>
      </c>
      <c r="I3860" s="140" t="s">
        <v>6313</v>
      </c>
      <c r="J3860" s="140" t="s">
        <v>6319</v>
      </c>
      <c r="K3860" s="140" t="s">
        <v>1573</v>
      </c>
    </row>
    <row r="3861">
      <c r="A3861" s="140" t="s">
        <v>1666</v>
      </c>
      <c r="B3861" s="143">
        <v>1.593109709414E12</v>
      </c>
      <c r="C3861" s="140" t="s">
        <v>11160</v>
      </c>
      <c r="D3861" s="140" t="s">
        <v>6786</v>
      </c>
      <c r="E3861" s="140" t="s">
        <v>6786</v>
      </c>
      <c r="F3861" s="140" t="s">
        <v>11161</v>
      </c>
      <c r="G3861" s="141" t="s">
        <v>6401</v>
      </c>
      <c r="H3861" s="140" t="s">
        <v>6312</v>
      </c>
      <c r="I3861" s="140" t="s">
        <v>6313</v>
      </c>
      <c r="J3861" s="140" t="s">
        <v>6319</v>
      </c>
      <c r="K3861" s="140" t="s">
        <v>1573</v>
      </c>
    </row>
    <row r="3862">
      <c r="A3862" s="140" t="s">
        <v>1666</v>
      </c>
      <c r="B3862" s="140" t="s">
        <v>11162</v>
      </c>
      <c r="C3862" s="140" t="s">
        <v>11163</v>
      </c>
      <c r="D3862" s="140" t="s">
        <v>6718</v>
      </c>
      <c r="E3862" s="140" t="s">
        <v>240</v>
      </c>
      <c r="F3862" s="140" t="s">
        <v>241</v>
      </c>
      <c r="G3862" s="141" t="s">
        <v>6304</v>
      </c>
      <c r="H3862" s="140" t="s">
        <v>6312</v>
      </c>
      <c r="I3862" s="140" t="s">
        <v>6527</v>
      </c>
      <c r="J3862" s="140" t="s">
        <v>6319</v>
      </c>
      <c r="K3862" s="140" t="s">
        <v>1573</v>
      </c>
    </row>
    <row r="3863">
      <c r="A3863" s="140" t="s">
        <v>1666</v>
      </c>
      <c r="B3863" s="143">
        <v>1.652825027456E12</v>
      </c>
      <c r="C3863" s="140" t="s">
        <v>1746</v>
      </c>
      <c r="D3863" s="140" t="s">
        <v>6718</v>
      </c>
      <c r="E3863" s="140" t="s">
        <v>240</v>
      </c>
      <c r="F3863" s="140" t="s">
        <v>241</v>
      </c>
      <c r="G3863" s="141" t="s">
        <v>6664</v>
      </c>
      <c r="H3863" s="140" t="s">
        <v>6330</v>
      </c>
      <c r="I3863" s="140" t="s">
        <v>6313</v>
      </c>
      <c r="J3863" s="140" t="s">
        <v>6319</v>
      </c>
      <c r="K3863" s="140" t="s">
        <v>1573</v>
      </c>
    </row>
    <row r="3864">
      <c r="A3864" s="140" t="s">
        <v>1666</v>
      </c>
      <c r="B3864" s="143">
        <v>1.479755068919E12</v>
      </c>
      <c r="C3864" s="140" t="s">
        <v>11164</v>
      </c>
      <c r="D3864" s="140" t="s">
        <v>6718</v>
      </c>
      <c r="E3864" s="140" t="s">
        <v>240</v>
      </c>
      <c r="F3864" s="140" t="s">
        <v>243</v>
      </c>
      <c r="G3864" s="141" t="s">
        <v>6401</v>
      </c>
      <c r="H3864" s="140" t="s">
        <v>6312</v>
      </c>
      <c r="I3864" s="140" t="s">
        <v>6313</v>
      </c>
      <c r="J3864" s="140" t="s">
        <v>6319</v>
      </c>
      <c r="K3864" s="140" t="s">
        <v>1573</v>
      </c>
    </row>
    <row r="3865">
      <c r="A3865" s="140" t="s">
        <v>1666</v>
      </c>
      <c r="B3865" s="143">
        <v>1.748316345017E12</v>
      </c>
      <c r="C3865" s="140" t="s">
        <v>11165</v>
      </c>
      <c r="D3865" s="140" t="s">
        <v>6718</v>
      </c>
      <c r="E3865" s="140" t="s">
        <v>240</v>
      </c>
      <c r="F3865" s="140" t="s">
        <v>243</v>
      </c>
      <c r="G3865" s="141" t="s">
        <v>134</v>
      </c>
      <c r="H3865" s="140" t="s">
        <v>6312</v>
      </c>
      <c r="I3865" s="140" t="s">
        <v>6313</v>
      </c>
      <c r="J3865" s="140" t="s">
        <v>6319</v>
      </c>
      <c r="K3865" s="140" t="s">
        <v>1573</v>
      </c>
    </row>
    <row r="3866">
      <c r="A3866" s="140" t="s">
        <v>1666</v>
      </c>
      <c r="B3866" s="140" t="s">
        <v>11166</v>
      </c>
      <c r="C3866" s="140" t="s">
        <v>11167</v>
      </c>
      <c r="D3866" s="140" t="s">
        <v>6718</v>
      </c>
      <c r="E3866" s="140" t="s">
        <v>240</v>
      </c>
      <c r="F3866" s="140" t="s">
        <v>243</v>
      </c>
      <c r="G3866" s="141" t="s">
        <v>6304</v>
      </c>
      <c r="H3866" s="140" t="s">
        <v>6312</v>
      </c>
      <c r="I3866" s="140" t="s">
        <v>6527</v>
      </c>
      <c r="J3866" s="140" t="s">
        <v>6319</v>
      </c>
      <c r="K3866" s="140" t="s">
        <v>1573</v>
      </c>
    </row>
    <row r="3867">
      <c r="A3867" s="140" t="s">
        <v>1666</v>
      </c>
      <c r="B3867" s="143">
        <v>6.7327559384453E13</v>
      </c>
      <c r="C3867" s="140" t="s">
        <v>1748</v>
      </c>
      <c r="D3867" s="140" t="s">
        <v>6718</v>
      </c>
      <c r="E3867" s="140" t="s">
        <v>240</v>
      </c>
      <c r="F3867" s="140" t="s">
        <v>243</v>
      </c>
      <c r="G3867" s="141" t="s">
        <v>6668</v>
      </c>
      <c r="H3867" s="140" t="s">
        <v>6330</v>
      </c>
      <c r="I3867" s="140" t="s">
        <v>6313</v>
      </c>
      <c r="J3867" s="140" t="s">
        <v>6319</v>
      </c>
      <c r="K3867" s="140" t="s">
        <v>1573</v>
      </c>
    </row>
    <row r="3868">
      <c r="A3868" s="140" t="s">
        <v>1666</v>
      </c>
      <c r="B3868" s="140" t="s">
        <v>11168</v>
      </c>
      <c r="C3868" s="140" t="s">
        <v>11169</v>
      </c>
      <c r="D3868" s="140" t="s">
        <v>6718</v>
      </c>
      <c r="E3868" s="140" t="s">
        <v>240</v>
      </c>
      <c r="F3868" s="140" t="s">
        <v>243</v>
      </c>
      <c r="G3868" s="141" t="s">
        <v>6401</v>
      </c>
      <c r="H3868" s="140" t="s">
        <v>6312</v>
      </c>
      <c r="I3868" s="140" t="s">
        <v>6313</v>
      </c>
      <c r="J3868" s="140" t="s">
        <v>6319</v>
      </c>
      <c r="K3868" s="140" t="s">
        <v>1573</v>
      </c>
    </row>
    <row r="3869">
      <c r="A3869" s="140" t="s">
        <v>1666</v>
      </c>
      <c r="B3869" s="140" t="s">
        <v>11170</v>
      </c>
      <c r="C3869" s="140" t="s">
        <v>11171</v>
      </c>
      <c r="D3869" s="140" t="s">
        <v>6718</v>
      </c>
      <c r="E3869" s="140" t="s">
        <v>240</v>
      </c>
      <c r="F3869" s="140" t="s">
        <v>243</v>
      </c>
      <c r="G3869" s="141" t="s">
        <v>6401</v>
      </c>
      <c r="H3869" s="140" t="s">
        <v>6312</v>
      </c>
      <c r="I3869" s="140" t="s">
        <v>6313</v>
      </c>
      <c r="J3869" s="140" t="s">
        <v>6319</v>
      </c>
      <c r="K3869" s="140" t="s">
        <v>1573</v>
      </c>
    </row>
    <row r="3870">
      <c r="A3870" s="140" t="s">
        <v>1666</v>
      </c>
      <c r="B3870" s="140" t="s">
        <v>11172</v>
      </c>
      <c r="C3870" s="140" t="s">
        <v>11173</v>
      </c>
      <c r="D3870" s="140" t="s">
        <v>6718</v>
      </c>
      <c r="E3870" s="140" t="s">
        <v>240</v>
      </c>
      <c r="F3870" s="140" t="s">
        <v>243</v>
      </c>
      <c r="G3870" s="141" t="s">
        <v>6401</v>
      </c>
      <c r="H3870" s="140" t="s">
        <v>6312</v>
      </c>
      <c r="I3870" s="140" t="s">
        <v>6313</v>
      </c>
      <c r="J3870" s="140" t="s">
        <v>6319</v>
      </c>
      <c r="K3870" s="140" t="s">
        <v>1573</v>
      </c>
    </row>
    <row r="3871">
      <c r="A3871" s="140" t="s">
        <v>1666</v>
      </c>
      <c r="B3871" s="144" t="s">
        <v>6757</v>
      </c>
      <c r="C3871" s="140" t="s">
        <v>11174</v>
      </c>
      <c r="D3871" s="140" t="s">
        <v>6718</v>
      </c>
      <c r="E3871" s="140" t="s">
        <v>240</v>
      </c>
      <c r="F3871" s="140" t="s">
        <v>243</v>
      </c>
      <c r="G3871" s="141" t="s">
        <v>6401</v>
      </c>
      <c r="H3871" s="140" t="s">
        <v>6312</v>
      </c>
      <c r="I3871" s="140" t="s">
        <v>6313</v>
      </c>
      <c r="J3871" s="140" t="s">
        <v>6319</v>
      </c>
      <c r="K3871" s="140" t="s">
        <v>1573</v>
      </c>
    </row>
    <row r="3872">
      <c r="A3872" s="140" t="s">
        <v>1666</v>
      </c>
      <c r="B3872" s="140" t="s">
        <v>248</v>
      </c>
      <c r="C3872" s="140" t="s">
        <v>1750</v>
      </c>
      <c r="D3872" s="140" t="s">
        <v>6718</v>
      </c>
      <c r="E3872" s="140" t="s">
        <v>240</v>
      </c>
      <c r="F3872" s="140" t="s">
        <v>246</v>
      </c>
      <c r="G3872" s="141" t="s">
        <v>6664</v>
      </c>
      <c r="H3872" s="140" t="s">
        <v>6330</v>
      </c>
      <c r="I3872" s="140" t="s">
        <v>6313</v>
      </c>
      <c r="J3872" s="140" t="s">
        <v>6319</v>
      </c>
      <c r="K3872" s="140" t="s">
        <v>1573</v>
      </c>
    </row>
    <row r="3873">
      <c r="A3873" s="140" t="s">
        <v>1666</v>
      </c>
      <c r="B3873" s="143">
        <v>1.634566934933E12</v>
      </c>
      <c r="C3873" s="140" t="s">
        <v>11175</v>
      </c>
      <c r="D3873" s="140" t="s">
        <v>6718</v>
      </c>
      <c r="E3873" s="140" t="s">
        <v>240</v>
      </c>
      <c r="F3873" s="140" t="s">
        <v>246</v>
      </c>
      <c r="G3873" s="141" t="s">
        <v>6401</v>
      </c>
      <c r="H3873" s="140" t="s">
        <v>6312</v>
      </c>
      <c r="I3873" s="140" t="s">
        <v>6313</v>
      </c>
      <c r="J3873" s="140" t="s">
        <v>6319</v>
      </c>
      <c r="K3873" s="140" t="s">
        <v>1573</v>
      </c>
    </row>
    <row r="3874">
      <c r="A3874" s="140" t="s">
        <v>1666</v>
      </c>
      <c r="B3874" s="143">
        <v>1.650293042952E12</v>
      </c>
      <c r="C3874" s="140" t="s">
        <v>11176</v>
      </c>
      <c r="D3874" s="140" t="s">
        <v>6718</v>
      </c>
      <c r="E3874" s="140" t="s">
        <v>240</v>
      </c>
      <c r="F3874" s="140" t="s">
        <v>246</v>
      </c>
      <c r="G3874" s="141" t="s">
        <v>6401</v>
      </c>
      <c r="H3874" s="140" t="s">
        <v>6312</v>
      </c>
      <c r="I3874" s="140" t="s">
        <v>6313</v>
      </c>
      <c r="J3874" s="140" t="s">
        <v>6319</v>
      </c>
      <c r="K3874" s="140" t="s">
        <v>1573</v>
      </c>
    </row>
    <row r="3875">
      <c r="A3875" s="140" t="s">
        <v>1666</v>
      </c>
      <c r="B3875" s="143">
        <v>1.634567022705E12</v>
      </c>
      <c r="C3875" s="140" t="s">
        <v>11177</v>
      </c>
      <c r="D3875" s="140" t="s">
        <v>6718</v>
      </c>
      <c r="E3875" s="140" t="s">
        <v>240</v>
      </c>
      <c r="F3875" s="140" t="s">
        <v>246</v>
      </c>
      <c r="G3875" s="141" t="s">
        <v>6401</v>
      </c>
      <c r="H3875" s="140" t="s">
        <v>6312</v>
      </c>
      <c r="I3875" s="140" t="s">
        <v>6313</v>
      </c>
      <c r="J3875" s="140" t="s">
        <v>6319</v>
      </c>
      <c r="K3875" s="140" t="s">
        <v>1573</v>
      </c>
    </row>
    <row r="3876">
      <c r="A3876" s="140" t="s">
        <v>1666</v>
      </c>
      <c r="B3876" s="143">
        <v>1.569441854583E12</v>
      </c>
      <c r="C3876" s="140" t="s">
        <v>11178</v>
      </c>
      <c r="D3876" s="140" t="s">
        <v>6718</v>
      </c>
      <c r="E3876" s="140" t="s">
        <v>240</v>
      </c>
      <c r="F3876" s="140" t="s">
        <v>246</v>
      </c>
      <c r="G3876" s="141" t="s">
        <v>6401</v>
      </c>
      <c r="H3876" s="140" t="s">
        <v>6312</v>
      </c>
      <c r="I3876" s="140" t="s">
        <v>6313</v>
      </c>
      <c r="J3876" s="140" t="s">
        <v>6319</v>
      </c>
      <c r="K3876" s="140" t="s">
        <v>1573</v>
      </c>
    </row>
    <row r="3877">
      <c r="A3877" s="140" t="s">
        <v>1666</v>
      </c>
      <c r="B3877" s="140" t="s">
        <v>11179</v>
      </c>
      <c r="C3877" s="140" t="s">
        <v>11180</v>
      </c>
      <c r="D3877" s="140" t="s">
        <v>6718</v>
      </c>
      <c r="E3877" s="140" t="s">
        <v>240</v>
      </c>
      <c r="F3877" s="140" t="s">
        <v>246</v>
      </c>
      <c r="G3877" s="141" t="s">
        <v>6311</v>
      </c>
      <c r="H3877" s="140" t="s">
        <v>6330</v>
      </c>
      <c r="I3877" s="140" t="s">
        <v>6527</v>
      </c>
      <c r="J3877" s="140" t="s">
        <v>6319</v>
      </c>
      <c r="K3877" s="140" t="s">
        <v>1573</v>
      </c>
    </row>
    <row r="3878">
      <c r="A3878" s="140" t="s">
        <v>1666</v>
      </c>
      <c r="B3878" s="140" t="s">
        <v>11181</v>
      </c>
      <c r="C3878" s="140" t="s">
        <v>11182</v>
      </c>
      <c r="D3878" s="140" t="s">
        <v>6718</v>
      </c>
      <c r="E3878" s="140" t="s">
        <v>240</v>
      </c>
      <c r="F3878" s="140" t="s">
        <v>246</v>
      </c>
      <c r="G3878" s="141" t="s">
        <v>6311</v>
      </c>
      <c r="H3878" s="140" t="s">
        <v>6330</v>
      </c>
      <c r="I3878" s="140" t="s">
        <v>6527</v>
      </c>
      <c r="J3878" s="140" t="s">
        <v>6319</v>
      </c>
      <c r="K3878" s="140" t="s">
        <v>1573</v>
      </c>
    </row>
    <row r="3879">
      <c r="A3879" s="140" t="s">
        <v>1666</v>
      </c>
      <c r="B3879" s="140" t="s">
        <v>11183</v>
      </c>
      <c r="C3879" s="140" t="s">
        <v>11184</v>
      </c>
      <c r="D3879" s="140" t="s">
        <v>6718</v>
      </c>
      <c r="E3879" s="140" t="s">
        <v>240</v>
      </c>
      <c r="F3879" s="140" t="s">
        <v>246</v>
      </c>
      <c r="G3879" s="141" t="s">
        <v>6401</v>
      </c>
      <c r="H3879" s="140" t="s">
        <v>6312</v>
      </c>
      <c r="I3879" s="140" t="s">
        <v>6313</v>
      </c>
      <c r="J3879" s="140" t="s">
        <v>6319</v>
      </c>
      <c r="K3879" s="140" t="s">
        <v>1573</v>
      </c>
    </row>
    <row r="3880">
      <c r="A3880" s="140" t="s">
        <v>1666</v>
      </c>
      <c r="B3880" s="140" t="s">
        <v>11185</v>
      </c>
      <c r="C3880" s="140" t="s">
        <v>11186</v>
      </c>
      <c r="D3880" s="140" t="s">
        <v>6718</v>
      </c>
      <c r="E3880" s="140" t="s">
        <v>240</v>
      </c>
      <c r="F3880" s="140" t="s">
        <v>246</v>
      </c>
      <c r="G3880" s="141" t="s">
        <v>6401</v>
      </c>
      <c r="H3880" s="140" t="s">
        <v>6312</v>
      </c>
      <c r="I3880" s="140" t="s">
        <v>6313</v>
      </c>
      <c r="J3880" s="140" t="s">
        <v>6319</v>
      </c>
      <c r="K3880" s="140" t="s">
        <v>1573</v>
      </c>
    </row>
    <row r="3881">
      <c r="A3881" s="140" t="s">
        <v>1666</v>
      </c>
      <c r="B3881" s="140" t="s">
        <v>251</v>
      </c>
      <c r="C3881" s="140" t="s">
        <v>11187</v>
      </c>
      <c r="D3881" s="140" t="s">
        <v>6718</v>
      </c>
      <c r="E3881" s="140" t="s">
        <v>240</v>
      </c>
      <c r="F3881" s="140" t="s">
        <v>249</v>
      </c>
      <c r="G3881" s="141" t="s">
        <v>134</v>
      </c>
      <c r="H3881" s="140" t="s">
        <v>6314</v>
      </c>
      <c r="I3881" s="140" t="s">
        <v>6313</v>
      </c>
      <c r="J3881" s="140" t="s">
        <v>6319</v>
      </c>
      <c r="K3881" s="140" t="s">
        <v>1573</v>
      </c>
    </row>
    <row r="3882">
      <c r="A3882" s="140" t="s">
        <v>1666</v>
      </c>
      <c r="B3882" s="140" t="s">
        <v>253</v>
      </c>
      <c r="C3882" s="140" t="s">
        <v>1751</v>
      </c>
      <c r="D3882" s="140" t="s">
        <v>6718</v>
      </c>
      <c r="E3882" s="140" t="s">
        <v>240</v>
      </c>
      <c r="F3882" s="140" t="s">
        <v>249</v>
      </c>
      <c r="G3882" s="141" t="s">
        <v>134</v>
      </c>
      <c r="H3882" s="140" t="s">
        <v>6312</v>
      </c>
      <c r="I3882" s="140" t="s">
        <v>6313</v>
      </c>
      <c r="J3882" s="140" t="s">
        <v>6319</v>
      </c>
      <c r="K3882" s="140" t="s">
        <v>1573</v>
      </c>
    </row>
    <row r="3883">
      <c r="A3883" s="140" t="s">
        <v>1666</v>
      </c>
      <c r="B3883" s="140" t="s">
        <v>11188</v>
      </c>
      <c r="C3883" s="140" t="s">
        <v>11189</v>
      </c>
      <c r="D3883" s="140" t="s">
        <v>6718</v>
      </c>
      <c r="E3883" s="140" t="s">
        <v>240</v>
      </c>
      <c r="F3883" s="140" t="s">
        <v>254</v>
      </c>
      <c r="G3883" s="141" t="s">
        <v>6401</v>
      </c>
      <c r="H3883" s="140" t="s">
        <v>6312</v>
      </c>
      <c r="I3883" s="140" t="s">
        <v>6313</v>
      </c>
      <c r="J3883" s="140" t="s">
        <v>6319</v>
      </c>
      <c r="K3883" s="140" t="s">
        <v>1573</v>
      </c>
    </row>
    <row r="3884">
      <c r="A3884" s="140" t="s">
        <v>1666</v>
      </c>
      <c r="B3884" s="140" t="s">
        <v>11190</v>
      </c>
      <c r="C3884" s="140" t="s">
        <v>11191</v>
      </c>
      <c r="D3884" s="140" t="s">
        <v>6718</v>
      </c>
      <c r="E3884" s="140" t="s">
        <v>240</v>
      </c>
      <c r="F3884" s="140" t="s">
        <v>254</v>
      </c>
      <c r="G3884" s="141" t="s">
        <v>6401</v>
      </c>
      <c r="H3884" s="140" t="s">
        <v>6312</v>
      </c>
      <c r="I3884" s="140" t="s">
        <v>6313</v>
      </c>
      <c r="J3884" s="140" t="s">
        <v>6319</v>
      </c>
      <c r="K3884" s="140" t="s">
        <v>1573</v>
      </c>
    </row>
    <row r="3885">
      <c r="A3885" s="140" t="s">
        <v>1666</v>
      </c>
      <c r="B3885" s="143">
        <v>1.543406075297E12</v>
      </c>
      <c r="C3885" s="140" t="s">
        <v>1754</v>
      </c>
      <c r="D3885" s="140" t="s">
        <v>6718</v>
      </c>
      <c r="E3885" s="140" t="s">
        <v>240</v>
      </c>
      <c r="F3885" s="140" t="s">
        <v>254</v>
      </c>
      <c r="G3885" s="141" t="s">
        <v>6664</v>
      </c>
      <c r="H3885" s="140" t="s">
        <v>6314</v>
      </c>
      <c r="I3885" s="140" t="s">
        <v>6313</v>
      </c>
      <c r="J3885" s="140" t="s">
        <v>6319</v>
      </c>
      <c r="K3885" s="140" t="s">
        <v>1573</v>
      </c>
    </row>
    <row r="3886">
      <c r="A3886" s="140" t="s">
        <v>1666</v>
      </c>
      <c r="B3886" s="143">
        <v>1.538141129434E12</v>
      </c>
      <c r="C3886" s="140" t="s">
        <v>1755</v>
      </c>
      <c r="D3886" s="140" t="s">
        <v>6718</v>
      </c>
      <c r="E3886" s="140" t="s">
        <v>240</v>
      </c>
      <c r="F3886" s="140" t="s">
        <v>254</v>
      </c>
      <c r="G3886" s="141" t="s">
        <v>6742</v>
      </c>
      <c r="H3886" s="140" t="s">
        <v>6314</v>
      </c>
      <c r="I3886" s="140" t="s">
        <v>6313</v>
      </c>
      <c r="J3886" s="140" t="s">
        <v>6319</v>
      </c>
      <c r="K3886" s="140" t="s">
        <v>1573</v>
      </c>
    </row>
    <row r="3887">
      <c r="A3887" s="140" t="s">
        <v>1666</v>
      </c>
      <c r="B3887" s="140" t="s">
        <v>11192</v>
      </c>
      <c r="C3887" s="140" t="s">
        <v>11193</v>
      </c>
      <c r="D3887" s="140" t="s">
        <v>6718</v>
      </c>
      <c r="E3887" s="140" t="s">
        <v>240</v>
      </c>
      <c r="F3887" s="140" t="s">
        <v>254</v>
      </c>
      <c r="G3887" s="141" t="s">
        <v>6304</v>
      </c>
      <c r="H3887" s="140" t="s">
        <v>6312</v>
      </c>
      <c r="I3887" s="140" t="s">
        <v>6527</v>
      </c>
      <c r="J3887" s="140" t="s">
        <v>6319</v>
      </c>
      <c r="K3887" s="140" t="s">
        <v>1573</v>
      </c>
    </row>
    <row r="3888">
      <c r="A3888" s="140" t="s">
        <v>1666</v>
      </c>
      <c r="B3888" s="143">
        <v>1.607549626415E12</v>
      </c>
      <c r="C3888" s="140" t="s">
        <v>11194</v>
      </c>
      <c r="D3888" s="140" t="s">
        <v>6718</v>
      </c>
      <c r="E3888" s="140" t="s">
        <v>240</v>
      </c>
      <c r="F3888" s="140" t="s">
        <v>11195</v>
      </c>
      <c r="G3888" s="141" t="s">
        <v>6401</v>
      </c>
      <c r="H3888" s="140" t="s">
        <v>6312</v>
      </c>
      <c r="I3888" s="140" t="s">
        <v>6313</v>
      </c>
      <c r="J3888" s="140" t="s">
        <v>6319</v>
      </c>
      <c r="K3888" s="140" t="s">
        <v>1573</v>
      </c>
    </row>
    <row r="3889">
      <c r="A3889" s="140" t="s">
        <v>1666</v>
      </c>
      <c r="B3889" s="143">
        <v>1.522785040955E12</v>
      </c>
      <c r="C3889" s="140" t="s">
        <v>11196</v>
      </c>
      <c r="D3889" s="140" t="s">
        <v>6718</v>
      </c>
      <c r="E3889" s="140" t="s">
        <v>240</v>
      </c>
      <c r="F3889" s="140" t="s">
        <v>11195</v>
      </c>
      <c r="G3889" s="141" t="s">
        <v>6401</v>
      </c>
      <c r="H3889" s="140" t="s">
        <v>6312</v>
      </c>
      <c r="I3889" s="140" t="s">
        <v>6313</v>
      </c>
      <c r="J3889" s="140" t="s">
        <v>6319</v>
      </c>
      <c r="K3889" s="140" t="s">
        <v>1573</v>
      </c>
    </row>
    <row r="3890">
      <c r="A3890" s="140" t="s">
        <v>1666</v>
      </c>
      <c r="B3890" s="143">
        <v>1.549972452525E12</v>
      </c>
      <c r="C3890" s="140" t="s">
        <v>11197</v>
      </c>
      <c r="D3890" s="140" t="s">
        <v>6718</v>
      </c>
      <c r="E3890" s="140" t="s">
        <v>240</v>
      </c>
      <c r="F3890" s="140" t="s">
        <v>11195</v>
      </c>
      <c r="G3890" s="141" t="s">
        <v>6401</v>
      </c>
      <c r="H3890" s="140" t="s">
        <v>6312</v>
      </c>
      <c r="I3890" s="140" t="s">
        <v>6313</v>
      </c>
      <c r="J3890" s="140" t="s">
        <v>6319</v>
      </c>
      <c r="K3890" s="140" t="s">
        <v>1573</v>
      </c>
    </row>
    <row r="3891">
      <c r="A3891" s="140" t="s">
        <v>1666</v>
      </c>
      <c r="B3891" s="140" t="s">
        <v>1758</v>
      </c>
      <c r="C3891" s="140" t="s">
        <v>264</v>
      </c>
      <c r="D3891" s="140" t="s">
        <v>6718</v>
      </c>
      <c r="E3891" s="140" t="s">
        <v>257</v>
      </c>
      <c r="F3891" s="140" t="s">
        <v>1757</v>
      </c>
      <c r="G3891" s="141" t="s">
        <v>6311</v>
      </c>
      <c r="H3891" s="140" t="s">
        <v>6330</v>
      </c>
      <c r="I3891" s="140" t="s">
        <v>6313</v>
      </c>
      <c r="J3891" s="140" t="s">
        <v>6319</v>
      </c>
      <c r="K3891" s="140" t="s">
        <v>1573</v>
      </c>
    </row>
    <row r="3892">
      <c r="A3892" s="140" t="s">
        <v>1666</v>
      </c>
      <c r="B3892" s="140" t="s">
        <v>1756</v>
      </c>
      <c r="C3892" s="140" t="s">
        <v>262</v>
      </c>
      <c r="D3892" s="140" t="s">
        <v>6718</v>
      </c>
      <c r="E3892" s="140" t="s">
        <v>257</v>
      </c>
      <c r="F3892" s="140" t="s">
        <v>1757</v>
      </c>
      <c r="G3892" s="141" t="s">
        <v>6311</v>
      </c>
      <c r="H3892" s="140" t="s">
        <v>6330</v>
      </c>
      <c r="I3892" s="140" t="s">
        <v>6313</v>
      </c>
      <c r="J3892" s="140" t="s">
        <v>6319</v>
      </c>
      <c r="K3892" s="140" t="s">
        <v>1573</v>
      </c>
    </row>
    <row r="3893">
      <c r="A3893" s="140" t="s">
        <v>1666</v>
      </c>
      <c r="B3893" s="140" t="s">
        <v>11198</v>
      </c>
      <c r="C3893" s="140" t="s">
        <v>11199</v>
      </c>
      <c r="D3893" s="140" t="s">
        <v>6718</v>
      </c>
      <c r="E3893" s="140" t="s">
        <v>257</v>
      </c>
      <c r="F3893" s="140" t="s">
        <v>1757</v>
      </c>
      <c r="G3893" s="141" t="s">
        <v>6401</v>
      </c>
      <c r="H3893" s="140" t="s">
        <v>6314</v>
      </c>
      <c r="I3893" s="140" t="s">
        <v>6313</v>
      </c>
      <c r="J3893" s="140" t="s">
        <v>6319</v>
      </c>
      <c r="K3893" s="140" t="s">
        <v>1573</v>
      </c>
    </row>
    <row r="3894">
      <c r="A3894" s="140" t="s">
        <v>1666</v>
      </c>
      <c r="B3894" s="140" t="s">
        <v>11200</v>
      </c>
      <c r="C3894" s="140" t="s">
        <v>11201</v>
      </c>
      <c r="D3894" s="140" t="s">
        <v>6718</v>
      </c>
      <c r="E3894" s="140" t="s">
        <v>257</v>
      </c>
      <c r="F3894" s="140" t="s">
        <v>1757</v>
      </c>
      <c r="G3894" s="141" t="s">
        <v>6401</v>
      </c>
      <c r="H3894" s="140" t="s">
        <v>6314</v>
      </c>
      <c r="I3894" s="140" t="s">
        <v>6313</v>
      </c>
      <c r="J3894" s="140" t="s">
        <v>6319</v>
      </c>
      <c r="K3894" s="140" t="s">
        <v>1573</v>
      </c>
    </row>
    <row r="3895">
      <c r="A3895" s="140" t="s">
        <v>1666</v>
      </c>
      <c r="B3895" s="140" t="s">
        <v>260</v>
      </c>
      <c r="C3895" s="140" t="s">
        <v>1760</v>
      </c>
      <c r="D3895" s="140" t="s">
        <v>6718</v>
      </c>
      <c r="E3895" s="140" t="s">
        <v>257</v>
      </c>
      <c r="F3895" s="140" t="s">
        <v>258</v>
      </c>
      <c r="G3895" s="141" t="s">
        <v>6742</v>
      </c>
      <c r="H3895" s="140" t="s">
        <v>6330</v>
      </c>
      <c r="I3895" s="140" t="s">
        <v>6313</v>
      </c>
      <c r="J3895" s="140" t="s">
        <v>6319</v>
      </c>
      <c r="K3895" s="140" t="s">
        <v>1573</v>
      </c>
    </row>
    <row r="3896">
      <c r="A3896" s="140" t="s">
        <v>1666</v>
      </c>
      <c r="B3896" s="140" t="s">
        <v>11202</v>
      </c>
      <c r="C3896" s="140" t="s">
        <v>11203</v>
      </c>
      <c r="D3896" s="140" t="s">
        <v>6718</v>
      </c>
      <c r="E3896" s="140" t="s">
        <v>266</v>
      </c>
      <c r="F3896" s="140" t="s">
        <v>267</v>
      </c>
      <c r="G3896" s="141" t="s">
        <v>6304</v>
      </c>
      <c r="H3896" s="140" t="s">
        <v>6312</v>
      </c>
      <c r="I3896" s="140" t="s">
        <v>6527</v>
      </c>
      <c r="J3896" s="140" t="s">
        <v>6319</v>
      </c>
      <c r="K3896" s="140" t="s">
        <v>1573</v>
      </c>
    </row>
    <row r="3897">
      <c r="A3897" s="140" t="s">
        <v>1666</v>
      </c>
      <c r="B3897" s="140" t="s">
        <v>11204</v>
      </c>
      <c r="C3897" s="140" t="s">
        <v>11205</v>
      </c>
      <c r="D3897" s="140" t="s">
        <v>6718</v>
      </c>
      <c r="E3897" s="140" t="s">
        <v>266</v>
      </c>
      <c r="F3897" s="140" t="s">
        <v>267</v>
      </c>
      <c r="G3897" s="141" t="s">
        <v>6304</v>
      </c>
      <c r="H3897" s="140" t="s">
        <v>6312</v>
      </c>
      <c r="I3897" s="140" t="s">
        <v>6527</v>
      </c>
      <c r="J3897" s="140" t="s">
        <v>6319</v>
      </c>
      <c r="K3897" s="140" t="s">
        <v>1573</v>
      </c>
    </row>
    <row r="3898">
      <c r="A3898" s="140" t="s">
        <v>1666</v>
      </c>
      <c r="B3898" s="140" t="s">
        <v>11206</v>
      </c>
      <c r="C3898" s="140" t="s">
        <v>11207</v>
      </c>
      <c r="D3898" s="140" t="s">
        <v>6718</v>
      </c>
      <c r="E3898" s="140" t="s">
        <v>266</v>
      </c>
      <c r="F3898" s="140" t="s">
        <v>267</v>
      </c>
      <c r="G3898" s="141" t="s">
        <v>6304</v>
      </c>
      <c r="H3898" s="140" t="s">
        <v>6312</v>
      </c>
      <c r="I3898" s="140" t="s">
        <v>6527</v>
      </c>
      <c r="J3898" s="140" t="s">
        <v>6319</v>
      </c>
      <c r="K3898" s="140" t="s">
        <v>1573</v>
      </c>
    </row>
    <row r="3899">
      <c r="A3899" s="140" t="s">
        <v>1666</v>
      </c>
      <c r="B3899" s="140" t="s">
        <v>11208</v>
      </c>
      <c r="C3899" s="140" t="s">
        <v>11207</v>
      </c>
      <c r="D3899" s="140" t="s">
        <v>6718</v>
      </c>
      <c r="E3899" s="140" t="s">
        <v>266</v>
      </c>
      <c r="F3899" s="140" t="s">
        <v>267</v>
      </c>
      <c r="G3899" s="141" t="s">
        <v>6304</v>
      </c>
      <c r="H3899" s="140" t="s">
        <v>6312</v>
      </c>
      <c r="I3899" s="140" t="s">
        <v>6527</v>
      </c>
      <c r="J3899" s="140" t="s">
        <v>6319</v>
      </c>
      <c r="K3899" s="140" t="s">
        <v>1573</v>
      </c>
    </row>
    <row r="3900">
      <c r="A3900" s="140" t="s">
        <v>1666</v>
      </c>
      <c r="B3900" s="140" t="s">
        <v>11209</v>
      </c>
      <c r="C3900" s="140" t="s">
        <v>11210</v>
      </c>
      <c r="D3900" s="140" t="s">
        <v>6718</v>
      </c>
      <c r="E3900" s="140" t="s">
        <v>266</v>
      </c>
      <c r="F3900" s="140" t="s">
        <v>267</v>
      </c>
      <c r="G3900" s="141" t="s">
        <v>6304</v>
      </c>
      <c r="H3900" s="140" t="s">
        <v>6312</v>
      </c>
      <c r="I3900" s="140" t="s">
        <v>6527</v>
      </c>
      <c r="J3900" s="140" t="s">
        <v>6319</v>
      </c>
      <c r="K3900" s="140" t="s">
        <v>1573</v>
      </c>
    </row>
    <row r="3901">
      <c r="A3901" s="140" t="s">
        <v>1666</v>
      </c>
      <c r="B3901" s="140" t="s">
        <v>11211</v>
      </c>
      <c r="C3901" s="140" t="s">
        <v>11212</v>
      </c>
      <c r="D3901" s="140" t="s">
        <v>6718</v>
      </c>
      <c r="E3901" s="140" t="s">
        <v>266</v>
      </c>
      <c r="F3901" s="140" t="s">
        <v>267</v>
      </c>
      <c r="G3901" s="141" t="s">
        <v>6304</v>
      </c>
      <c r="H3901" s="140" t="s">
        <v>6312</v>
      </c>
      <c r="I3901" s="140" t="s">
        <v>6527</v>
      </c>
      <c r="J3901" s="140" t="s">
        <v>6319</v>
      </c>
      <c r="K3901" s="140" t="s">
        <v>1573</v>
      </c>
    </row>
    <row r="3902">
      <c r="A3902" s="140" t="s">
        <v>1666</v>
      </c>
      <c r="B3902" s="140" t="s">
        <v>11213</v>
      </c>
      <c r="C3902" s="140" t="s">
        <v>11214</v>
      </c>
      <c r="D3902" s="140" t="s">
        <v>6718</v>
      </c>
      <c r="E3902" s="140" t="s">
        <v>266</v>
      </c>
      <c r="F3902" s="140" t="s">
        <v>267</v>
      </c>
      <c r="G3902" s="141" t="s">
        <v>6304</v>
      </c>
      <c r="H3902" s="140" t="s">
        <v>6312</v>
      </c>
      <c r="I3902" s="140" t="s">
        <v>6527</v>
      </c>
      <c r="J3902" s="140" t="s">
        <v>6319</v>
      </c>
      <c r="K3902" s="140" t="s">
        <v>1573</v>
      </c>
    </row>
    <row r="3903">
      <c r="A3903" s="140" t="s">
        <v>1666</v>
      </c>
      <c r="B3903" s="143">
        <v>1.63456703401E12</v>
      </c>
      <c r="C3903" s="140" t="s">
        <v>11215</v>
      </c>
      <c r="D3903" s="140" t="s">
        <v>6718</v>
      </c>
      <c r="E3903" s="140" t="s">
        <v>266</v>
      </c>
      <c r="F3903" s="140" t="s">
        <v>267</v>
      </c>
      <c r="G3903" s="141" t="s">
        <v>6668</v>
      </c>
      <c r="H3903" s="140" t="s">
        <v>6312</v>
      </c>
      <c r="I3903" s="140" t="s">
        <v>6313</v>
      </c>
      <c r="J3903" s="140" t="s">
        <v>6319</v>
      </c>
      <c r="K3903" s="140" t="s">
        <v>1573</v>
      </c>
    </row>
    <row r="3904">
      <c r="A3904" s="140" t="s">
        <v>1666</v>
      </c>
      <c r="B3904" s="140" t="s">
        <v>11216</v>
      </c>
      <c r="C3904" s="140" t="s">
        <v>11215</v>
      </c>
      <c r="D3904" s="140" t="s">
        <v>6718</v>
      </c>
      <c r="E3904" s="140" t="s">
        <v>266</v>
      </c>
      <c r="F3904" s="140" t="s">
        <v>267</v>
      </c>
      <c r="G3904" s="141" t="s">
        <v>6304</v>
      </c>
      <c r="H3904" s="140" t="s">
        <v>6312</v>
      </c>
      <c r="I3904" s="140" t="s">
        <v>6527</v>
      </c>
      <c r="J3904" s="140" t="s">
        <v>6319</v>
      </c>
      <c r="K3904" s="140" t="s">
        <v>1573</v>
      </c>
    </row>
    <row r="3905">
      <c r="A3905" s="140" t="s">
        <v>1666</v>
      </c>
      <c r="B3905" s="140" t="s">
        <v>11217</v>
      </c>
      <c r="C3905" s="140" t="s">
        <v>11218</v>
      </c>
      <c r="D3905" s="140" t="s">
        <v>6718</v>
      </c>
      <c r="E3905" s="140" t="s">
        <v>266</v>
      </c>
      <c r="F3905" s="140" t="s">
        <v>267</v>
      </c>
      <c r="G3905" s="141" t="s">
        <v>6304</v>
      </c>
      <c r="H3905" s="140" t="s">
        <v>6312</v>
      </c>
      <c r="I3905" s="140" t="s">
        <v>6527</v>
      </c>
      <c r="J3905" s="140" t="s">
        <v>6319</v>
      </c>
      <c r="K3905" s="140" t="s">
        <v>1573</v>
      </c>
    </row>
    <row r="3906">
      <c r="A3906" s="140" t="s">
        <v>1666</v>
      </c>
      <c r="B3906" s="140" t="s">
        <v>11219</v>
      </c>
      <c r="C3906" s="140" t="s">
        <v>11220</v>
      </c>
      <c r="D3906" s="140" t="s">
        <v>6718</v>
      </c>
      <c r="E3906" s="140" t="s">
        <v>266</v>
      </c>
      <c r="F3906" s="140" t="s">
        <v>267</v>
      </c>
      <c r="G3906" s="141" t="s">
        <v>6304</v>
      </c>
      <c r="H3906" s="140" t="s">
        <v>6312</v>
      </c>
      <c r="I3906" s="140" t="s">
        <v>6527</v>
      </c>
      <c r="J3906" s="140" t="s">
        <v>6319</v>
      </c>
      <c r="K3906" s="140" t="s">
        <v>1573</v>
      </c>
    </row>
    <row r="3907">
      <c r="A3907" s="140" t="s">
        <v>1666</v>
      </c>
      <c r="B3907" s="140" t="s">
        <v>11221</v>
      </c>
      <c r="C3907" s="140" t="s">
        <v>11222</v>
      </c>
      <c r="D3907" s="140" t="s">
        <v>6718</v>
      </c>
      <c r="E3907" s="140" t="s">
        <v>266</v>
      </c>
      <c r="F3907" s="140" t="s">
        <v>267</v>
      </c>
      <c r="G3907" s="141" t="s">
        <v>6304</v>
      </c>
      <c r="H3907" s="140" t="s">
        <v>6312</v>
      </c>
      <c r="I3907" s="140" t="s">
        <v>6527</v>
      </c>
      <c r="J3907" s="140" t="s">
        <v>6319</v>
      </c>
      <c r="K3907" s="140" t="s">
        <v>1573</v>
      </c>
    </row>
    <row r="3908">
      <c r="A3908" s="140" t="s">
        <v>1666</v>
      </c>
      <c r="B3908" s="143">
        <v>1.658330420825E12</v>
      </c>
      <c r="C3908" s="140" t="s">
        <v>11223</v>
      </c>
      <c r="D3908" s="140" t="s">
        <v>6718</v>
      </c>
      <c r="E3908" s="140" t="s">
        <v>266</v>
      </c>
      <c r="F3908" s="140" t="s">
        <v>267</v>
      </c>
      <c r="G3908" s="141" t="s">
        <v>6668</v>
      </c>
      <c r="H3908" s="140" t="s">
        <v>6312</v>
      </c>
      <c r="I3908" s="140" t="s">
        <v>6313</v>
      </c>
      <c r="J3908" s="140" t="s">
        <v>6319</v>
      </c>
      <c r="K3908" s="140" t="s">
        <v>1573</v>
      </c>
    </row>
    <row r="3909">
      <c r="A3909" s="140" t="s">
        <v>1666</v>
      </c>
      <c r="B3909" s="140" t="s">
        <v>271</v>
      </c>
      <c r="C3909" s="140" t="s">
        <v>11224</v>
      </c>
      <c r="D3909" s="140" t="s">
        <v>6718</v>
      </c>
      <c r="E3909" s="140" t="s">
        <v>266</v>
      </c>
      <c r="F3909" s="140" t="s">
        <v>267</v>
      </c>
      <c r="G3909" s="141" t="s">
        <v>134</v>
      </c>
      <c r="H3909" s="140" t="s">
        <v>6312</v>
      </c>
      <c r="I3909" s="140" t="s">
        <v>6313</v>
      </c>
      <c r="J3909" s="140" t="s">
        <v>6319</v>
      </c>
      <c r="K3909" s="140" t="s">
        <v>1573</v>
      </c>
    </row>
    <row r="3910">
      <c r="A3910" s="140" t="s">
        <v>1666</v>
      </c>
      <c r="B3910" s="140" t="s">
        <v>11225</v>
      </c>
      <c r="C3910" s="140" t="s">
        <v>11226</v>
      </c>
      <c r="D3910" s="140" t="s">
        <v>6718</v>
      </c>
      <c r="E3910" s="140" t="s">
        <v>266</v>
      </c>
      <c r="F3910" s="140" t="s">
        <v>267</v>
      </c>
      <c r="G3910" s="141" t="s">
        <v>6304</v>
      </c>
      <c r="H3910" s="140" t="s">
        <v>6312</v>
      </c>
      <c r="I3910" s="140" t="s">
        <v>6527</v>
      </c>
      <c r="J3910" s="140" t="s">
        <v>6319</v>
      </c>
      <c r="K3910" s="140" t="s">
        <v>1573</v>
      </c>
    </row>
    <row r="3911">
      <c r="A3911" s="140" t="s">
        <v>1666</v>
      </c>
      <c r="B3911" s="140" t="s">
        <v>11227</v>
      </c>
      <c r="C3911" s="140" t="s">
        <v>11226</v>
      </c>
      <c r="D3911" s="140" t="s">
        <v>6718</v>
      </c>
      <c r="E3911" s="140" t="s">
        <v>266</v>
      </c>
      <c r="F3911" s="140" t="s">
        <v>267</v>
      </c>
      <c r="G3911" s="141" t="s">
        <v>6304</v>
      </c>
      <c r="H3911" s="140" t="s">
        <v>6312</v>
      </c>
      <c r="I3911" s="140" t="s">
        <v>6527</v>
      </c>
      <c r="J3911" s="140" t="s">
        <v>6319</v>
      </c>
      <c r="K3911" s="140" t="s">
        <v>1573</v>
      </c>
    </row>
    <row r="3912">
      <c r="A3912" s="140" t="s">
        <v>1666</v>
      </c>
      <c r="B3912" s="140" t="s">
        <v>11228</v>
      </c>
      <c r="C3912" s="140" t="s">
        <v>11229</v>
      </c>
      <c r="D3912" s="140" t="s">
        <v>6718</v>
      </c>
      <c r="E3912" s="140" t="s">
        <v>266</v>
      </c>
      <c r="F3912" s="140" t="s">
        <v>267</v>
      </c>
      <c r="G3912" s="141" t="s">
        <v>6304</v>
      </c>
      <c r="H3912" s="140" t="s">
        <v>6312</v>
      </c>
      <c r="I3912" s="140" t="s">
        <v>6527</v>
      </c>
      <c r="J3912" s="140" t="s">
        <v>6319</v>
      </c>
      <c r="K3912" s="140" t="s">
        <v>1573</v>
      </c>
    </row>
    <row r="3913">
      <c r="A3913" s="140" t="s">
        <v>1666</v>
      </c>
      <c r="B3913" s="140" t="s">
        <v>11230</v>
      </c>
      <c r="C3913" s="140" t="s">
        <v>11229</v>
      </c>
      <c r="D3913" s="140" t="s">
        <v>6718</v>
      </c>
      <c r="E3913" s="140" t="s">
        <v>266</v>
      </c>
      <c r="F3913" s="140" t="s">
        <v>267</v>
      </c>
      <c r="G3913" s="141" t="s">
        <v>6304</v>
      </c>
      <c r="H3913" s="140" t="s">
        <v>6312</v>
      </c>
      <c r="I3913" s="140" t="s">
        <v>6527</v>
      </c>
      <c r="J3913" s="140" t="s">
        <v>6319</v>
      </c>
      <c r="K3913" s="140" t="s">
        <v>1573</v>
      </c>
    </row>
    <row r="3914">
      <c r="A3914" s="140" t="s">
        <v>1666</v>
      </c>
      <c r="B3914" s="140" t="s">
        <v>11231</v>
      </c>
      <c r="C3914" s="140" t="s">
        <v>11232</v>
      </c>
      <c r="D3914" s="140" t="s">
        <v>6718</v>
      </c>
      <c r="E3914" s="140" t="s">
        <v>266</v>
      </c>
      <c r="F3914" s="140" t="s">
        <v>267</v>
      </c>
      <c r="G3914" s="141" t="s">
        <v>6304</v>
      </c>
      <c r="H3914" s="140" t="s">
        <v>6312</v>
      </c>
      <c r="I3914" s="140" t="s">
        <v>6527</v>
      </c>
      <c r="J3914" s="140" t="s">
        <v>6319</v>
      </c>
      <c r="K3914" s="140" t="s">
        <v>1573</v>
      </c>
    </row>
    <row r="3915">
      <c r="A3915" s="140" t="s">
        <v>1666</v>
      </c>
      <c r="B3915" s="140" t="s">
        <v>11233</v>
      </c>
      <c r="C3915" s="140" t="s">
        <v>11232</v>
      </c>
      <c r="D3915" s="140" t="s">
        <v>6718</v>
      </c>
      <c r="E3915" s="140" t="s">
        <v>266</v>
      </c>
      <c r="F3915" s="140" t="s">
        <v>267</v>
      </c>
      <c r="G3915" s="141" t="s">
        <v>6304</v>
      </c>
      <c r="H3915" s="140" t="s">
        <v>6312</v>
      </c>
      <c r="I3915" s="140" t="s">
        <v>6527</v>
      </c>
      <c r="J3915" s="140" t="s">
        <v>6319</v>
      </c>
      <c r="K3915" s="140" t="s">
        <v>1573</v>
      </c>
    </row>
    <row r="3916">
      <c r="A3916" s="140" t="s">
        <v>1666</v>
      </c>
      <c r="B3916" s="140" t="s">
        <v>11234</v>
      </c>
      <c r="C3916" s="140" t="s">
        <v>11235</v>
      </c>
      <c r="D3916" s="140" t="s">
        <v>6718</v>
      </c>
      <c r="E3916" s="140" t="s">
        <v>266</v>
      </c>
      <c r="F3916" s="140" t="s">
        <v>267</v>
      </c>
      <c r="G3916" s="141" t="s">
        <v>6304</v>
      </c>
      <c r="H3916" s="140" t="s">
        <v>6312</v>
      </c>
      <c r="I3916" s="140" t="s">
        <v>6527</v>
      </c>
      <c r="J3916" s="140" t="s">
        <v>6319</v>
      </c>
      <c r="K3916" s="140" t="s">
        <v>1573</v>
      </c>
    </row>
    <row r="3917">
      <c r="A3917" s="140" t="s">
        <v>1666</v>
      </c>
      <c r="B3917" s="143">
        <v>1.658330471799E12</v>
      </c>
      <c r="C3917" s="140" t="s">
        <v>11236</v>
      </c>
      <c r="D3917" s="140" t="s">
        <v>6718</v>
      </c>
      <c r="E3917" s="140" t="s">
        <v>266</v>
      </c>
      <c r="F3917" s="140" t="s">
        <v>267</v>
      </c>
      <c r="G3917" s="141" t="s">
        <v>6668</v>
      </c>
      <c r="H3917" s="140" t="s">
        <v>6312</v>
      </c>
      <c r="I3917" s="140" t="s">
        <v>6313</v>
      </c>
      <c r="J3917" s="140" t="s">
        <v>6319</v>
      </c>
      <c r="K3917" s="140" t="s">
        <v>1573</v>
      </c>
    </row>
    <row r="3918">
      <c r="A3918" s="140" t="s">
        <v>1666</v>
      </c>
      <c r="B3918" s="140" t="s">
        <v>11237</v>
      </c>
      <c r="C3918" s="140" t="s">
        <v>11236</v>
      </c>
      <c r="D3918" s="140" t="s">
        <v>6718</v>
      </c>
      <c r="E3918" s="140" t="s">
        <v>266</v>
      </c>
      <c r="F3918" s="140" t="s">
        <v>267</v>
      </c>
      <c r="G3918" s="141" t="s">
        <v>6304</v>
      </c>
      <c r="H3918" s="140" t="s">
        <v>6312</v>
      </c>
      <c r="I3918" s="140" t="s">
        <v>6527</v>
      </c>
      <c r="J3918" s="140" t="s">
        <v>6319</v>
      </c>
      <c r="K3918" s="140" t="s">
        <v>1573</v>
      </c>
    </row>
    <row r="3919">
      <c r="A3919" s="140" t="s">
        <v>1666</v>
      </c>
      <c r="B3919" s="143">
        <v>1.630370852776E12</v>
      </c>
      <c r="C3919" s="140" t="s">
        <v>11238</v>
      </c>
      <c r="D3919" s="140" t="s">
        <v>6718</v>
      </c>
      <c r="E3919" s="140" t="s">
        <v>266</v>
      </c>
      <c r="F3919" s="140" t="s">
        <v>267</v>
      </c>
      <c r="G3919" s="141" t="s">
        <v>6668</v>
      </c>
      <c r="H3919" s="140" t="s">
        <v>6312</v>
      </c>
      <c r="I3919" s="140" t="s">
        <v>6313</v>
      </c>
      <c r="J3919" s="140" t="s">
        <v>6319</v>
      </c>
      <c r="K3919" s="140" t="s">
        <v>1573</v>
      </c>
    </row>
    <row r="3920">
      <c r="A3920" s="140" t="s">
        <v>1666</v>
      </c>
      <c r="B3920" s="140" t="s">
        <v>11239</v>
      </c>
      <c r="C3920" s="140" t="s">
        <v>11240</v>
      </c>
      <c r="D3920" s="140" t="s">
        <v>6718</v>
      </c>
      <c r="E3920" s="140" t="s">
        <v>266</v>
      </c>
      <c r="F3920" s="140" t="s">
        <v>267</v>
      </c>
      <c r="G3920" s="141" t="s">
        <v>6304</v>
      </c>
      <c r="H3920" s="140" t="s">
        <v>6312</v>
      </c>
      <c r="I3920" s="140" t="s">
        <v>6527</v>
      </c>
      <c r="J3920" s="140" t="s">
        <v>6319</v>
      </c>
      <c r="K3920" s="140" t="s">
        <v>1573</v>
      </c>
    </row>
    <row r="3921">
      <c r="A3921" s="140" t="s">
        <v>1666</v>
      </c>
      <c r="B3921" s="140" t="s">
        <v>11241</v>
      </c>
      <c r="C3921" s="140" t="s">
        <v>11240</v>
      </c>
      <c r="D3921" s="140" t="s">
        <v>6718</v>
      </c>
      <c r="E3921" s="140" t="s">
        <v>266</v>
      </c>
      <c r="F3921" s="140" t="s">
        <v>267</v>
      </c>
      <c r="G3921" s="141" t="s">
        <v>6304</v>
      </c>
      <c r="H3921" s="140" t="s">
        <v>6312</v>
      </c>
      <c r="I3921" s="140" t="s">
        <v>6527</v>
      </c>
      <c r="J3921" s="140" t="s">
        <v>6319</v>
      </c>
      <c r="K3921" s="140" t="s">
        <v>1573</v>
      </c>
    </row>
    <row r="3922">
      <c r="A3922" s="140" t="s">
        <v>1666</v>
      </c>
      <c r="B3922" s="140" t="s">
        <v>11242</v>
      </c>
      <c r="C3922" s="140" t="s">
        <v>11243</v>
      </c>
      <c r="D3922" s="140" t="s">
        <v>6718</v>
      </c>
      <c r="E3922" s="140" t="s">
        <v>266</v>
      </c>
      <c r="F3922" s="140" t="s">
        <v>267</v>
      </c>
      <c r="G3922" s="141" t="s">
        <v>6304</v>
      </c>
      <c r="H3922" s="140" t="s">
        <v>6312</v>
      </c>
      <c r="I3922" s="140" t="s">
        <v>6527</v>
      </c>
      <c r="J3922" s="140" t="s">
        <v>6319</v>
      </c>
      <c r="K3922" s="140" t="s">
        <v>1573</v>
      </c>
    </row>
    <row r="3923">
      <c r="A3923" s="140" t="s">
        <v>1666</v>
      </c>
      <c r="B3923" s="140" t="s">
        <v>11244</v>
      </c>
      <c r="C3923" s="140" t="s">
        <v>11243</v>
      </c>
      <c r="D3923" s="140" t="s">
        <v>6718</v>
      </c>
      <c r="E3923" s="140" t="s">
        <v>266</v>
      </c>
      <c r="F3923" s="140" t="s">
        <v>267</v>
      </c>
      <c r="G3923" s="141" t="s">
        <v>6304</v>
      </c>
      <c r="H3923" s="140" t="s">
        <v>6312</v>
      </c>
      <c r="I3923" s="140" t="s">
        <v>6527</v>
      </c>
      <c r="J3923" s="140" t="s">
        <v>6319</v>
      </c>
      <c r="K3923" s="140" t="s">
        <v>1573</v>
      </c>
    </row>
    <row r="3924">
      <c r="A3924" s="140" t="s">
        <v>1666</v>
      </c>
      <c r="B3924" s="140" t="s">
        <v>11245</v>
      </c>
      <c r="C3924" s="140" t="s">
        <v>11246</v>
      </c>
      <c r="D3924" s="140" t="s">
        <v>6718</v>
      </c>
      <c r="E3924" s="140" t="s">
        <v>266</v>
      </c>
      <c r="F3924" s="140" t="s">
        <v>267</v>
      </c>
      <c r="G3924" s="141" t="s">
        <v>6304</v>
      </c>
      <c r="H3924" s="140" t="s">
        <v>6312</v>
      </c>
      <c r="I3924" s="140" t="s">
        <v>6527</v>
      </c>
      <c r="J3924" s="140" t="s">
        <v>6319</v>
      </c>
      <c r="K3924" s="140" t="s">
        <v>1573</v>
      </c>
    </row>
    <row r="3925">
      <c r="A3925" s="140" t="s">
        <v>1666</v>
      </c>
      <c r="B3925" s="140" t="s">
        <v>11247</v>
      </c>
      <c r="C3925" s="140" t="s">
        <v>11248</v>
      </c>
      <c r="D3925" s="140" t="s">
        <v>6718</v>
      </c>
      <c r="E3925" s="140" t="s">
        <v>266</v>
      </c>
      <c r="F3925" s="140" t="s">
        <v>267</v>
      </c>
      <c r="G3925" s="141" t="s">
        <v>6304</v>
      </c>
      <c r="H3925" s="140" t="s">
        <v>6314</v>
      </c>
      <c r="I3925" s="140" t="s">
        <v>6527</v>
      </c>
      <c r="J3925" s="140" t="s">
        <v>6319</v>
      </c>
      <c r="K3925" s="140" t="s">
        <v>1573</v>
      </c>
    </row>
    <row r="3926">
      <c r="A3926" s="140" t="s">
        <v>1666</v>
      </c>
      <c r="B3926" s="140" t="s">
        <v>11249</v>
      </c>
      <c r="C3926" s="140" t="s">
        <v>11250</v>
      </c>
      <c r="D3926" s="140" t="s">
        <v>6718</v>
      </c>
      <c r="E3926" s="140" t="s">
        <v>266</v>
      </c>
      <c r="F3926" s="140" t="s">
        <v>267</v>
      </c>
      <c r="G3926" s="141" t="s">
        <v>6304</v>
      </c>
      <c r="H3926" s="140" t="s">
        <v>6314</v>
      </c>
      <c r="I3926" s="140" t="s">
        <v>6527</v>
      </c>
      <c r="J3926" s="140" t="s">
        <v>6319</v>
      </c>
      <c r="K3926" s="140" t="s">
        <v>1573</v>
      </c>
    </row>
    <row r="3927">
      <c r="A3927" s="140" t="s">
        <v>1666</v>
      </c>
      <c r="B3927" s="140" t="s">
        <v>11251</v>
      </c>
      <c r="C3927" s="140" t="s">
        <v>11252</v>
      </c>
      <c r="D3927" s="140" t="s">
        <v>6718</v>
      </c>
      <c r="E3927" s="140" t="s">
        <v>266</v>
      </c>
      <c r="F3927" s="140" t="s">
        <v>267</v>
      </c>
      <c r="G3927" s="141" t="s">
        <v>6304</v>
      </c>
      <c r="H3927" s="140" t="s">
        <v>6314</v>
      </c>
      <c r="I3927" s="140" t="s">
        <v>6527</v>
      </c>
      <c r="J3927" s="140" t="s">
        <v>6319</v>
      </c>
      <c r="K3927" s="140" t="s">
        <v>1573</v>
      </c>
    </row>
    <row r="3928">
      <c r="A3928" s="140" t="s">
        <v>1666</v>
      </c>
      <c r="B3928" s="140" t="s">
        <v>11253</v>
      </c>
      <c r="C3928" s="140" t="s">
        <v>11254</v>
      </c>
      <c r="D3928" s="140" t="s">
        <v>6718</v>
      </c>
      <c r="E3928" s="140" t="s">
        <v>266</v>
      </c>
      <c r="F3928" s="140" t="s">
        <v>267</v>
      </c>
      <c r="G3928" s="141" t="s">
        <v>6304</v>
      </c>
      <c r="H3928" s="140" t="s">
        <v>6314</v>
      </c>
      <c r="I3928" s="140" t="s">
        <v>6527</v>
      </c>
      <c r="J3928" s="140" t="s">
        <v>6319</v>
      </c>
      <c r="K3928" s="140" t="s">
        <v>1573</v>
      </c>
    </row>
    <row r="3929">
      <c r="A3929" s="140" t="s">
        <v>1666</v>
      </c>
      <c r="B3929" s="140" t="s">
        <v>11255</v>
      </c>
      <c r="C3929" s="140" t="s">
        <v>11256</v>
      </c>
      <c r="D3929" s="140" t="s">
        <v>6718</v>
      </c>
      <c r="E3929" s="140" t="s">
        <v>266</v>
      </c>
      <c r="F3929" s="140" t="s">
        <v>267</v>
      </c>
      <c r="G3929" s="141" t="s">
        <v>6304</v>
      </c>
      <c r="H3929" s="140" t="s">
        <v>6314</v>
      </c>
      <c r="I3929" s="140" t="s">
        <v>6527</v>
      </c>
      <c r="J3929" s="140" t="s">
        <v>6319</v>
      </c>
      <c r="K3929" s="140" t="s">
        <v>1573</v>
      </c>
    </row>
    <row r="3930">
      <c r="A3930" s="140" t="s">
        <v>1666</v>
      </c>
      <c r="B3930" s="140" t="s">
        <v>11257</v>
      </c>
      <c r="C3930" s="140" t="s">
        <v>11258</v>
      </c>
      <c r="D3930" s="140" t="s">
        <v>6718</v>
      </c>
      <c r="E3930" s="140" t="s">
        <v>266</v>
      </c>
      <c r="F3930" s="140" t="s">
        <v>267</v>
      </c>
      <c r="G3930" s="141" t="s">
        <v>6304</v>
      </c>
      <c r="H3930" s="140" t="s">
        <v>6314</v>
      </c>
      <c r="I3930" s="140" t="s">
        <v>6527</v>
      </c>
      <c r="J3930" s="140" t="s">
        <v>6319</v>
      </c>
      <c r="K3930" s="140" t="s">
        <v>1573</v>
      </c>
    </row>
    <row r="3931">
      <c r="A3931" s="140" t="s">
        <v>1666</v>
      </c>
      <c r="B3931" s="140" t="s">
        <v>11259</v>
      </c>
      <c r="C3931" s="140" t="s">
        <v>11260</v>
      </c>
      <c r="D3931" s="140" t="s">
        <v>6718</v>
      </c>
      <c r="E3931" s="140" t="s">
        <v>266</v>
      </c>
      <c r="F3931" s="140" t="s">
        <v>267</v>
      </c>
      <c r="G3931" s="141" t="s">
        <v>6311</v>
      </c>
      <c r="H3931" s="140" t="s">
        <v>6330</v>
      </c>
      <c r="I3931" s="140" t="s">
        <v>6527</v>
      </c>
      <c r="J3931" s="140" t="s">
        <v>6319</v>
      </c>
      <c r="K3931" s="140" t="s">
        <v>1573</v>
      </c>
    </row>
    <row r="3932">
      <c r="A3932" s="140" t="s">
        <v>1666</v>
      </c>
      <c r="B3932" s="140" t="s">
        <v>11261</v>
      </c>
      <c r="C3932" s="140" t="s">
        <v>11262</v>
      </c>
      <c r="D3932" s="140" t="s">
        <v>6718</v>
      </c>
      <c r="E3932" s="140" t="s">
        <v>266</v>
      </c>
      <c r="F3932" s="140" t="s">
        <v>267</v>
      </c>
      <c r="G3932" s="141" t="s">
        <v>6311</v>
      </c>
      <c r="H3932" s="140" t="s">
        <v>6330</v>
      </c>
      <c r="I3932" s="140" t="s">
        <v>6527</v>
      </c>
      <c r="J3932" s="140" t="s">
        <v>6319</v>
      </c>
      <c r="K3932" s="140" t="s">
        <v>1573</v>
      </c>
    </row>
    <row r="3933">
      <c r="A3933" s="140" t="s">
        <v>1666</v>
      </c>
      <c r="B3933" s="140" t="s">
        <v>11263</v>
      </c>
      <c r="C3933" s="140" t="s">
        <v>11264</v>
      </c>
      <c r="D3933" s="140" t="s">
        <v>6718</v>
      </c>
      <c r="E3933" s="140" t="s">
        <v>266</v>
      </c>
      <c r="F3933" s="140" t="s">
        <v>267</v>
      </c>
      <c r="G3933" s="141" t="s">
        <v>6311</v>
      </c>
      <c r="H3933" s="140" t="s">
        <v>6330</v>
      </c>
      <c r="I3933" s="140" t="s">
        <v>6527</v>
      </c>
      <c r="J3933" s="140" t="s">
        <v>6319</v>
      </c>
      <c r="K3933" s="140" t="s">
        <v>1573</v>
      </c>
    </row>
    <row r="3934">
      <c r="A3934" s="140" t="s">
        <v>1666</v>
      </c>
      <c r="B3934" s="140" t="s">
        <v>11265</v>
      </c>
      <c r="C3934" s="140" t="s">
        <v>11266</v>
      </c>
      <c r="D3934" s="140" t="s">
        <v>6718</v>
      </c>
      <c r="E3934" s="140" t="s">
        <v>266</v>
      </c>
      <c r="F3934" s="140" t="s">
        <v>267</v>
      </c>
      <c r="G3934" s="141" t="s">
        <v>6311</v>
      </c>
      <c r="H3934" s="140" t="s">
        <v>6330</v>
      </c>
      <c r="I3934" s="140" t="s">
        <v>6527</v>
      </c>
      <c r="J3934" s="140" t="s">
        <v>6319</v>
      </c>
      <c r="K3934" s="140" t="s">
        <v>1573</v>
      </c>
    </row>
    <row r="3935">
      <c r="A3935" s="140" t="s">
        <v>1666</v>
      </c>
      <c r="B3935" s="140" t="s">
        <v>11267</v>
      </c>
      <c r="C3935" s="140" t="s">
        <v>11268</v>
      </c>
      <c r="D3935" s="140" t="s">
        <v>6718</v>
      </c>
      <c r="E3935" s="140" t="s">
        <v>266</v>
      </c>
      <c r="F3935" s="140" t="s">
        <v>267</v>
      </c>
      <c r="G3935" s="141" t="s">
        <v>6311</v>
      </c>
      <c r="H3935" s="140" t="s">
        <v>6330</v>
      </c>
      <c r="I3935" s="140" t="s">
        <v>6527</v>
      </c>
      <c r="J3935" s="140" t="s">
        <v>6319</v>
      </c>
      <c r="K3935" s="140" t="s">
        <v>1573</v>
      </c>
    </row>
    <row r="3936">
      <c r="A3936" s="140" t="s">
        <v>1666</v>
      </c>
      <c r="B3936" s="140" t="s">
        <v>11269</v>
      </c>
      <c r="C3936" s="140" t="s">
        <v>11270</v>
      </c>
      <c r="D3936" s="140" t="s">
        <v>6718</v>
      </c>
      <c r="E3936" s="140" t="s">
        <v>266</v>
      </c>
      <c r="F3936" s="140" t="s">
        <v>267</v>
      </c>
      <c r="G3936" s="141" t="s">
        <v>6311</v>
      </c>
      <c r="H3936" s="140" t="s">
        <v>6330</v>
      </c>
      <c r="I3936" s="140" t="s">
        <v>6527</v>
      </c>
      <c r="J3936" s="140" t="s">
        <v>6319</v>
      </c>
      <c r="K3936" s="140" t="s">
        <v>1573</v>
      </c>
    </row>
    <row r="3937">
      <c r="A3937" s="140" t="s">
        <v>1666</v>
      </c>
      <c r="B3937" s="140" t="s">
        <v>11271</v>
      </c>
      <c r="C3937" s="140" t="s">
        <v>11272</v>
      </c>
      <c r="D3937" s="140" t="s">
        <v>6718</v>
      </c>
      <c r="E3937" s="140" t="s">
        <v>266</v>
      </c>
      <c r="F3937" s="140" t="s">
        <v>267</v>
      </c>
      <c r="G3937" s="141" t="s">
        <v>6311</v>
      </c>
      <c r="H3937" s="140" t="s">
        <v>6330</v>
      </c>
      <c r="I3937" s="140" t="s">
        <v>6527</v>
      </c>
      <c r="J3937" s="140" t="s">
        <v>6319</v>
      </c>
      <c r="K3937" s="140" t="s">
        <v>1573</v>
      </c>
    </row>
    <row r="3938">
      <c r="A3938" s="140" t="s">
        <v>1666</v>
      </c>
      <c r="B3938" s="140" t="s">
        <v>11273</v>
      </c>
      <c r="C3938" s="140" t="s">
        <v>11274</v>
      </c>
      <c r="D3938" s="140" t="s">
        <v>6718</v>
      </c>
      <c r="E3938" s="140" t="s">
        <v>266</v>
      </c>
      <c r="F3938" s="140" t="s">
        <v>267</v>
      </c>
      <c r="G3938" s="141" t="s">
        <v>6311</v>
      </c>
      <c r="H3938" s="140" t="s">
        <v>6330</v>
      </c>
      <c r="I3938" s="140" t="s">
        <v>6527</v>
      </c>
      <c r="J3938" s="140" t="s">
        <v>6319</v>
      </c>
      <c r="K3938" s="140" t="s">
        <v>1573</v>
      </c>
    </row>
    <row r="3939">
      <c r="A3939" s="140" t="s">
        <v>1666</v>
      </c>
      <c r="B3939" s="140" t="s">
        <v>11275</v>
      </c>
      <c r="C3939" s="140" t="s">
        <v>11276</v>
      </c>
      <c r="D3939" s="140" t="s">
        <v>6718</v>
      </c>
      <c r="E3939" s="140" t="s">
        <v>266</v>
      </c>
      <c r="F3939" s="140" t="s">
        <v>267</v>
      </c>
      <c r="G3939" s="141" t="s">
        <v>6311</v>
      </c>
      <c r="H3939" s="140" t="s">
        <v>6330</v>
      </c>
      <c r="I3939" s="140" t="s">
        <v>6527</v>
      </c>
      <c r="J3939" s="140" t="s">
        <v>6319</v>
      </c>
      <c r="K3939" s="140" t="s">
        <v>1573</v>
      </c>
    </row>
    <row r="3940">
      <c r="A3940" s="140" t="s">
        <v>1666</v>
      </c>
      <c r="B3940" s="140" t="s">
        <v>11277</v>
      </c>
      <c r="C3940" s="140" t="s">
        <v>11278</v>
      </c>
      <c r="D3940" s="140" t="s">
        <v>6718</v>
      </c>
      <c r="E3940" s="140" t="s">
        <v>266</v>
      </c>
      <c r="F3940" s="140" t="s">
        <v>267</v>
      </c>
      <c r="G3940" s="141" t="s">
        <v>6311</v>
      </c>
      <c r="H3940" s="140" t="s">
        <v>6330</v>
      </c>
      <c r="I3940" s="140" t="s">
        <v>6527</v>
      </c>
      <c r="J3940" s="140" t="s">
        <v>6319</v>
      </c>
      <c r="K3940" s="140" t="s">
        <v>1573</v>
      </c>
    </row>
    <row r="3941">
      <c r="A3941" s="140" t="s">
        <v>1666</v>
      </c>
      <c r="B3941" s="140" t="s">
        <v>11279</v>
      </c>
      <c r="C3941" s="140" t="s">
        <v>11280</v>
      </c>
      <c r="D3941" s="140" t="s">
        <v>6718</v>
      </c>
      <c r="E3941" s="140" t="s">
        <v>266</v>
      </c>
      <c r="F3941" s="140" t="s">
        <v>267</v>
      </c>
      <c r="G3941" s="141" t="s">
        <v>6304</v>
      </c>
      <c r="H3941" s="140" t="s">
        <v>6330</v>
      </c>
      <c r="I3941" s="140" t="s">
        <v>6527</v>
      </c>
      <c r="J3941" s="140" t="s">
        <v>6319</v>
      </c>
      <c r="K3941" s="140" t="s">
        <v>1573</v>
      </c>
    </row>
    <row r="3942">
      <c r="A3942" s="140" t="s">
        <v>1666</v>
      </c>
      <c r="B3942" s="140" t="s">
        <v>11281</v>
      </c>
      <c r="C3942" s="140" t="s">
        <v>11282</v>
      </c>
      <c r="D3942" s="140" t="s">
        <v>6718</v>
      </c>
      <c r="E3942" s="140" t="s">
        <v>266</v>
      </c>
      <c r="F3942" s="140" t="s">
        <v>267</v>
      </c>
      <c r="G3942" s="141" t="s">
        <v>6311</v>
      </c>
      <c r="H3942" s="140" t="s">
        <v>6330</v>
      </c>
      <c r="I3942" s="140" t="s">
        <v>6527</v>
      </c>
      <c r="J3942" s="140" t="s">
        <v>6319</v>
      </c>
      <c r="K3942" s="140" t="s">
        <v>1573</v>
      </c>
    </row>
    <row r="3943">
      <c r="A3943" s="140" t="s">
        <v>1666</v>
      </c>
      <c r="B3943" s="140" t="s">
        <v>11283</v>
      </c>
      <c r="C3943" s="140" t="s">
        <v>11284</v>
      </c>
      <c r="D3943" s="140" t="s">
        <v>6718</v>
      </c>
      <c r="E3943" s="140" t="s">
        <v>266</v>
      </c>
      <c r="F3943" s="140" t="s">
        <v>267</v>
      </c>
      <c r="G3943" s="141" t="s">
        <v>6304</v>
      </c>
      <c r="H3943" s="140" t="s">
        <v>6330</v>
      </c>
      <c r="I3943" s="140" t="s">
        <v>6527</v>
      </c>
      <c r="J3943" s="140" t="s">
        <v>6319</v>
      </c>
      <c r="K3943" s="140" t="s">
        <v>1573</v>
      </c>
    </row>
    <row r="3944">
      <c r="A3944" s="140" t="s">
        <v>1666</v>
      </c>
      <c r="B3944" s="140" t="s">
        <v>11285</v>
      </c>
      <c r="C3944" s="140" t="s">
        <v>11286</v>
      </c>
      <c r="D3944" s="140" t="s">
        <v>6718</v>
      </c>
      <c r="E3944" s="140" t="s">
        <v>266</v>
      </c>
      <c r="F3944" s="140" t="s">
        <v>267</v>
      </c>
      <c r="G3944" s="141" t="s">
        <v>6311</v>
      </c>
      <c r="H3944" s="140" t="s">
        <v>6330</v>
      </c>
      <c r="I3944" s="140" t="s">
        <v>6527</v>
      </c>
      <c r="J3944" s="140" t="s">
        <v>6319</v>
      </c>
      <c r="K3944" s="140" t="s">
        <v>1573</v>
      </c>
    </row>
    <row r="3945">
      <c r="A3945" s="140" t="s">
        <v>1666</v>
      </c>
      <c r="B3945" s="140" t="s">
        <v>11287</v>
      </c>
      <c r="C3945" s="140" t="s">
        <v>11288</v>
      </c>
      <c r="D3945" s="140" t="s">
        <v>6718</v>
      </c>
      <c r="E3945" s="140" t="s">
        <v>266</v>
      </c>
      <c r="F3945" s="140" t="s">
        <v>267</v>
      </c>
      <c r="G3945" s="141" t="s">
        <v>6304</v>
      </c>
      <c r="H3945" s="140" t="s">
        <v>6330</v>
      </c>
      <c r="I3945" s="140" t="s">
        <v>6527</v>
      </c>
      <c r="J3945" s="140" t="s">
        <v>6319</v>
      </c>
      <c r="K3945" s="140" t="s">
        <v>1573</v>
      </c>
    </row>
    <row r="3946">
      <c r="A3946" s="140" t="s">
        <v>1666</v>
      </c>
      <c r="B3946" s="140" t="s">
        <v>11289</v>
      </c>
      <c r="C3946" s="140" t="s">
        <v>11290</v>
      </c>
      <c r="D3946" s="140" t="s">
        <v>6718</v>
      </c>
      <c r="E3946" s="140" t="s">
        <v>266</v>
      </c>
      <c r="F3946" s="140" t="s">
        <v>267</v>
      </c>
      <c r="G3946" s="141" t="s">
        <v>6311</v>
      </c>
      <c r="H3946" s="140" t="s">
        <v>6330</v>
      </c>
      <c r="I3946" s="140" t="s">
        <v>6527</v>
      </c>
      <c r="J3946" s="140" t="s">
        <v>6319</v>
      </c>
      <c r="K3946" s="140" t="s">
        <v>1573</v>
      </c>
    </row>
    <row r="3947">
      <c r="A3947" s="140" t="s">
        <v>1666</v>
      </c>
      <c r="B3947" s="140" t="s">
        <v>11291</v>
      </c>
      <c r="C3947" s="140" t="s">
        <v>11292</v>
      </c>
      <c r="D3947" s="140" t="s">
        <v>6718</v>
      </c>
      <c r="E3947" s="140" t="s">
        <v>266</v>
      </c>
      <c r="F3947" s="140" t="s">
        <v>267</v>
      </c>
      <c r="G3947" s="141" t="s">
        <v>6304</v>
      </c>
      <c r="H3947" s="140" t="s">
        <v>6330</v>
      </c>
      <c r="I3947" s="140" t="s">
        <v>6527</v>
      </c>
      <c r="J3947" s="140" t="s">
        <v>6319</v>
      </c>
      <c r="K3947" s="140" t="s">
        <v>1573</v>
      </c>
    </row>
    <row r="3948">
      <c r="A3948" s="140" t="s">
        <v>1666</v>
      </c>
      <c r="B3948" s="140" t="s">
        <v>11293</v>
      </c>
      <c r="C3948" s="140" t="s">
        <v>11294</v>
      </c>
      <c r="D3948" s="140" t="s">
        <v>6718</v>
      </c>
      <c r="E3948" s="140" t="s">
        <v>266</v>
      </c>
      <c r="F3948" s="140" t="s">
        <v>267</v>
      </c>
      <c r="G3948" s="141" t="s">
        <v>6304</v>
      </c>
      <c r="H3948" s="140" t="s">
        <v>6330</v>
      </c>
      <c r="I3948" s="140" t="s">
        <v>6527</v>
      </c>
      <c r="J3948" s="140" t="s">
        <v>6319</v>
      </c>
      <c r="K3948" s="140" t="s">
        <v>1573</v>
      </c>
    </row>
    <row r="3949">
      <c r="A3949" s="140" t="s">
        <v>1666</v>
      </c>
      <c r="B3949" s="140" t="s">
        <v>11295</v>
      </c>
      <c r="C3949" s="140" t="s">
        <v>11296</v>
      </c>
      <c r="D3949" s="140" t="s">
        <v>6718</v>
      </c>
      <c r="E3949" s="140" t="s">
        <v>266</v>
      </c>
      <c r="F3949" s="140" t="s">
        <v>267</v>
      </c>
      <c r="G3949" s="141" t="s">
        <v>6304</v>
      </c>
      <c r="H3949" s="140" t="s">
        <v>6330</v>
      </c>
      <c r="I3949" s="140" t="s">
        <v>6527</v>
      </c>
      <c r="J3949" s="140" t="s">
        <v>6319</v>
      </c>
      <c r="K3949" s="140" t="s">
        <v>1573</v>
      </c>
    </row>
    <row r="3950">
      <c r="A3950" s="140" t="s">
        <v>1666</v>
      </c>
      <c r="B3950" s="140" t="s">
        <v>11297</v>
      </c>
      <c r="C3950" s="140" t="s">
        <v>11298</v>
      </c>
      <c r="D3950" s="140" t="s">
        <v>6718</v>
      </c>
      <c r="E3950" s="140" t="s">
        <v>266</v>
      </c>
      <c r="F3950" s="140" t="s">
        <v>267</v>
      </c>
      <c r="G3950" s="141" t="s">
        <v>6311</v>
      </c>
      <c r="H3950" s="140" t="s">
        <v>6330</v>
      </c>
      <c r="I3950" s="140" t="s">
        <v>6527</v>
      </c>
      <c r="J3950" s="140" t="s">
        <v>6319</v>
      </c>
      <c r="K3950" s="140" t="s">
        <v>1573</v>
      </c>
    </row>
    <row r="3951">
      <c r="A3951" s="140" t="s">
        <v>1666</v>
      </c>
      <c r="B3951" s="140" t="s">
        <v>11299</v>
      </c>
      <c r="C3951" s="140" t="s">
        <v>11300</v>
      </c>
      <c r="D3951" s="140" t="s">
        <v>6718</v>
      </c>
      <c r="E3951" s="140" t="s">
        <v>266</v>
      </c>
      <c r="F3951" s="140" t="s">
        <v>267</v>
      </c>
      <c r="G3951" s="141" t="s">
        <v>6304</v>
      </c>
      <c r="H3951" s="140" t="s">
        <v>6330</v>
      </c>
      <c r="I3951" s="140" t="s">
        <v>6527</v>
      </c>
      <c r="J3951" s="140" t="s">
        <v>6319</v>
      </c>
      <c r="K3951" s="140" t="s">
        <v>1573</v>
      </c>
    </row>
    <row r="3952">
      <c r="A3952" s="140" t="s">
        <v>1666</v>
      </c>
      <c r="B3952" s="140" t="s">
        <v>11301</v>
      </c>
      <c r="C3952" s="140" t="s">
        <v>11302</v>
      </c>
      <c r="D3952" s="140" t="s">
        <v>6718</v>
      </c>
      <c r="E3952" s="140" t="s">
        <v>266</v>
      </c>
      <c r="F3952" s="140" t="s">
        <v>267</v>
      </c>
      <c r="G3952" s="141" t="s">
        <v>6311</v>
      </c>
      <c r="H3952" s="140" t="s">
        <v>6330</v>
      </c>
      <c r="I3952" s="140" t="s">
        <v>6527</v>
      </c>
      <c r="J3952" s="140" t="s">
        <v>6319</v>
      </c>
      <c r="K3952" s="140" t="s">
        <v>1573</v>
      </c>
    </row>
    <row r="3953">
      <c r="A3953" s="140" t="s">
        <v>1666</v>
      </c>
      <c r="B3953" s="140" t="s">
        <v>11303</v>
      </c>
      <c r="C3953" s="140" t="s">
        <v>11304</v>
      </c>
      <c r="D3953" s="140" t="s">
        <v>6718</v>
      </c>
      <c r="E3953" s="140" t="s">
        <v>266</v>
      </c>
      <c r="F3953" s="140" t="s">
        <v>267</v>
      </c>
      <c r="G3953" s="141" t="s">
        <v>6304</v>
      </c>
      <c r="H3953" s="140" t="s">
        <v>6330</v>
      </c>
      <c r="I3953" s="140" t="s">
        <v>6527</v>
      </c>
      <c r="J3953" s="140" t="s">
        <v>6319</v>
      </c>
      <c r="K3953" s="140" t="s">
        <v>1573</v>
      </c>
    </row>
    <row r="3954">
      <c r="A3954" s="140" t="s">
        <v>1666</v>
      </c>
      <c r="B3954" s="140" t="s">
        <v>11305</v>
      </c>
      <c r="C3954" s="140" t="s">
        <v>11306</v>
      </c>
      <c r="D3954" s="140" t="s">
        <v>6718</v>
      </c>
      <c r="E3954" s="140" t="s">
        <v>266</v>
      </c>
      <c r="F3954" s="140" t="s">
        <v>267</v>
      </c>
      <c r="G3954" s="141" t="s">
        <v>6311</v>
      </c>
      <c r="H3954" s="140" t="s">
        <v>6330</v>
      </c>
      <c r="I3954" s="140" t="s">
        <v>6527</v>
      </c>
      <c r="J3954" s="140" t="s">
        <v>6319</v>
      </c>
      <c r="K3954" s="140" t="s">
        <v>1573</v>
      </c>
    </row>
    <row r="3955">
      <c r="A3955" s="140" t="s">
        <v>1666</v>
      </c>
      <c r="B3955" s="140" t="s">
        <v>11307</v>
      </c>
      <c r="C3955" s="140" t="s">
        <v>11308</v>
      </c>
      <c r="D3955" s="140" t="s">
        <v>6718</v>
      </c>
      <c r="E3955" s="140" t="s">
        <v>266</v>
      </c>
      <c r="F3955" s="140" t="s">
        <v>267</v>
      </c>
      <c r="G3955" s="141" t="s">
        <v>6304</v>
      </c>
      <c r="H3955" s="140" t="s">
        <v>6330</v>
      </c>
      <c r="I3955" s="140" t="s">
        <v>6527</v>
      </c>
      <c r="J3955" s="140" t="s">
        <v>6319</v>
      </c>
      <c r="K3955" s="140" t="s">
        <v>1573</v>
      </c>
    </row>
    <row r="3956">
      <c r="A3956" s="140" t="s">
        <v>1666</v>
      </c>
      <c r="B3956" s="140" t="s">
        <v>11309</v>
      </c>
      <c r="C3956" s="140" t="s">
        <v>11310</v>
      </c>
      <c r="D3956" s="140" t="s">
        <v>6718</v>
      </c>
      <c r="E3956" s="140" t="s">
        <v>266</v>
      </c>
      <c r="F3956" s="140" t="s">
        <v>267</v>
      </c>
      <c r="G3956" s="141" t="s">
        <v>6311</v>
      </c>
      <c r="H3956" s="140" t="s">
        <v>6330</v>
      </c>
      <c r="I3956" s="140" t="s">
        <v>6527</v>
      </c>
      <c r="J3956" s="140" t="s">
        <v>6319</v>
      </c>
      <c r="K3956" s="140" t="s">
        <v>1573</v>
      </c>
    </row>
    <row r="3957">
      <c r="A3957" s="140" t="s">
        <v>1666</v>
      </c>
      <c r="B3957" s="140" t="s">
        <v>11311</v>
      </c>
      <c r="C3957" s="140" t="s">
        <v>11312</v>
      </c>
      <c r="D3957" s="140" t="s">
        <v>6718</v>
      </c>
      <c r="E3957" s="140" t="s">
        <v>266</v>
      </c>
      <c r="F3957" s="140" t="s">
        <v>267</v>
      </c>
      <c r="G3957" s="141" t="s">
        <v>6304</v>
      </c>
      <c r="H3957" s="140" t="s">
        <v>6330</v>
      </c>
      <c r="I3957" s="140" t="s">
        <v>6527</v>
      </c>
      <c r="J3957" s="140" t="s">
        <v>6319</v>
      </c>
      <c r="K3957" s="140" t="s">
        <v>1573</v>
      </c>
    </row>
    <row r="3958">
      <c r="A3958" s="140" t="s">
        <v>1666</v>
      </c>
      <c r="B3958" s="140" t="s">
        <v>11313</v>
      </c>
      <c r="C3958" s="140" t="s">
        <v>11314</v>
      </c>
      <c r="D3958" s="140" t="s">
        <v>6718</v>
      </c>
      <c r="E3958" s="140" t="s">
        <v>266</v>
      </c>
      <c r="F3958" s="140" t="s">
        <v>267</v>
      </c>
      <c r="G3958" s="141" t="s">
        <v>6304</v>
      </c>
      <c r="H3958" s="140" t="s">
        <v>6330</v>
      </c>
      <c r="I3958" s="140" t="s">
        <v>6527</v>
      </c>
      <c r="J3958" s="140" t="s">
        <v>6319</v>
      </c>
      <c r="K3958" s="140" t="s">
        <v>1573</v>
      </c>
    </row>
    <row r="3959">
      <c r="A3959" s="140" t="s">
        <v>1666</v>
      </c>
      <c r="B3959" s="140" t="s">
        <v>11315</v>
      </c>
      <c r="C3959" s="140" t="s">
        <v>11316</v>
      </c>
      <c r="D3959" s="140" t="s">
        <v>6718</v>
      </c>
      <c r="E3959" s="140" t="s">
        <v>266</v>
      </c>
      <c r="F3959" s="140" t="s">
        <v>267</v>
      </c>
      <c r="G3959" s="141" t="s">
        <v>6304</v>
      </c>
      <c r="H3959" s="140" t="s">
        <v>6330</v>
      </c>
      <c r="I3959" s="140" t="s">
        <v>6527</v>
      </c>
      <c r="J3959" s="140" t="s">
        <v>6319</v>
      </c>
      <c r="K3959" s="140" t="s">
        <v>1573</v>
      </c>
    </row>
    <row r="3960">
      <c r="A3960" s="140" t="s">
        <v>1666</v>
      </c>
      <c r="B3960" s="140" t="s">
        <v>11317</v>
      </c>
      <c r="C3960" s="140" t="s">
        <v>11318</v>
      </c>
      <c r="D3960" s="140" t="s">
        <v>6718</v>
      </c>
      <c r="E3960" s="140" t="s">
        <v>266</v>
      </c>
      <c r="F3960" s="140" t="s">
        <v>267</v>
      </c>
      <c r="G3960" s="141" t="s">
        <v>6311</v>
      </c>
      <c r="H3960" s="140" t="s">
        <v>6330</v>
      </c>
      <c r="I3960" s="140" t="s">
        <v>6527</v>
      </c>
      <c r="J3960" s="140" t="s">
        <v>6319</v>
      </c>
      <c r="K3960" s="140" t="s">
        <v>1573</v>
      </c>
    </row>
    <row r="3961">
      <c r="A3961" s="140" t="s">
        <v>1666</v>
      </c>
      <c r="B3961" s="140" t="s">
        <v>11319</v>
      </c>
      <c r="C3961" s="140" t="s">
        <v>11320</v>
      </c>
      <c r="D3961" s="140" t="s">
        <v>6718</v>
      </c>
      <c r="E3961" s="140" t="s">
        <v>266</v>
      </c>
      <c r="F3961" s="140" t="s">
        <v>267</v>
      </c>
      <c r="G3961" s="141" t="s">
        <v>6304</v>
      </c>
      <c r="H3961" s="140" t="s">
        <v>6330</v>
      </c>
      <c r="I3961" s="140" t="s">
        <v>6527</v>
      </c>
      <c r="J3961" s="140" t="s">
        <v>6319</v>
      </c>
      <c r="K3961" s="140" t="s">
        <v>1573</v>
      </c>
    </row>
    <row r="3962">
      <c r="A3962" s="140" t="s">
        <v>1666</v>
      </c>
      <c r="B3962" s="140" t="s">
        <v>11321</v>
      </c>
      <c r="C3962" s="140" t="s">
        <v>11322</v>
      </c>
      <c r="D3962" s="140" t="s">
        <v>6718</v>
      </c>
      <c r="E3962" s="140" t="s">
        <v>266</v>
      </c>
      <c r="F3962" s="140" t="s">
        <v>267</v>
      </c>
      <c r="G3962" s="141" t="s">
        <v>6311</v>
      </c>
      <c r="H3962" s="140" t="s">
        <v>6330</v>
      </c>
      <c r="I3962" s="140" t="s">
        <v>6527</v>
      </c>
      <c r="J3962" s="140" t="s">
        <v>6319</v>
      </c>
      <c r="K3962" s="140" t="s">
        <v>1573</v>
      </c>
    </row>
    <row r="3963">
      <c r="A3963" s="140" t="s">
        <v>1666</v>
      </c>
      <c r="B3963" s="140" t="s">
        <v>11323</v>
      </c>
      <c r="C3963" s="140" t="s">
        <v>11324</v>
      </c>
      <c r="D3963" s="140" t="s">
        <v>6718</v>
      </c>
      <c r="E3963" s="140" t="s">
        <v>266</v>
      </c>
      <c r="F3963" s="140" t="s">
        <v>267</v>
      </c>
      <c r="G3963" s="141" t="s">
        <v>6304</v>
      </c>
      <c r="H3963" s="140" t="s">
        <v>6330</v>
      </c>
      <c r="I3963" s="140" t="s">
        <v>6527</v>
      </c>
      <c r="J3963" s="140" t="s">
        <v>6319</v>
      </c>
      <c r="K3963" s="140" t="s">
        <v>1573</v>
      </c>
    </row>
    <row r="3964">
      <c r="A3964" s="140" t="s">
        <v>1666</v>
      </c>
      <c r="B3964" s="140" t="s">
        <v>11325</v>
      </c>
      <c r="C3964" s="140" t="s">
        <v>11326</v>
      </c>
      <c r="D3964" s="140" t="s">
        <v>6718</v>
      </c>
      <c r="E3964" s="140" t="s">
        <v>266</v>
      </c>
      <c r="F3964" s="140" t="s">
        <v>267</v>
      </c>
      <c r="G3964" s="141" t="s">
        <v>6311</v>
      </c>
      <c r="H3964" s="140" t="s">
        <v>6330</v>
      </c>
      <c r="I3964" s="140" t="s">
        <v>6527</v>
      </c>
      <c r="J3964" s="140" t="s">
        <v>6319</v>
      </c>
      <c r="K3964" s="140" t="s">
        <v>1573</v>
      </c>
    </row>
    <row r="3965">
      <c r="A3965" s="140" t="s">
        <v>1666</v>
      </c>
      <c r="B3965" s="140" t="s">
        <v>11327</v>
      </c>
      <c r="C3965" s="140" t="s">
        <v>11328</v>
      </c>
      <c r="D3965" s="140" t="s">
        <v>6718</v>
      </c>
      <c r="E3965" s="140" t="s">
        <v>266</v>
      </c>
      <c r="F3965" s="140" t="s">
        <v>267</v>
      </c>
      <c r="G3965" s="141" t="s">
        <v>6304</v>
      </c>
      <c r="H3965" s="140" t="s">
        <v>6330</v>
      </c>
      <c r="I3965" s="140" t="s">
        <v>6527</v>
      </c>
      <c r="J3965" s="140" t="s">
        <v>6319</v>
      </c>
      <c r="K3965" s="140" t="s">
        <v>1573</v>
      </c>
    </row>
    <row r="3966">
      <c r="A3966" s="140" t="s">
        <v>1666</v>
      </c>
      <c r="B3966" s="140" t="s">
        <v>11329</v>
      </c>
      <c r="C3966" s="140" t="s">
        <v>11330</v>
      </c>
      <c r="D3966" s="140" t="s">
        <v>6718</v>
      </c>
      <c r="E3966" s="140" t="s">
        <v>266</v>
      </c>
      <c r="F3966" s="140" t="s">
        <v>267</v>
      </c>
      <c r="G3966" s="141" t="s">
        <v>6311</v>
      </c>
      <c r="H3966" s="140" t="s">
        <v>6330</v>
      </c>
      <c r="I3966" s="140" t="s">
        <v>6527</v>
      </c>
      <c r="J3966" s="140" t="s">
        <v>6319</v>
      </c>
      <c r="K3966" s="140" t="s">
        <v>1573</v>
      </c>
    </row>
    <row r="3967">
      <c r="A3967" s="140" t="s">
        <v>1666</v>
      </c>
      <c r="B3967" s="140" t="s">
        <v>11331</v>
      </c>
      <c r="C3967" s="140" t="s">
        <v>11332</v>
      </c>
      <c r="D3967" s="140" t="s">
        <v>6718</v>
      </c>
      <c r="E3967" s="140" t="s">
        <v>266</v>
      </c>
      <c r="F3967" s="140" t="s">
        <v>267</v>
      </c>
      <c r="G3967" s="141" t="s">
        <v>6304</v>
      </c>
      <c r="H3967" s="140" t="s">
        <v>6330</v>
      </c>
      <c r="I3967" s="140" t="s">
        <v>6527</v>
      </c>
      <c r="J3967" s="140" t="s">
        <v>6319</v>
      </c>
      <c r="K3967" s="140" t="s">
        <v>1573</v>
      </c>
    </row>
    <row r="3968">
      <c r="A3968" s="140" t="s">
        <v>1666</v>
      </c>
      <c r="B3968" s="140" t="s">
        <v>11333</v>
      </c>
      <c r="C3968" s="140" t="s">
        <v>11334</v>
      </c>
      <c r="D3968" s="140" t="s">
        <v>6718</v>
      </c>
      <c r="E3968" s="140" t="s">
        <v>266</v>
      </c>
      <c r="F3968" s="140" t="s">
        <v>267</v>
      </c>
      <c r="G3968" s="141" t="s">
        <v>6304</v>
      </c>
      <c r="H3968" s="140" t="s">
        <v>6330</v>
      </c>
      <c r="I3968" s="140" t="s">
        <v>6527</v>
      </c>
      <c r="J3968" s="140" t="s">
        <v>6319</v>
      </c>
      <c r="K3968" s="140" t="s">
        <v>1573</v>
      </c>
    </row>
    <row r="3969">
      <c r="A3969" s="140" t="s">
        <v>1666</v>
      </c>
      <c r="B3969" s="140" t="s">
        <v>11335</v>
      </c>
      <c r="C3969" s="140" t="s">
        <v>11336</v>
      </c>
      <c r="D3969" s="140" t="s">
        <v>6718</v>
      </c>
      <c r="E3969" s="140" t="s">
        <v>266</v>
      </c>
      <c r="F3969" s="140" t="s">
        <v>267</v>
      </c>
      <c r="G3969" s="141" t="s">
        <v>6304</v>
      </c>
      <c r="H3969" s="140" t="s">
        <v>6330</v>
      </c>
      <c r="I3969" s="140" t="s">
        <v>6527</v>
      </c>
      <c r="J3969" s="140" t="s">
        <v>6319</v>
      </c>
      <c r="K3969" s="140" t="s">
        <v>1573</v>
      </c>
    </row>
    <row r="3970">
      <c r="A3970" s="140" t="s">
        <v>1666</v>
      </c>
      <c r="B3970" s="140" t="s">
        <v>11337</v>
      </c>
      <c r="C3970" s="140" t="s">
        <v>11338</v>
      </c>
      <c r="D3970" s="140" t="s">
        <v>6718</v>
      </c>
      <c r="E3970" s="140" t="s">
        <v>266</v>
      </c>
      <c r="F3970" s="140" t="s">
        <v>267</v>
      </c>
      <c r="G3970" s="141" t="s">
        <v>6311</v>
      </c>
      <c r="H3970" s="140" t="s">
        <v>6330</v>
      </c>
      <c r="I3970" s="140" t="s">
        <v>6527</v>
      </c>
      <c r="J3970" s="140" t="s">
        <v>6319</v>
      </c>
      <c r="K3970" s="140" t="s">
        <v>1573</v>
      </c>
    </row>
    <row r="3971">
      <c r="A3971" s="140" t="s">
        <v>1666</v>
      </c>
      <c r="B3971" s="140" t="s">
        <v>281</v>
      </c>
      <c r="C3971" s="140" t="s">
        <v>1771</v>
      </c>
      <c r="D3971" s="140" t="s">
        <v>6718</v>
      </c>
      <c r="E3971" s="140" t="s">
        <v>266</v>
      </c>
      <c r="F3971" s="140" t="s">
        <v>267</v>
      </c>
      <c r="G3971" s="141" t="s">
        <v>6668</v>
      </c>
      <c r="H3971" s="140" t="s">
        <v>6330</v>
      </c>
      <c r="I3971" s="140" t="s">
        <v>6313</v>
      </c>
      <c r="J3971" s="140" t="s">
        <v>6319</v>
      </c>
      <c r="K3971" s="140" t="s">
        <v>1573</v>
      </c>
    </row>
    <row r="3972">
      <c r="A3972" s="140" t="s">
        <v>1666</v>
      </c>
      <c r="B3972" s="140" t="s">
        <v>276</v>
      </c>
      <c r="C3972" s="140" t="s">
        <v>1762</v>
      </c>
      <c r="D3972" s="140" t="s">
        <v>6718</v>
      </c>
      <c r="E3972" s="140" t="s">
        <v>266</v>
      </c>
      <c r="F3972" s="140" t="s">
        <v>267</v>
      </c>
      <c r="G3972" s="141" t="s">
        <v>6668</v>
      </c>
      <c r="H3972" s="140" t="s">
        <v>6330</v>
      </c>
      <c r="I3972" s="140" t="s">
        <v>6313</v>
      </c>
      <c r="J3972" s="140" t="s">
        <v>6319</v>
      </c>
      <c r="K3972" s="140" t="s">
        <v>1573</v>
      </c>
    </row>
    <row r="3973">
      <c r="A3973" s="140" t="s">
        <v>1666</v>
      </c>
      <c r="B3973" s="140" t="s">
        <v>278</v>
      </c>
      <c r="C3973" s="140" t="s">
        <v>1766</v>
      </c>
      <c r="D3973" s="140" t="s">
        <v>6718</v>
      </c>
      <c r="E3973" s="140" t="s">
        <v>266</v>
      </c>
      <c r="F3973" s="140" t="s">
        <v>267</v>
      </c>
      <c r="G3973" s="141" t="s">
        <v>6668</v>
      </c>
      <c r="H3973" s="140" t="s">
        <v>6330</v>
      </c>
      <c r="I3973" s="140" t="s">
        <v>6313</v>
      </c>
      <c r="J3973" s="140" t="s">
        <v>6319</v>
      </c>
      <c r="K3973" s="140" t="s">
        <v>1573</v>
      </c>
    </row>
    <row r="3974">
      <c r="A3974" s="140" t="s">
        <v>1666</v>
      </c>
      <c r="B3974" s="140" t="s">
        <v>274</v>
      </c>
      <c r="C3974" s="140" t="s">
        <v>1768</v>
      </c>
      <c r="D3974" s="140" t="s">
        <v>6718</v>
      </c>
      <c r="E3974" s="140" t="s">
        <v>266</v>
      </c>
      <c r="F3974" s="140" t="s">
        <v>267</v>
      </c>
      <c r="G3974" s="141" t="s">
        <v>6668</v>
      </c>
      <c r="H3974" s="140" t="s">
        <v>6330</v>
      </c>
      <c r="I3974" s="140" t="s">
        <v>6313</v>
      </c>
      <c r="J3974" s="140" t="s">
        <v>6319</v>
      </c>
      <c r="K3974" s="140" t="s">
        <v>1573</v>
      </c>
    </row>
    <row r="3975">
      <c r="A3975" s="140" t="s">
        <v>1666</v>
      </c>
      <c r="B3975" s="140" t="s">
        <v>11339</v>
      </c>
      <c r="C3975" s="140" t="s">
        <v>11340</v>
      </c>
      <c r="D3975" s="140" t="s">
        <v>6718</v>
      </c>
      <c r="E3975" s="140" t="s">
        <v>266</v>
      </c>
      <c r="F3975" s="140" t="s">
        <v>11341</v>
      </c>
      <c r="G3975" s="141" t="s">
        <v>6304</v>
      </c>
      <c r="H3975" s="140" t="s">
        <v>6312</v>
      </c>
      <c r="I3975" s="140" t="s">
        <v>6527</v>
      </c>
      <c r="J3975" s="140" t="s">
        <v>6319</v>
      </c>
      <c r="K3975" s="140" t="s">
        <v>1573</v>
      </c>
    </row>
    <row r="3976">
      <c r="A3976" s="140" t="s">
        <v>1666</v>
      </c>
      <c r="B3976" s="140" t="s">
        <v>11342</v>
      </c>
      <c r="C3976" s="140" t="s">
        <v>11343</v>
      </c>
      <c r="D3976" s="140" t="s">
        <v>6718</v>
      </c>
      <c r="E3976" s="140" t="s">
        <v>266</v>
      </c>
      <c r="F3976" s="140" t="s">
        <v>11341</v>
      </c>
      <c r="G3976" s="141" t="s">
        <v>6304</v>
      </c>
      <c r="H3976" s="140" t="s">
        <v>6312</v>
      </c>
      <c r="I3976" s="140" t="s">
        <v>6527</v>
      </c>
      <c r="J3976" s="140" t="s">
        <v>6319</v>
      </c>
      <c r="K3976" s="140" t="s">
        <v>1573</v>
      </c>
    </row>
    <row r="3977">
      <c r="A3977" s="140" t="s">
        <v>1666</v>
      </c>
      <c r="B3977" s="143">
        <v>1.659991971809E12</v>
      </c>
      <c r="C3977" s="140" t="s">
        <v>1773</v>
      </c>
      <c r="D3977" s="140" t="s">
        <v>6718</v>
      </c>
      <c r="E3977" s="140" t="s">
        <v>266</v>
      </c>
      <c r="F3977" s="140" t="s">
        <v>282</v>
      </c>
      <c r="G3977" s="141" t="s">
        <v>6668</v>
      </c>
      <c r="H3977" s="140" t="s">
        <v>6330</v>
      </c>
      <c r="I3977" s="140" t="s">
        <v>6313</v>
      </c>
      <c r="J3977" s="140" t="s">
        <v>6319</v>
      </c>
      <c r="K3977" s="140" t="s">
        <v>1573</v>
      </c>
    </row>
    <row r="3978">
      <c r="A3978" s="140" t="s">
        <v>1666</v>
      </c>
      <c r="B3978" s="140" t="s">
        <v>296</v>
      </c>
      <c r="C3978" s="140" t="s">
        <v>1784</v>
      </c>
      <c r="D3978" s="140" t="s">
        <v>6718</v>
      </c>
      <c r="E3978" s="140" t="s">
        <v>266</v>
      </c>
      <c r="F3978" s="140" t="s">
        <v>282</v>
      </c>
      <c r="G3978" s="141" t="s">
        <v>6668</v>
      </c>
      <c r="H3978" s="140" t="s">
        <v>6330</v>
      </c>
      <c r="I3978" s="140" t="s">
        <v>6313</v>
      </c>
      <c r="J3978" s="140" t="s">
        <v>6319</v>
      </c>
      <c r="K3978" s="140" t="s">
        <v>1573</v>
      </c>
    </row>
    <row r="3979">
      <c r="A3979" s="140" t="s">
        <v>1666</v>
      </c>
      <c r="B3979" s="140" t="s">
        <v>284</v>
      </c>
      <c r="C3979" s="140" t="s">
        <v>1774</v>
      </c>
      <c r="D3979" s="140" t="s">
        <v>6718</v>
      </c>
      <c r="E3979" s="140" t="s">
        <v>266</v>
      </c>
      <c r="F3979" s="140" t="s">
        <v>282</v>
      </c>
      <c r="G3979" s="141" t="s">
        <v>6668</v>
      </c>
      <c r="H3979" s="140" t="s">
        <v>6330</v>
      </c>
      <c r="I3979" s="140" t="s">
        <v>6313</v>
      </c>
      <c r="J3979" s="140" t="s">
        <v>6319</v>
      </c>
      <c r="K3979" s="140" t="s">
        <v>1573</v>
      </c>
    </row>
    <row r="3980">
      <c r="A3980" s="140" t="s">
        <v>1666</v>
      </c>
      <c r="B3980" s="140" t="s">
        <v>294</v>
      </c>
      <c r="C3980" s="140" t="s">
        <v>1782</v>
      </c>
      <c r="D3980" s="140" t="s">
        <v>6718</v>
      </c>
      <c r="E3980" s="140" t="s">
        <v>266</v>
      </c>
      <c r="F3980" s="140" t="s">
        <v>282</v>
      </c>
      <c r="G3980" s="141" t="s">
        <v>6742</v>
      </c>
      <c r="H3980" s="140" t="s">
        <v>6330</v>
      </c>
      <c r="I3980" s="140" t="s">
        <v>6313</v>
      </c>
      <c r="J3980" s="140" t="s">
        <v>6319</v>
      </c>
      <c r="K3980" s="140" t="s">
        <v>1573</v>
      </c>
    </row>
    <row r="3981">
      <c r="A3981" s="140" t="s">
        <v>1666</v>
      </c>
      <c r="B3981" s="143">
        <v>1.659991999728E12</v>
      </c>
      <c r="C3981" s="140" t="s">
        <v>1776</v>
      </c>
      <c r="D3981" s="140" t="s">
        <v>6718</v>
      </c>
      <c r="E3981" s="140" t="s">
        <v>266</v>
      </c>
      <c r="F3981" s="140" t="s">
        <v>282</v>
      </c>
      <c r="G3981" s="141" t="s">
        <v>6664</v>
      </c>
      <c r="H3981" s="140" t="s">
        <v>6330</v>
      </c>
      <c r="I3981" s="140" t="s">
        <v>6313</v>
      </c>
      <c r="J3981" s="140" t="s">
        <v>6319</v>
      </c>
      <c r="K3981" s="140" t="s">
        <v>1573</v>
      </c>
    </row>
    <row r="3982">
      <c r="A3982" s="140" t="s">
        <v>1666</v>
      </c>
      <c r="B3982" s="140" t="s">
        <v>300</v>
      </c>
      <c r="C3982" s="140" t="s">
        <v>1788</v>
      </c>
      <c r="D3982" s="140" t="s">
        <v>6718</v>
      </c>
      <c r="E3982" s="140" t="s">
        <v>266</v>
      </c>
      <c r="F3982" s="140" t="s">
        <v>282</v>
      </c>
      <c r="G3982" s="141" t="s">
        <v>6664</v>
      </c>
      <c r="H3982" s="140" t="s">
        <v>6330</v>
      </c>
      <c r="I3982" s="140" t="s">
        <v>6313</v>
      </c>
      <c r="J3982" s="140" t="s">
        <v>6319</v>
      </c>
      <c r="K3982" s="140" t="s">
        <v>1573</v>
      </c>
    </row>
    <row r="3983">
      <c r="A3983" s="140" t="s">
        <v>1666</v>
      </c>
      <c r="B3983" s="140" t="s">
        <v>287</v>
      </c>
      <c r="C3983" s="140" t="s">
        <v>1777</v>
      </c>
      <c r="D3983" s="140" t="s">
        <v>6718</v>
      </c>
      <c r="E3983" s="140" t="s">
        <v>266</v>
      </c>
      <c r="F3983" s="140" t="s">
        <v>282</v>
      </c>
      <c r="G3983" s="141" t="s">
        <v>6742</v>
      </c>
      <c r="H3983" s="140" t="s">
        <v>6330</v>
      </c>
      <c r="I3983" s="140" t="s">
        <v>6313</v>
      </c>
      <c r="J3983" s="140" t="s">
        <v>6319</v>
      </c>
      <c r="K3983" s="140" t="s">
        <v>1573</v>
      </c>
    </row>
    <row r="3984">
      <c r="A3984" s="140" t="s">
        <v>1666</v>
      </c>
      <c r="B3984" s="140" t="s">
        <v>292</v>
      </c>
      <c r="C3984" s="140" t="s">
        <v>1779</v>
      </c>
      <c r="D3984" s="140" t="s">
        <v>6718</v>
      </c>
      <c r="E3984" s="140" t="s">
        <v>266</v>
      </c>
      <c r="F3984" s="140" t="s">
        <v>282</v>
      </c>
      <c r="G3984" s="141" t="s">
        <v>6664</v>
      </c>
      <c r="H3984" s="140" t="s">
        <v>6330</v>
      </c>
      <c r="I3984" s="140" t="s">
        <v>6313</v>
      </c>
      <c r="J3984" s="140" t="s">
        <v>6319</v>
      </c>
      <c r="K3984" s="140" t="s">
        <v>1573</v>
      </c>
    </row>
    <row r="3985">
      <c r="A3985" s="140" t="s">
        <v>1666</v>
      </c>
      <c r="B3985" s="140" t="s">
        <v>298</v>
      </c>
      <c r="C3985" s="140" t="s">
        <v>1786</v>
      </c>
      <c r="D3985" s="140" t="s">
        <v>6718</v>
      </c>
      <c r="E3985" s="140" t="s">
        <v>266</v>
      </c>
      <c r="F3985" s="140" t="s">
        <v>282</v>
      </c>
      <c r="G3985" s="141" t="s">
        <v>6664</v>
      </c>
      <c r="H3985" s="140" t="s">
        <v>6330</v>
      </c>
      <c r="I3985" s="140" t="s">
        <v>6313</v>
      </c>
      <c r="J3985" s="140" t="s">
        <v>6319</v>
      </c>
      <c r="K3985" s="140" t="s">
        <v>1573</v>
      </c>
    </row>
    <row r="3986">
      <c r="A3986" s="140" t="s">
        <v>1666</v>
      </c>
      <c r="B3986" s="140" t="s">
        <v>290</v>
      </c>
      <c r="C3986" s="140" t="s">
        <v>1780</v>
      </c>
      <c r="D3986" s="140" t="s">
        <v>6718</v>
      </c>
      <c r="E3986" s="140" t="s">
        <v>266</v>
      </c>
      <c r="F3986" s="140" t="s">
        <v>282</v>
      </c>
      <c r="G3986" s="141" t="s">
        <v>6668</v>
      </c>
      <c r="H3986" s="140" t="s">
        <v>6330</v>
      </c>
      <c r="I3986" s="140" t="s">
        <v>6313</v>
      </c>
      <c r="J3986" s="140" t="s">
        <v>6319</v>
      </c>
      <c r="K3986" s="140" t="s">
        <v>1573</v>
      </c>
    </row>
    <row r="3987">
      <c r="A3987" s="140" t="s">
        <v>302</v>
      </c>
      <c r="B3987" s="143">
        <v>1.59655E12</v>
      </c>
      <c r="C3987" s="140" t="s">
        <v>11344</v>
      </c>
      <c r="D3987" s="140" t="s">
        <v>6718</v>
      </c>
      <c r="E3987" s="140" t="s">
        <v>1168</v>
      </c>
      <c r="F3987" s="140" t="s">
        <v>1169</v>
      </c>
      <c r="G3987" s="141" t="s">
        <v>6401</v>
      </c>
      <c r="H3987" s="140" t="s">
        <v>6312</v>
      </c>
      <c r="I3987" s="140" t="s">
        <v>6313</v>
      </c>
      <c r="J3987" s="140" t="s">
        <v>6319</v>
      </c>
      <c r="K3987" s="140" t="s">
        <v>1573</v>
      </c>
    </row>
    <row r="3988">
      <c r="A3988" s="140" t="s">
        <v>302</v>
      </c>
      <c r="B3988" s="143">
        <v>1.59655E12</v>
      </c>
      <c r="C3988" s="140" t="s">
        <v>11345</v>
      </c>
      <c r="D3988" s="140" t="s">
        <v>6718</v>
      </c>
      <c r="E3988" s="140" t="s">
        <v>1168</v>
      </c>
      <c r="F3988" s="140" t="s">
        <v>1169</v>
      </c>
      <c r="G3988" s="141" t="s">
        <v>6401</v>
      </c>
      <c r="H3988" s="140" t="s">
        <v>6312</v>
      </c>
      <c r="I3988" s="140" t="s">
        <v>6313</v>
      </c>
      <c r="J3988" s="140" t="s">
        <v>6319</v>
      </c>
      <c r="K3988" s="140" t="s">
        <v>1573</v>
      </c>
    </row>
    <row r="3989">
      <c r="A3989" s="140" t="s">
        <v>302</v>
      </c>
      <c r="B3989" s="143">
        <v>1.54413E12</v>
      </c>
      <c r="C3989" s="140" t="s">
        <v>11346</v>
      </c>
      <c r="D3989" s="140" t="s">
        <v>6718</v>
      </c>
      <c r="E3989" s="140" t="s">
        <v>1168</v>
      </c>
      <c r="F3989" s="140" t="s">
        <v>1169</v>
      </c>
      <c r="G3989" s="141" t="s">
        <v>6401</v>
      </c>
      <c r="H3989" s="140" t="s">
        <v>6312</v>
      </c>
      <c r="I3989" s="140" t="s">
        <v>6313</v>
      </c>
      <c r="J3989" s="140" t="s">
        <v>6319</v>
      </c>
      <c r="K3989" s="140" t="s">
        <v>1573</v>
      </c>
    </row>
    <row r="3990">
      <c r="A3990" s="140" t="s">
        <v>302</v>
      </c>
      <c r="B3990" s="143">
        <v>1.62389E12</v>
      </c>
      <c r="C3990" s="140" t="s">
        <v>11347</v>
      </c>
      <c r="D3990" s="140" t="s">
        <v>6718</v>
      </c>
      <c r="E3990" s="140" t="s">
        <v>456</v>
      </c>
      <c r="F3990" s="140" t="s">
        <v>483</v>
      </c>
      <c r="G3990" s="141" t="s">
        <v>6401</v>
      </c>
      <c r="H3990" s="140" t="s">
        <v>6312</v>
      </c>
      <c r="I3990" s="140" t="s">
        <v>6313</v>
      </c>
      <c r="J3990" s="140" t="s">
        <v>6319</v>
      </c>
      <c r="K3990" s="140" t="s">
        <v>1573</v>
      </c>
    </row>
    <row r="3991">
      <c r="A3991" s="140" t="s">
        <v>302</v>
      </c>
      <c r="B3991" s="143">
        <v>1.63586E12</v>
      </c>
      <c r="C3991" s="140" t="s">
        <v>11348</v>
      </c>
      <c r="D3991" s="140" t="s">
        <v>6718</v>
      </c>
      <c r="E3991" s="140" t="s">
        <v>456</v>
      </c>
      <c r="F3991" s="140" t="s">
        <v>483</v>
      </c>
      <c r="G3991" s="141" t="s">
        <v>6401</v>
      </c>
      <c r="H3991" s="140" t="s">
        <v>6312</v>
      </c>
      <c r="I3991" s="140" t="s">
        <v>6313</v>
      </c>
      <c r="J3991" s="140" t="s">
        <v>6319</v>
      </c>
      <c r="K3991" s="140" t="s">
        <v>1573</v>
      </c>
    </row>
    <row r="3992">
      <c r="A3992" s="140" t="s">
        <v>302</v>
      </c>
      <c r="B3992" s="143">
        <v>1.58923E12</v>
      </c>
      <c r="C3992" s="140" t="s">
        <v>11349</v>
      </c>
      <c r="D3992" s="140" t="s">
        <v>6718</v>
      </c>
      <c r="E3992" s="140" t="s">
        <v>456</v>
      </c>
      <c r="F3992" s="140" t="s">
        <v>483</v>
      </c>
      <c r="G3992" s="141" t="s">
        <v>6401</v>
      </c>
      <c r="H3992" s="140" t="s">
        <v>6312</v>
      </c>
      <c r="I3992" s="140" t="s">
        <v>6313</v>
      </c>
      <c r="J3992" s="140" t="s">
        <v>6319</v>
      </c>
      <c r="K3992" s="140" t="s">
        <v>1573</v>
      </c>
    </row>
    <row r="3993">
      <c r="A3993" s="140" t="s">
        <v>302</v>
      </c>
      <c r="B3993" s="143">
        <v>1.62742E12</v>
      </c>
      <c r="C3993" s="140" t="s">
        <v>11350</v>
      </c>
      <c r="D3993" s="140" t="s">
        <v>6718</v>
      </c>
      <c r="E3993" s="140" t="s">
        <v>456</v>
      </c>
      <c r="F3993" s="140" t="s">
        <v>483</v>
      </c>
      <c r="G3993" s="141" t="s">
        <v>6401</v>
      </c>
      <c r="H3993" s="140" t="s">
        <v>6312</v>
      </c>
      <c r="I3993" s="140" t="s">
        <v>6313</v>
      </c>
      <c r="J3993" s="140" t="s">
        <v>6319</v>
      </c>
      <c r="K3993" s="140" t="s">
        <v>1573</v>
      </c>
    </row>
    <row r="3994">
      <c r="A3994" s="140" t="s">
        <v>302</v>
      </c>
      <c r="B3994" s="140" t="s">
        <v>11351</v>
      </c>
      <c r="C3994" s="140" t="s">
        <v>11352</v>
      </c>
      <c r="D3994" s="140" t="s">
        <v>7347</v>
      </c>
      <c r="E3994" s="140" t="s">
        <v>523</v>
      </c>
      <c r="F3994" s="140" t="s">
        <v>10242</v>
      </c>
      <c r="G3994" s="141" t="s">
        <v>6401</v>
      </c>
      <c r="H3994" s="140" t="s">
        <v>6312</v>
      </c>
      <c r="I3994" s="140" t="s">
        <v>6313</v>
      </c>
      <c r="J3994" s="140" t="s">
        <v>6319</v>
      </c>
      <c r="K3994" s="140" t="s">
        <v>1573</v>
      </c>
    </row>
    <row r="3995">
      <c r="A3995" s="140" t="s">
        <v>302</v>
      </c>
      <c r="B3995" s="140" t="s">
        <v>11353</v>
      </c>
      <c r="C3995" s="140" t="s">
        <v>11354</v>
      </c>
      <c r="D3995" s="140" t="s">
        <v>7347</v>
      </c>
      <c r="E3995" s="140" t="s">
        <v>523</v>
      </c>
      <c r="F3995" s="140" t="s">
        <v>10242</v>
      </c>
      <c r="G3995" s="141" t="s">
        <v>6401</v>
      </c>
      <c r="H3995" s="140" t="s">
        <v>6312</v>
      </c>
      <c r="I3995" s="140" t="s">
        <v>6313</v>
      </c>
      <c r="J3995" s="140" t="s">
        <v>6319</v>
      </c>
      <c r="K3995" s="140" t="s">
        <v>1573</v>
      </c>
    </row>
    <row r="3996">
      <c r="A3996" s="140" t="s">
        <v>302</v>
      </c>
      <c r="B3996" s="152">
        <v>1.60997E12</v>
      </c>
      <c r="C3996" s="140" t="s">
        <v>11355</v>
      </c>
      <c r="D3996" s="140" t="s">
        <v>6718</v>
      </c>
      <c r="E3996" s="140" t="s">
        <v>748</v>
      </c>
      <c r="F3996" s="140" t="s">
        <v>749</v>
      </c>
      <c r="G3996" s="141" t="s">
        <v>6401</v>
      </c>
      <c r="H3996" s="140" t="s">
        <v>6312</v>
      </c>
      <c r="I3996" s="140" t="s">
        <v>6313</v>
      </c>
      <c r="J3996" s="140" t="s">
        <v>6319</v>
      </c>
      <c r="K3996" s="140" t="s">
        <v>1573</v>
      </c>
    </row>
    <row r="3997">
      <c r="A3997" s="140" t="s">
        <v>302</v>
      </c>
      <c r="B3997" s="152">
        <v>1.60997E12</v>
      </c>
      <c r="C3997" s="140" t="s">
        <v>11356</v>
      </c>
      <c r="D3997" s="140" t="s">
        <v>6718</v>
      </c>
      <c r="E3997" s="140" t="s">
        <v>748</v>
      </c>
      <c r="F3997" s="140" t="s">
        <v>749</v>
      </c>
      <c r="G3997" s="141" t="s">
        <v>6401</v>
      </c>
      <c r="H3997" s="140" t="s">
        <v>6312</v>
      </c>
      <c r="I3997" s="140" t="s">
        <v>6313</v>
      </c>
      <c r="J3997" s="140" t="s">
        <v>6319</v>
      </c>
      <c r="K3997" s="140" t="s">
        <v>1573</v>
      </c>
    </row>
    <row r="3998">
      <c r="A3998" s="140" t="s">
        <v>302</v>
      </c>
      <c r="B3998" s="152">
        <v>1.52581E12</v>
      </c>
      <c r="C3998" s="140" t="s">
        <v>11357</v>
      </c>
      <c r="D3998" s="140" t="s">
        <v>6718</v>
      </c>
      <c r="E3998" s="140" t="s">
        <v>748</v>
      </c>
      <c r="F3998" s="140" t="s">
        <v>749</v>
      </c>
      <c r="G3998" s="141" t="s">
        <v>6401</v>
      </c>
      <c r="H3998" s="140" t="s">
        <v>6312</v>
      </c>
      <c r="I3998" s="140" t="s">
        <v>6313</v>
      </c>
      <c r="J3998" s="140" t="s">
        <v>6319</v>
      </c>
      <c r="K3998" s="140" t="s">
        <v>1573</v>
      </c>
    </row>
    <row r="3999">
      <c r="A3999" s="140" t="s">
        <v>302</v>
      </c>
      <c r="B3999" s="152">
        <v>1.60997E12</v>
      </c>
      <c r="C3999" s="140" t="s">
        <v>11358</v>
      </c>
      <c r="D3999" s="140" t="s">
        <v>6718</v>
      </c>
      <c r="E3999" s="140" t="s">
        <v>748</v>
      </c>
      <c r="F3999" s="140" t="s">
        <v>749</v>
      </c>
      <c r="G3999" s="141" t="s">
        <v>6401</v>
      </c>
      <c r="H3999" s="140" t="s">
        <v>6312</v>
      </c>
      <c r="I3999" s="140" t="s">
        <v>6313</v>
      </c>
      <c r="J3999" s="140" t="s">
        <v>6319</v>
      </c>
      <c r="K3999" s="140" t="s">
        <v>1573</v>
      </c>
    </row>
    <row r="4000">
      <c r="A4000" s="140" t="s">
        <v>302</v>
      </c>
      <c r="B4000" s="152">
        <v>1.60997E12</v>
      </c>
      <c r="C4000" s="140" t="s">
        <v>11359</v>
      </c>
      <c r="D4000" s="140" t="s">
        <v>6718</v>
      </c>
      <c r="E4000" s="140" t="s">
        <v>748</v>
      </c>
      <c r="F4000" s="140" t="s">
        <v>749</v>
      </c>
      <c r="G4000" s="141" t="s">
        <v>6401</v>
      </c>
      <c r="H4000" s="140" t="s">
        <v>6312</v>
      </c>
      <c r="I4000" s="140" t="s">
        <v>6313</v>
      </c>
      <c r="J4000" s="140" t="s">
        <v>6319</v>
      </c>
      <c r="K4000" s="140" t="s">
        <v>1573</v>
      </c>
    </row>
    <row r="4001">
      <c r="A4001" s="140" t="s">
        <v>302</v>
      </c>
      <c r="B4001" s="144" t="s">
        <v>11360</v>
      </c>
      <c r="C4001" s="140" t="s">
        <v>11361</v>
      </c>
      <c r="D4001" s="140" t="s">
        <v>6718</v>
      </c>
      <c r="E4001" s="140" t="s">
        <v>748</v>
      </c>
      <c r="F4001" s="140" t="s">
        <v>749</v>
      </c>
      <c r="G4001" s="141" t="s">
        <v>6401</v>
      </c>
      <c r="H4001" s="140" t="s">
        <v>6312</v>
      </c>
      <c r="I4001" s="140" t="s">
        <v>6313</v>
      </c>
      <c r="J4001" s="140" t="s">
        <v>6319</v>
      </c>
      <c r="K4001" s="140" t="s">
        <v>1573</v>
      </c>
    </row>
    <row r="4002">
      <c r="A4002" s="140" t="s">
        <v>302</v>
      </c>
      <c r="B4002" s="144" t="s">
        <v>11362</v>
      </c>
      <c r="C4002" s="140" t="s">
        <v>11363</v>
      </c>
      <c r="D4002" s="140" t="s">
        <v>6718</v>
      </c>
      <c r="E4002" s="140" t="s">
        <v>748</v>
      </c>
      <c r="F4002" s="140" t="s">
        <v>749</v>
      </c>
      <c r="G4002" s="141" t="s">
        <v>6304</v>
      </c>
      <c r="H4002" s="140" t="s">
        <v>6312</v>
      </c>
      <c r="I4002" s="140" t="s">
        <v>6527</v>
      </c>
      <c r="J4002" s="140" t="s">
        <v>6319</v>
      </c>
      <c r="K4002" s="140" t="s">
        <v>1573</v>
      </c>
    </row>
    <row r="4003">
      <c r="A4003" s="140" t="s">
        <v>302</v>
      </c>
      <c r="B4003" s="144" t="s">
        <v>11364</v>
      </c>
      <c r="C4003" s="140" t="s">
        <v>11365</v>
      </c>
      <c r="D4003" s="140" t="s">
        <v>6718</v>
      </c>
      <c r="E4003" s="140" t="s">
        <v>748</v>
      </c>
      <c r="F4003" s="140" t="s">
        <v>749</v>
      </c>
      <c r="G4003" s="141" t="s">
        <v>6304</v>
      </c>
      <c r="H4003" s="140" t="s">
        <v>6312</v>
      </c>
      <c r="I4003" s="140" t="s">
        <v>6527</v>
      </c>
      <c r="J4003" s="140" t="s">
        <v>6319</v>
      </c>
      <c r="K4003" s="140" t="s">
        <v>1573</v>
      </c>
    </row>
    <row r="4004">
      <c r="A4004" s="140" t="s">
        <v>302</v>
      </c>
      <c r="B4004" s="144" t="s">
        <v>11366</v>
      </c>
      <c r="C4004" s="140" t="s">
        <v>11367</v>
      </c>
      <c r="D4004" s="140" t="s">
        <v>6718</v>
      </c>
      <c r="E4004" s="140" t="s">
        <v>748</v>
      </c>
      <c r="F4004" s="140" t="s">
        <v>749</v>
      </c>
      <c r="G4004" s="141" t="s">
        <v>6304</v>
      </c>
      <c r="H4004" s="140" t="s">
        <v>6312</v>
      </c>
      <c r="I4004" s="140" t="s">
        <v>6527</v>
      </c>
      <c r="J4004" s="140" t="s">
        <v>6319</v>
      </c>
      <c r="K4004" s="140" t="s">
        <v>1573</v>
      </c>
    </row>
    <row r="4005">
      <c r="A4005" s="140" t="s">
        <v>302</v>
      </c>
      <c r="B4005" s="140" t="s">
        <v>11368</v>
      </c>
      <c r="C4005" s="140" t="s">
        <v>11369</v>
      </c>
      <c r="D4005" s="140" t="s">
        <v>6718</v>
      </c>
      <c r="E4005" s="140" t="s">
        <v>748</v>
      </c>
      <c r="F4005" s="140" t="s">
        <v>749</v>
      </c>
      <c r="G4005" s="141" t="s">
        <v>6401</v>
      </c>
      <c r="H4005" s="140" t="s">
        <v>6312</v>
      </c>
      <c r="I4005" s="140" t="s">
        <v>6313</v>
      </c>
      <c r="J4005" s="140" t="s">
        <v>6319</v>
      </c>
      <c r="K4005" s="140" t="s">
        <v>1573</v>
      </c>
    </row>
    <row r="4006">
      <c r="A4006" s="140" t="s">
        <v>302</v>
      </c>
      <c r="B4006" s="143">
        <v>1.53857E12</v>
      </c>
      <c r="C4006" s="140" t="s">
        <v>11370</v>
      </c>
      <c r="D4006" s="140" t="s">
        <v>6718</v>
      </c>
      <c r="E4006" s="140" t="s">
        <v>748</v>
      </c>
      <c r="F4006" s="140" t="s">
        <v>749</v>
      </c>
      <c r="G4006" s="141" t="s">
        <v>6401</v>
      </c>
      <c r="H4006" s="140" t="s">
        <v>6312</v>
      </c>
      <c r="I4006" s="140" t="s">
        <v>6313</v>
      </c>
      <c r="J4006" s="140" t="s">
        <v>6319</v>
      </c>
      <c r="K4006" s="140" t="s">
        <v>1573</v>
      </c>
    </row>
    <row r="4007">
      <c r="A4007" s="140" t="s">
        <v>302</v>
      </c>
      <c r="B4007" s="143">
        <v>1.53857E12</v>
      </c>
      <c r="C4007" s="140" t="s">
        <v>11371</v>
      </c>
      <c r="D4007" s="140" t="s">
        <v>6718</v>
      </c>
      <c r="E4007" s="140" t="s">
        <v>748</v>
      </c>
      <c r="F4007" s="140" t="s">
        <v>749</v>
      </c>
      <c r="G4007" s="141" t="s">
        <v>6401</v>
      </c>
      <c r="H4007" s="140" t="s">
        <v>6312</v>
      </c>
      <c r="I4007" s="140" t="s">
        <v>6313</v>
      </c>
      <c r="J4007" s="140" t="s">
        <v>6319</v>
      </c>
      <c r="K4007" s="140" t="s">
        <v>1573</v>
      </c>
    </row>
    <row r="4008">
      <c r="A4008" s="140" t="s">
        <v>302</v>
      </c>
      <c r="B4008" s="143">
        <v>1.52581E12</v>
      </c>
      <c r="C4008" s="140" t="s">
        <v>11372</v>
      </c>
      <c r="D4008" s="140" t="s">
        <v>6718</v>
      </c>
      <c r="E4008" s="140" t="s">
        <v>748</v>
      </c>
      <c r="F4008" s="140" t="s">
        <v>749</v>
      </c>
      <c r="G4008" s="141" t="s">
        <v>6401</v>
      </c>
      <c r="H4008" s="140" t="s">
        <v>6312</v>
      </c>
      <c r="I4008" s="140" t="s">
        <v>6313</v>
      </c>
      <c r="J4008" s="140" t="s">
        <v>6319</v>
      </c>
      <c r="K4008" s="140" t="s">
        <v>1573</v>
      </c>
    </row>
    <row r="4009">
      <c r="A4009" s="140" t="s">
        <v>302</v>
      </c>
      <c r="B4009" s="143">
        <v>1.52581E12</v>
      </c>
      <c r="C4009" s="140" t="s">
        <v>11373</v>
      </c>
      <c r="D4009" s="140" t="s">
        <v>6718</v>
      </c>
      <c r="E4009" s="140" t="s">
        <v>748</v>
      </c>
      <c r="F4009" s="140" t="s">
        <v>749</v>
      </c>
      <c r="G4009" s="141" t="s">
        <v>6401</v>
      </c>
      <c r="H4009" s="140" t="s">
        <v>6312</v>
      </c>
      <c r="I4009" s="140" t="s">
        <v>6313</v>
      </c>
      <c r="J4009" s="140" t="s">
        <v>6319</v>
      </c>
      <c r="K4009" s="140" t="s">
        <v>1573</v>
      </c>
    </row>
    <row r="4010">
      <c r="A4010" s="140" t="s">
        <v>302</v>
      </c>
      <c r="B4010" s="140" t="s">
        <v>312</v>
      </c>
      <c r="C4010" s="140" t="s">
        <v>11374</v>
      </c>
      <c r="D4010" s="140" t="s">
        <v>6601</v>
      </c>
      <c r="E4010" s="140" t="s">
        <v>303</v>
      </c>
      <c r="F4010" s="140" t="s">
        <v>304</v>
      </c>
      <c r="G4010" s="141" t="s">
        <v>6311</v>
      </c>
      <c r="H4010" s="140" t="s">
        <v>6330</v>
      </c>
      <c r="I4010" s="140" t="s">
        <v>6313</v>
      </c>
      <c r="J4010" s="140" t="s">
        <v>6319</v>
      </c>
      <c r="K4010" s="140" t="s">
        <v>1573</v>
      </c>
    </row>
    <row r="4011">
      <c r="A4011" s="140" t="s">
        <v>302</v>
      </c>
      <c r="B4011" s="140" t="s">
        <v>308</v>
      </c>
      <c r="C4011" s="140" t="s">
        <v>11375</v>
      </c>
      <c r="D4011" s="140" t="s">
        <v>6601</v>
      </c>
      <c r="E4011" s="140" t="s">
        <v>303</v>
      </c>
      <c r="F4011" s="140" t="s">
        <v>304</v>
      </c>
      <c r="G4011" s="141" t="s">
        <v>6311</v>
      </c>
      <c r="H4011" s="140" t="s">
        <v>6330</v>
      </c>
      <c r="I4011" s="140" t="s">
        <v>6313</v>
      </c>
      <c r="J4011" s="140" t="s">
        <v>6319</v>
      </c>
      <c r="K4011" s="140" t="s">
        <v>1573</v>
      </c>
    </row>
    <row r="4012">
      <c r="A4012" s="140" t="s">
        <v>302</v>
      </c>
      <c r="B4012" s="140" t="s">
        <v>316</v>
      </c>
      <c r="C4012" s="140" t="s">
        <v>11376</v>
      </c>
      <c r="D4012" s="140" t="s">
        <v>6601</v>
      </c>
      <c r="E4012" s="140" t="s">
        <v>303</v>
      </c>
      <c r="F4012" s="140" t="s">
        <v>304</v>
      </c>
      <c r="G4012" s="141" t="s">
        <v>6311</v>
      </c>
      <c r="H4012" s="140" t="s">
        <v>6330</v>
      </c>
      <c r="I4012" s="140" t="s">
        <v>6313</v>
      </c>
      <c r="J4012" s="140" t="s">
        <v>6319</v>
      </c>
      <c r="K4012" s="140" t="s">
        <v>1573</v>
      </c>
    </row>
    <row r="4013">
      <c r="A4013" s="140" t="s">
        <v>302</v>
      </c>
      <c r="B4013" s="140" t="s">
        <v>310</v>
      </c>
      <c r="C4013" s="140" t="s">
        <v>11377</v>
      </c>
      <c r="D4013" s="140" t="s">
        <v>6601</v>
      </c>
      <c r="E4013" s="140" t="s">
        <v>303</v>
      </c>
      <c r="F4013" s="140" t="s">
        <v>304</v>
      </c>
      <c r="G4013" s="141" t="s">
        <v>6311</v>
      </c>
      <c r="H4013" s="140" t="s">
        <v>6330</v>
      </c>
      <c r="I4013" s="140" t="s">
        <v>6313</v>
      </c>
      <c r="J4013" s="140" t="s">
        <v>6319</v>
      </c>
      <c r="K4013" s="140" t="s">
        <v>1573</v>
      </c>
    </row>
    <row r="4014">
      <c r="A4014" s="140" t="s">
        <v>302</v>
      </c>
      <c r="B4014" s="140" t="s">
        <v>306</v>
      </c>
      <c r="C4014" s="140" t="s">
        <v>11378</v>
      </c>
      <c r="D4014" s="140" t="s">
        <v>6601</v>
      </c>
      <c r="E4014" s="140" t="s">
        <v>303</v>
      </c>
      <c r="F4014" s="140" t="s">
        <v>304</v>
      </c>
      <c r="G4014" s="141" t="s">
        <v>6311</v>
      </c>
      <c r="H4014" s="140" t="s">
        <v>6330</v>
      </c>
      <c r="I4014" s="140" t="s">
        <v>6313</v>
      </c>
      <c r="J4014" s="140" t="s">
        <v>6319</v>
      </c>
      <c r="K4014" s="140" t="s">
        <v>1573</v>
      </c>
    </row>
    <row r="4015">
      <c r="A4015" s="140" t="s">
        <v>302</v>
      </c>
      <c r="B4015" s="140" t="s">
        <v>314</v>
      </c>
      <c r="C4015" s="140" t="s">
        <v>11379</v>
      </c>
      <c r="D4015" s="140" t="s">
        <v>6601</v>
      </c>
      <c r="E4015" s="140" t="s">
        <v>303</v>
      </c>
      <c r="F4015" s="140" t="s">
        <v>304</v>
      </c>
      <c r="G4015" s="141" t="s">
        <v>6311</v>
      </c>
      <c r="H4015" s="140" t="s">
        <v>6330</v>
      </c>
      <c r="I4015" s="140" t="s">
        <v>6313</v>
      </c>
      <c r="J4015" s="140" t="s">
        <v>6319</v>
      </c>
      <c r="K4015" s="140" t="s">
        <v>1573</v>
      </c>
    </row>
    <row r="4016">
      <c r="A4016" s="140" t="s">
        <v>302</v>
      </c>
      <c r="B4016" s="140" t="s">
        <v>342</v>
      </c>
      <c r="C4016" s="140" t="s">
        <v>11380</v>
      </c>
      <c r="D4016" s="140" t="s">
        <v>6601</v>
      </c>
      <c r="E4016" s="140" t="s">
        <v>303</v>
      </c>
      <c r="F4016" s="140" t="s">
        <v>304</v>
      </c>
      <c r="G4016" s="141" t="s">
        <v>6311</v>
      </c>
      <c r="H4016" s="140" t="s">
        <v>6330</v>
      </c>
      <c r="I4016" s="140" t="s">
        <v>6313</v>
      </c>
      <c r="J4016" s="140" t="s">
        <v>6319</v>
      </c>
      <c r="K4016" s="140" t="s">
        <v>1573</v>
      </c>
    </row>
    <row r="4017">
      <c r="A4017" s="140" t="s">
        <v>302</v>
      </c>
      <c r="B4017" s="140" t="s">
        <v>344</v>
      </c>
      <c r="C4017" s="140" t="s">
        <v>11380</v>
      </c>
      <c r="D4017" s="140" t="s">
        <v>6601</v>
      </c>
      <c r="E4017" s="140" t="s">
        <v>303</v>
      </c>
      <c r="F4017" s="140" t="s">
        <v>304</v>
      </c>
      <c r="G4017" s="141" t="s">
        <v>6311</v>
      </c>
      <c r="H4017" s="140" t="s">
        <v>6330</v>
      </c>
      <c r="I4017" s="140" t="s">
        <v>6313</v>
      </c>
      <c r="J4017" s="140" t="s">
        <v>6319</v>
      </c>
      <c r="K4017" s="140" t="s">
        <v>1573</v>
      </c>
    </row>
    <row r="4018">
      <c r="A4018" s="140" t="s">
        <v>302</v>
      </c>
      <c r="B4018" s="140" t="s">
        <v>336</v>
      </c>
      <c r="C4018" s="140" t="s">
        <v>11381</v>
      </c>
      <c r="D4018" s="140" t="s">
        <v>6601</v>
      </c>
      <c r="E4018" s="140" t="s">
        <v>303</v>
      </c>
      <c r="F4018" s="140" t="s">
        <v>304</v>
      </c>
      <c r="G4018" s="141" t="s">
        <v>6311</v>
      </c>
      <c r="H4018" s="140" t="s">
        <v>6330</v>
      </c>
      <c r="I4018" s="140" t="s">
        <v>6313</v>
      </c>
      <c r="J4018" s="140" t="s">
        <v>6319</v>
      </c>
      <c r="K4018" s="140" t="s">
        <v>1573</v>
      </c>
    </row>
    <row r="4019">
      <c r="A4019" s="140" t="s">
        <v>302</v>
      </c>
      <c r="B4019" s="140" t="s">
        <v>340</v>
      </c>
      <c r="C4019" s="140" t="s">
        <v>11382</v>
      </c>
      <c r="D4019" s="140" t="s">
        <v>6601</v>
      </c>
      <c r="E4019" s="140" t="s">
        <v>303</v>
      </c>
      <c r="F4019" s="140" t="s">
        <v>304</v>
      </c>
      <c r="G4019" s="141" t="s">
        <v>6311</v>
      </c>
      <c r="H4019" s="140" t="s">
        <v>6330</v>
      </c>
      <c r="I4019" s="140" t="s">
        <v>6313</v>
      </c>
      <c r="J4019" s="140" t="s">
        <v>6319</v>
      </c>
      <c r="K4019" s="140" t="s">
        <v>1573</v>
      </c>
    </row>
    <row r="4020">
      <c r="A4020" s="140" t="s">
        <v>302</v>
      </c>
      <c r="B4020" s="140" t="s">
        <v>332</v>
      </c>
      <c r="C4020" s="140" t="s">
        <v>11383</v>
      </c>
      <c r="D4020" s="140" t="s">
        <v>6601</v>
      </c>
      <c r="E4020" s="140" t="s">
        <v>303</v>
      </c>
      <c r="F4020" s="140" t="s">
        <v>304</v>
      </c>
      <c r="G4020" s="141" t="s">
        <v>6311</v>
      </c>
      <c r="H4020" s="140" t="s">
        <v>6330</v>
      </c>
      <c r="I4020" s="140" t="s">
        <v>6313</v>
      </c>
      <c r="J4020" s="140" t="s">
        <v>6319</v>
      </c>
      <c r="K4020" s="140" t="s">
        <v>1573</v>
      </c>
    </row>
    <row r="4021">
      <c r="A4021" s="140" t="s">
        <v>302</v>
      </c>
      <c r="B4021" s="140" t="s">
        <v>334</v>
      </c>
      <c r="C4021" s="140" t="s">
        <v>11384</v>
      </c>
      <c r="D4021" s="140" t="s">
        <v>6601</v>
      </c>
      <c r="E4021" s="140" t="s">
        <v>303</v>
      </c>
      <c r="F4021" s="140" t="s">
        <v>304</v>
      </c>
      <c r="G4021" s="141" t="s">
        <v>6311</v>
      </c>
      <c r="H4021" s="140" t="s">
        <v>6330</v>
      </c>
      <c r="I4021" s="140" t="s">
        <v>6313</v>
      </c>
      <c r="J4021" s="140" t="s">
        <v>6319</v>
      </c>
      <c r="K4021" s="140" t="s">
        <v>1573</v>
      </c>
    </row>
    <row r="4022">
      <c r="A4022" s="140" t="s">
        <v>302</v>
      </c>
      <c r="B4022" s="140" t="s">
        <v>338</v>
      </c>
      <c r="C4022" s="140" t="s">
        <v>11385</v>
      </c>
      <c r="D4022" s="140" t="s">
        <v>6601</v>
      </c>
      <c r="E4022" s="140" t="s">
        <v>303</v>
      </c>
      <c r="F4022" s="140" t="s">
        <v>304</v>
      </c>
      <c r="G4022" s="141" t="s">
        <v>6311</v>
      </c>
      <c r="H4022" s="140" t="s">
        <v>6330</v>
      </c>
      <c r="I4022" s="140" t="s">
        <v>6313</v>
      </c>
      <c r="J4022" s="140" t="s">
        <v>6319</v>
      </c>
      <c r="K4022" s="140" t="s">
        <v>1573</v>
      </c>
    </row>
    <row r="4023">
      <c r="A4023" s="140" t="s">
        <v>302</v>
      </c>
      <c r="B4023" s="140" t="s">
        <v>330</v>
      </c>
      <c r="C4023" s="140" t="s">
        <v>11386</v>
      </c>
      <c r="D4023" s="140" t="s">
        <v>6601</v>
      </c>
      <c r="E4023" s="140" t="s">
        <v>303</v>
      </c>
      <c r="F4023" s="140" t="s">
        <v>304</v>
      </c>
      <c r="G4023" s="141" t="s">
        <v>6311</v>
      </c>
      <c r="H4023" s="140" t="s">
        <v>6330</v>
      </c>
      <c r="I4023" s="140" t="s">
        <v>6313</v>
      </c>
      <c r="J4023" s="140" t="s">
        <v>6319</v>
      </c>
      <c r="K4023" s="140" t="s">
        <v>1573</v>
      </c>
    </row>
    <row r="4024">
      <c r="A4024" s="140" t="s">
        <v>302</v>
      </c>
      <c r="B4024" s="140" t="s">
        <v>320</v>
      </c>
      <c r="C4024" s="140" t="s">
        <v>11387</v>
      </c>
      <c r="D4024" s="140" t="s">
        <v>6601</v>
      </c>
      <c r="E4024" s="140" t="s">
        <v>303</v>
      </c>
      <c r="F4024" s="140" t="s">
        <v>304</v>
      </c>
      <c r="G4024" s="141" t="s">
        <v>6311</v>
      </c>
      <c r="H4024" s="140" t="s">
        <v>6330</v>
      </c>
      <c r="I4024" s="140" t="s">
        <v>6313</v>
      </c>
      <c r="J4024" s="140" t="s">
        <v>6319</v>
      </c>
      <c r="K4024" s="140" t="s">
        <v>1573</v>
      </c>
    </row>
    <row r="4025">
      <c r="A4025" s="140" t="s">
        <v>302</v>
      </c>
      <c r="B4025" s="140" t="s">
        <v>328</v>
      </c>
      <c r="C4025" s="140" t="s">
        <v>11388</v>
      </c>
      <c r="D4025" s="140" t="s">
        <v>6601</v>
      </c>
      <c r="E4025" s="140" t="s">
        <v>303</v>
      </c>
      <c r="F4025" s="140" t="s">
        <v>304</v>
      </c>
      <c r="G4025" s="142" t="s">
        <v>6401</v>
      </c>
      <c r="H4025" s="140" t="s">
        <v>6330</v>
      </c>
      <c r="I4025" s="140" t="s">
        <v>6313</v>
      </c>
      <c r="J4025" s="140" t="s">
        <v>6319</v>
      </c>
      <c r="K4025" s="140" t="s">
        <v>1573</v>
      </c>
    </row>
    <row r="4026">
      <c r="A4026" s="140" t="s">
        <v>302</v>
      </c>
      <c r="B4026" s="140" t="s">
        <v>324</v>
      </c>
      <c r="C4026" s="140" t="s">
        <v>11389</v>
      </c>
      <c r="D4026" s="140" t="s">
        <v>6601</v>
      </c>
      <c r="E4026" s="140" t="s">
        <v>303</v>
      </c>
      <c r="F4026" s="140" t="s">
        <v>304</v>
      </c>
      <c r="G4026" s="142" t="s">
        <v>6311</v>
      </c>
      <c r="H4026" s="140" t="s">
        <v>6330</v>
      </c>
      <c r="I4026" s="140" t="s">
        <v>6313</v>
      </c>
      <c r="J4026" s="140" t="s">
        <v>6319</v>
      </c>
      <c r="K4026" s="140" t="s">
        <v>1573</v>
      </c>
    </row>
    <row r="4027">
      <c r="A4027" s="140" t="s">
        <v>302</v>
      </c>
      <c r="B4027" s="140" t="s">
        <v>318</v>
      </c>
      <c r="C4027" s="140" t="s">
        <v>11390</v>
      </c>
      <c r="D4027" s="140" t="s">
        <v>6601</v>
      </c>
      <c r="E4027" s="140" t="s">
        <v>303</v>
      </c>
      <c r="F4027" s="140" t="s">
        <v>304</v>
      </c>
      <c r="G4027" s="141" t="s">
        <v>6311</v>
      </c>
      <c r="H4027" s="140" t="s">
        <v>6330</v>
      </c>
      <c r="I4027" s="140" t="s">
        <v>6313</v>
      </c>
      <c r="J4027" s="140" t="s">
        <v>6319</v>
      </c>
      <c r="K4027" s="140" t="s">
        <v>1573</v>
      </c>
    </row>
    <row r="4028">
      <c r="A4028" s="140" t="s">
        <v>302</v>
      </c>
      <c r="B4028" s="140" t="s">
        <v>326</v>
      </c>
      <c r="C4028" s="140" t="s">
        <v>11391</v>
      </c>
      <c r="D4028" s="140" t="s">
        <v>6601</v>
      </c>
      <c r="E4028" s="140" t="s">
        <v>303</v>
      </c>
      <c r="F4028" s="140" t="s">
        <v>304</v>
      </c>
      <c r="G4028" s="141" t="s">
        <v>6311</v>
      </c>
      <c r="H4028" s="140" t="s">
        <v>6330</v>
      </c>
      <c r="I4028" s="140" t="s">
        <v>6313</v>
      </c>
      <c r="J4028" s="140" t="s">
        <v>6319</v>
      </c>
      <c r="K4028" s="140" t="s">
        <v>1573</v>
      </c>
    </row>
    <row r="4029">
      <c r="A4029" s="140" t="s">
        <v>302</v>
      </c>
      <c r="B4029" s="140" t="s">
        <v>322</v>
      </c>
      <c r="C4029" s="140" t="s">
        <v>11392</v>
      </c>
      <c r="D4029" s="140" t="s">
        <v>6601</v>
      </c>
      <c r="E4029" s="140" t="s">
        <v>303</v>
      </c>
      <c r="F4029" s="140" t="s">
        <v>304</v>
      </c>
      <c r="G4029" s="141" t="s">
        <v>6311</v>
      </c>
      <c r="H4029" s="140" t="s">
        <v>6330</v>
      </c>
      <c r="I4029" s="140" t="s">
        <v>6313</v>
      </c>
      <c r="J4029" s="140" t="s">
        <v>6319</v>
      </c>
      <c r="K4029" s="140" t="s">
        <v>1573</v>
      </c>
    </row>
    <row r="4030">
      <c r="A4030" s="140" t="s">
        <v>302</v>
      </c>
      <c r="B4030" s="140" t="s">
        <v>11393</v>
      </c>
      <c r="C4030" s="140" t="s">
        <v>11394</v>
      </c>
      <c r="D4030" s="140" t="s">
        <v>6601</v>
      </c>
      <c r="E4030" s="140" t="s">
        <v>303</v>
      </c>
      <c r="F4030" s="140" t="s">
        <v>304</v>
      </c>
      <c r="G4030" s="141" t="s">
        <v>6311</v>
      </c>
      <c r="H4030" s="140" t="s">
        <v>6330</v>
      </c>
      <c r="I4030" s="140" t="s">
        <v>6527</v>
      </c>
      <c r="J4030" s="140" t="s">
        <v>6319</v>
      </c>
      <c r="K4030" s="140" t="s">
        <v>1573</v>
      </c>
    </row>
    <row r="4031">
      <c r="A4031" s="140" t="s">
        <v>302</v>
      </c>
      <c r="B4031" s="140" t="s">
        <v>11395</v>
      </c>
      <c r="C4031" s="140" t="s">
        <v>11394</v>
      </c>
      <c r="D4031" s="140" t="s">
        <v>6601</v>
      </c>
      <c r="E4031" s="140" t="s">
        <v>303</v>
      </c>
      <c r="F4031" s="140" t="s">
        <v>304</v>
      </c>
      <c r="G4031" s="141" t="s">
        <v>6311</v>
      </c>
      <c r="H4031" s="140" t="s">
        <v>6330</v>
      </c>
      <c r="I4031" s="140" t="s">
        <v>6527</v>
      </c>
      <c r="J4031" s="140" t="s">
        <v>6319</v>
      </c>
      <c r="K4031" s="140" t="s">
        <v>1573</v>
      </c>
    </row>
    <row r="4032">
      <c r="A4032" s="140" t="s">
        <v>302</v>
      </c>
      <c r="B4032" s="140" t="s">
        <v>11396</v>
      </c>
      <c r="C4032" s="140" t="s">
        <v>11397</v>
      </c>
      <c r="D4032" s="140" t="s">
        <v>6601</v>
      </c>
      <c r="E4032" s="140" t="s">
        <v>303</v>
      </c>
      <c r="F4032" s="140" t="s">
        <v>304</v>
      </c>
      <c r="G4032" s="141" t="s">
        <v>6311</v>
      </c>
      <c r="H4032" s="140" t="s">
        <v>6330</v>
      </c>
      <c r="I4032" s="140" t="s">
        <v>6527</v>
      </c>
      <c r="J4032" s="140" t="s">
        <v>6319</v>
      </c>
      <c r="K4032" s="140" t="s">
        <v>1573</v>
      </c>
    </row>
    <row r="4033">
      <c r="A4033" s="140" t="s">
        <v>302</v>
      </c>
      <c r="B4033" s="140" t="s">
        <v>11398</v>
      </c>
      <c r="C4033" s="140" t="s">
        <v>11397</v>
      </c>
      <c r="D4033" s="140" t="s">
        <v>6601</v>
      </c>
      <c r="E4033" s="140" t="s">
        <v>303</v>
      </c>
      <c r="F4033" s="140" t="s">
        <v>304</v>
      </c>
      <c r="G4033" s="141" t="s">
        <v>6311</v>
      </c>
      <c r="H4033" s="140" t="s">
        <v>6330</v>
      </c>
      <c r="I4033" s="140" t="s">
        <v>6527</v>
      </c>
      <c r="J4033" s="140" t="s">
        <v>6319</v>
      </c>
      <c r="K4033" s="140" t="s">
        <v>1573</v>
      </c>
    </row>
    <row r="4034">
      <c r="A4034" s="140" t="s">
        <v>302</v>
      </c>
      <c r="B4034" s="140" t="s">
        <v>11399</v>
      </c>
      <c r="C4034" s="140" t="s">
        <v>11400</v>
      </c>
      <c r="D4034" s="140" t="s">
        <v>6601</v>
      </c>
      <c r="E4034" s="140" t="s">
        <v>303</v>
      </c>
      <c r="F4034" s="140" t="s">
        <v>304</v>
      </c>
      <c r="G4034" s="141" t="s">
        <v>6311</v>
      </c>
      <c r="H4034" s="140" t="s">
        <v>6330</v>
      </c>
      <c r="I4034" s="140" t="s">
        <v>6527</v>
      </c>
      <c r="J4034" s="140" t="s">
        <v>6319</v>
      </c>
      <c r="K4034" s="140" t="s">
        <v>1573</v>
      </c>
    </row>
    <row r="4035">
      <c r="A4035" s="140" t="s">
        <v>302</v>
      </c>
      <c r="B4035" s="140" t="s">
        <v>11401</v>
      </c>
      <c r="C4035" s="140" t="s">
        <v>11400</v>
      </c>
      <c r="D4035" s="140" t="s">
        <v>6601</v>
      </c>
      <c r="E4035" s="140" t="s">
        <v>303</v>
      </c>
      <c r="F4035" s="140" t="s">
        <v>304</v>
      </c>
      <c r="G4035" s="141" t="s">
        <v>6311</v>
      </c>
      <c r="H4035" s="140" t="s">
        <v>6330</v>
      </c>
      <c r="I4035" s="140" t="s">
        <v>6527</v>
      </c>
      <c r="J4035" s="140" t="s">
        <v>6319</v>
      </c>
      <c r="K4035" s="140" t="s">
        <v>1573</v>
      </c>
    </row>
    <row r="4036">
      <c r="A4036" s="140" t="s">
        <v>302</v>
      </c>
      <c r="B4036" s="140" t="s">
        <v>363</v>
      </c>
      <c r="C4036" s="140" t="s">
        <v>11402</v>
      </c>
      <c r="D4036" s="140" t="s">
        <v>6601</v>
      </c>
      <c r="E4036" s="140" t="s">
        <v>303</v>
      </c>
      <c r="F4036" s="140" t="s">
        <v>345</v>
      </c>
      <c r="G4036" s="141" t="s">
        <v>134</v>
      </c>
      <c r="H4036" s="140" t="s">
        <v>6312</v>
      </c>
      <c r="I4036" s="140" t="s">
        <v>6313</v>
      </c>
      <c r="J4036" s="140" t="s">
        <v>6319</v>
      </c>
      <c r="K4036" s="140" t="s">
        <v>1573</v>
      </c>
    </row>
    <row r="4037">
      <c r="A4037" s="140" t="s">
        <v>302</v>
      </c>
      <c r="B4037" s="140" t="s">
        <v>367</v>
      </c>
      <c r="C4037" s="140" t="s">
        <v>11403</v>
      </c>
      <c r="D4037" s="140" t="s">
        <v>6601</v>
      </c>
      <c r="E4037" s="140" t="s">
        <v>303</v>
      </c>
      <c r="F4037" s="140" t="s">
        <v>345</v>
      </c>
      <c r="G4037" s="141" t="s">
        <v>134</v>
      </c>
      <c r="H4037" s="140" t="s">
        <v>6312</v>
      </c>
      <c r="I4037" s="140" t="s">
        <v>6313</v>
      </c>
      <c r="J4037" s="140" t="s">
        <v>6319</v>
      </c>
      <c r="K4037" s="140" t="s">
        <v>1573</v>
      </c>
    </row>
    <row r="4038">
      <c r="A4038" s="140" t="s">
        <v>302</v>
      </c>
      <c r="B4038" s="140" t="s">
        <v>351</v>
      </c>
      <c r="C4038" s="140" t="s">
        <v>11404</v>
      </c>
      <c r="D4038" s="140" t="s">
        <v>6601</v>
      </c>
      <c r="E4038" s="140" t="s">
        <v>303</v>
      </c>
      <c r="F4038" s="140" t="s">
        <v>345</v>
      </c>
      <c r="G4038" s="141" t="s">
        <v>134</v>
      </c>
      <c r="H4038" s="140" t="s">
        <v>6312</v>
      </c>
      <c r="I4038" s="140" t="s">
        <v>6313</v>
      </c>
      <c r="J4038" s="140" t="s">
        <v>6319</v>
      </c>
      <c r="K4038" s="140" t="s">
        <v>1573</v>
      </c>
    </row>
    <row r="4039">
      <c r="A4039" s="140" t="s">
        <v>302</v>
      </c>
      <c r="B4039" s="140" t="s">
        <v>349</v>
      </c>
      <c r="C4039" s="140" t="s">
        <v>11405</v>
      </c>
      <c r="D4039" s="140" t="s">
        <v>6601</v>
      </c>
      <c r="E4039" s="140" t="s">
        <v>303</v>
      </c>
      <c r="F4039" s="140" t="s">
        <v>345</v>
      </c>
      <c r="G4039" s="141" t="s">
        <v>134</v>
      </c>
      <c r="H4039" s="140" t="s">
        <v>6312</v>
      </c>
      <c r="I4039" s="140" t="s">
        <v>6313</v>
      </c>
      <c r="J4039" s="140" t="s">
        <v>6319</v>
      </c>
      <c r="K4039" s="140" t="s">
        <v>1573</v>
      </c>
    </row>
    <row r="4040">
      <c r="A4040" s="140" t="s">
        <v>302</v>
      </c>
      <c r="B4040" s="140" t="s">
        <v>369</v>
      </c>
      <c r="C4040" s="140" t="s">
        <v>11406</v>
      </c>
      <c r="D4040" s="140" t="s">
        <v>6601</v>
      </c>
      <c r="E4040" s="140" t="s">
        <v>303</v>
      </c>
      <c r="F4040" s="140" t="s">
        <v>345</v>
      </c>
      <c r="G4040" s="141" t="s">
        <v>134</v>
      </c>
      <c r="H4040" s="140" t="s">
        <v>6312</v>
      </c>
      <c r="I4040" s="140" t="s">
        <v>6313</v>
      </c>
      <c r="J4040" s="140" t="s">
        <v>6319</v>
      </c>
      <c r="K4040" s="140" t="s">
        <v>1573</v>
      </c>
    </row>
    <row r="4041">
      <c r="A4041" s="140" t="s">
        <v>302</v>
      </c>
      <c r="B4041" s="140" t="s">
        <v>371</v>
      </c>
      <c r="C4041" s="140" t="s">
        <v>11407</v>
      </c>
      <c r="D4041" s="140" t="s">
        <v>6601</v>
      </c>
      <c r="E4041" s="140" t="s">
        <v>303</v>
      </c>
      <c r="F4041" s="140" t="s">
        <v>345</v>
      </c>
      <c r="G4041" s="141" t="s">
        <v>134</v>
      </c>
      <c r="H4041" s="140" t="s">
        <v>6312</v>
      </c>
      <c r="I4041" s="140" t="s">
        <v>6313</v>
      </c>
      <c r="J4041" s="140" t="s">
        <v>6319</v>
      </c>
      <c r="K4041" s="140" t="s">
        <v>1573</v>
      </c>
    </row>
    <row r="4042">
      <c r="A4042" s="140" t="s">
        <v>302</v>
      </c>
      <c r="B4042" s="140" t="s">
        <v>373</v>
      </c>
      <c r="C4042" s="140" t="s">
        <v>11408</v>
      </c>
      <c r="D4042" s="140" t="s">
        <v>6601</v>
      </c>
      <c r="E4042" s="140" t="s">
        <v>303</v>
      </c>
      <c r="F4042" s="140" t="s">
        <v>345</v>
      </c>
      <c r="G4042" s="141" t="s">
        <v>134</v>
      </c>
      <c r="H4042" s="140" t="s">
        <v>6312</v>
      </c>
      <c r="I4042" s="140" t="s">
        <v>6313</v>
      </c>
      <c r="J4042" s="140" t="s">
        <v>6319</v>
      </c>
      <c r="K4042" s="140" t="s">
        <v>1573</v>
      </c>
    </row>
    <row r="4043">
      <c r="A4043" s="140" t="s">
        <v>302</v>
      </c>
      <c r="B4043" s="140" t="s">
        <v>353</v>
      </c>
      <c r="C4043" s="140" t="s">
        <v>11409</v>
      </c>
      <c r="D4043" s="140" t="s">
        <v>6601</v>
      </c>
      <c r="E4043" s="140" t="s">
        <v>303</v>
      </c>
      <c r="F4043" s="140" t="s">
        <v>345</v>
      </c>
      <c r="G4043" s="141" t="s">
        <v>134</v>
      </c>
      <c r="H4043" s="140" t="s">
        <v>6312</v>
      </c>
      <c r="I4043" s="140" t="s">
        <v>6313</v>
      </c>
      <c r="J4043" s="140" t="s">
        <v>6319</v>
      </c>
      <c r="K4043" s="140" t="s">
        <v>1573</v>
      </c>
    </row>
    <row r="4044">
      <c r="A4044" s="140" t="s">
        <v>302</v>
      </c>
      <c r="B4044" s="140" t="s">
        <v>355</v>
      </c>
      <c r="C4044" s="140" t="s">
        <v>11410</v>
      </c>
      <c r="D4044" s="140" t="s">
        <v>6601</v>
      </c>
      <c r="E4044" s="140" t="s">
        <v>303</v>
      </c>
      <c r="F4044" s="140" t="s">
        <v>345</v>
      </c>
      <c r="G4044" s="141" t="s">
        <v>134</v>
      </c>
      <c r="H4044" s="140" t="s">
        <v>6312</v>
      </c>
      <c r="I4044" s="140" t="s">
        <v>6313</v>
      </c>
      <c r="J4044" s="140" t="s">
        <v>6319</v>
      </c>
      <c r="K4044" s="140" t="s">
        <v>1573</v>
      </c>
    </row>
    <row r="4045">
      <c r="A4045" s="140" t="s">
        <v>302</v>
      </c>
      <c r="B4045" s="140" t="s">
        <v>359</v>
      </c>
      <c r="C4045" s="140" t="s">
        <v>11411</v>
      </c>
      <c r="D4045" s="140" t="s">
        <v>6601</v>
      </c>
      <c r="E4045" s="140" t="s">
        <v>303</v>
      </c>
      <c r="F4045" s="140" t="s">
        <v>345</v>
      </c>
      <c r="G4045" s="141" t="s">
        <v>134</v>
      </c>
      <c r="H4045" s="140" t="s">
        <v>6312</v>
      </c>
      <c r="I4045" s="140" t="s">
        <v>6313</v>
      </c>
      <c r="J4045" s="140" t="s">
        <v>6319</v>
      </c>
      <c r="K4045" s="140" t="s">
        <v>1573</v>
      </c>
    </row>
    <row r="4046">
      <c r="A4046" s="140" t="s">
        <v>302</v>
      </c>
      <c r="B4046" s="140" t="s">
        <v>361</v>
      </c>
      <c r="C4046" s="140" t="s">
        <v>11412</v>
      </c>
      <c r="D4046" s="140" t="s">
        <v>6601</v>
      </c>
      <c r="E4046" s="140" t="s">
        <v>303</v>
      </c>
      <c r="F4046" s="140" t="s">
        <v>345</v>
      </c>
      <c r="G4046" s="141" t="s">
        <v>134</v>
      </c>
      <c r="H4046" s="140" t="s">
        <v>6312</v>
      </c>
      <c r="I4046" s="140" t="s">
        <v>6313</v>
      </c>
      <c r="J4046" s="140" t="s">
        <v>6319</v>
      </c>
      <c r="K4046" s="140" t="s">
        <v>1573</v>
      </c>
    </row>
    <row r="4047">
      <c r="A4047" s="140" t="s">
        <v>302</v>
      </c>
      <c r="B4047" s="140" t="s">
        <v>357</v>
      </c>
      <c r="C4047" s="140" t="s">
        <v>11413</v>
      </c>
      <c r="D4047" s="140" t="s">
        <v>6601</v>
      </c>
      <c r="E4047" s="140" t="s">
        <v>303</v>
      </c>
      <c r="F4047" s="140" t="s">
        <v>345</v>
      </c>
      <c r="G4047" s="141" t="s">
        <v>134</v>
      </c>
      <c r="H4047" s="140" t="s">
        <v>6312</v>
      </c>
      <c r="I4047" s="140" t="s">
        <v>6313</v>
      </c>
      <c r="J4047" s="140" t="s">
        <v>6319</v>
      </c>
      <c r="K4047" s="140" t="s">
        <v>1573</v>
      </c>
    </row>
    <row r="4048">
      <c r="A4048" s="140" t="s">
        <v>302</v>
      </c>
      <c r="B4048" s="140" t="s">
        <v>365</v>
      </c>
      <c r="C4048" s="140" t="s">
        <v>11414</v>
      </c>
      <c r="D4048" s="140" t="s">
        <v>6601</v>
      </c>
      <c r="E4048" s="140" t="s">
        <v>303</v>
      </c>
      <c r="F4048" s="140" t="s">
        <v>345</v>
      </c>
      <c r="G4048" s="141" t="s">
        <v>134</v>
      </c>
      <c r="H4048" s="140" t="s">
        <v>6312</v>
      </c>
      <c r="I4048" s="140" t="s">
        <v>6313</v>
      </c>
      <c r="J4048" s="140" t="s">
        <v>6319</v>
      </c>
      <c r="K4048" s="140" t="s">
        <v>1573</v>
      </c>
    </row>
    <row r="4049">
      <c r="A4049" s="140" t="s">
        <v>302</v>
      </c>
      <c r="B4049" s="140" t="s">
        <v>347</v>
      </c>
      <c r="C4049" s="140" t="s">
        <v>11415</v>
      </c>
      <c r="D4049" s="140" t="s">
        <v>6601</v>
      </c>
      <c r="E4049" s="140" t="s">
        <v>303</v>
      </c>
      <c r="F4049" s="140" t="s">
        <v>345</v>
      </c>
      <c r="G4049" s="141" t="s">
        <v>134</v>
      </c>
      <c r="H4049" s="140" t="s">
        <v>6312</v>
      </c>
      <c r="I4049" s="140" t="s">
        <v>6313</v>
      </c>
      <c r="J4049" s="140" t="s">
        <v>6319</v>
      </c>
      <c r="K4049" s="140" t="s">
        <v>1573</v>
      </c>
    </row>
    <row r="4050">
      <c r="A4050" s="140" t="s">
        <v>302</v>
      </c>
      <c r="B4050" s="140" t="s">
        <v>376</v>
      </c>
      <c r="C4050" s="140" t="s">
        <v>11416</v>
      </c>
      <c r="D4050" s="140" t="s">
        <v>6601</v>
      </c>
      <c r="E4050" s="140" t="s">
        <v>303</v>
      </c>
      <c r="F4050" s="140" t="s">
        <v>374</v>
      </c>
      <c r="G4050" s="141" t="s">
        <v>134</v>
      </c>
      <c r="H4050" s="140" t="s">
        <v>6330</v>
      </c>
      <c r="I4050" s="140" t="s">
        <v>6313</v>
      </c>
      <c r="J4050" s="140" t="s">
        <v>6319</v>
      </c>
      <c r="K4050" s="140" t="s">
        <v>1573</v>
      </c>
    </row>
    <row r="4051">
      <c r="A4051" s="140" t="s">
        <v>302</v>
      </c>
      <c r="B4051" s="140" t="s">
        <v>378</v>
      </c>
      <c r="C4051" s="140" t="s">
        <v>11417</v>
      </c>
      <c r="D4051" s="140" t="s">
        <v>6601</v>
      </c>
      <c r="E4051" s="140" t="s">
        <v>303</v>
      </c>
      <c r="F4051" s="140" t="s">
        <v>374</v>
      </c>
      <c r="G4051" s="141" t="s">
        <v>134</v>
      </c>
      <c r="H4051" s="140" t="s">
        <v>6312</v>
      </c>
      <c r="I4051" s="140" t="s">
        <v>6313</v>
      </c>
      <c r="J4051" s="140" t="s">
        <v>6319</v>
      </c>
      <c r="K4051" s="140" t="s">
        <v>1573</v>
      </c>
    </row>
    <row r="4052">
      <c r="A4052" s="140" t="s">
        <v>302</v>
      </c>
      <c r="B4052" s="140" t="s">
        <v>380</v>
      </c>
      <c r="C4052" s="140" t="s">
        <v>11418</v>
      </c>
      <c r="D4052" s="140" t="s">
        <v>6601</v>
      </c>
      <c r="E4052" s="140" t="s">
        <v>303</v>
      </c>
      <c r="F4052" s="140" t="s">
        <v>374</v>
      </c>
      <c r="G4052" s="141" t="s">
        <v>134</v>
      </c>
      <c r="H4052" s="140" t="s">
        <v>6312</v>
      </c>
      <c r="I4052" s="140" t="s">
        <v>6313</v>
      </c>
      <c r="J4052" s="140" t="s">
        <v>6319</v>
      </c>
      <c r="K4052" s="140" t="s">
        <v>1573</v>
      </c>
    </row>
    <row r="4053">
      <c r="A4053" s="140" t="s">
        <v>302</v>
      </c>
      <c r="B4053" s="140" t="s">
        <v>382</v>
      </c>
      <c r="C4053" s="140" t="s">
        <v>11419</v>
      </c>
      <c r="D4053" s="140" t="s">
        <v>6601</v>
      </c>
      <c r="E4053" s="140" t="s">
        <v>303</v>
      </c>
      <c r="F4053" s="140" t="s">
        <v>374</v>
      </c>
      <c r="G4053" s="141" t="s">
        <v>134</v>
      </c>
      <c r="H4053" s="140" t="s">
        <v>6330</v>
      </c>
      <c r="I4053" s="140" t="s">
        <v>6313</v>
      </c>
      <c r="J4053" s="140" t="s">
        <v>6319</v>
      </c>
      <c r="K4053" s="140" t="s">
        <v>1573</v>
      </c>
    </row>
    <row r="4054">
      <c r="A4054" s="140" t="s">
        <v>302</v>
      </c>
      <c r="B4054" s="140" t="s">
        <v>384</v>
      </c>
      <c r="C4054" s="140" t="s">
        <v>11420</v>
      </c>
      <c r="D4054" s="140" t="s">
        <v>6601</v>
      </c>
      <c r="E4054" s="140" t="s">
        <v>303</v>
      </c>
      <c r="F4054" s="140" t="s">
        <v>374</v>
      </c>
      <c r="G4054" s="141" t="s">
        <v>134</v>
      </c>
      <c r="H4054" s="140" t="s">
        <v>6312</v>
      </c>
      <c r="I4054" s="140" t="s">
        <v>6313</v>
      </c>
      <c r="J4054" s="140" t="s">
        <v>6319</v>
      </c>
      <c r="K4054" s="140" t="s">
        <v>1573</v>
      </c>
    </row>
    <row r="4055">
      <c r="A4055" s="140" t="s">
        <v>302</v>
      </c>
      <c r="B4055" s="140" t="s">
        <v>386</v>
      </c>
      <c r="C4055" s="140" t="s">
        <v>11421</v>
      </c>
      <c r="D4055" s="140" t="s">
        <v>6601</v>
      </c>
      <c r="E4055" s="140" t="s">
        <v>303</v>
      </c>
      <c r="F4055" s="140" t="s">
        <v>374</v>
      </c>
      <c r="G4055" s="141" t="s">
        <v>134</v>
      </c>
      <c r="H4055" s="140" t="s">
        <v>6312</v>
      </c>
      <c r="I4055" s="140" t="s">
        <v>6313</v>
      </c>
      <c r="J4055" s="140" t="s">
        <v>6319</v>
      </c>
      <c r="K4055" s="140" t="s">
        <v>1573</v>
      </c>
    </row>
    <row r="4056">
      <c r="A4056" s="140" t="s">
        <v>302</v>
      </c>
      <c r="B4056" s="140" t="s">
        <v>388</v>
      </c>
      <c r="C4056" s="140" t="s">
        <v>11422</v>
      </c>
      <c r="D4056" s="140" t="s">
        <v>6601</v>
      </c>
      <c r="E4056" s="140" t="s">
        <v>303</v>
      </c>
      <c r="F4056" s="140" t="s">
        <v>374</v>
      </c>
      <c r="G4056" s="141" t="s">
        <v>134</v>
      </c>
      <c r="H4056" s="140" t="s">
        <v>6312</v>
      </c>
      <c r="I4056" s="140" t="s">
        <v>6313</v>
      </c>
      <c r="J4056" s="140" t="s">
        <v>6319</v>
      </c>
      <c r="K4056" s="140" t="s">
        <v>1573</v>
      </c>
    </row>
    <row r="4057">
      <c r="A4057" s="140" t="s">
        <v>302</v>
      </c>
      <c r="B4057" s="140" t="s">
        <v>390</v>
      </c>
      <c r="C4057" s="140" t="s">
        <v>11423</v>
      </c>
      <c r="D4057" s="140" t="s">
        <v>6601</v>
      </c>
      <c r="E4057" s="140" t="s">
        <v>303</v>
      </c>
      <c r="F4057" s="140" t="s">
        <v>374</v>
      </c>
      <c r="G4057" s="141" t="s">
        <v>134</v>
      </c>
      <c r="H4057" s="140" t="s">
        <v>6312</v>
      </c>
      <c r="I4057" s="140" t="s">
        <v>6313</v>
      </c>
      <c r="J4057" s="140" t="s">
        <v>6319</v>
      </c>
      <c r="K4057" s="140" t="s">
        <v>1573</v>
      </c>
    </row>
    <row r="4058">
      <c r="A4058" s="140" t="s">
        <v>302</v>
      </c>
      <c r="B4058" s="140" t="s">
        <v>392</v>
      </c>
      <c r="C4058" s="140" t="s">
        <v>11424</v>
      </c>
      <c r="D4058" s="140" t="s">
        <v>6601</v>
      </c>
      <c r="E4058" s="140" t="s">
        <v>303</v>
      </c>
      <c r="F4058" s="140" t="s">
        <v>374</v>
      </c>
      <c r="G4058" s="141" t="s">
        <v>134</v>
      </c>
      <c r="H4058" s="140" t="s">
        <v>6330</v>
      </c>
      <c r="I4058" s="140" t="s">
        <v>6313</v>
      </c>
      <c r="J4058" s="140" t="s">
        <v>6319</v>
      </c>
      <c r="K4058" s="140" t="s">
        <v>1573</v>
      </c>
    </row>
    <row r="4059">
      <c r="A4059" s="140" t="s">
        <v>302</v>
      </c>
      <c r="B4059" s="140" t="s">
        <v>394</v>
      </c>
      <c r="C4059" s="140" t="s">
        <v>11425</v>
      </c>
      <c r="D4059" s="140" t="s">
        <v>6601</v>
      </c>
      <c r="E4059" s="140" t="s">
        <v>303</v>
      </c>
      <c r="F4059" s="140" t="s">
        <v>374</v>
      </c>
      <c r="G4059" s="141" t="s">
        <v>134</v>
      </c>
      <c r="H4059" s="140" t="s">
        <v>6330</v>
      </c>
      <c r="I4059" s="140" t="s">
        <v>6313</v>
      </c>
      <c r="J4059" s="140" t="s">
        <v>6319</v>
      </c>
      <c r="K4059" s="140" t="s">
        <v>1573</v>
      </c>
    </row>
    <row r="4060">
      <c r="A4060" s="140" t="s">
        <v>302</v>
      </c>
      <c r="B4060" s="140" t="s">
        <v>396</v>
      </c>
      <c r="C4060" s="140" t="s">
        <v>11426</v>
      </c>
      <c r="D4060" s="140" t="s">
        <v>6601</v>
      </c>
      <c r="E4060" s="140" t="s">
        <v>303</v>
      </c>
      <c r="F4060" s="140" t="s">
        <v>374</v>
      </c>
      <c r="G4060" s="141" t="s">
        <v>134</v>
      </c>
      <c r="H4060" s="140" t="s">
        <v>6312</v>
      </c>
      <c r="I4060" s="140" t="s">
        <v>6313</v>
      </c>
      <c r="J4060" s="140" t="s">
        <v>6319</v>
      </c>
      <c r="K4060" s="140" t="s">
        <v>1573</v>
      </c>
    </row>
    <row r="4061">
      <c r="A4061" s="140" t="s">
        <v>302</v>
      </c>
      <c r="B4061" s="140" t="s">
        <v>400</v>
      </c>
      <c r="C4061" s="140" t="s">
        <v>11427</v>
      </c>
      <c r="D4061" s="140" t="s">
        <v>6601</v>
      </c>
      <c r="E4061" s="140" t="s">
        <v>303</v>
      </c>
      <c r="F4061" s="140" t="s">
        <v>374</v>
      </c>
      <c r="G4061" s="141" t="s">
        <v>134</v>
      </c>
      <c r="H4061" s="140" t="s">
        <v>6312</v>
      </c>
      <c r="I4061" s="140" t="s">
        <v>6313</v>
      </c>
      <c r="J4061" s="140" t="s">
        <v>6319</v>
      </c>
      <c r="K4061" s="140" t="s">
        <v>1573</v>
      </c>
    </row>
    <row r="4062">
      <c r="A4062" s="140" t="s">
        <v>302</v>
      </c>
      <c r="B4062" s="140" t="s">
        <v>402</v>
      </c>
      <c r="C4062" s="140" t="s">
        <v>11428</v>
      </c>
      <c r="D4062" s="140" t="s">
        <v>6601</v>
      </c>
      <c r="E4062" s="140" t="s">
        <v>303</v>
      </c>
      <c r="F4062" s="140" t="s">
        <v>374</v>
      </c>
      <c r="G4062" s="141" t="s">
        <v>134</v>
      </c>
      <c r="H4062" s="140" t="s">
        <v>6330</v>
      </c>
      <c r="I4062" s="140" t="s">
        <v>6313</v>
      </c>
      <c r="J4062" s="140" t="s">
        <v>6319</v>
      </c>
      <c r="K4062" s="140" t="s">
        <v>1573</v>
      </c>
    </row>
    <row r="4063">
      <c r="A4063" s="140" t="s">
        <v>302</v>
      </c>
      <c r="B4063" s="140" t="s">
        <v>404</v>
      </c>
      <c r="C4063" s="140" t="s">
        <v>11429</v>
      </c>
      <c r="D4063" s="140" t="s">
        <v>6601</v>
      </c>
      <c r="E4063" s="140" t="s">
        <v>303</v>
      </c>
      <c r="F4063" s="140" t="s">
        <v>374</v>
      </c>
      <c r="G4063" s="141" t="s">
        <v>134</v>
      </c>
      <c r="H4063" s="140" t="s">
        <v>6312</v>
      </c>
      <c r="I4063" s="140" t="s">
        <v>6313</v>
      </c>
      <c r="J4063" s="140" t="s">
        <v>6319</v>
      </c>
      <c r="K4063" s="140" t="s">
        <v>1573</v>
      </c>
    </row>
    <row r="4064">
      <c r="A4064" s="140" t="s">
        <v>302</v>
      </c>
      <c r="B4064" s="140" t="s">
        <v>398</v>
      </c>
      <c r="C4064" s="140" t="s">
        <v>11430</v>
      </c>
      <c r="D4064" s="140" t="s">
        <v>6601</v>
      </c>
      <c r="E4064" s="140" t="s">
        <v>303</v>
      </c>
      <c r="F4064" s="140" t="s">
        <v>374</v>
      </c>
      <c r="G4064" s="141" t="s">
        <v>134</v>
      </c>
      <c r="H4064" s="140" t="s">
        <v>6312</v>
      </c>
      <c r="I4064" s="140" t="s">
        <v>6313</v>
      </c>
      <c r="J4064" s="140" t="s">
        <v>6319</v>
      </c>
      <c r="K4064" s="140" t="s">
        <v>1573</v>
      </c>
    </row>
    <row r="4065">
      <c r="A4065" s="140" t="s">
        <v>302</v>
      </c>
      <c r="B4065" s="143">
        <v>1.60262E12</v>
      </c>
      <c r="C4065" s="140" t="s">
        <v>11431</v>
      </c>
      <c r="D4065" s="140" t="s">
        <v>6601</v>
      </c>
      <c r="E4065" s="140" t="s">
        <v>748</v>
      </c>
      <c r="F4065" s="140" t="s">
        <v>11432</v>
      </c>
      <c r="G4065" s="141" t="s">
        <v>6401</v>
      </c>
      <c r="H4065" s="140" t="s">
        <v>6312</v>
      </c>
      <c r="I4065" s="140" t="s">
        <v>6313</v>
      </c>
      <c r="J4065" s="140" t="s">
        <v>6319</v>
      </c>
      <c r="K4065" s="140" t="s">
        <v>1573</v>
      </c>
    </row>
    <row r="4066">
      <c r="A4066" s="140" t="s">
        <v>302</v>
      </c>
      <c r="B4066" s="143">
        <v>1.60262E12</v>
      </c>
      <c r="C4066" s="140" t="s">
        <v>11433</v>
      </c>
      <c r="D4066" s="140" t="s">
        <v>6601</v>
      </c>
      <c r="E4066" s="140" t="s">
        <v>748</v>
      </c>
      <c r="F4066" s="140" t="s">
        <v>11432</v>
      </c>
      <c r="G4066" s="141" t="s">
        <v>6401</v>
      </c>
      <c r="H4066" s="140" t="s">
        <v>6312</v>
      </c>
      <c r="I4066" s="140" t="s">
        <v>6313</v>
      </c>
      <c r="J4066" s="140" t="s">
        <v>6319</v>
      </c>
      <c r="K4066" s="140" t="s">
        <v>1573</v>
      </c>
    </row>
    <row r="4067">
      <c r="A4067" s="140" t="s">
        <v>302</v>
      </c>
      <c r="B4067" s="140" t="s">
        <v>453</v>
      </c>
      <c r="C4067" s="140" t="s">
        <v>11434</v>
      </c>
      <c r="D4067" s="140" t="s">
        <v>7347</v>
      </c>
      <c r="E4067" s="140" t="s">
        <v>303</v>
      </c>
      <c r="F4067" s="140" t="s">
        <v>451</v>
      </c>
      <c r="G4067" s="141" t="s">
        <v>134</v>
      </c>
      <c r="H4067" s="140" t="s">
        <v>6312</v>
      </c>
      <c r="I4067" s="140" t="s">
        <v>6313</v>
      </c>
      <c r="J4067" s="140" t="s">
        <v>6319</v>
      </c>
      <c r="K4067" s="140" t="s">
        <v>1573</v>
      </c>
    </row>
    <row r="4068">
      <c r="A4068" s="140" t="s">
        <v>302</v>
      </c>
      <c r="B4068" s="140" t="s">
        <v>455</v>
      </c>
      <c r="C4068" s="140" t="s">
        <v>11435</v>
      </c>
      <c r="D4068" s="140" t="s">
        <v>7347</v>
      </c>
      <c r="E4068" s="140" t="s">
        <v>303</v>
      </c>
      <c r="F4068" s="140" t="s">
        <v>451</v>
      </c>
      <c r="G4068" s="141" t="s">
        <v>134</v>
      </c>
      <c r="H4068" s="140" t="s">
        <v>6312</v>
      </c>
      <c r="I4068" s="140" t="s">
        <v>6313</v>
      </c>
      <c r="J4068" s="140" t="s">
        <v>6319</v>
      </c>
      <c r="K4068" s="140" t="s">
        <v>1573</v>
      </c>
    </row>
    <row r="4069">
      <c r="A4069" s="140" t="s">
        <v>302</v>
      </c>
      <c r="B4069" s="140" t="s">
        <v>470</v>
      </c>
      <c r="C4069" s="140" t="s">
        <v>1825</v>
      </c>
      <c r="D4069" s="140" t="s">
        <v>6718</v>
      </c>
      <c r="E4069" s="140" t="s">
        <v>456</v>
      </c>
      <c r="F4069" s="140" t="s">
        <v>457</v>
      </c>
      <c r="G4069" s="141" t="s">
        <v>6668</v>
      </c>
      <c r="H4069" s="140" t="s">
        <v>6330</v>
      </c>
      <c r="I4069" s="140" t="s">
        <v>6313</v>
      </c>
      <c r="J4069" s="140" t="s">
        <v>6319</v>
      </c>
      <c r="K4069" s="140" t="s">
        <v>1573</v>
      </c>
    </row>
    <row r="4070">
      <c r="A4070" s="140" t="s">
        <v>302</v>
      </c>
      <c r="B4070" s="140" t="s">
        <v>472</v>
      </c>
      <c r="C4070" s="140" t="s">
        <v>1826</v>
      </c>
      <c r="D4070" s="140" t="s">
        <v>6718</v>
      </c>
      <c r="E4070" s="140" t="s">
        <v>456</v>
      </c>
      <c r="F4070" s="140" t="s">
        <v>457</v>
      </c>
      <c r="G4070" s="141" t="s">
        <v>6668</v>
      </c>
      <c r="H4070" s="140" t="s">
        <v>6330</v>
      </c>
      <c r="I4070" s="140" t="s">
        <v>6313</v>
      </c>
      <c r="J4070" s="140" t="s">
        <v>6319</v>
      </c>
      <c r="K4070" s="140" t="s">
        <v>1573</v>
      </c>
    </row>
    <row r="4071">
      <c r="A4071" s="140" t="s">
        <v>302</v>
      </c>
      <c r="B4071" s="140" t="s">
        <v>474</v>
      </c>
      <c r="C4071" s="140" t="s">
        <v>11436</v>
      </c>
      <c r="D4071" s="140" t="s">
        <v>6718</v>
      </c>
      <c r="E4071" s="140" t="s">
        <v>456</v>
      </c>
      <c r="F4071" s="140" t="s">
        <v>457</v>
      </c>
      <c r="G4071" s="141" t="s">
        <v>6664</v>
      </c>
      <c r="H4071" s="140" t="s">
        <v>6330</v>
      </c>
      <c r="I4071" s="140" t="s">
        <v>6313</v>
      </c>
      <c r="J4071" s="140" t="s">
        <v>6319</v>
      </c>
      <c r="K4071" s="140" t="s">
        <v>1573</v>
      </c>
    </row>
    <row r="4072">
      <c r="A4072" s="140" t="s">
        <v>302</v>
      </c>
      <c r="B4072" s="140" t="s">
        <v>466</v>
      </c>
      <c r="C4072" s="140" t="s">
        <v>11437</v>
      </c>
      <c r="D4072" s="140" t="s">
        <v>6718</v>
      </c>
      <c r="E4072" s="140" t="s">
        <v>456</v>
      </c>
      <c r="F4072" s="140" t="s">
        <v>457</v>
      </c>
      <c r="G4072" s="141" t="s">
        <v>6664</v>
      </c>
      <c r="H4072" s="140" t="s">
        <v>6330</v>
      </c>
      <c r="I4072" s="140" t="s">
        <v>6313</v>
      </c>
      <c r="J4072" s="140" t="s">
        <v>6319</v>
      </c>
      <c r="K4072" s="140" t="s">
        <v>1573</v>
      </c>
    </row>
    <row r="4073">
      <c r="A4073" s="140" t="s">
        <v>302</v>
      </c>
      <c r="B4073" s="140" t="s">
        <v>476</v>
      </c>
      <c r="C4073" s="140" t="s">
        <v>1832</v>
      </c>
      <c r="D4073" s="140" t="s">
        <v>6718</v>
      </c>
      <c r="E4073" s="140" t="s">
        <v>456</v>
      </c>
      <c r="F4073" s="140" t="s">
        <v>457</v>
      </c>
      <c r="G4073" s="141" t="s">
        <v>6664</v>
      </c>
      <c r="H4073" s="140" t="s">
        <v>6330</v>
      </c>
      <c r="I4073" s="140" t="s">
        <v>6313</v>
      </c>
      <c r="J4073" s="140" t="s">
        <v>6319</v>
      </c>
      <c r="K4073" s="140" t="s">
        <v>1573</v>
      </c>
    </row>
    <row r="4074">
      <c r="A4074" s="140" t="s">
        <v>302</v>
      </c>
      <c r="B4074" s="140" t="s">
        <v>478</v>
      </c>
      <c r="C4074" s="140" t="s">
        <v>1833</v>
      </c>
      <c r="D4074" s="140" t="s">
        <v>6718</v>
      </c>
      <c r="E4074" s="140" t="s">
        <v>456</v>
      </c>
      <c r="F4074" s="140" t="s">
        <v>457</v>
      </c>
      <c r="G4074" s="141" t="s">
        <v>6668</v>
      </c>
      <c r="H4074" s="140" t="s">
        <v>6330</v>
      </c>
      <c r="I4074" s="140" t="s">
        <v>6313</v>
      </c>
      <c r="J4074" s="140" t="s">
        <v>6319</v>
      </c>
      <c r="K4074" s="140" t="s">
        <v>1573</v>
      </c>
    </row>
    <row r="4075">
      <c r="A4075" s="140" t="s">
        <v>302</v>
      </c>
      <c r="B4075" s="143">
        <v>1.56415E12</v>
      </c>
      <c r="C4075" s="140" t="s">
        <v>1841</v>
      </c>
      <c r="D4075" s="140" t="s">
        <v>6718</v>
      </c>
      <c r="E4075" s="140" t="s">
        <v>456</v>
      </c>
      <c r="F4075" s="140" t="s">
        <v>457</v>
      </c>
      <c r="G4075" s="141" t="s">
        <v>6668</v>
      </c>
      <c r="H4075" s="140" t="s">
        <v>6330</v>
      </c>
      <c r="I4075" s="140" t="s">
        <v>6313</v>
      </c>
      <c r="J4075" s="140" t="s">
        <v>6319</v>
      </c>
      <c r="K4075" s="140" t="s">
        <v>1573</v>
      </c>
    </row>
    <row r="4076">
      <c r="A4076" s="140" t="s">
        <v>302</v>
      </c>
      <c r="B4076" s="143">
        <v>1.56634E12</v>
      </c>
      <c r="C4076" s="140" t="s">
        <v>1840</v>
      </c>
      <c r="D4076" s="140" t="s">
        <v>6718</v>
      </c>
      <c r="E4076" s="140" t="s">
        <v>456</v>
      </c>
      <c r="F4076" s="140" t="s">
        <v>457</v>
      </c>
      <c r="G4076" s="141" t="s">
        <v>6668</v>
      </c>
      <c r="H4076" s="140" t="s">
        <v>6330</v>
      </c>
      <c r="I4076" s="140" t="s">
        <v>6313</v>
      </c>
      <c r="J4076" s="140" t="s">
        <v>6319</v>
      </c>
      <c r="K4076" s="140" t="s">
        <v>1573</v>
      </c>
    </row>
    <row r="4077">
      <c r="A4077" s="140" t="s">
        <v>302</v>
      </c>
      <c r="B4077" s="143">
        <v>1.59249E12</v>
      </c>
      <c r="C4077" s="140" t="s">
        <v>1842</v>
      </c>
      <c r="D4077" s="140" t="s">
        <v>6718</v>
      </c>
      <c r="E4077" s="140" t="s">
        <v>456</v>
      </c>
      <c r="F4077" s="140" t="s">
        <v>457</v>
      </c>
      <c r="G4077" s="141" t="s">
        <v>6668</v>
      </c>
      <c r="H4077" s="140" t="s">
        <v>6330</v>
      </c>
      <c r="I4077" s="140" t="s">
        <v>6313</v>
      </c>
      <c r="J4077" s="140" t="s">
        <v>6319</v>
      </c>
      <c r="K4077" s="140" t="s">
        <v>1573</v>
      </c>
    </row>
    <row r="4078">
      <c r="A4078" s="140" t="s">
        <v>302</v>
      </c>
      <c r="B4078" s="143">
        <v>1.56415E12</v>
      </c>
      <c r="C4078" s="140" t="s">
        <v>1839</v>
      </c>
      <c r="D4078" s="140" t="s">
        <v>6718</v>
      </c>
      <c r="E4078" s="140" t="s">
        <v>456</v>
      </c>
      <c r="F4078" s="140" t="s">
        <v>457</v>
      </c>
      <c r="G4078" s="141" t="s">
        <v>6668</v>
      </c>
      <c r="H4078" s="140" t="s">
        <v>6330</v>
      </c>
      <c r="I4078" s="140" t="s">
        <v>6313</v>
      </c>
      <c r="J4078" s="140" t="s">
        <v>6319</v>
      </c>
      <c r="K4078" s="140" t="s">
        <v>1573</v>
      </c>
    </row>
    <row r="4079">
      <c r="A4079" s="140" t="s">
        <v>302</v>
      </c>
      <c r="B4079" s="143">
        <v>1.5971E12</v>
      </c>
      <c r="C4079" s="140" t="s">
        <v>1846</v>
      </c>
      <c r="D4079" s="140" t="s">
        <v>6718</v>
      </c>
      <c r="E4079" s="140" t="s">
        <v>456</v>
      </c>
      <c r="F4079" s="140" t="s">
        <v>457</v>
      </c>
      <c r="G4079" s="141" t="s">
        <v>6668</v>
      </c>
      <c r="H4079" s="140" t="s">
        <v>6330</v>
      </c>
      <c r="I4079" s="140" t="s">
        <v>6313</v>
      </c>
      <c r="J4079" s="140" t="s">
        <v>6319</v>
      </c>
      <c r="K4079" s="140" t="s">
        <v>1573</v>
      </c>
    </row>
    <row r="4080">
      <c r="A4080" s="140" t="s">
        <v>302</v>
      </c>
      <c r="B4080" s="143">
        <v>6.86589E13</v>
      </c>
      <c r="C4080" s="140" t="s">
        <v>1847</v>
      </c>
      <c r="D4080" s="140" t="s">
        <v>6718</v>
      </c>
      <c r="E4080" s="140" t="s">
        <v>456</v>
      </c>
      <c r="F4080" s="140" t="s">
        <v>457</v>
      </c>
      <c r="G4080" s="141" t="s">
        <v>6668</v>
      </c>
      <c r="H4080" s="140" t="s">
        <v>6330</v>
      </c>
      <c r="I4080" s="140" t="s">
        <v>6313</v>
      </c>
      <c r="J4080" s="140" t="s">
        <v>6319</v>
      </c>
      <c r="K4080" s="140" t="s">
        <v>1573</v>
      </c>
    </row>
    <row r="4081">
      <c r="A4081" s="140" t="s">
        <v>302</v>
      </c>
      <c r="B4081" s="143">
        <v>6.86589E13</v>
      </c>
      <c r="C4081" s="140" t="s">
        <v>1848</v>
      </c>
      <c r="D4081" s="140" t="s">
        <v>6718</v>
      </c>
      <c r="E4081" s="140" t="s">
        <v>456</v>
      </c>
      <c r="F4081" s="140" t="s">
        <v>457</v>
      </c>
      <c r="G4081" s="141" t="s">
        <v>6668</v>
      </c>
      <c r="H4081" s="140" t="s">
        <v>6330</v>
      </c>
      <c r="I4081" s="140" t="s">
        <v>6313</v>
      </c>
      <c r="J4081" s="140" t="s">
        <v>6319</v>
      </c>
      <c r="K4081" s="140" t="s">
        <v>1573</v>
      </c>
    </row>
    <row r="4082">
      <c r="A4082" s="140" t="s">
        <v>302</v>
      </c>
      <c r="B4082" s="143">
        <v>1.59709E12</v>
      </c>
      <c r="C4082" s="140" t="s">
        <v>1845</v>
      </c>
      <c r="D4082" s="140" t="s">
        <v>6718</v>
      </c>
      <c r="E4082" s="140" t="s">
        <v>456</v>
      </c>
      <c r="F4082" s="140" t="s">
        <v>457</v>
      </c>
      <c r="G4082" s="141" t="s">
        <v>6668</v>
      </c>
      <c r="H4082" s="140" t="s">
        <v>6330</v>
      </c>
      <c r="I4082" s="140" t="s">
        <v>6313</v>
      </c>
      <c r="J4082" s="140" t="s">
        <v>6319</v>
      </c>
      <c r="K4082" s="140" t="s">
        <v>1573</v>
      </c>
    </row>
    <row r="4083">
      <c r="A4083" s="140" t="s">
        <v>302</v>
      </c>
      <c r="B4083" s="143">
        <v>1.52278E12</v>
      </c>
      <c r="C4083" s="140" t="s">
        <v>11438</v>
      </c>
      <c r="D4083" s="140" t="s">
        <v>6718</v>
      </c>
      <c r="E4083" s="140" t="s">
        <v>456</v>
      </c>
      <c r="F4083" s="140" t="s">
        <v>457</v>
      </c>
      <c r="G4083" s="141" t="s">
        <v>6401</v>
      </c>
      <c r="H4083" s="140" t="s">
        <v>6312</v>
      </c>
      <c r="I4083" s="140" t="s">
        <v>6313</v>
      </c>
      <c r="J4083" s="140" t="s">
        <v>6319</v>
      </c>
      <c r="K4083" s="140" t="s">
        <v>1573</v>
      </c>
    </row>
    <row r="4084">
      <c r="A4084" s="140" t="s">
        <v>302</v>
      </c>
      <c r="B4084" s="143">
        <v>1.5771E12</v>
      </c>
      <c r="C4084" s="140" t="s">
        <v>11439</v>
      </c>
      <c r="D4084" s="140" t="s">
        <v>6718</v>
      </c>
      <c r="E4084" s="140" t="s">
        <v>456</v>
      </c>
      <c r="F4084" s="140" t="s">
        <v>457</v>
      </c>
      <c r="G4084" s="141" t="s">
        <v>6401</v>
      </c>
      <c r="H4084" s="140" t="s">
        <v>6312</v>
      </c>
      <c r="I4084" s="140" t="s">
        <v>6313</v>
      </c>
      <c r="J4084" s="140" t="s">
        <v>6319</v>
      </c>
      <c r="K4084" s="140" t="s">
        <v>1573</v>
      </c>
    </row>
    <row r="4085">
      <c r="A4085" s="140" t="s">
        <v>302</v>
      </c>
      <c r="B4085" s="143">
        <v>1.63037E12</v>
      </c>
      <c r="C4085" s="140" t="s">
        <v>11440</v>
      </c>
      <c r="D4085" s="140" t="s">
        <v>6718</v>
      </c>
      <c r="E4085" s="140" t="s">
        <v>456</v>
      </c>
      <c r="F4085" s="140" t="s">
        <v>457</v>
      </c>
      <c r="G4085" s="141" t="s">
        <v>6401</v>
      </c>
      <c r="H4085" s="140" t="s">
        <v>6312</v>
      </c>
      <c r="I4085" s="140" t="s">
        <v>6313</v>
      </c>
      <c r="J4085" s="140" t="s">
        <v>6319</v>
      </c>
      <c r="K4085" s="140" t="s">
        <v>1573</v>
      </c>
    </row>
    <row r="4086">
      <c r="A4086" s="140" t="s">
        <v>302</v>
      </c>
      <c r="B4086" s="140" t="s">
        <v>480</v>
      </c>
      <c r="C4086" s="140" t="s">
        <v>1835</v>
      </c>
      <c r="D4086" s="140" t="s">
        <v>6718</v>
      </c>
      <c r="E4086" s="140" t="s">
        <v>456</v>
      </c>
      <c r="F4086" s="140" t="s">
        <v>457</v>
      </c>
      <c r="G4086" s="141" t="s">
        <v>6668</v>
      </c>
      <c r="H4086" s="140" t="s">
        <v>6330</v>
      </c>
      <c r="I4086" s="140" t="s">
        <v>6313</v>
      </c>
      <c r="J4086" s="140" t="s">
        <v>6319</v>
      </c>
      <c r="K4086" s="140" t="s">
        <v>1573</v>
      </c>
    </row>
    <row r="4087">
      <c r="A4087" s="140" t="s">
        <v>302</v>
      </c>
      <c r="B4087" s="140" t="s">
        <v>482</v>
      </c>
      <c r="C4087" s="140" t="s">
        <v>1837</v>
      </c>
      <c r="D4087" s="140" t="s">
        <v>6718</v>
      </c>
      <c r="E4087" s="140" t="s">
        <v>456</v>
      </c>
      <c r="F4087" s="140" t="s">
        <v>457</v>
      </c>
      <c r="G4087" s="141" t="s">
        <v>6668</v>
      </c>
      <c r="H4087" s="140" t="s">
        <v>6330</v>
      </c>
      <c r="I4087" s="140" t="s">
        <v>6313</v>
      </c>
      <c r="J4087" s="140" t="s">
        <v>6319</v>
      </c>
      <c r="K4087" s="140" t="s">
        <v>1573</v>
      </c>
    </row>
    <row r="4088">
      <c r="A4088" s="140" t="s">
        <v>302</v>
      </c>
      <c r="B4088" s="143">
        <v>1.62973E12</v>
      </c>
      <c r="C4088" s="140" t="s">
        <v>11441</v>
      </c>
      <c r="D4088" s="140" t="s">
        <v>6718</v>
      </c>
      <c r="E4088" s="140" t="s">
        <v>456</v>
      </c>
      <c r="F4088" s="140" t="s">
        <v>457</v>
      </c>
      <c r="G4088" s="141" t="s">
        <v>6401</v>
      </c>
      <c r="H4088" s="140" t="s">
        <v>6312</v>
      </c>
      <c r="I4088" s="140" t="s">
        <v>6313</v>
      </c>
      <c r="J4088" s="140" t="s">
        <v>6319</v>
      </c>
      <c r="K4088" s="140" t="s">
        <v>1573</v>
      </c>
    </row>
    <row r="4089">
      <c r="A4089" s="140" t="s">
        <v>302</v>
      </c>
      <c r="B4089" s="143">
        <v>1.55138E12</v>
      </c>
      <c r="C4089" s="140" t="s">
        <v>11442</v>
      </c>
      <c r="D4089" s="140" t="s">
        <v>6718</v>
      </c>
      <c r="E4089" s="140" t="s">
        <v>456</v>
      </c>
      <c r="F4089" s="140" t="s">
        <v>457</v>
      </c>
      <c r="G4089" s="141" t="s">
        <v>6401</v>
      </c>
      <c r="H4089" s="140" t="s">
        <v>6312</v>
      </c>
      <c r="I4089" s="140" t="s">
        <v>6313</v>
      </c>
      <c r="J4089" s="140" t="s">
        <v>6319</v>
      </c>
      <c r="K4089" s="140" t="s">
        <v>1573</v>
      </c>
    </row>
    <row r="4090">
      <c r="A4090" s="140" t="s">
        <v>302</v>
      </c>
      <c r="B4090" s="143">
        <v>1.54601E12</v>
      </c>
      <c r="C4090" s="140" t="s">
        <v>11443</v>
      </c>
      <c r="D4090" s="140" t="s">
        <v>6718</v>
      </c>
      <c r="E4090" s="140" t="s">
        <v>456</v>
      </c>
      <c r="F4090" s="140" t="s">
        <v>457</v>
      </c>
      <c r="G4090" s="141" t="s">
        <v>6401</v>
      </c>
      <c r="H4090" s="140" t="s">
        <v>6312</v>
      </c>
      <c r="I4090" s="140" t="s">
        <v>6313</v>
      </c>
      <c r="J4090" s="140" t="s">
        <v>6319</v>
      </c>
      <c r="K4090" s="140" t="s">
        <v>1573</v>
      </c>
    </row>
    <row r="4091">
      <c r="A4091" s="140" t="s">
        <v>302</v>
      </c>
      <c r="B4091" s="143">
        <v>1.61601E12</v>
      </c>
      <c r="C4091" s="140" t="s">
        <v>11444</v>
      </c>
      <c r="D4091" s="140" t="s">
        <v>6718</v>
      </c>
      <c r="E4091" s="140" t="s">
        <v>456</v>
      </c>
      <c r="F4091" s="140" t="s">
        <v>457</v>
      </c>
      <c r="G4091" s="141" t="s">
        <v>6401</v>
      </c>
      <c r="H4091" s="140" t="s">
        <v>6312</v>
      </c>
      <c r="I4091" s="140" t="s">
        <v>6313</v>
      </c>
      <c r="J4091" s="140" t="s">
        <v>6319</v>
      </c>
      <c r="K4091" s="140" t="s">
        <v>1573</v>
      </c>
    </row>
    <row r="4092">
      <c r="A4092" s="140" t="s">
        <v>302</v>
      </c>
      <c r="B4092" s="143">
        <v>6.78985E13</v>
      </c>
      <c r="C4092" s="140" t="s">
        <v>11445</v>
      </c>
      <c r="D4092" s="140" t="s">
        <v>6718</v>
      </c>
      <c r="E4092" s="140" t="s">
        <v>456</v>
      </c>
      <c r="F4092" s="140" t="s">
        <v>457</v>
      </c>
      <c r="G4092" s="141" t="s">
        <v>6401</v>
      </c>
      <c r="H4092" s="140" t="s">
        <v>6312</v>
      </c>
      <c r="I4092" s="140" t="s">
        <v>6313</v>
      </c>
      <c r="J4092" s="140" t="s">
        <v>6319</v>
      </c>
      <c r="K4092" s="140" t="s">
        <v>1573</v>
      </c>
    </row>
    <row r="4093">
      <c r="A4093" s="140" t="s">
        <v>302</v>
      </c>
      <c r="B4093" s="143">
        <v>6.78985E13</v>
      </c>
      <c r="C4093" s="140" t="s">
        <v>11446</v>
      </c>
      <c r="D4093" s="140" t="s">
        <v>6718</v>
      </c>
      <c r="E4093" s="140" t="s">
        <v>456</v>
      </c>
      <c r="F4093" s="140" t="s">
        <v>457</v>
      </c>
      <c r="G4093" s="141" t="s">
        <v>6401</v>
      </c>
      <c r="H4093" s="140" t="s">
        <v>6312</v>
      </c>
      <c r="I4093" s="140" t="s">
        <v>6313</v>
      </c>
      <c r="J4093" s="140" t="s">
        <v>6319</v>
      </c>
      <c r="K4093" s="140" t="s">
        <v>1573</v>
      </c>
    </row>
    <row r="4094">
      <c r="A4094" s="140" t="s">
        <v>302</v>
      </c>
      <c r="B4094" s="143">
        <v>1.60832E12</v>
      </c>
      <c r="C4094" s="140" t="s">
        <v>11447</v>
      </c>
      <c r="D4094" s="140" t="s">
        <v>6718</v>
      </c>
      <c r="E4094" s="140" t="s">
        <v>456</v>
      </c>
      <c r="F4094" s="140" t="s">
        <v>457</v>
      </c>
      <c r="G4094" s="141" t="s">
        <v>6401</v>
      </c>
      <c r="H4094" s="140" t="s">
        <v>6312</v>
      </c>
      <c r="I4094" s="140" t="s">
        <v>6313</v>
      </c>
      <c r="J4094" s="140" t="s">
        <v>6319</v>
      </c>
      <c r="K4094" s="140" t="s">
        <v>1573</v>
      </c>
    </row>
    <row r="4095">
      <c r="A4095" s="140" t="s">
        <v>302</v>
      </c>
      <c r="B4095" s="140" t="s">
        <v>11448</v>
      </c>
      <c r="C4095" s="140" t="s">
        <v>11449</v>
      </c>
      <c r="D4095" s="140" t="s">
        <v>6718</v>
      </c>
      <c r="E4095" s="140" t="s">
        <v>456</v>
      </c>
      <c r="F4095" s="140" t="s">
        <v>457</v>
      </c>
      <c r="G4095" s="141" t="s">
        <v>6304</v>
      </c>
      <c r="H4095" s="140" t="s">
        <v>6312</v>
      </c>
      <c r="I4095" s="140" t="s">
        <v>6527</v>
      </c>
      <c r="J4095" s="140" t="s">
        <v>6319</v>
      </c>
      <c r="K4095" s="140" t="s">
        <v>1573</v>
      </c>
    </row>
    <row r="4096">
      <c r="A4096" s="140" t="s">
        <v>302</v>
      </c>
      <c r="B4096" s="140" t="s">
        <v>11450</v>
      </c>
      <c r="C4096" s="140" t="s">
        <v>11451</v>
      </c>
      <c r="D4096" s="140" t="s">
        <v>6718</v>
      </c>
      <c r="E4096" s="140" t="s">
        <v>456</v>
      </c>
      <c r="F4096" s="140" t="s">
        <v>457</v>
      </c>
      <c r="G4096" s="141" t="s">
        <v>6304</v>
      </c>
      <c r="H4096" s="140" t="s">
        <v>6312</v>
      </c>
      <c r="I4096" s="140" t="s">
        <v>6527</v>
      </c>
      <c r="J4096" s="140" t="s">
        <v>6319</v>
      </c>
      <c r="K4096" s="140" t="s">
        <v>1573</v>
      </c>
    </row>
    <row r="4097">
      <c r="A4097" s="140" t="s">
        <v>302</v>
      </c>
      <c r="B4097" s="140" t="s">
        <v>11452</v>
      </c>
      <c r="C4097" s="140" t="s">
        <v>11453</v>
      </c>
      <c r="D4097" s="140" t="s">
        <v>6718</v>
      </c>
      <c r="E4097" s="140" t="s">
        <v>456</v>
      </c>
      <c r="F4097" s="140" t="s">
        <v>457</v>
      </c>
      <c r="G4097" s="141" t="s">
        <v>6304</v>
      </c>
      <c r="H4097" s="140" t="s">
        <v>6312</v>
      </c>
      <c r="I4097" s="140" t="s">
        <v>6527</v>
      </c>
      <c r="J4097" s="140" t="s">
        <v>6319</v>
      </c>
      <c r="K4097" s="140" t="s">
        <v>1573</v>
      </c>
    </row>
    <row r="4098">
      <c r="A4098" s="140" t="s">
        <v>302</v>
      </c>
      <c r="B4098" s="143">
        <v>1.56634E12</v>
      </c>
      <c r="C4098" s="140" t="s">
        <v>11454</v>
      </c>
      <c r="D4098" s="140" t="s">
        <v>6718</v>
      </c>
      <c r="E4098" s="140" t="s">
        <v>456</v>
      </c>
      <c r="F4098" s="140" t="s">
        <v>457</v>
      </c>
      <c r="G4098" s="141" t="s">
        <v>6401</v>
      </c>
      <c r="H4098" s="140" t="s">
        <v>6312</v>
      </c>
      <c r="I4098" s="140" t="s">
        <v>6313</v>
      </c>
      <c r="J4098" s="140" t="s">
        <v>6319</v>
      </c>
      <c r="K4098" s="140" t="s">
        <v>1573</v>
      </c>
    </row>
    <row r="4099">
      <c r="A4099" s="140" t="s">
        <v>302</v>
      </c>
      <c r="B4099" s="143">
        <v>1.53789E12</v>
      </c>
      <c r="C4099" s="140" t="s">
        <v>11455</v>
      </c>
      <c r="D4099" s="140" t="s">
        <v>6718</v>
      </c>
      <c r="E4099" s="140" t="s">
        <v>456</v>
      </c>
      <c r="F4099" s="140" t="s">
        <v>457</v>
      </c>
      <c r="G4099" s="141" t="s">
        <v>6668</v>
      </c>
      <c r="H4099" s="140" t="s">
        <v>6312</v>
      </c>
      <c r="I4099" s="140" t="s">
        <v>6313</v>
      </c>
      <c r="J4099" s="140" t="s">
        <v>6319</v>
      </c>
      <c r="K4099" s="140" t="s">
        <v>1573</v>
      </c>
    </row>
    <row r="4100">
      <c r="A4100" s="140" t="s">
        <v>302</v>
      </c>
      <c r="B4100" s="140" t="s">
        <v>11456</v>
      </c>
      <c r="C4100" s="140" t="s">
        <v>11455</v>
      </c>
      <c r="D4100" s="140" t="s">
        <v>6718</v>
      </c>
      <c r="E4100" s="140" t="s">
        <v>456</v>
      </c>
      <c r="F4100" s="140" t="s">
        <v>457</v>
      </c>
      <c r="G4100" s="141" t="s">
        <v>6304</v>
      </c>
      <c r="H4100" s="140" t="s">
        <v>6312</v>
      </c>
      <c r="I4100" s="140" t="s">
        <v>6527</v>
      </c>
      <c r="J4100" s="140" t="s">
        <v>6319</v>
      </c>
      <c r="K4100" s="140" t="s">
        <v>1573</v>
      </c>
    </row>
    <row r="4101">
      <c r="A4101" s="140" t="s">
        <v>302</v>
      </c>
      <c r="B4101" s="140" t="s">
        <v>11457</v>
      </c>
      <c r="C4101" s="140" t="s">
        <v>11458</v>
      </c>
      <c r="D4101" s="140" t="s">
        <v>6718</v>
      </c>
      <c r="E4101" s="140" t="s">
        <v>456</v>
      </c>
      <c r="F4101" s="140" t="s">
        <v>457</v>
      </c>
      <c r="G4101" s="141" t="s">
        <v>6304</v>
      </c>
      <c r="H4101" s="140" t="s">
        <v>6312</v>
      </c>
      <c r="I4101" s="140" t="s">
        <v>6527</v>
      </c>
      <c r="J4101" s="140" t="s">
        <v>6319</v>
      </c>
      <c r="K4101" s="140" t="s">
        <v>1573</v>
      </c>
    </row>
    <row r="4102">
      <c r="A4102" s="140" t="s">
        <v>302</v>
      </c>
      <c r="B4102" s="140" t="s">
        <v>11459</v>
      </c>
      <c r="C4102" s="140" t="s">
        <v>11458</v>
      </c>
      <c r="D4102" s="140" t="s">
        <v>6718</v>
      </c>
      <c r="E4102" s="140" t="s">
        <v>456</v>
      </c>
      <c r="F4102" s="140" t="s">
        <v>457</v>
      </c>
      <c r="G4102" s="141">
        <v>0.0</v>
      </c>
      <c r="H4102" s="140" t="s">
        <v>6312</v>
      </c>
      <c r="I4102" s="140" t="s">
        <v>6313</v>
      </c>
      <c r="J4102" s="140" t="s">
        <v>6319</v>
      </c>
      <c r="K4102" s="140" t="s">
        <v>1573</v>
      </c>
    </row>
    <row r="4103">
      <c r="A4103" s="140" t="s">
        <v>302</v>
      </c>
      <c r="B4103" s="140" t="s">
        <v>11460</v>
      </c>
      <c r="C4103" s="140" t="s">
        <v>11461</v>
      </c>
      <c r="D4103" s="140" t="s">
        <v>6718</v>
      </c>
      <c r="E4103" s="140" t="s">
        <v>456</v>
      </c>
      <c r="F4103" s="140" t="s">
        <v>457</v>
      </c>
      <c r="G4103" s="141">
        <v>0.0</v>
      </c>
      <c r="H4103" s="140" t="s">
        <v>6312</v>
      </c>
      <c r="I4103" s="140" t="s">
        <v>6313</v>
      </c>
      <c r="J4103" s="140" t="s">
        <v>6319</v>
      </c>
      <c r="K4103" s="140" t="s">
        <v>1573</v>
      </c>
    </row>
    <row r="4104">
      <c r="A4104" s="140" t="s">
        <v>302</v>
      </c>
      <c r="B4104" s="140" t="s">
        <v>11462</v>
      </c>
      <c r="C4104" s="140" t="s">
        <v>11463</v>
      </c>
      <c r="D4104" s="140" t="s">
        <v>6718</v>
      </c>
      <c r="E4104" s="140" t="s">
        <v>456</v>
      </c>
      <c r="F4104" s="140" t="s">
        <v>457</v>
      </c>
      <c r="G4104" s="141" t="s">
        <v>6304</v>
      </c>
      <c r="H4104" s="140" t="s">
        <v>6312</v>
      </c>
      <c r="I4104" s="140" t="s">
        <v>6527</v>
      </c>
      <c r="J4104" s="140" t="s">
        <v>6319</v>
      </c>
      <c r="K4104" s="140" t="s">
        <v>1573</v>
      </c>
    </row>
    <row r="4105">
      <c r="A4105" s="140" t="s">
        <v>302</v>
      </c>
      <c r="B4105" s="140" t="s">
        <v>11464</v>
      </c>
      <c r="C4105" s="140" t="s">
        <v>11463</v>
      </c>
      <c r="D4105" s="140" t="s">
        <v>6718</v>
      </c>
      <c r="E4105" s="140" t="s">
        <v>456</v>
      </c>
      <c r="F4105" s="140" t="s">
        <v>457</v>
      </c>
      <c r="G4105" s="141">
        <v>0.0</v>
      </c>
      <c r="H4105" s="140" t="s">
        <v>6312</v>
      </c>
      <c r="I4105" s="140" t="s">
        <v>6313</v>
      </c>
      <c r="J4105" s="140" t="s">
        <v>6319</v>
      </c>
      <c r="K4105" s="140" t="s">
        <v>1573</v>
      </c>
    </row>
    <row r="4106">
      <c r="A4106" s="140" t="s">
        <v>302</v>
      </c>
      <c r="B4106" s="140" t="s">
        <v>11465</v>
      </c>
      <c r="C4106" s="140" t="s">
        <v>11466</v>
      </c>
      <c r="D4106" s="140" t="s">
        <v>6718</v>
      </c>
      <c r="E4106" s="140" t="s">
        <v>456</v>
      </c>
      <c r="F4106" s="140" t="s">
        <v>457</v>
      </c>
      <c r="G4106" s="141" t="s">
        <v>6304</v>
      </c>
      <c r="H4106" s="140" t="s">
        <v>6312</v>
      </c>
      <c r="I4106" s="140" t="s">
        <v>6527</v>
      </c>
      <c r="J4106" s="140" t="s">
        <v>6319</v>
      </c>
      <c r="K4106" s="140" t="s">
        <v>1573</v>
      </c>
    </row>
    <row r="4107">
      <c r="A4107" s="140" t="s">
        <v>302</v>
      </c>
      <c r="B4107" s="140" t="s">
        <v>11467</v>
      </c>
      <c r="C4107" s="140" t="s">
        <v>11468</v>
      </c>
      <c r="D4107" s="140" t="s">
        <v>6718</v>
      </c>
      <c r="E4107" s="140" t="s">
        <v>456</v>
      </c>
      <c r="F4107" s="140" t="s">
        <v>457</v>
      </c>
      <c r="G4107" s="141" t="s">
        <v>6304</v>
      </c>
      <c r="H4107" s="140" t="s">
        <v>6312</v>
      </c>
      <c r="I4107" s="140" t="s">
        <v>6527</v>
      </c>
      <c r="J4107" s="140" t="s">
        <v>6319</v>
      </c>
      <c r="K4107" s="140" t="s">
        <v>1573</v>
      </c>
    </row>
    <row r="4108">
      <c r="A4108" s="140" t="s">
        <v>302</v>
      </c>
      <c r="B4108" s="140" t="s">
        <v>11469</v>
      </c>
      <c r="C4108" s="140" t="s">
        <v>11468</v>
      </c>
      <c r="D4108" s="140" t="s">
        <v>6718</v>
      </c>
      <c r="E4108" s="140" t="s">
        <v>456</v>
      </c>
      <c r="F4108" s="140" t="s">
        <v>457</v>
      </c>
      <c r="G4108" s="141">
        <v>0.0</v>
      </c>
      <c r="H4108" s="140" t="s">
        <v>6312</v>
      </c>
      <c r="I4108" s="140" t="s">
        <v>6313</v>
      </c>
      <c r="J4108" s="140" t="s">
        <v>6319</v>
      </c>
      <c r="K4108" s="140" t="s">
        <v>1573</v>
      </c>
    </row>
    <row r="4109">
      <c r="A4109" s="140" t="s">
        <v>302</v>
      </c>
      <c r="B4109" s="140" t="s">
        <v>6757</v>
      </c>
      <c r="C4109" s="140" t="s">
        <v>11470</v>
      </c>
      <c r="D4109" s="140" t="s">
        <v>6718</v>
      </c>
      <c r="E4109" s="140" t="s">
        <v>456</v>
      </c>
      <c r="F4109" s="140" t="s">
        <v>457</v>
      </c>
      <c r="G4109" s="141" t="s">
        <v>6401</v>
      </c>
      <c r="H4109" s="140" t="s">
        <v>6312</v>
      </c>
      <c r="I4109" s="140" t="s">
        <v>6313</v>
      </c>
      <c r="J4109" s="140" t="s">
        <v>6319</v>
      </c>
      <c r="K4109" s="140" t="s">
        <v>1573</v>
      </c>
    </row>
    <row r="4110">
      <c r="A4110" s="140" t="s">
        <v>11471</v>
      </c>
      <c r="B4110" s="143">
        <v>1.63431E12</v>
      </c>
      <c r="C4110" s="140" t="s">
        <v>11472</v>
      </c>
      <c r="D4110" s="140" t="s">
        <v>6718</v>
      </c>
      <c r="E4110" s="140" t="s">
        <v>456</v>
      </c>
      <c r="F4110" s="140" t="s">
        <v>457</v>
      </c>
      <c r="G4110" s="141" t="s">
        <v>6401</v>
      </c>
      <c r="H4110" s="140" t="s">
        <v>6312</v>
      </c>
      <c r="I4110" s="140" t="s">
        <v>6313</v>
      </c>
      <c r="J4110" s="140" t="s">
        <v>6319</v>
      </c>
      <c r="K4110" s="140" t="s">
        <v>1573</v>
      </c>
    </row>
    <row r="4111">
      <c r="A4111" s="140" t="s">
        <v>302</v>
      </c>
      <c r="B4111" s="143">
        <v>6.78985E13</v>
      </c>
      <c r="C4111" s="140" t="s">
        <v>11473</v>
      </c>
      <c r="D4111" s="140" t="s">
        <v>6718</v>
      </c>
      <c r="E4111" s="140" t="s">
        <v>456</v>
      </c>
      <c r="F4111" s="140" t="s">
        <v>483</v>
      </c>
      <c r="G4111" s="142" t="s">
        <v>6401</v>
      </c>
      <c r="H4111" s="140" t="s">
        <v>6312</v>
      </c>
      <c r="I4111" s="140" t="s">
        <v>6313</v>
      </c>
      <c r="J4111" s="140" t="s">
        <v>6319</v>
      </c>
      <c r="K4111" s="140" t="s">
        <v>1573</v>
      </c>
    </row>
    <row r="4112">
      <c r="A4112" s="140" t="s">
        <v>302</v>
      </c>
      <c r="B4112" s="143">
        <v>6.78985E13</v>
      </c>
      <c r="C4112" s="140" t="s">
        <v>11474</v>
      </c>
      <c r="D4112" s="140" t="s">
        <v>6718</v>
      </c>
      <c r="E4112" s="140" t="s">
        <v>456</v>
      </c>
      <c r="F4112" s="140" t="s">
        <v>483</v>
      </c>
      <c r="G4112" s="142" t="s">
        <v>6401</v>
      </c>
      <c r="H4112" s="140" t="s">
        <v>6312</v>
      </c>
      <c r="I4112" s="140" t="s">
        <v>6313</v>
      </c>
      <c r="J4112" s="140" t="s">
        <v>6319</v>
      </c>
      <c r="K4112" s="140" t="s">
        <v>1573</v>
      </c>
    </row>
    <row r="4113">
      <c r="A4113" s="140" t="s">
        <v>302</v>
      </c>
      <c r="B4113" s="143">
        <v>6.78985E13</v>
      </c>
      <c r="C4113" s="140" t="s">
        <v>11475</v>
      </c>
      <c r="D4113" s="140" t="s">
        <v>6718</v>
      </c>
      <c r="E4113" s="140" t="s">
        <v>456</v>
      </c>
      <c r="F4113" s="140" t="s">
        <v>483</v>
      </c>
      <c r="G4113" s="141" t="s">
        <v>134</v>
      </c>
      <c r="H4113" s="140" t="s">
        <v>6312</v>
      </c>
      <c r="I4113" s="140" t="s">
        <v>6313</v>
      </c>
      <c r="J4113" s="140" t="s">
        <v>6319</v>
      </c>
      <c r="K4113" s="140" t="s">
        <v>1573</v>
      </c>
    </row>
    <row r="4114">
      <c r="A4114" s="140" t="s">
        <v>302</v>
      </c>
      <c r="B4114" s="143">
        <v>6.78985E13</v>
      </c>
      <c r="C4114" s="140" t="s">
        <v>11476</v>
      </c>
      <c r="D4114" s="140" t="s">
        <v>6718</v>
      </c>
      <c r="E4114" s="140" t="s">
        <v>456</v>
      </c>
      <c r="F4114" s="140" t="s">
        <v>483</v>
      </c>
      <c r="G4114" s="142" t="s">
        <v>134</v>
      </c>
      <c r="H4114" s="140" t="s">
        <v>6312</v>
      </c>
      <c r="I4114" s="140" t="s">
        <v>6313</v>
      </c>
      <c r="J4114" s="140" t="s">
        <v>6319</v>
      </c>
      <c r="K4114" s="140" t="s">
        <v>1573</v>
      </c>
    </row>
    <row r="4115">
      <c r="A4115" s="140" t="s">
        <v>302</v>
      </c>
      <c r="B4115" s="140" t="s">
        <v>490</v>
      </c>
      <c r="C4115" s="140" t="s">
        <v>1851</v>
      </c>
      <c r="D4115" s="140" t="s">
        <v>6718</v>
      </c>
      <c r="E4115" s="140" t="s">
        <v>456</v>
      </c>
      <c r="F4115" s="140" t="s">
        <v>483</v>
      </c>
      <c r="G4115" s="141" t="s">
        <v>6664</v>
      </c>
      <c r="H4115" s="140" t="s">
        <v>6330</v>
      </c>
      <c r="I4115" s="140" t="s">
        <v>6313</v>
      </c>
      <c r="J4115" s="140" t="s">
        <v>6319</v>
      </c>
      <c r="K4115" s="140" t="s">
        <v>1573</v>
      </c>
    </row>
    <row r="4116">
      <c r="A4116" s="140" t="s">
        <v>302</v>
      </c>
      <c r="B4116" s="140" t="s">
        <v>492</v>
      </c>
      <c r="C4116" s="140" t="s">
        <v>1852</v>
      </c>
      <c r="D4116" s="140" t="s">
        <v>6718</v>
      </c>
      <c r="E4116" s="140" t="s">
        <v>456</v>
      </c>
      <c r="F4116" s="140" t="s">
        <v>483</v>
      </c>
      <c r="G4116" s="141" t="s">
        <v>6664</v>
      </c>
      <c r="H4116" s="140" t="s">
        <v>6330</v>
      </c>
      <c r="I4116" s="140" t="s">
        <v>6313</v>
      </c>
      <c r="J4116" s="140" t="s">
        <v>6319</v>
      </c>
      <c r="K4116" s="140" t="s">
        <v>1573</v>
      </c>
    </row>
    <row r="4117">
      <c r="A4117" s="140" t="s">
        <v>302</v>
      </c>
      <c r="B4117" s="140" t="s">
        <v>494</v>
      </c>
      <c r="C4117" s="140" t="s">
        <v>1854</v>
      </c>
      <c r="D4117" s="140" t="s">
        <v>6718</v>
      </c>
      <c r="E4117" s="140" t="s">
        <v>456</v>
      </c>
      <c r="F4117" s="140" t="s">
        <v>483</v>
      </c>
      <c r="G4117" s="142" t="s">
        <v>6742</v>
      </c>
      <c r="H4117" s="140" t="s">
        <v>6330</v>
      </c>
      <c r="I4117" s="140" t="s">
        <v>6313</v>
      </c>
      <c r="J4117" s="140" t="s">
        <v>6319</v>
      </c>
      <c r="K4117" s="140" t="s">
        <v>1573</v>
      </c>
    </row>
    <row r="4118">
      <c r="A4118" s="140" t="s">
        <v>302</v>
      </c>
      <c r="B4118" s="144" t="s">
        <v>496</v>
      </c>
      <c r="C4118" s="140" t="s">
        <v>1855</v>
      </c>
      <c r="D4118" s="140" t="s">
        <v>6718</v>
      </c>
      <c r="E4118" s="140" t="s">
        <v>456</v>
      </c>
      <c r="F4118" s="140" t="s">
        <v>483</v>
      </c>
      <c r="G4118" s="141" t="s">
        <v>6742</v>
      </c>
      <c r="H4118" s="140" t="s">
        <v>6330</v>
      </c>
      <c r="I4118" s="140" t="s">
        <v>6313</v>
      </c>
      <c r="J4118" s="140" t="s">
        <v>6319</v>
      </c>
      <c r="K4118" s="140" t="s">
        <v>1573</v>
      </c>
    </row>
    <row r="4119">
      <c r="A4119" s="153" t="s">
        <v>302</v>
      </c>
      <c r="B4119" s="153" t="s">
        <v>498</v>
      </c>
      <c r="C4119" s="140" t="s">
        <v>1856</v>
      </c>
      <c r="D4119" s="140" t="s">
        <v>6718</v>
      </c>
      <c r="E4119" s="140" t="s">
        <v>456</v>
      </c>
      <c r="F4119" s="140" t="s">
        <v>483</v>
      </c>
      <c r="G4119" s="141" t="s">
        <v>134</v>
      </c>
      <c r="H4119" s="140" t="s">
        <v>6312</v>
      </c>
      <c r="I4119" s="140" t="s">
        <v>6313</v>
      </c>
      <c r="J4119" s="140" t="s">
        <v>6319</v>
      </c>
      <c r="K4119" s="140" t="s">
        <v>1573</v>
      </c>
    </row>
    <row r="4120">
      <c r="A4120" s="140" t="s">
        <v>302</v>
      </c>
      <c r="B4120" s="140" t="s">
        <v>500</v>
      </c>
      <c r="C4120" s="140" t="s">
        <v>1857</v>
      </c>
      <c r="D4120" s="140" t="s">
        <v>6718</v>
      </c>
      <c r="E4120" s="140" t="s">
        <v>456</v>
      </c>
      <c r="F4120" s="140" t="s">
        <v>483</v>
      </c>
      <c r="G4120" s="141" t="s">
        <v>6742</v>
      </c>
      <c r="H4120" s="140" t="s">
        <v>6330</v>
      </c>
      <c r="I4120" s="140" t="s">
        <v>6313</v>
      </c>
      <c r="J4120" s="140" t="s">
        <v>6319</v>
      </c>
      <c r="K4120" s="140" t="s">
        <v>1573</v>
      </c>
    </row>
    <row r="4121">
      <c r="A4121" s="140" t="s">
        <v>302</v>
      </c>
      <c r="B4121" s="140" t="s">
        <v>502</v>
      </c>
      <c r="C4121" s="140" t="s">
        <v>1859</v>
      </c>
      <c r="D4121" s="140" t="s">
        <v>6718</v>
      </c>
      <c r="E4121" s="140" t="s">
        <v>456</v>
      </c>
      <c r="F4121" s="140" t="s">
        <v>483</v>
      </c>
      <c r="G4121" s="141" t="s">
        <v>6664</v>
      </c>
      <c r="H4121" s="140" t="s">
        <v>6330</v>
      </c>
      <c r="I4121" s="140" t="s">
        <v>6313</v>
      </c>
      <c r="J4121" s="140" t="s">
        <v>6319</v>
      </c>
      <c r="K4121" s="140" t="s">
        <v>1573</v>
      </c>
    </row>
    <row r="4122">
      <c r="A4122" s="140" t="s">
        <v>302</v>
      </c>
      <c r="B4122" s="140" t="s">
        <v>504</v>
      </c>
      <c r="C4122" s="140" t="s">
        <v>1860</v>
      </c>
      <c r="D4122" s="140" t="s">
        <v>6718</v>
      </c>
      <c r="E4122" s="140" t="s">
        <v>456</v>
      </c>
      <c r="F4122" s="140" t="s">
        <v>483</v>
      </c>
      <c r="G4122" s="141" t="s">
        <v>6664</v>
      </c>
      <c r="H4122" s="140" t="s">
        <v>6330</v>
      </c>
      <c r="I4122" s="140" t="s">
        <v>6313</v>
      </c>
      <c r="J4122" s="140" t="s">
        <v>6319</v>
      </c>
      <c r="K4122" s="140" t="s">
        <v>1573</v>
      </c>
    </row>
    <row r="4123">
      <c r="A4123" s="140" t="s">
        <v>302</v>
      </c>
      <c r="B4123" s="140" t="s">
        <v>506</v>
      </c>
      <c r="C4123" s="140" t="s">
        <v>1861</v>
      </c>
      <c r="D4123" s="140" t="s">
        <v>6718</v>
      </c>
      <c r="E4123" s="140" t="s">
        <v>456</v>
      </c>
      <c r="F4123" s="140" t="s">
        <v>483</v>
      </c>
      <c r="G4123" s="141" t="s">
        <v>134</v>
      </c>
      <c r="H4123" s="140" t="s">
        <v>6330</v>
      </c>
      <c r="I4123" s="140" t="s">
        <v>6313</v>
      </c>
      <c r="J4123" s="140" t="s">
        <v>6319</v>
      </c>
      <c r="K4123" s="140" t="s">
        <v>1573</v>
      </c>
    </row>
    <row r="4124">
      <c r="A4124" s="140" t="s">
        <v>302</v>
      </c>
      <c r="B4124" s="140" t="s">
        <v>508</v>
      </c>
      <c r="C4124" s="140" t="s">
        <v>1862</v>
      </c>
      <c r="D4124" s="140" t="s">
        <v>6718</v>
      </c>
      <c r="E4124" s="140" t="s">
        <v>456</v>
      </c>
      <c r="F4124" s="140" t="s">
        <v>483</v>
      </c>
      <c r="G4124" s="141" t="s">
        <v>6664</v>
      </c>
      <c r="H4124" s="140" t="s">
        <v>6330</v>
      </c>
      <c r="I4124" s="140" t="s">
        <v>6313</v>
      </c>
      <c r="J4124" s="140" t="s">
        <v>6319</v>
      </c>
      <c r="K4124" s="140" t="s">
        <v>1573</v>
      </c>
    </row>
    <row r="4125">
      <c r="A4125" s="140" t="s">
        <v>302</v>
      </c>
      <c r="B4125" s="143">
        <v>6.79338E13</v>
      </c>
      <c r="C4125" s="140" t="s">
        <v>1865</v>
      </c>
      <c r="D4125" s="140" t="s">
        <v>6718</v>
      </c>
      <c r="E4125" s="140" t="s">
        <v>456</v>
      </c>
      <c r="F4125" s="140" t="s">
        <v>483</v>
      </c>
      <c r="G4125" s="141" t="s">
        <v>6668</v>
      </c>
      <c r="H4125" s="140" t="s">
        <v>6330</v>
      </c>
      <c r="I4125" s="140" t="s">
        <v>6313</v>
      </c>
      <c r="J4125" s="140" t="s">
        <v>6319</v>
      </c>
      <c r="K4125" s="140" t="s">
        <v>1573</v>
      </c>
    </row>
    <row r="4126">
      <c r="A4126" s="140" t="s">
        <v>302</v>
      </c>
      <c r="B4126" s="143">
        <v>6.79338E13</v>
      </c>
      <c r="C4126" s="140" t="s">
        <v>1864</v>
      </c>
      <c r="D4126" s="140" t="s">
        <v>6718</v>
      </c>
      <c r="E4126" s="140" t="s">
        <v>456</v>
      </c>
      <c r="F4126" s="140" t="s">
        <v>483</v>
      </c>
      <c r="G4126" s="141" t="s">
        <v>6668</v>
      </c>
      <c r="H4126" s="140" t="s">
        <v>6330</v>
      </c>
      <c r="I4126" s="140" t="s">
        <v>6313</v>
      </c>
      <c r="J4126" s="140" t="s">
        <v>6319</v>
      </c>
      <c r="K4126" s="140" t="s">
        <v>1573</v>
      </c>
    </row>
    <row r="4127">
      <c r="A4127" s="140" t="s">
        <v>302</v>
      </c>
      <c r="B4127" s="143">
        <v>6.79338E13</v>
      </c>
      <c r="C4127" s="140" t="s">
        <v>1867</v>
      </c>
      <c r="D4127" s="140" t="s">
        <v>6718</v>
      </c>
      <c r="E4127" s="140" t="s">
        <v>456</v>
      </c>
      <c r="F4127" s="140" t="s">
        <v>483</v>
      </c>
      <c r="G4127" s="141" t="s">
        <v>6668</v>
      </c>
      <c r="H4127" s="140" t="s">
        <v>6330</v>
      </c>
      <c r="I4127" s="140" t="s">
        <v>6313</v>
      </c>
      <c r="J4127" s="140" t="s">
        <v>6319</v>
      </c>
      <c r="K4127" s="140" t="s">
        <v>1573</v>
      </c>
    </row>
    <row r="4128">
      <c r="A4128" s="140" t="s">
        <v>302</v>
      </c>
      <c r="B4128" s="143">
        <v>6.79338E13</v>
      </c>
      <c r="C4128" s="140" t="s">
        <v>11477</v>
      </c>
      <c r="D4128" s="140" t="s">
        <v>6718</v>
      </c>
      <c r="E4128" s="140" t="s">
        <v>456</v>
      </c>
      <c r="F4128" s="140" t="s">
        <v>483</v>
      </c>
      <c r="G4128" s="141" t="s">
        <v>6668</v>
      </c>
      <c r="H4128" s="140" t="s">
        <v>6330</v>
      </c>
      <c r="I4128" s="140" t="s">
        <v>6313</v>
      </c>
      <c r="J4128" s="140" t="s">
        <v>6319</v>
      </c>
      <c r="K4128" s="140" t="s">
        <v>1573</v>
      </c>
    </row>
    <row r="4129">
      <c r="A4129" s="140" t="s">
        <v>302</v>
      </c>
      <c r="B4129" s="143">
        <v>1.60685E12</v>
      </c>
      <c r="C4129" s="140" t="s">
        <v>11478</v>
      </c>
      <c r="D4129" s="140" t="s">
        <v>6718</v>
      </c>
      <c r="E4129" s="140" t="s">
        <v>456</v>
      </c>
      <c r="F4129" s="140" t="s">
        <v>483</v>
      </c>
      <c r="G4129" s="141" t="s">
        <v>6401</v>
      </c>
      <c r="H4129" s="140" t="s">
        <v>6312</v>
      </c>
      <c r="I4129" s="140" t="s">
        <v>6313</v>
      </c>
      <c r="J4129" s="140" t="s">
        <v>6319</v>
      </c>
      <c r="K4129" s="140" t="s">
        <v>1573</v>
      </c>
    </row>
    <row r="4130">
      <c r="A4130" s="140" t="s">
        <v>302</v>
      </c>
      <c r="B4130" s="143">
        <v>1.54282E12</v>
      </c>
      <c r="C4130" s="140" t="s">
        <v>11479</v>
      </c>
      <c r="D4130" s="140" t="s">
        <v>7347</v>
      </c>
      <c r="E4130" s="140" t="s">
        <v>513</v>
      </c>
      <c r="F4130" s="140" t="s">
        <v>514</v>
      </c>
      <c r="G4130" s="141" t="s">
        <v>6401</v>
      </c>
      <c r="H4130" s="140" t="s">
        <v>6312</v>
      </c>
      <c r="I4130" s="140" t="s">
        <v>6313</v>
      </c>
      <c r="J4130" s="140" t="s">
        <v>6319</v>
      </c>
      <c r="K4130" s="140" t="s">
        <v>1573</v>
      </c>
    </row>
    <row r="4131">
      <c r="A4131" s="140" t="s">
        <v>302</v>
      </c>
      <c r="B4131" s="143">
        <v>1.52354E12</v>
      </c>
      <c r="C4131" s="140" t="s">
        <v>11480</v>
      </c>
      <c r="D4131" s="140" t="s">
        <v>7347</v>
      </c>
      <c r="E4131" s="140" t="s">
        <v>513</v>
      </c>
      <c r="F4131" s="140" t="s">
        <v>514</v>
      </c>
      <c r="G4131" s="141" t="s">
        <v>6401</v>
      </c>
      <c r="H4131" s="140" t="s">
        <v>6312</v>
      </c>
      <c r="I4131" s="140" t="s">
        <v>6313</v>
      </c>
      <c r="J4131" s="140" t="s">
        <v>6319</v>
      </c>
      <c r="K4131" s="140" t="s">
        <v>1573</v>
      </c>
    </row>
    <row r="4132">
      <c r="A4132" s="140" t="s">
        <v>302</v>
      </c>
      <c r="B4132" s="143">
        <v>1.51361E12</v>
      </c>
      <c r="C4132" s="140" t="s">
        <v>11481</v>
      </c>
      <c r="D4132" s="140" t="s">
        <v>7347</v>
      </c>
      <c r="E4132" s="140" t="s">
        <v>513</v>
      </c>
      <c r="F4132" s="140" t="s">
        <v>514</v>
      </c>
      <c r="G4132" s="141" t="s">
        <v>134</v>
      </c>
      <c r="H4132" s="140" t="s">
        <v>6312</v>
      </c>
      <c r="I4132" s="140" t="s">
        <v>6313</v>
      </c>
      <c r="J4132" s="140" t="s">
        <v>6319</v>
      </c>
      <c r="K4132" s="140" t="s">
        <v>1573</v>
      </c>
    </row>
    <row r="4133">
      <c r="A4133" s="140" t="s">
        <v>302</v>
      </c>
      <c r="B4133" s="143">
        <v>1.6503E12</v>
      </c>
      <c r="C4133" s="140" t="s">
        <v>11482</v>
      </c>
      <c r="D4133" s="140" t="s">
        <v>7347</v>
      </c>
      <c r="E4133" s="140" t="s">
        <v>513</v>
      </c>
      <c r="F4133" s="140" t="s">
        <v>514</v>
      </c>
      <c r="G4133" s="141" t="s">
        <v>6401</v>
      </c>
      <c r="H4133" s="140" t="s">
        <v>6312</v>
      </c>
      <c r="I4133" s="140" t="s">
        <v>6313</v>
      </c>
      <c r="J4133" s="140" t="s">
        <v>6319</v>
      </c>
      <c r="K4133" s="140" t="s">
        <v>1573</v>
      </c>
    </row>
    <row r="4134">
      <c r="A4134" s="140" t="s">
        <v>302</v>
      </c>
      <c r="B4134" s="140" t="s">
        <v>11483</v>
      </c>
      <c r="C4134" s="140" t="s">
        <v>11484</v>
      </c>
      <c r="D4134" s="140" t="s">
        <v>9064</v>
      </c>
      <c r="E4134" s="140" t="s">
        <v>513</v>
      </c>
      <c r="F4134" s="140" t="s">
        <v>519</v>
      </c>
      <c r="G4134" s="141" t="s">
        <v>6304</v>
      </c>
      <c r="H4134" s="140" t="s">
        <v>6312</v>
      </c>
      <c r="I4134" s="140" t="s">
        <v>6527</v>
      </c>
      <c r="J4134" s="140" t="s">
        <v>6319</v>
      </c>
      <c r="K4134" s="140" t="s">
        <v>1573</v>
      </c>
    </row>
    <row r="4135">
      <c r="A4135" s="140" t="s">
        <v>302</v>
      </c>
      <c r="B4135" s="140" t="s">
        <v>11485</v>
      </c>
      <c r="C4135" s="140" t="s">
        <v>11486</v>
      </c>
      <c r="D4135" s="140" t="s">
        <v>9064</v>
      </c>
      <c r="E4135" s="140" t="s">
        <v>513</v>
      </c>
      <c r="F4135" s="140" t="s">
        <v>519</v>
      </c>
      <c r="G4135" s="141" t="s">
        <v>6304</v>
      </c>
      <c r="H4135" s="140" t="s">
        <v>6312</v>
      </c>
      <c r="I4135" s="140" t="s">
        <v>6527</v>
      </c>
      <c r="J4135" s="140" t="s">
        <v>6319</v>
      </c>
      <c r="K4135" s="140" t="s">
        <v>1573</v>
      </c>
    </row>
    <row r="4136">
      <c r="A4136" s="140" t="s">
        <v>302</v>
      </c>
      <c r="B4136" s="143">
        <v>1.61538E12</v>
      </c>
      <c r="C4136" s="140" t="s">
        <v>11487</v>
      </c>
      <c r="D4136" s="140" t="s">
        <v>9064</v>
      </c>
      <c r="E4136" s="140" t="s">
        <v>513</v>
      </c>
      <c r="F4136" s="140" t="s">
        <v>519</v>
      </c>
      <c r="G4136" s="141" t="s">
        <v>6668</v>
      </c>
      <c r="H4136" s="140" t="s">
        <v>6330</v>
      </c>
      <c r="I4136" s="140" t="s">
        <v>6313</v>
      </c>
      <c r="J4136" s="140" t="s">
        <v>6319</v>
      </c>
      <c r="K4136" s="140" t="s">
        <v>1573</v>
      </c>
    </row>
    <row r="4137">
      <c r="A4137" s="140" t="s">
        <v>302</v>
      </c>
      <c r="B4137" s="143">
        <v>1.57142E12</v>
      </c>
      <c r="C4137" s="140" t="s">
        <v>11488</v>
      </c>
      <c r="D4137" s="140" t="s">
        <v>9064</v>
      </c>
      <c r="E4137" s="140" t="s">
        <v>513</v>
      </c>
      <c r="F4137" s="140" t="s">
        <v>519</v>
      </c>
      <c r="G4137" s="141" t="s">
        <v>6668</v>
      </c>
      <c r="H4137" s="140" t="s">
        <v>6330</v>
      </c>
      <c r="I4137" s="140" t="s">
        <v>6313</v>
      </c>
      <c r="J4137" s="140" t="s">
        <v>6319</v>
      </c>
      <c r="K4137" s="140" t="s">
        <v>1573</v>
      </c>
    </row>
    <row r="4138">
      <c r="A4138" s="140" t="s">
        <v>302</v>
      </c>
      <c r="B4138" s="143">
        <v>1.61538E12</v>
      </c>
      <c r="C4138" s="140" t="s">
        <v>11489</v>
      </c>
      <c r="D4138" s="140" t="s">
        <v>9064</v>
      </c>
      <c r="E4138" s="140" t="s">
        <v>513</v>
      </c>
      <c r="F4138" s="140" t="s">
        <v>519</v>
      </c>
      <c r="G4138" s="141" t="s">
        <v>6664</v>
      </c>
      <c r="H4138" s="140" t="s">
        <v>6330</v>
      </c>
      <c r="I4138" s="140" t="s">
        <v>6313</v>
      </c>
      <c r="J4138" s="140" t="s">
        <v>6319</v>
      </c>
      <c r="K4138" s="140" t="s">
        <v>1573</v>
      </c>
    </row>
    <row r="4139">
      <c r="A4139" s="140" t="s">
        <v>302</v>
      </c>
      <c r="B4139" s="140" t="s">
        <v>11490</v>
      </c>
      <c r="C4139" s="140" t="s">
        <v>11491</v>
      </c>
      <c r="D4139" s="140" t="s">
        <v>9064</v>
      </c>
      <c r="E4139" s="140" t="s">
        <v>513</v>
      </c>
      <c r="F4139" s="140" t="s">
        <v>9065</v>
      </c>
      <c r="G4139" s="141" t="s">
        <v>6304</v>
      </c>
      <c r="H4139" s="140" t="s">
        <v>6312</v>
      </c>
      <c r="I4139" s="140" t="s">
        <v>6527</v>
      </c>
      <c r="J4139" s="140" t="s">
        <v>6319</v>
      </c>
      <c r="K4139" s="140" t="s">
        <v>1573</v>
      </c>
    </row>
    <row r="4140">
      <c r="A4140" s="140" t="s">
        <v>302</v>
      </c>
      <c r="B4140" s="143">
        <v>1.63181E12</v>
      </c>
      <c r="C4140" s="140" t="s">
        <v>11492</v>
      </c>
      <c r="D4140" s="140" t="s">
        <v>6620</v>
      </c>
      <c r="E4140" s="140" t="s">
        <v>6621</v>
      </c>
      <c r="F4140" s="140" t="s">
        <v>240</v>
      </c>
      <c r="G4140" s="141" t="s">
        <v>6401</v>
      </c>
      <c r="H4140" s="140" t="s">
        <v>6312</v>
      </c>
      <c r="I4140" s="140" t="s">
        <v>6313</v>
      </c>
      <c r="J4140" s="140" t="s">
        <v>6319</v>
      </c>
      <c r="K4140" s="140" t="s">
        <v>1573</v>
      </c>
    </row>
    <row r="4141">
      <c r="A4141" s="140" t="s">
        <v>302</v>
      </c>
      <c r="B4141" s="143">
        <v>1.61601E12</v>
      </c>
      <c r="C4141" s="140" t="s">
        <v>11493</v>
      </c>
      <c r="D4141" s="140" t="s">
        <v>7347</v>
      </c>
      <c r="E4141" s="140" t="s">
        <v>523</v>
      </c>
      <c r="F4141" s="140" t="s">
        <v>524</v>
      </c>
      <c r="G4141" s="141" t="s">
        <v>6401</v>
      </c>
      <c r="H4141" s="140" t="s">
        <v>6312</v>
      </c>
      <c r="I4141" s="140" t="s">
        <v>6313</v>
      </c>
      <c r="J4141" s="140" t="s">
        <v>6319</v>
      </c>
      <c r="K4141" s="140" t="s">
        <v>1573</v>
      </c>
    </row>
    <row r="4142">
      <c r="A4142" s="140" t="s">
        <v>302</v>
      </c>
      <c r="B4142" s="143">
        <v>1.61601E12</v>
      </c>
      <c r="C4142" s="140" t="s">
        <v>11494</v>
      </c>
      <c r="D4142" s="140" t="s">
        <v>7347</v>
      </c>
      <c r="E4142" s="140" t="s">
        <v>523</v>
      </c>
      <c r="F4142" s="140" t="s">
        <v>524</v>
      </c>
      <c r="G4142" s="141" t="s">
        <v>6401</v>
      </c>
      <c r="H4142" s="140" t="s">
        <v>6312</v>
      </c>
      <c r="I4142" s="140" t="s">
        <v>6313</v>
      </c>
      <c r="J4142" s="140" t="s">
        <v>6319</v>
      </c>
      <c r="K4142" s="140" t="s">
        <v>1573</v>
      </c>
    </row>
    <row r="4143">
      <c r="A4143" s="140" t="s">
        <v>302</v>
      </c>
      <c r="B4143" s="143">
        <v>1.62742E12</v>
      </c>
      <c r="C4143" s="140" t="s">
        <v>11495</v>
      </c>
      <c r="D4143" s="140" t="s">
        <v>7347</v>
      </c>
      <c r="E4143" s="140" t="s">
        <v>523</v>
      </c>
      <c r="F4143" s="140" t="s">
        <v>524</v>
      </c>
      <c r="G4143" s="141" t="s">
        <v>6401</v>
      </c>
      <c r="H4143" s="140" t="s">
        <v>6312</v>
      </c>
      <c r="I4143" s="140" t="s">
        <v>6313</v>
      </c>
      <c r="J4143" s="140" t="s">
        <v>6319</v>
      </c>
      <c r="K4143" s="140" t="s">
        <v>1573</v>
      </c>
    </row>
    <row r="4144">
      <c r="A4144" s="140" t="s">
        <v>302</v>
      </c>
      <c r="B4144" s="140" t="s">
        <v>11496</v>
      </c>
      <c r="C4144" s="140" t="s">
        <v>11497</v>
      </c>
      <c r="D4144" s="140" t="s">
        <v>7347</v>
      </c>
      <c r="E4144" s="140" t="s">
        <v>523</v>
      </c>
      <c r="F4144" s="140" t="s">
        <v>524</v>
      </c>
      <c r="G4144" s="141" t="s">
        <v>6401</v>
      </c>
      <c r="H4144" s="140" t="s">
        <v>6312</v>
      </c>
      <c r="I4144" s="140" t="s">
        <v>6313</v>
      </c>
      <c r="J4144" s="140" t="s">
        <v>6319</v>
      </c>
      <c r="K4144" s="140" t="s">
        <v>1573</v>
      </c>
    </row>
    <row r="4145">
      <c r="A4145" s="140" t="s">
        <v>302</v>
      </c>
      <c r="B4145" s="143">
        <v>1.62742E12</v>
      </c>
      <c r="C4145" s="140" t="s">
        <v>11498</v>
      </c>
      <c r="D4145" s="140" t="s">
        <v>7347</v>
      </c>
      <c r="E4145" s="140" t="s">
        <v>523</v>
      </c>
      <c r="F4145" s="140" t="s">
        <v>524</v>
      </c>
      <c r="G4145" s="141" t="s">
        <v>6401</v>
      </c>
      <c r="H4145" s="140" t="s">
        <v>6312</v>
      </c>
      <c r="I4145" s="140" t="s">
        <v>6313</v>
      </c>
      <c r="J4145" s="140" t="s">
        <v>6319</v>
      </c>
      <c r="K4145" s="140" t="s">
        <v>1573</v>
      </c>
    </row>
    <row r="4146">
      <c r="A4146" s="140" t="s">
        <v>302</v>
      </c>
      <c r="B4146" s="143">
        <v>1.62706E12</v>
      </c>
      <c r="C4146" s="140" t="s">
        <v>11499</v>
      </c>
      <c r="D4146" s="140" t="s">
        <v>7347</v>
      </c>
      <c r="E4146" s="140" t="s">
        <v>523</v>
      </c>
      <c r="F4146" s="140" t="s">
        <v>524</v>
      </c>
      <c r="G4146" s="141" t="s">
        <v>6401</v>
      </c>
      <c r="H4146" s="140" t="s">
        <v>6312</v>
      </c>
      <c r="I4146" s="140" t="s">
        <v>6313</v>
      </c>
      <c r="J4146" s="140" t="s">
        <v>6319</v>
      </c>
      <c r="K4146" s="140" t="s">
        <v>1573</v>
      </c>
    </row>
    <row r="4147">
      <c r="A4147" s="140" t="s">
        <v>302</v>
      </c>
      <c r="B4147" s="143">
        <v>1.62742E12</v>
      </c>
      <c r="C4147" s="140" t="s">
        <v>11500</v>
      </c>
      <c r="D4147" s="140" t="s">
        <v>7347</v>
      </c>
      <c r="E4147" s="140" t="s">
        <v>523</v>
      </c>
      <c r="F4147" s="140" t="s">
        <v>524</v>
      </c>
      <c r="G4147" s="141" t="s">
        <v>6401</v>
      </c>
      <c r="H4147" s="140" t="s">
        <v>6312</v>
      </c>
      <c r="I4147" s="140" t="s">
        <v>6313</v>
      </c>
      <c r="J4147" s="140" t="s">
        <v>6319</v>
      </c>
      <c r="K4147" s="140" t="s">
        <v>1573</v>
      </c>
    </row>
    <row r="4148">
      <c r="A4148" s="140" t="s">
        <v>302</v>
      </c>
      <c r="B4148" s="143">
        <v>1.62742E12</v>
      </c>
      <c r="C4148" s="140" t="s">
        <v>11501</v>
      </c>
      <c r="D4148" s="140" t="s">
        <v>7347</v>
      </c>
      <c r="E4148" s="140" t="s">
        <v>523</v>
      </c>
      <c r="F4148" s="140" t="s">
        <v>524</v>
      </c>
      <c r="G4148" s="141" t="s">
        <v>6401</v>
      </c>
      <c r="H4148" s="140" t="s">
        <v>6312</v>
      </c>
      <c r="I4148" s="140" t="s">
        <v>6313</v>
      </c>
      <c r="J4148" s="140" t="s">
        <v>6319</v>
      </c>
      <c r="K4148" s="140" t="s">
        <v>1573</v>
      </c>
    </row>
    <row r="4149">
      <c r="A4149" s="140" t="s">
        <v>302</v>
      </c>
      <c r="B4149" s="143">
        <v>1.61601E12</v>
      </c>
      <c r="C4149" s="140" t="s">
        <v>11502</v>
      </c>
      <c r="D4149" s="140" t="s">
        <v>7347</v>
      </c>
      <c r="E4149" s="140" t="s">
        <v>523</v>
      </c>
      <c r="F4149" s="140" t="s">
        <v>524</v>
      </c>
      <c r="G4149" s="141" t="s">
        <v>6401</v>
      </c>
      <c r="H4149" s="140" t="s">
        <v>6312</v>
      </c>
      <c r="I4149" s="140" t="s">
        <v>6313</v>
      </c>
      <c r="J4149" s="140" t="s">
        <v>6319</v>
      </c>
      <c r="K4149" s="140" t="s">
        <v>1573</v>
      </c>
    </row>
    <row r="4150">
      <c r="A4150" s="140" t="s">
        <v>302</v>
      </c>
      <c r="B4150" s="143">
        <v>1.62742E12</v>
      </c>
      <c r="C4150" s="140" t="s">
        <v>11503</v>
      </c>
      <c r="D4150" s="140" t="s">
        <v>7347</v>
      </c>
      <c r="E4150" s="140" t="s">
        <v>523</v>
      </c>
      <c r="F4150" s="140" t="s">
        <v>524</v>
      </c>
      <c r="G4150" s="141" t="s">
        <v>6401</v>
      </c>
      <c r="H4150" s="140" t="s">
        <v>6312</v>
      </c>
      <c r="I4150" s="140" t="s">
        <v>6313</v>
      </c>
      <c r="J4150" s="140" t="s">
        <v>6319</v>
      </c>
      <c r="K4150" s="140" t="s">
        <v>1573</v>
      </c>
    </row>
    <row r="4151">
      <c r="A4151" s="140" t="s">
        <v>302</v>
      </c>
      <c r="B4151" s="143">
        <v>1.62742E12</v>
      </c>
      <c r="C4151" s="140" t="s">
        <v>11504</v>
      </c>
      <c r="D4151" s="140" t="s">
        <v>7347</v>
      </c>
      <c r="E4151" s="140" t="s">
        <v>523</v>
      </c>
      <c r="F4151" s="140" t="s">
        <v>524</v>
      </c>
      <c r="G4151" s="141" t="s">
        <v>134</v>
      </c>
      <c r="H4151" s="140" t="s">
        <v>6312</v>
      </c>
      <c r="I4151" s="140" t="s">
        <v>6313</v>
      </c>
      <c r="J4151" s="140" t="s">
        <v>6319</v>
      </c>
      <c r="K4151" s="140" t="s">
        <v>1573</v>
      </c>
    </row>
    <row r="4152">
      <c r="A4152" s="140" t="s">
        <v>302</v>
      </c>
      <c r="B4152" s="143">
        <v>1.62742E12</v>
      </c>
      <c r="C4152" s="140" t="s">
        <v>11505</v>
      </c>
      <c r="D4152" s="140" t="s">
        <v>7347</v>
      </c>
      <c r="E4152" s="140" t="s">
        <v>523</v>
      </c>
      <c r="F4152" s="140" t="s">
        <v>524</v>
      </c>
      <c r="G4152" s="141" t="s">
        <v>6401</v>
      </c>
      <c r="H4152" s="140" t="s">
        <v>6312</v>
      </c>
      <c r="I4152" s="140" t="s">
        <v>6313</v>
      </c>
      <c r="J4152" s="140" t="s">
        <v>6319</v>
      </c>
      <c r="K4152" s="140" t="s">
        <v>1573</v>
      </c>
    </row>
    <row r="4153">
      <c r="A4153" s="140" t="s">
        <v>302</v>
      </c>
      <c r="B4153" s="140" t="s">
        <v>11506</v>
      </c>
      <c r="C4153" s="140" t="s">
        <v>534</v>
      </c>
      <c r="D4153" s="140" t="s">
        <v>6601</v>
      </c>
      <c r="E4153" s="140" t="s">
        <v>526</v>
      </c>
      <c r="F4153" s="140" t="s">
        <v>527</v>
      </c>
      <c r="G4153" s="141" t="s">
        <v>6304</v>
      </c>
      <c r="H4153" s="140" t="s">
        <v>6312</v>
      </c>
      <c r="I4153" s="140" t="s">
        <v>6527</v>
      </c>
      <c r="J4153" s="140" t="s">
        <v>6319</v>
      </c>
      <c r="K4153" s="140" t="s">
        <v>1573</v>
      </c>
    </row>
    <row r="4154">
      <c r="A4154" s="140" t="s">
        <v>302</v>
      </c>
      <c r="B4154" s="143">
        <v>1.65998E12</v>
      </c>
      <c r="C4154" s="140" t="s">
        <v>11507</v>
      </c>
      <c r="D4154" s="140" t="s">
        <v>6601</v>
      </c>
      <c r="E4154" s="140" t="s">
        <v>526</v>
      </c>
      <c r="F4154" s="140" t="s">
        <v>527</v>
      </c>
      <c r="G4154" s="141" t="s">
        <v>6401</v>
      </c>
      <c r="H4154" s="140" t="s">
        <v>6312</v>
      </c>
      <c r="I4154" s="140" t="s">
        <v>6313</v>
      </c>
      <c r="J4154" s="140" t="s">
        <v>6319</v>
      </c>
      <c r="K4154" s="140" t="s">
        <v>1573</v>
      </c>
    </row>
    <row r="4155">
      <c r="A4155" s="140" t="s">
        <v>302</v>
      </c>
      <c r="B4155" s="140" t="s">
        <v>529</v>
      </c>
      <c r="C4155" s="140" t="s">
        <v>11508</v>
      </c>
      <c r="D4155" s="140" t="s">
        <v>6601</v>
      </c>
      <c r="E4155" s="140" t="s">
        <v>526</v>
      </c>
      <c r="F4155" s="140" t="s">
        <v>527</v>
      </c>
      <c r="G4155" s="141" t="s">
        <v>6664</v>
      </c>
      <c r="H4155" s="140" t="s">
        <v>6330</v>
      </c>
      <c r="I4155" s="140" t="s">
        <v>6313</v>
      </c>
      <c r="J4155" s="140" t="s">
        <v>6319</v>
      </c>
      <c r="K4155" s="140" t="s">
        <v>1573</v>
      </c>
    </row>
    <row r="4156">
      <c r="A4156" s="140" t="s">
        <v>302</v>
      </c>
      <c r="B4156" s="140" t="s">
        <v>531</v>
      </c>
      <c r="C4156" s="140" t="s">
        <v>11509</v>
      </c>
      <c r="D4156" s="140" t="s">
        <v>6601</v>
      </c>
      <c r="E4156" s="140" t="s">
        <v>526</v>
      </c>
      <c r="F4156" s="140" t="s">
        <v>527</v>
      </c>
      <c r="G4156" s="141" t="s">
        <v>134</v>
      </c>
      <c r="H4156" s="140" t="s">
        <v>6312</v>
      </c>
      <c r="I4156" s="140" t="s">
        <v>6313</v>
      </c>
      <c r="J4156" s="140" t="s">
        <v>6319</v>
      </c>
      <c r="K4156" s="140" t="s">
        <v>1573</v>
      </c>
    </row>
    <row r="4157">
      <c r="A4157" s="140" t="s">
        <v>302</v>
      </c>
      <c r="B4157" s="140" t="s">
        <v>533</v>
      </c>
      <c r="C4157" s="140" t="s">
        <v>11510</v>
      </c>
      <c r="D4157" s="140" t="s">
        <v>6601</v>
      </c>
      <c r="E4157" s="140" t="s">
        <v>526</v>
      </c>
      <c r="F4157" s="140" t="s">
        <v>527</v>
      </c>
      <c r="G4157" s="141" t="s">
        <v>134</v>
      </c>
      <c r="H4157" s="140" t="s">
        <v>6312</v>
      </c>
      <c r="I4157" s="140" t="s">
        <v>6313</v>
      </c>
      <c r="J4157" s="140" t="s">
        <v>6319</v>
      </c>
      <c r="K4157" s="140" t="s">
        <v>1573</v>
      </c>
    </row>
    <row r="4158">
      <c r="A4158" s="140" t="s">
        <v>302</v>
      </c>
      <c r="B4158" s="143">
        <v>1.6237E12</v>
      </c>
      <c r="C4158" s="140" t="s">
        <v>11511</v>
      </c>
      <c r="D4158" s="140" t="s">
        <v>6601</v>
      </c>
      <c r="E4158" s="140" t="s">
        <v>526</v>
      </c>
      <c r="F4158" s="140" t="s">
        <v>527</v>
      </c>
      <c r="G4158" s="141" t="s">
        <v>6668</v>
      </c>
      <c r="H4158" s="140" t="s">
        <v>6330</v>
      </c>
      <c r="I4158" s="140" t="s">
        <v>6313</v>
      </c>
      <c r="J4158" s="140" t="s">
        <v>6319</v>
      </c>
      <c r="K4158" s="140" t="s">
        <v>1573</v>
      </c>
    </row>
    <row r="4159">
      <c r="A4159" s="140" t="s">
        <v>302</v>
      </c>
      <c r="B4159" s="140" t="s">
        <v>536</v>
      </c>
      <c r="C4159" s="140" t="s">
        <v>11512</v>
      </c>
      <c r="D4159" s="140" t="s">
        <v>6601</v>
      </c>
      <c r="E4159" s="140" t="s">
        <v>526</v>
      </c>
      <c r="F4159" s="140" t="s">
        <v>527</v>
      </c>
      <c r="G4159" s="141" t="s">
        <v>6668</v>
      </c>
      <c r="H4159" s="140" t="s">
        <v>6330</v>
      </c>
      <c r="I4159" s="140" t="s">
        <v>6313</v>
      </c>
      <c r="J4159" s="140" t="s">
        <v>6319</v>
      </c>
      <c r="K4159" s="140" t="s">
        <v>1573</v>
      </c>
    </row>
    <row r="4160">
      <c r="A4160" s="140" t="s">
        <v>302</v>
      </c>
      <c r="B4160" s="140" t="s">
        <v>11513</v>
      </c>
      <c r="C4160" s="140" t="s">
        <v>11514</v>
      </c>
      <c r="D4160" s="140" t="s">
        <v>6601</v>
      </c>
      <c r="E4160" s="140" t="s">
        <v>526</v>
      </c>
      <c r="F4160" s="140" t="s">
        <v>537</v>
      </c>
      <c r="G4160" s="141" t="s">
        <v>6304</v>
      </c>
      <c r="H4160" s="140" t="s">
        <v>6312</v>
      </c>
      <c r="I4160" s="140" t="s">
        <v>6527</v>
      </c>
      <c r="J4160" s="140" t="s">
        <v>6319</v>
      </c>
      <c r="K4160" s="140" t="s">
        <v>1573</v>
      </c>
    </row>
    <row r="4161">
      <c r="A4161" s="140" t="s">
        <v>302</v>
      </c>
      <c r="B4161" s="143">
        <v>1.6237E12</v>
      </c>
      <c r="C4161" s="140" t="s">
        <v>11515</v>
      </c>
      <c r="D4161" s="140" t="s">
        <v>6601</v>
      </c>
      <c r="E4161" s="140" t="s">
        <v>526</v>
      </c>
      <c r="F4161" s="140" t="s">
        <v>537</v>
      </c>
      <c r="G4161" s="141" t="s">
        <v>6668</v>
      </c>
      <c r="H4161" s="140" t="s">
        <v>6330</v>
      </c>
      <c r="I4161" s="140" t="s">
        <v>6313</v>
      </c>
      <c r="J4161" s="140" t="s">
        <v>6319</v>
      </c>
      <c r="K4161" s="140" t="s">
        <v>1573</v>
      </c>
    </row>
    <row r="4162">
      <c r="A4162" s="140" t="s">
        <v>302</v>
      </c>
      <c r="B4162" s="140" t="s">
        <v>542</v>
      </c>
      <c r="C4162" s="140" t="s">
        <v>1881</v>
      </c>
      <c r="D4162" s="140" t="s">
        <v>6601</v>
      </c>
      <c r="E4162" s="140" t="s">
        <v>526</v>
      </c>
      <c r="F4162" s="140" t="s">
        <v>537</v>
      </c>
      <c r="G4162" s="141" t="s">
        <v>6668</v>
      </c>
      <c r="H4162" s="140" t="s">
        <v>6330</v>
      </c>
      <c r="I4162" s="140" t="s">
        <v>6313</v>
      </c>
      <c r="J4162" s="140" t="s">
        <v>6319</v>
      </c>
      <c r="K4162" s="140" t="s">
        <v>1573</v>
      </c>
    </row>
    <row r="4163">
      <c r="A4163" s="140" t="s">
        <v>302</v>
      </c>
      <c r="B4163" s="140" t="s">
        <v>544</v>
      </c>
      <c r="C4163" s="140" t="s">
        <v>1882</v>
      </c>
      <c r="D4163" s="140" t="s">
        <v>6601</v>
      </c>
      <c r="E4163" s="140" t="s">
        <v>526</v>
      </c>
      <c r="F4163" s="140" t="s">
        <v>537</v>
      </c>
      <c r="G4163" s="141" t="s">
        <v>6668</v>
      </c>
      <c r="H4163" s="140" t="s">
        <v>6330</v>
      </c>
      <c r="I4163" s="140" t="s">
        <v>6313</v>
      </c>
      <c r="J4163" s="140" t="s">
        <v>6319</v>
      </c>
      <c r="K4163" s="140" t="s">
        <v>1573</v>
      </c>
    </row>
    <row r="4164">
      <c r="A4164" s="140" t="s">
        <v>302</v>
      </c>
      <c r="B4164" s="140" t="s">
        <v>540</v>
      </c>
      <c r="C4164" s="140" t="s">
        <v>1880</v>
      </c>
      <c r="D4164" s="140" t="s">
        <v>6601</v>
      </c>
      <c r="E4164" s="140" t="s">
        <v>526</v>
      </c>
      <c r="F4164" s="140" t="s">
        <v>537</v>
      </c>
      <c r="G4164" s="141" t="s">
        <v>6668</v>
      </c>
      <c r="H4164" s="140" t="s">
        <v>6330</v>
      </c>
      <c r="I4164" s="140" t="s">
        <v>6313</v>
      </c>
      <c r="J4164" s="140" t="s">
        <v>6319</v>
      </c>
      <c r="K4164" s="140" t="s">
        <v>1573</v>
      </c>
    </row>
    <row r="4165">
      <c r="A4165" s="140" t="s">
        <v>302</v>
      </c>
      <c r="B4165" s="140" t="s">
        <v>546</v>
      </c>
      <c r="C4165" s="140" t="s">
        <v>1884</v>
      </c>
      <c r="D4165" s="140" t="s">
        <v>6601</v>
      </c>
      <c r="E4165" s="140" t="s">
        <v>526</v>
      </c>
      <c r="F4165" s="140" t="s">
        <v>537</v>
      </c>
      <c r="G4165" s="141" t="s">
        <v>6668</v>
      </c>
      <c r="H4165" s="140" t="s">
        <v>6330</v>
      </c>
      <c r="I4165" s="140" t="s">
        <v>6313</v>
      </c>
      <c r="J4165" s="140" t="s">
        <v>6319</v>
      </c>
      <c r="K4165" s="140" t="s">
        <v>1573</v>
      </c>
    </row>
    <row r="4166">
      <c r="A4166" s="140" t="s">
        <v>302</v>
      </c>
      <c r="B4166" s="140" t="s">
        <v>548</v>
      </c>
      <c r="C4166" s="140" t="s">
        <v>1885</v>
      </c>
      <c r="D4166" s="140" t="s">
        <v>6601</v>
      </c>
      <c r="E4166" s="140" t="s">
        <v>526</v>
      </c>
      <c r="F4166" s="140" t="s">
        <v>537</v>
      </c>
      <c r="G4166" s="141" t="s">
        <v>6668</v>
      </c>
      <c r="H4166" s="140" t="s">
        <v>6330</v>
      </c>
      <c r="I4166" s="140" t="s">
        <v>6313</v>
      </c>
      <c r="J4166" s="140" t="s">
        <v>6319</v>
      </c>
      <c r="K4166" s="140" t="s">
        <v>1573</v>
      </c>
    </row>
    <row r="4167">
      <c r="A4167" s="140" t="s">
        <v>302</v>
      </c>
      <c r="B4167" s="140" t="s">
        <v>550</v>
      </c>
      <c r="C4167" s="140" t="s">
        <v>1886</v>
      </c>
      <c r="D4167" s="140" t="s">
        <v>6601</v>
      </c>
      <c r="E4167" s="140" t="s">
        <v>526</v>
      </c>
      <c r="F4167" s="140" t="s">
        <v>537</v>
      </c>
      <c r="G4167" s="141" t="s">
        <v>6668</v>
      </c>
      <c r="H4167" s="140" t="s">
        <v>6330</v>
      </c>
      <c r="I4167" s="140" t="s">
        <v>6313</v>
      </c>
      <c r="J4167" s="140" t="s">
        <v>6319</v>
      </c>
      <c r="K4167" s="140" t="s">
        <v>1573</v>
      </c>
    </row>
    <row r="4168">
      <c r="A4168" s="140" t="s">
        <v>302</v>
      </c>
      <c r="B4168" s="140" t="s">
        <v>11516</v>
      </c>
      <c r="C4168" s="140" t="s">
        <v>11517</v>
      </c>
      <c r="D4168" s="140" t="s">
        <v>6601</v>
      </c>
      <c r="E4168" s="140" t="s">
        <v>526</v>
      </c>
      <c r="F4168" s="140" t="s">
        <v>537</v>
      </c>
      <c r="G4168" s="141" t="s">
        <v>6304</v>
      </c>
      <c r="H4168" s="140" t="s">
        <v>6312</v>
      </c>
      <c r="I4168" s="140" t="s">
        <v>6527</v>
      </c>
      <c r="J4168" s="140" t="s">
        <v>6319</v>
      </c>
      <c r="K4168" s="140" t="s">
        <v>1573</v>
      </c>
    </row>
    <row r="4169">
      <c r="A4169" s="140" t="s">
        <v>302</v>
      </c>
      <c r="B4169" s="140" t="s">
        <v>11518</v>
      </c>
      <c r="C4169" s="140" t="s">
        <v>11517</v>
      </c>
      <c r="D4169" s="140" t="s">
        <v>6601</v>
      </c>
      <c r="E4169" s="140" t="s">
        <v>526</v>
      </c>
      <c r="F4169" s="140" t="s">
        <v>537</v>
      </c>
      <c r="G4169" s="141" t="s">
        <v>6304</v>
      </c>
      <c r="H4169" s="140" t="s">
        <v>6312</v>
      </c>
      <c r="I4169" s="140" t="s">
        <v>6527</v>
      </c>
      <c r="J4169" s="140" t="s">
        <v>6319</v>
      </c>
      <c r="K4169" s="140" t="s">
        <v>1573</v>
      </c>
    </row>
    <row r="4170">
      <c r="A4170" s="140" t="s">
        <v>302</v>
      </c>
      <c r="B4170" s="140" t="s">
        <v>11519</v>
      </c>
      <c r="C4170" s="140" t="s">
        <v>11520</v>
      </c>
      <c r="D4170" s="140" t="s">
        <v>6601</v>
      </c>
      <c r="E4170" s="140" t="s">
        <v>526</v>
      </c>
      <c r="F4170" s="140" t="s">
        <v>537</v>
      </c>
      <c r="G4170" s="141" t="s">
        <v>6304</v>
      </c>
      <c r="H4170" s="140" t="s">
        <v>6312</v>
      </c>
      <c r="I4170" s="140" t="s">
        <v>6527</v>
      </c>
      <c r="J4170" s="140" t="s">
        <v>6319</v>
      </c>
      <c r="K4170" s="140" t="s">
        <v>1573</v>
      </c>
    </row>
    <row r="4171">
      <c r="A4171" s="140" t="s">
        <v>302</v>
      </c>
      <c r="B4171" s="140" t="s">
        <v>11521</v>
      </c>
      <c r="C4171" s="140" t="s">
        <v>11520</v>
      </c>
      <c r="D4171" s="140" t="s">
        <v>6601</v>
      </c>
      <c r="E4171" s="140" t="s">
        <v>526</v>
      </c>
      <c r="F4171" s="140" t="s">
        <v>537</v>
      </c>
      <c r="G4171" s="141" t="s">
        <v>6304</v>
      </c>
      <c r="H4171" s="140" t="s">
        <v>6312</v>
      </c>
      <c r="I4171" s="140" t="s">
        <v>6527</v>
      </c>
      <c r="J4171" s="140" t="s">
        <v>6319</v>
      </c>
      <c r="K4171" s="140" t="s">
        <v>1573</v>
      </c>
    </row>
    <row r="4172">
      <c r="A4172" s="140" t="s">
        <v>302</v>
      </c>
      <c r="B4172" s="140" t="s">
        <v>11522</v>
      </c>
      <c r="C4172" s="140" t="s">
        <v>11523</v>
      </c>
      <c r="D4172" s="140" t="s">
        <v>6601</v>
      </c>
      <c r="E4172" s="140" t="s">
        <v>526</v>
      </c>
      <c r="F4172" s="140" t="s">
        <v>537</v>
      </c>
      <c r="G4172" s="141" t="s">
        <v>6304</v>
      </c>
      <c r="H4172" s="140" t="s">
        <v>6312</v>
      </c>
      <c r="I4172" s="140" t="s">
        <v>6527</v>
      </c>
      <c r="J4172" s="140" t="s">
        <v>6319</v>
      </c>
      <c r="K4172" s="140" t="s">
        <v>1573</v>
      </c>
    </row>
    <row r="4173">
      <c r="A4173" s="140" t="s">
        <v>302</v>
      </c>
      <c r="B4173" s="140" t="s">
        <v>11524</v>
      </c>
      <c r="C4173" s="140" t="s">
        <v>11523</v>
      </c>
      <c r="D4173" s="140" t="s">
        <v>6601</v>
      </c>
      <c r="E4173" s="140" t="s">
        <v>526</v>
      </c>
      <c r="F4173" s="140" t="s">
        <v>537</v>
      </c>
      <c r="G4173" s="141" t="s">
        <v>6304</v>
      </c>
      <c r="H4173" s="140" t="s">
        <v>6312</v>
      </c>
      <c r="I4173" s="140" t="s">
        <v>6527</v>
      </c>
      <c r="J4173" s="140" t="s">
        <v>6319</v>
      </c>
      <c r="K4173" s="140" t="s">
        <v>1573</v>
      </c>
    </row>
    <row r="4174">
      <c r="A4174" s="140" t="s">
        <v>302</v>
      </c>
      <c r="B4174" s="143">
        <v>1.6566E12</v>
      </c>
      <c r="C4174" s="140" t="s">
        <v>11525</v>
      </c>
      <c r="D4174" s="140" t="s">
        <v>6601</v>
      </c>
      <c r="E4174" s="140" t="s">
        <v>526</v>
      </c>
      <c r="F4174" s="140" t="s">
        <v>537</v>
      </c>
      <c r="G4174" s="141" t="s">
        <v>134</v>
      </c>
      <c r="H4174" s="140" t="s">
        <v>6312</v>
      </c>
      <c r="I4174" s="140" t="s">
        <v>6313</v>
      </c>
      <c r="J4174" s="140" t="s">
        <v>6319</v>
      </c>
      <c r="K4174" s="140" t="s">
        <v>1573</v>
      </c>
    </row>
    <row r="4175">
      <c r="A4175" s="140" t="s">
        <v>302</v>
      </c>
      <c r="B4175" s="140" t="s">
        <v>11526</v>
      </c>
      <c r="C4175" s="140" t="s">
        <v>11527</v>
      </c>
      <c r="D4175" s="140" t="s">
        <v>6601</v>
      </c>
      <c r="E4175" s="140" t="s">
        <v>526</v>
      </c>
      <c r="F4175" s="140" t="s">
        <v>537</v>
      </c>
      <c r="G4175" s="141" t="s">
        <v>6304</v>
      </c>
      <c r="H4175" s="140" t="s">
        <v>6312</v>
      </c>
      <c r="I4175" s="140" t="s">
        <v>6527</v>
      </c>
      <c r="J4175" s="140" t="s">
        <v>6319</v>
      </c>
      <c r="K4175" s="140" t="s">
        <v>1573</v>
      </c>
    </row>
    <row r="4176">
      <c r="A4176" s="140" t="s">
        <v>302</v>
      </c>
      <c r="B4176" s="140" t="s">
        <v>11528</v>
      </c>
      <c r="C4176" s="140" t="s">
        <v>11527</v>
      </c>
      <c r="D4176" s="140" t="s">
        <v>6601</v>
      </c>
      <c r="E4176" s="140" t="s">
        <v>526</v>
      </c>
      <c r="F4176" s="140" t="s">
        <v>537</v>
      </c>
      <c r="G4176" s="141" t="s">
        <v>6304</v>
      </c>
      <c r="H4176" s="140" t="s">
        <v>6312</v>
      </c>
      <c r="I4176" s="140" t="s">
        <v>6527</v>
      </c>
      <c r="J4176" s="140" t="s">
        <v>6319</v>
      </c>
      <c r="K4176" s="140" t="s">
        <v>1573</v>
      </c>
    </row>
    <row r="4177">
      <c r="A4177" s="140" t="s">
        <v>302</v>
      </c>
      <c r="B4177" s="143">
        <v>1.6566E12</v>
      </c>
      <c r="C4177" s="140" t="s">
        <v>11529</v>
      </c>
      <c r="D4177" s="140" t="s">
        <v>6601</v>
      </c>
      <c r="E4177" s="140" t="s">
        <v>526</v>
      </c>
      <c r="F4177" s="140" t="s">
        <v>537</v>
      </c>
      <c r="G4177" s="141" t="s">
        <v>134</v>
      </c>
      <c r="H4177" s="140" t="s">
        <v>6312</v>
      </c>
      <c r="I4177" s="140" t="s">
        <v>6313</v>
      </c>
      <c r="J4177" s="140" t="s">
        <v>6319</v>
      </c>
      <c r="K4177" s="140" t="s">
        <v>1573</v>
      </c>
    </row>
    <row r="4178">
      <c r="A4178" s="140" t="s">
        <v>302</v>
      </c>
      <c r="B4178" s="140" t="s">
        <v>11530</v>
      </c>
      <c r="C4178" s="140" t="s">
        <v>11531</v>
      </c>
      <c r="D4178" s="140" t="s">
        <v>6601</v>
      </c>
      <c r="E4178" s="140" t="s">
        <v>526</v>
      </c>
      <c r="F4178" s="140" t="s">
        <v>537</v>
      </c>
      <c r="G4178" s="141" t="s">
        <v>6304</v>
      </c>
      <c r="H4178" s="140" t="s">
        <v>6312</v>
      </c>
      <c r="I4178" s="140" t="s">
        <v>6527</v>
      </c>
      <c r="J4178" s="140" t="s">
        <v>6319</v>
      </c>
      <c r="K4178" s="140" t="s">
        <v>1573</v>
      </c>
    </row>
    <row r="4179">
      <c r="A4179" s="140" t="s">
        <v>302</v>
      </c>
      <c r="B4179" s="140" t="s">
        <v>11532</v>
      </c>
      <c r="C4179" s="140" t="s">
        <v>11533</v>
      </c>
      <c r="D4179" s="140" t="s">
        <v>6601</v>
      </c>
      <c r="E4179" s="140" t="s">
        <v>526</v>
      </c>
      <c r="F4179" s="140" t="s">
        <v>537</v>
      </c>
      <c r="G4179" s="141" t="s">
        <v>6304</v>
      </c>
      <c r="H4179" s="140" t="s">
        <v>6312</v>
      </c>
      <c r="I4179" s="140" t="s">
        <v>6527</v>
      </c>
      <c r="J4179" s="140" t="s">
        <v>6319</v>
      </c>
      <c r="K4179" s="140" t="s">
        <v>1573</v>
      </c>
    </row>
    <row r="4180">
      <c r="A4180" s="140" t="s">
        <v>302</v>
      </c>
      <c r="B4180" s="140" t="s">
        <v>11534</v>
      </c>
      <c r="C4180" s="140" t="s">
        <v>11533</v>
      </c>
      <c r="D4180" s="140" t="s">
        <v>6601</v>
      </c>
      <c r="E4180" s="140" t="s">
        <v>526</v>
      </c>
      <c r="F4180" s="140" t="s">
        <v>537</v>
      </c>
      <c r="G4180" s="141" t="s">
        <v>6304</v>
      </c>
      <c r="H4180" s="140" t="s">
        <v>6312</v>
      </c>
      <c r="I4180" s="140" t="s">
        <v>6527</v>
      </c>
      <c r="J4180" s="140" t="s">
        <v>6319</v>
      </c>
      <c r="K4180" s="140" t="s">
        <v>1573</v>
      </c>
    </row>
    <row r="4181">
      <c r="A4181" s="140" t="s">
        <v>302</v>
      </c>
      <c r="B4181" s="140" t="s">
        <v>11535</v>
      </c>
      <c r="C4181" s="140" t="s">
        <v>11536</v>
      </c>
      <c r="D4181" s="140" t="s">
        <v>6601</v>
      </c>
      <c r="E4181" s="140" t="s">
        <v>526</v>
      </c>
      <c r="F4181" s="140" t="s">
        <v>537</v>
      </c>
      <c r="G4181" s="141" t="s">
        <v>6304</v>
      </c>
      <c r="H4181" s="140" t="s">
        <v>6312</v>
      </c>
      <c r="I4181" s="140" t="s">
        <v>6527</v>
      </c>
      <c r="J4181" s="140" t="s">
        <v>6319</v>
      </c>
      <c r="K4181" s="140" t="s">
        <v>1573</v>
      </c>
    </row>
    <row r="4182">
      <c r="A4182" s="140" t="s">
        <v>302</v>
      </c>
      <c r="B4182" s="140" t="s">
        <v>5184</v>
      </c>
      <c r="C4182" s="140" t="s">
        <v>11536</v>
      </c>
      <c r="D4182" s="140" t="s">
        <v>6601</v>
      </c>
      <c r="E4182" s="140" t="s">
        <v>526</v>
      </c>
      <c r="F4182" s="140" t="s">
        <v>537</v>
      </c>
      <c r="G4182" s="141" t="s">
        <v>6304</v>
      </c>
      <c r="H4182" s="140" t="s">
        <v>6312</v>
      </c>
      <c r="I4182" s="140" t="s">
        <v>6527</v>
      </c>
      <c r="J4182" s="140" t="s">
        <v>6319</v>
      </c>
      <c r="K4182" s="140" t="s">
        <v>1573</v>
      </c>
    </row>
    <row r="4183">
      <c r="A4183" s="140" t="s">
        <v>302</v>
      </c>
      <c r="B4183" s="140" t="s">
        <v>11537</v>
      </c>
      <c r="C4183" s="140" t="s">
        <v>11538</v>
      </c>
      <c r="D4183" s="140" t="s">
        <v>6601</v>
      </c>
      <c r="E4183" s="140" t="s">
        <v>526</v>
      </c>
      <c r="F4183" s="140" t="s">
        <v>537</v>
      </c>
      <c r="G4183" s="141" t="s">
        <v>6304</v>
      </c>
      <c r="H4183" s="140" t="s">
        <v>6312</v>
      </c>
      <c r="I4183" s="140" t="s">
        <v>6527</v>
      </c>
      <c r="J4183" s="140" t="s">
        <v>6319</v>
      </c>
      <c r="K4183" s="140" t="s">
        <v>1573</v>
      </c>
    </row>
    <row r="4184">
      <c r="A4184" s="140" t="s">
        <v>302</v>
      </c>
      <c r="B4184" s="140" t="s">
        <v>11539</v>
      </c>
      <c r="C4184" s="140" t="s">
        <v>11538</v>
      </c>
      <c r="D4184" s="140" t="s">
        <v>6601</v>
      </c>
      <c r="E4184" s="140" t="s">
        <v>526</v>
      </c>
      <c r="F4184" s="140" t="s">
        <v>537</v>
      </c>
      <c r="G4184" s="141" t="s">
        <v>6304</v>
      </c>
      <c r="H4184" s="140" t="s">
        <v>6312</v>
      </c>
      <c r="I4184" s="140" t="s">
        <v>6527</v>
      </c>
      <c r="J4184" s="140" t="s">
        <v>6319</v>
      </c>
      <c r="K4184" s="140" t="s">
        <v>1573</v>
      </c>
    </row>
    <row r="4185">
      <c r="A4185" s="140" t="s">
        <v>302</v>
      </c>
      <c r="B4185" s="140" t="s">
        <v>11540</v>
      </c>
      <c r="C4185" s="140" t="s">
        <v>11541</v>
      </c>
      <c r="D4185" s="140" t="s">
        <v>6601</v>
      </c>
      <c r="E4185" s="140" t="s">
        <v>526</v>
      </c>
      <c r="F4185" s="140" t="s">
        <v>537</v>
      </c>
      <c r="G4185" s="141" t="s">
        <v>6304</v>
      </c>
      <c r="H4185" s="140" t="s">
        <v>6312</v>
      </c>
      <c r="I4185" s="140" t="s">
        <v>6527</v>
      </c>
      <c r="J4185" s="140" t="s">
        <v>6319</v>
      </c>
      <c r="K4185" s="140" t="s">
        <v>1573</v>
      </c>
    </row>
    <row r="4186">
      <c r="A4186" s="140" t="s">
        <v>302</v>
      </c>
      <c r="B4186" s="140" t="s">
        <v>11542</v>
      </c>
      <c r="C4186" s="140" t="s">
        <v>11543</v>
      </c>
      <c r="D4186" s="140" t="s">
        <v>6601</v>
      </c>
      <c r="E4186" s="140" t="s">
        <v>526</v>
      </c>
      <c r="F4186" s="140" t="s">
        <v>537</v>
      </c>
      <c r="G4186" s="141" t="s">
        <v>6304</v>
      </c>
      <c r="H4186" s="140" t="s">
        <v>6312</v>
      </c>
      <c r="I4186" s="140" t="s">
        <v>6527</v>
      </c>
      <c r="J4186" s="140" t="s">
        <v>6319</v>
      </c>
      <c r="K4186" s="140" t="s">
        <v>1573</v>
      </c>
    </row>
    <row r="4187">
      <c r="A4187" s="140" t="s">
        <v>302</v>
      </c>
      <c r="B4187" s="140" t="s">
        <v>11544</v>
      </c>
      <c r="C4187" s="140" t="s">
        <v>11545</v>
      </c>
      <c r="D4187" s="140" t="s">
        <v>6601</v>
      </c>
      <c r="E4187" s="140" t="s">
        <v>526</v>
      </c>
      <c r="F4187" s="140" t="s">
        <v>537</v>
      </c>
      <c r="G4187" s="141" t="s">
        <v>6304</v>
      </c>
      <c r="H4187" s="140" t="s">
        <v>6312</v>
      </c>
      <c r="I4187" s="140" t="s">
        <v>6527</v>
      </c>
      <c r="J4187" s="140" t="s">
        <v>6319</v>
      </c>
      <c r="K4187" s="140" t="s">
        <v>1573</v>
      </c>
    </row>
    <row r="4188">
      <c r="A4188" s="140" t="s">
        <v>302</v>
      </c>
      <c r="B4188" s="140" t="s">
        <v>11546</v>
      </c>
      <c r="C4188" s="140" t="s">
        <v>11545</v>
      </c>
      <c r="D4188" s="140" t="s">
        <v>6601</v>
      </c>
      <c r="E4188" s="140" t="s">
        <v>526</v>
      </c>
      <c r="F4188" s="140" t="s">
        <v>537</v>
      </c>
      <c r="G4188" s="141" t="s">
        <v>6304</v>
      </c>
      <c r="H4188" s="140" t="s">
        <v>6312</v>
      </c>
      <c r="I4188" s="140" t="s">
        <v>6527</v>
      </c>
      <c r="J4188" s="140" t="s">
        <v>6319</v>
      </c>
      <c r="K4188" s="140" t="s">
        <v>1573</v>
      </c>
    </row>
    <row r="4189">
      <c r="A4189" s="140" t="s">
        <v>302</v>
      </c>
      <c r="B4189" s="140" t="s">
        <v>11547</v>
      </c>
      <c r="C4189" s="140" t="s">
        <v>11548</v>
      </c>
      <c r="D4189" s="140" t="s">
        <v>6601</v>
      </c>
      <c r="E4189" s="140" t="s">
        <v>526</v>
      </c>
      <c r="F4189" s="140" t="s">
        <v>537</v>
      </c>
      <c r="G4189" s="141" t="s">
        <v>6304</v>
      </c>
      <c r="H4189" s="140" t="s">
        <v>6312</v>
      </c>
      <c r="I4189" s="140" t="s">
        <v>6527</v>
      </c>
      <c r="J4189" s="140" t="s">
        <v>6319</v>
      </c>
      <c r="K4189" s="140" t="s">
        <v>1573</v>
      </c>
    </row>
    <row r="4190">
      <c r="A4190" s="140" t="s">
        <v>302</v>
      </c>
      <c r="B4190" s="140" t="s">
        <v>11549</v>
      </c>
      <c r="C4190" s="140" t="s">
        <v>11550</v>
      </c>
      <c r="D4190" s="140" t="s">
        <v>6601</v>
      </c>
      <c r="E4190" s="140" t="s">
        <v>526</v>
      </c>
      <c r="F4190" s="140" t="s">
        <v>537</v>
      </c>
      <c r="G4190" s="141" t="s">
        <v>6304</v>
      </c>
      <c r="H4190" s="140" t="s">
        <v>6312</v>
      </c>
      <c r="I4190" s="140" t="s">
        <v>6527</v>
      </c>
      <c r="J4190" s="140" t="s">
        <v>6319</v>
      </c>
      <c r="K4190" s="140" t="s">
        <v>1573</v>
      </c>
    </row>
    <row r="4191">
      <c r="A4191" s="140" t="s">
        <v>302</v>
      </c>
      <c r="B4191" s="140" t="s">
        <v>11551</v>
      </c>
      <c r="C4191" s="140" t="s">
        <v>11552</v>
      </c>
      <c r="D4191" s="140" t="s">
        <v>6601</v>
      </c>
      <c r="E4191" s="140" t="s">
        <v>526</v>
      </c>
      <c r="F4191" s="140" t="s">
        <v>537</v>
      </c>
      <c r="G4191" s="141" t="s">
        <v>6304</v>
      </c>
      <c r="H4191" s="140" t="s">
        <v>6312</v>
      </c>
      <c r="I4191" s="140" t="s">
        <v>6527</v>
      </c>
      <c r="J4191" s="140" t="s">
        <v>6319</v>
      </c>
      <c r="K4191" s="140" t="s">
        <v>1573</v>
      </c>
    </row>
    <row r="4192">
      <c r="A4192" s="140" t="s">
        <v>302</v>
      </c>
      <c r="B4192" s="140" t="s">
        <v>11553</v>
      </c>
      <c r="C4192" s="140" t="s">
        <v>11554</v>
      </c>
      <c r="D4192" s="140" t="s">
        <v>6601</v>
      </c>
      <c r="E4192" s="140" t="s">
        <v>526</v>
      </c>
      <c r="F4192" s="140" t="s">
        <v>537</v>
      </c>
      <c r="G4192" s="141" t="s">
        <v>6304</v>
      </c>
      <c r="H4192" s="140" t="s">
        <v>6312</v>
      </c>
      <c r="I4192" s="140" t="s">
        <v>6527</v>
      </c>
      <c r="J4192" s="140" t="s">
        <v>6319</v>
      </c>
      <c r="K4192" s="140" t="s">
        <v>1573</v>
      </c>
    </row>
    <row r="4193">
      <c r="A4193" s="140" t="s">
        <v>302</v>
      </c>
      <c r="B4193" s="140" t="s">
        <v>11555</v>
      </c>
      <c r="C4193" s="140" t="s">
        <v>11556</v>
      </c>
      <c r="D4193" s="140" t="s">
        <v>6601</v>
      </c>
      <c r="E4193" s="140" t="s">
        <v>526</v>
      </c>
      <c r="F4193" s="140" t="s">
        <v>537</v>
      </c>
      <c r="G4193" s="141" t="s">
        <v>6304</v>
      </c>
      <c r="H4193" s="140" t="s">
        <v>6312</v>
      </c>
      <c r="I4193" s="140" t="s">
        <v>6527</v>
      </c>
      <c r="J4193" s="140" t="s">
        <v>6319</v>
      </c>
      <c r="K4193" s="140" t="s">
        <v>1573</v>
      </c>
    </row>
    <row r="4194">
      <c r="A4194" s="140" t="s">
        <v>302</v>
      </c>
      <c r="B4194" s="140" t="s">
        <v>11557</v>
      </c>
      <c r="C4194" s="140" t="s">
        <v>11556</v>
      </c>
      <c r="D4194" s="140" t="s">
        <v>6601</v>
      </c>
      <c r="E4194" s="140" t="s">
        <v>526</v>
      </c>
      <c r="F4194" s="140" t="s">
        <v>537</v>
      </c>
      <c r="G4194" s="141" t="s">
        <v>6304</v>
      </c>
      <c r="H4194" s="140" t="s">
        <v>6312</v>
      </c>
      <c r="I4194" s="140" t="s">
        <v>6527</v>
      </c>
      <c r="J4194" s="140" t="s">
        <v>6319</v>
      </c>
      <c r="K4194" s="140" t="s">
        <v>1573</v>
      </c>
    </row>
    <row r="4195">
      <c r="A4195" s="140" t="s">
        <v>302</v>
      </c>
      <c r="B4195" s="140" t="s">
        <v>555</v>
      </c>
      <c r="C4195" s="140" t="s">
        <v>11558</v>
      </c>
      <c r="D4195" s="140" t="s">
        <v>6601</v>
      </c>
      <c r="E4195" s="140" t="s">
        <v>526</v>
      </c>
      <c r="F4195" s="140" t="s">
        <v>553</v>
      </c>
      <c r="G4195" s="141" t="s">
        <v>6742</v>
      </c>
      <c r="H4195" s="140" t="s">
        <v>6312</v>
      </c>
      <c r="I4195" s="140" t="s">
        <v>6313</v>
      </c>
      <c r="J4195" s="140" t="s">
        <v>6319</v>
      </c>
      <c r="K4195" s="140" t="s">
        <v>1573</v>
      </c>
    </row>
    <row r="4196">
      <c r="A4196" s="140" t="s">
        <v>302</v>
      </c>
      <c r="B4196" s="140" t="s">
        <v>557</v>
      </c>
      <c r="C4196" s="140" t="s">
        <v>1888</v>
      </c>
      <c r="D4196" s="140" t="s">
        <v>6601</v>
      </c>
      <c r="E4196" s="140" t="s">
        <v>526</v>
      </c>
      <c r="F4196" s="140" t="s">
        <v>553</v>
      </c>
      <c r="G4196" s="141" t="s">
        <v>6664</v>
      </c>
      <c r="H4196" s="140" t="s">
        <v>6312</v>
      </c>
      <c r="I4196" s="140" t="s">
        <v>6313</v>
      </c>
      <c r="J4196" s="140" t="s">
        <v>6319</v>
      </c>
      <c r="K4196" s="140" t="s">
        <v>1573</v>
      </c>
    </row>
    <row r="4197">
      <c r="A4197" s="140" t="s">
        <v>302</v>
      </c>
      <c r="B4197" s="140" t="s">
        <v>559</v>
      </c>
      <c r="C4197" s="140" t="s">
        <v>1890</v>
      </c>
      <c r="D4197" s="140" t="s">
        <v>6601</v>
      </c>
      <c r="E4197" s="140" t="s">
        <v>526</v>
      </c>
      <c r="F4197" s="140" t="s">
        <v>553</v>
      </c>
      <c r="G4197" s="141" t="s">
        <v>6664</v>
      </c>
      <c r="H4197" s="140" t="s">
        <v>6330</v>
      </c>
      <c r="I4197" s="140" t="s">
        <v>6313</v>
      </c>
      <c r="J4197" s="140" t="s">
        <v>6319</v>
      </c>
      <c r="K4197" s="140" t="s">
        <v>1573</v>
      </c>
    </row>
    <row r="4198">
      <c r="A4198" s="140" t="s">
        <v>302</v>
      </c>
      <c r="B4198" s="140" t="s">
        <v>561</v>
      </c>
      <c r="C4198" s="140" t="s">
        <v>1893</v>
      </c>
      <c r="D4198" s="140" t="s">
        <v>6601</v>
      </c>
      <c r="E4198" s="140" t="s">
        <v>526</v>
      </c>
      <c r="F4198" s="140" t="s">
        <v>553</v>
      </c>
      <c r="G4198" s="141" t="s">
        <v>6668</v>
      </c>
      <c r="H4198" s="140" t="s">
        <v>6330</v>
      </c>
      <c r="I4198" s="140" t="s">
        <v>6313</v>
      </c>
      <c r="J4198" s="140" t="s">
        <v>6319</v>
      </c>
      <c r="K4198" s="140" t="s">
        <v>1573</v>
      </c>
    </row>
    <row r="4199">
      <c r="A4199" s="140" t="s">
        <v>302</v>
      </c>
      <c r="B4199" s="140" t="s">
        <v>11559</v>
      </c>
      <c r="C4199" s="140" t="s">
        <v>11560</v>
      </c>
      <c r="D4199" s="140" t="s">
        <v>6601</v>
      </c>
      <c r="E4199" s="140" t="s">
        <v>526</v>
      </c>
      <c r="F4199" s="140" t="s">
        <v>553</v>
      </c>
      <c r="G4199" s="141" t="s">
        <v>6304</v>
      </c>
      <c r="H4199" s="140" t="s">
        <v>6330</v>
      </c>
      <c r="I4199" s="140" t="s">
        <v>6527</v>
      </c>
      <c r="J4199" s="140" t="s">
        <v>6319</v>
      </c>
      <c r="K4199" s="140" t="s">
        <v>1573</v>
      </c>
    </row>
    <row r="4200">
      <c r="A4200" s="140" t="s">
        <v>302</v>
      </c>
      <c r="B4200" s="140" t="s">
        <v>11561</v>
      </c>
      <c r="C4200" s="140" t="s">
        <v>11562</v>
      </c>
      <c r="D4200" s="140" t="s">
        <v>6601</v>
      </c>
      <c r="E4200" s="140" t="s">
        <v>526</v>
      </c>
      <c r="F4200" s="140" t="s">
        <v>553</v>
      </c>
      <c r="G4200" s="141" t="s">
        <v>6304</v>
      </c>
      <c r="H4200" s="140" t="s">
        <v>6330</v>
      </c>
      <c r="I4200" s="140" t="s">
        <v>6527</v>
      </c>
      <c r="J4200" s="140" t="s">
        <v>6319</v>
      </c>
      <c r="K4200" s="140" t="s">
        <v>1573</v>
      </c>
    </row>
    <row r="4201">
      <c r="A4201" s="140" t="s">
        <v>302</v>
      </c>
      <c r="B4201" s="140" t="s">
        <v>11563</v>
      </c>
      <c r="C4201" s="140" t="s">
        <v>11564</v>
      </c>
      <c r="D4201" s="140" t="s">
        <v>6601</v>
      </c>
      <c r="E4201" s="140" t="s">
        <v>526</v>
      </c>
      <c r="F4201" s="140" t="s">
        <v>553</v>
      </c>
      <c r="G4201" s="141" t="s">
        <v>6304</v>
      </c>
      <c r="H4201" s="140" t="s">
        <v>6312</v>
      </c>
      <c r="I4201" s="140" t="s">
        <v>6527</v>
      </c>
      <c r="J4201" s="140" t="s">
        <v>6319</v>
      </c>
      <c r="K4201" s="140" t="s">
        <v>1573</v>
      </c>
    </row>
    <row r="4202">
      <c r="A4202" s="140" t="s">
        <v>302</v>
      </c>
      <c r="B4202" s="140" t="s">
        <v>11565</v>
      </c>
      <c r="C4202" s="140" t="s">
        <v>11566</v>
      </c>
      <c r="D4202" s="140" t="s">
        <v>6601</v>
      </c>
      <c r="E4202" s="140" t="s">
        <v>526</v>
      </c>
      <c r="F4202" s="140" t="s">
        <v>175</v>
      </c>
      <c r="G4202" s="141" t="s">
        <v>6304</v>
      </c>
      <c r="H4202" s="140" t="s">
        <v>6312</v>
      </c>
      <c r="I4202" s="140" t="s">
        <v>6527</v>
      </c>
      <c r="J4202" s="140" t="s">
        <v>6319</v>
      </c>
      <c r="K4202" s="140" t="s">
        <v>1573</v>
      </c>
    </row>
    <row r="4203">
      <c r="A4203" s="140" t="s">
        <v>302</v>
      </c>
      <c r="B4203" s="143">
        <v>1.56685E12</v>
      </c>
      <c r="C4203" s="140" t="s">
        <v>11567</v>
      </c>
      <c r="D4203" s="140" t="s">
        <v>6601</v>
      </c>
      <c r="E4203" s="140" t="s">
        <v>526</v>
      </c>
      <c r="F4203" s="140" t="s">
        <v>175</v>
      </c>
      <c r="G4203" s="141" t="s">
        <v>134</v>
      </c>
      <c r="H4203" s="140" t="s">
        <v>6330</v>
      </c>
      <c r="I4203" s="140" t="s">
        <v>6313</v>
      </c>
      <c r="J4203" s="140" t="s">
        <v>6319</v>
      </c>
      <c r="K4203" s="140" t="s">
        <v>1573</v>
      </c>
    </row>
    <row r="4204">
      <c r="A4204" s="140" t="s">
        <v>11471</v>
      </c>
      <c r="B4204" s="143">
        <v>6.69153E13</v>
      </c>
      <c r="C4204" s="140" t="s">
        <v>11568</v>
      </c>
      <c r="D4204" s="140" t="s">
        <v>6601</v>
      </c>
      <c r="E4204" s="140" t="s">
        <v>526</v>
      </c>
      <c r="F4204" s="140" t="s">
        <v>175</v>
      </c>
      <c r="G4204" s="141" t="s">
        <v>6401</v>
      </c>
      <c r="H4204" s="140" t="s">
        <v>6312</v>
      </c>
      <c r="I4204" s="140" t="s">
        <v>6313</v>
      </c>
      <c r="J4204" s="140" t="s">
        <v>6319</v>
      </c>
      <c r="K4204" s="140" t="s">
        <v>1573</v>
      </c>
    </row>
    <row r="4205">
      <c r="A4205" s="140" t="s">
        <v>302</v>
      </c>
      <c r="B4205" s="140" t="s">
        <v>11569</v>
      </c>
      <c r="C4205" s="140" t="s">
        <v>11570</v>
      </c>
      <c r="D4205" s="140" t="s">
        <v>6601</v>
      </c>
      <c r="E4205" s="140" t="s">
        <v>526</v>
      </c>
      <c r="F4205" s="140" t="s">
        <v>175</v>
      </c>
      <c r="G4205" s="141" t="s">
        <v>6304</v>
      </c>
      <c r="H4205" s="140" t="s">
        <v>6312</v>
      </c>
      <c r="I4205" s="140" t="s">
        <v>6527</v>
      </c>
      <c r="J4205" s="140" t="s">
        <v>6319</v>
      </c>
      <c r="K4205" s="140" t="s">
        <v>1573</v>
      </c>
    </row>
    <row r="4206">
      <c r="A4206" s="140" t="s">
        <v>302</v>
      </c>
      <c r="B4206" s="140" t="s">
        <v>574</v>
      </c>
      <c r="C4206" s="140" t="s">
        <v>11571</v>
      </c>
      <c r="D4206" s="140" t="s">
        <v>6601</v>
      </c>
      <c r="E4206" s="140" t="s">
        <v>526</v>
      </c>
      <c r="F4206" s="140" t="s">
        <v>175</v>
      </c>
      <c r="G4206" s="141" t="s">
        <v>134</v>
      </c>
      <c r="H4206" s="140" t="s">
        <v>6312</v>
      </c>
      <c r="I4206" s="140" t="s">
        <v>6313</v>
      </c>
      <c r="J4206" s="140" t="s">
        <v>6319</v>
      </c>
      <c r="K4206" s="140" t="s">
        <v>1573</v>
      </c>
    </row>
    <row r="4207">
      <c r="A4207" s="140" t="s">
        <v>302</v>
      </c>
      <c r="B4207" s="140" t="s">
        <v>576</v>
      </c>
      <c r="C4207" s="140" t="s">
        <v>11572</v>
      </c>
      <c r="D4207" s="140" t="s">
        <v>6601</v>
      </c>
      <c r="E4207" s="140" t="s">
        <v>526</v>
      </c>
      <c r="F4207" s="140" t="s">
        <v>175</v>
      </c>
      <c r="G4207" s="141" t="s">
        <v>134</v>
      </c>
      <c r="H4207" s="140" t="s">
        <v>6312</v>
      </c>
      <c r="I4207" s="140" t="s">
        <v>6313</v>
      </c>
      <c r="J4207" s="140" t="s">
        <v>6319</v>
      </c>
      <c r="K4207" s="140" t="s">
        <v>1573</v>
      </c>
    </row>
    <row r="4208">
      <c r="A4208" s="140" t="s">
        <v>302</v>
      </c>
      <c r="B4208" s="140" t="s">
        <v>568</v>
      </c>
      <c r="C4208" s="140" t="s">
        <v>11573</v>
      </c>
      <c r="D4208" s="140" t="s">
        <v>6601</v>
      </c>
      <c r="E4208" s="140" t="s">
        <v>526</v>
      </c>
      <c r="F4208" s="140" t="s">
        <v>175</v>
      </c>
      <c r="G4208" s="141" t="s">
        <v>134</v>
      </c>
      <c r="H4208" s="140" t="s">
        <v>6312</v>
      </c>
      <c r="I4208" s="140" t="s">
        <v>6313</v>
      </c>
      <c r="J4208" s="140" t="s">
        <v>6319</v>
      </c>
      <c r="K4208" s="140" t="s">
        <v>1573</v>
      </c>
    </row>
    <row r="4209">
      <c r="A4209" s="140" t="s">
        <v>302</v>
      </c>
      <c r="B4209" s="140" t="s">
        <v>11574</v>
      </c>
      <c r="C4209" s="140" t="s">
        <v>11573</v>
      </c>
      <c r="D4209" s="140" t="s">
        <v>6601</v>
      </c>
      <c r="E4209" s="140" t="s">
        <v>526</v>
      </c>
      <c r="F4209" s="140" t="s">
        <v>175</v>
      </c>
      <c r="G4209" s="141" t="s">
        <v>6304</v>
      </c>
      <c r="H4209" s="140" t="s">
        <v>6312</v>
      </c>
      <c r="I4209" s="140" t="s">
        <v>6527</v>
      </c>
      <c r="J4209" s="140" t="s">
        <v>6319</v>
      </c>
      <c r="K4209" s="140" t="s">
        <v>1573</v>
      </c>
    </row>
    <row r="4210">
      <c r="A4210" s="140" t="s">
        <v>302</v>
      </c>
      <c r="B4210" s="140" t="s">
        <v>570</v>
      </c>
      <c r="C4210" s="140" t="s">
        <v>11575</v>
      </c>
      <c r="D4210" s="140" t="s">
        <v>6601</v>
      </c>
      <c r="E4210" s="140" t="s">
        <v>526</v>
      </c>
      <c r="F4210" s="140" t="s">
        <v>175</v>
      </c>
      <c r="G4210" s="141" t="s">
        <v>134</v>
      </c>
      <c r="H4210" s="140" t="s">
        <v>6312</v>
      </c>
      <c r="I4210" s="140" t="s">
        <v>6313</v>
      </c>
      <c r="J4210" s="140" t="s">
        <v>6319</v>
      </c>
      <c r="K4210" s="140" t="s">
        <v>1573</v>
      </c>
    </row>
    <row r="4211">
      <c r="A4211" s="140" t="s">
        <v>302</v>
      </c>
      <c r="B4211" s="140" t="s">
        <v>11576</v>
      </c>
      <c r="C4211" s="140" t="s">
        <v>11575</v>
      </c>
      <c r="D4211" s="140" t="s">
        <v>6601</v>
      </c>
      <c r="E4211" s="140" t="s">
        <v>526</v>
      </c>
      <c r="F4211" s="140" t="s">
        <v>175</v>
      </c>
      <c r="G4211" s="141" t="s">
        <v>6304</v>
      </c>
      <c r="H4211" s="140" t="s">
        <v>6312</v>
      </c>
      <c r="I4211" s="140" t="s">
        <v>6527</v>
      </c>
      <c r="J4211" s="140" t="s">
        <v>6319</v>
      </c>
      <c r="K4211" s="140" t="s">
        <v>1573</v>
      </c>
    </row>
    <row r="4212">
      <c r="A4212" s="140" t="s">
        <v>302</v>
      </c>
      <c r="B4212" s="140" t="s">
        <v>11577</v>
      </c>
      <c r="C4212" s="140" t="s">
        <v>11578</v>
      </c>
      <c r="D4212" s="140" t="s">
        <v>6601</v>
      </c>
      <c r="E4212" s="140" t="s">
        <v>526</v>
      </c>
      <c r="F4212" s="140" t="s">
        <v>175</v>
      </c>
      <c r="G4212" s="141" t="s">
        <v>6304</v>
      </c>
      <c r="H4212" s="140" t="s">
        <v>6312</v>
      </c>
      <c r="I4212" s="140" t="s">
        <v>6527</v>
      </c>
      <c r="J4212" s="140" t="s">
        <v>6319</v>
      </c>
      <c r="K4212" s="140" t="s">
        <v>1573</v>
      </c>
    </row>
    <row r="4213">
      <c r="A4213" s="140" t="s">
        <v>302</v>
      </c>
      <c r="B4213" s="140" t="s">
        <v>572</v>
      </c>
      <c r="C4213" s="140" t="s">
        <v>1906</v>
      </c>
      <c r="D4213" s="140" t="s">
        <v>6601</v>
      </c>
      <c r="E4213" s="140" t="s">
        <v>526</v>
      </c>
      <c r="F4213" s="140" t="s">
        <v>175</v>
      </c>
      <c r="G4213" s="141" t="s">
        <v>6742</v>
      </c>
      <c r="H4213" s="140" t="s">
        <v>6330</v>
      </c>
      <c r="I4213" s="140" t="s">
        <v>6313</v>
      </c>
      <c r="J4213" s="140" t="s">
        <v>6319</v>
      </c>
      <c r="K4213" s="140" t="s">
        <v>1573</v>
      </c>
    </row>
    <row r="4214">
      <c r="A4214" s="140" t="s">
        <v>302</v>
      </c>
      <c r="B4214" s="143">
        <v>1.6237E12</v>
      </c>
      <c r="C4214" s="140" t="s">
        <v>1908</v>
      </c>
      <c r="D4214" s="140" t="s">
        <v>6601</v>
      </c>
      <c r="E4214" s="140" t="s">
        <v>526</v>
      </c>
      <c r="F4214" s="140" t="s">
        <v>175</v>
      </c>
      <c r="G4214" s="141" t="s">
        <v>134</v>
      </c>
      <c r="H4214" s="140" t="s">
        <v>6330</v>
      </c>
      <c r="I4214" s="140" t="s">
        <v>6313</v>
      </c>
      <c r="J4214" s="140" t="s">
        <v>6319</v>
      </c>
      <c r="K4214" s="140" t="s">
        <v>1573</v>
      </c>
    </row>
    <row r="4215">
      <c r="A4215" s="140" t="s">
        <v>302</v>
      </c>
      <c r="B4215" s="143">
        <v>1.6237E12</v>
      </c>
      <c r="C4215" s="140" t="s">
        <v>1909</v>
      </c>
      <c r="D4215" s="140" t="s">
        <v>6601</v>
      </c>
      <c r="E4215" s="140" t="s">
        <v>526</v>
      </c>
      <c r="F4215" s="140" t="s">
        <v>175</v>
      </c>
      <c r="G4215" s="141" t="s">
        <v>6742</v>
      </c>
      <c r="H4215" s="140" t="s">
        <v>6330</v>
      </c>
      <c r="I4215" s="140" t="s">
        <v>6313</v>
      </c>
      <c r="J4215" s="140" t="s">
        <v>6319</v>
      </c>
      <c r="K4215" s="140" t="s">
        <v>1573</v>
      </c>
    </row>
    <row r="4216">
      <c r="A4216" s="140" t="s">
        <v>302</v>
      </c>
      <c r="B4216" s="143">
        <v>1.66187E12</v>
      </c>
      <c r="C4216" s="140" t="s">
        <v>11579</v>
      </c>
      <c r="D4216" s="140" t="s">
        <v>6601</v>
      </c>
      <c r="E4216" s="140" t="s">
        <v>526</v>
      </c>
      <c r="F4216" s="140" t="s">
        <v>175</v>
      </c>
      <c r="G4216" s="141" t="s">
        <v>134</v>
      </c>
      <c r="H4216" s="140" t="s">
        <v>6312</v>
      </c>
      <c r="I4216" s="140" t="s">
        <v>6313</v>
      </c>
      <c r="J4216" s="140" t="s">
        <v>6319</v>
      </c>
      <c r="K4216" s="140" t="s">
        <v>1573</v>
      </c>
    </row>
    <row r="4217">
      <c r="A4217" s="140" t="s">
        <v>302</v>
      </c>
      <c r="B4217" s="143">
        <v>1.66187E12</v>
      </c>
      <c r="C4217" s="140" t="s">
        <v>11580</v>
      </c>
      <c r="D4217" s="140" t="s">
        <v>6601</v>
      </c>
      <c r="E4217" s="140" t="s">
        <v>526</v>
      </c>
      <c r="F4217" s="140" t="s">
        <v>175</v>
      </c>
      <c r="G4217" s="141" t="s">
        <v>6401</v>
      </c>
      <c r="H4217" s="140" t="s">
        <v>6312</v>
      </c>
      <c r="I4217" s="140" t="s">
        <v>6313</v>
      </c>
      <c r="J4217" s="140" t="s">
        <v>6319</v>
      </c>
      <c r="K4217" s="140" t="s">
        <v>1573</v>
      </c>
    </row>
    <row r="4218">
      <c r="A4218" s="140" t="s">
        <v>302</v>
      </c>
      <c r="B4218" s="140" t="s">
        <v>580</v>
      </c>
      <c r="C4218" s="140" t="s">
        <v>1897</v>
      </c>
      <c r="D4218" s="140" t="s">
        <v>6601</v>
      </c>
      <c r="E4218" s="140" t="s">
        <v>526</v>
      </c>
      <c r="F4218" s="140" t="s">
        <v>175</v>
      </c>
      <c r="G4218" s="141" t="s">
        <v>6668</v>
      </c>
      <c r="H4218" s="140" t="s">
        <v>6330</v>
      </c>
      <c r="I4218" s="140" t="s">
        <v>6313</v>
      </c>
      <c r="J4218" s="140" t="s">
        <v>6319</v>
      </c>
      <c r="K4218" s="140" t="s">
        <v>1573</v>
      </c>
    </row>
    <row r="4219">
      <c r="A4219" s="140" t="s">
        <v>302</v>
      </c>
      <c r="B4219" s="140" t="s">
        <v>582</v>
      </c>
      <c r="C4219" s="140" t="s">
        <v>1898</v>
      </c>
      <c r="D4219" s="140" t="s">
        <v>6601</v>
      </c>
      <c r="E4219" s="140" t="s">
        <v>526</v>
      </c>
      <c r="F4219" s="140" t="s">
        <v>175</v>
      </c>
      <c r="G4219" s="141" t="s">
        <v>6668</v>
      </c>
      <c r="H4219" s="140" t="s">
        <v>6330</v>
      </c>
      <c r="I4219" s="140" t="s">
        <v>6313</v>
      </c>
      <c r="J4219" s="140" t="s">
        <v>6319</v>
      </c>
      <c r="K4219" s="140" t="s">
        <v>1573</v>
      </c>
    </row>
    <row r="4220">
      <c r="A4220" s="140" t="s">
        <v>302</v>
      </c>
      <c r="B4220" s="140" t="s">
        <v>564</v>
      </c>
      <c r="C4220" s="140" t="s">
        <v>1895</v>
      </c>
      <c r="D4220" s="140" t="s">
        <v>6601</v>
      </c>
      <c r="E4220" s="140" t="s">
        <v>526</v>
      </c>
      <c r="F4220" s="140" t="s">
        <v>175</v>
      </c>
      <c r="G4220" s="141" t="s">
        <v>6668</v>
      </c>
      <c r="H4220" s="140" t="s">
        <v>6330</v>
      </c>
      <c r="I4220" s="140" t="s">
        <v>6313</v>
      </c>
      <c r="J4220" s="140" t="s">
        <v>6319</v>
      </c>
      <c r="K4220" s="140" t="s">
        <v>1573</v>
      </c>
    </row>
    <row r="4221">
      <c r="A4221" s="140" t="s">
        <v>302</v>
      </c>
      <c r="B4221" s="140" t="s">
        <v>566</v>
      </c>
      <c r="C4221" s="140" t="s">
        <v>1896</v>
      </c>
      <c r="D4221" s="140" t="s">
        <v>6601</v>
      </c>
      <c r="E4221" s="140" t="s">
        <v>526</v>
      </c>
      <c r="F4221" s="140" t="s">
        <v>175</v>
      </c>
      <c r="G4221" s="141" t="s">
        <v>6668</v>
      </c>
      <c r="H4221" s="140" t="s">
        <v>6330</v>
      </c>
      <c r="I4221" s="140" t="s">
        <v>6313</v>
      </c>
      <c r="J4221" s="140" t="s">
        <v>6319</v>
      </c>
      <c r="K4221" s="140" t="s">
        <v>1573</v>
      </c>
    </row>
    <row r="4222">
      <c r="A4222" s="140" t="s">
        <v>302</v>
      </c>
      <c r="B4222" s="143">
        <v>1.66187E12</v>
      </c>
      <c r="C4222" s="140" t="s">
        <v>11581</v>
      </c>
      <c r="D4222" s="140" t="s">
        <v>6601</v>
      </c>
      <c r="E4222" s="140" t="s">
        <v>526</v>
      </c>
      <c r="F4222" s="140" t="s">
        <v>175</v>
      </c>
      <c r="G4222" s="141" t="s">
        <v>6668</v>
      </c>
      <c r="H4222" s="140" t="s">
        <v>6319</v>
      </c>
      <c r="I4222" s="140" t="s">
        <v>6313</v>
      </c>
      <c r="J4222" s="140" t="s">
        <v>6319</v>
      </c>
      <c r="K4222" s="140" t="s">
        <v>1573</v>
      </c>
    </row>
    <row r="4223">
      <c r="A4223" s="140" t="s">
        <v>302</v>
      </c>
      <c r="B4223" s="143">
        <v>1.66187E12</v>
      </c>
      <c r="C4223" s="140" t="s">
        <v>11582</v>
      </c>
      <c r="D4223" s="140" t="s">
        <v>6601</v>
      </c>
      <c r="E4223" s="140" t="s">
        <v>526</v>
      </c>
      <c r="F4223" s="140" t="s">
        <v>175</v>
      </c>
      <c r="G4223" s="141" t="s">
        <v>6668</v>
      </c>
      <c r="H4223" s="140" t="s">
        <v>6319</v>
      </c>
      <c r="I4223" s="140" t="s">
        <v>6313</v>
      </c>
      <c r="J4223" s="140" t="s">
        <v>6319</v>
      </c>
      <c r="K4223" s="140" t="s">
        <v>1573</v>
      </c>
    </row>
    <row r="4224">
      <c r="A4224" s="140" t="s">
        <v>302</v>
      </c>
      <c r="B4224" s="140" t="s">
        <v>586</v>
      </c>
      <c r="C4224" s="140" t="s">
        <v>1900</v>
      </c>
      <c r="D4224" s="140" t="s">
        <v>6601</v>
      </c>
      <c r="E4224" s="140" t="s">
        <v>526</v>
      </c>
      <c r="F4224" s="140" t="s">
        <v>175</v>
      </c>
      <c r="G4224" s="141" t="s">
        <v>6664</v>
      </c>
      <c r="H4224" s="140" t="s">
        <v>6330</v>
      </c>
      <c r="I4224" s="140" t="s">
        <v>6313</v>
      </c>
      <c r="J4224" s="140" t="s">
        <v>6319</v>
      </c>
      <c r="K4224" s="140" t="s">
        <v>1573</v>
      </c>
    </row>
    <row r="4225">
      <c r="A4225" s="140" t="s">
        <v>302</v>
      </c>
      <c r="B4225" s="140" t="s">
        <v>588</v>
      </c>
      <c r="C4225" s="140" t="s">
        <v>1911</v>
      </c>
      <c r="D4225" s="140" t="s">
        <v>6601</v>
      </c>
      <c r="E4225" s="140" t="s">
        <v>526</v>
      </c>
      <c r="F4225" s="140" t="s">
        <v>175</v>
      </c>
      <c r="G4225" s="141" t="s">
        <v>6668</v>
      </c>
      <c r="H4225" s="140" t="s">
        <v>6330</v>
      </c>
      <c r="I4225" s="140" t="s">
        <v>6313</v>
      </c>
      <c r="J4225" s="140" t="s">
        <v>6319</v>
      </c>
      <c r="K4225" s="140" t="s">
        <v>1573</v>
      </c>
    </row>
    <row r="4226">
      <c r="A4226" s="140" t="s">
        <v>302</v>
      </c>
      <c r="B4226" s="140" t="s">
        <v>11583</v>
      </c>
      <c r="C4226" s="140" t="s">
        <v>11584</v>
      </c>
      <c r="D4226" s="140" t="s">
        <v>6601</v>
      </c>
      <c r="E4226" s="140" t="s">
        <v>526</v>
      </c>
      <c r="F4226" s="140" t="s">
        <v>175</v>
      </c>
      <c r="G4226" s="141" t="s">
        <v>6304</v>
      </c>
      <c r="H4226" s="140" t="s">
        <v>6312</v>
      </c>
      <c r="I4226" s="140" t="s">
        <v>6527</v>
      </c>
      <c r="J4226" s="140" t="s">
        <v>6319</v>
      </c>
      <c r="K4226" s="140" t="s">
        <v>1573</v>
      </c>
    </row>
    <row r="4227">
      <c r="A4227" s="140" t="s">
        <v>302</v>
      </c>
      <c r="B4227" s="140" t="s">
        <v>11585</v>
      </c>
      <c r="C4227" s="140" t="s">
        <v>11586</v>
      </c>
      <c r="D4227" s="140" t="s">
        <v>7347</v>
      </c>
      <c r="E4227" s="140" t="s">
        <v>526</v>
      </c>
      <c r="F4227" s="140" t="s">
        <v>175</v>
      </c>
      <c r="G4227" s="141" t="s">
        <v>6304</v>
      </c>
      <c r="H4227" s="140" t="s">
        <v>6312</v>
      </c>
      <c r="I4227" s="140" t="s">
        <v>6527</v>
      </c>
      <c r="J4227" s="140" t="s">
        <v>6319</v>
      </c>
      <c r="K4227" s="140" t="s">
        <v>1573</v>
      </c>
    </row>
    <row r="4228">
      <c r="A4228" s="140" t="s">
        <v>302</v>
      </c>
      <c r="B4228" s="143">
        <v>1.61904E12</v>
      </c>
      <c r="C4228" s="140" t="s">
        <v>11587</v>
      </c>
      <c r="D4228" s="140" t="s">
        <v>7347</v>
      </c>
      <c r="E4228" s="140" t="s">
        <v>526</v>
      </c>
      <c r="F4228" s="140" t="s">
        <v>175</v>
      </c>
      <c r="G4228" s="141" t="s">
        <v>6401</v>
      </c>
      <c r="H4228" s="140" t="s">
        <v>6312</v>
      </c>
      <c r="I4228" s="140" t="s">
        <v>6313</v>
      </c>
      <c r="J4228" s="140" t="s">
        <v>6319</v>
      </c>
      <c r="K4228" s="140" t="s">
        <v>1573</v>
      </c>
    </row>
    <row r="4229">
      <c r="A4229" s="140" t="s">
        <v>302</v>
      </c>
      <c r="B4229" s="140" t="s">
        <v>11588</v>
      </c>
      <c r="C4229" s="140" t="s">
        <v>11589</v>
      </c>
      <c r="D4229" s="140" t="s">
        <v>7347</v>
      </c>
      <c r="E4229" s="140" t="s">
        <v>526</v>
      </c>
      <c r="F4229" s="140" t="s">
        <v>175</v>
      </c>
      <c r="G4229" s="141" t="s">
        <v>6304</v>
      </c>
      <c r="H4229" s="140" t="s">
        <v>6312</v>
      </c>
      <c r="I4229" s="140" t="s">
        <v>6527</v>
      </c>
      <c r="J4229" s="140" t="s">
        <v>6319</v>
      </c>
      <c r="K4229" s="140" t="s">
        <v>1573</v>
      </c>
    </row>
    <row r="4230">
      <c r="A4230" s="140" t="s">
        <v>302</v>
      </c>
      <c r="B4230" s="140" t="s">
        <v>11590</v>
      </c>
      <c r="C4230" s="140" t="s">
        <v>11578</v>
      </c>
      <c r="D4230" s="140" t="s">
        <v>7347</v>
      </c>
      <c r="E4230" s="140" t="s">
        <v>526</v>
      </c>
      <c r="F4230" s="140" t="s">
        <v>175</v>
      </c>
      <c r="G4230" s="141" t="s">
        <v>6304</v>
      </c>
      <c r="H4230" s="140" t="s">
        <v>6312</v>
      </c>
      <c r="I4230" s="140" t="s">
        <v>6527</v>
      </c>
      <c r="J4230" s="140" t="s">
        <v>6319</v>
      </c>
      <c r="K4230" s="140" t="s">
        <v>1573</v>
      </c>
    </row>
    <row r="4231">
      <c r="A4231" s="140" t="s">
        <v>302</v>
      </c>
      <c r="B4231" s="143">
        <v>1.6237E12</v>
      </c>
      <c r="C4231" s="140" t="s">
        <v>11591</v>
      </c>
      <c r="D4231" s="140" t="s">
        <v>7347</v>
      </c>
      <c r="E4231" s="140" t="s">
        <v>526</v>
      </c>
      <c r="F4231" s="140" t="s">
        <v>175</v>
      </c>
      <c r="G4231" s="141" t="s">
        <v>6401</v>
      </c>
      <c r="H4231" s="140" t="s">
        <v>6312</v>
      </c>
      <c r="I4231" s="140" t="s">
        <v>6313</v>
      </c>
      <c r="J4231" s="140" t="s">
        <v>6319</v>
      </c>
      <c r="K4231" s="140" t="s">
        <v>1573</v>
      </c>
    </row>
    <row r="4232">
      <c r="A4232" s="140" t="s">
        <v>302</v>
      </c>
      <c r="B4232" s="140" t="s">
        <v>595</v>
      </c>
      <c r="C4232" s="140" t="s">
        <v>11592</v>
      </c>
      <c r="D4232" s="140" t="s">
        <v>6601</v>
      </c>
      <c r="E4232" s="140" t="s">
        <v>526</v>
      </c>
      <c r="F4232" s="140" t="s">
        <v>591</v>
      </c>
      <c r="G4232" s="141" t="s">
        <v>6664</v>
      </c>
      <c r="H4232" s="140" t="s">
        <v>6330</v>
      </c>
      <c r="I4232" s="140" t="s">
        <v>6313</v>
      </c>
      <c r="J4232" s="140" t="s">
        <v>6319</v>
      </c>
      <c r="K4232" s="140" t="s">
        <v>1573</v>
      </c>
    </row>
    <row r="4233">
      <c r="A4233" s="140" t="s">
        <v>302</v>
      </c>
      <c r="B4233" s="140" t="s">
        <v>597</v>
      </c>
      <c r="C4233" s="140" t="s">
        <v>11593</v>
      </c>
      <c r="D4233" s="140" t="s">
        <v>6601</v>
      </c>
      <c r="E4233" s="140" t="s">
        <v>526</v>
      </c>
      <c r="F4233" s="140" t="s">
        <v>591</v>
      </c>
      <c r="G4233" s="141" t="s">
        <v>6664</v>
      </c>
      <c r="H4233" s="140" t="s">
        <v>6330</v>
      </c>
      <c r="I4233" s="140" t="s">
        <v>6313</v>
      </c>
      <c r="J4233" s="140" t="s">
        <v>6319</v>
      </c>
      <c r="K4233" s="140" t="s">
        <v>1573</v>
      </c>
    </row>
    <row r="4234">
      <c r="A4234" s="140" t="s">
        <v>302</v>
      </c>
      <c r="B4234" s="140" t="s">
        <v>593</v>
      </c>
      <c r="C4234" s="140" t="s">
        <v>11594</v>
      </c>
      <c r="D4234" s="140" t="s">
        <v>6601</v>
      </c>
      <c r="E4234" s="140" t="s">
        <v>526</v>
      </c>
      <c r="F4234" s="140" t="s">
        <v>591</v>
      </c>
      <c r="G4234" s="141" t="s">
        <v>6664</v>
      </c>
      <c r="H4234" s="140" t="s">
        <v>6330</v>
      </c>
      <c r="I4234" s="140" t="s">
        <v>6313</v>
      </c>
      <c r="J4234" s="140" t="s">
        <v>6319</v>
      </c>
      <c r="K4234" s="140" t="s">
        <v>1573</v>
      </c>
    </row>
    <row r="4235">
      <c r="A4235" s="140" t="s">
        <v>302</v>
      </c>
      <c r="B4235" s="143">
        <v>6.83214E13</v>
      </c>
      <c r="C4235" s="140" t="s">
        <v>11595</v>
      </c>
      <c r="D4235" s="140" t="s">
        <v>6318</v>
      </c>
      <c r="E4235" s="140" t="s">
        <v>598</v>
      </c>
      <c r="F4235" s="140" t="s">
        <v>599</v>
      </c>
      <c r="G4235" s="141" t="s">
        <v>134</v>
      </c>
      <c r="H4235" s="140" t="s">
        <v>6312</v>
      </c>
      <c r="I4235" s="140" t="s">
        <v>6313</v>
      </c>
      <c r="J4235" s="140" t="s">
        <v>6319</v>
      </c>
      <c r="K4235" s="140" t="s">
        <v>1573</v>
      </c>
    </row>
    <row r="4236">
      <c r="A4236" s="140" t="s">
        <v>302</v>
      </c>
      <c r="B4236" s="140" t="s">
        <v>4174</v>
      </c>
      <c r="C4236" s="140" t="s">
        <v>11595</v>
      </c>
      <c r="D4236" s="140" t="s">
        <v>6318</v>
      </c>
      <c r="E4236" s="140" t="s">
        <v>598</v>
      </c>
      <c r="F4236" s="140" t="s">
        <v>599</v>
      </c>
      <c r="G4236" s="141" t="s">
        <v>6304</v>
      </c>
      <c r="H4236" s="140" t="s">
        <v>6312</v>
      </c>
      <c r="I4236" s="140" t="s">
        <v>6527</v>
      </c>
      <c r="J4236" s="140" t="s">
        <v>6319</v>
      </c>
      <c r="K4236" s="140" t="s">
        <v>1573</v>
      </c>
    </row>
    <row r="4237">
      <c r="A4237" s="140" t="s">
        <v>302</v>
      </c>
      <c r="B4237" s="140" t="s">
        <v>617</v>
      </c>
      <c r="C4237" s="140" t="s">
        <v>11596</v>
      </c>
      <c r="D4237" s="140" t="s">
        <v>6318</v>
      </c>
      <c r="E4237" s="140" t="s">
        <v>598</v>
      </c>
      <c r="F4237" s="140" t="s">
        <v>599</v>
      </c>
      <c r="G4237" s="141" t="s">
        <v>6401</v>
      </c>
      <c r="H4237" s="140" t="s">
        <v>6312</v>
      </c>
      <c r="I4237" s="140" t="s">
        <v>6313</v>
      </c>
      <c r="J4237" s="140" t="s">
        <v>6319</v>
      </c>
      <c r="K4237" s="140" t="s">
        <v>1573</v>
      </c>
    </row>
    <row r="4238">
      <c r="A4238" s="140" t="s">
        <v>302</v>
      </c>
      <c r="B4238" s="140" t="s">
        <v>621</v>
      </c>
      <c r="C4238" s="140" t="s">
        <v>11597</v>
      </c>
      <c r="D4238" s="140" t="s">
        <v>6318</v>
      </c>
      <c r="E4238" s="140" t="s">
        <v>598</v>
      </c>
      <c r="F4238" s="140" t="s">
        <v>599</v>
      </c>
      <c r="G4238" s="141" t="s">
        <v>134</v>
      </c>
      <c r="H4238" s="140" t="s">
        <v>6312</v>
      </c>
      <c r="I4238" s="140" t="s">
        <v>6313</v>
      </c>
      <c r="J4238" s="140" t="s">
        <v>6319</v>
      </c>
      <c r="K4238" s="140" t="s">
        <v>1573</v>
      </c>
    </row>
    <row r="4239">
      <c r="A4239" s="140" t="s">
        <v>302</v>
      </c>
      <c r="B4239" s="140" t="s">
        <v>623</v>
      </c>
      <c r="C4239" s="140" t="s">
        <v>11598</v>
      </c>
      <c r="D4239" s="140" t="s">
        <v>6318</v>
      </c>
      <c r="E4239" s="140" t="s">
        <v>598</v>
      </c>
      <c r="F4239" s="140" t="s">
        <v>599</v>
      </c>
      <c r="G4239" s="141" t="s">
        <v>6401</v>
      </c>
      <c r="H4239" s="140" t="s">
        <v>6312</v>
      </c>
      <c r="I4239" s="140" t="s">
        <v>6313</v>
      </c>
      <c r="J4239" s="140" t="s">
        <v>6319</v>
      </c>
      <c r="K4239" s="140" t="s">
        <v>1573</v>
      </c>
    </row>
    <row r="4240">
      <c r="A4240" s="140" t="s">
        <v>302</v>
      </c>
      <c r="B4240" s="140" t="s">
        <v>625</v>
      </c>
      <c r="C4240" s="140" t="s">
        <v>11599</v>
      </c>
      <c r="D4240" s="140" t="s">
        <v>6318</v>
      </c>
      <c r="E4240" s="140" t="s">
        <v>598</v>
      </c>
      <c r="F4240" s="140" t="s">
        <v>599</v>
      </c>
      <c r="G4240" s="141" t="s">
        <v>134</v>
      </c>
      <c r="H4240" s="140" t="s">
        <v>6312</v>
      </c>
      <c r="I4240" s="140" t="s">
        <v>6313</v>
      </c>
      <c r="J4240" s="140" t="s">
        <v>6319</v>
      </c>
      <c r="K4240" s="140" t="s">
        <v>1573</v>
      </c>
    </row>
    <row r="4241">
      <c r="A4241" s="140" t="s">
        <v>302</v>
      </c>
      <c r="B4241" s="140" t="s">
        <v>619</v>
      </c>
      <c r="C4241" s="140" t="s">
        <v>11600</v>
      </c>
      <c r="D4241" s="140" t="s">
        <v>6318</v>
      </c>
      <c r="E4241" s="140" t="s">
        <v>598</v>
      </c>
      <c r="F4241" s="140" t="s">
        <v>599</v>
      </c>
      <c r="G4241" s="141" t="s">
        <v>134</v>
      </c>
      <c r="H4241" s="140" t="s">
        <v>6312</v>
      </c>
      <c r="I4241" s="140" t="s">
        <v>6313</v>
      </c>
      <c r="J4241" s="140" t="s">
        <v>6319</v>
      </c>
      <c r="K4241" s="140" t="s">
        <v>1573</v>
      </c>
    </row>
    <row r="4242">
      <c r="A4242" s="140" t="s">
        <v>302</v>
      </c>
      <c r="B4242" s="140" t="s">
        <v>627</v>
      </c>
      <c r="C4242" s="140" t="s">
        <v>11601</v>
      </c>
      <c r="D4242" s="140" t="s">
        <v>6318</v>
      </c>
      <c r="E4242" s="140" t="s">
        <v>598</v>
      </c>
      <c r="F4242" s="140" t="s">
        <v>599</v>
      </c>
      <c r="G4242" s="141" t="s">
        <v>134</v>
      </c>
      <c r="H4242" s="140" t="s">
        <v>6312</v>
      </c>
      <c r="I4242" s="140" t="s">
        <v>6313</v>
      </c>
      <c r="J4242" s="140" t="s">
        <v>6319</v>
      </c>
      <c r="K4242" s="140" t="s">
        <v>1573</v>
      </c>
    </row>
    <row r="4243">
      <c r="A4243" s="140" t="s">
        <v>302</v>
      </c>
      <c r="B4243" s="140" t="s">
        <v>631</v>
      </c>
      <c r="C4243" s="140" t="s">
        <v>11602</v>
      </c>
      <c r="D4243" s="140" t="s">
        <v>6318</v>
      </c>
      <c r="E4243" s="140" t="s">
        <v>598</v>
      </c>
      <c r="F4243" s="140" t="s">
        <v>599</v>
      </c>
      <c r="G4243" s="141" t="s">
        <v>134</v>
      </c>
      <c r="H4243" s="140" t="s">
        <v>6312</v>
      </c>
      <c r="I4243" s="140" t="s">
        <v>6313</v>
      </c>
      <c r="J4243" s="140" t="s">
        <v>6319</v>
      </c>
      <c r="K4243" s="140" t="s">
        <v>1573</v>
      </c>
    </row>
    <row r="4244">
      <c r="A4244" s="140" t="s">
        <v>302</v>
      </c>
      <c r="B4244" s="140" t="s">
        <v>635</v>
      </c>
      <c r="C4244" s="140" t="s">
        <v>11603</v>
      </c>
      <c r="D4244" s="140" t="s">
        <v>6318</v>
      </c>
      <c r="E4244" s="140" t="s">
        <v>598</v>
      </c>
      <c r="F4244" s="140" t="s">
        <v>599</v>
      </c>
      <c r="G4244" s="141" t="s">
        <v>134</v>
      </c>
      <c r="H4244" s="140" t="s">
        <v>6312</v>
      </c>
      <c r="I4244" s="140" t="s">
        <v>6313</v>
      </c>
      <c r="J4244" s="140" t="s">
        <v>6319</v>
      </c>
      <c r="K4244" s="140" t="s">
        <v>1573</v>
      </c>
    </row>
    <row r="4245">
      <c r="A4245" s="140" t="s">
        <v>302</v>
      </c>
      <c r="B4245" s="140" t="s">
        <v>677</v>
      </c>
      <c r="C4245" s="140" t="s">
        <v>1942</v>
      </c>
      <c r="D4245" s="140" t="s">
        <v>6318</v>
      </c>
      <c r="E4245" s="140" t="s">
        <v>598</v>
      </c>
      <c r="F4245" s="140" t="s">
        <v>599</v>
      </c>
      <c r="G4245" s="141" t="s">
        <v>6668</v>
      </c>
      <c r="H4245" s="140" t="s">
        <v>6330</v>
      </c>
      <c r="I4245" s="140" t="s">
        <v>6313</v>
      </c>
      <c r="J4245" s="140" t="s">
        <v>6319</v>
      </c>
      <c r="K4245" s="140" t="s">
        <v>1573</v>
      </c>
    </row>
    <row r="4246">
      <c r="A4246" s="140" t="s">
        <v>302</v>
      </c>
      <c r="B4246" s="140" t="s">
        <v>675</v>
      </c>
      <c r="C4246" s="140" t="s">
        <v>1941</v>
      </c>
      <c r="D4246" s="140" t="s">
        <v>6318</v>
      </c>
      <c r="E4246" s="140" t="s">
        <v>598</v>
      </c>
      <c r="F4246" s="140" t="s">
        <v>599</v>
      </c>
      <c r="G4246" s="141" t="s">
        <v>6668</v>
      </c>
      <c r="H4246" s="140" t="s">
        <v>6330</v>
      </c>
      <c r="I4246" s="140" t="s">
        <v>6313</v>
      </c>
      <c r="J4246" s="140" t="s">
        <v>6319</v>
      </c>
      <c r="K4246" s="140" t="s">
        <v>1573</v>
      </c>
    </row>
    <row r="4247">
      <c r="A4247" s="140" t="s">
        <v>302</v>
      </c>
      <c r="B4247" s="140" t="s">
        <v>683</v>
      </c>
      <c r="C4247" s="140" t="s">
        <v>1945</v>
      </c>
      <c r="D4247" s="140" t="s">
        <v>6318</v>
      </c>
      <c r="E4247" s="140" t="s">
        <v>598</v>
      </c>
      <c r="F4247" s="140" t="s">
        <v>599</v>
      </c>
      <c r="G4247" s="141" t="s">
        <v>6668</v>
      </c>
      <c r="H4247" s="140" t="s">
        <v>6330</v>
      </c>
      <c r="I4247" s="140" t="s">
        <v>6313</v>
      </c>
      <c r="J4247" s="140" t="s">
        <v>6319</v>
      </c>
      <c r="K4247" s="140" t="s">
        <v>1573</v>
      </c>
    </row>
    <row r="4248">
      <c r="A4248" s="140" t="s">
        <v>302</v>
      </c>
      <c r="B4248" s="140" t="s">
        <v>681</v>
      </c>
      <c r="C4248" s="140" t="s">
        <v>1944</v>
      </c>
      <c r="D4248" s="140" t="s">
        <v>6318</v>
      </c>
      <c r="E4248" s="140" t="s">
        <v>598</v>
      </c>
      <c r="F4248" s="140" t="s">
        <v>599</v>
      </c>
      <c r="G4248" s="141" t="s">
        <v>6668</v>
      </c>
      <c r="H4248" s="140" t="s">
        <v>6330</v>
      </c>
      <c r="I4248" s="140" t="s">
        <v>6313</v>
      </c>
      <c r="J4248" s="140" t="s">
        <v>6319</v>
      </c>
      <c r="K4248" s="140" t="s">
        <v>1573</v>
      </c>
    </row>
    <row r="4249">
      <c r="A4249" s="140" t="s">
        <v>302</v>
      </c>
      <c r="B4249" s="140" t="s">
        <v>679</v>
      </c>
      <c r="C4249" s="140" t="s">
        <v>1943</v>
      </c>
      <c r="D4249" s="140" t="s">
        <v>6318</v>
      </c>
      <c r="E4249" s="140" t="s">
        <v>598</v>
      </c>
      <c r="F4249" s="140" t="s">
        <v>599</v>
      </c>
      <c r="G4249" s="141" t="s">
        <v>6668</v>
      </c>
      <c r="H4249" s="140" t="s">
        <v>6330</v>
      </c>
      <c r="I4249" s="140" t="s">
        <v>6313</v>
      </c>
      <c r="J4249" s="140" t="s">
        <v>6319</v>
      </c>
      <c r="K4249" s="140" t="s">
        <v>1573</v>
      </c>
    </row>
    <row r="4250">
      <c r="A4250" s="140" t="s">
        <v>302</v>
      </c>
      <c r="B4250" s="140" t="s">
        <v>11604</v>
      </c>
      <c r="C4250" s="140" t="s">
        <v>11605</v>
      </c>
      <c r="D4250" s="140" t="s">
        <v>6318</v>
      </c>
      <c r="E4250" s="140" t="s">
        <v>598</v>
      </c>
      <c r="F4250" s="140" t="s">
        <v>599</v>
      </c>
      <c r="G4250" s="141" t="s">
        <v>6311</v>
      </c>
      <c r="H4250" s="140" t="s">
        <v>6330</v>
      </c>
      <c r="I4250" s="140" t="s">
        <v>6527</v>
      </c>
      <c r="J4250" s="140" t="s">
        <v>6319</v>
      </c>
      <c r="K4250" s="140" t="s">
        <v>1573</v>
      </c>
    </row>
    <row r="4251">
      <c r="A4251" s="140" t="s">
        <v>302</v>
      </c>
      <c r="B4251" s="143">
        <v>1.65999E12</v>
      </c>
      <c r="C4251" s="140" t="s">
        <v>11606</v>
      </c>
      <c r="D4251" s="140" t="s">
        <v>6318</v>
      </c>
      <c r="E4251" s="140" t="s">
        <v>598</v>
      </c>
      <c r="F4251" s="140" t="s">
        <v>599</v>
      </c>
      <c r="G4251" s="141" t="s">
        <v>134</v>
      </c>
      <c r="H4251" s="140" t="s">
        <v>6312</v>
      </c>
      <c r="I4251" s="140" t="s">
        <v>6313</v>
      </c>
      <c r="J4251" s="140" t="s">
        <v>6319</v>
      </c>
      <c r="K4251" s="140" t="s">
        <v>1573</v>
      </c>
    </row>
    <row r="4252">
      <c r="A4252" s="140" t="s">
        <v>302</v>
      </c>
      <c r="B4252" s="140" t="s">
        <v>11607</v>
      </c>
      <c r="C4252" s="140" t="s">
        <v>11606</v>
      </c>
      <c r="D4252" s="140" t="s">
        <v>6318</v>
      </c>
      <c r="E4252" s="140" t="s">
        <v>598</v>
      </c>
      <c r="F4252" s="140" t="s">
        <v>599</v>
      </c>
      <c r="G4252" s="141" t="s">
        <v>6304</v>
      </c>
      <c r="H4252" s="140" t="s">
        <v>6312</v>
      </c>
      <c r="I4252" s="140" t="s">
        <v>6527</v>
      </c>
      <c r="J4252" s="140" t="s">
        <v>6319</v>
      </c>
      <c r="K4252" s="140" t="s">
        <v>1573</v>
      </c>
    </row>
    <row r="4253">
      <c r="A4253" s="140" t="s">
        <v>302</v>
      </c>
      <c r="B4253" s="143">
        <v>1.65999E12</v>
      </c>
      <c r="C4253" s="140" t="s">
        <v>11608</v>
      </c>
      <c r="D4253" s="140" t="s">
        <v>6318</v>
      </c>
      <c r="E4253" s="140" t="s">
        <v>598</v>
      </c>
      <c r="F4253" s="140" t="s">
        <v>599</v>
      </c>
      <c r="G4253" s="141" t="s">
        <v>134</v>
      </c>
      <c r="H4253" s="140" t="s">
        <v>6312</v>
      </c>
      <c r="I4253" s="140" t="s">
        <v>6313</v>
      </c>
      <c r="J4253" s="140" t="s">
        <v>6319</v>
      </c>
      <c r="K4253" s="140" t="s">
        <v>1573</v>
      </c>
    </row>
    <row r="4254">
      <c r="A4254" s="140" t="s">
        <v>302</v>
      </c>
      <c r="B4254" s="140" t="s">
        <v>11609</v>
      </c>
      <c r="C4254" s="140" t="s">
        <v>11608</v>
      </c>
      <c r="D4254" s="140" t="s">
        <v>6318</v>
      </c>
      <c r="E4254" s="140" t="s">
        <v>598</v>
      </c>
      <c r="F4254" s="140" t="s">
        <v>599</v>
      </c>
      <c r="G4254" s="141" t="s">
        <v>6304</v>
      </c>
      <c r="H4254" s="140" t="s">
        <v>6312</v>
      </c>
      <c r="I4254" s="140" t="s">
        <v>6527</v>
      </c>
      <c r="J4254" s="140" t="s">
        <v>6319</v>
      </c>
      <c r="K4254" s="140" t="s">
        <v>1573</v>
      </c>
    </row>
    <row r="4255">
      <c r="A4255" s="140" t="s">
        <v>302</v>
      </c>
      <c r="B4255" s="143">
        <v>6.83133E13</v>
      </c>
      <c r="C4255" s="140" t="s">
        <v>11610</v>
      </c>
      <c r="D4255" s="140" t="s">
        <v>6318</v>
      </c>
      <c r="E4255" s="140" t="s">
        <v>598</v>
      </c>
      <c r="F4255" s="140" t="s">
        <v>599</v>
      </c>
      <c r="G4255" s="141" t="s">
        <v>6401</v>
      </c>
      <c r="H4255" s="140" t="s">
        <v>6312</v>
      </c>
      <c r="I4255" s="140" t="s">
        <v>6313</v>
      </c>
      <c r="J4255" s="140" t="s">
        <v>6319</v>
      </c>
      <c r="K4255" s="140" t="s">
        <v>1573</v>
      </c>
    </row>
    <row r="4256">
      <c r="A4256" s="140" t="s">
        <v>302</v>
      </c>
      <c r="B4256" s="140" t="s">
        <v>11611</v>
      </c>
      <c r="C4256" s="140" t="s">
        <v>11612</v>
      </c>
      <c r="D4256" s="140" t="s">
        <v>6318</v>
      </c>
      <c r="E4256" s="140" t="s">
        <v>598</v>
      </c>
      <c r="F4256" s="140" t="s">
        <v>599</v>
      </c>
      <c r="G4256" s="141" t="s">
        <v>6304</v>
      </c>
      <c r="H4256" s="140" t="s">
        <v>6312</v>
      </c>
      <c r="I4256" s="140" t="s">
        <v>6527</v>
      </c>
      <c r="J4256" s="140" t="s">
        <v>6319</v>
      </c>
      <c r="K4256" s="140" t="s">
        <v>1573</v>
      </c>
    </row>
    <row r="4257">
      <c r="A4257" s="140" t="s">
        <v>302</v>
      </c>
      <c r="B4257" s="140" t="s">
        <v>11613</v>
      </c>
      <c r="C4257" s="140" t="s">
        <v>11614</v>
      </c>
      <c r="D4257" s="140" t="s">
        <v>6318</v>
      </c>
      <c r="E4257" s="140" t="s">
        <v>598</v>
      </c>
      <c r="F4257" s="140" t="s">
        <v>599</v>
      </c>
      <c r="G4257" s="141" t="s">
        <v>6304</v>
      </c>
      <c r="H4257" s="140" t="s">
        <v>6312</v>
      </c>
      <c r="I4257" s="140" t="s">
        <v>6527</v>
      </c>
      <c r="J4257" s="140" t="s">
        <v>6319</v>
      </c>
      <c r="K4257" s="140" t="s">
        <v>1573</v>
      </c>
    </row>
    <row r="4258">
      <c r="A4258" s="140" t="s">
        <v>302</v>
      </c>
      <c r="B4258" s="140" t="s">
        <v>11615</v>
      </c>
      <c r="C4258" s="140" t="s">
        <v>11616</v>
      </c>
      <c r="D4258" s="140" t="s">
        <v>6318</v>
      </c>
      <c r="E4258" s="140" t="s">
        <v>598</v>
      </c>
      <c r="F4258" s="140" t="s">
        <v>599</v>
      </c>
      <c r="G4258" s="141" t="s">
        <v>6304</v>
      </c>
      <c r="H4258" s="140" t="s">
        <v>6312</v>
      </c>
      <c r="I4258" s="140" t="s">
        <v>6527</v>
      </c>
      <c r="J4258" s="140" t="s">
        <v>6319</v>
      </c>
      <c r="K4258" s="140" t="s">
        <v>1573</v>
      </c>
    </row>
    <row r="4259">
      <c r="A4259" s="140" t="s">
        <v>302</v>
      </c>
      <c r="B4259" s="140" t="s">
        <v>11617</v>
      </c>
      <c r="C4259" s="140" t="s">
        <v>11618</v>
      </c>
      <c r="D4259" s="140" t="s">
        <v>6318</v>
      </c>
      <c r="E4259" s="140" t="s">
        <v>598</v>
      </c>
      <c r="F4259" s="140" t="s">
        <v>599</v>
      </c>
      <c r="G4259" s="141" t="s">
        <v>6304</v>
      </c>
      <c r="H4259" s="140" t="s">
        <v>6312</v>
      </c>
      <c r="I4259" s="140" t="s">
        <v>6527</v>
      </c>
      <c r="J4259" s="140" t="s">
        <v>6319</v>
      </c>
      <c r="K4259" s="140" t="s">
        <v>1573</v>
      </c>
    </row>
    <row r="4260">
      <c r="A4260" s="140" t="s">
        <v>302</v>
      </c>
      <c r="B4260" s="140" t="s">
        <v>11619</v>
      </c>
      <c r="C4260" s="140" t="s">
        <v>11620</v>
      </c>
      <c r="D4260" s="140" t="s">
        <v>6318</v>
      </c>
      <c r="E4260" s="140" t="s">
        <v>598</v>
      </c>
      <c r="F4260" s="140" t="s">
        <v>599</v>
      </c>
      <c r="G4260" s="141" t="s">
        <v>6304</v>
      </c>
      <c r="H4260" s="140" t="s">
        <v>6312</v>
      </c>
      <c r="I4260" s="140" t="s">
        <v>6527</v>
      </c>
      <c r="J4260" s="140" t="s">
        <v>6319</v>
      </c>
      <c r="K4260" s="140" t="s">
        <v>1573</v>
      </c>
    </row>
    <row r="4261">
      <c r="A4261" s="140" t="s">
        <v>302</v>
      </c>
      <c r="B4261" s="140" t="s">
        <v>639</v>
      </c>
      <c r="C4261" s="140" t="s">
        <v>11621</v>
      </c>
      <c r="D4261" s="140" t="s">
        <v>6318</v>
      </c>
      <c r="E4261" s="140" t="s">
        <v>598</v>
      </c>
      <c r="F4261" s="140" t="s">
        <v>599</v>
      </c>
      <c r="G4261" s="141" t="s">
        <v>6401</v>
      </c>
      <c r="H4261" s="140" t="s">
        <v>6312</v>
      </c>
      <c r="I4261" s="140" t="s">
        <v>6313</v>
      </c>
      <c r="J4261" s="140" t="s">
        <v>6319</v>
      </c>
      <c r="K4261" s="140" t="s">
        <v>1573</v>
      </c>
    </row>
    <row r="4262">
      <c r="A4262" s="140" t="s">
        <v>302</v>
      </c>
      <c r="B4262" s="140" t="s">
        <v>641</v>
      </c>
      <c r="C4262" s="140" t="s">
        <v>11622</v>
      </c>
      <c r="D4262" s="140" t="s">
        <v>6318</v>
      </c>
      <c r="E4262" s="140" t="s">
        <v>598</v>
      </c>
      <c r="F4262" s="140" t="s">
        <v>599</v>
      </c>
      <c r="G4262" s="141" t="s">
        <v>134</v>
      </c>
      <c r="H4262" s="140" t="s">
        <v>6312</v>
      </c>
      <c r="I4262" s="140" t="s">
        <v>6313</v>
      </c>
      <c r="J4262" s="140" t="s">
        <v>6319</v>
      </c>
      <c r="K4262" s="140" t="s">
        <v>1573</v>
      </c>
    </row>
    <row r="4263">
      <c r="A4263" s="140" t="s">
        <v>302</v>
      </c>
      <c r="B4263" s="140" t="s">
        <v>643</v>
      </c>
      <c r="C4263" s="140" t="s">
        <v>11623</v>
      </c>
      <c r="D4263" s="140" t="s">
        <v>6318</v>
      </c>
      <c r="E4263" s="140" t="s">
        <v>598</v>
      </c>
      <c r="F4263" s="140" t="s">
        <v>599</v>
      </c>
      <c r="G4263" s="141" t="s">
        <v>134</v>
      </c>
      <c r="H4263" s="140" t="s">
        <v>6312</v>
      </c>
      <c r="I4263" s="140" t="s">
        <v>6313</v>
      </c>
      <c r="J4263" s="140" t="s">
        <v>6319</v>
      </c>
      <c r="K4263" s="140" t="s">
        <v>1573</v>
      </c>
    </row>
    <row r="4264">
      <c r="A4264" s="140" t="s">
        <v>302</v>
      </c>
      <c r="B4264" s="140" t="s">
        <v>647</v>
      </c>
      <c r="C4264" s="140" t="s">
        <v>11624</v>
      </c>
      <c r="D4264" s="140" t="s">
        <v>6318</v>
      </c>
      <c r="E4264" s="140" t="s">
        <v>598</v>
      </c>
      <c r="F4264" s="140" t="s">
        <v>599</v>
      </c>
      <c r="G4264" s="141" t="s">
        <v>134</v>
      </c>
      <c r="H4264" s="140" t="s">
        <v>6312</v>
      </c>
      <c r="I4264" s="140" t="s">
        <v>6313</v>
      </c>
      <c r="J4264" s="140" t="s">
        <v>6319</v>
      </c>
      <c r="K4264" s="140" t="s">
        <v>1573</v>
      </c>
    </row>
    <row r="4265">
      <c r="A4265" s="140" t="s">
        <v>302</v>
      </c>
      <c r="B4265" s="140" t="s">
        <v>651</v>
      </c>
      <c r="C4265" s="140" t="s">
        <v>11625</v>
      </c>
      <c r="D4265" s="140" t="s">
        <v>6318</v>
      </c>
      <c r="E4265" s="140" t="s">
        <v>598</v>
      </c>
      <c r="F4265" s="140" t="s">
        <v>599</v>
      </c>
      <c r="G4265" s="141" t="s">
        <v>134</v>
      </c>
      <c r="H4265" s="140" t="s">
        <v>6312</v>
      </c>
      <c r="I4265" s="140" t="s">
        <v>6313</v>
      </c>
      <c r="J4265" s="140" t="s">
        <v>6319</v>
      </c>
      <c r="K4265" s="140" t="s">
        <v>1573</v>
      </c>
    </row>
    <row r="4266">
      <c r="A4266" s="140" t="s">
        <v>302</v>
      </c>
      <c r="B4266" s="140" t="s">
        <v>657</v>
      </c>
      <c r="C4266" s="140" t="s">
        <v>1926</v>
      </c>
      <c r="D4266" s="140" t="s">
        <v>6318</v>
      </c>
      <c r="E4266" s="140" t="s">
        <v>598</v>
      </c>
      <c r="F4266" s="140" t="s">
        <v>599</v>
      </c>
      <c r="G4266" s="141" t="s">
        <v>6664</v>
      </c>
      <c r="H4266" s="140" t="s">
        <v>6330</v>
      </c>
      <c r="I4266" s="140" t="s">
        <v>6313</v>
      </c>
      <c r="J4266" s="140" t="s">
        <v>6319</v>
      </c>
      <c r="K4266" s="140" t="s">
        <v>1573</v>
      </c>
    </row>
    <row r="4267">
      <c r="A4267" s="140" t="s">
        <v>302</v>
      </c>
      <c r="B4267" s="140" t="s">
        <v>653</v>
      </c>
      <c r="C4267" s="140" t="s">
        <v>1924</v>
      </c>
      <c r="D4267" s="140" t="s">
        <v>6318</v>
      </c>
      <c r="E4267" s="140" t="s">
        <v>598</v>
      </c>
      <c r="F4267" s="140" t="s">
        <v>599</v>
      </c>
      <c r="G4267" s="141" t="s">
        <v>6664</v>
      </c>
      <c r="H4267" s="140" t="s">
        <v>6330</v>
      </c>
      <c r="I4267" s="140" t="s">
        <v>6313</v>
      </c>
      <c r="J4267" s="140" t="s">
        <v>6319</v>
      </c>
      <c r="K4267" s="140" t="s">
        <v>1573</v>
      </c>
    </row>
    <row r="4268">
      <c r="A4268" s="140" t="s">
        <v>302</v>
      </c>
      <c r="B4268" s="140" t="s">
        <v>659</v>
      </c>
      <c r="C4268" s="140" t="s">
        <v>1927</v>
      </c>
      <c r="D4268" s="140" t="s">
        <v>6318</v>
      </c>
      <c r="E4268" s="140" t="s">
        <v>598</v>
      </c>
      <c r="F4268" s="140" t="s">
        <v>599</v>
      </c>
      <c r="G4268" s="141" t="s">
        <v>6664</v>
      </c>
      <c r="H4268" s="140" t="s">
        <v>6330</v>
      </c>
      <c r="I4268" s="140" t="s">
        <v>6313</v>
      </c>
      <c r="J4268" s="140" t="s">
        <v>6319</v>
      </c>
      <c r="K4268" s="140" t="s">
        <v>1573</v>
      </c>
    </row>
    <row r="4269">
      <c r="A4269" s="140" t="s">
        <v>302</v>
      </c>
      <c r="B4269" s="140" t="s">
        <v>655</v>
      </c>
      <c r="C4269" s="140" t="s">
        <v>1925</v>
      </c>
      <c r="D4269" s="140" t="s">
        <v>6318</v>
      </c>
      <c r="E4269" s="140" t="s">
        <v>598</v>
      </c>
      <c r="F4269" s="140" t="s">
        <v>599</v>
      </c>
      <c r="G4269" s="141" t="s">
        <v>6664</v>
      </c>
      <c r="H4269" s="140" t="s">
        <v>6330</v>
      </c>
      <c r="I4269" s="140" t="s">
        <v>6313</v>
      </c>
      <c r="J4269" s="140" t="s">
        <v>6319</v>
      </c>
      <c r="K4269" s="140" t="s">
        <v>1573</v>
      </c>
    </row>
    <row r="4270">
      <c r="A4270" s="140" t="s">
        <v>302</v>
      </c>
      <c r="B4270" s="140" t="s">
        <v>637</v>
      </c>
      <c r="C4270" s="140" t="s">
        <v>1916</v>
      </c>
      <c r="D4270" s="140" t="s">
        <v>6318</v>
      </c>
      <c r="E4270" s="140" t="s">
        <v>598</v>
      </c>
      <c r="F4270" s="140" t="s">
        <v>599</v>
      </c>
      <c r="G4270" s="141" t="s">
        <v>134</v>
      </c>
      <c r="H4270" s="140" t="s">
        <v>6312</v>
      </c>
      <c r="I4270" s="140" t="s">
        <v>6313</v>
      </c>
      <c r="J4270" s="140" t="s">
        <v>6319</v>
      </c>
      <c r="K4270" s="140" t="s">
        <v>1573</v>
      </c>
    </row>
    <row r="4271">
      <c r="A4271" s="140" t="s">
        <v>302</v>
      </c>
      <c r="B4271" s="140" t="s">
        <v>645</v>
      </c>
      <c r="C4271" s="140" t="s">
        <v>1917</v>
      </c>
      <c r="D4271" s="140" t="s">
        <v>6318</v>
      </c>
      <c r="E4271" s="140" t="s">
        <v>598</v>
      </c>
      <c r="F4271" s="140" t="s">
        <v>599</v>
      </c>
      <c r="G4271" s="141" t="s">
        <v>134</v>
      </c>
      <c r="H4271" s="140" t="s">
        <v>6312</v>
      </c>
      <c r="I4271" s="140" t="s">
        <v>6313</v>
      </c>
      <c r="J4271" s="140" t="s">
        <v>6319</v>
      </c>
      <c r="K4271" s="140" t="s">
        <v>1573</v>
      </c>
    </row>
    <row r="4272">
      <c r="A4272" s="140" t="s">
        <v>302</v>
      </c>
      <c r="B4272" s="140" t="s">
        <v>649</v>
      </c>
      <c r="C4272" s="140" t="s">
        <v>1918</v>
      </c>
      <c r="D4272" s="140" t="s">
        <v>6318</v>
      </c>
      <c r="E4272" s="140" t="s">
        <v>598</v>
      </c>
      <c r="F4272" s="140" t="s">
        <v>599</v>
      </c>
      <c r="G4272" s="141" t="s">
        <v>134</v>
      </c>
      <c r="H4272" s="140" t="s">
        <v>6312</v>
      </c>
      <c r="I4272" s="140" t="s">
        <v>6313</v>
      </c>
      <c r="J4272" s="140" t="s">
        <v>6319</v>
      </c>
      <c r="K4272" s="140" t="s">
        <v>1573</v>
      </c>
    </row>
    <row r="4273">
      <c r="A4273" s="140" t="s">
        <v>302</v>
      </c>
      <c r="B4273" s="140" t="s">
        <v>665</v>
      </c>
      <c r="C4273" s="140" t="s">
        <v>1931</v>
      </c>
      <c r="D4273" s="140" t="s">
        <v>6318</v>
      </c>
      <c r="E4273" s="140" t="s">
        <v>598</v>
      </c>
      <c r="F4273" s="140" t="s">
        <v>599</v>
      </c>
      <c r="G4273" s="141" t="s">
        <v>6664</v>
      </c>
      <c r="H4273" s="140" t="s">
        <v>6330</v>
      </c>
      <c r="I4273" s="140" t="s">
        <v>6313</v>
      </c>
      <c r="J4273" s="140" t="s">
        <v>6319</v>
      </c>
      <c r="K4273" s="140" t="s">
        <v>1573</v>
      </c>
    </row>
    <row r="4274">
      <c r="A4274" s="140" t="s">
        <v>302</v>
      </c>
      <c r="B4274" s="140" t="s">
        <v>663</v>
      </c>
      <c r="C4274" s="140" t="s">
        <v>1930</v>
      </c>
      <c r="D4274" s="140" t="s">
        <v>6318</v>
      </c>
      <c r="E4274" s="140" t="s">
        <v>598</v>
      </c>
      <c r="F4274" s="140" t="s">
        <v>599</v>
      </c>
      <c r="G4274" s="141" t="s">
        <v>6664</v>
      </c>
      <c r="H4274" s="140" t="s">
        <v>6330</v>
      </c>
      <c r="I4274" s="140" t="s">
        <v>6313</v>
      </c>
      <c r="J4274" s="140" t="s">
        <v>6319</v>
      </c>
      <c r="K4274" s="140" t="s">
        <v>1573</v>
      </c>
    </row>
    <row r="4275">
      <c r="A4275" s="140" t="s">
        <v>302</v>
      </c>
      <c r="B4275" s="140" t="s">
        <v>669</v>
      </c>
      <c r="C4275" s="140" t="s">
        <v>1933</v>
      </c>
      <c r="D4275" s="140" t="s">
        <v>6318</v>
      </c>
      <c r="E4275" s="140" t="s">
        <v>598</v>
      </c>
      <c r="F4275" s="140" t="s">
        <v>599</v>
      </c>
      <c r="G4275" s="141" t="s">
        <v>6664</v>
      </c>
      <c r="H4275" s="140" t="s">
        <v>6330</v>
      </c>
      <c r="I4275" s="140" t="s">
        <v>6313</v>
      </c>
      <c r="J4275" s="140" t="s">
        <v>6319</v>
      </c>
      <c r="K4275" s="140" t="s">
        <v>1573</v>
      </c>
    </row>
    <row r="4276">
      <c r="A4276" s="140" t="s">
        <v>302</v>
      </c>
      <c r="B4276" s="140" t="s">
        <v>667</v>
      </c>
      <c r="C4276" s="140" t="s">
        <v>1932</v>
      </c>
      <c r="D4276" s="140" t="s">
        <v>6318</v>
      </c>
      <c r="E4276" s="140" t="s">
        <v>598</v>
      </c>
      <c r="F4276" s="140" t="s">
        <v>599</v>
      </c>
      <c r="G4276" s="141" t="s">
        <v>6664</v>
      </c>
      <c r="H4276" s="140" t="s">
        <v>6330</v>
      </c>
      <c r="I4276" s="140" t="s">
        <v>6313</v>
      </c>
      <c r="J4276" s="140" t="s">
        <v>6319</v>
      </c>
      <c r="K4276" s="140" t="s">
        <v>1573</v>
      </c>
    </row>
    <row r="4277">
      <c r="A4277" s="140" t="s">
        <v>302</v>
      </c>
      <c r="B4277" s="140" t="s">
        <v>661</v>
      </c>
      <c r="C4277" s="140" t="s">
        <v>1929</v>
      </c>
      <c r="D4277" s="140" t="s">
        <v>6318</v>
      </c>
      <c r="E4277" s="140" t="s">
        <v>598</v>
      </c>
      <c r="F4277" s="140" t="s">
        <v>599</v>
      </c>
      <c r="G4277" s="141" t="s">
        <v>6664</v>
      </c>
      <c r="H4277" s="140" t="s">
        <v>6330</v>
      </c>
      <c r="I4277" s="140" t="s">
        <v>6313</v>
      </c>
      <c r="J4277" s="140" t="s">
        <v>6319</v>
      </c>
      <c r="K4277" s="140" t="s">
        <v>1573</v>
      </c>
    </row>
    <row r="4278">
      <c r="A4278" s="140" t="s">
        <v>302</v>
      </c>
      <c r="B4278" s="140" t="s">
        <v>629</v>
      </c>
      <c r="C4278" s="140" t="s">
        <v>1922</v>
      </c>
      <c r="D4278" s="140" t="s">
        <v>6318</v>
      </c>
      <c r="E4278" s="140" t="s">
        <v>598</v>
      </c>
      <c r="F4278" s="140" t="s">
        <v>599</v>
      </c>
      <c r="G4278" s="141" t="s">
        <v>134</v>
      </c>
      <c r="H4278" s="140" t="s">
        <v>6312</v>
      </c>
      <c r="I4278" s="140" t="s">
        <v>6313</v>
      </c>
      <c r="J4278" s="140" t="s">
        <v>6319</v>
      </c>
      <c r="K4278" s="140" t="s">
        <v>1573</v>
      </c>
    </row>
    <row r="4279">
      <c r="A4279" s="140" t="s">
        <v>302</v>
      </c>
      <c r="B4279" s="140" t="s">
        <v>633</v>
      </c>
      <c r="C4279" s="140" t="s">
        <v>11626</v>
      </c>
      <c r="D4279" s="140" t="s">
        <v>6318</v>
      </c>
      <c r="E4279" s="140" t="s">
        <v>598</v>
      </c>
      <c r="F4279" s="140" t="s">
        <v>599</v>
      </c>
      <c r="G4279" s="141" t="s">
        <v>6401</v>
      </c>
      <c r="H4279" s="140" t="s">
        <v>6312</v>
      </c>
      <c r="I4279" s="140" t="s">
        <v>6313</v>
      </c>
      <c r="J4279" s="140" t="s">
        <v>6319</v>
      </c>
      <c r="K4279" s="140" t="s">
        <v>1573</v>
      </c>
    </row>
    <row r="4280">
      <c r="A4280" s="140" t="s">
        <v>302</v>
      </c>
      <c r="B4280" s="140" t="s">
        <v>11627</v>
      </c>
      <c r="C4280" s="140" t="s">
        <v>11628</v>
      </c>
      <c r="D4280" s="140" t="s">
        <v>6318</v>
      </c>
      <c r="E4280" s="140" t="s">
        <v>598</v>
      </c>
      <c r="F4280" s="140" t="s">
        <v>599</v>
      </c>
      <c r="G4280" s="141" t="s">
        <v>6304</v>
      </c>
      <c r="H4280" s="140" t="s">
        <v>6312</v>
      </c>
      <c r="I4280" s="140" t="s">
        <v>6527</v>
      </c>
      <c r="J4280" s="140" t="s">
        <v>6319</v>
      </c>
      <c r="K4280" s="140" t="s">
        <v>1573</v>
      </c>
    </row>
    <row r="4281">
      <c r="A4281" s="140" t="s">
        <v>302</v>
      </c>
      <c r="B4281" s="140" t="s">
        <v>11629</v>
      </c>
      <c r="C4281" s="140" t="s">
        <v>11630</v>
      </c>
      <c r="D4281" s="140" t="s">
        <v>6318</v>
      </c>
      <c r="E4281" s="140" t="s">
        <v>598</v>
      </c>
      <c r="F4281" s="140" t="s">
        <v>599</v>
      </c>
      <c r="G4281" s="141" t="s">
        <v>6304</v>
      </c>
      <c r="H4281" s="140" t="s">
        <v>6312</v>
      </c>
      <c r="I4281" s="140" t="s">
        <v>6527</v>
      </c>
      <c r="J4281" s="140" t="s">
        <v>6319</v>
      </c>
      <c r="K4281" s="140" t="s">
        <v>1573</v>
      </c>
    </row>
    <row r="4282">
      <c r="A4282" s="140" t="s">
        <v>302</v>
      </c>
      <c r="B4282" s="140" t="s">
        <v>11631</v>
      </c>
      <c r="C4282" s="140" t="s">
        <v>11632</v>
      </c>
      <c r="D4282" s="140" t="s">
        <v>6318</v>
      </c>
      <c r="E4282" s="140" t="s">
        <v>598</v>
      </c>
      <c r="F4282" s="140" t="s">
        <v>599</v>
      </c>
      <c r="G4282" s="141" t="s">
        <v>6304</v>
      </c>
      <c r="H4282" s="140" t="s">
        <v>6312</v>
      </c>
      <c r="I4282" s="140" t="s">
        <v>6527</v>
      </c>
      <c r="J4282" s="140" t="s">
        <v>6319</v>
      </c>
      <c r="K4282" s="140" t="s">
        <v>1573</v>
      </c>
    </row>
    <row r="4283">
      <c r="A4283" s="140" t="s">
        <v>302</v>
      </c>
      <c r="B4283" s="140" t="s">
        <v>11633</v>
      </c>
      <c r="C4283" s="140" t="s">
        <v>11634</v>
      </c>
      <c r="D4283" s="140" t="s">
        <v>6318</v>
      </c>
      <c r="E4283" s="140" t="s">
        <v>598</v>
      </c>
      <c r="F4283" s="140" t="s">
        <v>599</v>
      </c>
      <c r="G4283" s="141" t="s">
        <v>6304</v>
      </c>
      <c r="H4283" s="140" t="s">
        <v>6312</v>
      </c>
      <c r="I4283" s="140" t="s">
        <v>6527</v>
      </c>
      <c r="J4283" s="140" t="s">
        <v>6319</v>
      </c>
      <c r="K4283" s="140" t="s">
        <v>1573</v>
      </c>
    </row>
    <row r="4284">
      <c r="A4284" s="140" t="s">
        <v>302</v>
      </c>
      <c r="B4284" s="140" t="s">
        <v>11635</v>
      </c>
      <c r="C4284" s="140" t="s">
        <v>11636</v>
      </c>
      <c r="D4284" s="140" t="s">
        <v>6318</v>
      </c>
      <c r="E4284" s="140" t="s">
        <v>598</v>
      </c>
      <c r="F4284" s="140" t="s">
        <v>599</v>
      </c>
      <c r="G4284" s="141" t="s">
        <v>6304</v>
      </c>
      <c r="H4284" s="140" t="s">
        <v>6312</v>
      </c>
      <c r="I4284" s="140" t="s">
        <v>6527</v>
      </c>
      <c r="J4284" s="140" t="s">
        <v>6319</v>
      </c>
      <c r="K4284" s="140" t="s">
        <v>1573</v>
      </c>
    </row>
    <row r="4285">
      <c r="A4285" s="140" t="s">
        <v>302</v>
      </c>
      <c r="B4285" s="140" t="s">
        <v>11637</v>
      </c>
      <c r="C4285" s="140" t="s">
        <v>11638</v>
      </c>
      <c r="D4285" s="140" t="s">
        <v>6318</v>
      </c>
      <c r="E4285" s="140" t="s">
        <v>598</v>
      </c>
      <c r="F4285" s="140" t="s">
        <v>599</v>
      </c>
      <c r="G4285" s="141" t="s">
        <v>6304</v>
      </c>
      <c r="H4285" s="140" t="s">
        <v>6312</v>
      </c>
      <c r="I4285" s="140" t="s">
        <v>6527</v>
      </c>
      <c r="J4285" s="140" t="s">
        <v>6319</v>
      </c>
      <c r="K4285" s="140" t="s">
        <v>1573</v>
      </c>
    </row>
    <row r="4286">
      <c r="A4286" s="140" t="s">
        <v>302</v>
      </c>
      <c r="B4286" s="140" t="s">
        <v>11639</v>
      </c>
      <c r="C4286" s="140" t="s">
        <v>11640</v>
      </c>
      <c r="D4286" s="140" t="s">
        <v>6318</v>
      </c>
      <c r="E4286" s="140" t="s">
        <v>598</v>
      </c>
      <c r="F4286" s="140" t="s">
        <v>599</v>
      </c>
      <c r="G4286" s="141" t="s">
        <v>6304</v>
      </c>
      <c r="H4286" s="140" t="s">
        <v>6312</v>
      </c>
      <c r="I4286" s="140" t="s">
        <v>6527</v>
      </c>
      <c r="J4286" s="140" t="s">
        <v>6319</v>
      </c>
      <c r="K4286" s="140" t="s">
        <v>1573</v>
      </c>
    </row>
    <row r="4287">
      <c r="A4287" s="140" t="s">
        <v>302</v>
      </c>
      <c r="B4287" s="140" t="s">
        <v>11641</v>
      </c>
      <c r="C4287" s="140" t="s">
        <v>11642</v>
      </c>
      <c r="D4287" s="140" t="s">
        <v>6318</v>
      </c>
      <c r="E4287" s="140" t="s">
        <v>598</v>
      </c>
      <c r="F4287" s="140" t="s">
        <v>599</v>
      </c>
      <c r="G4287" s="141" t="s">
        <v>6304</v>
      </c>
      <c r="H4287" s="140" t="s">
        <v>6312</v>
      </c>
      <c r="I4287" s="140" t="s">
        <v>6527</v>
      </c>
      <c r="J4287" s="140" t="s">
        <v>6319</v>
      </c>
      <c r="K4287" s="140" t="s">
        <v>1573</v>
      </c>
    </row>
    <row r="4288">
      <c r="A4288" s="140" t="s">
        <v>302</v>
      </c>
      <c r="B4288" s="140" t="s">
        <v>685</v>
      </c>
      <c r="C4288" s="140" t="s">
        <v>1946</v>
      </c>
      <c r="D4288" s="140" t="s">
        <v>6318</v>
      </c>
      <c r="E4288" s="140" t="s">
        <v>598</v>
      </c>
      <c r="F4288" s="140" t="s">
        <v>599</v>
      </c>
      <c r="G4288" s="141" t="s">
        <v>6668</v>
      </c>
      <c r="H4288" s="140" t="s">
        <v>6330</v>
      </c>
      <c r="I4288" s="140" t="s">
        <v>6313</v>
      </c>
      <c r="J4288" s="140" t="s">
        <v>6319</v>
      </c>
      <c r="K4288" s="140" t="s">
        <v>1573</v>
      </c>
    </row>
    <row r="4289">
      <c r="A4289" s="140" t="s">
        <v>302</v>
      </c>
      <c r="B4289" s="140" t="s">
        <v>689</v>
      </c>
      <c r="C4289" s="140" t="s">
        <v>1948</v>
      </c>
      <c r="D4289" s="140" t="s">
        <v>6318</v>
      </c>
      <c r="E4289" s="140" t="s">
        <v>598</v>
      </c>
      <c r="F4289" s="140" t="s">
        <v>599</v>
      </c>
      <c r="G4289" s="141" t="s">
        <v>6668</v>
      </c>
      <c r="H4289" s="140" t="s">
        <v>6330</v>
      </c>
      <c r="I4289" s="140" t="s">
        <v>6313</v>
      </c>
      <c r="J4289" s="140" t="s">
        <v>6319</v>
      </c>
      <c r="K4289" s="140" t="s">
        <v>1573</v>
      </c>
    </row>
    <row r="4290">
      <c r="A4290" s="140" t="s">
        <v>302</v>
      </c>
      <c r="B4290" s="140" t="s">
        <v>687</v>
      </c>
      <c r="C4290" s="140" t="s">
        <v>1947</v>
      </c>
      <c r="D4290" s="140" t="s">
        <v>6318</v>
      </c>
      <c r="E4290" s="140" t="s">
        <v>598</v>
      </c>
      <c r="F4290" s="140" t="s">
        <v>599</v>
      </c>
      <c r="G4290" s="141" t="s">
        <v>6668</v>
      </c>
      <c r="H4290" s="140" t="s">
        <v>6330</v>
      </c>
      <c r="I4290" s="140" t="s">
        <v>6313</v>
      </c>
      <c r="J4290" s="140" t="s">
        <v>6319</v>
      </c>
      <c r="K4290" s="140" t="s">
        <v>1573</v>
      </c>
    </row>
    <row r="4291">
      <c r="A4291" s="140" t="s">
        <v>302</v>
      </c>
      <c r="B4291" s="140" t="s">
        <v>11643</v>
      </c>
      <c r="C4291" s="140" t="s">
        <v>11644</v>
      </c>
      <c r="D4291" s="140" t="s">
        <v>6318</v>
      </c>
      <c r="E4291" s="140" t="s">
        <v>598</v>
      </c>
      <c r="F4291" s="140" t="s">
        <v>599</v>
      </c>
      <c r="G4291" s="141" t="s">
        <v>6311</v>
      </c>
      <c r="H4291" s="140" t="s">
        <v>6330</v>
      </c>
      <c r="I4291" s="140" t="s">
        <v>6527</v>
      </c>
      <c r="J4291" s="140" t="s">
        <v>6319</v>
      </c>
      <c r="K4291" s="140" t="s">
        <v>1573</v>
      </c>
    </row>
    <row r="4292">
      <c r="A4292" s="140" t="s">
        <v>302</v>
      </c>
      <c r="B4292" s="140" t="s">
        <v>671</v>
      </c>
      <c r="C4292" s="140" t="s">
        <v>670</v>
      </c>
      <c r="D4292" s="140" t="s">
        <v>6318</v>
      </c>
      <c r="E4292" s="140" t="s">
        <v>598</v>
      </c>
      <c r="F4292" s="140" t="s">
        <v>599</v>
      </c>
      <c r="G4292" s="141" t="s">
        <v>134</v>
      </c>
      <c r="H4292" s="140" t="s">
        <v>6312</v>
      </c>
      <c r="I4292" s="140" t="s">
        <v>6313</v>
      </c>
      <c r="J4292" s="140" t="s">
        <v>6319</v>
      </c>
      <c r="K4292" s="140" t="s">
        <v>1573</v>
      </c>
    </row>
    <row r="4293">
      <c r="A4293" s="140" t="s">
        <v>302</v>
      </c>
      <c r="B4293" s="140" t="s">
        <v>673</v>
      </c>
      <c r="C4293" s="140" t="s">
        <v>1936</v>
      </c>
      <c r="D4293" s="140" t="s">
        <v>6318</v>
      </c>
      <c r="E4293" s="140" t="s">
        <v>598</v>
      </c>
      <c r="F4293" s="140" t="s">
        <v>599</v>
      </c>
      <c r="G4293" s="141" t="s">
        <v>134</v>
      </c>
      <c r="H4293" s="140" t="s">
        <v>6312</v>
      </c>
      <c r="I4293" s="140" t="s">
        <v>6313</v>
      </c>
      <c r="J4293" s="140" t="s">
        <v>6319</v>
      </c>
      <c r="K4293" s="140" t="s">
        <v>1573</v>
      </c>
    </row>
    <row r="4294">
      <c r="A4294" s="140" t="s">
        <v>302</v>
      </c>
      <c r="B4294" s="140" t="s">
        <v>611</v>
      </c>
      <c r="C4294" s="140" t="s">
        <v>11645</v>
      </c>
      <c r="D4294" s="140" t="s">
        <v>6318</v>
      </c>
      <c r="E4294" s="140" t="s">
        <v>598</v>
      </c>
      <c r="F4294" s="140" t="s">
        <v>599</v>
      </c>
      <c r="G4294" s="141" t="s">
        <v>134</v>
      </c>
      <c r="H4294" s="140" t="s">
        <v>6312</v>
      </c>
      <c r="I4294" s="140" t="s">
        <v>6313</v>
      </c>
      <c r="J4294" s="140" t="s">
        <v>6319</v>
      </c>
      <c r="K4294" s="140" t="s">
        <v>1573</v>
      </c>
    </row>
    <row r="4295">
      <c r="A4295" s="140" t="s">
        <v>302</v>
      </c>
      <c r="B4295" s="140" t="s">
        <v>605</v>
      </c>
      <c r="C4295" s="140" t="s">
        <v>11646</v>
      </c>
      <c r="D4295" s="140" t="s">
        <v>6318</v>
      </c>
      <c r="E4295" s="140" t="s">
        <v>598</v>
      </c>
      <c r="F4295" s="140" t="s">
        <v>599</v>
      </c>
      <c r="G4295" s="141" t="s">
        <v>134</v>
      </c>
      <c r="H4295" s="140" t="s">
        <v>6312</v>
      </c>
      <c r="I4295" s="140" t="s">
        <v>6313</v>
      </c>
      <c r="J4295" s="140" t="s">
        <v>6319</v>
      </c>
      <c r="K4295" s="140" t="s">
        <v>1573</v>
      </c>
    </row>
    <row r="4296">
      <c r="A4296" s="140" t="s">
        <v>302</v>
      </c>
      <c r="B4296" s="140" t="s">
        <v>609</v>
      </c>
      <c r="C4296" s="140" t="s">
        <v>11647</v>
      </c>
      <c r="D4296" s="140" t="s">
        <v>6318</v>
      </c>
      <c r="E4296" s="140" t="s">
        <v>598</v>
      </c>
      <c r="F4296" s="140" t="s">
        <v>599</v>
      </c>
      <c r="G4296" s="141" t="s">
        <v>134</v>
      </c>
      <c r="H4296" s="140" t="s">
        <v>6312</v>
      </c>
      <c r="I4296" s="140" t="s">
        <v>6313</v>
      </c>
      <c r="J4296" s="140" t="s">
        <v>6319</v>
      </c>
      <c r="K4296" s="140" t="s">
        <v>1573</v>
      </c>
    </row>
    <row r="4297">
      <c r="A4297" s="140" t="s">
        <v>302</v>
      </c>
      <c r="B4297" s="140" t="s">
        <v>601</v>
      </c>
      <c r="C4297" s="140" t="s">
        <v>11648</v>
      </c>
      <c r="D4297" s="140" t="s">
        <v>6318</v>
      </c>
      <c r="E4297" s="140" t="s">
        <v>598</v>
      </c>
      <c r="F4297" s="140" t="s">
        <v>599</v>
      </c>
      <c r="G4297" s="141" t="s">
        <v>134</v>
      </c>
      <c r="H4297" s="140" t="s">
        <v>6312</v>
      </c>
      <c r="I4297" s="140" t="s">
        <v>6313</v>
      </c>
      <c r="J4297" s="140" t="s">
        <v>6319</v>
      </c>
      <c r="K4297" s="140" t="s">
        <v>1573</v>
      </c>
    </row>
    <row r="4298">
      <c r="A4298" s="140" t="s">
        <v>302</v>
      </c>
      <c r="B4298" s="140" t="s">
        <v>603</v>
      </c>
      <c r="C4298" s="140" t="s">
        <v>11649</v>
      </c>
      <c r="D4298" s="140" t="s">
        <v>6318</v>
      </c>
      <c r="E4298" s="140" t="s">
        <v>598</v>
      </c>
      <c r="F4298" s="140" t="s">
        <v>599</v>
      </c>
      <c r="G4298" s="141" t="s">
        <v>134</v>
      </c>
      <c r="H4298" s="140" t="s">
        <v>6312</v>
      </c>
      <c r="I4298" s="140" t="s">
        <v>6313</v>
      </c>
      <c r="J4298" s="140" t="s">
        <v>6319</v>
      </c>
      <c r="K4298" s="140" t="s">
        <v>1573</v>
      </c>
    </row>
    <row r="4299">
      <c r="A4299" s="140" t="s">
        <v>302</v>
      </c>
      <c r="B4299" s="140" t="s">
        <v>607</v>
      </c>
      <c r="C4299" s="140" t="s">
        <v>11650</v>
      </c>
      <c r="D4299" s="140" t="s">
        <v>6318</v>
      </c>
      <c r="E4299" s="140" t="s">
        <v>598</v>
      </c>
      <c r="F4299" s="140" t="s">
        <v>599</v>
      </c>
      <c r="G4299" s="141" t="s">
        <v>134</v>
      </c>
      <c r="H4299" s="140" t="s">
        <v>6312</v>
      </c>
      <c r="I4299" s="140" t="s">
        <v>6313</v>
      </c>
      <c r="J4299" s="140" t="s">
        <v>6319</v>
      </c>
      <c r="K4299" s="140" t="s">
        <v>1573</v>
      </c>
    </row>
    <row r="4300">
      <c r="A4300" s="140" t="s">
        <v>302</v>
      </c>
      <c r="B4300" s="140" t="s">
        <v>691</v>
      </c>
      <c r="C4300" s="140" t="s">
        <v>1949</v>
      </c>
      <c r="D4300" s="140" t="s">
        <v>6318</v>
      </c>
      <c r="E4300" s="140" t="s">
        <v>598</v>
      </c>
      <c r="F4300" s="140" t="s">
        <v>599</v>
      </c>
      <c r="G4300" s="141" t="s">
        <v>6664</v>
      </c>
      <c r="H4300" s="140" t="s">
        <v>6330</v>
      </c>
      <c r="I4300" s="140" t="s">
        <v>6313</v>
      </c>
      <c r="J4300" s="140" t="s">
        <v>6319</v>
      </c>
      <c r="K4300" s="140" t="s">
        <v>1573</v>
      </c>
    </row>
    <row r="4301">
      <c r="A4301" s="140" t="s">
        <v>302</v>
      </c>
      <c r="B4301" s="140" t="s">
        <v>693</v>
      </c>
      <c r="C4301" s="140" t="s">
        <v>1950</v>
      </c>
      <c r="D4301" s="140" t="s">
        <v>6318</v>
      </c>
      <c r="E4301" s="140" t="s">
        <v>598</v>
      </c>
      <c r="F4301" s="140" t="s">
        <v>599</v>
      </c>
      <c r="G4301" s="141" t="s">
        <v>6664</v>
      </c>
      <c r="H4301" s="140" t="s">
        <v>6330</v>
      </c>
      <c r="I4301" s="140" t="s">
        <v>6313</v>
      </c>
      <c r="J4301" s="140" t="s">
        <v>6319</v>
      </c>
      <c r="K4301" s="140" t="s">
        <v>1573</v>
      </c>
    </row>
    <row r="4302">
      <c r="A4302" s="140" t="s">
        <v>302</v>
      </c>
      <c r="B4302" s="140" t="s">
        <v>697</v>
      </c>
      <c r="C4302" s="140" t="s">
        <v>1952</v>
      </c>
      <c r="D4302" s="140" t="s">
        <v>6318</v>
      </c>
      <c r="E4302" s="140" t="s">
        <v>598</v>
      </c>
      <c r="F4302" s="140" t="s">
        <v>599</v>
      </c>
      <c r="G4302" s="141" t="s">
        <v>6664</v>
      </c>
      <c r="H4302" s="140" t="s">
        <v>6330</v>
      </c>
      <c r="I4302" s="140" t="s">
        <v>6313</v>
      </c>
      <c r="J4302" s="140" t="s">
        <v>6319</v>
      </c>
      <c r="K4302" s="140" t="s">
        <v>1573</v>
      </c>
    </row>
    <row r="4303">
      <c r="A4303" s="140" t="s">
        <v>302</v>
      </c>
      <c r="B4303" s="140" t="s">
        <v>701</v>
      </c>
      <c r="C4303" s="140" t="s">
        <v>1954</v>
      </c>
      <c r="D4303" s="140" t="s">
        <v>6318</v>
      </c>
      <c r="E4303" s="140" t="s">
        <v>598</v>
      </c>
      <c r="F4303" s="140" t="s">
        <v>599</v>
      </c>
      <c r="G4303" s="141" t="s">
        <v>6664</v>
      </c>
      <c r="H4303" s="140" t="s">
        <v>6330</v>
      </c>
      <c r="I4303" s="140" t="s">
        <v>6313</v>
      </c>
      <c r="J4303" s="140" t="s">
        <v>6319</v>
      </c>
      <c r="K4303" s="140" t="s">
        <v>1573</v>
      </c>
    </row>
    <row r="4304">
      <c r="A4304" s="140" t="s">
        <v>302</v>
      </c>
      <c r="B4304" s="140" t="s">
        <v>699</v>
      </c>
      <c r="C4304" s="140" t="s">
        <v>1953</v>
      </c>
      <c r="D4304" s="140" t="s">
        <v>6318</v>
      </c>
      <c r="E4304" s="140" t="s">
        <v>598</v>
      </c>
      <c r="F4304" s="140" t="s">
        <v>599</v>
      </c>
      <c r="G4304" s="141" t="s">
        <v>6664</v>
      </c>
      <c r="H4304" s="140" t="s">
        <v>6330</v>
      </c>
      <c r="I4304" s="140" t="s">
        <v>6313</v>
      </c>
      <c r="J4304" s="140" t="s">
        <v>6319</v>
      </c>
      <c r="K4304" s="140" t="s">
        <v>1573</v>
      </c>
    </row>
    <row r="4305">
      <c r="A4305" s="140" t="s">
        <v>302</v>
      </c>
      <c r="B4305" s="140" t="s">
        <v>695</v>
      </c>
      <c r="C4305" s="140" t="s">
        <v>1951</v>
      </c>
      <c r="D4305" s="140" t="s">
        <v>6318</v>
      </c>
      <c r="E4305" s="140" t="s">
        <v>598</v>
      </c>
      <c r="F4305" s="140" t="s">
        <v>599</v>
      </c>
      <c r="G4305" s="141" t="s">
        <v>6664</v>
      </c>
      <c r="H4305" s="140" t="s">
        <v>6330</v>
      </c>
      <c r="I4305" s="140" t="s">
        <v>6313</v>
      </c>
      <c r="J4305" s="140" t="s">
        <v>6319</v>
      </c>
      <c r="K4305" s="140" t="s">
        <v>1573</v>
      </c>
    </row>
    <row r="4306">
      <c r="A4306" s="140" t="s">
        <v>302</v>
      </c>
      <c r="B4306" s="140" t="s">
        <v>708</v>
      </c>
      <c r="C4306" s="140" t="s">
        <v>11651</v>
      </c>
      <c r="D4306" s="140" t="s">
        <v>7347</v>
      </c>
      <c r="E4306" s="140" t="s">
        <v>598</v>
      </c>
      <c r="F4306" s="140" t="s">
        <v>704</v>
      </c>
      <c r="G4306" s="141" t="s">
        <v>6664</v>
      </c>
      <c r="H4306" s="140" t="s">
        <v>6330</v>
      </c>
      <c r="I4306" s="140" t="s">
        <v>6313</v>
      </c>
      <c r="J4306" s="140" t="s">
        <v>6319</v>
      </c>
      <c r="K4306" s="140" t="s">
        <v>1573</v>
      </c>
    </row>
    <row r="4307">
      <c r="A4307" s="140" t="s">
        <v>302</v>
      </c>
      <c r="B4307" s="140" t="s">
        <v>716</v>
      </c>
      <c r="C4307" s="140" t="s">
        <v>11652</v>
      </c>
      <c r="D4307" s="140" t="s">
        <v>7347</v>
      </c>
      <c r="E4307" s="140" t="s">
        <v>598</v>
      </c>
      <c r="F4307" s="140" t="s">
        <v>704</v>
      </c>
      <c r="G4307" s="141" t="s">
        <v>6664</v>
      </c>
      <c r="H4307" s="140" t="s">
        <v>6330</v>
      </c>
      <c r="I4307" s="140" t="s">
        <v>6313</v>
      </c>
      <c r="J4307" s="140" t="s">
        <v>6319</v>
      </c>
      <c r="K4307" s="140" t="s">
        <v>1573</v>
      </c>
    </row>
    <row r="4308">
      <c r="A4308" s="140" t="s">
        <v>302</v>
      </c>
      <c r="B4308" s="140" t="s">
        <v>714</v>
      </c>
      <c r="C4308" s="140" t="s">
        <v>11653</v>
      </c>
      <c r="D4308" s="140" t="s">
        <v>7347</v>
      </c>
      <c r="E4308" s="140" t="s">
        <v>598</v>
      </c>
      <c r="F4308" s="140" t="s">
        <v>704</v>
      </c>
      <c r="G4308" s="141" t="s">
        <v>6664</v>
      </c>
      <c r="H4308" s="140" t="s">
        <v>6330</v>
      </c>
      <c r="I4308" s="140" t="s">
        <v>6313</v>
      </c>
      <c r="J4308" s="140" t="s">
        <v>6319</v>
      </c>
      <c r="K4308" s="140" t="s">
        <v>1573</v>
      </c>
    </row>
    <row r="4309">
      <c r="A4309" s="140" t="s">
        <v>302</v>
      </c>
      <c r="B4309" s="140" t="s">
        <v>712</v>
      </c>
      <c r="C4309" s="140" t="s">
        <v>11654</v>
      </c>
      <c r="D4309" s="140" t="s">
        <v>7347</v>
      </c>
      <c r="E4309" s="140" t="s">
        <v>598</v>
      </c>
      <c r="F4309" s="140" t="s">
        <v>704</v>
      </c>
      <c r="G4309" s="141" t="s">
        <v>6664</v>
      </c>
      <c r="H4309" s="140" t="s">
        <v>6330</v>
      </c>
      <c r="I4309" s="140" t="s">
        <v>6313</v>
      </c>
      <c r="J4309" s="140" t="s">
        <v>6319</v>
      </c>
      <c r="K4309" s="140" t="s">
        <v>1573</v>
      </c>
    </row>
    <row r="4310">
      <c r="A4310" s="140" t="s">
        <v>302</v>
      </c>
      <c r="B4310" s="140" t="s">
        <v>710</v>
      </c>
      <c r="C4310" s="140" t="s">
        <v>11655</v>
      </c>
      <c r="D4310" s="140" t="s">
        <v>7347</v>
      </c>
      <c r="E4310" s="140" t="s">
        <v>598</v>
      </c>
      <c r="F4310" s="140" t="s">
        <v>704</v>
      </c>
      <c r="G4310" s="141" t="s">
        <v>6664</v>
      </c>
      <c r="H4310" s="140" t="s">
        <v>6330</v>
      </c>
      <c r="I4310" s="140" t="s">
        <v>6313</v>
      </c>
      <c r="J4310" s="140" t="s">
        <v>6319</v>
      </c>
      <c r="K4310" s="140" t="s">
        <v>1573</v>
      </c>
    </row>
    <row r="4311">
      <c r="A4311" s="140" t="s">
        <v>302</v>
      </c>
      <c r="B4311" s="140" t="s">
        <v>706</v>
      </c>
      <c r="C4311" s="140" t="s">
        <v>11656</v>
      </c>
      <c r="D4311" s="140" t="s">
        <v>7347</v>
      </c>
      <c r="E4311" s="140" t="s">
        <v>598</v>
      </c>
      <c r="F4311" s="140" t="s">
        <v>704</v>
      </c>
      <c r="G4311" s="141" t="s">
        <v>6664</v>
      </c>
      <c r="H4311" s="140" t="s">
        <v>6330</v>
      </c>
      <c r="I4311" s="140" t="s">
        <v>6313</v>
      </c>
      <c r="J4311" s="140" t="s">
        <v>6319</v>
      </c>
      <c r="K4311" s="140" t="s">
        <v>1573</v>
      </c>
    </row>
    <row r="4312">
      <c r="A4312" s="140" t="s">
        <v>302</v>
      </c>
      <c r="B4312" s="140" t="s">
        <v>722</v>
      </c>
      <c r="C4312" s="140" t="s">
        <v>11657</v>
      </c>
      <c r="D4312" s="140" t="s">
        <v>7347</v>
      </c>
      <c r="E4312" s="140" t="s">
        <v>598</v>
      </c>
      <c r="F4312" s="140" t="s">
        <v>704</v>
      </c>
      <c r="G4312" s="141" t="s">
        <v>6742</v>
      </c>
      <c r="H4312" s="140" t="s">
        <v>6330</v>
      </c>
      <c r="I4312" s="140" t="s">
        <v>6313</v>
      </c>
      <c r="J4312" s="140" t="s">
        <v>6319</v>
      </c>
      <c r="K4312" s="140" t="s">
        <v>1573</v>
      </c>
    </row>
    <row r="4313">
      <c r="A4313" s="140" t="s">
        <v>302</v>
      </c>
      <c r="B4313" s="140" t="s">
        <v>720</v>
      </c>
      <c r="C4313" s="140" t="s">
        <v>11658</v>
      </c>
      <c r="D4313" s="140" t="s">
        <v>7347</v>
      </c>
      <c r="E4313" s="140" t="s">
        <v>598</v>
      </c>
      <c r="F4313" s="140" t="s">
        <v>704</v>
      </c>
      <c r="G4313" s="141" t="s">
        <v>6742</v>
      </c>
      <c r="H4313" s="140" t="s">
        <v>6312</v>
      </c>
      <c r="I4313" s="140" t="s">
        <v>6313</v>
      </c>
      <c r="J4313" s="140" t="s">
        <v>6319</v>
      </c>
      <c r="K4313" s="140" t="s">
        <v>1573</v>
      </c>
    </row>
    <row r="4314">
      <c r="A4314" s="140" t="s">
        <v>302</v>
      </c>
      <c r="B4314" s="140" t="s">
        <v>724</v>
      </c>
      <c r="C4314" s="140" t="s">
        <v>11659</v>
      </c>
      <c r="D4314" s="140" t="s">
        <v>7347</v>
      </c>
      <c r="E4314" s="140" t="s">
        <v>598</v>
      </c>
      <c r="F4314" s="140" t="s">
        <v>704</v>
      </c>
      <c r="G4314" s="141" t="s">
        <v>6742</v>
      </c>
      <c r="H4314" s="140" t="s">
        <v>6330</v>
      </c>
      <c r="I4314" s="140" t="s">
        <v>6313</v>
      </c>
      <c r="J4314" s="140" t="s">
        <v>6319</v>
      </c>
      <c r="K4314" s="140" t="s">
        <v>1573</v>
      </c>
    </row>
    <row r="4315">
      <c r="A4315" s="140" t="s">
        <v>302</v>
      </c>
      <c r="B4315" s="140" t="s">
        <v>718</v>
      </c>
      <c r="C4315" s="140" t="s">
        <v>11660</v>
      </c>
      <c r="D4315" s="140" t="s">
        <v>7347</v>
      </c>
      <c r="E4315" s="140" t="s">
        <v>598</v>
      </c>
      <c r="F4315" s="140" t="s">
        <v>704</v>
      </c>
      <c r="G4315" s="141" t="s">
        <v>6742</v>
      </c>
      <c r="H4315" s="140" t="s">
        <v>6330</v>
      </c>
      <c r="I4315" s="140" t="s">
        <v>6313</v>
      </c>
      <c r="J4315" s="140" t="s">
        <v>6319</v>
      </c>
      <c r="K4315" s="140" t="s">
        <v>1573</v>
      </c>
    </row>
    <row r="4316">
      <c r="A4316" s="140" t="s">
        <v>302</v>
      </c>
      <c r="B4316" s="140" t="s">
        <v>728</v>
      </c>
      <c r="C4316" s="140" t="s">
        <v>11661</v>
      </c>
      <c r="D4316" s="140" t="s">
        <v>7347</v>
      </c>
      <c r="E4316" s="140" t="s">
        <v>598</v>
      </c>
      <c r="F4316" s="140" t="s">
        <v>704</v>
      </c>
      <c r="G4316" s="141" t="s">
        <v>134</v>
      </c>
      <c r="H4316" s="140" t="s">
        <v>6312</v>
      </c>
      <c r="I4316" s="140" t="s">
        <v>6313</v>
      </c>
      <c r="J4316" s="140" t="s">
        <v>6319</v>
      </c>
      <c r="K4316" s="140" t="s">
        <v>1573</v>
      </c>
    </row>
    <row r="4317">
      <c r="A4317" s="140" t="s">
        <v>302</v>
      </c>
      <c r="B4317" s="140" t="s">
        <v>734</v>
      </c>
      <c r="C4317" s="140" t="s">
        <v>11662</v>
      </c>
      <c r="D4317" s="140" t="s">
        <v>7347</v>
      </c>
      <c r="E4317" s="140" t="s">
        <v>598</v>
      </c>
      <c r="F4317" s="140" t="s">
        <v>704</v>
      </c>
      <c r="G4317" s="141" t="s">
        <v>134</v>
      </c>
      <c r="H4317" s="140" t="s">
        <v>6312</v>
      </c>
      <c r="I4317" s="140" t="s">
        <v>6313</v>
      </c>
      <c r="J4317" s="140" t="s">
        <v>6319</v>
      </c>
      <c r="K4317" s="140" t="s">
        <v>1573</v>
      </c>
    </row>
    <row r="4318">
      <c r="A4318" s="140" t="s">
        <v>302</v>
      </c>
      <c r="B4318" s="140" t="s">
        <v>732</v>
      </c>
      <c r="C4318" s="140" t="s">
        <v>11663</v>
      </c>
      <c r="D4318" s="140" t="s">
        <v>7347</v>
      </c>
      <c r="E4318" s="140" t="s">
        <v>598</v>
      </c>
      <c r="F4318" s="140" t="s">
        <v>704</v>
      </c>
      <c r="G4318" s="141" t="s">
        <v>134</v>
      </c>
      <c r="H4318" s="140" t="s">
        <v>6312</v>
      </c>
      <c r="I4318" s="140" t="s">
        <v>6313</v>
      </c>
      <c r="J4318" s="140" t="s">
        <v>6319</v>
      </c>
      <c r="K4318" s="140" t="s">
        <v>1573</v>
      </c>
    </row>
    <row r="4319">
      <c r="A4319" s="140" t="s">
        <v>302</v>
      </c>
      <c r="B4319" s="140" t="s">
        <v>730</v>
      </c>
      <c r="C4319" s="140" t="s">
        <v>11664</v>
      </c>
      <c r="D4319" s="140" t="s">
        <v>7347</v>
      </c>
      <c r="E4319" s="140" t="s">
        <v>598</v>
      </c>
      <c r="F4319" s="140" t="s">
        <v>704</v>
      </c>
      <c r="G4319" s="141" t="s">
        <v>134</v>
      </c>
      <c r="H4319" s="140" t="s">
        <v>6312</v>
      </c>
      <c r="I4319" s="140" t="s">
        <v>6313</v>
      </c>
      <c r="J4319" s="140" t="s">
        <v>6319</v>
      </c>
      <c r="K4319" s="140" t="s">
        <v>1573</v>
      </c>
    </row>
    <row r="4320">
      <c r="A4320" s="140" t="s">
        <v>302</v>
      </c>
      <c r="B4320" s="140" t="s">
        <v>726</v>
      </c>
      <c r="C4320" s="140" t="s">
        <v>11665</v>
      </c>
      <c r="D4320" s="140" t="s">
        <v>7347</v>
      </c>
      <c r="E4320" s="140" t="s">
        <v>598</v>
      </c>
      <c r="F4320" s="140" t="s">
        <v>704</v>
      </c>
      <c r="G4320" s="141" t="s">
        <v>134</v>
      </c>
      <c r="H4320" s="140" t="s">
        <v>6330</v>
      </c>
      <c r="I4320" s="140" t="s">
        <v>6313</v>
      </c>
      <c r="J4320" s="140" t="s">
        <v>6319</v>
      </c>
      <c r="K4320" s="140" t="s">
        <v>1573</v>
      </c>
    </row>
    <row r="4321">
      <c r="A4321" s="140" t="s">
        <v>302</v>
      </c>
      <c r="B4321" s="140" t="s">
        <v>11666</v>
      </c>
      <c r="C4321" s="140" t="s">
        <v>11667</v>
      </c>
      <c r="D4321" s="140" t="s">
        <v>6318</v>
      </c>
      <c r="E4321" s="140" t="s">
        <v>598</v>
      </c>
      <c r="F4321" s="140" t="s">
        <v>704</v>
      </c>
      <c r="G4321" s="141" t="s">
        <v>6304</v>
      </c>
      <c r="H4321" s="140" t="s">
        <v>6312</v>
      </c>
      <c r="I4321" s="140" t="s">
        <v>6527</v>
      </c>
      <c r="J4321" s="140" t="s">
        <v>6319</v>
      </c>
      <c r="K4321" s="140" t="s">
        <v>1573</v>
      </c>
    </row>
    <row r="4322">
      <c r="A4322" s="140" t="s">
        <v>302</v>
      </c>
      <c r="B4322" s="140" t="s">
        <v>745</v>
      </c>
      <c r="C4322" s="140" t="s">
        <v>11668</v>
      </c>
      <c r="D4322" s="140" t="s">
        <v>6318</v>
      </c>
      <c r="E4322" s="140" t="s">
        <v>598</v>
      </c>
      <c r="F4322" s="140" t="s">
        <v>735</v>
      </c>
      <c r="G4322" s="141" t="s">
        <v>134</v>
      </c>
      <c r="H4322" s="140" t="s">
        <v>6312</v>
      </c>
      <c r="I4322" s="140" t="s">
        <v>6313</v>
      </c>
      <c r="J4322" s="140" t="s">
        <v>6319</v>
      </c>
      <c r="K4322" s="140" t="s">
        <v>1573</v>
      </c>
    </row>
    <row r="4323">
      <c r="A4323" s="140" t="s">
        <v>302</v>
      </c>
      <c r="B4323" s="140" t="s">
        <v>11669</v>
      </c>
      <c r="C4323" s="140" t="s">
        <v>11668</v>
      </c>
      <c r="D4323" s="140" t="s">
        <v>6318</v>
      </c>
      <c r="E4323" s="140" t="s">
        <v>598</v>
      </c>
      <c r="F4323" s="140" t="s">
        <v>735</v>
      </c>
      <c r="G4323" s="141" t="s">
        <v>6304</v>
      </c>
      <c r="H4323" s="140" t="s">
        <v>6312</v>
      </c>
      <c r="I4323" s="140" t="s">
        <v>6527</v>
      </c>
      <c r="J4323" s="140" t="s">
        <v>6319</v>
      </c>
      <c r="K4323" s="140" t="s">
        <v>1573</v>
      </c>
    </row>
    <row r="4324">
      <c r="A4324" s="140" t="s">
        <v>302</v>
      </c>
      <c r="B4324" s="140" t="s">
        <v>739</v>
      </c>
      <c r="C4324" s="140" t="s">
        <v>11670</v>
      </c>
      <c r="D4324" s="140" t="s">
        <v>6318</v>
      </c>
      <c r="E4324" s="140" t="s">
        <v>598</v>
      </c>
      <c r="F4324" s="140" t="s">
        <v>735</v>
      </c>
      <c r="G4324" s="141" t="s">
        <v>6664</v>
      </c>
      <c r="H4324" s="140" t="s">
        <v>6330</v>
      </c>
      <c r="I4324" s="140" t="s">
        <v>6313</v>
      </c>
      <c r="J4324" s="140" t="s">
        <v>6319</v>
      </c>
      <c r="K4324" s="140" t="s">
        <v>1573</v>
      </c>
    </row>
    <row r="4325">
      <c r="A4325" s="140" t="s">
        <v>302</v>
      </c>
      <c r="B4325" s="140" t="s">
        <v>743</v>
      </c>
      <c r="C4325" s="140" t="s">
        <v>11671</v>
      </c>
      <c r="D4325" s="140" t="s">
        <v>6318</v>
      </c>
      <c r="E4325" s="140" t="s">
        <v>598</v>
      </c>
      <c r="F4325" s="140" t="s">
        <v>735</v>
      </c>
      <c r="G4325" s="141" t="s">
        <v>6664</v>
      </c>
      <c r="H4325" s="140" t="s">
        <v>6330</v>
      </c>
      <c r="I4325" s="140" t="s">
        <v>6313</v>
      </c>
      <c r="J4325" s="140" t="s">
        <v>6319</v>
      </c>
      <c r="K4325" s="140" t="s">
        <v>1573</v>
      </c>
    </row>
    <row r="4326">
      <c r="A4326" s="140" t="s">
        <v>302</v>
      </c>
      <c r="B4326" s="140" t="s">
        <v>741</v>
      </c>
      <c r="C4326" s="140" t="s">
        <v>11672</v>
      </c>
      <c r="D4326" s="140" t="s">
        <v>6318</v>
      </c>
      <c r="E4326" s="140" t="s">
        <v>598</v>
      </c>
      <c r="F4326" s="140" t="s">
        <v>735</v>
      </c>
      <c r="G4326" s="141" t="s">
        <v>6664</v>
      </c>
      <c r="H4326" s="140" t="s">
        <v>6330</v>
      </c>
      <c r="I4326" s="140" t="s">
        <v>6313</v>
      </c>
      <c r="J4326" s="140" t="s">
        <v>6319</v>
      </c>
      <c r="K4326" s="140" t="s">
        <v>1573</v>
      </c>
    </row>
    <row r="4327">
      <c r="A4327" s="140" t="s">
        <v>302</v>
      </c>
      <c r="B4327" s="140" t="s">
        <v>737</v>
      </c>
      <c r="C4327" s="140" t="s">
        <v>11673</v>
      </c>
      <c r="D4327" s="140" t="s">
        <v>6318</v>
      </c>
      <c r="E4327" s="140" t="s">
        <v>598</v>
      </c>
      <c r="F4327" s="140" t="s">
        <v>735</v>
      </c>
      <c r="G4327" s="141" t="s">
        <v>6664</v>
      </c>
      <c r="H4327" s="140" t="s">
        <v>6330</v>
      </c>
      <c r="I4327" s="140" t="s">
        <v>6313</v>
      </c>
      <c r="J4327" s="140" t="s">
        <v>6319</v>
      </c>
      <c r="K4327" s="140" t="s">
        <v>1573</v>
      </c>
    </row>
    <row r="4328">
      <c r="A4328" s="140" t="s">
        <v>302</v>
      </c>
      <c r="B4328" s="140" t="s">
        <v>11674</v>
      </c>
      <c r="C4328" s="140" t="s">
        <v>11675</v>
      </c>
      <c r="D4328" s="140" t="s">
        <v>6318</v>
      </c>
      <c r="E4328" s="140" t="s">
        <v>598</v>
      </c>
      <c r="F4328" s="140" t="s">
        <v>735</v>
      </c>
      <c r="G4328" s="141" t="s">
        <v>6304</v>
      </c>
      <c r="H4328" s="140" t="s">
        <v>6330</v>
      </c>
      <c r="I4328" s="140" t="s">
        <v>6527</v>
      </c>
      <c r="J4328" s="140" t="s">
        <v>6319</v>
      </c>
      <c r="K4328" s="140" t="s">
        <v>1573</v>
      </c>
    </row>
    <row r="4329">
      <c r="A4329" s="140" t="s">
        <v>302</v>
      </c>
      <c r="B4329" s="140" t="s">
        <v>11676</v>
      </c>
      <c r="C4329" s="140" t="s">
        <v>11677</v>
      </c>
      <c r="D4329" s="140" t="s">
        <v>6318</v>
      </c>
      <c r="E4329" s="140" t="s">
        <v>598</v>
      </c>
      <c r="F4329" s="140" t="s">
        <v>735</v>
      </c>
      <c r="G4329" s="141" t="s">
        <v>6304</v>
      </c>
      <c r="H4329" s="140" t="s">
        <v>6330</v>
      </c>
      <c r="I4329" s="140" t="s">
        <v>6527</v>
      </c>
      <c r="J4329" s="140" t="s">
        <v>6319</v>
      </c>
      <c r="K4329" s="140" t="s">
        <v>1573</v>
      </c>
    </row>
    <row r="4330">
      <c r="A4330" s="140" t="s">
        <v>302</v>
      </c>
      <c r="B4330" s="140" t="s">
        <v>11678</v>
      </c>
      <c r="C4330" s="140" t="s">
        <v>11679</v>
      </c>
      <c r="D4330" s="140" t="s">
        <v>6318</v>
      </c>
      <c r="E4330" s="140" t="s">
        <v>598</v>
      </c>
      <c r="F4330" s="140" t="s">
        <v>735</v>
      </c>
      <c r="G4330" s="141" t="s">
        <v>6304</v>
      </c>
      <c r="H4330" s="140" t="s">
        <v>6330</v>
      </c>
      <c r="I4330" s="140" t="s">
        <v>6527</v>
      </c>
      <c r="J4330" s="140" t="s">
        <v>6319</v>
      </c>
      <c r="K4330" s="140" t="s">
        <v>1573</v>
      </c>
    </row>
    <row r="4331">
      <c r="A4331" s="140" t="s">
        <v>302</v>
      </c>
      <c r="B4331" s="140" t="s">
        <v>11680</v>
      </c>
      <c r="C4331" s="140" t="s">
        <v>11681</v>
      </c>
      <c r="D4331" s="140" t="s">
        <v>6318</v>
      </c>
      <c r="E4331" s="140" t="s">
        <v>598</v>
      </c>
      <c r="F4331" s="140" t="s">
        <v>735</v>
      </c>
      <c r="G4331" s="141" t="s">
        <v>6304</v>
      </c>
      <c r="H4331" s="140" t="s">
        <v>6330</v>
      </c>
      <c r="I4331" s="140" t="s">
        <v>6527</v>
      </c>
      <c r="J4331" s="140" t="s">
        <v>6319</v>
      </c>
      <c r="K4331" s="140" t="s">
        <v>1573</v>
      </c>
    </row>
    <row r="4332">
      <c r="A4332" s="140" t="s">
        <v>302</v>
      </c>
      <c r="B4332" s="140" t="s">
        <v>11682</v>
      </c>
      <c r="C4332" s="140" t="s">
        <v>11683</v>
      </c>
      <c r="D4332" s="140" t="s">
        <v>6318</v>
      </c>
      <c r="E4332" s="140" t="s">
        <v>598</v>
      </c>
      <c r="F4332" s="140" t="s">
        <v>735</v>
      </c>
      <c r="G4332" s="141" t="s">
        <v>6304</v>
      </c>
      <c r="H4332" s="140" t="s">
        <v>6330</v>
      </c>
      <c r="I4332" s="140" t="s">
        <v>6527</v>
      </c>
      <c r="J4332" s="140" t="s">
        <v>6319</v>
      </c>
      <c r="K4332" s="140" t="s">
        <v>1573</v>
      </c>
    </row>
    <row r="4333">
      <c r="A4333" s="140" t="s">
        <v>302</v>
      </c>
      <c r="B4333" s="143">
        <v>1.62742E12</v>
      </c>
      <c r="C4333" s="140" t="s">
        <v>11684</v>
      </c>
      <c r="D4333" s="140" t="s">
        <v>6318</v>
      </c>
      <c r="E4333" s="140" t="s">
        <v>598</v>
      </c>
      <c r="F4333" s="140" t="s">
        <v>735</v>
      </c>
      <c r="G4333" s="141" t="s">
        <v>6401</v>
      </c>
      <c r="H4333" s="140" t="s">
        <v>6312</v>
      </c>
      <c r="I4333" s="140" t="s">
        <v>6313</v>
      </c>
      <c r="J4333" s="140" t="s">
        <v>6319</v>
      </c>
      <c r="K4333" s="140" t="s">
        <v>1573</v>
      </c>
    </row>
    <row r="4334">
      <c r="A4334" s="140" t="s">
        <v>302</v>
      </c>
      <c r="B4334" s="140" t="s">
        <v>11685</v>
      </c>
      <c r="C4334" s="140" t="s">
        <v>11684</v>
      </c>
      <c r="D4334" s="140" t="s">
        <v>6318</v>
      </c>
      <c r="E4334" s="140" t="s">
        <v>598</v>
      </c>
      <c r="F4334" s="140" t="s">
        <v>735</v>
      </c>
      <c r="G4334" s="141" t="s">
        <v>6304</v>
      </c>
      <c r="H4334" s="140" t="s">
        <v>6312</v>
      </c>
      <c r="I4334" s="140" t="s">
        <v>6527</v>
      </c>
      <c r="J4334" s="140" t="s">
        <v>6319</v>
      </c>
      <c r="K4334" s="140" t="s">
        <v>1573</v>
      </c>
    </row>
    <row r="4335">
      <c r="A4335" s="140" t="s">
        <v>302</v>
      </c>
      <c r="B4335" s="143">
        <v>1.62742E12</v>
      </c>
      <c r="C4335" s="140" t="s">
        <v>11686</v>
      </c>
      <c r="D4335" s="140" t="s">
        <v>6318</v>
      </c>
      <c r="E4335" s="140" t="s">
        <v>598</v>
      </c>
      <c r="F4335" s="140" t="s">
        <v>735</v>
      </c>
      <c r="G4335" s="141" t="s">
        <v>134</v>
      </c>
      <c r="H4335" s="140" t="s">
        <v>6312</v>
      </c>
      <c r="I4335" s="140" t="s">
        <v>6313</v>
      </c>
      <c r="J4335" s="140" t="s">
        <v>6319</v>
      </c>
      <c r="K4335" s="140" t="s">
        <v>1573</v>
      </c>
    </row>
    <row r="4336">
      <c r="A4336" s="140" t="s">
        <v>302</v>
      </c>
      <c r="B4336" s="140" t="s">
        <v>11687</v>
      </c>
      <c r="C4336" s="140" t="s">
        <v>11647</v>
      </c>
      <c r="D4336" s="140" t="s">
        <v>6318</v>
      </c>
      <c r="E4336" s="140" t="s">
        <v>598</v>
      </c>
      <c r="F4336" s="140" t="s">
        <v>599</v>
      </c>
      <c r="G4336" s="141" t="s">
        <v>6304</v>
      </c>
      <c r="H4336" s="140" t="s">
        <v>6312</v>
      </c>
      <c r="I4336" s="140" t="s">
        <v>6527</v>
      </c>
      <c r="J4336" s="140" t="s">
        <v>6319</v>
      </c>
      <c r="K4336" s="140" t="s">
        <v>1573</v>
      </c>
    </row>
    <row r="4337">
      <c r="A4337" s="140" t="s">
        <v>302</v>
      </c>
      <c r="B4337" s="143">
        <v>1.63037E12</v>
      </c>
      <c r="C4337" s="140" t="s">
        <v>11688</v>
      </c>
      <c r="D4337" s="140" t="s">
        <v>7347</v>
      </c>
      <c r="E4337" s="140" t="s">
        <v>11689</v>
      </c>
      <c r="F4337" s="140" t="s">
        <v>10242</v>
      </c>
      <c r="G4337" s="141" t="s">
        <v>6401</v>
      </c>
      <c r="H4337" s="140" t="s">
        <v>6312</v>
      </c>
      <c r="I4337" s="140" t="s">
        <v>6313</v>
      </c>
      <c r="J4337" s="140" t="s">
        <v>6319</v>
      </c>
      <c r="K4337" s="140" t="s">
        <v>1573</v>
      </c>
    </row>
    <row r="4338">
      <c r="A4338" s="140" t="s">
        <v>302</v>
      </c>
      <c r="B4338" s="143">
        <v>1.6388E12</v>
      </c>
      <c r="C4338" s="140" t="s">
        <v>11690</v>
      </c>
      <c r="D4338" s="140" t="s">
        <v>7347</v>
      </c>
      <c r="E4338" s="140" t="s">
        <v>11691</v>
      </c>
      <c r="F4338" s="140" t="s">
        <v>11692</v>
      </c>
      <c r="G4338" s="141" t="s">
        <v>6401</v>
      </c>
      <c r="H4338" s="140" t="s">
        <v>6312</v>
      </c>
      <c r="I4338" s="140" t="s">
        <v>6313</v>
      </c>
      <c r="J4338" s="140" t="s">
        <v>6319</v>
      </c>
      <c r="K4338" s="140" t="s">
        <v>1573</v>
      </c>
    </row>
    <row r="4339">
      <c r="A4339" s="140" t="s">
        <v>302</v>
      </c>
      <c r="B4339" s="140" t="s">
        <v>11693</v>
      </c>
      <c r="C4339" s="140" t="s">
        <v>11694</v>
      </c>
      <c r="D4339" s="140" t="s">
        <v>7347</v>
      </c>
      <c r="E4339" s="140" t="s">
        <v>11691</v>
      </c>
      <c r="F4339" s="140" t="s">
        <v>11692</v>
      </c>
      <c r="G4339" s="141" t="s">
        <v>6401</v>
      </c>
      <c r="H4339" s="140" t="s">
        <v>6312</v>
      </c>
      <c r="I4339" s="140" t="s">
        <v>6313</v>
      </c>
      <c r="J4339" s="140" t="s">
        <v>6319</v>
      </c>
      <c r="K4339" s="140" t="s">
        <v>1573</v>
      </c>
    </row>
    <row r="4340">
      <c r="A4340" s="140" t="s">
        <v>302</v>
      </c>
      <c r="B4340" s="140" t="s">
        <v>11695</v>
      </c>
      <c r="C4340" s="140" t="s">
        <v>11696</v>
      </c>
      <c r="D4340" s="140" t="s">
        <v>11057</v>
      </c>
      <c r="E4340" s="140" t="s">
        <v>11058</v>
      </c>
      <c r="F4340" s="140" t="s">
        <v>6411</v>
      </c>
      <c r="G4340" s="141" t="s">
        <v>6311</v>
      </c>
      <c r="H4340" s="140" t="s">
        <v>6330</v>
      </c>
      <c r="I4340" s="140" t="s">
        <v>6313</v>
      </c>
      <c r="J4340" s="140" t="s">
        <v>6319</v>
      </c>
      <c r="K4340" s="140" t="s">
        <v>1573</v>
      </c>
    </row>
    <row r="4341">
      <c r="A4341" s="140" t="s">
        <v>302</v>
      </c>
      <c r="B4341" s="140" t="s">
        <v>11697</v>
      </c>
      <c r="C4341" s="140" t="s">
        <v>11696</v>
      </c>
      <c r="D4341" s="140" t="s">
        <v>11057</v>
      </c>
      <c r="E4341" s="140" t="s">
        <v>11058</v>
      </c>
      <c r="F4341" s="140" t="s">
        <v>6411</v>
      </c>
      <c r="G4341" s="141" t="s">
        <v>6311</v>
      </c>
      <c r="H4341" s="140" t="s">
        <v>6330</v>
      </c>
      <c r="I4341" s="140" t="s">
        <v>6313</v>
      </c>
      <c r="J4341" s="140" t="s">
        <v>6319</v>
      </c>
      <c r="K4341" s="140" t="s">
        <v>1573</v>
      </c>
    </row>
    <row r="4342">
      <c r="A4342" s="140" t="s">
        <v>302</v>
      </c>
      <c r="B4342" s="140" t="s">
        <v>11698</v>
      </c>
      <c r="C4342" s="140" t="s">
        <v>11696</v>
      </c>
      <c r="D4342" s="140" t="s">
        <v>11057</v>
      </c>
      <c r="E4342" s="140" t="s">
        <v>11058</v>
      </c>
      <c r="F4342" s="140" t="s">
        <v>6411</v>
      </c>
      <c r="G4342" s="141" t="s">
        <v>6311</v>
      </c>
      <c r="H4342" s="140" t="s">
        <v>6330</v>
      </c>
      <c r="I4342" s="140" t="s">
        <v>6313</v>
      </c>
      <c r="J4342" s="140" t="s">
        <v>6319</v>
      </c>
      <c r="K4342" s="140" t="s">
        <v>1573</v>
      </c>
    </row>
    <row r="4343">
      <c r="A4343" s="140" t="s">
        <v>302</v>
      </c>
      <c r="B4343" s="140" t="s">
        <v>11699</v>
      </c>
      <c r="C4343" s="140" t="s">
        <v>11696</v>
      </c>
      <c r="D4343" s="140" t="s">
        <v>11057</v>
      </c>
      <c r="E4343" s="140" t="s">
        <v>11058</v>
      </c>
      <c r="F4343" s="140" t="s">
        <v>6411</v>
      </c>
      <c r="G4343" s="141" t="s">
        <v>6311</v>
      </c>
      <c r="H4343" s="140" t="s">
        <v>6330</v>
      </c>
      <c r="I4343" s="140" t="s">
        <v>6313</v>
      </c>
      <c r="J4343" s="140" t="s">
        <v>6319</v>
      </c>
      <c r="K4343" s="140" t="s">
        <v>1573</v>
      </c>
    </row>
    <row r="4344">
      <c r="A4344" s="140" t="s">
        <v>302</v>
      </c>
      <c r="B4344" s="140" t="s">
        <v>11700</v>
      </c>
      <c r="C4344" s="140" t="s">
        <v>11701</v>
      </c>
      <c r="D4344" s="140" t="s">
        <v>6718</v>
      </c>
      <c r="E4344" s="140" t="s">
        <v>6719</v>
      </c>
      <c r="F4344" s="140" t="s">
        <v>224</v>
      </c>
      <c r="G4344" s="141" t="s">
        <v>6304</v>
      </c>
      <c r="H4344" s="140" t="s">
        <v>6312</v>
      </c>
      <c r="I4344" s="140" t="s">
        <v>6527</v>
      </c>
      <c r="J4344" s="140" t="s">
        <v>6319</v>
      </c>
      <c r="K4344" s="140" t="s">
        <v>1573</v>
      </c>
    </row>
    <row r="4345">
      <c r="A4345" s="140" t="s">
        <v>302</v>
      </c>
      <c r="B4345" s="140" t="s">
        <v>11702</v>
      </c>
      <c r="C4345" s="140" t="s">
        <v>11703</v>
      </c>
      <c r="D4345" s="140" t="s">
        <v>6718</v>
      </c>
      <c r="E4345" s="140" t="s">
        <v>6719</v>
      </c>
      <c r="F4345" s="140" t="s">
        <v>224</v>
      </c>
      <c r="G4345" s="141" t="s">
        <v>6304</v>
      </c>
      <c r="H4345" s="140" t="s">
        <v>6312</v>
      </c>
      <c r="I4345" s="140" t="s">
        <v>6527</v>
      </c>
      <c r="J4345" s="140" t="s">
        <v>6319</v>
      </c>
      <c r="K4345" s="140" t="s">
        <v>1573</v>
      </c>
    </row>
    <row r="4346">
      <c r="A4346" s="140" t="s">
        <v>302</v>
      </c>
      <c r="B4346" s="140" t="s">
        <v>11704</v>
      </c>
      <c r="C4346" s="140" t="s">
        <v>11705</v>
      </c>
      <c r="D4346" s="140" t="s">
        <v>6718</v>
      </c>
      <c r="E4346" s="140" t="s">
        <v>6719</v>
      </c>
      <c r="F4346" s="140" t="s">
        <v>224</v>
      </c>
      <c r="G4346" s="141" t="s">
        <v>6304</v>
      </c>
      <c r="H4346" s="140" t="s">
        <v>6312</v>
      </c>
      <c r="I4346" s="140" t="s">
        <v>6527</v>
      </c>
      <c r="J4346" s="140" t="s">
        <v>6319</v>
      </c>
      <c r="K4346" s="140" t="s">
        <v>1573</v>
      </c>
    </row>
    <row r="4347">
      <c r="A4347" s="140" t="s">
        <v>302</v>
      </c>
      <c r="B4347" s="140" t="s">
        <v>11706</v>
      </c>
      <c r="C4347" s="140" t="s">
        <v>11707</v>
      </c>
      <c r="D4347" s="140" t="s">
        <v>6718</v>
      </c>
      <c r="E4347" s="140" t="s">
        <v>6719</v>
      </c>
      <c r="F4347" s="140" t="s">
        <v>224</v>
      </c>
      <c r="G4347" s="141" t="s">
        <v>6304</v>
      </c>
      <c r="H4347" s="140" t="s">
        <v>6312</v>
      </c>
      <c r="I4347" s="140" t="s">
        <v>6527</v>
      </c>
      <c r="J4347" s="140" t="s">
        <v>6319</v>
      </c>
      <c r="K4347" s="140" t="s">
        <v>1573</v>
      </c>
    </row>
    <row r="4348">
      <c r="A4348" s="140" t="s">
        <v>302</v>
      </c>
      <c r="B4348" s="140" t="s">
        <v>11708</v>
      </c>
      <c r="C4348" s="140" t="s">
        <v>11709</v>
      </c>
      <c r="D4348" s="140" t="s">
        <v>6718</v>
      </c>
      <c r="E4348" s="140" t="s">
        <v>6719</v>
      </c>
      <c r="F4348" s="140" t="s">
        <v>224</v>
      </c>
      <c r="G4348" s="141" t="s">
        <v>6304</v>
      </c>
      <c r="H4348" s="140" t="s">
        <v>6312</v>
      </c>
      <c r="I4348" s="140" t="s">
        <v>6527</v>
      </c>
      <c r="J4348" s="140" t="s">
        <v>6319</v>
      </c>
      <c r="K4348" s="140" t="s">
        <v>1573</v>
      </c>
    </row>
    <row r="4349">
      <c r="A4349" s="140" t="s">
        <v>302</v>
      </c>
      <c r="B4349" s="140" t="s">
        <v>11710</v>
      </c>
      <c r="C4349" s="140" t="s">
        <v>11711</v>
      </c>
      <c r="D4349" s="140" t="s">
        <v>6718</v>
      </c>
      <c r="E4349" s="140" t="s">
        <v>6719</v>
      </c>
      <c r="F4349" s="140" t="s">
        <v>224</v>
      </c>
      <c r="G4349" s="141" t="s">
        <v>6304</v>
      </c>
      <c r="H4349" s="140" t="s">
        <v>6312</v>
      </c>
      <c r="I4349" s="140" t="s">
        <v>6527</v>
      </c>
      <c r="J4349" s="140" t="s">
        <v>6319</v>
      </c>
      <c r="K4349" s="140" t="s">
        <v>1573</v>
      </c>
    </row>
    <row r="4350">
      <c r="A4350" s="140" t="s">
        <v>302</v>
      </c>
      <c r="B4350" s="140">
        <v>1.634575166E9</v>
      </c>
      <c r="C4350" s="140" t="s">
        <v>11712</v>
      </c>
      <c r="D4350" s="140" t="s">
        <v>6718</v>
      </c>
      <c r="E4350" s="140" t="s">
        <v>6719</v>
      </c>
      <c r="F4350" s="140" t="s">
        <v>224</v>
      </c>
      <c r="G4350" s="141" t="s">
        <v>6401</v>
      </c>
      <c r="H4350" s="140" t="s">
        <v>6312</v>
      </c>
      <c r="I4350" s="140" t="s">
        <v>6313</v>
      </c>
      <c r="J4350" s="140" t="s">
        <v>6319</v>
      </c>
      <c r="K4350" s="140" t="s">
        <v>1573</v>
      </c>
    </row>
    <row r="4351">
      <c r="A4351" s="140" t="s">
        <v>302</v>
      </c>
      <c r="B4351" s="140" t="s">
        <v>11713</v>
      </c>
      <c r="C4351" s="140" t="s">
        <v>11714</v>
      </c>
      <c r="D4351" s="140" t="s">
        <v>7347</v>
      </c>
      <c r="E4351" s="140" t="s">
        <v>9522</v>
      </c>
      <c r="F4351" s="140" t="s">
        <v>9523</v>
      </c>
      <c r="G4351" s="141" t="s">
        <v>6401</v>
      </c>
      <c r="H4351" s="140" t="s">
        <v>6312</v>
      </c>
      <c r="I4351" s="140" t="s">
        <v>6313</v>
      </c>
      <c r="J4351" s="140" t="s">
        <v>6319</v>
      </c>
      <c r="K4351" s="140" t="s">
        <v>1573</v>
      </c>
    </row>
    <row r="4352">
      <c r="A4352" s="140" t="s">
        <v>302</v>
      </c>
      <c r="B4352" s="143">
        <v>1.614E12</v>
      </c>
      <c r="C4352" s="140" t="s">
        <v>11715</v>
      </c>
      <c r="D4352" s="140" t="s">
        <v>6786</v>
      </c>
      <c r="E4352" s="140" t="s">
        <v>6786</v>
      </c>
      <c r="F4352" s="140" t="s">
        <v>11716</v>
      </c>
      <c r="G4352" s="141" t="s">
        <v>6401</v>
      </c>
      <c r="H4352" s="140" t="s">
        <v>6312</v>
      </c>
      <c r="I4352" s="140" t="s">
        <v>6313</v>
      </c>
      <c r="J4352" s="140" t="s">
        <v>6319</v>
      </c>
      <c r="K4352" s="140" t="s">
        <v>1573</v>
      </c>
    </row>
    <row r="4353">
      <c r="A4353" s="140" t="s">
        <v>302</v>
      </c>
      <c r="B4353" s="143">
        <v>1.614E12</v>
      </c>
      <c r="C4353" s="140" t="s">
        <v>11717</v>
      </c>
      <c r="D4353" s="140" t="s">
        <v>6786</v>
      </c>
      <c r="E4353" s="140" t="s">
        <v>6786</v>
      </c>
      <c r="F4353" s="140" t="s">
        <v>11716</v>
      </c>
      <c r="G4353" s="141" t="s">
        <v>6401</v>
      </c>
      <c r="H4353" s="140" t="s">
        <v>6312</v>
      </c>
      <c r="I4353" s="140" t="s">
        <v>6313</v>
      </c>
      <c r="J4353" s="140" t="s">
        <v>6319</v>
      </c>
      <c r="K4353" s="140" t="s">
        <v>1573</v>
      </c>
    </row>
    <row r="4354">
      <c r="A4354" s="140" t="s">
        <v>302</v>
      </c>
      <c r="B4354" s="143">
        <v>1.56528E12</v>
      </c>
      <c r="C4354" s="140" t="s">
        <v>11718</v>
      </c>
      <c r="D4354" s="140" t="s">
        <v>6718</v>
      </c>
      <c r="E4354" s="140" t="s">
        <v>748</v>
      </c>
      <c r="F4354" s="140" t="s">
        <v>10303</v>
      </c>
      <c r="G4354" s="141" t="s">
        <v>134</v>
      </c>
      <c r="H4354" s="140" t="s">
        <v>6312</v>
      </c>
      <c r="I4354" s="140" t="s">
        <v>6313</v>
      </c>
      <c r="J4354" s="140" t="s">
        <v>6319</v>
      </c>
      <c r="K4354" s="140" t="s">
        <v>1573</v>
      </c>
    </row>
    <row r="4355">
      <c r="A4355" s="140" t="s">
        <v>302</v>
      </c>
      <c r="B4355" s="143">
        <v>1.61082E12</v>
      </c>
      <c r="C4355" s="140" t="s">
        <v>11719</v>
      </c>
      <c r="D4355" s="140" t="s">
        <v>6718</v>
      </c>
      <c r="E4355" s="140" t="s">
        <v>748</v>
      </c>
      <c r="F4355" s="140" t="s">
        <v>10303</v>
      </c>
      <c r="G4355" s="141" t="s">
        <v>134</v>
      </c>
      <c r="H4355" s="140" t="s">
        <v>6312</v>
      </c>
      <c r="I4355" s="140" t="s">
        <v>6313</v>
      </c>
      <c r="J4355" s="140" t="s">
        <v>6319</v>
      </c>
      <c r="K4355" s="140" t="s">
        <v>1573</v>
      </c>
    </row>
    <row r="4356">
      <c r="A4356" s="140" t="s">
        <v>302</v>
      </c>
      <c r="B4356" s="143">
        <v>1.61082E12</v>
      </c>
      <c r="C4356" s="140" t="s">
        <v>11720</v>
      </c>
      <c r="D4356" s="140" t="s">
        <v>6718</v>
      </c>
      <c r="E4356" s="140" t="s">
        <v>748</v>
      </c>
      <c r="F4356" s="140" t="s">
        <v>10303</v>
      </c>
      <c r="G4356" s="141" t="s">
        <v>134</v>
      </c>
      <c r="H4356" s="140" t="s">
        <v>6312</v>
      </c>
      <c r="I4356" s="140" t="s">
        <v>6313</v>
      </c>
      <c r="J4356" s="140" t="s">
        <v>6319</v>
      </c>
      <c r="K4356" s="140" t="s">
        <v>1573</v>
      </c>
    </row>
    <row r="4357">
      <c r="A4357" s="140" t="s">
        <v>302</v>
      </c>
      <c r="B4357" s="143">
        <v>1.54205E12</v>
      </c>
      <c r="C4357" s="140" t="s">
        <v>11721</v>
      </c>
      <c r="D4357" s="140" t="s">
        <v>6718</v>
      </c>
      <c r="E4357" s="140" t="s">
        <v>748</v>
      </c>
      <c r="F4357" s="140" t="s">
        <v>10303</v>
      </c>
      <c r="G4357" s="141" t="s">
        <v>134</v>
      </c>
      <c r="H4357" s="140" t="s">
        <v>6312</v>
      </c>
      <c r="I4357" s="140" t="s">
        <v>6313</v>
      </c>
      <c r="J4357" s="140" t="s">
        <v>6319</v>
      </c>
      <c r="K4357" s="140" t="s">
        <v>1573</v>
      </c>
    </row>
    <row r="4358">
      <c r="A4358" s="140" t="s">
        <v>302</v>
      </c>
      <c r="B4358" s="143">
        <v>1.62929E12</v>
      </c>
      <c r="C4358" s="140" t="s">
        <v>11722</v>
      </c>
      <c r="D4358" s="140" t="s">
        <v>6718</v>
      </c>
      <c r="E4358" s="140" t="s">
        <v>748</v>
      </c>
      <c r="F4358" s="140" t="s">
        <v>10303</v>
      </c>
      <c r="G4358" s="141" t="s">
        <v>134</v>
      </c>
      <c r="H4358" s="140" t="s">
        <v>6312</v>
      </c>
      <c r="I4358" s="140" t="s">
        <v>6313</v>
      </c>
      <c r="J4358" s="140" t="s">
        <v>6319</v>
      </c>
      <c r="K4358" s="140" t="s">
        <v>1573</v>
      </c>
    </row>
    <row r="4359">
      <c r="A4359" s="140" t="s">
        <v>302</v>
      </c>
      <c r="B4359" s="140" t="s">
        <v>751</v>
      </c>
      <c r="C4359" s="140" t="s">
        <v>11723</v>
      </c>
      <c r="D4359" s="140" t="s">
        <v>6718</v>
      </c>
      <c r="E4359" s="140" t="s">
        <v>748</v>
      </c>
      <c r="F4359" s="140" t="s">
        <v>749</v>
      </c>
      <c r="G4359" s="141" t="s">
        <v>134</v>
      </c>
      <c r="H4359" s="140" t="s">
        <v>6330</v>
      </c>
      <c r="I4359" s="140" t="s">
        <v>6313</v>
      </c>
      <c r="J4359" s="140" t="s">
        <v>6319</v>
      </c>
      <c r="K4359" s="140" t="s">
        <v>1573</v>
      </c>
    </row>
    <row r="4360">
      <c r="A4360" s="140" t="s">
        <v>302</v>
      </c>
      <c r="B4360" s="140" t="s">
        <v>755</v>
      </c>
      <c r="C4360" s="140" t="s">
        <v>11724</v>
      </c>
      <c r="D4360" s="140" t="s">
        <v>6718</v>
      </c>
      <c r="E4360" s="140" t="s">
        <v>748</v>
      </c>
      <c r="F4360" s="140" t="s">
        <v>749</v>
      </c>
      <c r="G4360" s="141" t="s">
        <v>134</v>
      </c>
      <c r="H4360" s="140" t="s">
        <v>6330</v>
      </c>
      <c r="I4360" s="140" t="s">
        <v>6313</v>
      </c>
      <c r="J4360" s="140" t="s">
        <v>6319</v>
      </c>
      <c r="K4360" s="140" t="s">
        <v>1573</v>
      </c>
    </row>
    <row r="4361">
      <c r="A4361" s="140" t="s">
        <v>302</v>
      </c>
      <c r="B4361" s="140" t="s">
        <v>753</v>
      </c>
      <c r="C4361" s="140" t="s">
        <v>11365</v>
      </c>
      <c r="D4361" s="140" t="s">
        <v>6718</v>
      </c>
      <c r="E4361" s="140" t="s">
        <v>748</v>
      </c>
      <c r="F4361" s="140" t="s">
        <v>749</v>
      </c>
      <c r="G4361" s="141" t="s">
        <v>134</v>
      </c>
      <c r="H4361" s="140" t="s">
        <v>6312</v>
      </c>
      <c r="I4361" s="140" t="s">
        <v>6313</v>
      </c>
      <c r="J4361" s="140" t="s">
        <v>6319</v>
      </c>
      <c r="K4361" s="140" t="s">
        <v>1573</v>
      </c>
    </row>
    <row r="4362">
      <c r="A4362" s="140" t="s">
        <v>302</v>
      </c>
      <c r="B4362" s="143">
        <v>1.65282E12</v>
      </c>
      <c r="C4362" s="140" t="s">
        <v>757</v>
      </c>
      <c r="D4362" s="140" t="s">
        <v>6718</v>
      </c>
      <c r="E4362" s="140" t="s">
        <v>748</v>
      </c>
      <c r="F4362" s="140" t="s">
        <v>749</v>
      </c>
      <c r="G4362" s="141" t="s">
        <v>6401</v>
      </c>
      <c r="H4362" s="140" t="s">
        <v>6312</v>
      </c>
      <c r="I4362" s="140" t="s">
        <v>6313</v>
      </c>
      <c r="J4362" s="140" t="s">
        <v>6319</v>
      </c>
      <c r="K4362" s="140" t="s">
        <v>1573</v>
      </c>
    </row>
    <row r="4363">
      <c r="A4363" s="140" t="s">
        <v>302</v>
      </c>
      <c r="B4363" s="143">
        <v>1.65282E12</v>
      </c>
      <c r="C4363" s="140" t="s">
        <v>758</v>
      </c>
      <c r="D4363" s="140" t="s">
        <v>6718</v>
      </c>
      <c r="E4363" s="140" t="s">
        <v>748</v>
      </c>
      <c r="F4363" s="140" t="s">
        <v>749</v>
      </c>
      <c r="G4363" s="141" t="s">
        <v>6401</v>
      </c>
      <c r="H4363" s="140" t="s">
        <v>6312</v>
      </c>
      <c r="I4363" s="140" t="s">
        <v>6313</v>
      </c>
      <c r="J4363" s="140" t="s">
        <v>6319</v>
      </c>
      <c r="K4363" s="140" t="s">
        <v>1573</v>
      </c>
    </row>
    <row r="4364">
      <c r="A4364" s="140" t="s">
        <v>302</v>
      </c>
      <c r="B4364" s="143">
        <v>1.53857E12</v>
      </c>
      <c r="C4364" s="140" t="s">
        <v>11725</v>
      </c>
      <c r="D4364" s="140" t="s">
        <v>6718</v>
      </c>
      <c r="E4364" s="140" t="s">
        <v>748</v>
      </c>
      <c r="F4364" s="140" t="s">
        <v>749</v>
      </c>
      <c r="G4364" s="141" t="s">
        <v>6401</v>
      </c>
      <c r="H4364" s="140" t="s">
        <v>6312</v>
      </c>
      <c r="I4364" s="140" t="s">
        <v>6313</v>
      </c>
      <c r="J4364" s="140" t="s">
        <v>6319</v>
      </c>
      <c r="K4364" s="140" t="s">
        <v>1573</v>
      </c>
    </row>
    <row r="4365">
      <c r="A4365" s="140" t="s">
        <v>302</v>
      </c>
      <c r="B4365" s="143">
        <v>1.53857E12</v>
      </c>
      <c r="C4365" s="140" t="s">
        <v>11726</v>
      </c>
      <c r="D4365" s="140" t="s">
        <v>6718</v>
      </c>
      <c r="E4365" s="140" t="s">
        <v>748</v>
      </c>
      <c r="F4365" s="140" t="s">
        <v>749</v>
      </c>
      <c r="G4365" s="141" t="s">
        <v>6401</v>
      </c>
      <c r="H4365" s="140" t="s">
        <v>6312</v>
      </c>
      <c r="I4365" s="140" t="s">
        <v>6313</v>
      </c>
      <c r="J4365" s="140" t="s">
        <v>6319</v>
      </c>
      <c r="K4365" s="140" t="s">
        <v>1573</v>
      </c>
    </row>
    <row r="4366">
      <c r="A4366" s="140" t="s">
        <v>302</v>
      </c>
      <c r="B4366" s="143">
        <v>1.63909E12</v>
      </c>
      <c r="C4366" s="140" t="s">
        <v>760</v>
      </c>
      <c r="D4366" s="140" t="s">
        <v>6718</v>
      </c>
      <c r="E4366" s="140" t="s">
        <v>748</v>
      </c>
      <c r="F4366" s="140" t="s">
        <v>749</v>
      </c>
      <c r="G4366" s="141" t="s">
        <v>134</v>
      </c>
      <c r="H4366" s="140" t="s">
        <v>6312</v>
      </c>
      <c r="I4366" s="140" t="s">
        <v>6313</v>
      </c>
      <c r="J4366" s="140" t="s">
        <v>6319</v>
      </c>
      <c r="K4366" s="140" t="s">
        <v>1573</v>
      </c>
    </row>
    <row r="4367">
      <c r="A4367" s="140" t="s">
        <v>302</v>
      </c>
      <c r="B4367" s="143">
        <v>6.78983E13</v>
      </c>
      <c r="C4367" s="140" t="s">
        <v>761</v>
      </c>
      <c r="D4367" s="140" t="s">
        <v>6718</v>
      </c>
      <c r="E4367" s="140" t="s">
        <v>748</v>
      </c>
      <c r="F4367" s="140" t="s">
        <v>749</v>
      </c>
      <c r="G4367" s="141" t="s">
        <v>134</v>
      </c>
      <c r="H4367" s="140" t="s">
        <v>6312</v>
      </c>
      <c r="I4367" s="140" t="s">
        <v>6313</v>
      </c>
      <c r="J4367" s="140" t="s">
        <v>6319</v>
      </c>
      <c r="K4367" s="140" t="s">
        <v>1573</v>
      </c>
    </row>
    <row r="4368">
      <c r="A4368" s="140" t="s">
        <v>302</v>
      </c>
      <c r="B4368" s="143">
        <v>6.78983E13</v>
      </c>
      <c r="C4368" s="140" t="s">
        <v>763</v>
      </c>
      <c r="D4368" s="140" t="s">
        <v>6718</v>
      </c>
      <c r="E4368" s="140" t="s">
        <v>748</v>
      </c>
      <c r="F4368" s="140" t="s">
        <v>749</v>
      </c>
      <c r="G4368" s="141" t="s">
        <v>134</v>
      </c>
      <c r="H4368" s="140" t="s">
        <v>6312</v>
      </c>
      <c r="I4368" s="140" t="s">
        <v>6313</v>
      </c>
      <c r="J4368" s="140" t="s">
        <v>6319</v>
      </c>
      <c r="K4368" s="140" t="s">
        <v>1573</v>
      </c>
    </row>
    <row r="4369">
      <c r="A4369" s="140" t="s">
        <v>302</v>
      </c>
      <c r="B4369" s="143">
        <v>1.63909E12</v>
      </c>
      <c r="C4369" s="140" t="s">
        <v>764</v>
      </c>
      <c r="D4369" s="140" t="s">
        <v>6718</v>
      </c>
      <c r="E4369" s="140" t="s">
        <v>748</v>
      </c>
      <c r="F4369" s="140" t="s">
        <v>749</v>
      </c>
      <c r="G4369" s="141" t="s">
        <v>134</v>
      </c>
      <c r="H4369" s="140" t="s">
        <v>6312</v>
      </c>
      <c r="I4369" s="140" t="s">
        <v>6313</v>
      </c>
      <c r="J4369" s="140" t="s">
        <v>6319</v>
      </c>
      <c r="K4369" s="140" t="s">
        <v>1573</v>
      </c>
    </row>
    <row r="4370">
      <c r="A4370" s="140" t="s">
        <v>302</v>
      </c>
      <c r="B4370" s="140" t="s">
        <v>11727</v>
      </c>
      <c r="C4370" s="140" t="s">
        <v>11728</v>
      </c>
      <c r="D4370" s="140" t="s">
        <v>6718</v>
      </c>
      <c r="E4370" s="140" t="s">
        <v>748</v>
      </c>
      <c r="F4370" s="140" t="s">
        <v>748</v>
      </c>
      <c r="G4370" s="141" t="s">
        <v>6304</v>
      </c>
      <c r="H4370" s="140" t="s">
        <v>6312</v>
      </c>
      <c r="I4370" s="140" t="s">
        <v>6527</v>
      </c>
      <c r="J4370" s="140" t="s">
        <v>6319</v>
      </c>
      <c r="K4370" s="140" t="s">
        <v>1573</v>
      </c>
    </row>
    <row r="4371">
      <c r="A4371" s="140" t="s">
        <v>302</v>
      </c>
      <c r="B4371" s="140" t="s">
        <v>11729</v>
      </c>
      <c r="C4371" s="140" t="s">
        <v>11730</v>
      </c>
      <c r="D4371" s="140" t="s">
        <v>6718</v>
      </c>
      <c r="E4371" s="140" t="s">
        <v>748</v>
      </c>
      <c r="F4371" s="140" t="s">
        <v>748</v>
      </c>
      <c r="G4371" s="141" t="s">
        <v>6304</v>
      </c>
      <c r="H4371" s="140" t="s">
        <v>6312</v>
      </c>
      <c r="I4371" s="140" t="s">
        <v>6527</v>
      </c>
      <c r="J4371" s="140" t="s">
        <v>6319</v>
      </c>
      <c r="K4371" s="140" t="s">
        <v>1573</v>
      </c>
    </row>
    <row r="4372">
      <c r="A4372" s="140" t="s">
        <v>302</v>
      </c>
      <c r="B4372" s="140" t="s">
        <v>11731</v>
      </c>
      <c r="C4372" s="140" t="s">
        <v>11732</v>
      </c>
      <c r="D4372" s="140" t="s">
        <v>6718</v>
      </c>
      <c r="E4372" s="140" t="s">
        <v>748</v>
      </c>
      <c r="F4372" s="140" t="s">
        <v>748</v>
      </c>
      <c r="G4372" s="141" t="s">
        <v>6304</v>
      </c>
      <c r="H4372" s="140" t="s">
        <v>6312</v>
      </c>
      <c r="I4372" s="140" t="s">
        <v>6527</v>
      </c>
      <c r="J4372" s="140" t="s">
        <v>6319</v>
      </c>
      <c r="K4372" s="140" t="s">
        <v>1573</v>
      </c>
    </row>
    <row r="4373">
      <c r="A4373" s="140" t="s">
        <v>302</v>
      </c>
      <c r="B4373" s="140" t="s">
        <v>11733</v>
      </c>
      <c r="C4373" s="140" t="s">
        <v>11734</v>
      </c>
      <c r="D4373" s="140" t="s">
        <v>6718</v>
      </c>
      <c r="E4373" s="140" t="s">
        <v>748</v>
      </c>
      <c r="F4373" s="140" t="s">
        <v>748</v>
      </c>
      <c r="G4373" s="141" t="s">
        <v>6304</v>
      </c>
      <c r="H4373" s="140" t="s">
        <v>6312</v>
      </c>
      <c r="I4373" s="140" t="s">
        <v>6527</v>
      </c>
      <c r="J4373" s="140" t="s">
        <v>6319</v>
      </c>
      <c r="K4373" s="140" t="s">
        <v>1573</v>
      </c>
    </row>
    <row r="4374">
      <c r="A4374" s="140" t="s">
        <v>302</v>
      </c>
      <c r="B4374" s="140" t="s">
        <v>11735</v>
      </c>
      <c r="C4374" s="140" t="s">
        <v>11736</v>
      </c>
      <c r="D4374" s="140" t="s">
        <v>6718</v>
      </c>
      <c r="E4374" s="140" t="s">
        <v>748</v>
      </c>
      <c r="F4374" s="140" t="s">
        <v>748</v>
      </c>
      <c r="G4374" s="141" t="s">
        <v>6304</v>
      </c>
      <c r="H4374" s="140" t="s">
        <v>6312</v>
      </c>
      <c r="I4374" s="140" t="s">
        <v>6527</v>
      </c>
      <c r="J4374" s="140" t="s">
        <v>6319</v>
      </c>
      <c r="K4374" s="140" t="s">
        <v>1573</v>
      </c>
    </row>
    <row r="4375">
      <c r="A4375" s="140" t="s">
        <v>302</v>
      </c>
      <c r="B4375" s="140" t="s">
        <v>11737</v>
      </c>
      <c r="C4375" s="140" t="s">
        <v>11738</v>
      </c>
      <c r="D4375" s="140" t="s">
        <v>6718</v>
      </c>
      <c r="E4375" s="140" t="s">
        <v>748</v>
      </c>
      <c r="F4375" s="140" t="s">
        <v>748</v>
      </c>
      <c r="G4375" s="141" t="s">
        <v>6304</v>
      </c>
      <c r="H4375" s="140" t="s">
        <v>6312</v>
      </c>
      <c r="I4375" s="140" t="s">
        <v>6527</v>
      </c>
      <c r="J4375" s="140" t="s">
        <v>6319</v>
      </c>
      <c r="K4375" s="140" t="s">
        <v>1573</v>
      </c>
    </row>
    <row r="4376">
      <c r="A4376" s="140" t="s">
        <v>302</v>
      </c>
      <c r="B4376" s="140" t="s">
        <v>11739</v>
      </c>
      <c r="C4376" s="140" t="s">
        <v>11740</v>
      </c>
      <c r="D4376" s="140" t="s">
        <v>6718</v>
      </c>
      <c r="E4376" s="140" t="s">
        <v>748</v>
      </c>
      <c r="F4376" s="140" t="s">
        <v>748</v>
      </c>
      <c r="G4376" s="141" t="s">
        <v>6304</v>
      </c>
      <c r="H4376" s="140" t="s">
        <v>6312</v>
      </c>
      <c r="I4376" s="140" t="s">
        <v>6527</v>
      </c>
      <c r="J4376" s="140" t="s">
        <v>6319</v>
      </c>
      <c r="K4376" s="140" t="s">
        <v>1573</v>
      </c>
    </row>
    <row r="4377">
      <c r="A4377" s="140" t="s">
        <v>302</v>
      </c>
      <c r="B4377" s="140" t="s">
        <v>11741</v>
      </c>
      <c r="C4377" s="140" t="s">
        <v>11742</v>
      </c>
      <c r="D4377" s="140" t="s">
        <v>6718</v>
      </c>
      <c r="E4377" s="140" t="s">
        <v>748</v>
      </c>
      <c r="F4377" s="140" t="s">
        <v>748</v>
      </c>
      <c r="G4377" s="141" t="s">
        <v>6304</v>
      </c>
      <c r="H4377" s="140" t="s">
        <v>6312</v>
      </c>
      <c r="I4377" s="140" t="s">
        <v>6527</v>
      </c>
      <c r="J4377" s="140" t="s">
        <v>6319</v>
      </c>
      <c r="K4377" s="140" t="s">
        <v>1573</v>
      </c>
    </row>
    <row r="4378">
      <c r="A4378" s="140" t="s">
        <v>302</v>
      </c>
      <c r="B4378" s="140" t="s">
        <v>11743</v>
      </c>
      <c r="C4378" s="140" t="s">
        <v>11744</v>
      </c>
      <c r="D4378" s="140" t="s">
        <v>6718</v>
      </c>
      <c r="E4378" s="140" t="s">
        <v>748</v>
      </c>
      <c r="F4378" s="140" t="s">
        <v>748</v>
      </c>
      <c r="G4378" s="141" t="s">
        <v>6304</v>
      </c>
      <c r="H4378" s="140" t="s">
        <v>6312</v>
      </c>
      <c r="I4378" s="140" t="s">
        <v>6527</v>
      </c>
      <c r="J4378" s="140" t="s">
        <v>6319</v>
      </c>
      <c r="K4378" s="140" t="s">
        <v>1573</v>
      </c>
    </row>
    <row r="4379">
      <c r="A4379" s="140" t="s">
        <v>302</v>
      </c>
      <c r="B4379" s="140" t="s">
        <v>11745</v>
      </c>
      <c r="C4379" s="140" t="s">
        <v>11746</v>
      </c>
      <c r="D4379" s="140" t="s">
        <v>6718</v>
      </c>
      <c r="E4379" s="140" t="s">
        <v>748</v>
      </c>
      <c r="F4379" s="140" t="s">
        <v>748</v>
      </c>
      <c r="G4379" s="141" t="s">
        <v>6304</v>
      </c>
      <c r="H4379" s="140" t="s">
        <v>6312</v>
      </c>
      <c r="I4379" s="140" t="s">
        <v>6527</v>
      </c>
      <c r="J4379" s="140" t="s">
        <v>6319</v>
      </c>
      <c r="K4379" s="140" t="s">
        <v>1573</v>
      </c>
    </row>
    <row r="4380">
      <c r="A4380" s="140" t="s">
        <v>302</v>
      </c>
      <c r="B4380" s="140" t="s">
        <v>11747</v>
      </c>
      <c r="C4380" s="140" t="s">
        <v>11748</v>
      </c>
      <c r="D4380" s="140" t="s">
        <v>6718</v>
      </c>
      <c r="E4380" s="140" t="s">
        <v>748</v>
      </c>
      <c r="F4380" s="140" t="s">
        <v>748</v>
      </c>
      <c r="G4380" s="141" t="s">
        <v>6304</v>
      </c>
      <c r="H4380" s="140" t="s">
        <v>6312</v>
      </c>
      <c r="I4380" s="140" t="s">
        <v>6527</v>
      </c>
      <c r="J4380" s="140" t="s">
        <v>6319</v>
      </c>
      <c r="K4380" s="140" t="s">
        <v>1573</v>
      </c>
    </row>
    <row r="4381">
      <c r="A4381" s="140" t="s">
        <v>302</v>
      </c>
      <c r="B4381" s="140" t="s">
        <v>11749</v>
      </c>
      <c r="C4381" s="140" t="s">
        <v>11750</v>
      </c>
      <c r="D4381" s="140" t="s">
        <v>6718</v>
      </c>
      <c r="E4381" s="140" t="s">
        <v>748</v>
      </c>
      <c r="F4381" s="140" t="s">
        <v>748</v>
      </c>
      <c r="G4381" s="141" t="s">
        <v>6304</v>
      </c>
      <c r="H4381" s="140" t="s">
        <v>6312</v>
      </c>
      <c r="I4381" s="140" t="s">
        <v>6527</v>
      </c>
      <c r="J4381" s="140" t="s">
        <v>6319</v>
      </c>
      <c r="K4381" s="140" t="s">
        <v>1573</v>
      </c>
    </row>
    <row r="4382">
      <c r="A4382" s="140" t="s">
        <v>302</v>
      </c>
      <c r="B4382" s="140" t="s">
        <v>11751</v>
      </c>
      <c r="C4382" s="140" t="s">
        <v>11752</v>
      </c>
      <c r="D4382" s="140" t="s">
        <v>6718</v>
      </c>
      <c r="E4382" s="140" t="s">
        <v>748</v>
      </c>
      <c r="F4382" s="140" t="s">
        <v>748</v>
      </c>
      <c r="G4382" s="141" t="s">
        <v>6304</v>
      </c>
      <c r="H4382" s="140" t="s">
        <v>6312</v>
      </c>
      <c r="I4382" s="140" t="s">
        <v>6527</v>
      </c>
      <c r="J4382" s="140" t="s">
        <v>6319</v>
      </c>
      <c r="K4382" s="140" t="s">
        <v>1573</v>
      </c>
    </row>
    <row r="4383">
      <c r="A4383" s="140" t="s">
        <v>302</v>
      </c>
      <c r="B4383" s="140" t="s">
        <v>2977</v>
      </c>
      <c r="C4383" s="140" t="s">
        <v>11753</v>
      </c>
      <c r="D4383" s="140" t="s">
        <v>6718</v>
      </c>
      <c r="E4383" s="140" t="s">
        <v>748</v>
      </c>
      <c r="F4383" s="140" t="s">
        <v>748</v>
      </c>
      <c r="G4383" s="141" t="s">
        <v>6304</v>
      </c>
      <c r="H4383" s="140" t="s">
        <v>6312</v>
      </c>
      <c r="I4383" s="140" t="s">
        <v>6527</v>
      </c>
      <c r="J4383" s="140" t="s">
        <v>6319</v>
      </c>
      <c r="K4383" s="140" t="s">
        <v>1573</v>
      </c>
    </row>
    <row r="4384">
      <c r="A4384" s="140" t="s">
        <v>302</v>
      </c>
      <c r="B4384" s="140" t="s">
        <v>11754</v>
      </c>
      <c r="C4384" s="140" t="s">
        <v>11755</v>
      </c>
      <c r="D4384" s="140" t="s">
        <v>6718</v>
      </c>
      <c r="E4384" s="140" t="s">
        <v>748</v>
      </c>
      <c r="F4384" s="140" t="s">
        <v>748</v>
      </c>
      <c r="G4384" s="141" t="s">
        <v>6304</v>
      </c>
      <c r="H4384" s="140" t="s">
        <v>6312</v>
      </c>
      <c r="I4384" s="140" t="s">
        <v>6527</v>
      </c>
      <c r="J4384" s="140" t="s">
        <v>6319</v>
      </c>
      <c r="K4384" s="140" t="s">
        <v>1573</v>
      </c>
    </row>
    <row r="4385">
      <c r="A4385" s="140" t="s">
        <v>302</v>
      </c>
      <c r="B4385" s="140" t="s">
        <v>11756</v>
      </c>
      <c r="C4385" s="140" t="s">
        <v>11757</v>
      </c>
      <c r="D4385" s="140" t="s">
        <v>6718</v>
      </c>
      <c r="E4385" s="140" t="s">
        <v>748</v>
      </c>
      <c r="F4385" s="140" t="s">
        <v>748</v>
      </c>
      <c r="G4385" s="141" t="s">
        <v>6304</v>
      </c>
      <c r="H4385" s="140" t="s">
        <v>6312</v>
      </c>
      <c r="I4385" s="140" t="s">
        <v>6527</v>
      </c>
      <c r="J4385" s="140" t="s">
        <v>6319</v>
      </c>
      <c r="K4385" s="140" t="s">
        <v>1573</v>
      </c>
    </row>
    <row r="4386">
      <c r="A4386" s="140" t="s">
        <v>302</v>
      </c>
      <c r="B4386" s="140" t="s">
        <v>11758</v>
      </c>
      <c r="C4386" s="140" t="s">
        <v>11759</v>
      </c>
      <c r="D4386" s="140" t="s">
        <v>6718</v>
      </c>
      <c r="E4386" s="140" t="s">
        <v>748</v>
      </c>
      <c r="F4386" s="140" t="s">
        <v>748</v>
      </c>
      <c r="G4386" s="141" t="s">
        <v>6304</v>
      </c>
      <c r="H4386" s="140" t="s">
        <v>6312</v>
      </c>
      <c r="I4386" s="140" t="s">
        <v>6527</v>
      </c>
      <c r="J4386" s="140" t="s">
        <v>6319</v>
      </c>
      <c r="K4386" s="140" t="s">
        <v>1573</v>
      </c>
    </row>
    <row r="4387">
      <c r="A4387" s="140" t="s">
        <v>302</v>
      </c>
      <c r="B4387" s="140" t="s">
        <v>11760</v>
      </c>
      <c r="C4387" s="140" t="s">
        <v>11761</v>
      </c>
      <c r="D4387" s="140" t="s">
        <v>6718</v>
      </c>
      <c r="E4387" s="140" t="s">
        <v>748</v>
      </c>
      <c r="F4387" s="140" t="s">
        <v>748</v>
      </c>
      <c r="G4387" s="141" t="s">
        <v>6304</v>
      </c>
      <c r="H4387" s="140" t="s">
        <v>6312</v>
      </c>
      <c r="I4387" s="140" t="s">
        <v>6527</v>
      </c>
      <c r="J4387" s="140" t="s">
        <v>6319</v>
      </c>
      <c r="K4387" s="140" t="s">
        <v>1573</v>
      </c>
    </row>
    <row r="4388">
      <c r="A4388" s="140" t="s">
        <v>302</v>
      </c>
      <c r="B4388" s="140" t="s">
        <v>11762</v>
      </c>
      <c r="C4388" s="140" t="s">
        <v>11763</v>
      </c>
      <c r="D4388" s="140" t="s">
        <v>6718</v>
      </c>
      <c r="E4388" s="140" t="s">
        <v>748</v>
      </c>
      <c r="F4388" s="140" t="s">
        <v>748</v>
      </c>
      <c r="G4388" s="141" t="s">
        <v>6304</v>
      </c>
      <c r="H4388" s="140" t="s">
        <v>6312</v>
      </c>
      <c r="I4388" s="140" t="s">
        <v>6527</v>
      </c>
      <c r="J4388" s="140" t="s">
        <v>6319</v>
      </c>
      <c r="K4388" s="140" t="s">
        <v>1573</v>
      </c>
    </row>
    <row r="4389">
      <c r="A4389" s="140" t="s">
        <v>302</v>
      </c>
      <c r="B4389" s="143">
        <v>1.65282E12</v>
      </c>
      <c r="C4389" s="140" t="s">
        <v>11764</v>
      </c>
      <c r="D4389" s="140" t="s">
        <v>6718</v>
      </c>
      <c r="E4389" s="140" t="s">
        <v>748</v>
      </c>
      <c r="F4389" s="140" t="s">
        <v>748</v>
      </c>
      <c r="G4389" s="141" t="s">
        <v>134</v>
      </c>
      <c r="H4389" s="140" t="s">
        <v>6312</v>
      </c>
      <c r="I4389" s="140" t="s">
        <v>6313</v>
      </c>
      <c r="J4389" s="140" t="s">
        <v>6319</v>
      </c>
      <c r="K4389" s="140" t="s">
        <v>1573</v>
      </c>
    </row>
    <row r="4390">
      <c r="A4390" s="140" t="s">
        <v>302</v>
      </c>
      <c r="B4390" s="143">
        <v>1.65282E12</v>
      </c>
      <c r="C4390" s="140" t="s">
        <v>11765</v>
      </c>
      <c r="D4390" s="140" t="s">
        <v>6718</v>
      </c>
      <c r="E4390" s="140" t="s">
        <v>748</v>
      </c>
      <c r="F4390" s="140" t="s">
        <v>748</v>
      </c>
      <c r="G4390" s="141" t="s">
        <v>134</v>
      </c>
      <c r="H4390" s="140" t="s">
        <v>6312</v>
      </c>
      <c r="I4390" s="140" t="s">
        <v>6313</v>
      </c>
      <c r="J4390" s="140" t="s">
        <v>6319</v>
      </c>
      <c r="K4390" s="140" t="s">
        <v>1573</v>
      </c>
    </row>
    <row r="4391">
      <c r="A4391" s="140" t="s">
        <v>302</v>
      </c>
      <c r="B4391" s="143">
        <v>1.65282E12</v>
      </c>
      <c r="C4391" s="140" t="s">
        <v>11766</v>
      </c>
      <c r="D4391" s="140" t="s">
        <v>6718</v>
      </c>
      <c r="E4391" s="140" t="s">
        <v>748</v>
      </c>
      <c r="F4391" s="140" t="s">
        <v>748</v>
      </c>
      <c r="G4391" s="141" t="s">
        <v>134</v>
      </c>
      <c r="H4391" s="140" t="s">
        <v>6312</v>
      </c>
      <c r="I4391" s="140" t="s">
        <v>6313</v>
      </c>
      <c r="J4391" s="140" t="s">
        <v>6319</v>
      </c>
      <c r="K4391" s="140" t="s">
        <v>1573</v>
      </c>
    </row>
    <row r="4392">
      <c r="A4392" s="140" t="s">
        <v>302</v>
      </c>
      <c r="B4392" s="140" t="s">
        <v>775</v>
      </c>
      <c r="C4392" s="140" t="s">
        <v>11767</v>
      </c>
      <c r="D4392" s="140" t="s">
        <v>6718</v>
      </c>
      <c r="E4392" s="140" t="s">
        <v>748</v>
      </c>
      <c r="F4392" s="140" t="s">
        <v>748</v>
      </c>
      <c r="G4392" s="141" t="s">
        <v>134</v>
      </c>
      <c r="H4392" s="140" t="s">
        <v>6330</v>
      </c>
      <c r="I4392" s="140" t="s">
        <v>6313</v>
      </c>
      <c r="J4392" s="140" t="s">
        <v>6319</v>
      </c>
      <c r="K4392" s="140" t="s">
        <v>1573</v>
      </c>
    </row>
    <row r="4393">
      <c r="A4393" s="140" t="s">
        <v>302</v>
      </c>
      <c r="B4393" s="140" t="s">
        <v>795</v>
      </c>
      <c r="C4393" s="140" t="s">
        <v>11768</v>
      </c>
      <c r="D4393" s="140" t="s">
        <v>6718</v>
      </c>
      <c r="E4393" s="140" t="s">
        <v>748</v>
      </c>
      <c r="F4393" s="140" t="s">
        <v>748</v>
      </c>
      <c r="G4393" s="141" t="s">
        <v>6668</v>
      </c>
      <c r="H4393" s="140" t="s">
        <v>6330</v>
      </c>
      <c r="I4393" s="140" t="s">
        <v>6313</v>
      </c>
      <c r="J4393" s="140" t="s">
        <v>6319</v>
      </c>
      <c r="K4393" s="140" t="s">
        <v>1573</v>
      </c>
    </row>
    <row r="4394">
      <c r="A4394" s="140" t="s">
        <v>302</v>
      </c>
      <c r="B4394" s="140" t="s">
        <v>793</v>
      </c>
      <c r="C4394" s="140" t="s">
        <v>11769</v>
      </c>
      <c r="D4394" s="140" t="s">
        <v>6718</v>
      </c>
      <c r="E4394" s="140" t="s">
        <v>748</v>
      </c>
      <c r="F4394" s="140" t="s">
        <v>748</v>
      </c>
      <c r="G4394" s="141" t="s">
        <v>6668</v>
      </c>
      <c r="H4394" s="140" t="s">
        <v>6330</v>
      </c>
      <c r="I4394" s="140" t="s">
        <v>6313</v>
      </c>
      <c r="J4394" s="140" t="s">
        <v>6319</v>
      </c>
      <c r="K4394" s="140" t="s">
        <v>1573</v>
      </c>
    </row>
    <row r="4395">
      <c r="A4395" s="140" t="s">
        <v>302</v>
      </c>
      <c r="B4395" s="143">
        <v>1.63909E12</v>
      </c>
      <c r="C4395" s="140" t="s">
        <v>11770</v>
      </c>
      <c r="D4395" s="140" t="s">
        <v>6718</v>
      </c>
      <c r="E4395" s="140" t="s">
        <v>748</v>
      </c>
      <c r="F4395" s="140" t="s">
        <v>748</v>
      </c>
      <c r="G4395" s="141" t="s">
        <v>134</v>
      </c>
      <c r="H4395" s="140" t="s">
        <v>6312</v>
      </c>
      <c r="I4395" s="140" t="s">
        <v>6313</v>
      </c>
      <c r="J4395" s="140" t="s">
        <v>6319</v>
      </c>
      <c r="K4395" s="140" t="s">
        <v>1573</v>
      </c>
    </row>
    <row r="4396">
      <c r="A4396" s="140" t="s">
        <v>302</v>
      </c>
      <c r="B4396" s="143">
        <v>1.63909E12</v>
      </c>
      <c r="C4396" s="140" t="s">
        <v>11771</v>
      </c>
      <c r="D4396" s="140" t="s">
        <v>6718</v>
      </c>
      <c r="E4396" s="140" t="s">
        <v>748</v>
      </c>
      <c r="F4396" s="140" t="s">
        <v>748</v>
      </c>
      <c r="G4396" s="141" t="s">
        <v>134</v>
      </c>
      <c r="H4396" s="140" t="s">
        <v>6312</v>
      </c>
      <c r="I4396" s="140" t="s">
        <v>6313</v>
      </c>
      <c r="J4396" s="140" t="s">
        <v>6319</v>
      </c>
      <c r="K4396" s="140" t="s">
        <v>1573</v>
      </c>
    </row>
    <row r="4397">
      <c r="A4397" s="140" t="s">
        <v>302</v>
      </c>
      <c r="B4397" s="143">
        <v>1.63909E12</v>
      </c>
      <c r="C4397" s="140" t="s">
        <v>11772</v>
      </c>
      <c r="D4397" s="140" t="s">
        <v>6718</v>
      </c>
      <c r="E4397" s="140" t="s">
        <v>748</v>
      </c>
      <c r="F4397" s="140" t="s">
        <v>748</v>
      </c>
      <c r="G4397" s="141" t="s">
        <v>134</v>
      </c>
      <c r="H4397" s="140" t="s">
        <v>6312</v>
      </c>
      <c r="I4397" s="140" t="s">
        <v>6313</v>
      </c>
      <c r="J4397" s="140" t="s">
        <v>6319</v>
      </c>
      <c r="K4397" s="140" t="s">
        <v>1573</v>
      </c>
    </row>
    <row r="4398">
      <c r="A4398" s="140" t="s">
        <v>302</v>
      </c>
      <c r="B4398" s="143">
        <v>1.63909E12</v>
      </c>
      <c r="C4398" s="140" t="s">
        <v>11773</v>
      </c>
      <c r="D4398" s="140" t="s">
        <v>6718</v>
      </c>
      <c r="E4398" s="140" t="s">
        <v>748</v>
      </c>
      <c r="F4398" s="140" t="s">
        <v>748</v>
      </c>
      <c r="G4398" s="141" t="s">
        <v>134</v>
      </c>
      <c r="H4398" s="140" t="s">
        <v>6312</v>
      </c>
      <c r="I4398" s="140" t="s">
        <v>6313</v>
      </c>
      <c r="J4398" s="140" t="s">
        <v>6319</v>
      </c>
      <c r="K4398" s="140" t="s">
        <v>1573</v>
      </c>
    </row>
    <row r="4399">
      <c r="A4399" s="140" t="s">
        <v>302</v>
      </c>
      <c r="B4399" s="140" t="s">
        <v>784</v>
      </c>
      <c r="C4399" s="140" t="s">
        <v>11774</v>
      </c>
      <c r="D4399" s="140" t="s">
        <v>6718</v>
      </c>
      <c r="E4399" s="140" t="s">
        <v>748</v>
      </c>
      <c r="F4399" s="140" t="s">
        <v>748</v>
      </c>
      <c r="G4399" s="141" t="s">
        <v>134</v>
      </c>
      <c r="H4399" s="140" t="s">
        <v>6330</v>
      </c>
      <c r="I4399" s="140" t="s">
        <v>6313</v>
      </c>
      <c r="J4399" s="140" t="s">
        <v>6319</v>
      </c>
      <c r="K4399" s="140" t="s">
        <v>1573</v>
      </c>
    </row>
    <row r="4400">
      <c r="A4400" s="140" t="s">
        <v>302</v>
      </c>
      <c r="B4400" s="140" t="s">
        <v>788</v>
      </c>
      <c r="C4400" s="140" t="s">
        <v>11775</v>
      </c>
      <c r="D4400" s="140" t="s">
        <v>6718</v>
      </c>
      <c r="E4400" s="140" t="s">
        <v>748</v>
      </c>
      <c r="F4400" s="140" t="s">
        <v>748</v>
      </c>
      <c r="G4400" s="141" t="s">
        <v>134</v>
      </c>
      <c r="H4400" s="140" t="s">
        <v>6330</v>
      </c>
      <c r="I4400" s="140" t="s">
        <v>6313</v>
      </c>
      <c r="J4400" s="140" t="s">
        <v>6319</v>
      </c>
      <c r="K4400" s="140" t="s">
        <v>1573</v>
      </c>
    </row>
    <row r="4401">
      <c r="A4401" s="140" t="s">
        <v>302</v>
      </c>
      <c r="B4401" s="140" t="s">
        <v>11776</v>
      </c>
      <c r="C4401" s="140" t="s">
        <v>11777</v>
      </c>
      <c r="D4401" s="140" t="s">
        <v>6718</v>
      </c>
      <c r="E4401" s="140" t="s">
        <v>748</v>
      </c>
      <c r="F4401" s="140" t="s">
        <v>748</v>
      </c>
      <c r="G4401" s="141" t="s">
        <v>6304</v>
      </c>
      <c r="H4401" s="140" t="s">
        <v>6312</v>
      </c>
      <c r="I4401" s="140" t="s">
        <v>6527</v>
      </c>
      <c r="J4401" s="140" t="s">
        <v>6319</v>
      </c>
      <c r="K4401" s="140" t="s">
        <v>1573</v>
      </c>
    </row>
    <row r="4402">
      <c r="A4402" s="140" t="s">
        <v>302</v>
      </c>
      <c r="B4402" s="140" t="s">
        <v>11778</v>
      </c>
      <c r="C4402" s="140" t="s">
        <v>11779</v>
      </c>
      <c r="D4402" s="140" t="s">
        <v>6718</v>
      </c>
      <c r="E4402" s="140" t="s">
        <v>748</v>
      </c>
      <c r="F4402" s="140" t="s">
        <v>748</v>
      </c>
      <c r="G4402" s="141" t="s">
        <v>6304</v>
      </c>
      <c r="H4402" s="140" t="s">
        <v>6312</v>
      </c>
      <c r="I4402" s="140" t="s">
        <v>6527</v>
      </c>
      <c r="J4402" s="140" t="s">
        <v>6319</v>
      </c>
      <c r="K4402" s="140" t="s">
        <v>1573</v>
      </c>
    </row>
    <row r="4403">
      <c r="A4403" s="140" t="s">
        <v>302</v>
      </c>
      <c r="B4403" s="140" t="s">
        <v>767</v>
      </c>
      <c r="C4403" s="140" t="s">
        <v>766</v>
      </c>
      <c r="D4403" s="140" t="s">
        <v>6718</v>
      </c>
      <c r="E4403" s="140" t="s">
        <v>748</v>
      </c>
      <c r="F4403" s="140" t="s">
        <v>748</v>
      </c>
      <c r="G4403" s="141" t="s">
        <v>6664</v>
      </c>
      <c r="H4403" s="140" t="s">
        <v>6312</v>
      </c>
      <c r="I4403" s="140" t="s">
        <v>6313</v>
      </c>
      <c r="J4403" s="140" t="s">
        <v>6319</v>
      </c>
      <c r="K4403" s="140" t="s">
        <v>1573</v>
      </c>
    </row>
    <row r="4404">
      <c r="A4404" s="140" t="s">
        <v>302</v>
      </c>
      <c r="B4404" s="140" t="s">
        <v>769</v>
      </c>
      <c r="C4404" s="140" t="s">
        <v>768</v>
      </c>
      <c r="D4404" s="140" t="s">
        <v>6718</v>
      </c>
      <c r="E4404" s="140" t="s">
        <v>748</v>
      </c>
      <c r="F4404" s="140" t="s">
        <v>748</v>
      </c>
      <c r="G4404" s="141" t="s">
        <v>6401</v>
      </c>
      <c r="H4404" s="140" t="s">
        <v>6312</v>
      </c>
      <c r="I4404" s="140" t="s">
        <v>6313</v>
      </c>
      <c r="J4404" s="140" t="s">
        <v>6319</v>
      </c>
      <c r="K4404" s="140" t="s">
        <v>1573</v>
      </c>
    </row>
    <row r="4405">
      <c r="A4405" s="140" t="s">
        <v>302</v>
      </c>
      <c r="B4405" s="140" t="s">
        <v>771</v>
      </c>
      <c r="C4405" s="140" t="s">
        <v>770</v>
      </c>
      <c r="D4405" s="140" t="s">
        <v>6718</v>
      </c>
      <c r="E4405" s="140" t="s">
        <v>748</v>
      </c>
      <c r="F4405" s="140" t="s">
        <v>748</v>
      </c>
      <c r="G4405" s="141" t="s">
        <v>6664</v>
      </c>
      <c r="H4405" s="140" t="s">
        <v>6312</v>
      </c>
      <c r="I4405" s="140" t="s">
        <v>6313</v>
      </c>
      <c r="J4405" s="140" t="s">
        <v>6319</v>
      </c>
      <c r="K4405" s="140" t="s">
        <v>1573</v>
      </c>
    </row>
    <row r="4406">
      <c r="A4406" s="140" t="s">
        <v>302</v>
      </c>
      <c r="B4406" s="140" t="s">
        <v>11780</v>
      </c>
      <c r="C4406" s="140" t="s">
        <v>11781</v>
      </c>
      <c r="D4406" s="140" t="s">
        <v>6718</v>
      </c>
      <c r="E4406" s="140" t="s">
        <v>748</v>
      </c>
      <c r="F4406" s="140" t="s">
        <v>748</v>
      </c>
      <c r="G4406" s="141" t="s">
        <v>6304</v>
      </c>
      <c r="H4406" s="140" t="s">
        <v>6312</v>
      </c>
      <c r="I4406" s="140" t="s">
        <v>6527</v>
      </c>
      <c r="J4406" s="140" t="s">
        <v>6319</v>
      </c>
      <c r="K4406" s="140" t="s">
        <v>1573</v>
      </c>
    </row>
    <row r="4407">
      <c r="A4407" s="140" t="s">
        <v>302</v>
      </c>
      <c r="B4407" s="143">
        <v>1.61645E12</v>
      </c>
      <c r="C4407" s="140" t="s">
        <v>11782</v>
      </c>
      <c r="D4407" s="140" t="s">
        <v>6718</v>
      </c>
      <c r="E4407" s="140" t="s">
        <v>748</v>
      </c>
      <c r="F4407" s="140" t="s">
        <v>748</v>
      </c>
      <c r="G4407" s="141" t="s">
        <v>6401</v>
      </c>
      <c r="H4407" s="140" t="s">
        <v>6312</v>
      </c>
      <c r="I4407" s="140" t="s">
        <v>6313</v>
      </c>
      <c r="J4407" s="140" t="s">
        <v>6319</v>
      </c>
      <c r="K4407" s="140" t="s">
        <v>1573</v>
      </c>
    </row>
    <row r="4408">
      <c r="A4408" s="140" t="s">
        <v>302</v>
      </c>
      <c r="B4408" s="143">
        <v>1.61601E12</v>
      </c>
      <c r="C4408" s="140" t="s">
        <v>11783</v>
      </c>
      <c r="D4408" s="140" t="s">
        <v>6718</v>
      </c>
      <c r="E4408" s="140" t="s">
        <v>748</v>
      </c>
      <c r="F4408" s="140" t="s">
        <v>748</v>
      </c>
      <c r="G4408" s="141" t="s">
        <v>6668</v>
      </c>
      <c r="H4408" s="140" t="s">
        <v>6312</v>
      </c>
      <c r="I4408" s="140" t="s">
        <v>6313</v>
      </c>
      <c r="J4408" s="140" t="s">
        <v>6319</v>
      </c>
      <c r="K4408" s="140" t="s">
        <v>1573</v>
      </c>
    </row>
    <row r="4409">
      <c r="A4409" s="140" t="s">
        <v>302</v>
      </c>
      <c r="B4409" s="140" t="s">
        <v>773</v>
      </c>
      <c r="C4409" s="140" t="s">
        <v>772</v>
      </c>
      <c r="D4409" s="140" t="s">
        <v>6718</v>
      </c>
      <c r="E4409" s="140" t="s">
        <v>748</v>
      </c>
      <c r="F4409" s="140" t="s">
        <v>748</v>
      </c>
      <c r="G4409" s="141" t="s">
        <v>134</v>
      </c>
      <c r="H4409" s="140" t="s">
        <v>6330</v>
      </c>
      <c r="I4409" s="140" t="s">
        <v>6313</v>
      </c>
      <c r="J4409" s="140" t="s">
        <v>6319</v>
      </c>
      <c r="K4409" s="140" t="s">
        <v>1573</v>
      </c>
    </row>
    <row r="4410">
      <c r="A4410" s="140" t="s">
        <v>302</v>
      </c>
      <c r="B4410" s="143">
        <v>1.63909E12</v>
      </c>
      <c r="C4410" s="140" t="s">
        <v>776</v>
      </c>
      <c r="D4410" s="140" t="s">
        <v>6718</v>
      </c>
      <c r="E4410" s="140" t="s">
        <v>748</v>
      </c>
      <c r="F4410" s="140" t="s">
        <v>748</v>
      </c>
      <c r="G4410" s="141" t="s">
        <v>6664</v>
      </c>
      <c r="H4410" s="140" t="s">
        <v>6312</v>
      </c>
      <c r="I4410" s="140" t="s">
        <v>6313</v>
      </c>
      <c r="J4410" s="140" t="s">
        <v>6319</v>
      </c>
      <c r="K4410" s="140" t="s">
        <v>1573</v>
      </c>
    </row>
    <row r="4411">
      <c r="A4411" s="140" t="s">
        <v>302</v>
      </c>
      <c r="B4411" s="143">
        <v>1.63909E12</v>
      </c>
      <c r="C4411" s="140" t="s">
        <v>777</v>
      </c>
      <c r="D4411" s="140" t="s">
        <v>6718</v>
      </c>
      <c r="E4411" s="140" t="s">
        <v>748</v>
      </c>
      <c r="F4411" s="140" t="s">
        <v>748</v>
      </c>
      <c r="G4411" s="141" t="s">
        <v>134</v>
      </c>
      <c r="H4411" s="140" t="s">
        <v>6312</v>
      </c>
      <c r="I4411" s="140" t="s">
        <v>6313</v>
      </c>
      <c r="J4411" s="140" t="s">
        <v>6319</v>
      </c>
      <c r="K4411" s="140" t="s">
        <v>1573</v>
      </c>
    </row>
    <row r="4412">
      <c r="A4412" s="140" t="s">
        <v>302</v>
      </c>
      <c r="B4412" s="140" t="s">
        <v>11784</v>
      </c>
      <c r="C4412" s="140" t="s">
        <v>11785</v>
      </c>
      <c r="D4412" s="140" t="s">
        <v>6718</v>
      </c>
      <c r="E4412" s="140" t="s">
        <v>748</v>
      </c>
      <c r="F4412" s="140" t="s">
        <v>748</v>
      </c>
      <c r="G4412" s="141" t="s">
        <v>6304</v>
      </c>
      <c r="H4412" s="140" t="s">
        <v>6312</v>
      </c>
      <c r="I4412" s="140" t="s">
        <v>6527</v>
      </c>
      <c r="J4412" s="140" t="s">
        <v>6319</v>
      </c>
      <c r="K4412" s="140" t="s">
        <v>1573</v>
      </c>
    </row>
    <row r="4413">
      <c r="A4413" s="140" t="s">
        <v>302</v>
      </c>
      <c r="B4413" s="143">
        <v>1.65282E12</v>
      </c>
      <c r="C4413" s="140" t="s">
        <v>11786</v>
      </c>
      <c r="D4413" s="140" t="s">
        <v>6718</v>
      </c>
      <c r="E4413" s="140" t="s">
        <v>748</v>
      </c>
      <c r="F4413" s="140" t="s">
        <v>748</v>
      </c>
      <c r="G4413" s="141" t="s">
        <v>134</v>
      </c>
      <c r="H4413" s="140" t="s">
        <v>6312</v>
      </c>
      <c r="I4413" s="140" t="s">
        <v>6313</v>
      </c>
      <c r="J4413" s="140" t="s">
        <v>6319</v>
      </c>
      <c r="K4413" s="140" t="s">
        <v>1573</v>
      </c>
    </row>
    <row r="4414">
      <c r="A4414" s="140" t="s">
        <v>302</v>
      </c>
      <c r="B4414" s="143">
        <v>1.63909E12</v>
      </c>
      <c r="C4414" s="140" t="s">
        <v>778</v>
      </c>
      <c r="D4414" s="140" t="s">
        <v>6718</v>
      </c>
      <c r="E4414" s="140" t="s">
        <v>748</v>
      </c>
      <c r="F4414" s="140" t="s">
        <v>748</v>
      </c>
      <c r="G4414" s="141" t="s">
        <v>134</v>
      </c>
      <c r="H4414" s="140" t="s">
        <v>6312</v>
      </c>
      <c r="I4414" s="140" t="s">
        <v>6313</v>
      </c>
      <c r="J4414" s="140" t="s">
        <v>6319</v>
      </c>
      <c r="K4414" s="140" t="s">
        <v>1573</v>
      </c>
    </row>
    <row r="4415">
      <c r="A4415" s="140" t="s">
        <v>302</v>
      </c>
      <c r="B4415" s="140" t="s">
        <v>786</v>
      </c>
      <c r="C4415" s="140" t="s">
        <v>785</v>
      </c>
      <c r="D4415" s="140" t="s">
        <v>6718</v>
      </c>
      <c r="E4415" s="140" t="s">
        <v>748</v>
      </c>
      <c r="F4415" s="140" t="s">
        <v>748</v>
      </c>
      <c r="G4415" s="141" t="s">
        <v>134</v>
      </c>
      <c r="H4415" s="140" t="s">
        <v>6312</v>
      </c>
      <c r="I4415" s="140" t="s">
        <v>6313</v>
      </c>
      <c r="J4415" s="140" t="s">
        <v>6319</v>
      </c>
      <c r="K4415" s="140" t="s">
        <v>1573</v>
      </c>
    </row>
    <row r="4416">
      <c r="A4416" s="140" t="s">
        <v>302</v>
      </c>
      <c r="B4416" s="143">
        <v>1.63909E12</v>
      </c>
      <c r="C4416" s="140" t="s">
        <v>11787</v>
      </c>
      <c r="D4416" s="140" t="s">
        <v>6718</v>
      </c>
      <c r="E4416" s="140" t="s">
        <v>748</v>
      </c>
      <c r="F4416" s="140" t="s">
        <v>748</v>
      </c>
      <c r="G4416" s="141" t="s">
        <v>6401</v>
      </c>
      <c r="H4416" s="140" t="s">
        <v>6312</v>
      </c>
      <c r="I4416" s="140" t="s">
        <v>6313</v>
      </c>
      <c r="J4416" s="140" t="s">
        <v>6319</v>
      </c>
      <c r="K4416" s="140" t="s">
        <v>1573</v>
      </c>
    </row>
    <row r="4417">
      <c r="A4417" s="140" t="s">
        <v>302</v>
      </c>
      <c r="B4417" s="140" t="s">
        <v>11788</v>
      </c>
      <c r="C4417" s="140" t="s">
        <v>11789</v>
      </c>
      <c r="D4417" s="140" t="s">
        <v>6718</v>
      </c>
      <c r="E4417" s="140" t="s">
        <v>748</v>
      </c>
      <c r="F4417" s="140" t="s">
        <v>748</v>
      </c>
      <c r="G4417" s="141" t="s">
        <v>6304</v>
      </c>
      <c r="H4417" s="140" t="s">
        <v>6312</v>
      </c>
      <c r="I4417" s="140" t="s">
        <v>6527</v>
      </c>
      <c r="J4417" s="140" t="s">
        <v>6319</v>
      </c>
      <c r="K4417" s="140" t="s">
        <v>1573</v>
      </c>
    </row>
    <row r="4418">
      <c r="A4418" s="140" t="s">
        <v>302</v>
      </c>
      <c r="B4418" s="140" t="s">
        <v>11790</v>
      </c>
      <c r="C4418" s="140" t="s">
        <v>11791</v>
      </c>
      <c r="D4418" s="140" t="s">
        <v>6718</v>
      </c>
      <c r="E4418" s="140" t="s">
        <v>748</v>
      </c>
      <c r="F4418" s="140" t="s">
        <v>748</v>
      </c>
      <c r="G4418" s="141" t="s">
        <v>6304</v>
      </c>
      <c r="H4418" s="140" t="s">
        <v>6312</v>
      </c>
      <c r="I4418" s="140" t="s">
        <v>6527</v>
      </c>
      <c r="J4418" s="140" t="s">
        <v>6319</v>
      </c>
      <c r="K4418" s="140" t="s">
        <v>1573</v>
      </c>
    </row>
    <row r="4419">
      <c r="A4419" s="140" t="s">
        <v>302</v>
      </c>
      <c r="B4419" s="140" t="s">
        <v>11792</v>
      </c>
      <c r="C4419" s="140" t="s">
        <v>11793</v>
      </c>
      <c r="D4419" s="140" t="s">
        <v>6718</v>
      </c>
      <c r="E4419" s="140" t="s">
        <v>748</v>
      </c>
      <c r="F4419" s="140" t="s">
        <v>748</v>
      </c>
      <c r="G4419" s="141" t="s">
        <v>6304</v>
      </c>
      <c r="H4419" s="140" t="s">
        <v>6312</v>
      </c>
      <c r="I4419" s="140" t="s">
        <v>6527</v>
      </c>
      <c r="J4419" s="140" t="s">
        <v>6319</v>
      </c>
      <c r="K4419" s="140" t="s">
        <v>1573</v>
      </c>
    </row>
    <row r="4420">
      <c r="A4420" s="140" t="s">
        <v>302</v>
      </c>
      <c r="B4420" s="140" t="s">
        <v>11794</v>
      </c>
      <c r="C4420" s="140" t="s">
        <v>11795</v>
      </c>
      <c r="D4420" s="140" t="s">
        <v>6718</v>
      </c>
      <c r="E4420" s="140" t="s">
        <v>748</v>
      </c>
      <c r="F4420" s="140" t="s">
        <v>748</v>
      </c>
      <c r="G4420" s="141" t="s">
        <v>6304</v>
      </c>
      <c r="H4420" s="140" t="s">
        <v>6312</v>
      </c>
      <c r="I4420" s="140" t="s">
        <v>6527</v>
      </c>
      <c r="J4420" s="140" t="s">
        <v>6319</v>
      </c>
      <c r="K4420" s="140" t="s">
        <v>1573</v>
      </c>
    </row>
    <row r="4421">
      <c r="A4421" s="140" t="s">
        <v>302</v>
      </c>
      <c r="B4421" s="140" t="s">
        <v>11796</v>
      </c>
      <c r="C4421" s="140" t="s">
        <v>11797</v>
      </c>
      <c r="D4421" s="140" t="s">
        <v>6718</v>
      </c>
      <c r="E4421" s="140" t="s">
        <v>748</v>
      </c>
      <c r="F4421" s="140" t="s">
        <v>748</v>
      </c>
      <c r="G4421" s="141" t="s">
        <v>6304</v>
      </c>
      <c r="H4421" s="140" t="s">
        <v>6312</v>
      </c>
      <c r="I4421" s="140" t="s">
        <v>6527</v>
      </c>
      <c r="J4421" s="140" t="s">
        <v>6319</v>
      </c>
      <c r="K4421" s="140" t="s">
        <v>1573</v>
      </c>
    </row>
    <row r="4422">
      <c r="A4422" s="140" t="s">
        <v>302</v>
      </c>
      <c r="B4422" s="140" t="s">
        <v>11798</v>
      </c>
      <c r="C4422" s="140" t="s">
        <v>11799</v>
      </c>
      <c r="D4422" s="140" t="s">
        <v>6718</v>
      </c>
      <c r="E4422" s="140" t="s">
        <v>748</v>
      </c>
      <c r="F4422" s="140" t="s">
        <v>748</v>
      </c>
      <c r="G4422" s="141" t="s">
        <v>6304</v>
      </c>
      <c r="H4422" s="140" t="s">
        <v>6312</v>
      </c>
      <c r="I4422" s="140" t="s">
        <v>6527</v>
      </c>
      <c r="J4422" s="140" t="s">
        <v>6319</v>
      </c>
      <c r="K4422" s="140" t="s">
        <v>1573</v>
      </c>
    </row>
    <row r="4423">
      <c r="A4423" s="140" t="s">
        <v>302</v>
      </c>
      <c r="B4423" s="140" t="s">
        <v>11800</v>
      </c>
      <c r="C4423" s="140" t="s">
        <v>11801</v>
      </c>
      <c r="D4423" s="140" t="s">
        <v>6718</v>
      </c>
      <c r="E4423" s="140" t="s">
        <v>748</v>
      </c>
      <c r="F4423" s="140" t="s">
        <v>748</v>
      </c>
      <c r="G4423" s="141" t="s">
        <v>6304</v>
      </c>
      <c r="H4423" s="140" t="s">
        <v>6312</v>
      </c>
      <c r="I4423" s="140" t="s">
        <v>6527</v>
      </c>
      <c r="J4423" s="140" t="s">
        <v>6319</v>
      </c>
      <c r="K4423" s="140" t="s">
        <v>1573</v>
      </c>
    </row>
    <row r="4424">
      <c r="A4424" s="140" t="s">
        <v>302</v>
      </c>
      <c r="B4424" s="140" t="s">
        <v>11802</v>
      </c>
      <c r="C4424" s="140" t="s">
        <v>11803</v>
      </c>
      <c r="D4424" s="140" t="s">
        <v>6718</v>
      </c>
      <c r="E4424" s="140" t="s">
        <v>748</v>
      </c>
      <c r="F4424" s="140" t="s">
        <v>748</v>
      </c>
      <c r="G4424" s="141" t="s">
        <v>6304</v>
      </c>
      <c r="H4424" s="140" t="s">
        <v>6312</v>
      </c>
      <c r="I4424" s="140" t="s">
        <v>6527</v>
      </c>
      <c r="J4424" s="140" t="s">
        <v>6319</v>
      </c>
      <c r="K4424" s="140" t="s">
        <v>1573</v>
      </c>
    </row>
    <row r="4425">
      <c r="A4425" s="140" t="s">
        <v>302</v>
      </c>
      <c r="B4425" s="140" t="s">
        <v>11804</v>
      </c>
      <c r="C4425" s="140" t="s">
        <v>11805</v>
      </c>
      <c r="D4425" s="140" t="s">
        <v>6718</v>
      </c>
      <c r="E4425" s="140" t="s">
        <v>748</v>
      </c>
      <c r="F4425" s="140" t="s">
        <v>748</v>
      </c>
      <c r="G4425" s="141" t="s">
        <v>6304</v>
      </c>
      <c r="H4425" s="140" t="s">
        <v>6312</v>
      </c>
      <c r="I4425" s="140" t="s">
        <v>6527</v>
      </c>
      <c r="J4425" s="140" t="s">
        <v>6319</v>
      </c>
      <c r="K4425" s="140" t="s">
        <v>1573</v>
      </c>
    </row>
    <row r="4426">
      <c r="A4426" s="140" t="s">
        <v>302</v>
      </c>
      <c r="B4426" s="140" t="s">
        <v>11806</v>
      </c>
      <c r="C4426" s="140" t="s">
        <v>11807</v>
      </c>
      <c r="D4426" s="140" t="s">
        <v>6718</v>
      </c>
      <c r="E4426" s="140" t="s">
        <v>748</v>
      </c>
      <c r="F4426" s="140" t="s">
        <v>748</v>
      </c>
      <c r="G4426" s="141" t="s">
        <v>6304</v>
      </c>
      <c r="H4426" s="140" t="s">
        <v>6312</v>
      </c>
      <c r="I4426" s="140" t="s">
        <v>6527</v>
      </c>
      <c r="J4426" s="140" t="s">
        <v>6319</v>
      </c>
      <c r="K4426" s="140" t="s">
        <v>1573</v>
      </c>
    </row>
    <row r="4427">
      <c r="A4427" s="140" t="s">
        <v>302</v>
      </c>
      <c r="B4427" s="140" t="s">
        <v>11808</v>
      </c>
      <c r="C4427" s="140" t="s">
        <v>11809</v>
      </c>
      <c r="D4427" s="140" t="s">
        <v>6718</v>
      </c>
      <c r="E4427" s="140" t="s">
        <v>748</v>
      </c>
      <c r="F4427" s="140" t="s">
        <v>748</v>
      </c>
      <c r="G4427" s="141" t="s">
        <v>6304</v>
      </c>
      <c r="H4427" s="140" t="s">
        <v>6312</v>
      </c>
      <c r="I4427" s="140" t="s">
        <v>6527</v>
      </c>
      <c r="J4427" s="140" t="s">
        <v>6319</v>
      </c>
      <c r="K4427" s="140" t="s">
        <v>1573</v>
      </c>
    </row>
    <row r="4428">
      <c r="A4428" s="140" t="s">
        <v>302</v>
      </c>
      <c r="B4428" s="140" t="s">
        <v>11810</v>
      </c>
      <c r="C4428" s="140" t="s">
        <v>11811</v>
      </c>
      <c r="D4428" s="140" t="s">
        <v>6718</v>
      </c>
      <c r="E4428" s="140" t="s">
        <v>748</v>
      </c>
      <c r="F4428" s="140" t="s">
        <v>748</v>
      </c>
      <c r="G4428" s="141" t="s">
        <v>6304</v>
      </c>
      <c r="H4428" s="140" t="s">
        <v>6312</v>
      </c>
      <c r="I4428" s="140" t="s">
        <v>6527</v>
      </c>
      <c r="J4428" s="140" t="s">
        <v>6319</v>
      </c>
      <c r="K4428" s="140" t="s">
        <v>1573</v>
      </c>
    </row>
    <row r="4429">
      <c r="A4429" s="140" t="s">
        <v>302</v>
      </c>
      <c r="B4429" s="140" t="s">
        <v>11812</v>
      </c>
      <c r="C4429" s="140" t="s">
        <v>11813</v>
      </c>
      <c r="D4429" s="140" t="s">
        <v>6718</v>
      </c>
      <c r="E4429" s="140" t="s">
        <v>748</v>
      </c>
      <c r="F4429" s="140" t="s">
        <v>748</v>
      </c>
      <c r="G4429" s="141" t="s">
        <v>6304</v>
      </c>
      <c r="H4429" s="140" t="s">
        <v>6312</v>
      </c>
      <c r="I4429" s="140" t="s">
        <v>6527</v>
      </c>
      <c r="J4429" s="140" t="s">
        <v>6319</v>
      </c>
      <c r="K4429" s="140" t="s">
        <v>1573</v>
      </c>
    </row>
    <row r="4430">
      <c r="A4430" s="140" t="s">
        <v>302</v>
      </c>
      <c r="B4430" s="140" t="s">
        <v>11814</v>
      </c>
      <c r="C4430" s="140" t="s">
        <v>11815</v>
      </c>
      <c r="D4430" s="140" t="s">
        <v>6718</v>
      </c>
      <c r="E4430" s="140" t="s">
        <v>748</v>
      </c>
      <c r="F4430" s="140" t="s">
        <v>748</v>
      </c>
      <c r="G4430" s="141" t="s">
        <v>6304</v>
      </c>
      <c r="H4430" s="140" t="s">
        <v>6312</v>
      </c>
      <c r="I4430" s="140" t="s">
        <v>6527</v>
      </c>
      <c r="J4430" s="140" t="s">
        <v>6319</v>
      </c>
      <c r="K4430" s="140" t="s">
        <v>1573</v>
      </c>
    </row>
    <row r="4431">
      <c r="A4431" s="140" t="s">
        <v>302</v>
      </c>
      <c r="B4431" s="140" t="s">
        <v>11816</v>
      </c>
      <c r="C4431" s="140" t="s">
        <v>11817</v>
      </c>
      <c r="D4431" s="140" t="s">
        <v>6718</v>
      </c>
      <c r="E4431" s="140" t="s">
        <v>748</v>
      </c>
      <c r="F4431" s="140" t="s">
        <v>748</v>
      </c>
      <c r="G4431" s="141" t="s">
        <v>6304</v>
      </c>
      <c r="H4431" s="140" t="s">
        <v>6312</v>
      </c>
      <c r="I4431" s="140" t="s">
        <v>6527</v>
      </c>
      <c r="J4431" s="140" t="s">
        <v>6319</v>
      </c>
      <c r="K4431" s="140" t="s">
        <v>1573</v>
      </c>
    </row>
    <row r="4432">
      <c r="A4432" s="140" t="s">
        <v>302</v>
      </c>
      <c r="B4432" s="140" t="s">
        <v>11818</v>
      </c>
      <c r="C4432" s="140" t="s">
        <v>11819</v>
      </c>
      <c r="D4432" s="140" t="s">
        <v>6718</v>
      </c>
      <c r="E4432" s="140" t="s">
        <v>748</v>
      </c>
      <c r="F4432" s="140" t="s">
        <v>748</v>
      </c>
      <c r="G4432" s="141" t="s">
        <v>6304</v>
      </c>
      <c r="H4432" s="140" t="s">
        <v>6312</v>
      </c>
      <c r="I4432" s="140" t="s">
        <v>6527</v>
      </c>
      <c r="J4432" s="140" t="s">
        <v>6319</v>
      </c>
      <c r="K4432" s="140" t="s">
        <v>1573</v>
      </c>
    </row>
    <row r="4433">
      <c r="A4433" s="140" t="s">
        <v>11471</v>
      </c>
      <c r="B4433" s="143">
        <v>6.6437E13</v>
      </c>
      <c r="C4433" s="140" t="s">
        <v>11820</v>
      </c>
      <c r="D4433" s="140" t="s">
        <v>6718</v>
      </c>
      <c r="E4433" s="140" t="s">
        <v>748</v>
      </c>
      <c r="F4433" s="140" t="s">
        <v>748</v>
      </c>
      <c r="G4433" s="141" t="s">
        <v>6401</v>
      </c>
      <c r="H4433" s="140" t="s">
        <v>6312</v>
      </c>
      <c r="I4433" s="140" t="s">
        <v>6313</v>
      </c>
      <c r="J4433" s="140" t="s">
        <v>6319</v>
      </c>
      <c r="K4433" s="140" t="s">
        <v>1573</v>
      </c>
    </row>
    <row r="4434">
      <c r="A4434" s="140" t="s">
        <v>302</v>
      </c>
      <c r="B4434" s="140" t="s">
        <v>819</v>
      </c>
      <c r="C4434" s="140" t="s">
        <v>11821</v>
      </c>
      <c r="D4434" s="140" t="s">
        <v>6601</v>
      </c>
      <c r="E4434" s="140" t="s">
        <v>796</v>
      </c>
      <c r="F4434" s="140" t="s">
        <v>797</v>
      </c>
      <c r="G4434" s="141" t="s">
        <v>6401</v>
      </c>
      <c r="H4434" s="140" t="s">
        <v>6330</v>
      </c>
      <c r="I4434" s="140" t="s">
        <v>6313</v>
      </c>
      <c r="J4434" s="140" t="s">
        <v>6319</v>
      </c>
      <c r="K4434" s="140" t="s">
        <v>1573</v>
      </c>
    </row>
    <row r="4435">
      <c r="A4435" s="140" t="s">
        <v>302</v>
      </c>
      <c r="B4435" s="140" t="s">
        <v>827</v>
      </c>
      <c r="C4435" s="140" t="s">
        <v>11822</v>
      </c>
      <c r="D4435" s="140" t="s">
        <v>6601</v>
      </c>
      <c r="E4435" s="140" t="s">
        <v>796</v>
      </c>
      <c r="F4435" s="140" t="s">
        <v>797</v>
      </c>
      <c r="G4435" s="141" t="s">
        <v>134</v>
      </c>
      <c r="H4435" s="140" t="s">
        <v>6330</v>
      </c>
      <c r="I4435" s="140" t="s">
        <v>6313</v>
      </c>
      <c r="J4435" s="140" t="s">
        <v>6319</v>
      </c>
      <c r="K4435" s="140" t="s">
        <v>1573</v>
      </c>
    </row>
    <row r="4436">
      <c r="A4436" s="140" t="s">
        <v>302</v>
      </c>
      <c r="B4436" s="140" t="s">
        <v>817</v>
      </c>
      <c r="C4436" s="140" t="s">
        <v>11823</v>
      </c>
      <c r="D4436" s="140" t="s">
        <v>6601</v>
      </c>
      <c r="E4436" s="140" t="s">
        <v>796</v>
      </c>
      <c r="F4436" s="140" t="s">
        <v>797</v>
      </c>
      <c r="G4436" s="141" t="s">
        <v>6401</v>
      </c>
      <c r="H4436" s="140" t="s">
        <v>6330</v>
      </c>
      <c r="I4436" s="140" t="s">
        <v>6313</v>
      </c>
      <c r="J4436" s="140" t="s">
        <v>6319</v>
      </c>
      <c r="K4436" s="140" t="s">
        <v>1573</v>
      </c>
    </row>
    <row r="4437">
      <c r="A4437" s="140" t="s">
        <v>302</v>
      </c>
      <c r="B4437" s="140" t="s">
        <v>825</v>
      </c>
      <c r="C4437" s="140" t="s">
        <v>11824</v>
      </c>
      <c r="D4437" s="140" t="s">
        <v>6601</v>
      </c>
      <c r="E4437" s="140" t="s">
        <v>796</v>
      </c>
      <c r="F4437" s="140" t="s">
        <v>797</v>
      </c>
      <c r="G4437" s="141" t="s">
        <v>6401</v>
      </c>
      <c r="H4437" s="140" t="s">
        <v>6330</v>
      </c>
      <c r="I4437" s="140" t="s">
        <v>6313</v>
      </c>
      <c r="J4437" s="140" t="s">
        <v>6319</v>
      </c>
      <c r="K4437" s="140" t="s">
        <v>1573</v>
      </c>
    </row>
    <row r="4438">
      <c r="A4438" s="140" t="s">
        <v>302</v>
      </c>
      <c r="B4438" s="140" t="s">
        <v>815</v>
      </c>
      <c r="C4438" s="140" t="s">
        <v>11825</v>
      </c>
      <c r="D4438" s="140" t="s">
        <v>6601</v>
      </c>
      <c r="E4438" s="140" t="s">
        <v>796</v>
      </c>
      <c r="F4438" s="140" t="s">
        <v>797</v>
      </c>
      <c r="G4438" s="141" t="s">
        <v>6401</v>
      </c>
      <c r="H4438" s="140" t="s">
        <v>6330</v>
      </c>
      <c r="I4438" s="140" t="s">
        <v>6313</v>
      </c>
      <c r="J4438" s="140" t="s">
        <v>6319</v>
      </c>
      <c r="K4438" s="140" t="s">
        <v>1573</v>
      </c>
    </row>
    <row r="4439">
      <c r="A4439" s="140" t="s">
        <v>302</v>
      </c>
      <c r="B4439" s="140" t="s">
        <v>823</v>
      </c>
      <c r="C4439" s="140" t="s">
        <v>11826</v>
      </c>
      <c r="D4439" s="140" t="s">
        <v>6601</v>
      </c>
      <c r="E4439" s="140" t="s">
        <v>796</v>
      </c>
      <c r="F4439" s="140" t="s">
        <v>797</v>
      </c>
      <c r="G4439" s="141" t="s">
        <v>6401</v>
      </c>
      <c r="H4439" s="140" t="s">
        <v>6330</v>
      </c>
      <c r="I4439" s="140" t="s">
        <v>6313</v>
      </c>
      <c r="J4439" s="140" t="s">
        <v>6319</v>
      </c>
      <c r="K4439" s="140" t="s">
        <v>1573</v>
      </c>
    </row>
    <row r="4440">
      <c r="A4440" s="140" t="s">
        <v>302</v>
      </c>
      <c r="B4440" s="140" t="s">
        <v>821</v>
      </c>
      <c r="C4440" s="140" t="s">
        <v>11827</v>
      </c>
      <c r="D4440" s="140" t="s">
        <v>6601</v>
      </c>
      <c r="E4440" s="140" t="s">
        <v>796</v>
      </c>
      <c r="F4440" s="140" t="s">
        <v>797</v>
      </c>
      <c r="G4440" s="141" t="s">
        <v>6401</v>
      </c>
      <c r="H4440" s="140" t="s">
        <v>6330</v>
      </c>
      <c r="I4440" s="140" t="s">
        <v>6313</v>
      </c>
      <c r="J4440" s="140" t="s">
        <v>6319</v>
      </c>
      <c r="K4440" s="140" t="s">
        <v>1573</v>
      </c>
    </row>
    <row r="4441">
      <c r="A4441" s="140" t="s">
        <v>302</v>
      </c>
      <c r="B4441" s="140" t="s">
        <v>829</v>
      </c>
      <c r="C4441" s="140" t="s">
        <v>11828</v>
      </c>
      <c r="D4441" s="140" t="s">
        <v>6601</v>
      </c>
      <c r="E4441" s="140" t="s">
        <v>796</v>
      </c>
      <c r="F4441" s="140" t="s">
        <v>797</v>
      </c>
      <c r="G4441" s="141" t="s">
        <v>6401</v>
      </c>
      <c r="H4441" s="140" t="s">
        <v>6330</v>
      </c>
      <c r="I4441" s="140" t="s">
        <v>6313</v>
      </c>
      <c r="J4441" s="140" t="s">
        <v>6319</v>
      </c>
      <c r="K4441" s="140" t="s">
        <v>1573</v>
      </c>
    </row>
    <row r="4442">
      <c r="A4442" s="140" t="s">
        <v>302</v>
      </c>
      <c r="B4442" s="140" t="s">
        <v>803</v>
      </c>
      <c r="C4442" s="140" t="s">
        <v>11829</v>
      </c>
      <c r="D4442" s="140" t="s">
        <v>6601</v>
      </c>
      <c r="E4442" s="140" t="s">
        <v>796</v>
      </c>
      <c r="F4442" s="140" t="s">
        <v>797</v>
      </c>
      <c r="G4442" s="141" t="s">
        <v>6401</v>
      </c>
      <c r="H4442" s="140" t="s">
        <v>6330</v>
      </c>
      <c r="I4442" s="140" t="s">
        <v>6313</v>
      </c>
      <c r="J4442" s="140" t="s">
        <v>6319</v>
      </c>
      <c r="K4442" s="140" t="s">
        <v>1573</v>
      </c>
    </row>
    <row r="4443">
      <c r="A4443" s="140" t="s">
        <v>302</v>
      </c>
      <c r="B4443" s="140" t="s">
        <v>811</v>
      </c>
      <c r="C4443" s="140" t="s">
        <v>11830</v>
      </c>
      <c r="D4443" s="140" t="s">
        <v>6601</v>
      </c>
      <c r="E4443" s="140" t="s">
        <v>796</v>
      </c>
      <c r="F4443" s="140" t="s">
        <v>797</v>
      </c>
      <c r="G4443" s="141" t="s">
        <v>6401</v>
      </c>
      <c r="H4443" s="140" t="s">
        <v>6330</v>
      </c>
      <c r="I4443" s="140" t="s">
        <v>6313</v>
      </c>
      <c r="J4443" s="140" t="s">
        <v>6319</v>
      </c>
      <c r="K4443" s="140" t="s">
        <v>1573</v>
      </c>
    </row>
    <row r="4444">
      <c r="A4444" s="140" t="s">
        <v>302</v>
      </c>
      <c r="B4444" s="140" t="s">
        <v>801</v>
      </c>
      <c r="C4444" s="140" t="s">
        <v>11831</v>
      </c>
      <c r="D4444" s="140" t="s">
        <v>6601</v>
      </c>
      <c r="E4444" s="140" t="s">
        <v>796</v>
      </c>
      <c r="F4444" s="140" t="s">
        <v>797</v>
      </c>
      <c r="G4444" s="141" t="s">
        <v>6401</v>
      </c>
      <c r="H4444" s="140" t="s">
        <v>6330</v>
      </c>
      <c r="I4444" s="140" t="s">
        <v>6313</v>
      </c>
      <c r="J4444" s="140" t="s">
        <v>6319</v>
      </c>
      <c r="K4444" s="140" t="s">
        <v>1573</v>
      </c>
    </row>
    <row r="4445">
      <c r="A4445" s="140" t="s">
        <v>302</v>
      </c>
      <c r="B4445" s="140" t="s">
        <v>809</v>
      </c>
      <c r="C4445" s="140" t="s">
        <v>11832</v>
      </c>
      <c r="D4445" s="140" t="s">
        <v>6601</v>
      </c>
      <c r="E4445" s="140" t="s">
        <v>796</v>
      </c>
      <c r="F4445" s="140" t="s">
        <v>797</v>
      </c>
      <c r="G4445" s="141" t="s">
        <v>6401</v>
      </c>
      <c r="H4445" s="140" t="s">
        <v>6330</v>
      </c>
      <c r="I4445" s="140" t="s">
        <v>6313</v>
      </c>
      <c r="J4445" s="140" t="s">
        <v>6319</v>
      </c>
      <c r="K4445" s="140" t="s">
        <v>1573</v>
      </c>
    </row>
    <row r="4446">
      <c r="A4446" s="140" t="s">
        <v>302</v>
      </c>
      <c r="B4446" s="140" t="s">
        <v>799</v>
      </c>
      <c r="C4446" s="140" t="s">
        <v>11833</v>
      </c>
      <c r="D4446" s="140" t="s">
        <v>6601</v>
      </c>
      <c r="E4446" s="140" t="s">
        <v>796</v>
      </c>
      <c r="F4446" s="140" t="s">
        <v>797</v>
      </c>
      <c r="G4446" s="141" t="s">
        <v>6401</v>
      </c>
      <c r="H4446" s="140" t="s">
        <v>6330</v>
      </c>
      <c r="I4446" s="140" t="s">
        <v>6313</v>
      </c>
      <c r="J4446" s="140" t="s">
        <v>6319</v>
      </c>
      <c r="K4446" s="140" t="s">
        <v>1573</v>
      </c>
    </row>
    <row r="4447">
      <c r="A4447" s="140" t="s">
        <v>302</v>
      </c>
      <c r="B4447" s="140" t="s">
        <v>807</v>
      </c>
      <c r="C4447" s="140" t="s">
        <v>11834</v>
      </c>
      <c r="D4447" s="140" t="s">
        <v>6601</v>
      </c>
      <c r="E4447" s="140" t="s">
        <v>796</v>
      </c>
      <c r="F4447" s="140" t="s">
        <v>797</v>
      </c>
      <c r="G4447" s="141" t="s">
        <v>6401</v>
      </c>
      <c r="H4447" s="140" t="s">
        <v>6330</v>
      </c>
      <c r="I4447" s="140" t="s">
        <v>6313</v>
      </c>
      <c r="J4447" s="140" t="s">
        <v>6319</v>
      </c>
      <c r="K4447" s="140" t="s">
        <v>1573</v>
      </c>
    </row>
    <row r="4448">
      <c r="A4448" s="140" t="s">
        <v>302</v>
      </c>
      <c r="B4448" s="140" t="s">
        <v>805</v>
      </c>
      <c r="C4448" s="140" t="s">
        <v>11835</v>
      </c>
      <c r="D4448" s="140" t="s">
        <v>6601</v>
      </c>
      <c r="E4448" s="140" t="s">
        <v>796</v>
      </c>
      <c r="F4448" s="140" t="s">
        <v>797</v>
      </c>
      <c r="G4448" s="141" t="s">
        <v>6401</v>
      </c>
      <c r="H4448" s="140" t="s">
        <v>6330</v>
      </c>
      <c r="I4448" s="140" t="s">
        <v>6313</v>
      </c>
      <c r="J4448" s="140" t="s">
        <v>6319</v>
      </c>
      <c r="K4448" s="140" t="s">
        <v>1573</v>
      </c>
    </row>
    <row r="4449">
      <c r="A4449" s="140" t="s">
        <v>302</v>
      </c>
      <c r="B4449" s="140" t="s">
        <v>813</v>
      </c>
      <c r="C4449" s="140" t="s">
        <v>11836</v>
      </c>
      <c r="D4449" s="140" t="s">
        <v>6601</v>
      </c>
      <c r="E4449" s="140" t="s">
        <v>796</v>
      </c>
      <c r="F4449" s="140" t="s">
        <v>797</v>
      </c>
      <c r="G4449" s="141" t="s">
        <v>6401</v>
      </c>
      <c r="H4449" s="140" t="s">
        <v>6330</v>
      </c>
      <c r="I4449" s="140" t="s">
        <v>6313</v>
      </c>
      <c r="J4449" s="140" t="s">
        <v>6319</v>
      </c>
      <c r="K4449" s="140" t="s">
        <v>1573</v>
      </c>
    </row>
    <row r="4450">
      <c r="A4450" s="140" t="s">
        <v>302</v>
      </c>
      <c r="B4450" s="140" t="s">
        <v>884</v>
      </c>
      <c r="C4450" s="140" t="s">
        <v>11837</v>
      </c>
      <c r="D4450" s="140" t="s">
        <v>6601</v>
      </c>
      <c r="E4450" s="140" t="s">
        <v>796</v>
      </c>
      <c r="F4450" s="140" t="s">
        <v>797</v>
      </c>
      <c r="G4450" s="141" t="s">
        <v>6401</v>
      </c>
      <c r="H4450" s="140" t="s">
        <v>6330</v>
      </c>
      <c r="I4450" s="140" t="s">
        <v>6313</v>
      </c>
      <c r="J4450" s="140" t="s">
        <v>6319</v>
      </c>
      <c r="K4450" s="140" t="s">
        <v>1573</v>
      </c>
    </row>
    <row r="4451">
      <c r="A4451" s="140" t="s">
        <v>302</v>
      </c>
      <c r="B4451" s="140" t="s">
        <v>892</v>
      </c>
      <c r="C4451" s="140" t="s">
        <v>11838</v>
      </c>
      <c r="D4451" s="140" t="s">
        <v>6601</v>
      </c>
      <c r="E4451" s="140" t="s">
        <v>796</v>
      </c>
      <c r="F4451" s="140" t="s">
        <v>797</v>
      </c>
      <c r="G4451" s="141" t="s">
        <v>134</v>
      </c>
      <c r="H4451" s="140" t="s">
        <v>6330</v>
      </c>
      <c r="I4451" s="140" t="s">
        <v>6313</v>
      </c>
      <c r="J4451" s="140" t="s">
        <v>6319</v>
      </c>
      <c r="K4451" s="140" t="s">
        <v>1573</v>
      </c>
    </row>
    <row r="4452">
      <c r="A4452" s="140" t="s">
        <v>302</v>
      </c>
      <c r="B4452" s="140" t="s">
        <v>882</v>
      </c>
      <c r="C4452" s="140" t="s">
        <v>11839</v>
      </c>
      <c r="D4452" s="140" t="s">
        <v>6601</v>
      </c>
      <c r="E4452" s="140" t="s">
        <v>796</v>
      </c>
      <c r="F4452" s="140" t="s">
        <v>797</v>
      </c>
      <c r="G4452" s="141" t="s">
        <v>6401</v>
      </c>
      <c r="H4452" s="140" t="s">
        <v>6330</v>
      </c>
      <c r="I4452" s="140" t="s">
        <v>6313</v>
      </c>
      <c r="J4452" s="140" t="s">
        <v>6319</v>
      </c>
      <c r="K4452" s="140" t="s">
        <v>1573</v>
      </c>
    </row>
    <row r="4453">
      <c r="A4453" s="140" t="s">
        <v>302</v>
      </c>
      <c r="B4453" s="140" t="s">
        <v>890</v>
      </c>
      <c r="C4453" s="140" t="s">
        <v>11840</v>
      </c>
      <c r="D4453" s="140" t="s">
        <v>6601</v>
      </c>
      <c r="E4453" s="140" t="s">
        <v>796</v>
      </c>
      <c r="F4453" s="140" t="s">
        <v>797</v>
      </c>
      <c r="G4453" s="141" t="s">
        <v>6401</v>
      </c>
      <c r="H4453" s="140" t="s">
        <v>6330</v>
      </c>
      <c r="I4453" s="140" t="s">
        <v>6313</v>
      </c>
      <c r="J4453" s="140" t="s">
        <v>6319</v>
      </c>
      <c r="K4453" s="140" t="s">
        <v>1573</v>
      </c>
    </row>
    <row r="4454">
      <c r="A4454" s="140" t="s">
        <v>302</v>
      </c>
      <c r="B4454" s="140" t="s">
        <v>880</v>
      </c>
      <c r="C4454" s="140" t="s">
        <v>11841</v>
      </c>
      <c r="D4454" s="140" t="s">
        <v>6601</v>
      </c>
      <c r="E4454" s="140" t="s">
        <v>796</v>
      </c>
      <c r="F4454" s="140" t="s">
        <v>797</v>
      </c>
      <c r="G4454" s="141" t="s">
        <v>6401</v>
      </c>
      <c r="H4454" s="140" t="s">
        <v>6330</v>
      </c>
      <c r="I4454" s="140" t="s">
        <v>6313</v>
      </c>
      <c r="J4454" s="140" t="s">
        <v>6319</v>
      </c>
      <c r="K4454" s="140" t="s">
        <v>1573</v>
      </c>
    </row>
    <row r="4455">
      <c r="A4455" s="140" t="s">
        <v>302</v>
      </c>
      <c r="B4455" s="140" t="s">
        <v>888</v>
      </c>
      <c r="C4455" s="140" t="s">
        <v>11842</v>
      </c>
      <c r="D4455" s="140" t="s">
        <v>6601</v>
      </c>
      <c r="E4455" s="140" t="s">
        <v>796</v>
      </c>
      <c r="F4455" s="140" t="s">
        <v>797</v>
      </c>
      <c r="G4455" s="141" t="s">
        <v>6401</v>
      </c>
      <c r="H4455" s="140" t="s">
        <v>6330</v>
      </c>
      <c r="I4455" s="140" t="s">
        <v>6313</v>
      </c>
      <c r="J4455" s="140" t="s">
        <v>6319</v>
      </c>
      <c r="K4455" s="140" t="s">
        <v>1573</v>
      </c>
    </row>
    <row r="4456">
      <c r="A4456" s="140" t="s">
        <v>302</v>
      </c>
      <c r="B4456" s="140" t="s">
        <v>886</v>
      </c>
      <c r="C4456" s="140" t="s">
        <v>11843</v>
      </c>
      <c r="D4456" s="140" t="s">
        <v>6601</v>
      </c>
      <c r="E4456" s="140" t="s">
        <v>796</v>
      </c>
      <c r="F4456" s="140" t="s">
        <v>797</v>
      </c>
      <c r="G4456" s="141" t="s">
        <v>6401</v>
      </c>
      <c r="H4456" s="140" t="s">
        <v>6330</v>
      </c>
      <c r="I4456" s="140" t="s">
        <v>6313</v>
      </c>
      <c r="J4456" s="140" t="s">
        <v>6319</v>
      </c>
      <c r="K4456" s="140" t="s">
        <v>1573</v>
      </c>
    </row>
    <row r="4457">
      <c r="A4457" s="140" t="s">
        <v>302</v>
      </c>
      <c r="B4457" s="140" t="s">
        <v>894</v>
      </c>
      <c r="C4457" s="140" t="s">
        <v>11844</v>
      </c>
      <c r="D4457" s="140" t="s">
        <v>6601</v>
      </c>
      <c r="E4457" s="140" t="s">
        <v>796</v>
      </c>
      <c r="F4457" s="140" t="s">
        <v>797</v>
      </c>
      <c r="G4457" s="141" t="s">
        <v>6401</v>
      </c>
      <c r="H4457" s="140" t="s">
        <v>6330</v>
      </c>
      <c r="I4457" s="140" t="s">
        <v>6313</v>
      </c>
      <c r="J4457" s="140" t="s">
        <v>6319</v>
      </c>
      <c r="K4457" s="140" t="s">
        <v>1573</v>
      </c>
    </row>
    <row r="4458">
      <c r="A4458" s="140" t="s">
        <v>302</v>
      </c>
      <c r="B4458" s="140" t="s">
        <v>864</v>
      </c>
      <c r="C4458" s="140" t="s">
        <v>11845</v>
      </c>
      <c r="D4458" s="140" t="s">
        <v>6601</v>
      </c>
      <c r="E4458" s="140" t="s">
        <v>796</v>
      </c>
      <c r="F4458" s="140" t="s">
        <v>830</v>
      </c>
      <c r="G4458" s="141" t="s">
        <v>6401</v>
      </c>
      <c r="H4458" s="140" t="s">
        <v>6330</v>
      </c>
      <c r="I4458" s="140" t="s">
        <v>6313</v>
      </c>
      <c r="J4458" s="140" t="s">
        <v>6319</v>
      </c>
      <c r="K4458" s="140" t="s">
        <v>1573</v>
      </c>
    </row>
    <row r="4459">
      <c r="A4459" s="140" t="s">
        <v>302</v>
      </c>
      <c r="B4459" s="140" t="s">
        <v>872</v>
      </c>
      <c r="C4459" s="140" t="s">
        <v>11846</v>
      </c>
      <c r="D4459" s="140" t="s">
        <v>6601</v>
      </c>
      <c r="E4459" s="140" t="s">
        <v>796</v>
      </c>
      <c r="F4459" s="140" t="s">
        <v>830</v>
      </c>
      <c r="G4459" s="141" t="s">
        <v>6401</v>
      </c>
      <c r="H4459" s="140" t="s">
        <v>6330</v>
      </c>
      <c r="I4459" s="140" t="s">
        <v>6313</v>
      </c>
      <c r="J4459" s="140" t="s">
        <v>6319</v>
      </c>
      <c r="K4459" s="140" t="s">
        <v>1573</v>
      </c>
    </row>
    <row r="4460">
      <c r="A4460" s="140" t="s">
        <v>302</v>
      </c>
      <c r="B4460" s="140" t="s">
        <v>866</v>
      </c>
      <c r="C4460" s="140" t="s">
        <v>11847</v>
      </c>
      <c r="D4460" s="140" t="s">
        <v>6601</v>
      </c>
      <c r="E4460" s="140" t="s">
        <v>796</v>
      </c>
      <c r="F4460" s="140" t="s">
        <v>830</v>
      </c>
      <c r="G4460" s="141" t="s">
        <v>6401</v>
      </c>
      <c r="H4460" s="140" t="s">
        <v>6330</v>
      </c>
      <c r="I4460" s="140" t="s">
        <v>6313</v>
      </c>
      <c r="J4460" s="140" t="s">
        <v>6319</v>
      </c>
      <c r="K4460" s="140" t="s">
        <v>1573</v>
      </c>
    </row>
    <row r="4461">
      <c r="A4461" s="140" t="s">
        <v>302</v>
      </c>
      <c r="B4461" s="140" t="s">
        <v>874</v>
      </c>
      <c r="C4461" s="140" t="s">
        <v>11848</v>
      </c>
      <c r="D4461" s="140" t="s">
        <v>6601</v>
      </c>
      <c r="E4461" s="140" t="s">
        <v>796</v>
      </c>
      <c r="F4461" s="140" t="s">
        <v>830</v>
      </c>
      <c r="G4461" s="141" t="s">
        <v>6401</v>
      </c>
      <c r="H4461" s="140" t="s">
        <v>6330</v>
      </c>
      <c r="I4461" s="140" t="s">
        <v>6313</v>
      </c>
      <c r="J4461" s="140" t="s">
        <v>6319</v>
      </c>
      <c r="K4461" s="140" t="s">
        <v>1573</v>
      </c>
    </row>
    <row r="4462">
      <c r="A4462" s="140" t="s">
        <v>302</v>
      </c>
      <c r="B4462" s="140" t="s">
        <v>868</v>
      </c>
      <c r="C4462" s="140" t="s">
        <v>11849</v>
      </c>
      <c r="D4462" s="140" t="s">
        <v>6601</v>
      </c>
      <c r="E4462" s="140" t="s">
        <v>796</v>
      </c>
      <c r="F4462" s="140" t="s">
        <v>830</v>
      </c>
      <c r="G4462" s="141" t="s">
        <v>6401</v>
      </c>
      <c r="H4462" s="140" t="s">
        <v>6330</v>
      </c>
      <c r="I4462" s="140" t="s">
        <v>6313</v>
      </c>
      <c r="J4462" s="140" t="s">
        <v>6319</v>
      </c>
      <c r="K4462" s="140" t="s">
        <v>1573</v>
      </c>
    </row>
    <row r="4463">
      <c r="A4463" s="140" t="s">
        <v>302</v>
      </c>
      <c r="B4463" s="140" t="s">
        <v>876</v>
      </c>
      <c r="C4463" s="140" t="s">
        <v>11850</v>
      </c>
      <c r="D4463" s="140" t="s">
        <v>6601</v>
      </c>
      <c r="E4463" s="140" t="s">
        <v>796</v>
      </c>
      <c r="F4463" s="140" t="s">
        <v>830</v>
      </c>
      <c r="G4463" s="141" t="s">
        <v>6401</v>
      </c>
      <c r="H4463" s="140" t="s">
        <v>6330</v>
      </c>
      <c r="I4463" s="140" t="s">
        <v>6313</v>
      </c>
      <c r="J4463" s="140" t="s">
        <v>6319</v>
      </c>
      <c r="K4463" s="140" t="s">
        <v>1573</v>
      </c>
    </row>
    <row r="4464">
      <c r="A4464" s="140" t="s">
        <v>302</v>
      </c>
      <c r="B4464" s="140" t="s">
        <v>870</v>
      </c>
      <c r="C4464" s="140" t="s">
        <v>11851</v>
      </c>
      <c r="D4464" s="140" t="s">
        <v>6601</v>
      </c>
      <c r="E4464" s="140" t="s">
        <v>796</v>
      </c>
      <c r="F4464" s="140" t="s">
        <v>830</v>
      </c>
      <c r="G4464" s="141" t="s">
        <v>6401</v>
      </c>
      <c r="H4464" s="140" t="s">
        <v>6330</v>
      </c>
      <c r="I4464" s="140" t="s">
        <v>6313</v>
      </c>
      <c r="J4464" s="140" t="s">
        <v>6319</v>
      </c>
      <c r="K4464" s="140" t="s">
        <v>1573</v>
      </c>
    </row>
    <row r="4465">
      <c r="A4465" s="140" t="s">
        <v>302</v>
      </c>
      <c r="B4465" s="140" t="s">
        <v>878</v>
      </c>
      <c r="C4465" s="140" t="s">
        <v>11852</v>
      </c>
      <c r="D4465" s="140" t="s">
        <v>6601</v>
      </c>
      <c r="E4465" s="140" t="s">
        <v>796</v>
      </c>
      <c r="F4465" s="140" t="s">
        <v>830</v>
      </c>
      <c r="G4465" s="141" t="s">
        <v>6401</v>
      </c>
      <c r="H4465" s="140" t="s">
        <v>6330</v>
      </c>
      <c r="I4465" s="140" t="s">
        <v>6313</v>
      </c>
      <c r="J4465" s="140" t="s">
        <v>6319</v>
      </c>
      <c r="K4465" s="140" t="s">
        <v>1573</v>
      </c>
    </row>
    <row r="4466">
      <c r="A4466" s="140" t="s">
        <v>302</v>
      </c>
      <c r="B4466" s="140" t="s">
        <v>838</v>
      </c>
      <c r="C4466" s="140" t="s">
        <v>1997</v>
      </c>
      <c r="D4466" s="140" t="s">
        <v>6601</v>
      </c>
      <c r="E4466" s="140" t="s">
        <v>796</v>
      </c>
      <c r="F4466" s="140" t="s">
        <v>830</v>
      </c>
      <c r="G4466" s="141" t="s">
        <v>134</v>
      </c>
      <c r="H4466" s="140" t="s">
        <v>6330</v>
      </c>
      <c r="I4466" s="140" t="s">
        <v>6313</v>
      </c>
      <c r="J4466" s="140" t="s">
        <v>6319</v>
      </c>
      <c r="K4466" s="140" t="s">
        <v>1573</v>
      </c>
    </row>
    <row r="4467">
      <c r="A4467" s="140" t="s">
        <v>302</v>
      </c>
      <c r="B4467" s="140" t="s">
        <v>836</v>
      </c>
      <c r="C4467" s="140" t="s">
        <v>11853</v>
      </c>
      <c r="D4467" s="140" t="s">
        <v>6601</v>
      </c>
      <c r="E4467" s="140" t="s">
        <v>796</v>
      </c>
      <c r="F4467" s="140" t="s">
        <v>830</v>
      </c>
      <c r="G4467" s="141" t="s">
        <v>134</v>
      </c>
      <c r="H4467" s="140" t="s">
        <v>6330</v>
      </c>
      <c r="I4467" s="140" t="s">
        <v>6313</v>
      </c>
      <c r="J4467" s="140" t="s">
        <v>6319</v>
      </c>
      <c r="K4467" s="140" t="s">
        <v>1573</v>
      </c>
    </row>
    <row r="4468">
      <c r="A4468" s="140" t="s">
        <v>302</v>
      </c>
      <c r="B4468" s="140" t="s">
        <v>844</v>
      </c>
      <c r="C4468" s="140" t="s">
        <v>11854</v>
      </c>
      <c r="D4468" s="140" t="s">
        <v>6601</v>
      </c>
      <c r="E4468" s="140" t="s">
        <v>796</v>
      </c>
      <c r="F4468" s="140" t="s">
        <v>830</v>
      </c>
      <c r="G4468" s="141" t="s">
        <v>134</v>
      </c>
      <c r="H4468" s="140" t="s">
        <v>6330</v>
      </c>
      <c r="I4468" s="140" t="s">
        <v>6313</v>
      </c>
      <c r="J4468" s="140" t="s">
        <v>6319</v>
      </c>
      <c r="K4468" s="140" t="s">
        <v>1573</v>
      </c>
    </row>
    <row r="4469">
      <c r="A4469" s="140" t="s">
        <v>302</v>
      </c>
      <c r="B4469" s="140" t="s">
        <v>834</v>
      </c>
      <c r="C4469" s="140" t="s">
        <v>11855</v>
      </c>
      <c r="D4469" s="140" t="s">
        <v>6601</v>
      </c>
      <c r="E4469" s="140" t="s">
        <v>796</v>
      </c>
      <c r="F4469" s="140" t="s">
        <v>830</v>
      </c>
      <c r="G4469" s="141" t="s">
        <v>134</v>
      </c>
      <c r="H4469" s="140" t="s">
        <v>6330</v>
      </c>
      <c r="I4469" s="140" t="s">
        <v>6313</v>
      </c>
      <c r="J4469" s="140" t="s">
        <v>6319</v>
      </c>
      <c r="K4469" s="140" t="s">
        <v>1573</v>
      </c>
    </row>
    <row r="4470">
      <c r="A4470" s="140" t="s">
        <v>302</v>
      </c>
      <c r="B4470" s="140" t="s">
        <v>842</v>
      </c>
      <c r="C4470" s="140" t="s">
        <v>11856</v>
      </c>
      <c r="D4470" s="140" t="s">
        <v>6601</v>
      </c>
      <c r="E4470" s="140" t="s">
        <v>796</v>
      </c>
      <c r="F4470" s="140" t="s">
        <v>830</v>
      </c>
      <c r="G4470" s="141" t="s">
        <v>134</v>
      </c>
      <c r="H4470" s="140" t="s">
        <v>6330</v>
      </c>
      <c r="I4470" s="140" t="s">
        <v>6313</v>
      </c>
      <c r="J4470" s="140" t="s">
        <v>6319</v>
      </c>
      <c r="K4470" s="140" t="s">
        <v>1573</v>
      </c>
    </row>
    <row r="4471">
      <c r="A4471" s="140" t="s">
        <v>302</v>
      </c>
      <c r="B4471" s="140" t="s">
        <v>832</v>
      </c>
      <c r="C4471" s="140" t="s">
        <v>11857</v>
      </c>
      <c r="D4471" s="140" t="s">
        <v>6601</v>
      </c>
      <c r="E4471" s="140" t="s">
        <v>796</v>
      </c>
      <c r="F4471" s="140" t="s">
        <v>830</v>
      </c>
      <c r="G4471" s="141" t="s">
        <v>134</v>
      </c>
      <c r="H4471" s="140" t="s">
        <v>6330</v>
      </c>
      <c r="I4471" s="140" t="s">
        <v>6313</v>
      </c>
      <c r="J4471" s="140" t="s">
        <v>6319</v>
      </c>
      <c r="K4471" s="140" t="s">
        <v>1573</v>
      </c>
    </row>
    <row r="4472">
      <c r="A4472" s="140" t="s">
        <v>302</v>
      </c>
      <c r="B4472" s="140" t="s">
        <v>840</v>
      </c>
      <c r="C4472" s="140" t="s">
        <v>11858</v>
      </c>
      <c r="D4472" s="140" t="s">
        <v>6601</v>
      </c>
      <c r="E4472" s="140" t="s">
        <v>796</v>
      </c>
      <c r="F4472" s="140" t="s">
        <v>830</v>
      </c>
      <c r="G4472" s="141" t="s">
        <v>134</v>
      </c>
      <c r="H4472" s="140" t="s">
        <v>6330</v>
      </c>
      <c r="I4472" s="140" t="s">
        <v>6313</v>
      </c>
      <c r="J4472" s="140" t="s">
        <v>6319</v>
      </c>
      <c r="K4472" s="140" t="s">
        <v>1573</v>
      </c>
    </row>
    <row r="4473">
      <c r="A4473" s="140" t="s">
        <v>302</v>
      </c>
      <c r="B4473" s="140" t="s">
        <v>846</v>
      </c>
      <c r="C4473" s="140" t="s">
        <v>11859</v>
      </c>
      <c r="D4473" s="140" t="s">
        <v>6601</v>
      </c>
      <c r="E4473" s="140" t="s">
        <v>796</v>
      </c>
      <c r="F4473" s="140" t="s">
        <v>830</v>
      </c>
      <c r="G4473" s="141" t="s">
        <v>134</v>
      </c>
      <c r="H4473" s="140" t="s">
        <v>6330</v>
      </c>
      <c r="I4473" s="140" t="s">
        <v>6313</v>
      </c>
      <c r="J4473" s="140" t="s">
        <v>6319</v>
      </c>
      <c r="K4473" s="140" t="s">
        <v>1573</v>
      </c>
    </row>
    <row r="4474">
      <c r="A4474" s="140" t="s">
        <v>302</v>
      </c>
      <c r="B4474" s="140" t="s">
        <v>848</v>
      </c>
      <c r="C4474" s="140" t="s">
        <v>11860</v>
      </c>
      <c r="D4474" s="140" t="s">
        <v>6601</v>
      </c>
      <c r="E4474" s="140" t="s">
        <v>796</v>
      </c>
      <c r="F4474" s="140" t="s">
        <v>830</v>
      </c>
      <c r="G4474" s="141" t="s">
        <v>6401</v>
      </c>
      <c r="H4474" s="140" t="s">
        <v>6330</v>
      </c>
      <c r="I4474" s="140" t="s">
        <v>6313</v>
      </c>
      <c r="J4474" s="140" t="s">
        <v>6319</v>
      </c>
      <c r="K4474" s="140" t="s">
        <v>1573</v>
      </c>
    </row>
    <row r="4475">
      <c r="A4475" s="140" t="s">
        <v>302</v>
      </c>
      <c r="B4475" s="140" t="s">
        <v>856</v>
      </c>
      <c r="C4475" s="140" t="s">
        <v>11861</v>
      </c>
      <c r="D4475" s="140" t="s">
        <v>6601</v>
      </c>
      <c r="E4475" s="140" t="s">
        <v>796</v>
      </c>
      <c r="F4475" s="140" t="s">
        <v>830</v>
      </c>
      <c r="G4475" s="141" t="s">
        <v>134</v>
      </c>
      <c r="H4475" s="140" t="s">
        <v>6330</v>
      </c>
      <c r="I4475" s="140" t="s">
        <v>6313</v>
      </c>
      <c r="J4475" s="140" t="s">
        <v>6319</v>
      </c>
      <c r="K4475" s="140" t="s">
        <v>1573</v>
      </c>
    </row>
    <row r="4476">
      <c r="A4476" s="140" t="s">
        <v>302</v>
      </c>
      <c r="B4476" s="140" t="s">
        <v>850</v>
      </c>
      <c r="C4476" s="140" t="s">
        <v>11862</v>
      </c>
      <c r="D4476" s="140" t="s">
        <v>6601</v>
      </c>
      <c r="E4476" s="140" t="s">
        <v>796</v>
      </c>
      <c r="F4476" s="140" t="s">
        <v>830</v>
      </c>
      <c r="G4476" s="141" t="s">
        <v>6401</v>
      </c>
      <c r="H4476" s="140" t="s">
        <v>6330</v>
      </c>
      <c r="I4476" s="140" t="s">
        <v>6313</v>
      </c>
      <c r="J4476" s="140" t="s">
        <v>6319</v>
      </c>
      <c r="K4476" s="140" t="s">
        <v>1573</v>
      </c>
    </row>
    <row r="4477">
      <c r="A4477" s="140" t="s">
        <v>302</v>
      </c>
      <c r="B4477" s="140" t="s">
        <v>858</v>
      </c>
      <c r="C4477" s="140" t="s">
        <v>11863</v>
      </c>
      <c r="D4477" s="140" t="s">
        <v>6601</v>
      </c>
      <c r="E4477" s="140" t="s">
        <v>796</v>
      </c>
      <c r="F4477" s="140" t="s">
        <v>830</v>
      </c>
      <c r="G4477" s="141" t="s">
        <v>6401</v>
      </c>
      <c r="H4477" s="140" t="s">
        <v>6330</v>
      </c>
      <c r="I4477" s="140" t="s">
        <v>6313</v>
      </c>
      <c r="J4477" s="140" t="s">
        <v>6319</v>
      </c>
      <c r="K4477" s="140" t="s">
        <v>1573</v>
      </c>
    </row>
    <row r="4478">
      <c r="A4478" s="140" t="s">
        <v>302</v>
      </c>
      <c r="B4478" s="140" t="s">
        <v>852</v>
      </c>
      <c r="C4478" s="140" t="s">
        <v>11864</v>
      </c>
      <c r="D4478" s="140" t="s">
        <v>6601</v>
      </c>
      <c r="E4478" s="140" t="s">
        <v>796</v>
      </c>
      <c r="F4478" s="140" t="s">
        <v>830</v>
      </c>
      <c r="G4478" s="141" t="s">
        <v>6401</v>
      </c>
      <c r="H4478" s="140" t="s">
        <v>6330</v>
      </c>
      <c r="I4478" s="140" t="s">
        <v>6313</v>
      </c>
      <c r="J4478" s="140" t="s">
        <v>6319</v>
      </c>
      <c r="K4478" s="140" t="s">
        <v>1573</v>
      </c>
    </row>
    <row r="4479">
      <c r="A4479" s="140" t="s">
        <v>302</v>
      </c>
      <c r="B4479" s="140" t="s">
        <v>860</v>
      </c>
      <c r="C4479" s="140" t="s">
        <v>11865</v>
      </c>
      <c r="D4479" s="140" t="s">
        <v>6601</v>
      </c>
      <c r="E4479" s="140" t="s">
        <v>796</v>
      </c>
      <c r="F4479" s="140" t="s">
        <v>830</v>
      </c>
      <c r="G4479" s="141" t="s">
        <v>6401</v>
      </c>
      <c r="H4479" s="140" t="s">
        <v>6330</v>
      </c>
      <c r="I4479" s="140" t="s">
        <v>6313</v>
      </c>
      <c r="J4479" s="140" t="s">
        <v>6319</v>
      </c>
      <c r="K4479" s="140" t="s">
        <v>1573</v>
      </c>
    </row>
    <row r="4480">
      <c r="A4480" s="140" t="s">
        <v>302</v>
      </c>
      <c r="B4480" s="140" t="s">
        <v>854</v>
      </c>
      <c r="C4480" s="140" t="s">
        <v>11866</v>
      </c>
      <c r="D4480" s="140" t="s">
        <v>6601</v>
      </c>
      <c r="E4480" s="140" t="s">
        <v>796</v>
      </c>
      <c r="F4480" s="140" t="s">
        <v>830</v>
      </c>
      <c r="G4480" s="141" t="s">
        <v>6401</v>
      </c>
      <c r="H4480" s="140" t="s">
        <v>6330</v>
      </c>
      <c r="I4480" s="140" t="s">
        <v>6313</v>
      </c>
      <c r="J4480" s="140" t="s">
        <v>6319</v>
      </c>
      <c r="K4480" s="140" t="s">
        <v>1573</v>
      </c>
    </row>
    <row r="4481">
      <c r="A4481" s="140" t="s">
        <v>302</v>
      </c>
      <c r="B4481" s="140" t="s">
        <v>862</v>
      </c>
      <c r="C4481" s="140" t="s">
        <v>11867</v>
      </c>
      <c r="D4481" s="140" t="s">
        <v>6601</v>
      </c>
      <c r="E4481" s="140" t="s">
        <v>796</v>
      </c>
      <c r="F4481" s="140" t="s">
        <v>830</v>
      </c>
      <c r="G4481" s="141" t="s">
        <v>6401</v>
      </c>
      <c r="H4481" s="140" t="s">
        <v>6330</v>
      </c>
      <c r="I4481" s="140" t="s">
        <v>6313</v>
      </c>
      <c r="J4481" s="140" t="s">
        <v>6319</v>
      </c>
      <c r="K4481" s="140" t="s">
        <v>1573</v>
      </c>
    </row>
    <row r="4482">
      <c r="A4482" s="140" t="s">
        <v>302</v>
      </c>
      <c r="B4482" s="140" t="s">
        <v>919</v>
      </c>
      <c r="C4482" s="140" t="s">
        <v>2004</v>
      </c>
      <c r="D4482" s="140" t="s">
        <v>6601</v>
      </c>
      <c r="E4482" s="140" t="s">
        <v>796</v>
      </c>
      <c r="F4482" s="140" t="s">
        <v>895</v>
      </c>
      <c r="G4482" s="141" t="s">
        <v>134</v>
      </c>
      <c r="H4482" s="140" t="s">
        <v>6330</v>
      </c>
      <c r="I4482" s="140" t="s">
        <v>6313</v>
      </c>
      <c r="J4482" s="140" t="s">
        <v>6319</v>
      </c>
      <c r="K4482" s="140" t="s">
        <v>1573</v>
      </c>
    </row>
    <row r="4483">
      <c r="A4483" s="140" t="s">
        <v>302</v>
      </c>
      <c r="B4483" s="140" t="s">
        <v>913</v>
      </c>
      <c r="C4483" s="140" t="s">
        <v>11868</v>
      </c>
      <c r="D4483" s="140" t="s">
        <v>6601</v>
      </c>
      <c r="E4483" s="140" t="s">
        <v>796</v>
      </c>
      <c r="F4483" s="140" t="s">
        <v>895</v>
      </c>
      <c r="G4483" s="141" t="s">
        <v>134</v>
      </c>
      <c r="H4483" s="140" t="s">
        <v>6330</v>
      </c>
      <c r="I4483" s="140" t="s">
        <v>6313</v>
      </c>
      <c r="J4483" s="140" t="s">
        <v>6319</v>
      </c>
      <c r="K4483" s="140" t="s">
        <v>1573</v>
      </c>
    </row>
    <row r="4484">
      <c r="A4484" s="140" t="s">
        <v>302</v>
      </c>
      <c r="B4484" s="140" t="s">
        <v>921</v>
      </c>
      <c r="C4484" s="140" t="s">
        <v>11869</v>
      </c>
      <c r="D4484" s="140" t="s">
        <v>6601</v>
      </c>
      <c r="E4484" s="140" t="s">
        <v>796</v>
      </c>
      <c r="F4484" s="140" t="s">
        <v>895</v>
      </c>
      <c r="G4484" s="141" t="s">
        <v>134</v>
      </c>
      <c r="H4484" s="140" t="s">
        <v>6330</v>
      </c>
      <c r="I4484" s="140" t="s">
        <v>6313</v>
      </c>
      <c r="J4484" s="140" t="s">
        <v>6319</v>
      </c>
      <c r="K4484" s="140" t="s">
        <v>1573</v>
      </c>
    </row>
    <row r="4485">
      <c r="A4485" s="140" t="s">
        <v>302</v>
      </c>
      <c r="B4485" s="140" t="s">
        <v>915</v>
      </c>
      <c r="C4485" s="140" t="s">
        <v>11870</v>
      </c>
      <c r="D4485" s="140" t="s">
        <v>6601</v>
      </c>
      <c r="E4485" s="140" t="s">
        <v>796</v>
      </c>
      <c r="F4485" s="140" t="s">
        <v>895</v>
      </c>
      <c r="G4485" s="141" t="s">
        <v>134</v>
      </c>
      <c r="H4485" s="140" t="s">
        <v>6330</v>
      </c>
      <c r="I4485" s="140" t="s">
        <v>6313</v>
      </c>
      <c r="J4485" s="140" t="s">
        <v>6319</v>
      </c>
      <c r="K4485" s="140" t="s">
        <v>1573</v>
      </c>
    </row>
    <row r="4486">
      <c r="A4486" s="140" t="s">
        <v>302</v>
      </c>
      <c r="B4486" s="140" t="s">
        <v>923</v>
      </c>
      <c r="C4486" s="140" t="s">
        <v>11871</v>
      </c>
      <c r="D4486" s="140" t="s">
        <v>6601</v>
      </c>
      <c r="E4486" s="140" t="s">
        <v>796</v>
      </c>
      <c r="F4486" s="140" t="s">
        <v>895</v>
      </c>
      <c r="G4486" s="141" t="s">
        <v>134</v>
      </c>
      <c r="H4486" s="140" t="s">
        <v>6330</v>
      </c>
      <c r="I4486" s="140" t="s">
        <v>6313</v>
      </c>
      <c r="J4486" s="140" t="s">
        <v>6319</v>
      </c>
      <c r="K4486" s="140" t="s">
        <v>1573</v>
      </c>
    </row>
    <row r="4487">
      <c r="A4487" s="140" t="s">
        <v>302</v>
      </c>
      <c r="B4487" s="140" t="s">
        <v>917</v>
      </c>
      <c r="C4487" s="140" t="s">
        <v>11872</v>
      </c>
      <c r="D4487" s="140" t="s">
        <v>6601</v>
      </c>
      <c r="E4487" s="140" t="s">
        <v>796</v>
      </c>
      <c r="F4487" s="140" t="s">
        <v>895</v>
      </c>
      <c r="G4487" s="141" t="s">
        <v>134</v>
      </c>
      <c r="H4487" s="140" t="s">
        <v>6330</v>
      </c>
      <c r="I4487" s="140" t="s">
        <v>6313</v>
      </c>
      <c r="J4487" s="140" t="s">
        <v>6319</v>
      </c>
      <c r="K4487" s="140" t="s">
        <v>1573</v>
      </c>
    </row>
    <row r="4488">
      <c r="A4488" s="140" t="s">
        <v>302</v>
      </c>
      <c r="B4488" s="140" t="s">
        <v>925</v>
      </c>
      <c r="C4488" s="140" t="s">
        <v>11873</v>
      </c>
      <c r="D4488" s="140" t="s">
        <v>6601</v>
      </c>
      <c r="E4488" s="140" t="s">
        <v>796</v>
      </c>
      <c r="F4488" s="140" t="s">
        <v>895</v>
      </c>
      <c r="G4488" s="141" t="s">
        <v>134</v>
      </c>
      <c r="H4488" s="140" t="s">
        <v>6330</v>
      </c>
      <c r="I4488" s="140" t="s">
        <v>6313</v>
      </c>
      <c r="J4488" s="140" t="s">
        <v>6319</v>
      </c>
      <c r="K4488" s="140" t="s">
        <v>1573</v>
      </c>
    </row>
    <row r="4489">
      <c r="A4489" s="140" t="s">
        <v>302</v>
      </c>
      <c r="B4489" s="140" t="s">
        <v>927</v>
      </c>
      <c r="C4489" s="140" t="s">
        <v>11874</v>
      </c>
      <c r="D4489" s="140" t="s">
        <v>6601</v>
      </c>
      <c r="E4489" s="140" t="s">
        <v>796</v>
      </c>
      <c r="F4489" s="140" t="s">
        <v>895</v>
      </c>
      <c r="G4489" s="141" t="s">
        <v>134</v>
      </c>
      <c r="H4489" s="140" t="s">
        <v>6330</v>
      </c>
      <c r="I4489" s="140" t="s">
        <v>6313</v>
      </c>
      <c r="J4489" s="140" t="s">
        <v>6319</v>
      </c>
      <c r="K4489" s="140" t="s">
        <v>1573</v>
      </c>
    </row>
    <row r="4490">
      <c r="A4490" s="140" t="s">
        <v>302</v>
      </c>
      <c r="B4490" s="140" t="s">
        <v>911</v>
      </c>
      <c r="C4490" s="140" t="s">
        <v>2002</v>
      </c>
      <c r="D4490" s="140" t="s">
        <v>6601</v>
      </c>
      <c r="E4490" s="140" t="s">
        <v>796</v>
      </c>
      <c r="F4490" s="140" t="s">
        <v>895</v>
      </c>
      <c r="G4490" s="141" t="s">
        <v>134</v>
      </c>
      <c r="H4490" s="140" t="s">
        <v>6330</v>
      </c>
      <c r="I4490" s="140" t="s">
        <v>6313</v>
      </c>
      <c r="J4490" s="140" t="s">
        <v>6319</v>
      </c>
      <c r="K4490" s="140" t="s">
        <v>1573</v>
      </c>
    </row>
    <row r="4491">
      <c r="A4491" s="140" t="s">
        <v>302</v>
      </c>
      <c r="B4491" s="140" t="s">
        <v>903</v>
      </c>
      <c r="C4491" s="140" t="s">
        <v>2002</v>
      </c>
      <c r="D4491" s="140" t="s">
        <v>6601</v>
      </c>
      <c r="E4491" s="140" t="s">
        <v>796</v>
      </c>
      <c r="F4491" s="140" t="s">
        <v>895</v>
      </c>
      <c r="G4491" s="141" t="s">
        <v>134</v>
      </c>
      <c r="H4491" s="140" t="s">
        <v>6330</v>
      </c>
      <c r="I4491" s="140" t="s">
        <v>6313</v>
      </c>
      <c r="J4491" s="140" t="s">
        <v>6319</v>
      </c>
      <c r="K4491" s="140" t="s">
        <v>1573</v>
      </c>
    </row>
    <row r="4492">
      <c r="A4492" s="140" t="s">
        <v>302</v>
      </c>
      <c r="B4492" s="140" t="s">
        <v>905</v>
      </c>
      <c r="C4492" s="140" t="s">
        <v>11875</v>
      </c>
      <c r="D4492" s="140" t="s">
        <v>6601</v>
      </c>
      <c r="E4492" s="140" t="s">
        <v>796</v>
      </c>
      <c r="F4492" s="140" t="s">
        <v>895</v>
      </c>
      <c r="G4492" s="141" t="s">
        <v>134</v>
      </c>
      <c r="H4492" s="140" t="s">
        <v>6330</v>
      </c>
      <c r="I4492" s="140" t="s">
        <v>6313</v>
      </c>
      <c r="J4492" s="140" t="s">
        <v>6319</v>
      </c>
      <c r="K4492" s="140" t="s">
        <v>1573</v>
      </c>
    </row>
    <row r="4493">
      <c r="A4493" s="140" t="s">
        <v>302</v>
      </c>
      <c r="B4493" s="140" t="s">
        <v>897</v>
      </c>
      <c r="C4493" s="140" t="s">
        <v>11876</v>
      </c>
      <c r="D4493" s="140" t="s">
        <v>6601</v>
      </c>
      <c r="E4493" s="140" t="s">
        <v>796</v>
      </c>
      <c r="F4493" s="140" t="s">
        <v>895</v>
      </c>
      <c r="G4493" s="141" t="s">
        <v>134</v>
      </c>
      <c r="H4493" s="140" t="s">
        <v>6330</v>
      </c>
      <c r="I4493" s="140" t="s">
        <v>6313</v>
      </c>
      <c r="J4493" s="140" t="s">
        <v>6319</v>
      </c>
      <c r="K4493" s="140" t="s">
        <v>1573</v>
      </c>
    </row>
    <row r="4494">
      <c r="A4494" s="140" t="s">
        <v>302</v>
      </c>
      <c r="B4494" s="140" t="s">
        <v>907</v>
      </c>
      <c r="C4494" s="140" t="s">
        <v>11877</v>
      </c>
      <c r="D4494" s="140" t="s">
        <v>6601</v>
      </c>
      <c r="E4494" s="140" t="s">
        <v>796</v>
      </c>
      <c r="F4494" s="140" t="s">
        <v>895</v>
      </c>
      <c r="G4494" s="141" t="s">
        <v>134</v>
      </c>
      <c r="H4494" s="140" t="s">
        <v>6330</v>
      </c>
      <c r="I4494" s="140" t="s">
        <v>6313</v>
      </c>
      <c r="J4494" s="140" t="s">
        <v>6319</v>
      </c>
      <c r="K4494" s="140" t="s">
        <v>1573</v>
      </c>
    </row>
    <row r="4495">
      <c r="A4495" s="140" t="s">
        <v>302</v>
      </c>
      <c r="B4495" s="140" t="s">
        <v>899</v>
      </c>
      <c r="C4495" s="140" t="s">
        <v>11878</v>
      </c>
      <c r="D4495" s="140" t="s">
        <v>6601</v>
      </c>
      <c r="E4495" s="140" t="s">
        <v>796</v>
      </c>
      <c r="F4495" s="140" t="s">
        <v>895</v>
      </c>
      <c r="G4495" s="141" t="s">
        <v>134</v>
      </c>
      <c r="H4495" s="140" t="s">
        <v>6330</v>
      </c>
      <c r="I4495" s="140" t="s">
        <v>6313</v>
      </c>
      <c r="J4495" s="140" t="s">
        <v>6319</v>
      </c>
      <c r="K4495" s="140" t="s">
        <v>1573</v>
      </c>
    </row>
    <row r="4496">
      <c r="A4496" s="140" t="s">
        <v>302</v>
      </c>
      <c r="B4496" s="140" t="s">
        <v>909</v>
      </c>
      <c r="C4496" s="140" t="s">
        <v>11879</v>
      </c>
      <c r="D4496" s="140" t="s">
        <v>6601</v>
      </c>
      <c r="E4496" s="140" t="s">
        <v>796</v>
      </c>
      <c r="F4496" s="140" t="s">
        <v>895</v>
      </c>
      <c r="G4496" s="141" t="s">
        <v>134</v>
      </c>
      <c r="H4496" s="140" t="s">
        <v>6330</v>
      </c>
      <c r="I4496" s="140" t="s">
        <v>6313</v>
      </c>
      <c r="J4496" s="140" t="s">
        <v>6319</v>
      </c>
      <c r="K4496" s="140" t="s">
        <v>1573</v>
      </c>
    </row>
    <row r="4497">
      <c r="A4497" s="140" t="s">
        <v>302</v>
      </c>
      <c r="B4497" s="140" t="s">
        <v>901</v>
      </c>
      <c r="C4497" s="140" t="s">
        <v>11880</v>
      </c>
      <c r="D4497" s="140" t="s">
        <v>6601</v>
      </c>
      <c r="E4497" s="140" t="s">
        <v>796</v>
      </c>
      <c r="F4497" s="140" t="s">
        <v>895</v>
      </c>
      <c r="G4497" s="141" t="s">
        <v>134</v>
      </c>
      <c r="H4497" s="140" t="s">
        <v>6330</v>
      </c>
      <c r="I4497" s="140" t="s">
        <v>6313</v>
      </c>
      <c r="J4497" s="140" t="s">
        <v>6319</v>
      </c>
      <c r="K4497" s="140" t="s">
        <v>1573</v>
      </c>
    </row>
    <row r="4498">
      <c r="A4498" s="140" t="s">
        <v>302</v>
      </c>
      <c r="B4498" s="140" t="s">
        <v>929</v>
      </c>
      <c r="C4498" s="140" t="s">
        <v>11881</v>
      </c>
      <c r="D4498" s="140" t="s">
        <v>6601</v>
      </c>
      <c r="E4498" s="140" t="s">
        <v>796</v>
      </c>
      <c r="F4498" s="140" t="s">
        <v>895</v>
      </c>
      <c r="G4498" s="141" t="s">
        <v>134</v>
      </c>
      <c r="H4498" s="140" t="s">
        <v>6330</v>
      </c>
      <c r="I4498" s="140" t="s">
        <v>6313</v>
      </c>
      <c r="J4498" s="140" t="s">
        <v>6319</v>
      </c>
      <c r="K4498" s="140" t="s">
        <v>1573</v>
      </c>
    </row>
    <row r="4499">
      <c r="A4499" s="140" t="s">
        <v>302</v>
      </c>
      <c r="B4499" s="140" t="s">
        <v>931</v>
      </c>
      <c r="C4499" s="140" t="s">
        <v>11882</v>
      </c>
      <c r="D4499" s="140" t="s">
        <v>6601</v>
      </c>
      <c r="E4499" s="140" t="s">
        <v>796</v>
      </c>
      <c r="F4499" s="140" t="s">
        <v>895</v>
      </c>
      <c r="G4499" s="141" t="s">
        <v>134</v>
      </c>
      <c r="H4499" s="140" t="s">
        <v>6330</v>
      </c>
      <c r="I4499" s="140" t="s">
        <v>6313</v>
      </c>
      <c r="J4499" s="140" t="s">
        <v>6319</v>
      </c>
      <c r="K4499" s="140" t="s">
        <v>1573</v>
      </c>
    </row>
    <row r="4500">
      <c r="A4500" s="140" t="s">
        <v>302</v>
      </c>
      <c r="B4500" s="140" t="s">
        <v>933</v>
      </c>
      <c r="C4500" s="140" t="s">
        <v>11883</v>
      </c>
      <c r="D4500" s="140" t="s">
        <v>6601</v>
      </c>
      <c r="E4500" s="140" t="s">
        <v>796</v>
      </c>
      <c r="F4500" s="140" t="s">
        <v>895</v>
      </c>
      <c r="G4500" s="141" t="s">
        <v>134</v>
      </c>
      <c r="H4500" s="140" t="s">
        <v>6330</v>
      </c>
      <c r="I4500" s="140" t="s">
        <v>6313</v>
      </c>
      <c r="J4500" s="140" t="s">
        <v>6319</v>
      </c>
      <c r="K4500" s="140" t="s">
        <v>1573</v>
      </c>
    </row>
    <row r="4501">
      <c r="A4501" s="140" t="s">
        <v>302</v>
      </c>
      <c r="B4501" s="140" t="s">
        <v>935</v>
      </c>
      <c r="C4501" s="140" t="s">
        <v>11884</v>
      </c>
      <c r="D4501" s="140" t="s">
        <v>6601</v>
      </c>
      <c r="E4501" s="140" t="s">
        <v>796</v>
      </c>
      <c r="F4501" s="140" t="s">
        <v>895</v>
      </c>
      <c r="G4501" s="141" t="s">
        <v>134</v>
      </c>
      <c r="H4501" s="140" t="s">
        <v>6330</v>
      </c>
      <c r="I4501" s="140" t="s">
        <v>6313</v>
      </c>
      <c r="J4501" s="140" t="s">
        <v>6319</v>
      </c>
      <c r="K4501" s="140" t="s">
        <v>1573</v>
      </c>
    </row>
    <row r="4502">
      <c r="A4502" s="140" t="s">
        <v>302</v>
      </c>
      <c r="B4502" s="140" t="s">
        <v>1020</v>
      </c>
      <c r="C4502" s="140" t="s">
        <v>11885</v>
      </c>
      <c r="D4502" s="140" t="s">
        <v>6601</v>
      </c>
      <c r="E4502" s="140" t="s">
        <v>796</v>
      </c>
      <c r="F4502" s="140" t="s">
        <v>954</v>
      </c>
      <c r="G4502" s="141" t="s">
        <v>134</v>
      </c>
      <c r="H4502" s="140" t="s">
        <v>6330</v>
      </c>
      <c r="I4502" s="140" t="s">
        <v>6313</v>
      </c>
      <c r="J4502" s="140" t="s">
        <v>6319</v>
      </c>
      <c r="K4502" s="140" t="s">
        <v>1573</v>
      </c>
    </row>
    <row r="4503">
      <c r="A4503" s="140" t="s">
        <v>302</v>
      </c>
      <c r="B4503" s="140" t="s">
        <v>1028</v>
      </c>
      <c r="C4503" s="140" t="s">
        <v>11886</v>
      </c>
      <c r="D4503" s="140" t="s">
        <v>6601</v>
      </c>
      <c r="E4503" s="140" t="s">
        <v>796</v>
      </c>
      <c r="F4503" s="140" t="s">
        <v>954</v>
      </c>
      <c r="G4503" s="141" t="s">
        <v>134</v>
      </c>
      <c r="H4503" s="140" t="s">
        <v>6330</v>
      </c>
      <c r="I4503" s="140" t="s">
        <v>6313</v>
      </c>
      <c r="J4503" s="140" t="s">
        <v>6319</v>
      </c>
      <c r="K4503" s="140" t="s">
        <v>1573</v>
      </c>
    </row>
    <row r="4504">
      <c r="A4504" s="140" t="s">
        <v>302</v>
      </c>
      <c r="B4504" s="140" t="s">
        <v>1022</v>
      </c>
      <c r="C4504" s="140" t="s">
        <v>11887</v>
      </c>
      <c r="D4504" s="140" t="s">
        <v>6601</v>
      </c>
      <c r="E4504" s="140" t="s">
        <v>796</v>
      </c>
      <c r="F4504" s="140" t="s">
        <v>954</v>
      </c>
      <c r="G4504" s="141" t="s">
        <v>134</v>
      </c>
      <c r="H4504" s="140" t="s">
        <v>6330</v>
      </c>
      <c r="I4504" s="140" t="s">
        <v>6313</v>
      </c>
      <c r="J4504" s="140" t="s">
        <v>6319</v>
      </c>
      <c r="K4504" s="140" t="s">
        <v>1573</v>
      </c>
    </row>
    <row r="4505">
      <c r="A4505" s="140" t="s">
        <v>302</v>
      </c>
      <c r="B4505" s="140" t="s">
        <v>1030</v>
      </c>
      <c r="C4505" s="140" t="s">
        <v>11888</v>
      </c>
      <c r="D4505" s="140" t="s">
        <v>6601</v>
      </c>
      <c r="E4505" s="140" t="s">
        <v>796</v>
      </c>
      <c r="F4505" s="140" t="s">
        <v>954</v>
      </c>
      <c r="G4505" s="141" t="s">
        <v>134</v>
      </c>
      <c r="H4505" s="140" t="s">
        <v>6330</v>
      </c>
      <c r="I4505" s="140" t="s">
        <v>6313</v>
      </c>
      <c r="J4505" s="140" t="s">
        <v>6319</v>
      </c>
      <c r="K4505" s="140" t="s">
        <v>1573</v>
      </c>
    </row>
    <row r="4506">
      <c r="A4506" s="140" t="s">
        <v>302</v>
      </c>
      <c r="B4506" s="140" t="s">
        <v>1024</v>
      </c>
      <c r="C4506" s="140" t="s">
        <v>11889</v>
      </c>
      <c r="D4506" s="140" t="s">
        <v>6601</v>
      </c>
      <c r="E4506" s="140" t="s">
        <v>796</v>
      </c>
      <c r="F4506" s="140" t="s">
        <v>954</v>
      </c>
      <c r="G4506" s="141" t="s">
        <v>134</v>
      </c>
      <c r="H4506" s="140" t="s">
        <v>6330</v>
      </c>
      <c r="I4506" s="140" t="s">
        <v>6313</v>
      </c>
      <c r="J4506" s="140" t="s">
        <v>6319</v>
      </c>
      <c r="K4506" s="140" t="s">
        <v>1573</v>
      </c>
    </row>
    <row r="4507">
      <c r="A4507" s="140" t="s">
        <v>302</v>
      </c>
      <c r="B4507" s="140" t="s">
        <v>1032</v>
      </c>
      <c r="C4507" s="140" t="s">
        <v>11890</v>
      </c>
      <c r="D4507" s="140" t="s">
        <v>6601</v>
      </c>
      <c r="E4507" s="140" t="s">
        <v>796</v>
      </c>
      <c r="F4507" s="140" t="s">
        <v>954</v>
      </c>
      <c r="G4507" s="141" t="s">
        <v>134</v>
      </c>
      <c r="H4507" s="140" t="s">
        <v>6330</v>
      </c>
      <c r="I4507" s="140" t="s">
        <v>6313</v>
      </c>
      <c r="J4507" s="140" t="s">
        <v>6319</v>
      </c>
      <c r="K4507" s="140" t="s">
        <v>1573</v>
      </c>
    </row>
    <row r="4508">
      <c r="A4508" s="140" t="s">
        <v>302</v>
      </c>
      <c r="B4508" s="140" t="s">
        <v>1026</v>
      </c>
      <c r="C4508" s="140" t="s">
        <v>11891</v>
      </c>
      <c r="D4508" s="140" t="s">
        <v>6601</v>
      </c>
      <c r="E4508" s="140" t="s">
        <v>796</v>
      </c>
      <c r="F4508" s="140" t="s">
        <v>954</v>
      </c>
      <c r="G4508" s="141" t="s">
        <v>134</v>
      </c>
      <c r="H4508" s="140" t="s">
        <v>6330</v>
      </c>
      <c r="I4508" s="140" t="s">
        <v>6313</v>
      </c>
      <c r="J4508" s="140" t="s">
        <v>6319</v>
      </c>
      <c r="K4508" s="140" t="s">
        <v>1573</v>
      </c>
    </row>
    <row r="4509">
      <c r="A4509" s="140" t="s">
        <v>302</v>
      </c>
      <c r="B4509" s="140" t="s">
        <v>1034</v>
      </c>
      <c r="C4509" s="140" t="s">
        <v>11892</v>
      </c>
      <c r="D4509" s="140" t="s">
        <v>6601</v>
      </c>
      <c r="E4509" s="140" t="s">
        <v>796</v>
      </c>
      <c r="F4509" s="140" t="s">
        <v>954</v>
      </c>
      <c r="G4509" s="141" t="s">
        <v>134</v>
      </c>
      <c r="H4509" s="140" t="s">
        <v>6330</v>
      </c>
      <c r="I4509" s="140" t="s">
        <v>6313</v>
      </c>
      <c r="J4509" s="140" t="s">
        <v>6319</v>
      </c>
      <c r="K4509" s="140" t="s">
        <v>1573</v>
      </c>
    </row>
    <row r="4510">
      <c r="A4510" s="140" t="s">
        <v>302</v>
      </c>
      <c r="B4510" s="140" t="s">
        <v>956</v>
      </c>
      <c r="C4510" s="140" t="s">
        <v>11893</v>
      </c>
      <c r="D4510" s="140" t="s">
        <v>6601</v>
      </c>
      <c r="E4510" s="140" t="s">
        <v>796</v>
      </c>
      <c r="F4510" s="140" t="s">
        <v>954</v>
      </c>
      <c r="G4510" s="141" t="s">
        <v>134</v>
      </c>
      <c r="H4510" s="140" t="s">
        <v>6330</v>
      </c>
      <c r="I4510" s="140" t="s">
        <v>6313</v>
      </c>
      <c r="J4510" s="140" t="s">
        <v>6319</v>
      </c>
      <c r="K4510" s="140" t="s">
        <v>1573</v>
      </c>
    </row>
    <row r="4511">
      <c r="A4511" s="140" t="s">
        <v>302</v>
      </c>
      <c r="B4511" s="140" t="s">
        <v>964</v>
      </c>
      <c r="C4511" s="140" t="s">
        <v>11894</v>
      </c>
      <c r="D4511" s="140" t="s">
        <v>6601</v>
      </c>
      <c r="E4511" s="140" t="s">
        <v>796</v>
      </c>
      <c r="F4511" s="140" t="s">
        <v>954</v>
      </c>
      <c r="G4511" s="141" t="s">
        <v>134</v>
      </c>
      <c r="H4511" s="140" t="s">
        <v>6330</v>
      </c>
      <c r="I4511" s="140" t="s">
        <v>6313</v>
      </c>
      <c r="J4511" s="140" t="s">
        <v>6319</v>
      </c>
      <c r="K4511" s="140" t="s">
        <v>1573</v>
      </c>
    </row>
    <row r="4512">
      <c r="A4512" s="140" t="s">
        <v>302</v>
      </c>
      <c r="B4512" s="140" t="s">
        <v>958</v>
      </c>
      <c r="C4512" s="140" t="s">
        <v>11895</v>
      </c>
      <c r="D4512" s="140" t="s">
        <v>6601</v>
      </c>
      <c r="E4512" s="140" t="s">
        <v>796</v>
      </c>
      <c r="F4512" s="140" t="s">
        <v>954</v>
      </c>
      <c r="G4512" s="141" t="s">
        <v>134</v>
      </c>
      <c r="H4512" s="140" t="s">
        <v>6330</v>
      </c>
      <c r="I4512" s="140" t="s">
        <v>6313</v>
      </c>
      <c r="J4512" s="140" t="s">
        <v>6319</v>
      </c>
      <c r="K4512" s="140" t="s">
        <v>1573</v>
      </c>
    </row>
    <row r="4513">
      <c r="A4513" s="140" t="s">
        <v>302</v>
      </c>
      <c r="B4513" s="140" t="s">
        <v>966</v>
      </c>
      <c r="C4513" s="140" t="s">
        <v>11896</v>
      </c>
      <c r="D4513" s="140" t="s">
        <v>6601</v>
      </c>
      <c r="E4513" s="140" t="s">
        <v>796</v>
      </c>
      <c r="F4513" s="140" t="s">
        <v>954</v>
      </c>
      <c r="G4513" s="141" t="s">
        <v>134</v>
      </c>
      <c r="H4513" s="140" t="s">
        <v>6330</v>
      </c>
      <c r="I4513" s="140" t="s">
        <v>6313</v>
      </c>
      <c r="J4513" s="140" t="s">
        <v>6319</v>
      </c>
      <c r="K4513" s="140" t="s">
        <v>1573</v>
      </c>
    </row>
    <row r="4514">
      <c r="A4514" s="140" t="s">
        <v>302</v>
      </c>
      <c r="B4514" s="140" t="s">
        <v>960</v>
      </c>
      <c r="C4514" s="140" t="s">
        <v>11897</v>
      </c>
      <c r="D4514" s="140" t="s">
        <v>6601</v>
      </c>
      <c r="E4514" s="140" t="s">
        <v>796</v>
      </c>
      <c r="F4514" s="140" t="s">
        <v>954</v>
      </c>
      <c r="G4514" s="141" t="s">
        <v>134</v>
      </c>
      <c r="H4514" s="140" t="s">
        <v>6330</v>
      </c>
      <c r="I4514" s="140" t="s">
        <v>6313</v>
      </c>
      <c r="J4514" s="140" t="s">
        <v>6319</v>
      </c>
      <c r="K4514" s="140" t="s">
        <v>1573</v>
      </c>
    </row>
    <row r="4515">
      <c r="A4515" s="140" t="s">
        <v>302</v>
      </c>
      <c r="B4515" s="140" t="s">
        <v>968</v>
      </c>
      <c r="C4515" s="140" t="s">
        <v>11898</v>
      </c>
      <c r="D4515" s="140" t="s">
        <v>6601</v>
      </c>
      <c r="E4515" s="140" t="s">
        <v>796</v>
      </c>
      <c r="F4515" s="140" t="s">
        <v>954</v>
      </c>
      <c r="G4515" s="141" t="s">
        <v>134</v>
      </c>
      <c r="H4515" s="140" t="s">
        <v>6330</v>
      </c>
      <c r="I4515" s="140" t="s">
        <v>6313</v>
      </c>
      <c r="J4515" s="140" t="s">
        <v>6319</v>
      </c>
      <c r="K4515" s="140" t="s">
        <v>1573</v>
      </c>
    </row>
    <row r="4516">
      <c r="A4516" s="140" t="s">
        <v>302</v>
      </c>
      <c r="B4516" s="140" t="s">
        <v>962</v>
      </c>
      <c r="C4516" s="140" t="s">
        <v>11899</v>
      </c>
      <c r="D4516" s="140" t="s">
        <v>6601</v>
      </c>
      <c r="E4516" s="140" t="s">
        <v>796</v>
      </c>
      <c r="F4516" s="140" t="s">
        <v>954</v>
      </c>
      <c r="G4516" s="141" t="s">
        <v>134</v>
      </c>
      <c r="H4516" s="140" t="s">
        <v>6330</v>
      </c>
      <c r="I4516" s="140" t="s">
        <v>6313</v>
      </c>
      <c r="J4516" s="140" t="s">
        <v>6319</v>
      </c>
      <c r="K4516" s="140" t="s">
        <v>1573</v>
      </c>
    </row>
    <row r="4517">
      <c r="A4517" s="140" t="s">
        <v>302</v>
      </c>
      <c r="B4517" s="140" t="s">
        <v>970</v>
      </c>
      <c r="C4517" s="140" t="s">
        <v>11900</v>
      </c>
      <c r="D4517" s="140" t="s">
        <v>6601</v>
      </c>
      <c r="E4517" s="140" t="s">
        <v>796</v>
      </c>
      <c r="F4517" s="140" t="s">
        <v>954</v>
      </c>
      <c r="G4517" s="141" t="s">
        <v>134</v>
      </c>
      <c r="H4517" s="140" t="s">
        <v>6330</v>
      </c>
      <c r="I4517" s="140" t="s">
        <v>6313</v>
      </c>
      <c r="J4517" s="140" t="s">
        <v>6319</v>
      </c>
      <c r="K4517" s="140" t="s">
        <v>1573</v>
      </c>
    </row>
    <row r="4518">
      <c r="A4518" s="140" t="s">
        <v>302</v>
      </c>
      <c r="B4518" s="140" t="s">
        <v>972</v>
      </c>
      <c r="C4518" s="140" t="s">
        <v>11901</v>
      </c>
      <c r="D4518" s="140" t="s">
        <v>6601</v>
      </c>
      <c r="E4518" s="140" t="s">
        <v>796</v>
      </c>
      <c r="F4518" s="140" t="s">
        <v>954</v>
      </c>
      <c r="G4518" s="141" t="s">
        <v>134</v>
      </c>
      <c r="H4518" s="140" t="s">
        <v>6330</v>
      </c>
      <c r="I4518" s="140" t="s">
        <v>6313</v>
      </c>
      <c r="J4518" s="140" t="s">
        <v>6319</v>
      </c>
      <c r="K4518" s="140" t="s">
        <v>1573</v>
      </c>
    </row>
    <row r="4519">
      <c r="A4519" s="140" t="s">
        <v>302</v>
      </c>
      <c r="B4519" s="140" t="s">
        <v>980</v>
      </c>
      <c r="C4519" s="140" t="s">
        <v>11902</v>
      </c>
      <c r="D4519" s="140" t="s">
        <v>6601</v>
      </c>
      <c r="E4519" s="140" t="s">
        <v>796</v>
      </c>
      <c r="F4519" s="140" t="s">
        <v>954</v>
      </c>
      <c r="G4519" s="141" t="s">
        <v>134</v>
      </c>
      <c r="H4519" s="140" t="s">
        <v>6330</v>
      </c>
      <c r="I4519" s="140" t="s">
        <v>6313</v>
      </c>
      <c r="J4519" s="140" t="s">
        <v>6319</v>
      </c>
      <c r="K4519" s="140" t="s">
        <v>1573</v>
      </c>
    </row>
    <row r="4520">
      <c r="A4520" s="140" t="s">
        <v>302</v>
      </c>
      <c r="B4520" s="140" t="s">
        <v>974</v>
      </c>
      <c r="C4520" s="140" t="s">
        <v>11903</v>
      </c>
      <c r="D4520" s="140" t="s">
        <v>6601</v>
      </c>
      <c r="E4520" s="140" t="s">
        <v>796</v>
      </c>
      <c r="F4520" s="140" t="s">
        <v>954</v>
      </c>
      <c r="G4520" s="141" t="s">
        <v>134</v>
      </c>
      <c r="H4520" s="140" t="s">
        <v>6330</v>
      </c>
      <c r="I4520" s="140" t="s">
        <v>6313</v>
      </c>
      <c r="J4520" s="140" t="s">
        <v>6319</v>
      </c>
      <c r="K4520" s="140" t="s">
        <v>1573</v>
      </c>
    </row>
    <row r="4521">
      <c r="A4521" s="140" t="s">
        <v>302</v>
      </c>
      <c r="B4521" s="140" t="s">
        <v>982</v>
      </c>
      <c r="C4521" s="140" t="s">
        <v>11904</v>
      </c>
      <c r="D4521" s="140" t="s">
        <v>6601</v>
      </c>
      <c r="E4521" s="140" t="s">
        <v>796</v>
      </c>
      <c r="F4521" s="140" t="s">
        <v>954</v>
      </c>
      <c r="G4521" s="141" t="s">
        <v>134</v>
      </c>
      <c r="H4521" s="140" t="s">
        <v>6330</v>
      </c>
      <c r="I4521" s="140" t="s">
        <v>6313</v>
      </c>
      <c r="J4521" s="140" t="s">
        <v>6319</v>
      </c>
      <c r="K4521" s="140" t="s">
        <v>1573</v>
      </c>
    </row>
    <row r="4522">
      <c r="A4522" s="140" t="s">
        <v>302</v>
      </c>
      <c r="B4522" s="140" t="s">
        <v>976</v>
      </c>
      <c r="C4522" s="140" t="s">
        <v>11905</v>
      </c>
      <c r="D4522" s="140" t="s">
        <v>6601</v>
      </c>
      <c r="E4522" s="140" t="s">
        <v>796</v>
      </c>
      <c r="F4522" s="140" t="s">
        <v>954</v>
      </c>
      <c r="G4522" s="141" t="s">
        <v>134</v>
      </c>
      <c r="H4522" s="140" t="s">
        <v>6330</v>
      </c>
      <c r="I4522" s="140" t="s">
        <v>6313</v>
      </c>
      <c r="J4522" s="140" t="s">
        <v>6319</v>
      </c>
      <c r="K4522" s="140" t="s">
        <v>1573</v>
      </c>
    </row>
    <row r="4523">
      <c r="A4523" s="140" t="s">
        <v>302</v>
      </c>
      <c r="B4523" s="140" t="s">
        <v>984</v>
      </c>
      <c r="C4523" s="140" t="s">
        <v>11906</v>
      </c>
      <c r="D4523" s="140" t="s">
        <v>6601</v>
      </c>
      <c r="E4523" s="140" t="s">
        <v>796</v>
      </c>
      <c r="F4523" s="140" t="s">
        <v>954</v>
      </c>
      <c r="G4523" s="141" t="s">
        <v>134</v>
      </c>
      <c r="H4523" s="140" t="s">
        <v>6330</v>
      </c>
      <c r="I4523" s="140" t="s">
        <v>6313</v>
      </c>
      <c r="J4523" s="140" t="s">
        <v>6319</v>
      </c>
      <c r="K4523" s="140" t="s">
        <v>1573</v>
      </c>
    </row>
    <row r="4524">
      <c r="A4524" s="140" t="s">
        <v>302</v>
      </c>
      <c r="B4524" s="140" t="s">
        <v>978</v>
      </c>
      <c r="C4524" s="140" t="s">
        <v>11907</v>
      </c>
      <c r="D4524" s="140" t="s">
        <v>6601</v>
      </c>
      <c r="E4524" s="140" t="s">
        <v>796</v>
      </c>
      <c r="F4524" s="140" t="s">
        <v>954</v>
      </c>
      <c r="G4524" s="141" t="s">
        <v>134</v>
      </c>
      <c r="H4524" s="140" t="s">
        <v>6330</v>
      </c>
      <c r="I4524" s="140" t="s">
        <v>6313</v>
      </c>
      <c r="J4524" s="140" t="s">
        <v>6319</v>
      </c>
      <c r="K4524" s="140" t="s">
        <v>1573</v>
      </c>
    </row>
    <row r="4525">
      <c r="A4525" s="140" t="s">
        <v>302</v>
      </c>
      <c r="B4525" s="140" t="s">
        <v>986</v>
      </c>
      <c r="C4525" s="140" t="s">
        <v>11908</v>
      </c>
      <c r="D4525" s="140" t="s">
        <v>6601</v>
      </c>
      <c r="E4525" s="140" t="s">
        <v>796</v>
      </c>
      <c r="F4525" s="140" t="s">
        <v>954</v>
      </c>
      <c r="G4525" s="141" t="s">
        <v>134</v>
      </c>
      <c r="H4525" s="140" t="s">
        <v>6330</v>
      </c>
      <c r="I4525" s="140" t="s">
        <v>6313</v>
      </c>
      <c r="J4525" s="140" t="s">
        <v>6319</v>
      </c>
      <c r="K4525" s="140" t="s">
        <v>1573</v>
      </c>
    </row>
    <row r="4526">
      <c r="A4526" s="140" t="s">
        <v>302</v>
      </c>
      <c r="B4526" s="140" t="s">
        <v>988</v>
      </c>
      <c r="C4526" s="140" t="s">
        <v>11909</v>
      </c>
      <c r="D4526" s="140" t="s">
        <v>6601</v>
      </c>
      <c r="E4526" s="140" t="s">
        <v>796</v>
      </c>
      <c r="F4526" s="140" t="s">
        <v>954</v>
      </c>
      <c r="G4526" s="141" t="s">
        <v>134</v>
      </c>
      <c r="H4526" s="140" t="s">
        <v>6330</v>
      </c>
      <c r="I4526" s="140" t="s">
        <v>6313</v>
      </c>
      <c r="J4526" s="140" t="s">
        <v>6319</v>
      </c>
      <c r="K4526" s="140" t="s">
        <v>1573</v>
      </c>
    </row>
    <row r="4527">
      <c r="A4527" s="140" t="s">
        <v>302</v>
      </c>
      <c r="B4527" s="140" t="s">
        <v>996</v>
      </c>
      <c r="C4527" s="140" t="s">
        <v>11910</v>
      </c>
      <c r="D4527" s="140" t="s">
        <v>6601</v>
      </c>
      <c r="E4527" s="140" t="s">
        <v>796</v>
      </c>
      <c r="F4527" s="140" t="s">
        <v>954</v>
      </c>
      <c r="G4527" s="141" t="s">
        <v>134</v>
      </c>
      <c r="H4527" s="140" t="s">
        <v>6330</v>
      </c>
      <c r="I4527" s="140" t="s">
        <v>6313</v>
      </c>
      <c r="J4527" s="140" t="s">
        <v>6319</v>
      </c>
      <c r="K4527" s="140" t="s">
        <v>1573</v>
      </c>
    </row>
    <row r="4528">
      <c r="A4528" s="140" t="s">
        <v>302</v>
      </c>
      <c r="B4528" s="140" t="s">
        <v>990</v>
      </c>
      <c r="C4528" s="140" t="s">
        <v>11911</v>
      </c>
      <c r="D4528" s="140" t="s">
        <v>6601</v>
      </c>
      <c r="E4528" s="140" t="s">
        <v>796</v>
      </c>
      <c r="F4528" s="140" t="s">
        <v>954</v>
      </c>
      <c r="G4528" s="141" t="s">
        <v>134</v>
      </c>
      <c r="H4528" s="140" t="s">
        <v>6330</v>
      </c>
      <c r="I4528" s="140" t="s">
        <v>6313</v>
      </c>
      <c r="J4528" s="140" t="s">
        <v>6319</v>
      </c>
      <c r="K4528" s="140" t="s">
        <v>1573</v>
      </c>
    </row>
    <row r="4529">
      <c r="A4529" s="140" t="s">
        <v>302</v>
      </c>
      <c r="B4529" s="140" t="s">
        <v>998</v>
      </c>
      <c r="C4529" s="140" t="s">
        <v>11912</v>
      </c>
      <c r="D4529" s="140" t="s">
        <v>6601</v>
      </c>
      <c r="E4529" s="140" t="s">
        <v>796</v>
      </c>
      <c r="F4529" s="140" t="s">
        <v>954</v>
      </c>
      <c r="G4529" s="141" t="s">
        <v>134</v>
      </c>
      <c r="H4529" s="140" t="s">
        <v>6330</v>
      </c>
      <c r="I4529" s="140" t="s">
        <v>6313</v>
      </c>
      <c r="J4529" s="140" t="s">
        <v>6319</v>
      </c>
      <c r="K4529" s="140" t="s">
        <v>1573</v>
      </c>
    </row>
    <row r="4530">
      <c r="A4530" s="140" t="s">
        <v>302</v>
      </c>
      <c r="B4530" s="140" t="s">
        <v>992</v>
      </c>
      <c r="C4530" s="140" t="s">
        <v>11913</v>
      </c>
      <c r="D4530" s="140" t="s">
        <v>6601</v>
      </c>
      <c r="E4530" s="140" t="s">
        <v>796</v>
      </c>
      <c r="F4530" s="140" t="s">
        <v>954</v>
      </c>
      <c r="G4530" s="141" t="s">
        <v>134</v>
      </c>
      <c r="H4530" s="140" t="s">
        <v>6330</v>
      </c>
      <c r="I4530" s="140" t="s">
        <v>6313</v>
      </c>
      <c r="J4530" s="140" t="s">
        <v>6319</v>
      </c>
      <c r="K4530" s="140" t="s">
        <v>1573</v>
      </c>
    </row>
    <row r="4531">
      <c r="A4531" s="140" t="s">
        <v>302</v>
      </c>
      <c r="B4531" s="140" t="s">
        <v>1000</v>
      </c>
      <c r="C4531" s="140" t="s">
        <v>11914</v>
      </c>
      <c r="D4531" s="140" t="s">
        <v>6601</v>
      </c>
      <c r="E4531" s="140" t="s">
        <v>796</v>
      </c>
      <c r="F4531" s="140" t="s">
        <v>954</v>
      </c>
      <c r="G4531" s="141" t="s">
        <v>134</v>
      </c>
      <c r="H4531" s="140" t="s">
        <v>6330</v>
      </c>
      <c r="I4531" s="140" t="s">
        <v>6313</v>
      </c>
      <c r="J4531" s="140" t="s">
        <v>6319</v>
      </c>
      <c r="K4531" s="140" t="s">
        <v>1573</v>
      </c>
    </row>
    <row r="4532">
      <c r="A4532" s="140" t="s">
        <v>302</v>
      </c>
      <c r="B4532" s="140" t="s">
        <v>1002</v>
      </c>
      <c r="C4532" s="140" t="s">
        <v>11915</v>
      </c>
      <c r="D4532" s="140" t="s">
        <v>6601</v>
      </c>
      <c r="E4532" s="140" t="s">
        <v>796</v>
      </c>
      <c r="F4532" s="140" t="s">
        <v>954</v>
      </c>
      <c r="G4532" s="141" t="s">
        <v>134</v>
      </c>
      <c r="H4532" s="140" t="s">
        <v>6330</v>
      </c>
      <c r="I4532" s="140" t="s">
        <v>6313</v>
      </c>
      <c r="J4532" s="140" t="s">
        <v>6319</v>
      </c>
      <c r="K4532" s="140" t="s">
        <v>1573</v>
      </c>
    </row>
    <row r="4533">
      <c r="A4533" s="140" t="s">
        <v>302</v>
      </c>
      <c r="B4533" s="140" t="s">
        <v>994</v>
      </c>
      <c r="C4533" s="140" t="s">
        <v>2009</v>
      </c>
      <c r="D4533" s="140" t="s">
        <v>6601</v>
      </c>
      <c r="E4533" s="140" t="s">
        <v>796</v>
      </c>
      <c r="F4533" s="140" t="s">
        <v>954</v>
      </c>
      <c r="G4533" s="141" t="s">
        <v>134</v>
      </c>
      <c r="H4533" s="140" t="s">
        <v>6330</v>
      </c>
      <c r="I4533" s="140" t="s">
        <v>6313</v>
      </c>
      <c r="J4533" s="140" t="s">
        <v>6319</v>
      </c>
      <c r="K4533" s="140" t="s">
        <v>1573</v>
      </c>
    </row>
    <row r="4534">
      <c r="A4534" s="140" t="s">
        <v>302</v>
      </c>
      <c r="B4534" s="140" t="s">
        <v>1056</v>
      </c>
      <c r="C4534" s="140" t="s">
        <v>11916</v>
      </c>
      <c r="D4534" s="140" t="s">
        <v>6601</v>
      </c>
      <c r="E4534" s="140" t="s">
        <v>796</v>
      </c>
      <c r="F4534" s="140" t="s">
        <v>954</v>
      </c>
      <c r="G4534" s="141" t="s">
        <v>134</v>
      </c>
      <c r="H4534" s="140" t="s">
        <v>6330</v>
      </c>
      <c r="I4534" s="140" t="s">
        <v>6313</v>
      </c>
      <c r="J4534" s="140" t="s">
        <v>6319</v>
      </c>
      <c r="K4534" s="140" t="s">
        <v>1573</v>
      </c>
    </row>
    <row r="4535">
      <c r="A4535" s="140" t="s">
        <v>302</v>
      </c>
      <c r="B4535" s="140" t="s">
        <v>1064</v>
      </c>
      <c r="C4535" s="140" t="s">
        <v>11917</v>
      </c>
      <c r="D4535" s="140" t="s">
        <v>6601</v>
      </c>
      <c r="E4535" s="140" t="s">
        <v>796</v>
      </c>
      <c r="F4535" s="140" t="s">
        <v>954</v>
      </c>
      <c r="G4535" s="141" t="s">
        <v>134</v>
      </c>
      <c r="H4535" s="140" t="s">
        <v>6330</v>
      </c>
      <c r="I4535" s="140" t="s">
        <v>6313</v>
      </c>
      <c r="J4535" s="140" t="s">
        <v>6319</v>
      </c>
      <c r="K4535" s="140" t="s">
        <v>1573</v>
      </c>
    </row>
    <row r="4536">
      <c r="A4536" s="140" t="s">
        <v>302</v>
      </c>
      <c r="B4536" s="140" t="s">
        <v>1054</v>
      </c>
      <c r="C4536" s="140" t="s">
        <v>11918</v>
      </c>
      <c r="D4536" s="140" t="s">
        <v>6601</v>
      </c>
      <c r="E4536" s="140" t="s">
        <v>796</v>
      </c>
      <c r="F4536" s="140" t="s">
        <v>954</v>
      </c>
      <c r="G4536" s="141" t="s">
        <v>6742</v>
      </c>
      <c r="H4536" s="140" t="s">
        <v>6330</v>
      </c>
      <c r="I4536" s="140" t="s">
        <v>6313</v>
      </c>
      <c r="J4536" s="140" t="s">
        <v>6319</v>
      </c>
      <c r="K4536" s="140" t="s">
        <v>1573</v>
      </c>
    </row>
    <row r="4537">
      <c r="A4537" s="140" t="s">
        <v>302</v>
      </c>
      <c r="B4537" s="140" t="s">
        <v>1062</v>
      </c>
      <c r="C4537" s="140" t="s">
        <v>11919</v>
      </c>
      <c r="D4537" s="140" t="s">
        <v>6601</v>
      </c>
      <c r="E4537" s="140" t="s">
        <v>796</v>
      </c>
      <c r="F4537" s="140" t="s">
        <v>954</v>
      </c>
      <c r="G4537" s="141" t="s">
        <v>134</v>
      </c>
      <c r="H4537" s="140" t="s">
        <v>6330</v>
      </c>
      <c r="I4537" s="140" t="s">
        <v>6313</v>
      </c>
      <c r="J4537" s="140" t="s">
        <v>6319</v>
      </c>
      <c r="K4537" s="140" t="s">
        <v>1573</v>
      </c>
    </row>
    <row r="4538">
      <c r="A4538" s="140" t="s">
        <v>302</v>
      </c>
      <c r="B4538" s="140" t="s">
        <v>1052</v>
      </c>
      <c r="C4538" s="140" t="s">
        <v>11920</v>
      </c>
      <c r="D4538" s="140" t="s">
        <v>6601</v>
      </c>
      <c r="E4538" s="140" t="s">
        <v>796</v>
      </c>
      <c r="F4538" s="140" t="s">
        <v>954</v>
      </c>
      <c r="G4538" s="141" t="s">
        <v>6742</v>
      </c>
      <c r="H4538" s="140" t="s">
        <v>6330</v>
      </c>
      <c r="I4538" s="140" t="s">
        <v>6313</v>
      </c>
      <c r="J4538" s="140" t="s">
        <v>6319</v>
      </c>
      <c r="K4538" s="140" t="s">
        <v>1573</v>
      </c>
    </row>
    <row r="4539">
      <c r="A4539" s="140" t="s">
        <v>302</v>
      </c>
      <c r="B4539" s="140" t="s">
        <v>1060</v>
      </c>
      <c r="C4539" s="140" t="s">
        <v>11921</v>
      </c>
      <c r="D4539" s="140" t="s">
        <v>6601</v>
      </c>
      <c r="E4539" s="140" t="s">
        <v>796</v>
      </c>
      <c r="F4539" s="140" t="s">
        <v>954</v>
      </c>
      <c r="G4539" s="141" t="s">
        <v>6742</v>
      </c>
      <c r="H4539" s="140" t="s">
        <v>6330</v>
      </c>
      <c r="I4539" s="140" t="s">
        <v>6313</v>
      </c>
      <c r="J4539" s="140" t="s">
        <v>6319</v>
      </c>
      <c r="K4539" s="140" t="s">
        <v>1573</v>
      </c>
    </row>
    <row r="4540">
      <c r="A4540" s="140" t="s">
        <v>302</v>
      </c>
      <c r="B4540" s="140" t="s">
        <v>1058</v>
      </c>
      <c r="C4540" s="140" t="s">
        <v>11922</v>
      </c>
      <c r="D4540" s="140" t="s">
        <v>6601</v>
      </c>
      <c r="E4540" s="140" t="s">
        <v>796</v>
      </c>
      <c r="F4540" s="140" t="s">
        <v>954</v>
      </c>
      <c r="G4540" s="141" t="s">
        <v>134</v>
      </c>
      <c r="H4540" s="140" t="s">
        <v>6330</v>
      </c>
      <c r="I4540" s="140" t="s">
        <v>6313</v>
      </c>
      <c r="J4540" s="140" t="s">
        <v>6319</v>
      </c>
      <c r="K4540" s="140" t="s">
        <v>1573</v>
      </c>
    </row>
    <row r="4541">
      <c r="A4541" s="140" t="s">
        <v>302</v>
      </c>
      <c r="B4541" s="140" t="s">
        <v>1066</v>
      </c>
      <c r="C4541" s="140" t="s">
        <v>11923</v>
      </c>
      <c r="D4541" s="140" t="s">
        <v>6601</v>
      </c>
      <c r="E4541" s="140" t="s">
        <v>796</v>
      </c>
      <c r="F4541" s="140" t="s">
        <v>954</v>
      </c>
      <c r="G4541" s="141" t="s">
        <v>134</v>
      </c>
      <c r="H4541" s="140" t="s">
        <v>6330</v>
      </c>
      <c r="I4541" s="140" t="s">
        <v>6313</v>
      </c>
      <c r="J4541" s="140" t="s">
        <v>6319</v>
      </c>
      <c r="K4541" s="140" t="s">
        <v>1573</v>
      </c>
    </row>
    <row r="4542">
      <c r="A4542" s="140" t="s">
        <v>302</v>
      </c>
      <c r="B4542" s="140" t="s">
        <v>1004</v>
      </c>
      <c r="C4542" s="140" t="s">
        <v>11924</v>
      </c>
      <c r="D4542" s="140" t="s">
        <v>6601</v>
      </c>
      <c r="E4542" s="140" t="s">
        <v>796</v>
      </c>
      <c r="F4542" s="140" t="s">
        <v>954</v>
      </c>
      <c r="G4542" s="141" t="s">
        <v>134</v>
      </c>
      <c r="H4542" s="140" t="s">
        <v>6330</v>
      </c>
      <c r="I4542" s="140" t="s">
        <v>6313</v>
      </c>
      <c r="J4542" s="140" t="s">
        <v>6319</v>
      </c>
      <c r="K4542" s="140" t="s">
        <v>1573</v>
      </c>
    </row>
    <row r="4543">
      <c r="A4543" s="140" t="s">
        <v>302</v>
      </c>
      <c r="B4543" s="140" t="s">
        <v>1012</v>
      </c>
      <c r="C4543" s="140" t="s">
        <v>11925</v>
      </c>
      <c r="D4543" s="140" t="s">
        <v>6601</v>
      </c>
      <c r="E4543" s="140" t="s">
        <v>796</v>
      </c>
      <c r="F4543" s="140" t="s">
        <v>954</v>
      </c>
      <c r="G4543" s="141" t="s">
        <v>134</v>
      </c>
      <c r="H4543" s="140" t="s">
        <v>6330</v>
      </c>
      <c r="I4543" s="140" t="s">
        <v>6313</v>
      </c>
      <c r="J4543" s="140" t="s">
        <v>6319</v>
      </c>
      <c r="K4543" s="140" t="s">
        <v>1573</v>
      </c>
    </row>
    <row r="4544">
      <c r="A4544" s="140" t="s">
        <v>302</v>
      </c>
      <c r="B4544" s="140" t="s">
        <v>1006</v>
      </c>
      <c r="C4544" s="140" t="s">
        <v>11926</v>
      </c>
      <c r="D4544" s="140" t="s">
        <v>6601</v>
      </c>
      <c r="E4544" s="140" t="s">
        <v>796</v>
      </c>
      <c r="F4544" s="140" t="s">
        <v>954</v>
      </c>
      <c r="G4544" s="141" t="s">
        <v>134</v>
      </c>
      <c r="H4544" s="140" t="s">
        <v>6330</v>
      </c>
      <c r="I4544" s="140" t="s">
        <v>6313</v>
      </c>
      <c r="J4544" s="140" t="s">
        <v>6319</v>
      </c>
      <c r="K4544" s="140" t="s">
        <v>1573</v>
      </c>
    </row>
    <row r="4545">
      <c r="A4545" s="140" t="s">
        <v>302</v>
      </c>
      <c r="B4545" s="140" t="s">
        <v>1014</v>
      </c>
      <c r="C4545" s="140" t="s">
        <v>11927</v>
      </c>
      <c r="D4545" s="140" t="s">
        <v>6601</v>
      </c>
      <c r="E4545" s="140" t="s">
        <v>796</v>
      </c>
      <c r="F4545" s="140" t="s">
        <v>954</v>
      </c>
      <c r="G4545" s="141" t="s">
        <v>134</v>
      </c>
      <c r="H4545" s="140" t="s">
        <v>6330</v>
      </c>
      <c r="I4545" s="140" t="s">
        <v>6313</v>
      </c>
      <c r="J4545" s="140" t="s">
        <v>6319</v>
      </c>
      <c r="K4545" s="140" t="s">
        <v>1573</v>
      </c>
    </row>
    <row r="4546">
      <c r="A4546" s="140" t="s">
        <v>302</v>
      </c>
      <c r="B4546" s="140" t="s">
        <v>1008</v>
      </c>
      <c r="C4546" s="140" t="s">
        <v>11928</v>
      </c>
      <c r="D4546" s="140" t="s">
        <v>6601</v>
      </c>
      <c r="E4546" s="140" t="s">
        <v>796</v>
      </c>
      <c r="F4546" s="140" t="s">
        <v>954</v>
      </c>
      <c r="G4546" s="141" t="s">
        <v>134</v>
      </c>
      <c r="H4546" s="140" t="s">
        <v>6330</v>
      </c>
      <c r="I4546" s="140" t="s">
        <v>6313</v>
      </c>
      <c r="J4546" s="140" t="s">
        <v>6319</v>
      </c>
      <c r="K4546" s="140" t="s">
        <v>1573</v>
      </c>
    </row>
    <row r="4547">
      <c r="A4547" s="140" t="s">
        <v>302</v>
      </c>
      <c r="B4547" s="140" t="s">
        <v>1016</v>
      </c>
      <c r="C4547" s="140" t="s">
        <v>11929</v>
      </c>
      <c r="D4547" s="140" t="s">
        <v>6601</v>
      </c>
      <c r="E4547" s="140" t="s">
        <v>796</v>
      </c>
      <c r="F4547" s="140" t="s">
        <v>954</v>
      </c>
      <c r="G4547" s="141" t="s">
        <v>134</v>
      </c>
      <c r="H4547" s="140" t="s">
        <v>6330</v>
      </c>
      <c r="I4547" s="140" t="s">
        <v>6313</v>
      </c>
      <c r="J4547" s="140" t="s">
        <v>6319</v>
      </c>
      <c r="K4547" s="140" t="s">
        <v>1573</v>
      </c>
    </row>
    <row r="4548">
      <c r="A4548" s="140" t="s">
        <v>302</v>
      </c>
      <c r="B4548" s="140" t="s">
        <v>1010</v>
      </c>
      <c r="C4548" s="140" t="s">
        <v>11930</v>
      </c>
      <c r="D4548" s="140" t="s">
        <v>6601</v>
      </c>
      <c r="E4548" s="140" t="s">
        <v>796</v>
      </c>
      <c r="F4548" s="140" t="s">
        <v>954</v>
      </c>
      <c r="G4548" s="141" t="s">
        <v>134</v>
      </c>
      <c r="H4548" s="140" t="s">
        <v>6330</v>
      </c>
      <c r="I4548" s="140" t="s">
        <v>6313</v>
      </c>
      <c r="J4548" s="140" t="s">
        <v>6319</v>
      </c>
      <c r="K4548" s="140" t="s">
        <v>1573</v>
      </c>
    </row>
    <row r="4549">
      <c r="A4549" s="140" t="s">
        <v>302</v>
      </c>
      <c r="B4549" s="140" t="s">
        <v>1018</v>
      </c>
      <c r="C4549" s="140" t="s">
        <v>11931</v>
      </c>
      <c r="D4549" s="140" t="s">
        <v>6601</v>
      </c>
      <c r="E4549" s="140" t="s">
        <v>796</v>
      </c>
      <c r="F4549" s="140" t="s">
        <v>954</v>
      </c>
      <c r="G4549" s="141" t="s">
        <v>134</v>
      </c>
      <c r="H4549" s="140" t="s">
        <v>6330</v>
      </c>
      <c r="I4549" s="140" t="s">
        <v>6313</v>
      </c>
      <c r="J4549" s="140" t="s">
        <v>6319</v>
      </c>
      <c r="K4549" s="140" t="s">
        <v>1573</v>
      </c>
    </row>
    <row r="4550">
      <c r="A4550" s="140" t="s">
        <v>302</v>
      </c>
      <c r="B4550" s="140" t="s">
        <v>1048</v>
      </c>
      <c r="C4550" s="140" t="s">
        <v>11932</v>
      </c>
      <c r="D4550" s="140" t="s">
        <v>6601</v>
      </c>
      <c r="E4550" s="140" t="s">
        <v>796</v>
      </c>
      <c r="F4550" s="140" t="s">
        <v>954</v>
      </c>
      <c r="G4550" s="141" t="s">
        <v>6401</v>
      </c>
      <c r="H4550" s="140" t="s">
        <v>6330</v>
      </c>
      <c r="I4550" s="140" t="s">
        <v>6313</v>
      </c>
      <c r="J4550" s="140" t="s">
        <v>6319</v>
      </c>
      <c r="K4550" s="140" t="s">
        <v>1573</v>
      </c>
    </row>
    <row r="4551">
      <c r="A4551" s="140" t="s">
        <v>302</v>
      </c>
      <c r="B4551" s="140" t="s">
        <v>1046</v>
      </c>
      <c r="C4551" s="140" t="s">
        <v>11933</v>
      </c>
      <c r="D4551" s="140" t="s">
        <v>6601</v>
      </c>
      <c r="E4551" s="140" t="s">
        <v>796</v>
      </c>
      <c r="F4551" s="140" t="s">
        <v>954</v>
      </c>
      <c r="G4551" s="141" t="s">
        <v>6401</v>
      </c>
      <c r="H4551" s="140" t="s">
        <v>6330</v>
      </c>
      <c r="I4551" s="140" t="s">
        <v>6313</v>
      </c>
      <c r="J4551" s="140" t="s">
        <v>6319</v>
      </c>
      <c r="K4551" s="140" t="s">
        <v>1573</v>
      </c>
    </row>
    <row r="4552">
      <c r="A4552" s="140" t="s">
        <v>302</v>
      </c>
      <c r="B4552" s="140" t="s">
        <v>1044</v>
      </c>
      <c r="C4552" s="140" t="s">
        <v>11934</v>
      </c>
      <c r="D4552" s="140" t="s">
        <v>6601</v>
      </c>
      <c r="E4552" s="140" t="s">
        <v>796</v>
      </c>
      <c r="F4552" s="140" t="s">
        <v>954</v>
      </c>
      <c r="G4552" s="141" t="s">
        <v>6401</v>
      </c>
      <c r="H4552" s="140" t="s">
        <v>6330</v>
      </c>
      <c r="I4552" s="140" t="s">
        <v>6313</v>
      </c>
      <c r="J4552" s="140" t="s">
        <v>6319</v>
      </c>
      <c r="K4552" s="140" t="s">
        <v>1573</v>
      </c>
    </row>
    <row r="4553">
      <c r="A4553" s="140" t="s">
        <v>302</v>
      </c>
      <c r="B4553" s="140" t="s">
        <v>1050</v>
      </c>
      <c r="C4553" s="140" t="s">
        <v>11935</v>
      </c>
      <c r="D4553" s="140" t="s">
        <v>6601</v>
      </c>
      <c r="E4553" s="140" t="s">
        <v>796</v>
      </c>
      <c r="F4553" s="140" t="s">
        <v>954</v>
      </c>
      <c r="G4553" s="141" t="s">
        <v>6401</v>
      </c>
      <c r="H4553" s="140" t="s">
        <v>6330</v>
      </c>
      <c r="I4553" s="140" t="s">
        <v>6313</v>
      </c>
      <c r="J4553" s="140" t="s">
        <v>6319</v>
      </c>
      <c r="K4553" s="140" t="s">
        <v>1573</v>
      </c>
    </row>
    <row r="4554">
      <c r="A4554" s="140" t="s">
        <v>302</v>
      </c>
      <c r="B4554" s="140" t="s">
        <v>1040</v>
      </c>
      <c r="C4554" s="140" t="s">
        <v>11936</v>
      </c>
      <c r="D4554" s="140" t="s">
        <v>6601</v>
      </c>
      <c r="E4554" s="140" t="s">
        <v>796</v>
      </c>
      <c r="F4554" s="140" t="s">
        <v>954</v>
      </c>
      <c r="G4554" s="141" t="s">
        <v>6401</v>
      </c>
      <c r="H4554" s="140" t="s">
        <v>6330</v>
      </c>
      <c r="I4554" s="140" t="s">
        <v>6313</v>
      </c>
      <c r="J4554" s="140" t="s">
        <v>6319</v>
      </c>
      <c r="K4554" s="140" t="s">
        <v>1573</v>
      </c>
    </row>
    <row r="4555">
      <c r="A4555" s="140" t="s">
        <v>302</v>
      </c>
      <c r="B4555" s="140" t="s">
        <v>1038</v>
      </c>
      <c r="C4555" s="140" t="s">
        <v>11937</v>
      </c>
      <c r="D4555" s="140" t="s">
        <v>6601</v>
      </c>
      <c r="E4555" s="140" t="s">
        <v>796</v>
      </c>
      <c r="F4555" s="140" t="s">
        <v>954</v>
      </c>
      <c r="G4555" s="141" t="s">
        <v>6401</v>
      </c>
      <c r="H4555" s="140" t="s">
        <v>6330</v>
      </c>
      <c r="I4555" s="140" t="s">
        <v>6313</v>
      </c>
      <c r="J4555" s="140" t="s">
        <v>6319</v>
      </c>
      <c r="K4555" s="140" t="s">
        <v>1573</v>
      </c>
    </row>
    <row r="4556">
      <c r="A4556" s="140" t="s">
        <v>302</v>
      </c>
      <c r="B4556" s="140" t="s">
        <v>1036</v>
      </c>
      <c r="C4556" s="140" t="s">
        <v>11938</v>
      </c>
      <c r="D4556" s="140" t="s">
        <v>6601</v>
      </c>
      <c r="E4556" s="140" t="s">
        <v>796</v>
      </c>
      <c r="F4556" s="140" t="s">
        <v>954</v>
      </c>
      <c r="G4556" s="141" t="s">
        <v>6401</v>
      </c>
      <c r="H4556" s="140" t="s">
        <v>6330</v>
      </c>
      <c r="I4556" s="140" t="s">
        <v>6313</v>
      </c>
      <c r="J4556" s="140" t="s">
        <v>6319</v>
      </c>
      <c r="K4556" s="140" t="s">
        <v>1573</v>
      </c>
    </row>
    <row r="4557">
      <c r="A4557" s="140" t="s">
        <v>302</v>
      </c>
      <c r="B4557" s="140" t="s">
        <v>1042</v>
      </c>
      <c r="C4557" s="140" t="s">
        <v>11939</v>
      </c>
      <c r="D4557" s="140" t="s">
        <v>6601</v>
      </c>
      <c r="E4557" s="140" t="s">
        <v>796</v>
      </c>
      <c r="F4557" s="140" t="s">
        <v>954</v>
      </c>
      <c r="G4557" s="141" t="s">
        <v>6401</v>
      </c>
      <c r="H4557" s="140" t="s">
        <v>6330</v>
      </c>
      <c r="I4557" s="140" t="s">
        <v>6313</v>
      </c>
      <c r="J4557" s="140" t="s">
        <v>6319</v>
      </c>
      <c r="K4557" s="140" t="s">
        <v>1573</v>
      </c>
    </row>
    <row r="4558">
      <c r="A4558" s="140" t="s">
        <v>302</v>
      </c>
      <c r="B4558" s="140" t="s">
        <v>1124</v>
      </c>
      <c r="C4558" s="140" t="s">
        <v>11940</v>
      </c>
      <c r="D4558" s="140" t="s">
        <v>6601</v>
      </c>
      <c r="E4558" s="140" t="s">
        <v>796</v>
      </c>
      <c r="F4558" s="140" t="s">
        <v>1067</v>
      </c>
      <c r="G4558" s="141" t="s">
        <v>6742</v>
      </c>
      <c r="H4558" s="140" t="s">
        <v>6330</v>
      </c>
      <c r="I4558" s="140" t="s">
        <v>6313</v>
      </c>
      <c r="J4558" s="140" t="s">
        <v>6319</v>
      </c>
      <c r="K4558" s="140" t="s">
        <v>1573</v>
      </c>
    </row>
    <row r="4559">
      <c r="A4559" s="140" t="s">
        <v>302</v>
      </c>
      <c r="B4559" s="140" t="s">
        <v>1113</v>
      </c>
      <c r="C4559" s="140" t="s">
        <v>11941</v>
      </c>
      <c r="D4559" s="140" t="s">
        <v>6601</v>
      </c>
      <c r="E4559" s="140" t="s">
        <v>796</v>
      </c>
      <c r="F4559" s="140" t="s">
        <v>1067</v>
      </c>
      <c r="G4559" s="141" t="s">
        <v>6742</v>
      </c>
      <c r="H4559" s="140" t="s">
        <v>6330</v>
      </c>
      <c r="I4559" s="140" t="s">
        <v>6313</v>
      </c>
      <c r="J4559" s="140" t="s">
        <v>6319</v>
      </c>
      <c r="K4559" s="140" t="s">
        <v>1573</v>
      </c>
    </row>
    <row r="4560">
      <c r="A4560" s="140" t="s">
        <v>302</v>
      </c>
      <c r="B4560" s="140" t="s">
        <v>1105</v>
      </c>
      <c r="C4560" s="140" t="s">
        <v>11942</v>
      </c>
      <c r="D4560" s="140" t="s">
        <v>6601</v>
      </c>
      <c r="E4560" s="140" t="s">
        <v>796</v>
      </c>
      <c r="F4560" s="140" t="s">
        <v>1067</v>
      </c>
      <c r="G4560" s="141" t="s">
        <v>6742</v>
      </c>
      <c r="H4560" s="140" t="s">
        <v>6330</v>
      </c>
      <c r="I4560" s="140" t="s">
        <v>6313</v>
      </c>
      <c r="J4560" s="140" t="s">
        <v>6319</v>
      </c>
      <c r="K4560" s="140" t="s">
        <v>1573</v>
      </c>
    </row>
    <row r="4561">
      <c r="A4561" s="140" t="s">
        <v>302</v>
      </c>
      <c r="B4561" s="140" t="s">
        <v>1121</v>
      </c>
      <c r="C4561" s="140" t="s">
        <v>11943</v>
      </c>
      <c r="D4561" s="140" t="s">
        <v>6601</v>
      </c>
      <c r="E4561" s="140" t="s">
        <v>796</v>
      </c>
      <c r="F4561" s="140" t="s">
        <v>1067</v>
      </c>
      <c r="G4561" s="141" t="s">
        <v>6742</v>
      </c>
      <c r="H4561" s="140" t="s">
        <v>6330</v>
      </c>
      <c r="I4561" s="140" t="s">
        <v>6313</v>
      </c>
      <c r="J4561" s="140" t="s">
        <v>6319</v>
      </c>
      <c r="K4561" s="140" t="s">
        <v>1573</v>
      </c>
    </row>
    <row r="4562">
      <c r="A4562" s="140" t="s">
        <v>302</v>
      </c>
      <c r="B4562" s="140" t="s">
        <v>1111</v>
      </c>
      <c r="C4562" s="140" t="s">
        <v>11944</v>
      </c>
      <c r="D4562" s="140" t="s">
        <v>6601</v>
      </c>
      <c r="E4562" s="140" t="s">
        <v>796</v>
      </c>
      <c r="F4562" s="140" t="s">
        <v>1067</v>
      </c>
      <c r="G4562" s="141" t="s">
        <v>6742</v>
      </c>
      <c r="H4562" s="140" t="s">
        <v>6330</v>
      </c>
      <c r="I4562" s="140" t="s">
        <v>6313</v>
      </c>
      <c r="J4562" s="140" t="s">
        <v>6319</v>
      </c>
      <c r="K4562" s="140" t="s">
        <v>1573</v>
      </c>
    </row>
    <row r="4563">
      <c r="A4563" s="140" t="s">
        <v>302</v>
      </c>
      <c r="B4563" s="140" t="s">
        <v>1103</v>
      </c>
      <c r="C4563" s="140" t="s">
        <v>11945</v>
      </c>
      <c r="D4563" s="140" t="s">
        <v>6601</v>
      </c>
      <c r="E4563" s="140" t="s">
        <v>796</v>
      </c>
      <c r="F4563" s="140" t="s">
        <v>1067</v>
      </c>
      <c r="G4563" s="141" t="s">
        <v>6742</v>
      </c>
      <c r="H4563" s="140" t="s">
        <v>6330</v>
      </c>
      <c r="I4563" s="140" t="s">
        <v>6313</v>
      </c>
      <c r="J4563" s="140" t="s">
        <v>6319</v>
      </c>
      <c r="K4563" s="140" t="s">
        <v>1573</v>
      </c>
    </row>
    <row r="4564">
      <c r="A4564" s="140" t="s">
        <v>302</v>
      </c>
      <c r="B4564" s="140" t="s">
        <v>1118</v>
      </c>
      <c r="C4564" s="140" t="s">
        <v>11946</v>
      </c>
      <c r="D4564" s="140" t="s">
        <v>6601</v>
      </c>
      <c r="E4564" s="140" t="s">
        <v>796</v>
      </c>
      <c r="F4564" s="140" t="s">
        <v>1067</v>
      </c>
      <c r="G4564" s="141" t="s">
        <v>6742</v>
      </c>
      <c r="H4564" s="140" t="s">
        <v>6330</v>
      </c>
      <c r="I4564" s="140" t="s">
        <v>6313</v>
      </c>
      <c r="J4564" s="140" t="s">
        <v>6319</v>
      </c>
      <c r="K4564" s="140" t="s">
        <v>1573</v>
      </c>
    </row>
    <row r="4565">
      <c r="A4565" s="140" t="s">
        <v>302</v>
      </c>
      <c r="B4565" s="140" t="s">
        <v>1109</v>
      </c>
      <c r="C4565" s="140" t="s">
        <v>11947</v>
      </c>
      <c r="D4565" s="140" t="s">
        <v>6601</v>
      </c>
      <c r="E4565" s="140" t="s">
        <v>796</v>
      </c>
      <c r="F4565" s="140" t="s">
        <v>1067</v>
      </c>
      <c r="G4565" s="141" t="s">
        <v>6742</v>
      </c>
      <c r="H4565" s="140" t="s">
        <v>6330</v>
      </c>
      <c r="I4565" s="140" t="s">
        <v>6313</v>
      </c>
      <c r="J4565" s="140" t="s">
        <v>6319</v>
      </c>
      <c r="K4565" s="140" t="s">
        <v>1573</v>
      </c>
    </row>
    <row r="4566">
      <c r="A4566" s="140" t="s">
        <v>302</v>
      </c>
      <c r="B4566" s="140" t="s">
        <v>1101</v>
      </c>
      <c r="C4566" s="140" t="s">
        <v>11948</v>
      </c>
      <c r="D4566" s="140" t="s">
        <v>6601</v>
      </c>
      <c r="E4566" s="140" t="s">
        <v>796</v>
      </c>
      <c r="F4566" s="140" t="s">
        <v>1067</v>
      </c>
      <c r="G4566" s="141" t="s">
        <v>6742</v>
      </c>
      <c r="H4566" s="140" t="s">
        <v>6330</v>
      </c>
      <c r="I4566" s="140" t="s">
        <v>6313</v>
      </c>
      <c r="J4566" s="140" t="s">
        <v>6319</v>
      </c>
      <c r="K4566" s="140" t="s">
        <v>1573</v>
      </c>
    </row>
    <row r="4567">
      <c r="A4567" s="140" t="s">
        <v>302</v>
      </c>
      <c r="B4567" s="140" t="s">
        <v>1127</v>
      </c>
      <c r="C4567" s="140" t="s">
        <v>11949</v>
      </c>
      <c r="D4567" s="140" t="s">
        <v>6601</v>
      </c>
      <c r="E4567" s="140" t="s">
        <v>796</v>
      </c>
      <c r="F4567" s="140" t="s">
        <v>1067</v>
      </c>
      <c r="G4567" s="141" t="s">
        <v>6742</v>
      </c>
      <c r="H4567" s="140" t="s">
        <v>6330</v>
      </c>
      <c r="I4567" s="140" t="s">
        <v>6313</v>
      </c>
      <c r="J4567" s="140" t="s">
        <v>6319</v>
      </c>
      <c r="K4567" s="140" t="s">
        <v>1573</v>
      </c>
    </row>
    <row r="4568">
      <c r="A4568" s="140" t="s">
        <v>302</v>
      </c>
      <c r="B4568" s="140" t="s">
        <v>1115</v>
      </c>
      <c r="C4568" s="140" t="s">
        <v>11950</v>
      </c>
      <c r="D4568" s="140" t="s">
        <v>6601</v>
      </c>
      <c r="E4568" s="140" t="s">
        <v>796</v>
      </c>
      <c r="F4568" s="140" t="s">
        <v>1067</v>
      </c>
      <c r="G4568" s="141" t="s">
        <v>6742</v>
      </c>
      <c r="H4568" s="140" t="s">
        <v>6330</v>
      </c>
      <c r="I4568" s="140" t="s">
        <v>6313</v>
      </c>
      <c r="J4568" s="140" t="s">
        <v>6319</v>
      </c>
      <c r="K4568" s="140" t="s">
        <v>1573</v>
      </c>
    </row>
    <row r="4569">
      <c r="A4569" s="140" t="s">
        <v>302</v>
      </c>
      <c r="B4569" s="140" t="s">
        <v>1107</v>
      </c>
      <c r="C4569" s="140" t="s">
        <v>11951</v>
      </c>
      <c r="D4569" s="140" t="s">
        <v>6601</v>
      </c>
      <c r="E4569" s="140" t="s">
        <v>796</v>
      </c>
      <c r="F4569" s="140" t="s">
        <v>1067</v>
      </c>
      <c r="G4569" s="141" t="s">
        <v>6742</v>
      </c>
      <c r="H4569" s="140" t="s">
        <v>6330</v>
      </c>
      <c r="I4569" s="140" t="s">
        <v>6313</v>
      </c>
      <c r="J4569" s="140" t="s">
        <v>6319</v>
      </c>
      <c r="K4569" s="140" t="s">
        <v>1573</v>
      </c>
    </row>
    <row r="4570">
      <c r="A4570" s="140" t="s">
        <v>302</v>
      </c>
      <c r="B4570" s="140" t="s">
        <v>1089</v>
      </c>
      <c r="C4570" s="140" t="s">
        <v>2018</v>
      </c>
      <c r="D4570" s="140" t="s">
        <v>6601</v>
      </c>
      <c r="E4570" s="140" t="s">
        <v>796</v>
      </c>
      <c r="F4570" s="140" t="s">
        <v>1067</v>
      </c>
      <c r="G4570" s="141" t="s">
        <v>134</v>
      </c>
      <c r="H4570" s="140" t="s">
        <v>6330</v>
      </c>
      <c r="I4570" s="140" t="s">
        <v>6313</v>
      </c>
      <c r="J4570" s="140" t="s">
        <v>6319</v>
      </c>
      <c r="K4570" s="140" t="s">
        <v>1573</v>
      </c>
    </row>
    <row r="4571">
      <c r="A4571" s="140" t="s">
        <v>302</v>
      </c>
      <c r="B4571" s="140" t="s">
        <v>1069</v>
      </c>
      <c r="C4571" s="140" t="s">
        <v>11952</v>
      </c>
      <c r="D4571" s="140" t="s">
        <v>6601</v>
      </c>
      <c r="E4571" s="140" t="s">
        <v>796</v>
      </c>
      <c r="F4571" s="140" t="s">
        <v>1067</v>
      </c>
      <c r="G4571" s="141" t="s">
        <v>134</v>
      </c>
      <c r="H4571" s="140" t="s">
        <v>6330</v>
      </c>
      <c r="I4571" s="140" t="s">
        <v>6313</v>
      </c>
      <c r="J4571" s="140" t="s">
        <v>6319</v>
      </c>
      <c r="K4571" s="140" t="s">
        <v>1573</v>
      </c>
    </row>
    <row r="4572">
      <c r="A4572" s="140" t="s">
        <v>302</v>
      </c>
      <c r="B4572" s="140" t="s">
        <v>1071</v>
      </c>
      <c r="C4572" s="140" t="s">
        <v>11953</v>
      </c>
      <c r="D4572" s="140" t="s">
        <v>6601</v>
      </c>
      <c r="E4572" s="140" t="s">
        <v>796</v>
      </c>
      <c r="F4572" s="140" t="s">
        <v>1067</v>
      </c>
      <c r="G4572" s="141" t="s">
        <v>134</v>
      </c>
      <c r="H4572" s="140" t="s">
        <v>6330</v>
      </c>
      <c r="I4572" s="140" t="s">
        <v>6313</v>
      </c>
      <c r="J4572" s="140" t="s">
        <v>6319</v>
      </c>
      <c r="K4572" s="140" t="s">
        <v>1573</v>
      </c>
    </row>
    <row r="4573">
      <c r="A4573" s="140" t="s">
        <v>302</v>
      </c>
      <c r="B4573" s="140" t="s">
        <v>1073</v>
      </c>
      <c r="C4573" s="140" t="s">
        <v>11954</v>
      </c>
      <c r="D4573" s="140" t="s">
        <v>6601</v>
      </c>
      <c r="E4573" s="140" t="s">
        <v>796</v>
      </c>
      <c r="F4573" s="140" t="s">
        <v>1067</v>
      </c>
      <c r="G4573" s="141" t="s">
        <v>134</v>
      </c>
      <c r="H4573" s="140" t="s">
        <v>6330</v>
      </c>
      <c r="I4573" s="140" t="s">
        <v>6313</v>
      </c>
      <c r="J4573" s="140" t="s">
        <v>6319</v>
      </c>
      <c r="K4573" s="140" t="s">
        <v>1573</v>
      </c>
    </row>
    <row r="4574">
      <c r="A4574" s="140" t="s">
        <v>302</v>
      </c>
      <c r="B4574" s="140" t="s">
        <v>1075</v>
      </c>
      <c r="C4574" s="140" t="s">
        <v>11955</v>
      </c>
      <c r="D4574" s="140" t="s">
        <v>6601</v>
      </c>
      <c r="E4574" s="140" t="s">
        <v>796</v>
      </c>
      <c r="F4574" s="140" t="s">
        <v>1067</v>
      </c>
      <c r="G4574" s="141" t="s">
        <v>134</v>
      </c>
      <c r="H4574" s="140" t="s">
        <v>6330</v>
      </c>
      <c r="I4574" s="140" t="s">
        <v>6313</v>
      </c>
      <c r="J4574" s="140" t="s">
        <v>6319</v>
      </c>
      <c r="K4574" s="140" t="s">
        <v>1573</v>
      </c>
    </row>
    <row r="4575">
      <c r="A4575" s="140" t="s">
        <v>302</v>
      </c>
      <c r="B4575" s="140" t="s">
        <v>1077</v>
      </c>
      <c r="C4575" s="140" t="s">
        <v>11956</v>
      </c>
      <c r="D4575" s="140" t="s">
        <v>6601</v>
      </c>
      <c r="E4575" s="140" t="s">
        <v>796</v>
      </c>
      <c r="F4575" s="140" t="s">
        <v>1067</v>
      </c>
      <c r="G4575" s="141" t="s">
        <v>134</v>
      </c>
      <c r="H4575" s="140" t="s">
        <v>6330</v>
      </c>
      <c r="I4575" s="140" t="s">
        <v>6313</v>
      </c>
      <c r="J4575" s="140" t="s">
        <v>6319</v>
      </c>
      <c r="K4575" s="140" t="s">
        <v>1573</v>
      </c>
    </row>
    <row r="4576">
      <c r="A4576" s="140" t="s">
        <v>302</v>
      </c>
      <c r="B4576" s="140" t="s">
        <v>1079</v>
      </c>
      <c r="C4576" s="140" t="s">
        <v>11957</v>
      </c>
      <c r="D4576" s="140" t="s">
        <v>6601</v>
      </c>
      <c r="E4576" s="140" t="s">
        <v>796</v>
      </c>
      <c r="F4576" s="140" t="s">
        <v>1067</v>
      </c>
      <c r="G4576" s="141" t="s">
        <v>134</v>
      </c>
      <c r="H4576" s="140" t="s">
        <v>6330</v>
      </c>
      <c r="I4576" s="140" t="s">
        <v>6313</v>
      </c>
      <c r="J4576" s="140" t="s">
        <v>6319</v>
      </c>
      <c r="K4576" s="140" t="s">
        <v>1573</v>
      </c>
    </row>
    <row r="4577">
      <c r="A4577" s="140" t="s">
        <v>302</v>
      </c>
      <c r="B4577" s="140" t="s">
        <v>1081</v>
      </c>
      <c r="C4577" s="140" t="s">
        <v>11958</v>
      </c>
      <c r="D4577" s="140" t="s">
        <v>6601</v>
      </c>
      <c r="E4577" s="140" t="s">
        <v>796</v>
      </c>
      <c r="F4577" s="140" t="s">
        <v>1067</v>
      </c>
      <c r="G4577" s="141" t="s">
        <v>134</v>
      </c>
      <c r="H4577" s="140" t="s">
        <v>6330</v>
      </c>
      <c r="I4577" s="140" t="s">
        <v>6313</v>
      </c>
      <c r="J4577" s="140" t="s">
        <v>6319</v>
      </c>
      <c r="K4577" s="140" t="s">
        <v>1573</v>
      </c>
    </row>
    <row r="4578">
      <c r="A4578" s="140" t="s">
        <v>302</v>
      </c>
      <c r="B4578" s="140" t="s">
        <v>1083</v>
      </c>
      <c r="C4578" s="140" t="s">
        <v>11959</v>
      </c>
      <c r="D4578" s="140" t="s">
        <v>6601</v>
      </c>
      <c r="E4578" s="140" t="s">
        <v>796</v>
      </c>
      <c r="F4578" s="140" t="s">
        <v>1067</v>
      </c>
      <c r="G4578" s="141" t="s">
        <v>134</v>
      </c>
      <c r="H4578" s="140" t="s">
        <v>6330</v>
      </c>
      <c r="I4578" s="140" t="s">
        <v>6313</v>
      </c>
      <c r="J4578" s="140" t="s">
        <v>6319</v>
      </c>
      <c r="K4578" s="140" t="s">
        <v>1573</v>
      </c>
    </row>
    <row r="4579">
      <c r="A4579" s="140" t="s">
        <v>302</v>
      </c>
      <c r="B4579" s="140" t="s">
        <v>1085</v>
      </c>
      <c r="C4579" s="140" t="s">
        <v>11960</v>
      </c>
      <c r="D4579" s="140" t="s">
        <v>6601</v>
      </c>
      <c r="E4579" s="140" t="s">
        <v>796</v>
      </c>
      <c r="F4579" s="140" t="s">
        <v>1067</v>
      </c>
      <c r="G4579" s="141" t="s">
        <v>134</v>
      </c>
      <c r="H4579" s="140" t="s">
        <v>6330</v>
      </c>
      <c r="I4579" s="140" t="s">
        <v>6313</v>
      </c>
      <c r="J4579" s="140" t="s">
        <v>6319</v>
      </c>
      <c r="K4579" s="140" t="s">
        <v>1573</v>
      </c>
    </row>
    <row r="4580">
      <c r="A4580" s="140" t="s">
        <v>302</v>
      </c>
      <c r="B4580" s="140" t="s">
        <v>1087</v>
      </c>
      <c r="C4580" s="140" t="s">
        <v>11961</v>
      </c>
      <c r="D4580" s="140" t="s">
        <v>6601</v>
      </c>
      <c r="E4580" s="140" t="s">
        <v>796</v>
      </c>
      <c r="F4580" s="140" t="s">
        <v>1067</v>
      </c>
      <c r="G4580" s="141" t="s">
        <v>134</v>
      </c>
      <c r="H4580" s="140" t="s">
        <v>6330</v>
      </c>
      <c r="I4580" s="140" t="s">
        <v>6313</v>
      </c>
      <c r="J4580" s="140" t="s">
        <v>6319</v>
      </c>
      <c r="K4580" s="140" t="s">
        <v>1573</v>
      </c>
    </row>
    <row r="4581">
      <c r="A4581" s="140" t="s">
        <v>302</v>
      </c>
      <c r="B4581" s="140" t="s">
        <v>1091</v>
      </c>
      <c r="C4581" s="140" t="s">
        <v>11962</v>
      </c>
      <c r="D4581" s="140" t="s">
        <v>6601</v>
      </c>
      <c r="E4581" s="140" t="s">
        <v>796</v>
      </c>
      <c r="F4581" s="140" t="s">
        <v>1067</v>
      </c>
      <c r="G4581" s="141" t="s">
        <v>134</v>
      </c>
      <c r="H4581" s="140" t="s">
        <v>6330</v>
      </c>
      <c r="I4581" s="140" t="s">
        <v>6313</v>
      </c>
      <c r="J4581" s="140" t="s">
        <v>6319</v>
      </c>
      <c r="K4581" s="140" t="s">
        <v>1573</v>
      </c>
    </row>
    <row r="4582">
      <c r="A4582" s="140" t="s">
        <v>302</v>
      </c>
      <c r="B4582" s="140" t="s">
        <v>11963</v>
      </c>
      <c r="C4582" s="140" t="s">
        <v>11964</v>
      </c>
      <c r="D4582" s="140" t="s">
        <v>6601</v>
      </c>
      <c r="E4582" s="140" t="s">
        <v>796</v>
      </c>
      <c r="F4582" s="140" t="s">
        <v>1067</v>
      </c>
      <c r="G4582" s="141" t="s">
        <v>6311</v>
      </c>
      <c r="H4582" s="140" t="s">
        <v>6312</v>
      </c>
      <c r="I4582" s="140" t="s">
        <v>6313</v>
      </c>
      <c r="J4582" s="140" t="s">
        <v>6319</v>
      </c>
      <c r="K4582" s="140" t="s">
        <v>1573</v>
      </c>
    </row>
    <row r="4583">
      <c r="A4583" s="140" t="s">
        <v>302</v>
      </c>
      <c r="B4583" s="140" t="s">
        <v>11965</v>
      </c>
      <c r="C4583" s="140" t="s">
        <v>11964</v>
      </c>
      <c r="D4583" s="140" t="s">
        <v>6601</v>
      </c>
      <c r="E4583" s="140" t="s">
        <v>796</v>
      </c>
      <c r="F4583" s="140" t="s">
        <v>1067</v>
      </c>
      <c r="G4583" s="141" t="s">
        <v>6311</v>
      </c>
      <c r="H4583" s="140" t="s">
        <v>6312</v>
      </c>
      <c r="I4583" s="140" t="s">
        <v>6313</v>
      </c>
      <c r="J4583" s="140" t="s">
        <v>6319</v>
      </c>
      <c r="K4583" s="140" t="s">
        <v>1573</v>
      </c>
    </row>
    <row r="4584">
      <c r="A4584" s="140" t="s">
        <v>302</v>
      </c>
      <c r="B4584" s="140" t="s">
        <v>11966</v>
      </c>
      <c r="C4584" s="140" t="s">
        <v>11964</v>
      </c>
      <c r="D4584" s="140" t="s">
        <v>6601</v>
      </c>
      <c r="E4584" s="140" t="s">
        <v>796</v>
      </c>
      <c r="F4584" s="140" t="s">
        <v>1067</v>
      </c>
      <c r="G4584" s="141" t="s">
        <v>6311</v>
      </c>
      <c r="H4584" s="140" t="s">
        <v>6312</v>
      </c>
      <c r="I4584" s="140" t="s">
        <v>6313</v>
      </c>
      <c r="J4584" s="140" t="s">
        <v>6319</v>
      </c>
      <c r="K4584" s="140" t="s">
        <v>1573</v>
      </c>
    </row>
    <row r="4585">
      <c r="A4585" s="140" t="s">
        <v>302</v>
      </c>
      <c r="B4585" s="140" t="s">
        <v>11967</v>
      </c>
      <c r="C4585" s="140" t="s">
        <v>11964</v>
      </c>
      <c r="D4585" s="140" t="s">
        <v>6601</v>
      </c>
      <c r="E4585" s="140" t="s">
        <v>796</v>
      </c>
      <c r="F4585" s="140" t="s">
        <v>1067</v>
      </c>
      <c r="G4585" s="141" t="s">
        <v>6311</v>
      </c>
      <c r="H4585" s="140" t="s">
        <v>6312</v>
      </c>
      <c r="I4585" s="140" t="s">
        <v>6313</v>
      </c>
      <c r="J4585" s="140" t="s">
        <v>6319</v>
      </c>
      <c r="K4585" s="140" t="s">
        <v>1573</v>
      </c>
    </row>
    <row r="4586">
      <c r="A4586" s="140" t="s">
        <v>302</v>
      </c>
      <c r="B4586" s="140" t="s">
        <v>11968</v>
      </c>
      <c r="C4586" s="140" t="s">
        <v>11964</v>
      </c>
      <c r="D4586" s="140" t="s">
        <v>6601</v>
      </c>
      <c r="E4586" s="140" t="s">
        <v>796</v>
      </c>
      <c r="F4586" s="140" t="s">
        <v>1067</v>
      </c>
      <c r="G4586" s="141" t="s">
        <v>6311</v>
      </c>
      <c r="H4586" s="140" t="s">
        <v>6312</v>
      </c>
      <c r="I4586" s="140" t="s">
        <v>6313</v>
      </c>
      <c r="J4586" s="140" t="s">
        <v>6319</v>
      </c>
      <c r="K4586" s="140" t="s">
        <v>1573</v>
      </c>
    </row>
    <row r="4587">
      <c r="A4587" s="140" t="s">
        <v>302</v>
      </c>
      <c r="B4587" s="140" t="s">
        <v>11969</v>
      </c>
      <c r="C4587" s="140" t="s">
        <v>11964</v>
      </c>
      <c r="D4587" s="140" t="s">
        <v>6601</v>
      </c>
      <c r="E4587" s="140" t="s">
        <v>796</v>
      </c>
      <c r="F4587" s="140" t="s">
        <v>1067</v>
      </c>
      <c r="G4587" s="141" t="s">
        <v>6311</v>
      </c>
      <c r="H4587" s="140" t="s">
        <v>6312</v>
      </c>
      <c r="I4587" s="140" t="s">
        <v>6313</v>
      </c>
      <c r="J4587" s="140" t="s">
        <v>6319</v>
      </c>
      <c r="K4587" s="140" t="s">
        <v>1573</v>
      </c>
    </row>
    <row r="4588">
      <c r="A4588" s="140" t="s">
        <v>302</v>
      </c>
      <c r="B4588" s="140" t="s">
        <v>11970</v>
      </c>
      <c r="C4588" s="140" t="s">
        <v>11964</v>
      </c>
      <c r="D4588" s="140" t="s">
        <v>6601</v>
      </c>
      <c r="E4588" s="140" t="s">
        <v>796</v>
      </c>
      <c r="F4588" s="140" t="s">
        <v>1067</v>
      </c>
      <c r="G4588" s="141" t="s">
        <v>6311</v>
      </c>
      <c r="H4588" s="140" t="s">
        <v>6312</v>
      </c>
      <c r="I4588" s="140" t="s">
        <v>6313</v>
      </c>
      <c r="J4588" s="140" t="s">
        <v>6319</v>
      </c>
      <c r="K4588" s="140" t="s">
        <v>1573</v>
      </c>
    </row>
    <row r="4589">
      <c r="A4589" s="140" t="s">
        <v>302</v>
      </c>
      <c r="B4589" s="140" t="s">
        <v>11971</v>
      </c>
      <c r="C4589" s="140" t="s">
        <v>11964</v>
      </c>
      <c r="D4589" s="140" t="s">
        <v>6601</v>
      </c>
      <c r="E4589" s="140" t="s">
        <v>796</v>
      </c>
      <c r="F4589" s="140" t="s">
        <v>1067</v>
      </c>
      <c r="G4589" s="141" t="s">
        <v>6311</v>
      </c>
      <c r="H4589" s="140" t="s">
        <v>6312</v>
      </c>
      <c r="I4589" s="140" t="s">
        <v>6313</v>
      </c>
      <c r="J4589" s="140" t="s">
        <v>6319</v>
      </c>
      <c r="K4589" s="140" t="s">
        <v>1573</v>
      </c>
    </row>
    <row r="4590">
      <c r="A4590" s="140" t="s">
        <v>302</v>
      </c>
      <c r="B4590" s="140" t="s">
        <v>11972</v>
      </c>
      <c r="C4590" s="140" t="s">
        <v>11964</v>
      </c>
      <c r="D4590" s="140" t="s">
        <v>6601</v>
      </c>
      <c r="E4590" s="140" t="s">
        <v>796</v>
      </c>
      <c r="F4590" s="140" t="s">
        <v>1067</v>
      </c>
      <c r="G4590" s="141" t="s">
        <v>6311</v>
      </c>
      <c r="H4590" s="140" t="s">
        <v>6312</v>
      </c>
      <c r="I4590" s="140" t="s">
        <v>6313</v>
      </c>
      <c r="J4590" s="140" t="s">
        <v>6319</v>
      </c>
      <c r="K4590" s="140" t="s">
        <v>1573</v>
      </c>
    </row>
    <row r="4591">
      <c r="A4591" s="140" t="s">
        <v>302</v>
      </c>
      <c r="B4591" s="140" t="s">
        <v>11973</v>
      </c>
      <c r="C4591" s="140" t="s">
        <v>11964</v>
      </c>
      <c r="D4591" s="140" t="s">
        <v>6601</v>
      </c>
      <c r="E4591" s="140" t="s">
        <v>796</v>
      </c>
      <c r="F4591" s="140" t="s">
        <v>1067</v>
      </c>
      <c r="G4591" s="141" t="s">
        <v>6311</v>
      </c>
      <c r="H4591" s="140" t="s">
        <v>6312</v>
      </c>
      <c r="I4591" s="140" t="s">
        <v>6313</v>
      </c>
      <c r="J4591" s="140" t="s">
        <v>6319</v>
      </c>
      <c r="K4591" s="140" t="s">
        <v>1573</v>
      </c>
    </row>
    <row r="4592">
      <c r="A4592" s="140" t="s">
        <v>302</v>
      </c>
      <c r="B4592" s="140" t="s">
        <v>11974</v>
      </c>
      <c r="C4592" s="140" t="s">
        <v>11964</v>
      </c>
      <c r="D4592" s="140" t="s">
        <v>6601</v>
      </c>
      <c r="E4592" s="140" t="s">
        <v>796</v>
      </c>
      <c r="F4592" s="140" t="s">
        <v>1067</v>
      </c>
      <c r="G4592" s="141" t="s">
        <v>6311</v>
      </c>
      <c r="H4592" s="140" t="s">
        <v>6312</v>
      </c>
      <c r="I4592" s="140" t="s">
        <v>6313</v>
      </c>
      <c r="J4592" s="140" t="s">
        <v>6319</v>
      </c>
      <c r="K4592" s="140" t="s">
        <v>1573</v>
      </c>
    </row>
    <row r="4593">
      <c r="A4593" s="140" t="s">
        <v>302</v>
      </c>
      <c r="B4593" s="140" t="s">
        <v>11975</v>
      </c>
      <c r="C4593" s="140" t="s">
        <v>11964</v>
      </c>
      <c r="D4593" s="140" t="s">
        <v>6601</v>
      </c>
      <c r="E4593" s="140" t="s">
        <v>796</v>
      </c>
      <c r="F4593" s="140" t="s">
        <v>1067</v>
      </c>
      <c r="G4593" s="141" t="s">
        <v>6311</v>
      </c>
      <c r="H4593" s="140" t="s">
        <v>6312</v>
      </c>
      <c r="I4593" s="140" t="s">
        <v>6313</v>
      </c>
      <c r="J4593" s="140" t="s">
        <v>6319</v>
      </c>
      <c r="K4593" s="140" t="s">
        <v>1573</v>
      </c>
    </row>
    <row r="4594">
      <c r="A4594" s="140" t="s">
        <v>302</v>
      </c>
      <c r="B4594" s="140" t="s">
        <v>11976</v>
      </c>
      <c r="C4594" s="140" t="s">
        <v>11964</v>
      </c>
      <c r="D4594" s="140" t="s">
        <v>6601</v>
      </c>
      <c r="E4594" s="140" t="s">
        <v>796</v>
      </c>
      <c r="F4594" s="140" t="s">
        <v>1067</v>
      </c>
      <c r="G4594" s="141" t="s">
        <v>6311</v>
      </c>
      <c r="H4594" s="140" t="s">
        <v>6312</v>
      </c>
      <c r="I4594" s="140" t="s">
        <v>6313</v>
      </c>
      <c r="J4594" s="140" t="s">
        <v>6319</v>
      </c>
      <c r="K4594" s="140" t="s">
        <v>1573</v>
      </c>
    </row>
    <row r="4595">
      <c r="A4595" s="140" t="s">
        <v>302</v>
      </c>
      <c r="B4595" s="140" t="s">
        <v>11977</v>
      </c>
      <c r="C4595" s="140" t="s">
        <v>11964</v>
      </c>
      <c r="D4595" s="140" t="s">
        <v>6601</v>
      </c>
      <c r="E4595" s="140" t="s">
        <v>796</v>
      </c>
      <c r="F4595" s="140" t="s">
        <v>1067</v>
      </c>
      <c r="G4595" s="141" t="s">
        <v>6311</v>
      </c>
      <c r="H4595" s="140" t="s">
        <v>6312</v>
      </c>
      <c r="I4595" s="140" t="s">
        <v>6313</v>
      </c>
      <c r="J4595" s="140" t="s">
        <v>6319</v>
      </c>
      <c r="K4595" s="140" t="s">
        <v>1573</v>
      </c>
    </row>
    <row r="4596">
      <c r="A4596" s="140" t="s">
        <v>302</v>
      </c>
      <c r="B4596" s="140" t="s">
        <v>11978</v>
      </c>
      <c r="C4596" s="140" t="s">
        <v>11964</v>
      </c>
      <c r="D4596" s="140" t="s">
        <v>6601</v>
      </c>
      <c r="E4596" s="140" t="s">
        <v>796</v>
      </c>
      <c r="F4596" s="140" t="s">
        <v>1067</v>
      </c>
      <c r="G4596" s="141" t="s">
        <v>6311</v>
      </c>
      <c r="H4596" s="140" t="s">
        <v>6312</v>
      </c>
      <c r="I4596" s="140" t="s">
        <v>6313</v>
      </c>
      <c r="J4596" s="140" t="s">
        <v>6319</v>
      </c>
      <c r="K4596" s="140" t="s">
        <v>1573</v>
      </c>
    </row>
    <row r="4597">
      <c r="A4597" s="140" t="s">
        <v>302</v>
      </c>
      <c r="B4597" s="140" t="s">
        <v>11979</v>
      </c>
      <c r="C4597" s="140" t="s">
        <v>11964</v>
      </c>
      <c r="D4597" s="140" t="s">
        <v>6601</v>
      </c>
      <c r="E4597" s="140" t="s">
        <v>796</v>
      </c>
      <c r="F4597" s="140" t="s">
        <v>1067</v>
      </c>
      <c r="G4597" s="141" t="s">
        <v>6311</v>
      </c>
      <c r="H4597" s="140" t="s">
        <v>6312</v>
      </c>
      <c r="I4597" s="140" t="s">
        <v>6313</v>
      </c>
      <c r="J4597" s="140" t="s">
        <v>6319</v>
      </c>
      <c r="K4597" s="140" t="s">
        <v>1573</v>
      </c>
    </row>
    <row r="4598">
      <c r="A4598" s="140" t="s">
        <v>302</v>
      </c>
      <c r="B4598" s="140" t="s">
        <v>11980</v>
      </c>
      <c r="C4598" s="140" t="s">
        <v>11964</v>
      </c>
      <c r="D4598" s="140" t="s">
        <v>6601</v>
      </c>
      <c r="E4598" s="140" t="s">
        <v>796</v>
      </c>
      <c r="F4598" s="140" t="s">
        <v>1067</v>
      </c>
      <c r="G4598" s="141" t="s">
        <v>6311</v>
      </c>
      <c r="H4598" s="140" t="s">
        <v>6312</v>
      </c>
      <c r="I4598" s="140" t="s">
        <v>6313</v>
      </c>
      <c r="J4598" s="140" t="s">
        <v>6319</v>
      </c>
      <c r="K4598" s="140" t="s">
        <v>1573</v>
      </c>
    </row>
    <row r="4599">
      <c r="A4599" s="140" t="s">
        <v>302</v>
      </c>
      <c r="B4599" s="140" t="s">
        <v>11981</v>
      </c>
      <c r="C4599" s="140" t="s">
        <v>11964</v>
      </c>
      <c r="D4599" s="140" t="s">
        <v>6601</v>
      </c>
      <c r="E4599" s="140" t="s">
        <v>796</v>
      </c>
      <c r="F4599" s="140" t="s">
        <v>1067</v>
      </c>
      <c r="G4599" s="141" t="s">
        <v>6311</v>
      </c>
      <c r="H4599" s="140" t="s">
        <v>6312</v>
      </c>
      <c r="I4599" s="140" t="s">
        <v>6313</v>
      </c>
      <c r="J4599" s="140" t="s">
        <v>6319</v>
      </c>
      <c r="K4599" s="140" t="s">
        <v>1573</v>
      </c>
    </row>
    <row r="4600">
      <c r="A4600" s="140" t="s">
        <v>302</v>
      </c>
      <c r="B4600" s="140" t="s">
        <v>11982</v>
      </c>
      <c r="C4600" s="140" t="s">
        <v>11964</v>
      </c>
      <c r="D4600" s="140" t="s">
        <v>6601</v>
      </c>
      <c r="E4600" s="140" t="s">
        <v>796</v>
      </c>
      <c r="F4600" s="140" t="s">
        <v>1067</v>
      </c>
      <c r="G4600" s="141" t="s">
        <v>6311</v>
      </c>
      <c r="H4600" s="140" t="s">
        <v>6312</v>
      </c>
      <c r="I4600" s="140" t="s">
        <v>6313</v>
      </c>
      <c r="J4600" s="140" t="s">
        <v>6319</v>
      </c>
      <c r="K4600" s="140" t="s">
        <v>1573</v>
      </c>
    </row>
    <row r="4601">
      <c r="A4601" s="140" t="s">
        <v>302</v>
      </c>
      <c r="B4601" s="140" t="s">
        <v>11983</v>
      </c>
      <c r="C4601" s="140" t="s">
        <v>11964</v>
      </c>
      <c r="D4601" s="140" t="s">
        <v>6601</v>
      </c>
      <c r="E4601" s="140" t="s">
        <v>796</v>
      </c>
      <c r="F4601" s="140" t="s">
        <v>1067</v>
      </c>
      <c r="G4601" s="141" t="s">
        <v>6311</v>
      </c>
      <c r="H4601" s="140" t="s">
        <v>6312</v>
      </c>
      <c r="I4601" s="140" t="s">
        <v>6313</v>
      </c>
      <c r="J4601" s="140" t="s">
        <v>6319</v>
      </c>
      <c r="K4601" s="140" t="s">
        <v>1573</v>
      </c>
    </row>
    <row r="4602">
      <c r="A4602" s="140" t="s">
        <v>302</v>
      </c>
      <c r="B4602" s="140" t="s">
        <v>1165</v>
      </c>
      <c r="C4602" s="140" t="s">
        <v>11984</v>
      </c>
      <c r="D4602" s="140" t="s">
        <v>6601</v>
      </c>
      <c r="E4602" s="140" t="s">
        <v>796</v>
      </c>
      <c r="F4602" s="140" t="s">
        <v>1067</v>
      </c>
      <c r="G4602" s="141" t="s">
        <v>6742</v>
      </c>
      <c r="H4602" s="140" t="s">
        <v>6330</v>
      </c>
      <c r="I4602" s="140" t="s">
        <v>6313</v>
      </c>
      <c r="J4602" s="140" t="s">
        <v>6319</v>
      </c>
      <c r="K4602" s="140" t="s">
        <v>1573</v>
      </c>
    </row>
    <row r="4603">
      <c r="A4603" s="140" t="s">
        <v>302</v>
      </c>
      <c r="B4603" s="140" t="s">
        <v>1163</v>
      </c>
      <c r="C4603" s="140" t="s">
        <v>11985</v>
      </c>
      <c r="D4603" s="140" t="s">
        <v>6601</v>
      </c>
      <c r="E4603" s="140" t="s">
        <v>796</v>
      </c>
      <c r="F4603" s="140" t="s">
        <v>1067</v>
      </c>
      <c r="G4603" s="141" t="s">
        <v>6742</v>
      </c>
      <c r="H4603" s="140" t="s">
        <v>6330</v>
      </c>
      <c r="I4603" s="140" t="s">
        <v>6313</v>
      </c>
      <c r="J4603" s="140" t="s">
        <v>6319</v>
      </c>
      <c r="K4603" s="140" t="s">
        <v>1573</v>
      </c>
    </row>
    <row r="4604">
      <c r="A4604" s="140" t="s">
        <v>302</v>
      </c>
      <c r="B4604" s="140" t="s">
        <v>1161</v>
      </c>
      <c r="C4604" s="140" t="s">
        <v>11986</v>
      </c>
      <c r="D4604" s="140" t="s">
        <v>6601</v>
      </c>
      <c r="E4604" s="140" t="s">
        <v>796</v>
      </c>
      <c r="F4604" s="140" t="s">
        <v>1067</v>
      </c>
      <c r="G4604" s="141" t="s">
        <v>6742</v>
      </c>
      <c r="H4604" s="140" t="s">
        <v>6330</v>
      </c>
      <c r="I4604" s="140" t="s">
        <v>6313</v>
      </c>
      <c r="J4604" s="140" t="s">
        <v>6319</v>
      </c>
      <c r="K4604" s="140" t="s">
        <v>1573</v>
      </c>
    </row>
    <row r="4605">
      <c r="A4605" s="140" t="s">
        <v>302</v>
      </c>
      <c r="B4605" s="140" t="s">
        <v>1167</v>
      </c>
      <c r="C4605" s="140" t="s">
        <v>11987</v>
      </c>
      <c r="D4605" s="140" t="s">
        <v>6601</v>
      </c>
      <c r="E4605" s="140" t="s">
        <v>796</v>
      </c>
      <c r="F4605" s="140" t="s">
        <v>1067</v>
      </c>
      <c r="G4605" s="141" t="s">
        <v>6742</v>
      </c>
      <c r="H4605" s="140" t="s">
        <v>6330</v>
      </c>
      <c r="I4605" s="140" t="s">
        <v>6313</v>
      </c>
      <c r="J4605" s="140" t="s">
        <v>6319</v>
      </c>
      <c r="K4605" s="140" t="s">
        <v>1573</v>
      </c>
    </row>
    <row r="4606">
      <c r="A4606" s="140" t="s">
        <v>302</v>
      </c>
      <c r="B4606" s="140" t="s">
        <v>1157</v>
      </c>
      <c r="C4606" s="140" t="s">
        <v>11988</v>
      </c>
      <c r="D4606" s="140" t="s">
        <v>6601</v>
      </c>
      <c r="E4606" s="140" t="s">
        <v>796</v>
      </c>
      <c r="F4606" s="140" t="s">
        <v>1067</v>
      </c>
      <c r="G4606" s="141" t="s">
        <v>6742</v>
      </c>
      <c r="H4606" s="140" t="s">
        <v>6330</v>
      </c>
      <c r="I4606" s="140" t="s">
        <v>6313</v>
      </c>
      <c r="J4606" s="140" t="s">
        <v>6319</v>
      </c>
      <c r="K4606" s="140" t="s">
        <v>1573</v>
      </c>
    </row>
    <row r="4607">
      <c r="A4607" s="140" t="s">
        <v>302</v>
      </c>
      <c r="B4607" s="140" t="s">
        <v>1155</v>
      </c>
      <c r="C4607" s="140" t="s">
        <v>11989</v>
      </c>
      <c r="D4607" s="140" t="s">
        <v>6601</v>
      </c>
      <c r="E4607" s="140" t="s">
        <v>796</v>
      </c>
      <c r="F4607" s="140" t="s">
        <v>1067</v>
      </c>
      <c r="G4607" s="141" t="s">
        <v>6742</v>
      </c>
      <c r="H4607" s="140" t="s">
        <v>6330</v>
      </c>
      <c r="I4607" s="140" t="s">
        <v>6313</v>
      </c>
      <c r="J4607" s="140" t="s">
        <v>6319</v>
      </c>
      <c r="K4607" s="140" t="s">
        <v>1573</v>
      </c>
    </row>
    <row r="4608">
      <c r="A4608" s="140" t="s">
        <v>302</v>
      </c>
      <c r="B4608" s="140" t="s">
        <v>1153</v>
      </c>
      <c r="C4608" s="140" t="s">
        <v>11990</v>
      </c>
      <c r="D4608" s="140" t="s">
        <v>6601</v>
      </c>
      <c r="E4608" s="140" t="s">
        <v>796</v>
      </c>
      <c r="F4608" s="140" t="s">
        <v>1067</v>
      </c>
      <c r="G4608" s="141" t="s">
        <v>6742</v>
      </c>
      <c r="H4608" s="140" t="s">
        <v>6330</v>
      </c>
      <c r="I4608" s="140" t="s">
        <v>6313</v>
      </c>
      <c r="J4608" s="140" t="s">
        <v>6319</v>
      </c>
      <c r="K4608" s="140" t="s">
        <v>1573</v>
      </c>
    </row>
    <row r="4609">
      <c r="A4609" s="140" t="s">
        <v>302</v>
      </c>
      <c r="B4609" s="140" t="s">
        <v>1159</v>
      </c>
      <c r="C4609" s="140" t="s">
        <v>11991</v>
      </c>
      <c r="D4609" s="140" t="s">
        <v>6601</v>
      </c>
      <c r="E4609" s="140" t="s">
        <v>796</v>
      </c>
      <c r="F4609" s="140" t="s">
        <v>1067</v>
      </c>
      <c r="G4609" s="141" t="s">
        <v>6742</v>
      </c>
      <c r="H4609" s="140" t="s">
        <v>6330</v>
      </c>
      <c r="I4609" s="140" t="s">
        <v>6313</v>
      </c>
      <c r="J4609" s="140" t="s">
        <v>6319</v>
      </c>
      <c r="K4609" s="140" t="s">
        <v>1573</v>
      </c>
    </row>
    <row r="4610">
      <c r="A4610" s="140" t="s">
        <v>302</v>
      </c>
      <c r="B4610" s="140" t="s">
        <v>1133</v>
      </c>
      <c r="C4610" s="140" t="s">
        <v>11992</v>
      </c>
      <c r="D4610" s="140" t="s">
        <v>6601</v>
      </c>
      <c r="E4610" s="140" t="s">
        <v>796</v>
      </c>
      <c r="F4610" s="140" t="s">
        <v>1067</v>
      </c>
      <c r="G4610" s="141" t="s">
        <v>6742</v>
      </c>
      <c r="H4610" s="140" t="s">
        <v>6330</v>
      </c>
      <c r="I4610" s="140" t="s">
        <v>6313</v>
      </c>
      <c r="J4610" s="140" t="s">
        <v>6319</v>
      </c>
      <c r="K4610" s="140" t="s">
        <v>1573</v>
      </c>
    </row>
    <row r="4611">
      <c r="A4611" s="140" t="s">
        <v>302</v>
      </c>
      <c r="B4611" s="140" t="s">
        <v>1131</v>
      </c>
      <c r="C4611" s="140" t="s">
        <v>11993</v>
      </c>
      <c r="D4611" s="140" t="s">
        <v>6601</v>
      </c>
      <c r="E4611" s="140" t="s">
        <v>796</v>
      </c>
      <c r="F4611" s="140" t="s">
        <v>1067</v>
      </c>
      <c r="G4611" s="141" t="s">
        <v>6742</v>
      </c>
      <c r="H4611" s="140" t="s">
        <v>6330</v>
      </c>
      <c r="I4611" s="140" t="s">
        <v>6313</v>
      </c>
      <c r="J4611" s="140" t="s">
        <v>6319</v>
      </c>
      <c r="K4611" s="140" t="s">
        <v>1573</v>
      </c>
    </row>
    <row r="4612">
      <c r="A4612" s="140" t="s">
        <v>302</v>
      </c>
      <c r="B4612" s="140" t="s">
        <v>1129</v>
      </c>
      <c r="C4612" s="140" t="s">
        <v>11994</v>
      </c>
      <c r="D4612" s="140" t="s">
        <v>6601</v>
      </c>
      <c r="E4612" s="140" t="s">
        <v>796</v>
      </c>
      <c r="F4612" s="140" t="s">
        <v>1067</v>
      </c>
      <c r="G4612" s="141" t="s">
        <v>6742</v>
      </c>
      <c r="H4612" s="140" t="s">
        <v>6330</v>
      </c>
      <c r="I4612" s="140" t="s">
        <v>6313</v>
      </c>
      <c r="J4612" s="140" t="s">
        <v>6319</v>
      </c>
      <c r="K4612" s="140" t="s">
        <v>1573</v>
      </c>
    </row>
    <row r="4613">
      <c r="A4613" s="140" t="s">
        <v>302</v>
      </c>
      <c r="B4613" s="140" t="s">
        <v>1135</v>
      </c>
      <c r="C4613" s="140" t="s">
        <v>11995</v>
      </c>
      <c r="D4613" s="140" t="s">
        <v>6601</v>
      </c>
      <c r="E4613" s="140" t="s">
        <v>796</v>
      </c>
      <c r="F4613" s="140" t="s">
        <v>1067</v>
      </c>
      <c r="G4613" s="141" t="s">
        <v>6742</v>
      </c>
      <c r="H4613" s="140" t="s">
        <v>6330</v>
      </c>
      <c r="I4613" s="140" t="s">
        <v>6313</v>
      </c>
      <c r="J4613" s="140" t="s">
        <v>6319</v>
      </c>
      <c r="K4613" s="140" t="s">
        <v>1573</v>
      </c>
    </row>
    <row r="4614">
      <c r="A4614" s="140" t="s">
        <v>302</v>
      </c>
      <c r="B4614" s="140" t="s">
        <v>1141</v>
      </c>
      <c r="C4614" s="140" t="s">
        <v>11996</v>
      </c>
      <c r="D4614" s="140" t="s">
        <v>6601</v>
      </c>
      <c r="E4614" s="140" t="s">
        <v>796</v>
      </c>
      <c r="F4614" s="140" t="s">
        <v>1067</v>
      </c>
      <c r="G4614" s="141" t="s">
        <v>6742</v>
      </c>
      <c r="H4614" s="140" t="s">
        <v>6330</v>
      </c>
      <c r="I4614" s="140" t="s">
        <v>6313</v>
      </c>
      <c r="J4614" s="140" t="s">
        <v>6319</v>
      </c>
      <c r="K4614" s="140" t="s">
        <v>1573</v>
      </c>
    </row>
    <row r="4615">
      <c r="A4615" s="140" t="s">
        <v>302</v>
      </c>
      <c r="B4615" s="140" t="s">
        <v>1139</v>
      </c>
      <c r="C4615" s="140" t="s">
        <v>11997</v>
      </c>
      <c r="D4615" s="140" t="s">
        <v>6601</v>
      </c>
      <c r="E4615" s="140" t="s">
        <v>796</v>
      </c>
      <c r="F4615" s="140" t="s">
        <v>1067</v>
      </c>
      <c r="G4615" s="141" t="s">
        <v>6742</v>
      </c>
      <c r="H4615" s="140" t="s">
        <v>6330</v>
      </c>
      <c r="I4615" s="140" t="s">
        <v>6313</v>
      </c>
      <c r="J4615" s="140" t="s">
        <v>6319</v>
      </c>
      <c r="K4615" s="140" t="s">
        <v>1573</v>
      </c>
    </row>
    <row r="4616">
      <c r="A4616" s="140" t="s">
        <v>302</v>
      </c>
      <c r="B4616" s="140" t="s">
        <v>1137</v>
      </c>
      <c r="C4616" s="140" t="s">
        <v>11998</v>
      </c>
      <c r="D4616" s="140" t="s">
        <v>6601</v>
      </c>
      <c r="E4616" s="140" t="s">
        <v>796</v>
      </c>
      <c r="F4616" s="140" t="s">
        <v>1067</v>
      </c>
      <c r="G4616" s="141" t="s">
        <v>6742</v>
      </c>
      <c r="H4616" s="140" t="s">
        <v>6330</v>
      </c>
      <c r="I4616" s="140" t="s">
        <v>6313</v>
      </c>
      <c r="J4616" s="140" t="s">
        <v>6319</v>
      </c>
      <c r="K4616" s="140" t="s">
        <v>1573</v>
      </c>
    </row>
    <row r="4617">
      <c r="A4617" s="140" t="s">
        <v>302</v>
      </c>
      <c r="B4617" s="140" t="s">
        <v>1143</v>
      </c>
      <c r="C4617" s="140" t="s">
        <v>11999</v>
      </c>
      <c r="D4617" s="140" t="s">
        <v>6601</v>
      </c>
      <c r="E4617" s="140" t="s">
        <v>796</v>
      </c>
      <c r="F4617" s="140" t="s">
        <v>1067</v>
      </c>
      <c r="G4617" s="141" t="s">
        <v>6742</v>
      </c>
      <c r="H4617" s="140" t="s">
        <v>6330</v>
      </c>
      <c r="I4617" s="140" t="s">
        <v>6313</v>
      </c>
      <c r="J4617" s="140" t="s">
        <v>6319</v>
      </c>
      <c r="K4617" s="140" t="s">
        <v>1573</v>
      </c>
    </row>
    <row r="4618">
      <c r="A4618" s="140" t="s">
        <v>302</v>
      </c>
      <c r="B4618" s="140" t="s">
        <v>1149</v>
      </c>
      <c r="C4618" s="140" t="s">
        <v>12000</v>
      </c>
      <c r="D4618" s="140" t="s">
        <v>6601</v>
      </c>
      <c r="E4618" s="140" t="s">
        <v>796</v>
      </c>
      <c r="F4618" s="140" t="s">
        <v>1067</v>
      </c>
      <c r="G4618" s="141" t="s">
        <v>6742</v>
      </c>
      <c r="H4618" s="140" t="s">
        <v>6330</v>
      </c>
      <c r="I4618" s="140" t="s">
        <v>6313</v>
      </c>
      <c r="J4618" s="140" t="s">
        <v>6319</v>
      </c>
      <c r="K4618" s="140" t="s">
        <v>1573</v>
      </c>
    </row>
    <row r="4619">
      <c r="A4619" s="140" t="s">
        <v>302</v>
      </c>
      <c r="B4619" s="140" t="s">
        <v>1147</v>
      </c>
      <c r="C4619" s="140" t="s">
        <v>12001</v>
      </c>
      <c r="D4619" s="140" t="s">
        <v>6601</v>
      </c>
      <c r="E4619" s="140" t="s">
        <v>796</v>
      </c>
      <c r="F4619" s="140" t="s">
        <v>1067</v>
      </c>
      <c r="G4619" s="141" t="s">
        <v>6742</v>
      </c>
      <c r="H4619" s="140" t="s">
        <v>6330</v>
      </c>
      <c r="I4619" s="140" t="s">
        <v>6313</v>
      </c>
      <c r="J4619" s="140" t="s">
        <v>6319</v>
      </c>
      <c r="K4619" s="140" t="s">
        <v>1573</v>
      </c>
    </row>
    <row r="4620">
      <c r="A4620" s="140" t="s">
        <v>302</v>
      </c>
      <c r="B4620" s="140" t="s">
        <v>1145</v>
      </c>
      <c r="C4620" s="140" t="s">
        <v>12002</v>
      </c>
      <c r="D4620" s="140" t="s">
        <v>6601</v>
      </c>
      <c r="E4620" s="140" t="s">
        <v>796</v>
      </c>
      <c r="F4620" s="140" t="s">
        <v>1067</v>
      </c>
      <c r="G4620" s="141" t="s">
        <v>6742</v>
      </c>
      <c r="H4620" s="140" t="s">
        <v>6330</v>
      </c>
      <c r="I4620" s="140" t="s">
        <v>6313</v>
      </c>
      <c r="J4620" s="140" t="s">
        <v>6319</v>
      </c>
      <c r="K4620" s="140" t="s">
        <v>1573</v>
      </c>
    </row>
    <row r="4621">
      <c r="A4621" s="140" t="s">
        <v>302</v>
      </c>
      <c r="B4621" s="140" t="s">
        <v>1151</v>
      </c>
      <c r="C4621" s="140" t="s">
        <v>12003</v>
      </c>
      <c r="D4621" s="140" t="s">
        <v>6601</v>
      </c>
      <c r="E4621" s="140" t="s">
        <v>796</v>
      </c>
      <c r="F4621" s="140" t="s">
        <v>1067</v>
      </c>
      <c r="G4621" s="141" t="s">
        <v>6742</v>
      </c>
      <c r="H4621" s="140" t="s">
        <v>6330</v>
      </c>
      <c r="I4621" s="140" t="s">
        <v>6313</v>
      </c>
      <c r="J4621" s="140" t="s">
        <v>6319</v>
      </c>
      <c r="K4621" s="140" t="s">
        <v>1573</v>
      </c>
    </row>
    <row r="4622">
      <c r="A4622" s="140" t="s">
        <v>302</v>
      </c>
      <c r="B4622" s="140" t="s">
        <v>1093</v>
      </c>
      <c r="C4622" s="140" t="s">
        <v>12004</v>
      </c>
      <c r="D4622" s="140" t="s">
        <v>6601</v>
      </c>
      <c r="E4622" s="140" t="s">
        <v>796</v>
      </c>
      <c r="F4622" s="140" t="s">
        <v>1067</v>
      </c>
      <c r="G4622" s="141" t="s">
        <v>6742</v>
      </c>
      <c r="H4622" s="140" t="s">
        <v>6330</v>
      </c>
      <c r="I4622" s="140" t="s">
        <v>6313</v>
      </c>
      <c r="J4622" s="140" t="s">
        <v>6319</v>
      </c>
      <c r="K4622" s="140" t="s">
        <v>1573</v>
      </c>
    </row>
    <row r="4623">
      <c r="A4623" s="140" t="s">
        <v>302</v>
      </c>
      <c r="B4623" s="140" t="s">
        <v>1095</v>
      </c>
      <c r="C4623" s="140" t="s">
        <v>12005</v>
      </c>
      <c r="D4623" s="140" t="s">
        <v>6601</v>
      </c>
      <c r="E4623" s="140" t="s">
        <v>796</v>
      </c>
      <c r="F4623" s="140" t="s">
        <v>1067</v>
      </c>
      <c r="G4623" s="141" t="s">
        <v>6742</v>
      </c>
      <c r="H4623" s="140" t="s">
        <v>6330</v>
      </c>
      <c r="I4623" s="140" t="s">
        <v>6313</v>
      </c>
      <c r="J4623" s="140" t="s">
        <v>6319</v>
      </c>
      <c r="K4623" s="140" t="s">
        <v>1573</v>
      </c>
    </row>
    <row r="4624">
      <c r="A4624" s="140" t="s">
        <v>302</v>
      </c>
      <c r="B4624" s="140" t="s">
        <v>1097</v>
      </c>
      <c r="C4624" s="140" t="s">
        <v>12006</v>
      </c>
      <c r="D4624" s="140" t="s">
        <v>6601</v>
      </c>
      <c r="E4624" s="140" t="s">
        <v>796</v>
      </c>
      <c r="F4624" s="140" t="s">
        <v>1067</v>
      </c>
      <c r="G4624" s="141" t="s">
        <v>6742</v>
      </c>
      <c r="H4624" s="140" t="s">
        <v>6330</v>
      </c>
      <c r="I4624" s="140" t="s">
        <v>6313</v>
      </c>
      <c r="J4624" s="140" t="s">
        <v>6319</v>
      </c>
      <c r="K4624" s="140" t="s">
        <v>1573</v>
      </c>
    </row>
    <row r="4625">
      <c r="A4625" s="140" t="s">
        <v>302</v>
      </c>
      <c r="B4625" s="140" t="s">
        <v>1099</v>
      </c>
      <c r="C4625" s="140" t="s">
        <v>12007</v>
      </c>
      <c r="D4625" s="140" t="s">
        <v>6601</v>
      </c>
      <c r="E4625" s="140" t="s">
        <v>796</v>
      </c>
      <c r="F4625" s="140" t="s">
        <v>1067</v>
      </c>
      <c r="G4625" s="141" t="s">
        <v>6401</v>
      </c>
      <c r="H4625" s="140" t="s">
        <v>6330</v>
      </c>
      <c r="I4625" s="140" t="s">
        <v>6313</v>
      </c>
      <c r="J4625" s="140" t="s">
        <v>6319</v>
      </c>
      <c r="K4625" s="140" t="s">
        <v>1573</v>
      </c>
    </row>
    <row r="4626">
      <c r="A4626" s="140" t="s">
        <v>302</v>
      </c>
      <c r="B4626" s="140" t="s">
        <v>1173</v>
      </c>
      <c r="C4626" s="140" t="s">
        <v>12008</v>
      </c>
      <c r="D4626" s="140" t="s">
        <v>6718</v>
      </c>
      <c r="E4626" s="140" t="s">
        <v>1168</v>
      </c>
      <c r="F4626" s="140" t="s">
        <v>1169</v>
      </c>
      <c r="G4626" s="141" t="s">
        <v>134</v>
      </c>
      <c r="H4626" s="140" t="s">
        <v>6330</v>
      </c>
      <c r="I4626" s="140" t="s">
        <v>6313</v>
      </c>
      <c r="J4626" s="140" t="s">
        <v>6319</v>
      </c>
      <c r="K4626" s="140" t="s">
        <v>1573</v>
      </c>
    </row>
    <row r="4627">
      <c r="A4627" s="140" t="s">
        <v>302</v>
      </c>
      <c r="B4627" s="140" t="s">
        <v>1175</v>
      </c>
      <c r="C4627" s="140" t="s">
        <v>12009</v>
      </c>
      <c r="D4627" s="140" t="s">
        <v>6718</v>
      </c>
      <c r="E4627" s="140" t="s">
        <v>1168</v>
      </c>
      <c r="F4627" s="140" t="s">
        <v>1169</v>
      </c>
      <c r="G4627" s="141" t="s">
        <v>6668</v>
      </c>
      <c r="H4627" s="140" t="s">
        <v>6330</v>
      </c>
      <c r="I4627" s="140" t="s">
        <v>6313</v>
      </c>
      <c r="J4627" s="140" t="s">
        <v>6319</v>
      </c>
      <c r="K4627" s="140" t="s">
        <v>1573</v>
      </c>
    </row>
    <row r="4628">
      <c r="A4628" s="140" t="s">
        <v>302</v>
      </c>
      <c r="B4628" s="140" t="s">
        <v>1177</v>
      </c>
      <c r="C4628" s="140" t="s">
        <v>12010</v>
      </c>
      <c r="D4628" s="140" t="s">
        <v>6718</v>
      </c>
      <c r="E4628" s="140" t="s">
        <v>1168</v>
      </c>
      <c r="F4628" s="140" t="s">
        <v>1169</v>
      </c>
      <c r="G4628" s="141" t="s">
        <v>6311</v>
      </c>
      <c r="H4628" s="140" t="s">
        <v>6330</v>
      </c>
      <c r="I4628" s="140" t="s">
        <v>6313</v>
      </c>
      <c r="J4628" s="140" t="s">
        <v>6319</v>
      </c>
      <c r="K4628" s="140" t="s">
        <v>1573</v>
      </c>
    </row>
    <row r="4629">
      <c r="A4629" s="140" t="s">
        <v>302</v>
      </c>
      <c r="B4629" s="143">
        <v>1.64009E12</v>
      </c>
      <c r="C4629" s="140" t="s">
        <v>12011</v>
      </c>
      <c r="D4629" s="140" t="s">
        <v>6718</v>
      </c>
      <c r="E4629" s="140" t="s">
        <v>1168</v>
      </c>
      <c r="F4629" s="140" t="s">
        <v>1169</v>
      </c>
      <c r="G4629" s="141" t="s">
        <v>134</v>
      </c>
      <c r="H4629" s="140" t="s">
        <v>6312</v>
      </c>
      <c r="I4629" s="140" t="s">
        <v>6313</v>
      </c>
      <c r="J4629" s="140" t="s">
        <v>6319</v>
      </c>
      <c r="K4629" s="140" t="s">
        <v>1573</v>
      </c>
    </row>
    <row r="4630">
      <c r="A4630" s="140" t="s">
        <v>302</v>
      </c>
      <c r="B4630" s="140" t="s">
        <v>12012</v>
      </c>
      <c r="C4630" s="140" t="s">
        <v>12011</v>
      </c>
      <c r="D4630" s="140" t="s">
        <v>6718</v>
      </c>
      <c r="E4630" s="140" t="s">
        <v>1168</v>
      </c>
      <c r="F4630" s="140" t="s">
        <v>1169</v>
      </c>
      <c r="G4630" s="141" t="s">
        <v>6304</v>
      </c>
      <c r="H4630" s="140" t="s">
        <v>6312</v>
      </c>
      <c r="I4630" s="140" t="s">
        <v>6527</v>
      </c>
      <c r="J4630" s="140" t="s">
        <v>6319</v>
      </c>
      <c r="K4630" s="140" t="s">
        <v>1573</v>
      </c>
    </row>
    <row r="4631">
      <c r="A4631" s="140" t="s">
        <v>302</v>
      </c>
      <c r="B4631" s="143">
        <v>1.49618E12</v>
      </c>
      <c r="C4631" s="140" t="s">
        <v>12013</v>
      </c>
      <c r="D4631" s="140" t="s">
        <v>6718</v>
      </c>
      <c r="E4631" s="140" t="s">
        <v>1168</v>
      </c>
      <c r="F4631" s="140" t="s">
        <v>1169</v>
      </c>
      <c r="G4631" s="141" t="s">
        <v>6401</v>
      </c>
      <c r="H4631" s="140" t="s">
        <v>6312</v>
      </c>
      <c r="I4631" s="140" t="s">
        <v>6313</v>
      </c>
      <c r="J4631" s="140" t="s">
        <v>6319</v>
      </c>
      <c r="K4631" s="140" t="s">
        <v>1573</v>
      </c>
    </row>
    <row r="4632">
      <c r="A4632" s="140" t="s">
        <v>302</v>
      </c>
      <c r="B4632" s="140" t="s">
        <v>12014</v>
      </c>
      <c r="C4632" s="140" t="s">
        <v>12015</v>
      </c>
      <c r="D4632" s="140" t="s">
        <v>6718</v>
      </c>
      <c r="E4632" s="140" t="s">
        <v>1168</v>
      </c>
      <c r="F4632" s="140" t="s">
        <v>1169</v>
      </c>
      <c r="G4632" s="141" t="s">
        <v>6401</v>
      </c>
      <c r="H4632" s="140" t="s">
        <v>6312</v>
      </c>
      <c r="I4632" s="140" t="s">
        <v>6313</v>
      </c>
      <c r="J4632" s="140" t="s">
        <v>6319</v>
      </c>
      <c r="K4632" s="140" t="s">
        <v>1573</v>
      </c>
    </row>
    <row r="4633">
      <c r="A4633" s="140" t="s">
        <v>302</v>
      </c>
      <c r="B4633" s="140" t="s">
        <v>12016</v>
      </c>
      <c r="C4633" s="140" t="s">
        <v>12017</v>
      </c>
      <c r="D4633" s="140" t="s">
        <v>6718</v>
      </c>
      <c r="E4633" s="140" t="s">
        <v>1168</v>
      </c>
      <c r="F4633" s="140" t="s">
        <v>1169</v>
      </c>
      <c r="G4633" s="141" t="s">
        <v>6401</v>
      </c>
      <c r="H4633" s="140" t="s">
        <v>6312</v>
      </c>
      <c r="I4633" s="140" t="s">
        <v>6313</v>
      </c>
      <c r="J4633" s="140" t="s">
        <v>6319</v>
      </c>
      <c r="K4633" s="140" t="s">
        <v>1573</v>
      </c>
    </row>
    <row r="4634">
      <c r="A4634" s="140" t="s">
        <v>302</v>
      </c>
      <c r="B4634" s="140" t="s">
        <v>6757</v>
      </c>
      <c r="C4634" s="140" t="s">
        <v>12018</v>
      </c>
      <c r="D4634" s="140" t="s">
        <v>6718</v>
      </c>
      <c r="E4634" s="140" t="s">
        <v>748</v>
      </c>
      <c r="F4634" s="140" t="s">
        <v>10303</v>
      </c>
      <c r="G4634" s="141" t="s">
        <v>6401</v>
      </c>
      <c r="H4634" s="140" t="s">
        <v>6312</v>
      </c>
      <c r="I4634" s="140" t="s">
        <v>6313</v>
      </c>
      <c r="J4634" s="140" t="s">
        <v>6319</v>
      </c>
      <c r="K4634" s="140" t="s">
        <v>1573</v>
      </c>
    </row>
    <row r="4635">
      <c r="A4635" s="140" t="s">
        <v>302</v>
      </c>
      <c r="B4635" s="140" t="s">
        <v>6757</v>
      </c>
      <c r="C4635" s="140" t="s">
        <v>12019</v>
      </c>
      <c r="D4635" s="140" t="s">
        <v>6718</v>
      </c>
      <c r="E4635" s="140" t="s">
        <v>748</v>
      </c>
      <c r="F4635" s="140" t="s">
        <v>10303</v>
      </c>
      <c r="G4635" s="141" t="s">
        <v>6401</v>
      </c>
      <c r="H4635" s="140" t="s">
        <v>6312</v>
      </c>
      <c r="I4635" s="140" t="s">
        <v>6313</v>
      </c>
      <c r="J4635" s="140" t="s">
        <v>6319</v>
      </c>
      <c r="K4635" s="140" t="s">
        <v>1573</v>
      </c>
    </row>
    <row r="4636">
      <c r="A4636" s="140" t="s">
        <v>302</v>
      </c>
      <c r="B4636" s="140" t="s">
        <v>6757</v>
      </c>
      <c r="C4636" s="140" t="s">
        <v>12020</v>
      </c>
      <c r="D4636" s="140" t="s">
        <v>6718</v>
      </c>
      <c r="E4636" s="140" t="s">
        <v>748</v>
      </c>
      <c r="F4636" s="140" t="s">
        <v>10303</v>
      </c>
      <c r="G4636" s="141" t="s">
        <v>6401</v>
      </c>
      <c r="H4636" s="140" t="s">
        <v>6312</v>
      </c>
      <c r="I4636" s="140" t="s">
        <v>6313</v>
      </c>
      <c r="J4636" s="140" t="s">
        <v>6319</v>
      </c>
      <c r="K4636" s="140" t="s">
        <v>1573</v>
      </c>
    </row>
    <row r="4637">
      <c r="A4637" s="140" t="s">
        <v>302</v>
      </c>
      <c r="B4637" s="140" t="s">
        <v>6757</v>
      </c>
      <c r="C4637" s="140" t="s">
        <v>12020</v>
      </c>
      <c r="D4637" s="140" t="s">
        <v>6718</v>
      </c>
      <c r="E4637" s="140" t="s">
        <v>748</v>
      </c>
      <c r="F4637" s="140" t="s">
        <v>10303</v>
      </c>
      <c r="G4637" s="141" t="s">
        <v>6401</v>
      </c>
      <c r="H4637" s="140" t="s">
        <v>6312</v>
      </c>
      <c r="I4637" s="140" t="s">
        <v>6313</v>
      </c>
      <c r="J4637" s="140" t="s">
        <v>6319</v>
      </c>
      <c r="K4637" s="140" t="s">
        <v>1573</v>
      </c>
    </row>
    <row r="4638">
      <c r="A4638" s="140" t="s">
        <v>302</v>
      </c>
      <c r="B4638" s="140" t="s">
        <v>6757</v>
      </c>
      <c r="C4638" s="140" t="s">
        <v>12021</v>
      </c>
      <c r="D4638" s="140" t="s">
        <v>6718</v>
      </c>
      <c r="E4638" s="140" t="s">
        <v>748</v>
      </c>
      <c r="F4638" s="140" t="s">
        <v>10303</v>
      </c>
      <c r="G4638" s="141" t="s">
        <v>6401</v>
      </c>
      <c r="H4638" s="140" t="s">
        <v>6312</v>
      </c>
      <c r="I4638" s="140" t="s">
        <v>6313</v>
      </c>
      <c r="J4638" s="140" t="s">
        <v>6319</v>
      </c>
      <c r="K4638" s="140" t="s">
        <v>1573</v>
      </c>
    </row>
    <row r="4639">
      <c r="A4639" s="140" t="s">
        <v>302</v>
      </c>
      <c r="B4639" s="140" t="s">
        <v>6757</v>
      </c>
      <c r="C4639" s="140" t="s">
        <v>12022</v>
      </c>
      <c r="D4639" s="140" t="s">
        <v>6718</v>
      </c>
      <c r="E4639" s="140" t="s">
        <v>748</v>
      </c>
      <c r="F4639" s="140" t="s">
        <v>10303</v>
      </c>
      <c r="G4639" s="141" t="s">
        <v>6401</v>
      </c>
      <c r="H4639" s="140" t="s">
        <v>6312</v>
      </c>
      <c r="I4639" s="140" t="s">
        <v>6313</v>
      </c>
      <c r="J4639" s="140" t="s">
        <v>6319</v>
      </c>
      <c r="K4639" s="140" t="s">
        <v>1573</v>
      </c>
    </row>
    <row r="4640">
      <c r="A4640" s="140" t="s">
        <v>302</v>
      </c>
      <c r="B4640" s="140" t="s">
        <v>6757</v>
      </c>
      <c r="C4640" s="140" t="s">
        <v>12023</v>
      </c>
      <c r="D4640" s="140" t="s">
        <v>6718</v>
      </c>
      <c r="E4640" s="140" t="s">
        <v>748</v>
      </c>
      <c r="F4640" s="140" t="s">
        <v>10303</v>
      </c>
      <c r="G4640" s="141" t="s">
        <v>6401</v>
      </c>
      <c r="H4640" s="140" t="s">
        <v>6312</v>
      </c>
      <c r="I4640" s="140" t="s">
        <v>6313</v>
      </c>
      <c r="J4640" s="140" t="s">
        <v>6319</v>
      </c>
      <c r="K4640" s="140" t="s">
        <v>1573</v>
      </c>
    </row>
    <row r="4641">
      <c r="A4641" s="140" t="s">
        <v>302</v>
      </c>
      <c r="B4641" s="140" t="s">
        <v>6757</v>
      </c>
      <c r="C4641" s="140" t="s">
        <v>12023</v>
      </c>
      <c r="D4641" s="140" t="s">
        <v>6718</v>
      </c>
      <c r="E4641" s="140" t="s">
        <v>748</v>
      </c>
      <c r="F4641" s="140" t="s">
        <v>10303</v>
      </c>
      <c r="G4641" s="141" t="s">
        <v>6401</v>
      </c>
      <c r="H4641" s="140" t="s">
        <v>6312</v>
      </c>
      <c r="I4641" s="140" t="s">
        <v>6313</v>
      </c>
      <c r="J4641" s="140" t="s">
        <v>6319</v>
      </c>
      <c r="K4641" s="140" t="s">
        <v>1573</v>
      </c>
    </row>
    <row r="4642">
      <c r="A4642" s="140" t="s">
        <v>302</v>
      </c>
      <c r="B4642" s="140" t="s">
        <v>6757</v>
      </c>
      <c r="C4642" s="140" t="s">
        <v>12024</v>
      </c>
      <c r="D4642" s="140" t="s">
        <v>6718</v>
      </c>
      <c r="E4642" s="140" t="s">
        <v>748</v>
      </c>
      <c r="F4642" s="140" t="s">
        <v>10303</v>
      </c>
      <c r="G4642" s="141" t="s">
        <v>6401</v>
      </c>
      <c r="H4642" s="140" t="s">
        <v>6312</v>
      </c>
      <c r="I4642" s="140" t="s">
        <v>6313</v>
      </c>
      <c r="J4642" s="140" t="s">
        <v>6319</v>
      </c>
      <c r="K4642" s="140" t="s">
        <v>1573</v>
      </c>
    </row>
    <row r="4643">
      <c r="A4643" s="140" t="s">
        <v>302</v>
      </c>
      <c r="B4643" s="144" t="s">
        <v>6757</v>
      </c>
      <c r="C4643" s="140" t="s">
        <v>12024</v>
      </c>
      <c r="D4643" s="140" t="s">
        <v>6718</v>
      </c>
      <c r="E4643" s="140" t="s">
        <v>748</v>
      </c>
      <c r="F4643" s="140" t="s">
        <v>10303</v>
      </c>
      <c r="G4643" s="141" t="s">
        <v>6401</v>
      </c>
      <c r="H4643" s="140" t="s">
        <v>6312</v>
      </c>
      <c r="I4643" s="140" t="s">
        <v>6313</v>
      </c>
      <c r="J4643" s="140" t="s">
        <v>6319</v>
      </c>
      <c r="K4643" s="140" t="s">
        <v>1573</v>
      </c>
    </row>
    <row r="4644">
      <c r="A4644" s="140" t="s">
        <v>302</v>
      </c>
      <c r="B4644" s="144" t="s">
        <v>6757</v>
      </c>
      <c r="C4644" s="140" t="s">
        <v>12025</v>
      </c>
      <c r="D4644" s="140" t="s">
        <v>6718</v>
      </c>
      <c r="E4644" s="140" t="s">
        <v>748</v>
      </c>
      <c r="F4644" s="140" t="s">
        <v>10303</v>
      </c>
      <c r="G4644" s="141" t="s">
        <v>6401</v>
      </c>
      <c r="H4644" s="140" t="s">
        <v>6312</v>
      </c>
      <c r="I4644" s="140" t="s">
        <v>6313</v>
      </c>
      <c r="J4644" s="140" t="s">
        <v>6319</v>
      </c>
      <c r="K4644" s="140" t="s">
        <v>1573</v>
      </c>
    </row>
    <row r="4645">
      <c r="A4645" s="140" t="s">
        <v>302</v>
      </c>
      <c r="B4645" s="144" t="s">
        <v>6757</v>
      </c>
      <c r="C4645" s="140" t="s">
        <v>12026</v>
      </c>
      <c r="D4645" s="140" t="s">
        <v>6718</v>
      </c>
      <c r="E4645" s="140" t="s">
        <v>748</v>
      </c>
      <c r="F4645" s="140" t="s">
        <v>10303</v>
      </c>
      <c r="G4645" s="141" t="s">
        <v>6401</v>
      </c>
      <c r="H4645" s="140" t="s">
        <v>6312</v>
      </c>
      <c r="I4645" s="140" t="s">
        <v>6313</v>
      </c>
      <c r="J4645" s="140" t="s">
        <v>6319</v>
      </c>
      <c r="K4645" s="140" t="s">
        <v>1573</v>
      </c>
    </row>
    <row r="4646">
      <c r="A4646" s="140" t="s">
        <v>11471</v>
      </c>
      <c r="B4646" s="152">
        <v>1.63069E12</v>
      </c>
      <c r="C4646" s="140" t="s">
        <v>12027</v>
      </c>
      <c r="D4646" s="140" t="s">
        <v>6718</v>
      </c>
      <c r="E4646" s="140" t="s">
        <v>748</v>
      </c>
      <c r="F4646" s="140" t="s">
        <v>10303</v>
      </c>
      <c r="G4646" s="141" t="s">
        <v>6401</v>
      </c>
      <c r="H4646" s="140" t="s">
        <v>6312</v>
      </c>
      <c r="I4646" s="140" t="s">
        <v>6313</v>
      </c>
      <c r="J4646" s="140" t="s">
        <v>6319</v>
      </c>
      <c r="K4646" s="140" t="s">
        <v>1573</v>
      </c>
    </row>
    <row r="4647">
      <c r="A4647" s="140" t="s">
        <v>302</v>
      </c>
      <c r="B4647" s="144" t="s">
        <v>6757</v>
      </c>
      <c r="C4647" s="140" t="s">
        <v>12028</v>
      </c>
      <c r="D4647" s="140" t="s">
        <v>6718</v>
      </c>
      <c r="E4647" s="140" t="s">
        <v>748</v>
      </c>
      <c r="F4647" s="140" t="s">
        <v>10303</v>
      </c>
      <c r="G4647" s="141" t="s">
        <v>6401</v>
      </c>
      <c r="H4647" s="140" t="s">
        <v>6312</v>
      </c>
      <c r="I4647" s="140" t="s">
        <v>6313</v>
      </c>
      <c r="J4647" s="140" t="s">
        <v>6319</v>
      </c>
      <c r="K4647" s="140" t="s">
        <v>1573</v>
      </c>
    </row>
    <row r="4648">
      <c r="A4648" s="140" t="s">
        <v>302</v>
      </c>
      <c r="B4648" s="144" t="s">
        <v>6757</v>
      </c>
      <c r="C4648" s="140" t="s">
        <v>12028</v>
      </c>
      <c r="D4648" s="140" t="s">
        <v>6718</v>
      </c>
      <c r="E4648" s="140" t="s">
        <v>748</v>
      </c>
      <c r="F4648" s="140" t="s">
        <v>10303</v>
      </c>
      <c r="G4648" s="141" t="s">
        <v>6401</v>
      </c>
      <c r="H4648" s="140" t="s">
        <v>6312</v>
      </c>
      <c r="I4648" s="140" t="s">
        <v>6313</v>
      </c>
      <c r="J4648" s="140" t="s">
        <v>6319</v>
      </c>
      <c r="K4648" s="140" t="s">
        <v>1573</v>
      </c>
    </row>
    <row r="4649">
      <c r="A4649" s="140" t="s">
        <v>11471</v>
      </c>
      <c r="B4649" s="144" t="s">
        <v>6757</v>
      </c>
      <c r="C4649" s="140" t="s">
        <v>12029</v>
      </c>
      <c r="D4649" s="140" t="s">
        <v>6718</v>
      </c>
      <c r="E4649" s="140" t="s">
        <v>748</v>
      </c>
      <c r="F4649" s="140" t="s">
        <v>10303</v>
      </c>
      <c r="G4649" s="141" t="s">
        <v>6401</v>
      </c>
      <c r="H4649" s="140" t="s">
        <v>6312</v>
      </c>
      <c r="I4649" s="140" t="s">
        <v>6313</v>
      </c>
      <c r="J4649" s="140" t="s">
        <v>6319</v>
      </c>
      <c r="K4649" s="140" t="s">
        <v>1573</v>
      </c>
    </row>
    <row r="4650">
      <c r="A4650" s="140" t="s">
        <v>302</v>
      </c>
      <c r="B4650" s="144" t="s">
        <v>6757</v>
      </c>
      <c r="C4650" s="140" t="s">
        <v>12029</v>
      </c>
      <c r="D4650" s="140" t="s">
        <v>6718</v>
      </c>
      <c r="E4650" s="140" t="s">
        <v>748</v>
      </c>
      <c r="F4650" s="140" t="s">
        <v>10303</v>
      </c>
      <c r="G4650" s="141" t="s">
        <v>6401</v>
      </c>
      <c r="H4650" s="140" t="s">
        <v>6312</v>
      </c>
      <c r="I4650" s="140" t="s">
        <v>6313</v>
      </c>
      <c r="J4650" s="140" t="s">
        <v>6319</v>
      </c>
      <c r="K4650" s="140" t="s">
        <v>1573</v>
      </c>
    </row>
    <row r="4651">
      <c r="A4651" s="140" t="s">
        <v>302</v>
      </c>
      <c r="B4651" s="152">
        <v>1.60201E12</v>
      </c>
      <c r="C4651" s="140" t="s">
        <v>12030</v>
      </c>
      <c r="D4651" s="140" t="s">
        <v>6718</v>
      </c>
      <c r="E4651" s="140" t="s">
        <v>748</v>
      </c>
      <c r="F4651" s="140" t="s">
        <v>10303</v>
      </c>
      <c r="G4651" s="141" t="s">
        <v>6401</v>
      </c>
      <c r="H4651" s="140" t="s">
        <v>6312</v>
      </c>
      <c r="I4651" s="140" t="s">
        <v>6313</v>
      </c>
      <c r="J4651" s="140" t="s">
        <v>6319</v>
      </c>
      <c r="K4651" s="140" t="s">
        <v>1573</v>
      </c>
    </row>
    <row r="4652">
      <c r="A4652" s="140" t="s">
        <v>302</v>
      </c>
      <c r="B4652" s="144" t="s">
        <v>6757</v>
      </c>
      <c r="C4652" s="140" t="s">
        <v>12031</v>
      </c>
      <c r="D4652" s="140" t="s">
        <v>6718</v>
      </c>
      <c r="E4652" s="140" t="s">
        <v>748</v>
      </c>
      <c r="F4652" s="140" t="s">
        <v>10303</v>
      </c>
      <c r="G4652" s="141" t="s">
        <v>6401</v>
      </c>
      <c r="H4652" s="140" t="s">
        <v>6312</v>
      </c>
      <c r="I4652" s="140" t="s">
        <v>6313</v>
      </c>
      <c r="J4652" s="140" t="s">
        <v>6319</v>
      </c>
      <c r="K4652" s="140" t="s">
        <v>1573</v>
      </c>
    </row>
    <row r="4653">
      <c r="A4653" s="140" t="s">
        <v>302</v>
      </c>
      <c r="B4653" s="144" t="s">
        <v>6757</v>
      </c>
      <c r="C4653" s="140" t="s">
        <v>12032</v>
      </c>
      <c r="D4653" s="140" t="s">
        <v>6718</v>
      </c>
      <c r="E4653" s="140" t="s">
        <v>748</v>
      </c>
      <c r="F4653" s="140" t="s">
        <v>10303</v>
      </c>
      <c r="G4653" s="141" t="s">
        <v>6401</v>
      </c>
      <c r="H4653" s="140" t="s">
        <v>6312</v>
      </c>
      <c r="I4653" s="140" t="s">
        <v>6313</v>
      </c>
      <c r="J4653" s="140" t="s">
        <v>6319</v>
      </c>
      <c r="K4653" s="140" t="s">
        <v>1573</v>
      </c>
    </row>
    <row r="4654">
      <c r="A4654" s="140" t="s">
        <v>11471</v>
      </c>
      <c r="B4654" s="152">
        <v>1.60132E12</v>
      </c>
      <c r="C4654" s="140" t="s">
        <v>12033</v>
      </c>
      <c r="D4654" s="140" t="s">
        <v>6718</v>
      </c>
      <c r="E4654" s="140" t="s">
        <v>748</v>
      </c>
      <c r="F4654" s="140" t="s">
        <v>10303</v>
      </c>
      <c r="G4654" s="141" t="s">
        <v>6401</v>
      </c>
      <c r="H4654" s="140" t="s">
        <v>6312</v>
      </c>
      <c r="I4654" s="140" t="s">
        <v>6313</v>
      </c>
      <c r="J4654" s="140" t="s">
        <v>6319</v>
      </c>
      <c r="K4654" s="140" t="s">
        <v>1573</v>
      </c>
    </row>
    <row r="4655">
      <c r="A4655" s="140" t="s">
        <v>302</v>
      </c>
      <c r="B4655" s="143">
        <v>1.6128E12</v>
      </c>
      <c r="C4655" s="140" t="s">
        <v>12034</v>
      </c>
      <c r="D4655" s="140" t="s">
        <v>6718</v>
      </c>
      <c r="E4655" s="140" t="s">
        <v>748</v>
      </c>
      <c r="F4655" s="140" t="s">
        <v>10303</v>
      </c>
      <c r="G4655" s="141" t="s">
        <v>6401</v>
      </c>
      <c r="H4655" s="140" t="s">
        <v>6312</v>
      </c>
      <c r="I4655" s="140" t="s">
        <v>6313</v>
      </c>
      <c r="J4655" s="140" t="s">
        <v>6319</v>
      </c>
      <c r="K4655" s="140" t="s">
        <v>1573</v>
      </c>
    </row>
    <row r="4656">
      <c r="A4656" s="140" t="s">
        <v>302</v>
      </c>
      <c r="B4656" s="144" t="s">
        <v>6757</v>
      </c>
      <c r="C4656" s="140" t="s">
        <v>12034</v>
      </c>
      <c r="D4656" s="140" t="s">
        <v>6718</v>
      </c>
      <c r="E4656" s="140" t="s">
        <v>748</v>
      </c>
      <c r="F4656" s="140" t="s">
        <v>10303</v>
      </c>
      <c r="G4656" s="141" t="s">
        <v>6401</v>
      </c>
      <c r="H4656" s="140" t="s">
        <v>6312</v>
      </c>
      <c r="I4656" s="140" t="s">
        <v>6313</v>
      </c>
      <c r="J4656" s="140" t="s">
        <v>6319</v>
      </c>
      <c r="K4656" s="140" t="s">
        <v>1573</v>
      </c>
    </row>
    <row r="4657">
      <c r="A4657" s="140" t="s">
        <v>302</v>
      </c>
      <c r="B4657" s="144" t="s">
        <v>6757</v>
      </c>
      <c r="C4657" s="140" t="s">
        <v>12035</v>
      </c>
      <c r="D4657" s="140" t="s">
        <v>6718</v>
      </c>
      <c r="E4657" s="140" t="s">
        <v>748</v>
      </c>
      <c r="F4657" s="140" t="s">
        <v>10303</v>
      </c>
      <c r="G4657" s="141" t="s">
        <v>6401</v>
      </c>
      <c r="H4657" s="140" t="s">
        <v>6312</v>
      </c>
      <c r="I4657" s="140" t="s">
        <v>6313</v>
      </c>
      <c r="J4657" s="140" t="s">
        <v>6319</v>
      </c>
      <c r="K4657" s="140" t="s">
        <v>1573</v>
      </c>
    </row>
    <row r="4658">
      <c r="A4658" s="140" t="s">
        <v>302</v>
      </c>
      <c r="B4658" s="152">
        <v>1.60582E12</v>
      </c>
      <c r="C4658" s="140" t="s">
        <v>12036</v>
      </c>
      <c r="D4658" s="140" t="s">
        <v>6718</v>
      </c>
      <c r="E4658" s="140" t="s">
        <v>748</v>
      </c>
      <c r="F4658" s="140" t="s">
        <v>10303</v>
      </c>
      <c r="G4658" s="141" t="s">
        <v>6401</v>
      </c>
      <c r="H4658" s="140" t="s">
        <v>6312</v>
      </c>
      <c r="I4658" s="140" t="s">
        <v>6313</v>
      </c>
      <c r="J4658" s="140" t="s">
        <v>6319</v>
      </c>
      <c r="K4658" s="140" t="s">
        <v>1573</v>
      </c>
    </row>
    <row r="4659">
      <c r="A4659" s="140" t="s">
        <v>302</v>
      </c>
      <c r="B4659" s="144" t="s">
        <v>6757</v>
      </c>
      <c r="C4659" s="140" t="s">
        <v>12037</v>
      </c>
      <c r="D4659" s="140" t="s">
        <v>6718</v>
      </c>
      <c r="E4659" s="140" t="s">
        <v>748</v>
      </c>
      <c r="F4659" s="140" t="s">
        <v>10303</v>
      </c>
      <c r="G4659" s="141" t="s">
        <v>6401</v>
      </c>
      <c r="H4659" s="140" t="s">
        <v>6312</v>
      </c>
      <c r="I4659" s="140" t="s">
        <v>6313</v>
      </c>
      <c r="J4659" s="140" t="s">
        <v>6319</v>
      </c>
      <c r="K4659" s="140" t="s">
        <v>1573</v>
      </c>
    </row>
    <row r="4660">
      <c r="A4660" s="140" t="s">
        <v>302</v>
      </c>
      <c r="B4660" s="140" t="s">
        <v>6757</v>
      </c>
      <c r="C4660" s="140" t="s">
        <v>12038</v>
      </c>
      <c r="D4660" s="140" t="s">
        <v>6718</v>
      </c>
      <c r="E4660" s="140" t="s">
        <v>748</v>
      </c>
      <c r="F4660" s="140" t="s">
        <v>10303</v>
      </c>
      <c r="G4660" s="141" t="s">
        <v>6401</v>
      </c>
      <c r="H4660" s="140" t="s">
        <v>6312</v>
      </c>
      <c r="I4660" s="140" t="s">
        <v>6313</v>
      </c>
      <c r="J4660" s="140" t="s">
        <v>6319</v>
      </c>
      <c r="K4660" s="140" t="s">
        <v>1573</v>
      </c>
    </row>
    <row r="4661">
      <c r="A4661" s="140" t="s">
        <v>302</v>
      </c>
      <c r="B4661" s="152">
        <v>1.57125E12</v>
      </c>
      <c r="C4661" s="140" t="s">
        <v>12039</v>
      </c>
      <c r="D4661" s="140" t="s">
        <v>6718</v>
      </c>
      <c r="E4661" s="140" t="s">
        <v>748</v>
      </c>
      <c r="F4661" s="140" t="s">
        <v>10303</v>
      </c>
      <c r="G4661" s="141" t="s">
        <v>6401</v>
      </c>
      <c r="H4661" s="140" t="s">
        <v>6312</v>
      </c>
      <c r="I4661" s="140" t="s">
        <v>6313</v>
      </c>
      <c r="J4661" s="140" t="s">
        <v>6319</v>
      </c>
      <c r="K4661" s="140" t="s">
        <v>1573</v>
      </c>
    </row>
    <row r="4662">
      <c r="A4662" s="140" t="s">
        <v>302</v>
      </c>
      <c r="B4662" s="144" t="s">
        <v>6757</v>
      </c>
      <c r="C4662" s="140" t="s">
        <v>12040</v>
      </c>
      <c r="D4662" s="140" t="s">
        <v>6718</v>
      </c>
      <c r="E4662" s="140" t="s">
        <v>748</v>
      </c>
      <c r="F4662" s="140" t="s">
        <v>10303</v>
      </c>
      <c r="G4662" s="141" t="s">
        <v>6401</v>
      </c>
      <c r="H4662" s="140" t="s">
        <v>6312</v>
      </c>
      <c r="I4662" s="140" t="s">
        <v>6313</v>
      </c>
      <c r="J4662" s="140" t="s">
        <v>6319</v>
      </c>
      <c r="K4662" s="140" t="s">
        <v>1573</v>
      </c>
    </row>
    <row r="4663">
      <c r="A4663" s="140" t="s">
        <v>11471</v>
      </c>
      <c r="B4663" s="140" t="s">
        <v>6757</v>
      </c>
      <c r="C4663" s="140" t="s">
        <v>12041</v>
      </c>
      <c r="D4663" s="140" t="s">
        <v>6718</v>
      </c>
      <c r="E4663" s="140" t="s">
        <v>748</v>
      </c>
      <c r="F4663" s="140" t="s">
        <v>10303</v>
      </c>
      <c r="G4663" s="141" t="s">
        <v>6401</v>
      </c>
      <c r="H4663" s="140" t="s">
        <v>6312</v>
      </c>
      <c r="I4663" s="140" t="s">
        <v>6313</v>
      </c>
      <c r="J4663" s="140" t="s">
        <v>6319</v>
      </c>
      <c r="K4663" s="140" t="s">
        <v>1573</v>
      </c>
    </row>
    <row r="4664">
      <c r="A4664" s="140" t="s">
        <v>302</v>
      </c>
      <c r="B4664" s="140" t="s">
        <v>6757</v>
      </c>
      <c r="C4664" s="140" t="s">
        <v>12042</v>
      </c>
      <c r="D4664" s="140" t="s">
        <v>6718</v>
      </c>
      <c r="E4664" s="140" t="s">
        <v>748</v>
      </c>
      <c r="F4664" s="140" t="s">
        <v>10303</v>
      </c>
      <c r="G4664" s="141" t="s">
        <v>6401</v>
      </c>
      <c r="H4664" s="140" t="s">
        <v>6312</v>
      </c>
      <c r="I4664" s="140" t="s">
        <v>6313</v>
      </c>
      <c r="J4664" s="140" t="s">
        <v>6319</v>
      </c>
      <c r="K4664" s="140" t="s">
        <v>1573</v>
      </c>
    </row>
    <row r="4665">
      <c r="A4665" s="140" t="s">
        <v>302</v>
      </c>
      <c r="B4665" s="152">
        <v>1.57973E12</v>
      </c>
      <c r="C4665" s="140" t="s">
        <v>12043</v>
      </c>
      <c r="D4665" s="140" t="s">
        <v>6718</v>
      </c>
      <c r="E4665" s="140" t="s">
        <v>748</v>
      </c>
      <c r="F4665" s="140" t="s">
        <v>10303</v>
      </c>
      <c r="G4665" s="141" t="s">
        <v>6401</v>
      </c>
      <c r="H4665" s="140" t="s">
        <v>6312</v>
      </c>
      <c r="I4665" s="140" t="s">
        <v>6313</v>
      </c>
      <c r="J4665" s="140" t="s">
        <v>6319</v>
      </c>
      <c r="K4665" s="140" t="s">
        <v>1573</v>
      </c>
    </row>
    <row r="4666">
      <c r="A4666" s="140" t="s">
        <v>302</v>
      </c>
      <c r="B4666" s="152">
        <v>1.60624E12</v>
      </c>
      <c r="C4666" s="140" t="s">
        <v>12044</v>
      </c>
      <c r="D4666" s="140" t="s">
        <v>6718</v>
      </c>
      <c r="E4666" s="140" t="s">
        <v>748</v>
      </c>
      <c r="F4666" s="140" t="s">
        <v>10303</v>
      </c>
      <c r="G4666" s="141" t="s">
        <v>6401</v>
      </c>
      <c r="H4666" s="140" t="s">
        <v>6312</v>
      </c>
      <c r="I4666" s="140" t="s">
        <v>6313</v>
      </c>
      <c r="J4666" s="140" t="s">
        <v>6319</v>
      </c>
      <c r="K4666" s="140" t="s">
        <v>1573</v>
      </c>
    </row>
    <row r="4667">
      <c r="A4667" s="140" t="s">
        <v>302</v>
      </c>
      <c r="B4667" s="143">
        <v>1.63042E12</v>
      </c>
      <c r="C4667" s="140" t="s">
        <v>12045</v>
      </c>
      <c r="D4667" s="140" t="s">
        <v>6718</v>
      </c>
      <c r="E4667" s="140" t="s">
        <v>748</v>
      </c>
      <c r="F4667" s="140" t="s">
        <v>10303</v>
      </c>
      <c r="G4667" s="141" t="s">
        <v>6401</v>
      </c>
      <c r="H4667" s="140" t="s">
        <v>6312</v>
      </c>
      <c r="I4667" s="140" t="s">
        <v>6313</v>
      </c>
      <c r="J4667" s="140" t="s">
        <v>6319</v>
      </c>
      <c r="K4667" s="140" t="s">
        <v>1573</v>
      </c>
    </row>
    <row r="4668">
      <c r="A4668" s="140" t="s">
        <v>302</v>
      </c>
      <c r="B4668" s="152">
        <v>1.63042E12</v>
      </c>
      <c r="C4668" s="140" t="s">
        <v>12046</v>
      </c>
      <c r="D4668" s="140" t="s">
        <v>6718</v>
      </c>
      <c r="E4668" s="140" t="s">
        <v>748</v>
      </c>
      <c r="F4668" s="140" t="s">
        <v>10303</v>
      </c>
      <c r="G4668" s="141" t="s">
        <v>6401</v>
      </c>
      <c r="H4668" s="140" t="s">
        <v>6312</v>
      </c>
      <c r="I4668" s="140" t="s">
        <v>6313</v>
      </c>
      <c r="J4668" s="140" t="s">
        <v>6319</v>
      </c>
      <c r="K4668" s="140" t="s">
        <v>1573</v>
      </c>
    </row>
    <row r="4669">
      <c r="A4669" s="140" t="s">
        <v>302</v>
      </c>
      <c r="B4669" s="144" t="s">
        <v>6757</v>
      </c>
      <c r="C4669" s="140" t="s">
        <v>12047</v>
      </c>
      <c r="D4669" s="140" t="s">
        <v>6718</v>
      </c>
      <c r="E4669" s="140" t="s">
        <v>748</v>
      </c>
      <c r="F4669" s="140" t="s">
        <v>10303</v>
      </c>
      <c r="G4669" s="141" t="s">
        <v>6401</v>
      </c>
      <c r="H4669" s="140" t="s">
        <v>6312</v>
      </c>
      <c r="I4669" s="140" t="s">
        <v>6313</v>
      </c>
      <c r="J4669" s="140" t="s">
        <v>6319</v>
      </c>
      <c r="K4669" s="140" t="s">
        <v>1573</v>
      </c>
    </row>
    <row r="4670">
      <c r="A4670" s="140" t="s">
        <v>302</v>
      </c>
      <c r="B4670" s="140" t="s">
        <v>6757</v>
      </c>
      <c r="C4670" s="140" t="s">
        <v>12048</v>
      </c>
      <c r="D4670" s="140" t="s">
        <v>6718</v>
      </c>
      <c r="E4670" s="140" t="s">
        <v>748</v>
      </c>
      <c r="F4670" s="140" t="s">
        <v>10303</v>
      </c>
      <c r="G4670" s="141" t="s">
        <v>6401</v>
      </c>
      <c r="H4670" s="140" t="s">
        <v>6312</v>
      </c>
      <c r="I4670" s="140" t="s">
        <v>6313</v>
      </c>
      <c r="J4670" s="140" t="s">
        <v>6319</v>
      </c>
      <c r="K4670" s="140" t="s">
        <v>1573</v>
      </c>
    </row>
    <row r="4671">
      <c r="A4671" s="140" t="s">
        <v>302</v>
      </c>
      <c r="B4671" s="152">
        <v>1.61538E12</v>
      </c>
      <c r="C4671" s="140" t="s">
        <v>12049</v>
      </c>
      <c r="D4671" s="140" t="s">
        <v>6718</v>
      </c>
      <c r="E4671" s="140" t="s">
        <v>748</v>
      </c>
      <c r="F4671" s="140" t="s">
        <v>10303</v>
      </c>
      <c r="G4671" s="141" t="s">
        <v>6401</v>
      </c>
      <c r="H4671" s="140" t="s">
        <v>6312</v>
      </c>
      <c r="I4671" s="140" t="s">
        <v>6313</v>
      </c>
      <c r="J4671" s="140" t="s">
        <v>6319</v>
      </c>
      <c r="K4671" s="140" t="s">
        <v>1573</v>
      </c>
    </row>
    <row r="4672">
      <c r="A4672" s="140" t="s">
        <v>302</v>
      </c>
      <c r="B4672" s="152">
        <v>1.59543E12</v>
      </c>
      <c r="C4672" s="140" t="s">
        <v>12050</v>
      </c>
      <c r="D4672" s="140" t="s">
        <v>6718</v>
      </c>
      <c r="E4672" s="140" t="s">
        <v>748</v>
      </c>
      <c r="F4672" s="140" t="s">
        <v>10303</v>
      </c>
      <c r="G4672" s="141" t="s">
        <v>6401</v>
      </c>
      <c r="H4672" s="140" t="s">
        <v>6312</v>
      </c>
      <c r="I4672" s="140" t="s">
        <v>6313</v>
      </c>
      <c r="J4672" s="140" t="s">
        <v>6319</v>
      </c>
      <c r="K4672" s="140" t="s">
        <v>1573</v>
      </c>
    </row>
    <row r="4673">
      <c r="A4673" s="140" t="s">
        <v>302</v>
      </c>
      <c r="B4673" s="152">
        <v>1.61013E12</v>
      </c>
      <c r="C4673" s="140" t="s">
        <v>12051</v>
      </c>
      <c r="D4673" s="140" t="s">
        <v>6718</v>
      </c>
      <c r="E4673" s="140" t="s">
        <v>748</v>
      </c>
      <c r="F4673" s="140" t="s">
        <v>10303</v>
      </c>
      <c r="G4673" s="141" t="s">
        <v>6401</v>
      </c>
      <c r="H4673" s="140" t="s">
        <v>6312</v>
      </c>
      <c r="I4673" s="140" t="s">
        <v>6313</v>
      </c>
      <c r="J4673" s="140" t="s">
        <v>6319</v>
      </c>
      <c r="K4673" s="140" t="s">
        <v>1573</v>
      </c>
    </row>
    <row r="4674">
      <c r="A4674" s="140" t="s">
        <v>302</v>
      </c>
      <c r="B4674" s="143">
        <v>1.60821E12</v>
      </c>
      <c r="C4674" s="140" t="s">
        <v>12052</v>
      </c>
      <c r="D4674" s="140" t="s">
        <v>6718</v>
      </c>
      <c r="E4674" s="140" t="s">
        <v>748</v>
      </c>
      <c r="F4674" s="140" t="s">
        <v>10303</v>
      </c>
      <c r="G4674" s="141" t="s">
        <v>6401</v>
      </c>
      <c r="H4674" s="140" t="s">
        <v>6312</v>
      </c>
      <c r="I4674" s="140" t="s">
        <v>6313</v>
      </c>
      <c r="J4674" s="140" t="s">
        <v>6319</v>
      </c>
      <c r="K4674" s="140" t="s">
        <v>1573</v>
      </c>
    </row>
    <row r="4675">
      <c r="A4675" s="140" t="s">
        <v>302</v>
      </c>
      <c r="B4675" s="143">
        <v>1.60821E12</v>
      </c>
      <c r="C4675" s="140" t="s">
        <v>12053</v>
      </c>
      <c r="D4675" s="140" t="s">
        <v>6718</v>
      </c>
      <c r="E4675" s="140" t="s">
        <v>748</v>
      </c>
      <c r="F4675" s="140" t="s">
        <v>10303</v>
      </c>
      <c r="G4675" s="141" t="s">
        <v>6401</v>
      </c>
      <c r="H4675" s="140" t="s">
        <v>6312</v>
      </c>
      <c r="I4675" s="140" t="s">
        <v>6313</v>
      </c>
      <c r="J4675" s="140" t="s">
        <v>6319</v>
      </c>
      <c r="K4675" s="140" t="s">
        <v>1573</v>
      </c>
    </row>
    <row r="4676">
      <c r="A4676" s="140" t="s">
        <v>302</v>
      </c>
      <c r="B4676" s="143">
        <v>1.57901E12</v>
      </c>
      <c r="C4676" s="140" t="s">
        <v>12054</v>
      </c>
      <c r="D4676" s="140" t="s">
        <v>6718</v>
      </c>
      <c r="E4676" s="140" t="s">
        <v>748</v>
      </c>
      <c r="F4676" s="140" t="s">
        <v>10303</v>
      </c>
      <c r="G4676" s="141" t="s">
        <v>6401</v>
      </c>
      <c r="H4676" s="140" t="s">
        <v>6312</v>
      </c>
      <c r="I4676" s="140" t="s">
        <v>6313</v>
      </c>
      <c r="J4676" s="140" t="s">
        <v>6319</v>
      </c>
      <c r="K4676" s="140" t="s">
        <v>1573</v>
      </c>
    </row>
    <row r="4677">
      <c r="A4677" s="140" t="s">
        <v>302</v>
      </c>
      <c r="B4677" s="140" t="s">
        <v>6757</v>
      </c>
      <c r="C4677" s="140" t="s">
        <v>12055</v>
      </c>
      <c r="D4677" s="140" t="s">
        <v>6718</v>
      </c>
      <c r="E4677" s="140" t="s">
        <v>748</v>
      </c>
      <c r="F4677" s="140" t="s">
        <v>10303</v>
      </c>
      <c r="G4677" s="141" t="s">
        <v>6401</v>
      </c>
      <c r="H4677" s="140" t="s">
        <v>6312</v>
      </c>
      <c r="I4677" s="140" t="s">
        <v>6313</v>
      </c>
      <c r="J4677" s="140" t="s">
        <v>6319</v>
      </c>
      <c r="K4677" s="140" t="s">
        <v>1573</v>
      </c>
    </row>
    <row r="4678">
      <c r="A4678" s="140" t="s">
        <v>302</v>
      </c>
      <c r="B4678" s="152">
        <v>1.57901E12</v>
      </c>
      <c r="C4678" s="140" t="s">
        <v>12056</v>
      </c>
      <c r="D4678" s="140" t="s">
        <v>6718</v>
      </c>
      <c r="E4678" s="140" t="s">
        <v>748</v>
      </c>
      <c r="F4678" s="140" t="s">
        <v>10303</v>
      </c>
      <c r="G4678" s="141" t="s">
        <v>6401</v>
      </c>
      <c r="H4678" s="140" t="s">
        <v>6312</v>
      </c>
      <c r="I4678" s="140" t="s">
        <v>6313</v>
      </c>
      <c r="J4678" s="140" t="s">
        <v>6319</v>
      </c>
      <c r="K4678" s="140" t="s">
        <v>1573</v>
      </c>
    </row>
    <row r="4679">
      <c r="A4679" s="140" t="s">
        <v>302</v>
      </c>
      <c r="B4679" s="152">
        <v>1.60095E12</v>
      </c>
      <c r="C4679" s="140" t="s">
        <v>12057</v>
      </c>
      <c r="D4679" s="140" t="s">
        <v>6718</v>
      </c>
      <c r="E4679" s="140" t="s">
        <v>748</v>
      </c>
      <c r="F4679" s="140" t="s">
        <v>10303</v>
      </c>
      <c r="G4679" s="141" t="s">
        <v>6401</v>
      </c>
      <c r="H4679" s="140" t="s">
        <v>6312</v>
      </c>
      <c r="I4679" s="140" t="s">
        <v>6313</v>
      </c>
      <c r="J4679" s="140" t="s">
        <v>6319</v>
      </c>
      <c r="K4679" s="140" t="s">
        <v>1573</v>
      </c>
    </row>
    <row r="4680">
      <c r="A4680" s="140" t="s">
        <v>302</v>
      </c>
      <c r="B4680" s="143">
        <v>1.57912E12</v>
      </c>
      <c r="C4680" s="140" t="s">
        <v>12058</v>
      </c>
      <c r="D4680" s="140" t="s">
        <v>6718</v>
      </c>
      <c r="E4680" s="140" t="s">
        <v>748</v>
      </c>
      <c r="F4680" s="140" t="s">
        <v>10303</v>
      </c>
      <c r="G4680" s="141" t="s">
        <v>6401</v>
      </c>
      <c r="H4680" s="140" t="s">
        <v>6312</v>
      </c>
      <c r="I4680" s="140" t="s">
        <v>6313</v>
      </c>
      <c r="J4680" s="140" t="s">
        <v>6319</v>
      </c>
      <c r="K4680" s="140" t="s">
        <v>1573</v>
      </c>
    </row>
    <row r="4681">
      <c r="A4681" s="140" t="s">
        <v>302</v>
      </c>
      <c r="B4681" s="140" t="s">
        <v>6757</v>
      </c>
      <c r="C4681" s="140" t="s">
        <v>12059</v>
      </c>
      <c r="D4681" s="140" t="s">
        <v>6718</v>
      </c>
      <c r="E4681" s="140" t="s">
        <v>748</v>
      </c>
      <c r="F4681" s="140" t="s">
        <v>10303</v>
      </c>
      <c r="G4681" s="141" t="s">
        <v>6401</v>
      </c>
      <c r="H4681" s="140" t="s">
        <v>6312</v>
      </c>
      <c r="I4681" s="140" t="s">
        <v>6313</v>
      </c>
      <c r="J4681" s="140" t="s">
        <v>6319</v>
      </c>
      <c r="K4681" s="140" t="s">
        <v>1573</v>
      </c>
    </row>
    <row r="4682">
      <c r="A4682" s="140" t="s">
        <v>302</v>
      </c>
      <c r="B4682" s="143">
        <v>1.63425E12</v>
      </c>
      <c r="C4682" s="140" t="s">
        <v>12060</v>
      </c>
      <c r="D4682" s="140" t="s">
        <v>6718</v>
      </c>
      <c r="E4682" s="140" t="s">
        <v>748</v>
      </c>
      <c r="F4682" s="140" t="s">
        <v>10303</v>
      </c>
      <c r="G4682" s="141" t="s">
        <v>6401</v>
      </c>
      <c r="H4682" s="140" t="s">
        <v>6312</v>
      </c>
      <c r="I4682" s="140" t="s">
        <v>6313</v>
      </c>
      <c r="J4682" s="140" t="s">
        <v>6319</v>
      </c>
      <c r="K4682" s="140" t="s">
        <v>1573</v>
      </c>
    </row>
    <row r="4683">
      <c r="A4683" s="140" t="s">
        <v>302</v>
      </c>
      <c r="B4683" s="143">
        <v>1.60821E12</v>
      </c>
      <c r="C4683" s="140" t="s">
        <v>12061</v>
      </c>
      <c r="D4683" s="140" t="s">
        <v>6718</v>
      </c>
      <c r="E4683" s="140" t="s">
        <v>748</v>
      </c>
      <c r="F4683" s="140" t="s">
        <v>10303</v>
      </c>
      <c r="G4683" s="141" t="s">
        <v>6401</v>
      </c>
      <c r="H4683" s="140" t="s">
        <v>6312</v>
      </c>
      <c r="I4683" s="140" t="s">
        <v>6313</v>
      </c>
      <c r="J4683" s="140" t="s">
        <v>6319</v>
      </c>
      <c r="K4683" s="140" t="s">
        <v>1573</v>
      </c>
    </row>
    <row r="4684">
      <c r="A4684" s="140" t="s">
        <v>302</v>
      </c>
      <c r="B4684" s="143">
        <v>1.60859E12</v>
      </c>
      <c r="C4684" s="140" t="s">
        <v>12062</v>
      </c>
      <c r="D4684" s="140" t="s">
        <v>6718</v>
      </c>
      <c r="E4684" s="140" t="s">
        <v>748</v>
      </c>
      <c r="F4684" s="140" t="s">
        <v>10303</v>
      </c>
      <c r="G4684" s="141" t="s">
        <v>6401</v>
      </c>
      <c r="H4684" s="140" t="s">
        <v>6312</v>
      </c>
      <c r="I4684" s="140" t="s">
        <v>6313</v>
      </c>
      <c r="J4684" s="140" t="s">
        <v>6319</v>
      </c>
      <c r="K4684" s="140" t="s">
        <v>1573</v>
      </c>
    </row>
    <row r="4685">
      <c r="A4685" s="140" t="s">
        <v>302</v>
      </c>
      <c r="B4685" s="143">
        <v>1.60821E12</v>
      </c>
      <c r="C4685" s="140" t="s">
        <v>12063</v>
      </c>
      <c r="D4685" s="140" t="s">
        <v>6718</v>
      </c>
      <c r="E4685" s="140" t="s">
        <v>748</v>
      </c>
      <c r="F4685" s="140" t="s">
        <v>10303</v>
      </c>
      <c r="G4685" s="141" t="s">
        <v>6401</v>
      </c>
      <c r="H4685" s="140" t="s">
        <v>6312</v>
      </c>
      <c r="I4685" s="140" t="s">
        <v>6313</v>
      </c>
      <c r="J4685" s="140" t="s">
        <v>6319</v>
      </c>
      <c r="K4685" s="140" t="s">
        <v>1573</v>
      </c>
    </row>
    <row r="4686">
      <c r="A4686" s="140" t="s">
        <v>302</v>
      </c>
      <c r="B4686" s="152">
        <v>1.60821E12</v>
      </c>
      <c r="C4686" s="140" t="s">
        <v>12064</v>
      </c>
      <c r="D4686" s="140" t="s">
        <v>6718</v>
      </c>
      <c r="E4686" s="140" t="s">
        <v>748</v>
      </c>
      <c r="F4686" s="140" t="s">
        <v>10303</v>
      </c>
      <c r="G4686" s="141" t="s">
        <v>6401</v>
      </c>
      <c r="H4686" s="140" t="s">
        <v>6312</v>
      </c>
      <c r="I4686" s="140" t="s">
        <v>6313</v>
      </c>
      <c r="J4686" s="140" t="s">
        <v>6319</v>
      </c>
      <c r="K4686" s="140" t="s">
        <v>1573</v>
      </c>
    </row>
    <row r="4687">
      <c r="A4687" s="140" t="s">
        <v>302</v>
      </c>
      <c r="B4687" s="143">
        <v>1.61419E12</v>
      </c>
      <c r="C4687" s="140" t="s">
        <v>12065</v>
      </c>
      <c r="D4687" s="140" t="s">
        <v>6718</v>
      </c>
      <c r="E4687" s="140" t="s">
        <v>748</v>
      </c>
      <c r="F4687" s="140" t="s">
        <v>10303</v>
      </c>
      <c r="G4687" s="141" t="s">
        <v>6401</v>
      </c>
      <c r="H4687" s="140" t="s">
        <v>6312</v>
      </c>
      <c r="I4687" s="140" t="s">
        <v>6313</v>
      </c>
      <c r="J4687" s="140" t="s">
        <v>6319</v>
      </c>
      <c r="K4687" s="140" t="s">
        <v>1573</v>
      </c>
    </row>
    <row r="4688">
      <c r="A4688" s="140" t="s">
        <v>302</v>
      </c>
      <c r="B4688" s="143">
        <v>1.54205E12</v>
      </c>
      <c r="C4688" s="140" t="s">
        <v>12066</v>
      </c>
      <c r="D4688" s="140" t="s">
        <v>6718</v>
      </c>
      <c r="E4688" s="140" t="s">
        <v>748</v>
      </c>
      <c r="F4688" s="140" t="s">
        <v>10303</v>
      </c>
      <c r="G4688" s="141" t="s">
        <v>6401</v>
      </c>
      <c r="H4688" s="140" t="s">
        <v>6312</v>
      </c>
      <c r="I4688" s="140" t="s">
        <v>6313</v>
      </c>
      <c r="J4688" s="140" t="s">
        <v>6319</v>
      </c>
      <c r="K4688" s="140" t="s">
        <v>1573</v>
      </c>
    </row>
    <row r="4689">
      <c r="A4689" s="140" t="s">
        <v>302</v>
      </c>
      <c r="B4689" s="143">
        <v>1.61862E12</v>
      </c>
      <c r="C4689" s="140" t="s">
        <v>12067</v>
      </c>
      <c r="D4689" s="140" t="s">
        <v>6718</v>
      </c>
      <c r="E4689" s="140" t="s">
        <v>748</v>
      </c>
      <c r="F4689" s="140" t="s">
        <v>10303</v>
      </c>
      <c r="G4689" s="141" t="s">
        <v>6401</v>
      </c>
      <c r="H4689" s="140" t="s">
        <v>6312</v>
      </c>
      <c r="I4689" s="140" t="s">
        <v>6313</v>
      </c>
      <c r="J4689" s="140" t="s">
        <v>6319</v>
      </c>
      <c r="K4689" s="140" t="s">
        <v>1573</v>
      </c>
    </row>
    <row r="4690">
      <c r="A4690" s="140" t="s">
        <v>302</v>
      </c>
      <c r="B4690" s="152">
        <v>1.63948E12</v>
      </c>
      <c r="C4690" s="140" t="s">
        <v>12068</v>
      </c>
      <c r="D4690" s="140" t="s">
        <v>6718</v>
      </c>
      <c r="E4690" s="140" t="s">
        <v>748</v>
      </c>
      <c r="F4690" s="140" t="s">
        <v>10303</v>
      </c>
      <c r="G4690" s="141" t="s">
        <v>6401</v>
      </c>
      <c r="H4690" s="140" t="s">
        <v>6312</v>
      </c>
      <c r="I4690" s="140" t="s">
        <v>6313</v>
      </c>
      <c r="J4690" s="140" t="s">
        <v>6319</v>
      </c>
      <c r="K4690" s="140" t="s">
        <v>1573</v>
      </c>
    </row>
    <row r="4691">
      <c r="A4691" s="140" t="s">
        <v>302</v>
      </c>
      <c r="B4691" s="143">
        <v>1.56415E12</v>
      </c>
      <c r="C4691" s="140" t="s">
        <v>12069</v>
      </c>
      <c r="D4691" s="140" t="s">
        <v>6718</v>
      </c>
      <c r="E4691" s="140" t="s">
        <v>748</v>
      </c>
      <c r="F4691" s="140" t="s">
        <v>10303</v>
      </c>
      <c r="G4691" s="141" t="s">
        <v>6401</v>
      </c>
      <c r="H4691" s="140" t="s">
        <v>6312</v>
      </c>
      <c r="I4691" s="140" t="s">
        <v>6313</v>
      </c>
      <c r="J4691" s="140" t="s">
        <v>6319</v>
      </c>
      <c r="K4691" s="140" t="s">
        <v>1573</v>
      </c>
    </row>
    <row r="4692">
      <c r="A4692" s="140" t="s">
        <v>302</v>
      </c>
      <c r="B4692" s="143">
        <v>1.54205E12</v>
      </c>
      <c r="C4692" s="140" t="s">
        <v>12070</v>
      </c>
      <c r="D4692" s="140" t="s">
        <v>6718</v>
      </c>
      <c r="E4692" s="140" t="s">
        <v>748</v>
      </c>
      <c r="F4692" s="140" t="s">
        <v>10303</v>
      </c>
      <c r="G4692" s="141" t="s">
        <v>6401</v>
      </c>
      <c r="H4692" s="140" t="s">
        <v>6312</v>
      </c>
      <c r="I4692" s="140" t="s">
        <v>6313</v>
      </c>
      <c r="J4692" s="140" t="s">
        <v>6319</v>
      </c>
      <c r="K4692" s="140" t="s">
        <v>1573</v>
      </c>
    </row>
    <row r="4693">
      <c r="A4693" s="140" t="s">
        <v>302</v>
      </c>
      <c r="B4693" s="143">
        <v>1.54324E12</v>
      </c>
      <c r="C4693" s="140" t="s">
        <v>12071</v>
      </c>
      <c r="D4693" s="140" t="s">
        <v>6718</v>
      </c>
      <c r="E4693" s="140" t="s">
        <v>748</v>
      </c>
      <c r="F4693" s="140" t="s">
        <v>10303</v>
      </c>
      <c r="G4693" s="141" t="s">
        <v>6401</v>
      </c>
      <c r="H4693" s="140" t="s">
        <v>6312</v>
      </c>
      <c r="I4693" s="140" t="s">
        <v>6313</v>
      </c>
      <c r="J4693" s="140" t="s">
        <v>6319</v>
      </c>
      <c r="K4693" s="140" t="s">
        <v>1573</v>
      </c>
    </row>
    <row r="4694">
      <c r="A4694" s="140" t="s">
        <v>302</v>
      </c>
      <c r="B4694" s="143">
        <v>1.54205E12</v>
      </c>
      <c r="C4694" s="140" t="s">
        <v>12072</v>
      </c>
      <c r="D4694" s="140" t="s">
        <v>6718</v>
      </c>
      <c r="E4694" s="140" t="s">
        <v>748</v>
      </c>
      <c r="F4694" s="140" t="s">
        <v>10303</v>
      </c>
      <c r="G4694" s="141" t="s">
        <v>6401</v>
      </c>
      <c r="H4694" s="140" t="s">
        <v>6312</v>
      </c>
      <c r="I4694" s="140" t="s">
        <v>6313</v>
      </c>
      <c r="J4694" s="140" t="s">
        <v>6319</v>
      </c>
      <c r="K4694" s="140" t="s">
        <v>1573</v>
      </c>
    </row>
    <row r="4695">
      <c r="A4695" s="140" t="s">
        <v>302</v>
      </c>
      <c r="B4695" s="140" t="s">
        <v>3069</v>
      </c>
      <c r="C4695" s="140" t="s">
        <v>12073</v>
      </c>
      <c r="D4695" s="140" t="s">
        <v>6718</v>
      </c>
      <c r="E4695" s="140" t="s">
        <v>748</v>
      </c>
      <c r="F4695" s="140" t="s">
        <v>10303</v>
      </c>
      <c r="G4695" s="141" t="s">
        <v>6401</v>
      </c>
      <c r="H4695" s="140" t="s">
        <v>6312</v>
      </c>
      <c r="I4695" s="140" t="s">
        <v>6313</v>
      </c>
      <c r="J4695" s="140" t="s">
        <v>6319</v>
      </c>
      <c r="K4695" s="140" t="s">
        <v>1573</v>
      </c>
    </row>
    <row r="4696">
      <c r="A4696" s="140" t="s">
        <v>302</v>
      </c>
      <c r="B4696" s="140" t="s">
        <v>6757</v>
      </c>
      <c r="C4696" s="140" t="s">
        <v>12074</v>
      </c>
      <c r="D4696" s="140" t="s">
        <v>6718</v>
      </c>
      <c r="E4696" s="140" t="s">
        <v>748</v>
      </c>
      <c r="F4696" s="140" t="s">
        <v>10303</v>
      </c>
      <c r="G4696" s="141" t="s">
        <v>6401</v>
      </c>
      <c r="H4696" s="140" t="s">
        <v>6312</v>
      </c>
      <c r="I4696" s="140" t="s">
        <v>6313</v>
      </c>
      <c r="J4696" s="140" t="s">
        <v>6319</v>
      </c>
      <c r="K4696" s="140" t="s">
        <v>1573</v>
      </c>
    </row>
    <row r="4697">
      <c r="A4697" s="140" t="s">
        <v>302</v>
      </c>
      <c r="B4697" s="143">
        <v>1.59232E12</v>
      </c>
      <c r="C4697" s="140" t="s">
        <v>12075</v>
      </c>
      <c r="D4697" s="140" t="s">
        <v>6718</v>
      </c>
      <c r="E4697" s="140" t="s">
        <v>748</v>
      </c>
      <c r="F4697" s="140" t="s">
        <v>10303</v>
      </c>
      <c r="G4697" s="141" t="s">
        <v>6401</v>
      </c>
      <c r="H4697" s="140" t="s">
        <v>6312</v>
      </c>
      <c r="I4697" s="140" t="s">
        <v>6313</v>
      </c>
      <c r="J4697" s="140" t="s">
        <v>6319</v>
      </c>
      <c r="K4697" s="140" t="s">
        <v>1573</v>
      </c>
    </row>
    <row r="4698">
      <c r="A4698" s="140" t="s">
        <v>302</v>
      </c>
      <c r="B4698" s="143">
        <v>1.5639E12</v>
      </c>
      <c r="C4698" s="140" t="s">
        <v>12076</v>
      </c>
      <c r="D4698" s="140" t="s">
        <v>6718</v>
      </c>
      <c r="E4698" s="140" t="s">
        <v>748</v>
      </c>
      <c r="F4698" s="140" t="s">
        <v>10303</v>
      </c>
      <c r="G4698" s="141" t="s">
        <v>6401</v>
      </c>
      <c r="H4698" s="140" t="s">
        <v>6312</v>
      </c>
      <c r="I4698" s="140" t="s">
        <v>6313</v>
      </c>
      <c r="J4698" s="140" t="s">
        <v>6319</v>
      </c>
      <c r="K4698" s="140" t="s">
        <v>1573</v>
      </c>
    </row>
    <row r="4699">
      <c r="A4699" s="140" t="s">
        <v>302</v>
      </c>
      <c r="B4699" s="143">
        <v>1.60702E12</v>
      </c>
      <c r="C4699" s="140" t="s">
        <v>12077</v>
      </c>
      <c r="D4699" s="140" t="s">
        <v>6718</v>
      </c>
      <c r="E4699" s="140" t="s">
        <v>748</v>
      </c>
      <c r="F4699" s="140" t="s">
        <v>10303</v>
      </c>
      <c r="G4699" s="141" t="s">
        <v>6401</v>
      </c>
      <c r="H4699" s="140" t="s">
        <v>6312</v>
      </c>
      <c r="I4699" s="140" t="s">
        <v>6313</v>
      </c>
      <c r="J4699" s="140" t="s">
        <v>6319</v>
      </c>
      <c r="K4699" s="140" t="s">
        <v>1573</v>
      </c>
    </row>
    <row r="4700">
      <c r="A4700" s="140" t="s">
        <v>302</v>
      </c>
      <c r="B4700" s="143">
        <v>1.65282E12</v>
      </c>
      <c r="C4700" s="140" t="s">
        <v>756</v>
      </c>
      <c r="D4700" s="140" t="s">
        <v>6718</v>
      </c>
      <c r="E4700" s="140" t="s">
        <v>748</v>
      </c>
      <c r="F4700" s="140" t="s">
        <v>749</v>
      </c>
      <c r="G4700" s="141" t="s">
        <v>6401</v>
      </c>
      <c r="H4700" s="140" t="s">
        <v>6312</v>
      </c>
      <c r="I4700" s="140" t="s">
        <v>6313</v>
      </c>
      <c r="J4700" s="140" t="s">
        <v>6319</v>
      </c>
      <c r="K4700" s="140" t="s">
        <v>1573</v>
      </c>
    </row>
    <row r="4701">
      <c r="A4701" s="140" t="s">
        <v>302</v>
      </c>
      <c r="B4701" s="143">
        <v>6.81135E13</v>
      </c>
      <c r="C4701" s="140" t="s">
        <v>759</v>
      </c>
      <c r="D4701" s="140" t="s">
        <v>6718</v>
      </c>
      <c r="E4701" s="140" t="s">
        <v>748</v>
      </c>
      <c r="F4701" s="140" t="s">
        <v>749</v>
      </c>
      <c r="G4701" s="141" t="s">
        <v>6401</v>
      </c>
      <c r="H4701" s="140" t="s">
        <v>6312</v>
      </c>
      <c r="I4701" s="140" t="s">
        <v>6313</v>
      </c>
      <c r="J4701" s="140" t="s">
        <v>6319</v>
      </c>
      <c r="K4701" s="140" t="s">
        <v>1573</v>
      </c>
    </row>
    <row r="4702">
      <c r="A4702" s="140" t="s">
        <v>302</v>
      </c>
      <c r="B4702" s="143">
        <v>1.63909E12</v>
      </c>
      <c r="C4702" s="140" t="s">
        <v>762</v>
      </c>
      <c r="D4702" s="140" t="s">
        <v>6718</v>
      </c>
      <c r="E4702" s="140" t="s">
        <v>748</v>
      </c>
      <c r="F4702" s="140" t="s">
        <v>749</v>
      </c>
      <c r="G4702" s="141" t="s">
        <v>6401</v>
      </c>
      <c r="H4702" s="140" t="s">
        <v>6312</v>
      </c>
      <c r="I4702" s="140" t="s">
        <v>6313</v>
      </c>
      <c r="J4702" s="140" t="s">
        <v>6319</v>
      </c>
      <c r="K4702" s="140" t="s">
        <v>1573</v>
      </c>
    </row>
    <row r="4703">
      <c r="A4703" s="140" t="s">
        <v>302</v>
      </c>
      <c r="B4703" s="140" t="s">
        <v>12078</v>
      </c>
      <c r="C4703" s="140" t="s">
        <v>12079</v>
      </c>
      <c r="D4703" s="140" t="s">
        <v>6718</v>
      </c>
      <c r="E4703" s="140" t="s">
        <v>748</v>
      </c>
      <c r="F4703" s="140" t="s">
        <v>748</v>
      </c>
      <c r="G4703" s="141" t="s">
        <v>6304</v>
      </c>
      <c r="H4703" s="140" t="s">
        <v>6312</v>
      </c>
      <c r="I4703" s="140" t="s">
        <v>6527</v>
      </c>
      <c r="J4703" s="140" t="s">
        <v>6319</v>
      </c>
      <c r="K4703" s="140" t="s">
        <v>1573</v>
      </c>
    </row>
    <row r="4704">
      <c r="A4704" s="140" t="s">
        <v>302</v>
      </c>
      <c r="B4704" s="140" t="s">
        <v>12080</v>
      </c>
      <c r="C4704" s="140" t="s">
        <v>12081</v>
      </c>
      <c r="D4704" s="140" t="s">
        <v>6718</v>
      </c>
      <c r="E4704" s="140" t="s">
        <v>748</v>
      </c>
      <c r="F4704" s="140" t="s">
        <v>748</v>
      </c>
      <c r="G4704" s="141" t="s">
        <v>6304</v>
      </c>
      <c r="H4704" s="140" t="s">
        <v>6312</v>
      </c>
      <c r="I4704" s="140" t="s">
        <v>6527</v>
      </c>
      <c r="J4704" s="140" t="s">
        <v>6319</v>
      </c>
      <c r="K4704" s="140" t="s">
        <v>1573</v>
      </c>
    </row>
    <row r="4705">
      <c r="A4705" s="140" t="s">
        <v>302</v>
      </c>
      <c r="B4705" s="144" t="s">
        <v>12082</v>
      </c>
      <c r="C4705" s="140" t="s">
        <v>12083</v>
      </c>
      <c r="D4705" s="140" t="s">
        <v>6718</v>
      </c>
      <c r="E4705" s="140" t="s">
        <v>748</v>
      </c>
      <c r="F4705" s="140" t="s">
        <v>748</v>
      </c>
      <c r="G4705" s="141" t="s">
        <v>6304</v>
      </c>
      <c r="H4705" s="140" t="s">
        <v>6312</v>
      </c>
      <c r="I4705" s="140" t="s">
        <v>6527</v>
      </c>
      <c r="J4705" s="140" t="s">
        <v>6319</v>
      </c>
      <c r="K4705" s="140" t="s">
        <v>1573</v>
      </c>
    </row>
    <row r="4706">
      <c r="A4706" s="140" t="s">
        <v>302</v>
      </c>
      <c r="B4706" s="140" t="s">
        <v>12084</v>
      </c>
      <c r="C4706" s="140" t="s">
        <v>12085</v>
      </c>
      <c r="D4706" s="140" t="s">
        <v>6718</v>
      </c>
      <c r="E4706" s="140" t="s">
        <v>748</v>
      </c>
      <c r="F4706" s="140" t="s">
        <v>748</v>
      </c>
      <c r="G4706" s="141" t="s">
        <v>6304</v>
      </c>
      <c r="H4706" s="140" t="s">
        <v>6312</v>
      </c>
      <c r="I4706" s="140" t="s">
        <v>6527</v>
      </c>
      <c r="J4706" s="140" t="s">
        <v>6319</v>
      </c>
      <c r="K4706" s="140" t="s">
        <v>1573</v>
      </c>
    </row>
    <row r="4707">
      <c r="A4707" s="140" t="s">
        <v>302</v>
      </c>
      <c r="B4707" s="140" t="s">
        <v>12086</v>
      </c>
      <c r="C4707" s="140" t="s">
        <v>12087</v>
      </c>
      <c r="D4707" s="140" t="s">
        <v>6718</v>
      </c>
      <c r="E4707" s="140" t="s">
        <v>748</v>
      </c>
      <c r="F4707" s="140" t="s">
        <v>748</v>
      </c>
      <c r="G4707" s="141" t="s">
        <v>6304</v>
      </c>
      <c r="H4707" s="140" t="s">
        <v>6312</v>
      </c>
      <c r="I4707" s="140" t="s">
        <v>6527</v>
      </c>
      <c r="J4707" s="140" t="s">
        <v>6319</v>
      </c>
      <c r="K4707" s="140" t="s">
        <v>1573</v>
      </c>
    </row>
    <row r="4708">
      <c r="A4708" s="140" t="s">
        <v>302</v>
      </c>
      <c r="B4708" s="140" t="s">
        <v>12088</v>
      </c>
      <c r="C4708" s="140" t="s">
        <v>12089</v>
      </c>
      <c r="D4708" s="140" t="s">
        <v>6718</v>
      </c>
      <c r="E4708" s="140" t="s">
        <v>748</v>
      </c>
      <c r="F4708" s="140" t="s">
        <v>748</v>
      </c>
      <c r="G4708" s="141" t="s">
        <v>6304</v>
      </c>
      <c r="H4708" s="140" t="s">
        <v>6312</v>
      </c>
      <c r="I4708" s="140" t="s">
        <v>6527</v>
      </c>
      <c r="J4708" s="140" t="s">
        <v>6319</v>
      </c>
      <c r="K4708" s="140" t="s">
        <v>1573</v>
      </c>
    </row>
    <row r="4709">
      <c r="A4709" s="140" t="s">
        <v>302</v>
      </c>
      <c r="B4709" s="140" t="s">
        <v>12090</v>
      </c>
      <c r="C4709" s="140" t="s">
        <v>12091</v>
      </c>
      <c r="D4709" s="140" t="s">
        <v>6718</v>
      </c>
      <c r="E4709" s="140" t="s">
        <v>748</v>
      </c>
      <c r="F4709" s="140" t="s">
        <v>748</v>
      </c>
      <c r="G4709" s="141" t="s">
        <v>6304</v>
      </c>
      <c r="H4709" s="140" t="s">
        <v>6312</v>
      </c>
      <c r="I4709" s="140" t="s">
        <v>6527</v>
      </c>
      <c r="J4709" s="140" t="s">
        <v>6319</v>
      </c>
      <c r="K4709" s="140" t="s">
        <v>1573</v>
      </c>
    </row>
    <row r="4710">
      <c r="A4710" s="140" t="s">
        <v>302</v>
      </c>
      <c r="B4710" s="140" t="s">
        <v>12092</v>
      </c>
      <c r="C4710" s="140" t="s">
        <v>12093</v>
      </c>
      <c r="D4710" s="140" t="s">
        <v>6718</v>
      </c>
      <c r="E4710" s="140" t="s">
        <v>748</v>
      </c>
      <c r="F4710" s="140" t="s">
        <v>748</v>
      </c>
      <c r="G4710" s="141" t="s">
        <v>6304</v>
      </c>
      <c r="H4710" s="140" t="s">
        <v>6312</v>
      </c>
      <c r="I4710" s="140" t="s">
        <v>6527</v>
      </c>
      <c r="J4710" s="140" t="s">
        <v>6319</v>
      </c>
      <c r="K4710" s="140" t="s">
        <v>1573</v>
      </c>
    </row>
    <row r="4711">
      <c r="A4711" s="140" t="s">
        <v>302</v>
      </c>
      <c r="B4711" s="140" t="s">
        <v>12094</v>
      </c>
      <c r="C4711" s="140" t="s">
        <v>12095</v>
      </c>
      <c r="D4711" s="140" t="s">
        <v>6718</v>
      </c>
      <c r="E4711" s="140" t="s">
        <v>748</v>
      </c>
      <c r="F4711" s="140" t="s">
        <v>748</v>
      </c>
      <c r="G4711" s="141" t="s">
        <v>6304</v>
      </c>
      <c r="H4711" s="140" t="s">
        <v>6312</v>
      </c>
      <c r="I4711" s="140" t="s">
        <v>6527</v>
      </c>
      <c r="J4711" s="140" t="s">
        <v>6319</v>
      </c>
      <c r="K4711" s="140" t="s">
        <v>1573</v>
      </c>
    </row>
    <row r="4712">
      <c r="A4712" s="140" t="s">
        <v>302</v>
      </c>
      <c r="B4712" s="140" t="s">
        <v>12096</v>
      </c>
      <c r="C4712" s="140" t="s">
        <v>12097</v>
      </c>
      <c r="D4712" s="140" t="s">
        <v>6718</v>
      </c>
      <c r="E4712" s="140" t="s">
        <v>748</v>
      </c>
      <c r="F4712" s="140" t="s">
        <v>748</v>
      </c>
      <c r="G4712" s="141" t="s">
        <v>6304</v>
      </c>
      <c r="H4712" s="140" t="s">
        <v>6312</v>
      </c>
      <c r="I4712" s="140" t="s">
        <v>6527</v>
      </c>
      <c r="J4712" s="140" t="s">
        <v>6319</v>
      </c>
      <c r="K4712" s="140" t="s">
        <v>1573</v>
      </c>
    </row>
    <row r="4713">
      <c r="A4713" s="140" t="s">
        <v>302</v>
      </c>
      <c r="B4713" s="140" t="s">
        <v>12098</v>
      </c>
      <c r="C4713" s="140" t="s">
        <v>12099</v>
      </c>
      <c r="D4713" s="140" t="s">
        <v>6718</v>
      </c>
      <c r="E4713" s="140" t="s">
        <v>748</v>
      </c>
      <c r="F4713" s="140" t="s">
        <v>748</v>
      </c>
      <c r="G4713" s="141" t="s">
        <v>6304</v>
      </c>
      <c r="H4713" s="140" t="s">
        <v>6312</v>
      </c>
      <c r="I4713" s="140" t="s">
        <v>6527</v>
      </c>
      <c r="J4713" s="140" t="s">
        <v>6319</v>
      </c>
      <c r="K4713" s="140" t="s">
        <v>1573</v>
      </c>
    </row>
    <row r="4714">
      <c r="A4714" s="140" t="s">
        <v>302</v>
      </c>
      <c r="B4714" s="140" t="s">
        <v>12100</v>
      </c>
      <c r="C4714" s="140" t="s">
        <v>12101</v>
      </c>
      <c r="D4714" s="140" t="s">
        <v>6718</v>
      </c>
      <c r="E4714" s="140" t="s">
        <v>748</v>
      </c>
      <c r="F4714" s="140" t="s">
        <v>748</v>
      </c>
      <c r="G4714" s="141" t="s">
        <v>6304</v>
      </c>
      <c r="H4714" s="140" t="s">
        <v>6312</v>
      </c>
      <c r="I4714" s="140" t="s">
        <v>6527</v>
      </c>
      <c r="J4714" s="140" t="s">
        <v>6319</v>
      </c>
      <c r="K4714" s="140" t="s">
        <v>1573</v>
      </c>
    </row>
    <row r="4715">
      <c r="A4715" s="140" t="s">
        <v>302</v>
      </c>
      <c r="B4715" s="140" t="s">
        <v>12102</v>
      </c>
      <c r="C4715" s="140" t="s">
        <v>12103</v>
      </c>
      <c r="D4715" s="140" t="s">
        <v>6718</v>
      </c>
      <c r="E4715" s="140" t="s">
        <v>748</v>
      </c>
      <c r="F4715" s="140" t="s">
        <v>748</v>
      </c>
      <c r="G4715" s="141" t="s">
        <v>6304</v>
      </c>
      <c r="H4715" s="140" t="s">
        <v>6312</v>
      </c>
      <c r="I4715" s="140" t="s">
        <v>6527</v>
      </c>
      <c r="J4715" s="140" t="s">
        <v>6319</v>
      </c>
      <c r="K4715" s="140" t="s">
        <v>1573</v>
      </c>
    </row>
    <row r="4716">
      <c r="A4716" s="140" t="s">
        <v>302</v>
      </c>
      <c r="B4716" s="140" t="s">
        <v>12104</v>
      </c>
      <c r="C4716" s="140" t="s">
        <v>12105</v>
      </c>
      <c r="D4716" s="140" t="s">
        <v>6718</v>
      </c>
      <c r="E4716" s="140" t="s">
        <v>748</v>
      </c>
      <c r="F4716" s="140" t="s">
        <v>748</v>
      </c>
      <c r="G4716" s="141" t="s">
        <v>6304</v>
      </c>
      <c r="H4716" s="140" t="s">
        <v>6312</v>
      </c>
      <c r="I4716" s="140" t="s">
        <v>6527</v>
      </c>
      <c r="J4716" s="140" t="s">
        <v>6319</v>
      </c>
      <c r="K4716" s="140" t="s">
        <v>1573</v>
      </c>
    </row>
    <row r="4717">
      <c r="A4717" s="140" t="s">
        <v>302</v>
      </c>
      <c r="B4717" s="140" t="s">
        <v>12106</v>
      </c>
      <c r="C4717" s="140" t="s">
        <v>12107</v>
      </c>
      <c r="D4717" s="140" t="s">
        <v>6718</v>
      </c>
      <c r="E4717" s="140" t="s">
        <v>748</v>
      </c>
      <c r="F4717" s="140" t="s">
        <v>748</v>
      </c>
      <c r="G4717" s="141" t="s">
        <v>6304</v>
      </c>
      <c r="H4717" s="140" t="s">
        <v>6312</v>
      </c>
      <c r="I4717" s="140" t="s">
        <v>6527</v>
      </c>
      <c r="J4717" s="140" t="s">
        <v>6319</v>
      </c>
      <c r="K4717" s="140" t="s">
        <v>1573</v>
      </c>
    </row>
    <row r="4718">
      <c r="A4718" s="140" t="s">
        <v>302</v>
      </c>
      <c r="B4718" s="140" t="s">
        <v>12108</v>
      </c>
      <c r="C4718" s="140" t="s">
        <v>12109</v>
      </c>
      <c r="D4718" s="140" t="s">
        <v>6718</v>
      </c>
      <c r="E4718" s="140" t="s">
        <v>748</v>
      </c>
      <c r="F4718" s="140" t="s">
        <v>748</v>
      </c>
      <c r="G4718" s="141" t="s">
        <v>6304</v>
      </c>
      <c r="H4718" s="140" t="s">
        <v>6312</v>
      </c>
      <c r="I4718" s="140" t="s">
        <v>6527</v>
      </c>
      <c r="J4718" s="140" t="s">
        <v>6319</v>
      </c>
      <c r="K4718" s="140" t="s">
        <v>1573</v>
      </c>
    </row>
    <row r="4719">
      <c r="A4719" s="140" t="s">
        <v>302</v>
      </c>
      <c r="B4719" s="140" t="s">
        <v>12110</v>
      </c>
      <c r="C4719" s="140" t="s">
        <v>12111</v>
      </c>
      <c r="D4719" s="140" t="s">
        <v>6718</v>
      </c>
      <c r="E4719" s="140" t="s">
        <v>748</v>
      </c>
      <c r="F4719" s="140" t="s">
        <v>748</v>
      </c>
      <c r="G4719" s="141" t="s">
        <v>6401</v>
      </c>
      <c r="H4719" s="140" t="s">
        <v>6312</v>
      </c>
      <c r="I4719" s="140" t="s">
        <v>6313</v>
      </c>
      <c r="J4719" s="140" t="s">
        <v>6319</v>
      </c>
      <c r="K4719" s="140" t="s">
        <v>1573</v>
      </c>
    </row>
    <row r="4720">
      <c r="A4720" s="140" t="s">
        <v>302</v>
      </c>
      <c r="B4720" s="140" t="s">
        <v>12112</v>
      </c>
      <c r="C4720" s="140" t="s">
        <v>12113</v>
      </c>
      <c r="D4720" s="140" t="s">
        <v>6718</v>
      </c>
      <c r="E4720" s="140" t="s">
        <v>748</v>
      </c>
      <c r="F4720" s="140" t="s">
        <v>748</v>
      </c>
      <c r="G4720" s="141" t="s">
        <v>6401</v>
      </c>
      <c r="H4720" s="140" t="s">
        <v>6312</v>
      </c>
      <c r="I4720" s="140" t="s">
        <v>6313</v>
      </c>
      <c r="J4720" s="140" t="s">
        <v>6319</v>
      </c>
      <c r="K4720" s="140" t="s">
        <v>1573</v>
      </c>
    </row>
    <row r="4721">
      <c r="A4721" s="140" t="s">
        <v>302</v>
      </c>
      <c r="B4721" s="140" t="s">
        <v>12114</v>
      </c>
      <c r="C4721" s="140" t="s">
        <v>12115</v>
      </c>
      <c r="D4721" s="140" t="s">
        <v>6718</v>
      </c>
      <c r="E4721" s="140" t="s">
        <v>748</v>
      </c>
      <c r="F4721" s="140" t="s">
        <v>748</v>
      </c>
      <c r="G4721" s="141" t="s">
        <v>6304</v>
      </c>
      <c r="H4721" s="140" t="s">
        <v>6312</v>
      </c>
      <c r="I4721" s="140" t="s">
        <v>6527</v>
      </c>
      <c r="J4721" s="140" t="s">
        <v>6319</v>
      </c>
      <c r="K4721" s="140" t="s">
        <v>1573</v>
      </c>
    </row>
    <row r="4722">
      <c r="A4722" s="140" t="s">
        <v>302</v>
      </c>
      <c r="B4722" s="140" t="s">
        <v>12116</v>
      </c>
      <c r="C4722" s="140" t="s">
        <v>12117</v>
      </c>
      <c r="D4722" s="140" t="s">
        <v>6718</v>
      </c>
      <c r="E4722" s="140" t="s">
        <v>748</v>
      </c>
      <c r="F4722" s="140" t="s">
        <v>748</v>
      </c>
      <c r="G4722" s="141" t="s">
        <v>6304</v>
      </c>
      <c r="H4722" s="140" t="s">
        <v>6312</v>
      </c>
      <c r="I4722" s="140" t="s">
        <v>6527</v>
      </c>
      <c r="J4722" s="140" t="s">
        <v>6319</v>
      </c>
      <c r="K4722" s="140" t="s">
        <v>1573</v>
      </c>
    </row>
    <row r="4723">
      <c r="A4723" s="140" t="s">
        <v>302</v>
      </c>
      <c r="B4723" s="140" t="s">
        <v>12118</v>
      </c>
      <c r="C4723" s="140" t="s">
        <v>12119</v>
      </c>
      <c r="D4723" s="140" t="s">
        <v>6718</v>
      </c>
      <c r="E4723" s="140" t="s">
        <v>748</v>
      </c>
      <c r="F4723" s="140" t="s">
        <v>748</v>
      </c>
      <c r="G4723" s="141" t="s">
        <v>6304</v>
      </c>
      <c r="H4723" s="140" t="s">
        <v>6312</v>
      </c>
      <c r="I4723" s="140" t="s">
        <v>6527</v>
      </c>
      <c r="J4723" s="140" t="s">
        <v>6319</v>
      </c>
      <c r="K4723" s="140" t="s">
        <v>1573</v>
      </c>
    </row>
    <row r="4724">
      <c r="A4724" s="140" t="s">
        <v>302</v>
      </c>
      <c r="B4724" s="140" t="s">
        <v>12120</v>
      </c>
      <c r="C4724" s="140" t="s">
        <v>12121</v>
      </c>
      <c r="D4724" s="140" t="s">
        <v>6718</v>
      </c>
      <c r="E4724" s="140" t="s">
        <v>748</v>
      </c>
      <c r="F4724" s="140" t="s">
        <v>748</v>
      </c>
      <c r="G4724" s="141" t="s">
        <v>6304</v>
      </c>
      <c r="H4724" s="140" t="s">
        <v>6312</v>
      </c>
      <c r="I4724" s="140" t="s">
        <v>6527</v>
      </c>
      <c r="J4724" s="140" t="s">
        <v>6319</v>
      </c>
      <c r="K4724" s="140" t="s">
        <v>1573</v>
      </c>
    </row>
    <row r="4725">
      <c r="A4725" s="140" t="s">
        <v>302</v>
      </c>
      <c r="B4725" s="140" t="s">
        <v>12122</v>
      </c>
      <c r="C4725" s="140" t="s">
        <v>12123</v>
      </c>
      <c r="D4725" s="140" t="s">
        <v>6718</v>
      </c>
      <c r="E4725" s="140" t="s">
        <v>748</v>
      </c>
      <c r="F4725" s="140" t="s">
        <v>748</v>
      </c>
      <c r="G4725" s="141" t="s">
        <v>6401</v>
      </c>
      <c r="H4725" s="140" t="s">
        <v>6330</v>
      </c>
      <c r="I4725" s="140" t="s">
        <v>6313</v>
      </c>
      <c r="J4725" s="140" t="s">
        <v>6319</v>
      </c>
      <c r="K4725" s="140" t="s">
        <v>1573</v>
      </c>
    </row>
    <row r="4726">
      <c r="A4726" s="140" t="s">
        <v>302</v>
      </c>
      <c r="B4726" s="143">
        <v>1.62152E12</v>
      </c>
      <c r="C4726" s="140" t="s">
        <v>12124</v>
      </c>
      <c r="D4726" s="140" t="s">
        <v>6718</v>
      </c>
      <c r="E4726" s="140" t="s">
        <v>748</v>
      </c>
      <c r="F4726" s="140" t="s">
        <v>748</v>
      </c>
      <c r="G4726" s="141" t="s">
        <v>6401</v>
      </c>
      <c r="H4726" s="140" t="s">
        <v>6312</v>
      </c>
      <c r="I4726" s="140" t="s">
        <v>6313</v>
      </c>
      <c r="J4726" s="140" t="s">
        <v>6319</v>
      </c>
      <c r="K4726" s="140" t="s">
        <v>1573</v>
      </c>
    </row>
    <row r="4727">
      <c r="A4727" s="140" t="s">
        <v>302</v>
      </c>
      <c r="B4727" s="140" t="s">
        <v>12125</v>
      </c>
      <c r="C4727" s="140" t="s">
        <v>12126</v>
      </c>
      <c r="D4727" s="140" t="s">
        <v>6718</v>
      </c>
      <c r="E4727" s="140" t="s">
        <v>748</v>
      </c>
      <c r="F4727" s="140" t="s">
        <v>748</v>
      </c>
      <c r="G4727" s="141" t="s">
        <v>6304</v>
      </c>
      <c r="H4727" s="140" t="s">
        <v>6312</v>
      </c>
      <c r="I4727" s="140" t="s">
        <v>6527</v>
      </c>
      <c r="J4727" s="140" t="s">
        <v>6319</v>
      </c>
      <c r="K4727" s="140" t="s">
        <v>1573</v>
      </c>
    </row>
    <row r="4728">
      <c r="A4728" s="140" t="s">
        <v>302</v>
      </c>
      <c r="B4728" s="140" t="s">
        <v>12127</v>
      </c>
      <c r="C4728" s="140" t="s">
        <v>12128</v>
      </c>
      <c r="D4728" s="140" t="s">
        <v>6718</v>
      </c>
      <c r="E4728" s="140" t="s">
        <v>748</v>
      </c>
      <c r="F4728" s="140" t="s">
        <v>748</v>
      </c>
      <c r="G4728" s="141" t="s">
        <v>6304</v>
      </c>
      <c r="H4728" s="140" t="s">
        <v>6312</v>
      </c>
      <c r="I4728" s="140" t="s">
        <v>6527</v>
      </c>
      <c r="J4728" s="140" t="s">
        <v>6319</v>
      </c>
      <c r="K4728" s="140" t="s">
        <v>1573</v>
      </c>
    </row>
    <row r="4729">
      <c r="A4729" s="140" t="s">
        <v>302</v>
      </c>
      <c r="B4729" s="140" t="s">
        <v>12129</v>
      </c>
      <c r="C4729" s="140" t="s">
        <v>12130</v>
      </c>
      <c r="D4729" s="140" t="s">
        <v>6718</v>
      </c>
      <c r="E4729" s="140" t="s">
        <v>748</v>
      </c>
      <c r="F4729" s="140" t="s">
        <v>748</v>
      </c>
      <c r="G4729" s="141" t="s">
        <v>6304</v>
      </c>
      <c r="H4729" s="140" t="s">
        <v>6312</v>
      </c>
      <c r="I4729" s="140" t="s">
        <v>6527</v>
      </c>
      <c r="J4729" s="140" t="s">
        <v>6319</v>
      </c>
      <c r="K4729" s="140" t="s">
        <v>1573</v>
      </c>
    </row>
    <row r="4730">
      <c r="A4730" s="140" t="s">
        <v>302</v>
      </c>
      <c r="B4730" s="140" t="s">
        <v>12131</v>
      </c>
      <c r="C4730" s="140" t="s">
        <v>12132</v>
      </c>
      <c r="D4730" s="140" t="s">
        <v>6718</v>
      </c>
      <c r="E4730" s="140" t="s">
        <v>748</v>
      </c>
      <c r="F4730" s="140" t="s">
        <v>748</v>
      </c>
      <c r="G4730" s="141" t="s">
        <v>6304</v>
      </c>
      <c r="H4730" s="140" t="s">
        <v>6312</v>
      </c>
      <c r="I4730" s="140" t="s">
        <v>6527</v>
      </c>
      <c r="J4730" s="140" t="s">
        <v>6319</v>
      </c>
      <c r="K4730" s="140" t="s">
        <v>1573</v>
      </c>
    </row>
    <row r="4731">
      <c r="A4731" s="140" t="s">
        <v>302</v>
      </c>
      <c r="B4731" s="140" t="s">
        <v>12133</v>
      </c>
      <c r="C4731" s="140" t="s">
        <v>12134</v>
      </c>
      <c r="D4731" s="140" t="s">
        <v>6718</v>
      </c>
      <c r="E4731" s="140" t="s">
        <v>748</v>
      </c>
      <c r="F4731" s="140" t="s">
        <v>748</v>
      </c>
      <c r="G4731" s="141" t="s">
        <v>6304</v>
      </c>
      <c r="H4731" s="140" t="s">
        <v>6312</v>
      </c>
      <c r="I4731" s="140" t="s">
        <v>6527</v>
      </c>
      <c r="J4731" s="140" t="s">
        <v>6319</v>
      </c>
      <c r="K4731" s="140" t="s">
        <v>1573</v>
      </c>
    </row>
    <row r="4732">
      <c r="A4732" s="140" t="s">
        <v>302</v>
      </c>
      <c r="B4732" s="140" t="s">
        <v>12135</v>
      </c>
      <c r="C4732" s="140" t="s">
        <v>12136</v>
      </c>
      <c r="D4732" s="140" t="s">
        <v>6718</v>
      </c>
      <c r="E4732" s="140" t="s">
        <v>748</v>
      </c>
      <c r="F4732" s="140" t="s">
        <v>748</v>
      </c>
      <c r="G4732" s="141" t="s">
        <v>6304</v>
      </c>
      <c r="H4732" s="140" t="s">
        <v>6312</v>
      </c>
      <c r="I4732" s="140" t="s">
        <v>6527</v>
      </c>
      <c r="J4732" s="140" t="s">
        <v>6319</v>
      </c>
      <c r="K4732" s="140" t="s">
        <v>1573</v>
      </c>
    </row>
    <row r="4733">
      <c r="A4733" s="140" t="s">
        <v>302</v>
      </c>
      <c r="B4733" s="140" t="s">
        <v>12137</v>
      </c>
      <c r="C4733" s="140" t="s">
        <v>12138</v>
      </c>
      <c r="D4733" s="140" t="s">
        <v>6718</v>
      </c>
      <c r="E4733" s="140" t="s">
        <v>748</v>
      </c>
      <c r="F4733" s="140" t="s">
        <v>748</v>
      </c>
      <c r="G4733" s="141" t="s">
        <v>6304</v>
      </c>
      <c r="H4733" s="140" t="s">
        <v>6312</v>
      </c>
      <c r="I4733" s="140" t="s">
        <v>6527</v>
      </c>
      <c r="J4733" s="140" t="s">
        <v>6319</v>
      </c>
      <c r="K4733" s="140" t="s">
        <v>1573</v>
      </c>
    </row>
    <row r="4734">
      <c r="A4734" s="140" t="s">
        <v>302</v>
      </c>
      <c r="B4734" s="140" t="s">
        <v>12139</v>
      </c>
      <c r="C4734" s="140" t="s">
        <v>12140</v>
      </c>
      <c r="D4734" s="140" t="s">
        <v>6718</v>
      </c>
      <c r="E4734" s="140" t="s">
        <v>748</v>
      </c>
      <c r="F4734" s="140" t="s">
        <v>748</v>
      </c>
      <c r="G4734" s="141" t="s">
        <v>6304</v>
      </c>
      <c r="H4734" s="140" t="s">
        <v>6312</v>
      </c>
      <c r="I4734" s="140" t="s">
        <v>6527</v>
      </c>
      <c r="J4734" s="140" t="s">
        <v>6319</v>
      </c>
      <c r="K4734" s="140" t="s">
        <v>1573</v>
      </c>
    </row>
    <row r="4735">
      <c r="A4735" s="140" t="s">
        <v>302</v>
      </c>
      <c r="B4735" s="140" t="s">
        <v>12141</v>
      </c>
      <c r="C4735" s="140" t="s">
        <v>12142</v>
      </c>
      <c r="D4735" s="140" t="s">
        <v>6718</v>
      </c>
      <c r="E4735" s="140" t="s">
        <v>748</v>
      </c>
      <c r="F4735" s="140" t="s">
        <v>748</v>
      </c>
      <c r="G4735" s="141" t="s">
        <v>6304</v>
      </c>
      <c r="H4735" s="140" t="s">
        <v>6312</v>
      </c>
      <c r="I4735" s="140" t="s">
        <v>6527</v>
      </c>
      <c r="J4735" s="140" t="s">
        <v>6319</v>
      </c>
      <c r="K4735" s="140" t="s">
        <v>1573</v>
      </c>
    </row>
    <row r="4736">
      <c r="A4736" s="140" t="s">
        <v>302</v>
      </c>
      <c r="B4736" s="140" t="s">
        <v>12143</v>
      </c>
      <c r="C4736" s="140" t="s">
        <v>12144</v>
      </c>
      <c r="D4736" s="140" t="s">
        <v>6718</v>
      </c>
      <c r="E4736" s="140" t="s">
        <v>748</v>
      </c>
      <c r="F4736" s="140" t="s">
        <v>748</v>
      </c>
      <c r="G4736" s="141" t="s">
        <v>6304</v>
      </c>
      <c r="H4736" s="140" t="s">
        <v>6312</v>
      </c>
      <c r="I4736" s="140" t="s">
        <v>6527</v>
      </c>
      <c r="J4736" s="140" t="s">
        <v>6319</v>
      </c>
      <c r="K4736" s="140" t="s">
        <v>1573</v>
      </c>
    </row>
    <row r="4737">
      <c r="A4737" s="140" t="s">
        <v>302</v>
      </c>
      <c r="B4737" s="140" t="s">
        <v>12145</v>
      </c>
      <c r="C4737" s="140" t="s">
        <v>12146</v>
      </c>
      <c r="D4737" s="140" t="s">
        <v>6718</v>
      </c>
      <c r="E4737" s="140" t="s">
        <v>748</v>
      </c>
      <c r="F4737" s="140" t="s">
        <v>748</v>
      </c>
      <c r="G4737" s="141" t="s">
        <v>6304</v>
      </c>
      <c r="H4737" s="140" t="s">
        <v>6312</v>
      </c>
      <c r="I4737" s="140" t="s">
        <v>6527</v>
      </c>
      <c r="J4737" s="140" t="s">
        <v>6319</v>
      </c>
      <c r="K4737" s="140" t="s">
        <v>1573</v>
      </c>
    </row>
    <row r="4738">
      <c r="A4738" s="140" t="s">
        <v>302</v>
      </c>
      <c r="B4738" s="140" t="s">
        <v>12147</v>
      </c>
      <c r="C4738" s="140" t="s">
        <v>12148</v>
      </c>
      <c r="D4738" s="140" t="s">
        <v>6718</v>
      </c>
      <c r="E4738" s="140" t="s">
        <v>748</v>
      </c>
      <c r="F4738" s="140" t="s">
        <v>748</v>
      </c>
      <c r="G4738" s="141" t="s">
        <v>6304</v>
      </c>
      <c r="H4738" s="140" t="s">
        <v>6312</v>
      </c>
      <c r="I4738" s="140" t="s">
        <v>6527</v>
      </c>
      <c r="J4738" s="140" t="s">
        <v>6319</v>
      </c>
      <c r="K4738" s="140" t="s">
        <v>1573</v>
      </c>
    </row>
    <row r="4739">
      <c r="A4739" s="140" t="s">
        <v>302</v>
      </c>
      <c r="B4739" s="140" t="s">
        <v>12149</v>
      </c>
      <c r="C4739" s="140" t="s">
        <v>12150</v>
      </c>
      <c r="D4739" s="140" t="s">
        <v>6718</v>
      </c>
      <c r="E4739" s="140" t="s">
        <v>748</v>
      </c>
      <c r="F4739" s="140" t="s">
        <v>748</v>
      </c>
      <c r="G4739" s="141" t="s">
        <v>6304</v>
      </c>
      <c r="H4739" s="140" t="s">
        <v>6312</v>
      </c>
      <c r="I4739" s="140" t="s">
        <v>6527</v>
      </c>
      <c r="J4739" s="140" t="s">
        <v>6319</v>
      </c>
      <c r="K4739" s="140" t="s">
        <v>1573</v>
      </c>
    </row>
    <row r="4740">
      <c r="A4740" s="140" t="s">
        <v>302</v>
      </c>
      <c r="B4740" s="140" t="s">
        <v>12151</v>
      </c>
      <c r="C4740" s="140" t="s">
        <v>12152</v>
      </c>
      <c r="D4740" s="140" t="s">
        <v>6718</v>
      </c>
      <c r="E4740" s="140" t="s">
        <v>748</v>
      </c>
      <c r="F4740" s="140" t="s">
        <v>748</v>
      </c>
      <c r="G4740" s="141" t="s">
        <v>6304</v>
      </c>
      <c r="H4740" s="140" t="s">
        <v>6312</v>
      </c>
      <c r="I4740" s="140" t="s">
        <v>6527</v>
      </c>
      <c r="J4740" s="140" t="s">
        <v>6319</v>
      </c>
      <c r="K4740" s="140" t="s">
        <v>1573</v>
      </c>
    </row>
    <row r="4741">
      <c r="A4741" s="140" t="s">
        <v>302</v>
      </c>
      <c r="B4741" s="140" t="s">
        <v>12153</v>
      </c>
      <c r="C4741" s="140" t="s">
        <v>12154</v>
      </c>
      <c r="D4741" s="140" t="s">
        <v>6718</v>
      </c>
      <c r="E4741" s="140" t="s">
        <v>748</v>
      </c>
      <c r="F4741" s="140" t="s">
        <v>748</v>
      </c>
      <c r="G4741" s="141" t="s">
        <v>6304</v>
      </c>
      <c r="H4741" s="140" t="s">
        <v>6312</v>
      </c>
      <c r="I4741" s="140" t="s">
        <v>6527</v>
      </c>
      <c r="J4741" s="140" t="s">
        <v>6319</v>
      </c>
      <c r="K4741" s="140" t="s">
        <v>1573</v>
      </c>
    </row>
    <row r="4742">
      <c r="A4742" s="140" t="s">
        <v>302</v>
      </c>
      <c r="B4742" s="140" t="s">
        <v>12155</v>
      </c>
      <c r="C4742" s="140" t="s">
        <v>12156</v>
      </c>
      <c r="D4742" s="140" t="s">
        <v>6718</v>
      </c>
      <c r="E4742" s="140" t="s">
        <v>748</v>
      </c>
      <c r="F4742" s="140" t="s">
        <v>748</v>
      </c>
      <c r="G4742" s="141" t="s">
        <v>6304</v>
      </c>
      <c r="H4742" s="140" t="s">
        <v>6312</v>
      </c>
      <c r="I4742" s="140" t="s">
        <v>6527</v>
      </c>
      <c r="J4742" s="140" t="s">
        <v>6319</v>
      </c>
      <c r="K4742" s="140" t="s">
        <v>1573</v>
      </c>
    </row>
    <row r="4743">
      <c r="A4743" s="140" t="s">
        <v>302</v>
      </c>
      <c r="B4743" s="140" t="s">
        <v>12157</v>
      </c>
      <c r="C4743" s="140" t="s">
        <v>12158</v>
      </c>
      <c r="D4743" s="140" t="s">
        <v>6718</v>
      </c>
      <c r="E4743" s="140" t="s">
        <v>748</v>
      </c>
      <c r="F4743" s="140" t="s">
        <v>748</v>
      </c>
      <c r="G4743" s="141" t="s">
        <v>6304</v>
      </c>
      <c r="H4743" s="140" t="s">
        <v>6312</v>
      </c>
      <c r="I4743" s="140" t="s">
        <v>6527</v>
      </c>
      <c r="J4743" s="140" t="s">
        <v>6319</v>
      </c>
      <c r="K4743" s="140" t="s">
        <v>1573</v>
      </c>
    </row>
    <row r="4744">
      <c r="A4744" s="140" t="s">
        <v>302</v>
      </c>
      <c r="B4744" s="140" t="s">
        <v>12159</v>
      </c>
      <c r="C4744" s="140" t="s">
        <v>12160</v>
      </c>
      <c r="D4744" s="140" t="s">
        <v>6718</v>
      </c>
      <c r="E4744" s="140" t="s">
        <v>748</v>
      </c>
      <c r="F4744" s="140" t="s">
        <v>748</v>
      </c>
      <c r="G4744" s="141" t="s">
        <v>6304</v>
      </c>
      <c r="H4744" s="140" t="s">
        <v>6312</v>
      </c>
      <c r="I4744" s="140" t="s">
        <v>6527</v>
      </c>
      <c r="J4744" s="140" t="s">
        <v>6319</v>
      </c>
      <c r="K4744" s="140" t="s">
        <v>1573</v>
      </c>
    </row>
    <row r="4745">
      <c r="A4745" s="140" t="s">
        <v>302</v>
      </c>
      <c r="B4745" s="140" t="s">
        <v>12161</v>
      </c>
      <c r="C4745" s="140" t="s">
        <v>12162</v>
      </c>
      <c r="D4745" s="140" t="s">
        <v>6718</v>
      </c>
      <c r="E4745" s="140" t="s">
        <v>748</v>
      </c>
      <c r="F4745" s="140" t="s">
        <v>748</v>
      </c>
      <c r="G4745" s="141" t="s">
        <v>6304</v>
      </c>
      <c r="H4745" s="140" t="s">
        <v>6312</v>
      </c>
      <c r="I4745" s="140" t="s">
        <v>6527</v>
      </c>
      <c r="J4745" s="140" t="s">
        <v>6319</v>
      </c>
      <c r="K4745" s="140" t="s">
        <v>1573</v>
      </c>
    </row>
    <row r="4746">
      <c r="A4746" s="140" t="s">
        <v>302</v>
      </c>
      <c r="B4746" s="140" t="s">
        <v>12163</v>
      </c>
      <c r="C4746" s="140" t="s">
        <v>12164</v>
      </c>
      <c r="D4746" s="140" t="s">
        <v>6718</v>
      </c>
      <c r="E4746" s="140" t="s">
        <v>748</v>
      </c>
      <c r="F4746" s="140" t="s">
        <v>748</v>
      </c>
      <c r="G4746" s="141" t="s">
        <v>6304</v>
      </c>
      <c r="H4746" s="140" t="s">
        <v>6312</v>
      </c>
      <c r="I4746" s="140" t="s">
        <v>6527</v>
      </c>
      <c r="J4746" s="140" t="s">
        <v>6319</v>
      </c>
      <c r="K4746" s="140" t="s">
        <v>1573</v>
      </c>
    </row>
    <row r="4747">
      <c r="A4747" s="140" t="s">
        <v>302</v>
      </c>
      <c r="B4747" s="140" t="s">
        <v>12165</v>
      </c>
      <c r="C4747" s="140" t="s">
        <v>12166</v>
      </c>
      <c r="D4747" s="140" t="s">
        <v>6718</v>
      </c>
      <c r="E4747" s="140" t="s">
        <v>748</v>
      </c>
      <c r="F4747" s="140" t="s">
        <v>748</v>
      </c>
      <c r="G4747" s="141" t="s">
        <v>6304</v>
      </c>
      <c r="H4747" s="140" t="s">
        <v>6312</v>
      </c>
      <c r="I4747" s="140" t="s">
        <v>6527</v>
      </c>
      <c r="J4747" s="140" t="s">
        <v>6319</v>
      </c>
      <c r="K4747" s="140" t="s">
        <v>1573</v>
      </c>
    </row>
    <row r="4748">
      <c r="A4748" s="140" t="s">
        <v>302</v>
      </c>
      <c r="B4748" s="140" t="s">
        <v>12167</v>
      </c>
      <c r="C4748" s="140" t="s">
        <v>12168</v>
      </c>
      <c r="D4748" s="140" t="s">
        <v>6718</v>
      </c>
      <c r="E4748" s="140" t="s">
        <v>748</v>
      </c>
      <c r="F4748" s="140" t="s">
        <v>748</v>
      </c>
      <c r="G4748" s="141" t="s">
        <v>6304</v>
      </c>
      <c r="H4748" s="140" t="s">
        <v>6312</v>
      </c>
      <c r="I4748" s="140" t="s">
        <v>6527</v>
      </c>
      <c r="J4748" s="140" t="s">
        <v>6319</v>
      </c>
      <c r="K4748" s="140" t="s">
        <v>1573</v>
      </c>
    </row>
    <row r="4749">
      <c r="A4749" s="140" t="s">
        <v>302</v>
      </c>
      <c r="B4749" s="140" t="s">
        <v>12169</v>
      </c>
      <c r="C4749" s="140" t="s">
        <v>12170</v>
      </c>
      <c r="D4749" s="140" t="s">
        <v>6718</v>
      </c>
      <c r="E4749" s="140" t="s">
        <v>748</v>
      </c>
      <c r="F4749" s="140" t="s">
        <v>748</v>
      </c>
      <c r="G4749" s="141" t="s">
        <v>6304</v>
      </c>
      <c r="H4749" s="140" t="s">
        <v>6312</v>
      </c>
      <c r="I4749" s="140" t="s">
        <v>6527</v>
      </c>
      <c r="J4749" s="140" t="s">
        <v>6319</v>
      </c>
      <c r="K4749" s="140" t="s">
        <v>1573</v>
      </c>
    </row>
    <row r="4750">
      <c r="A4750" s="140" t="s">
        <v>302</v>
      </c>
      <c r="B4750" s="140" t="s">
        <v>12171</v>
      </c>
      <c r="C4750" s="140" t="s">
        <v>12172</v>
      </c>
      <c r="D4750" s="140" t="s">
        <v>6718</v>
      </c>
      <c r="E4750" s="140" t="s">
        <v>748</v>
      </c>
      <c r="F4750" s="140" t="s">
        <v>748</v>
      </c>
      <c r="G4750" s="141" t="s">
        <v>6304</v>
      </c>
      <c r="H4750" s="140" t="s">
        <v>6312</v>
      </c>
      <c r="I4750" s="140" t="s">
        <v>6527</v>
      </c>
      <c r="J4750" s="140" t="s">
        <v>6319</v>
      </c>
      <c r="K4750" s="140" t="s">
        <v>1573</v>
      </c>
    </row>
    <row r="4751">
      <c r="A4751" s="140" t="s">
        <v>302</v>
      </c>
      <c r="B4751" s="140" t="s">
        <v>12173</v>
      </c>
      <c r="C4751" s="140" t="s">
        <v>12174</v>
      </c>
      <c r="D4751" s="140" t="s">
        <v>6718</v>
      </c>
      <c r="E4751" s="140" t="s">
        <v>748</v>
      </c>
      <c r="F4751" s="140" t="s">
        <v>748</v>
      </c>
      <c r="G4751" s="141" t="s">
        <v>6304</v>
      </c>
      <c r="H4751" s="140" t="s">
        <v>6312</v>
      </c>
      <c r="I4751" s="140" t="s">
        <v>6527</v>
      </c>
      <c r="J4751" s="140" t="s">
        <v>6319</v>
      </c>
      <c r="K4751" s="140" t="s">
        <v>1573</v>
      </c>
    </row>
    <row r="4752">
      <c r="A4752" s="140" t="s">
        <v>302</v>
      </c>
      <c r="B4752" s="140" t="s">
        <v>12175</v>
      </c>
      <c r="C4752" s="140" t="s">
        <v>12174</v>
      </c>
      <c r="D4752" s="140" t="s">
        <v>6718</v>
      </c>
      <c r="E4752" s="140" t="s">
        <v>748</v>
      </c>
      <c r="F4752" s="140" t="s">
        <v>748</v>
      </c>
      <c r="G4752" s="141" t="s">
        <v>6304</v>
      </c>
      <c r="H4752" s="140" t="s">
        <v>6312</v>
      </c>
      <c r="I4752" s="140" t="s">
        <v>6527</v>
      </c>
      <c r="J4752" s="140" t="s">
        <v>6319</v>
      </c>
      <c r="K4752" s="140" t="s">
        <v>1573</v>
      </c>
    </row>
    <row r="4753">
      <c r="A4753" s="140" t="s">
        <v>302</v>
      </c>
      <c r="B4753" s="140" t="s">
        <v>12176</v>
      </c>
      <c r="C4753" s="140" t="s">
        <v>12177</v>
      </c>
      <c r="D4753" s="140" t="s">
        <v>6718</v>
      </c>
      <c r="E4753" s="140" t="s">
        <v>748</v>
      </c>
      <c r="F4753" s="140" t="s">
        <v>748</v>
      </c>
      <c r="G4753" s="141" t="s">
        <v>6304</v>
      </c>
      <c r="H4753" s="140" t="s">
        <v>6312</v>
      </c>
      <c r="I4753" s="140" t="s">
        <v>6527</v>
      </c>
      <c r="J4753" s="140" t="s">
        <v>6319</v>
      </c>
      <c r="K4753" s="140" t="s">
        <v>1573</v>
      </c>
    </row>
    <row r="4754">
      <c r="A4754" s="140" t="s">
        <v>302</v>
      </c>
      <c r="B4754" s="140" t="s">
        <v>12178</v>
      </c>
      <c r="C4754" s="140" t="s">
        <v>12179</v>
      </c>
      <c r="D4754" s="140" t="s">
        <v>6718</v>
      </c>
      <c r="E4754" s="140" t="s">
        <v>748</v>
      </c>
      <c r="F4754" s="140" t="s">
        <v>748</v>
      </c>
      <c r="G4754" s="141" t="s">
        <v>6304</v>
      </c>
      <c r="H4754" s="140" t="s">
        <v>6312</v>
      </c>
      <c r="I4754" s="140" t="s">
        <v>6527</v>
      </c>
      <c r="J4754" s="140" t="s">
        <v>6319</v>
      </c>
      <c r="K4754" s="140" t="s">
        <v>1573</v>
      </c>
    </row>
    <row r="4755">
      <c r="A4755" s="140" t="s">
        <v>302</v>
      </c>
      <c r="B4755" s="140" t="s">
        <v>12180</v>
      </c>
      <c r="C4755" s="140" t="s">
        <v>12179</v>
      </c>
      <c r="D4755" s="140" t="s">
        <v>6718</v>
      </c>
      <c r="E4755" s="140" t="s">
        <v>748</v>
      </c>
      <c r="F4755" s="140" t="s">
        <v>748</v>
      </c>
      <c r="G4755" s="141" t="s">
        <v>6304</v>
      </c>
      <c r="H4755" s="140" t="s">
        <v>6312</v>
      </c>
      <c r="I4755" s="140" t="s">
        <v>6527</v>
      </c>
      <c r="J4755" s="140" t="s">
        <v>6319</v>
      </c>
      <c r="K4755" s="140" t="s">
        <v>1573</v>
      </c>
    </row>
    <row r="4756">
      <c r="A4756" s="140" t="s">
        <v>302</v>
      </c>
      <c r="B4756" s="140" t="s">
        <v>12181</v>
      </c>
      <c r="C4756" s="140" t="s">
        <v>12182</v>
      </c>
      <c r="D4756" s="140" t="s">
        <v>6718</v>
      </c>
      <c r="E4756" s="140" t="s">
        <v>748</v>
      </c>
      <c r="F4756" s="140" t="s">
        <v>748</v>
      </c>
      <c r="G4756" s="141" t="s">
        <v>6304</v>
      </c>
      <c r="H4756" s="140" t="s">
        <v>6312</v>
      </c>
      <c r="I4756" s="140" t="s">
        <v>6527</v>
      </c>
      <c r="J4756" s="140" t="s">
        <v>6319</v>
      </c>
      <c r="K4756" s="140" t="s">
        <v>1573</v>
      </c>
    </row>
    <row r="4757">
      <c r="A4757" s="140" t="s">
        <v>302</v>
      </c>
      <c r="B4757" s="140" t="s">
        <v>12183</v>
      </c>
      <c r="C4757" s="140" t="s">
        <v>12184</v>
      </c>
      <c r="D4757" s="140" t="s">
        <v>6718</v>
      </c>
      <c r="E4757" s="140" t="s">
        <v>748</v>
      </c>
      <c r="F4757" s="140" t="s">
        <v>748</v>
      </c>
      <c r="G4757" s="141" t="s">
        <v>6304</v>
      </c>
      <c r="H4757" s="140" t="s">
        <v>6312</v>
      </c>
      <c r="I4757" s="140" t="s">
        <v>6527</v>
      </c>
      <c r="J4757" s="140" t="s">
        <v>6319</v>
      </c>
      <c r="K4757" s="140" t="s">
        <v>1573</v>
      </c>
    </row>
    <row r="4758">
      <c r="A4758" s="140" t="s">
        <v>302</v>
      </c>
      <c r="B4758" s="140" t="s">
        <v>12185</v>
      </c>
      <c r="C4758" s="140" t="s">
        <v>12184</v>
      </c>
      <c r="D4758" s="140" t="s">
        <v>6718</v>
      </c>
      <c r="E4758" s="140" t="s">
        <v>748</v>
      </c>
      <c r="F4758" s="140" t="s">
        <v>748</v>
      </c>
      <c r="G4758" s="141" t="s">
        <v>6304</v>
      </c>
      <c r="H4758" s="140" t="s">
        <v>6312</v>
      </c>
      <c r="I4758" s="140" t="s">
        <v>6527</v>
      </c>
      <c r="J4758" s="140" t="s">
        <v>6319</v>
      </c>
      <c r="K4758" s="140" t="s">
        <v>1573</v>
      </c>
    </row>
    <row r="4759">
      <c r="A4759" s="140" t="s">
        <v>302</v>
      </c>
      <c r="B4759" s="140" t="s">
        <v>12186</v>
      </c>
      <c r="C4759" s="140" t="s">
        <v>12184</v>
      </c>
      <c r="D4759" s="140" t="s">
        <v>6718</v>
      </c>
      <c r="E4759" s="140" t="s">
        <v>748</v>
      </c>
      <c r="F4759" s="140" t="s">
        <v>748</v>
      </c>
      <c r="G4759" s="141" t="s">
        <v>6304</v>
      </c>
      <c r="H4759" s="140" t="s">
        <v>6312</v>
      </c>
      <c r="I4759" s="140" t="s">
        <v>6527</v>
      </c>
      <c r="J4759" s="140" t="s">
        <v>6319</v>
      </c>
      <c r="K4759" s="140" t="s">
        <v>1573</v>
      </c>
    </row>
    <row r="4760">
      <c r="A4760" s="140" t="s">
        <v>302</v>
      </c>
      <c r="B4760" s="143">
        <v>1.51257E12</v>
      </c>
      <c r="C4760" s="140" t="s">
        <v>12187</v>
      </c>
      <c r="D4760" s="140" t="s">
        <v>6718</v>
      </c>
      <c r="E4760" s="140" t="s">
        <v>748</v>
      </c>
      <c r="F4760" s="140" t="s">
        <v>748</v>
      </c>
      <c r="G4760" s="141" t="s">
        <v>6401</v>
      </c>
      <c r="H4760" s="140" t="s">
        <v>6312</v>
      </c>
      <c r="I4760" s="140" t="s">
        <v>6313</v>
      </c>
      <c r="J4760" s="140" t="s">
        <v>6319</v>
      </c>
      <c r="K4760" s="140" t="s">
        <v>1573</v>
      </c>
    </row>
    <row r="4761">
      <c r="A4761" s="140" t="s">
        <v>302</v>
      </c>
      <c r="B4761" s="143">
        <v>1.52659E12</v>
      </c>
      <c r="C4761" s="140" t="s">
        <v>12188</v>
      </c>
      <c r="D4761" s="140" t="s">
        <v>6718</v>
      </c>
      <c r="E4761" s="140" t="s">
        <v>748</v>
      </c>
      <c r="F4761" s="140" t="s">
        <v>748</v>
      </c>
      <c r="G4761" s="141" t="s">
        <v>6401</v>
      </c>
      <c r="H4761" s="140" t="s">
        <v>6312</v>
      </c>
      <c r="I4761" s="140" t="s">
        <v>6313</v>
      </c>
      <c r="J4761" s="140" t="s">
        <v>6319</v>
      </c>
      <c r="K4761" s="140" t="s">
        <v>1573</v>
      </c>
    </row>
    <row r="4762">
      <c r="A4762" s="140" t="s">
        <v>302</v>
      </c>
      <c r="B4762" s="143">
        <v>1.51257E12</v>
      </c>
      <c r="C4762" s="140" t="s">
        <v>12189</v>
      </c>
      <c r="D4762" s="140" t="s">
        <v>6718</v>
      </c>
      <c r="E4762" s="140" t="s">
        <v>748</v>
      </c>
      <c r="F4762" s="140" t="s">
        <v>748</v>
      </c>
      <c r="G4762" s="141" t="s">
        <v>6401</v>
      </c>
      <c r="H4762" s="140" t="s">
        <v>6312</v>
      </c>
      <c r="I4762" s="140" t="s">
        <v>6313</v>
      </c>
      <c r="J4762" s="140" t="s">
        <v>6319</v>
      </c>
      <c r="K4762" s="140" t="s">
        <v>1573</v>
      </c>
    </row>
    <row r="4763">
      <c r="A4763" s="140" t="s">
        <v>302</v>
      </c>
      <c r="B4763" s="140" t="s">
        <v>12190</v>
      </c>
      <c r="C4763" s="140" t="s">
        <v>11777</v>
      </c>
      <c r="D4763" s="140" t="s">
        <v>6718</v>
      </c>
      <c r="E4763" s="140" t="s">
        <v>748</v>
      </c>
      <c r="F4763" s="140" t="s">
        <v>748</v>
      </c>
      <c r="G4763" s="141" t="s">
        <v>6304</v>
      </c>
      <c r="H4763" s="140" t="s">
        <v>6312</v>
      </c>
      <c r="I4763" s="140" t="s">
        <v>6527</v>
      </c>
      <c r="J4763" s="140" t="s">
        <v>6319</v>
      </c>
      <c r="K4763" s="140" t="s">
        <v>1573</v>
      </c>
    </row>
    <row r="4764">
      <c r="A4764" s="140" t="s">
        <v>302</v>
      </c>
      <c r="B4764" s="140" t="s">
        <v>12191</v>
      </c>
      <c r="C4764" s="140" t="s">
        <v>11779</v>
      </c>
      <c r="D4764" s="140" t="s">
        <v>6718</v>
      </c>
      <c r="E4764" s="140" t="s">
        <v>748</v>
      </c>
      <c r="F4764" s="140" t="s">
        <v>748</v>
      </c>
      <c r="G4764" s="141" t="s">
        <v>6304</v>
      </c>
      <c r="H4764" s="140" t="s">
        <v>6312</v>
      </c>
      <c r="I4764" s="140" t="s">
        <v>6527</v>
      </c>
      <c r="J4764" s="140" t="s">
        <v>6319</v>
      </c>
      <c r="K4764" s="140" t="s">
        <v>1573</v>
      </c>
    </row>
    <row r="4765">
      <c r="A4765" s="140" t="s">
        <v>302</v>
      </c>
      <c r="B4765" s="140" t="s">
        <v>12192</v>
      </c>
      <c r="C4765" s="140" t="s">
        <v>12193</v>
      </c>
      <c r="D4765" s="140" t="s">
        <v>6718</v>
      </c>
      <c r="E4765" s="140" t="s">
        <v>748</v>
      </c>
      <c r="F4765" s="140" t="s">
        <v>748</v>
      </c>
      <c r="G4765" s="141" t="s">
        <v>6304</v>
      </c>
      <c r="H4765" s="140" t="s">
        <v>6312</v>
      </c>
      <c r="I4765" s="140" t="s">
        <v>6527</v>
      </c>
      <c r="J4765" s="140" t="s">
        <v>6319</v>
      </c>
      <c r="K4765" s="140" t="s">
        <v>1573</v>
      </c>
    </row>
    <row r="4766">
      <c r="A4766" s="140" t="s">
        <v>302</v>
      </c>
      <c r="B4766" s="140" t="s">
        <v>12194</v>
      </c>
      <c r="C4766" s="140" t="s">
        <v>12193</v>
      </c>
      <c r="D4766" s="140" t="s">
        <v>6718</v>
      </c>
      <c r="E4766" s="140" t="s">
        <v>748</v>
      </c>
      <c r="F4766" s="140" t="s">
        <v>748</v>
      </c>
      <c r="G4766" s="141" t="s">
        <v>6304</v>
      </c>
      <c r="H4766" s="140" t="s">
        <v>6312</v>
      </c>
      <c r="I4766" s="140" t="s">
        <v>6527</v>
      </c>
      <c r="J4766" s="140" t="s">
        <v>6319</v>
      </c>
      <c r="K4766" s="140" t="s">
        <v>1573</v>
      </c>
    </row>
    <row r="4767">
      <c r="A4767" s="140" t="s">
        <v>302</v>
      </c>
      <c r="B4767" s="140" t="s">
        <v>12195</v>
      </c>
      <c r="C4767" s="140" t="s">
        <v>12196</v>
      </c>
      <c r="D4767" s="140" t="s">
        <v>6718</v>
      </c>
      <c r="E4767" s="140" t="s">
        <v>748</v>
      </c>
      <c r="F4767" s="140" t="s">
        <v>748</v>
      </c>
      <c r="G4767" s="141" t="s">
        <v>6304</v>
      </c>
      <c r="H4767" s="140" t="s">
        <v>6312</v>
      </c>
      <c r="I4767" s="140" t="s">
        <v>6527</v>
      </c>
      <c r="J4767" s="140" t="s">
        <v>6319</v>
      </c>
      <c r="K4767" s="140" t="s">
        <v>1573</v>
      </c>
    </row>
    <row r="4768">
      <c r="A4768" s="140" t="s">
        <v>302</v>
      </c>
      <c r="B4768" s="140" t="s">
        <v>12197</v>
      </c>
      <c r="C4768" s="140" t="s">
        <v>12196</v>
      </c>
      <c r="D4768" s="140" t="s">
        <v>6718</v>
      </c>
      <c r="E4768" s="140" t="s">
        <v>748</v>
      </c>
      <c r="F4768" s="140" t="s">
        <v>748</v>
      </c>
      <c r="G4768" s="141" t="s">
        <v>6304</v>
      </c>
      <c r="H4768" s="140" t="s">
        <v>6312</v>
      </c>
      <c r="I4768" s="140" t="s">
        <v>6527</v>
      </c>
      <c r="J4768" s="140" t="s">
        <v>6319</v>
      </c>
      <c r="K4768" s="140" t="s">
        <v>1573</v>
      </c>
    </row>
    <row r="4769">
      <c r="A4769" s="140" t="s">
        <v>302</v>
      </c>
      <c r="B4769" s="140" t="s">
        <v>12198</v>
      </c>
      <c r="C4769" s="140" t="s">
        <v>12199</v>
      </c>
      <c r="D4769" s="140" t="s">
        <v>6718</v>
      </c>
      <c r="E4769" s="140" t="s">
        <v>748</v>
      </c>
      <c r="F4769" s="140" t="s">
        <v>748</v>
      </c>
      <c r="G4769" s="141" t="s">
        <v>6304</v>
      </c>
      <c r="H4769" s="140" t="s">
        <v>6312</v>
      </c>
      <c r="I4769" s="140" t="s">
        <v>6527</v>
      </c>
      <c r="J4769" s="140" t="s">
        <v>6319</v>
      </c>
      <c r="K4769" s="140" t="s">
        <v>1573</v>
      </c>
    </row>
    <row r="4770">
      <c r="A4770" s="140" t="s">
        <v>302</v>
      </c>
      <c r="B4770" s="140" t="s">
        <v>12200</v>
      </c>
      <c r="C4770" s="140" t="s">
        <v>12199</v>
      </c>
      <c r="D4770" s="140" t="s">
        <v>6718</v>
      </c>
      <c r="E4770" s="140" t="s">
        <v>748</v>
      </c>
      <c r="F4770" s="140" t="s">
        <v>748</v>
      </c>
      <c r="G4770" s="141" t="s">
        <v>6304</v>
      </c>
      <c r="H4770" s="140" t="s">
        <v>6312</v>
      </c>
      <c r="I4770" s="140" t="s">
        <v>6527</v>
      </c>
      <c r="J4770" s="140" t="s">
        <v>6319</v>
      </c>
      <c r="K4770" s="140" t="s">
        <v>1573</v>
      </c>
    </row>
    <row r="4771">
      <c r="A4771" s="140" t="s">
        <v>302</v>
      </c>
      <c r="B4771" s="140" t="s">
        <v>12201</v>
      </c>
      <c r="C4771" s="140" t="s">
        <v>12202</v>
      </c>
      <c r="D4771" s="140" t="s">
        <v>6718</v>
      </c>
      <c r="E4771" s="140" t="s">
        <v>748</v>
      </c>
      <c r="F4771" s="140" t="s">
        <v>748</v>
      </c>
      <c r="G4771" s="141" t="s">
        <v>6304</v>
      </c>
      <c r="H4771" s="140" t="s">
        <v>6312</v>
      </c>
      <c r="I4771" s="140" t="s">
        <v>6527</v>
      </c>
      <c r="J4771" s="140" t="s">
        <v>6319</v>
      </c>
      <c r="K4771" s="140" t="s">
        <v>1573</v>
      </c>
    </row>
    <row r="4772">
      <c r="A4772" s="140" t="s">
        <v>302</v>
      </c>
      <c r="B4772" s="140" t="s">
        <v>12203</v>
      </c>
      <c r="C4772" s="140" t="s">
        <v>12202</v>
      </c>
      <c r="D4772" s="140" t="s">
        <v>6718</v>
      </c>
      <c r="E4772" s="140" t="s">
        <v>748</v>
      </c>
      <c r="F4772" s="140" t="s">
        <v>748</v>
      </c>
      <c r="G4772" s="141" t="s">
        <v>6304</v>
      </c>
      <c r="H4772" s="140" t="s">
        <v>6312</v>
      </c>
      <c r="I4772" s="140" t="s">
        <v>6527</v>
      </c>
      <c r="J4772" s="140" t="s">
        <v>6319</v>
      </c>
      <c r="K4772" s="140" t="s">
        <v>1573</v>
      </c>
    </row>
    <row r="4773">
      <c r="A4773" s="140" t="s">
        <v>302</v>
      </c>
      <c r="B4773" s="140" t="s">
        <v>12204</v>
      </c>
      <c r="C4773" s="140" t="s">
        <v>12205</v>
      </c>
      <c r="D4773" s="140" t="s">
        <v>6718</v>
      </c>
      <c r="E4773" s="140" t="s">
        <v>748</v>
      </c>
      <c r="F4773" s="140" t="s">
        <v>748</v>
      </c>
      <c r="G4773" s="141" t="s">
        <v>6304</v>
      </c>
      <c r="H4773" s="140" t="s">
        <v>6312</v>
      </c>
      <c r="I4773" s="140" t="s">
        <v>6527</v>
      </c>
      <c r="J4773" s="140" t="s">
        <v>6319</v>
      </c>
      <c r="K4773" s="140" t="s">
        <v>1573</v>
      </c>
    </row>
    <row r="4774">
      <c r="A4774" s="140" t="s">
        <v>302</v>
      </c>
      <c r="B4774" s="140" t="s">
        <v>12206</v>
      </c>
      <c r="C4774" s="140" t="s">
        <v>12205</v>
      </c>
      <c r="D4774" s="140" t="s">
        <v>6718</v>
      </c>
      <c r="E4774" s="140" t="s">
        <v>748</v>
      </c>
      <c r="F4774" s="140" t="s">
        <v>748</v>
      </c>
      <c r="G4774" s="141" t="s">
        <v>6304</v>
      </c>
      <c r="H4774" s="140" t="s">
        <v>6312</v>
      </c>
      <c r="I4774" s="140" t="s">
        <v>6527</v>
      </c>
      <c r="J4774" s="140" t="s">
        <v>6319</v>
      </c>
      <c r="K4774" s="140" t="s">
        <v>1573</v>
      </c>
    </row>
    <row r="4775">
      <c r="A4775" s="140" t="s">
        <v>302</v>
      </c>
      <c r="B4775" s="140" t="s">
        <v>12207</v>
      </c>
      <c r="C4775" s="140" t="s">
        <v>12208</v>
      </c>
      <c r="D4775" s="140" t="s">
        <v>6718</v>
      </c>
      <c r="E4775" s="140" t="s">
        <v>748</v>
      </c>
      <c r="F4775" s="140" t="s">
        <v>748</v>
      </c>
      <c r="G4775" s="141" t="s">
        <v>6304</v>
      </c>
      <c r="H4775" s="140" t="s">
        <v>6312</v>
      </c>
      <c r="I4775" s="140" t="s">
        <v>6527</v>
      </c>
      <c r="J4775" s="140" t="s">
        <v>6319</v>
      </c>
      <c r="K4775" s="140" t="s">
        <v>1573</v>
      </c>
    </row>
    <row r="4776">
      <c r="A4776" s="140" t="s">
        <v>302</v>
      </c>
      <c r="B4776" s="140" t="s">
        <v>12209</v>
      </c>
      <c r="C4776" s="140" t="s">
        <v>12208</v>
      </c>
      <c r="D4776" s="140" t="s">
        <v>6718</v>
      </c>
      <c r="E4776" s="140" t="s">
        <v>748</v>
      </c>
      <c r="F4776" s="140" t="s">
        <v>748</v>
      </c>
      <c r="G4776" s="141" t="s">
        <v>6304</v>
      </c>
      <c r="H4776" s="140" t="s">
        <v>6312</v>
      </c>
      <c r="I4776" s="140" t="s">
        <v>6527</v>
      </c>
      <c r="J4776" s="140" t="s">
        <v>6319</v>
      </c>
      <c r="K4776" s="140" t="s">
        <v>1573</v>
      </c>
    </row>
    <row r="4777">
      <c r="A4777" s="140" t="s">
        <v>302</v>
      </c>
      <c r="B4777" s="140" t="s">
        <v>12210</v>
      </c>
      <c r="C4777" s="140" t="s">
        <v>770</v>
      </c>
      <c r="D4777" s="140" t="s">
        <v>6718</v>
      </c>
      <c r="E4777" s="140" t="s">
        <v>748</v>
      </c>
      <c r="F4777" s="140" t="s">
        <v>748</v>
      </c>
      <c r="G4777" s="141" t="s">
        <v>6304</v>
      </c>
      <c r="H4777" s="140" t="s">
        <v>6312</v>
      </c>
      <c r="I4777" s="140" t="s">
        <v>6527</v>
      </c>
      <c r="J4777" s="140" t="s">
        <v>6319</v>
      </c>
      <c r="K4777" s="140" t="s">
        <v>1573</v>
      </c>
    </row>
    <row r="4778">
      <c r="A4778" s="140" t="s">
        <v>302</v>
      </c>
      <c r="B4778" s="140" t="s">
        <v>12211</v>
      </c>
      <c r="C4778" s="140" t="s">
        <v>12212</v>
      </c>
      <c r="D4778" s="140" t="s">
        <v>6718</v>
      </c>
      <c r="E4778" s="140" t="s">
        <v>748</v>
      </c>
      <c r="F4778" s="140" t="s">
        <v>748</v>
      </c>
      <c r="G4778" s="141" t="s">
        <v>6304</v>
      </c>
      <c r="H4778" s="140" t="s">
        <v>6312</v>
      </c>
      <c r="I4778" s="140" t="s">
        <v>6527</v>
      </c>
      <c r="J4778" s="140" t="s">
        <v>6319</v>
      </c>
      <c r="K4778" s="140" t="s">
        <v>1573</v>
      </c>
    </row>
    <row r="4779">
      <c r="A4779" s="140" t="s">
        <v>302</v>
      </c>
      <c r="B4779" s="140" t="s">
        <v>12213</v>
      </c>
      <c r="C4779" s="140" t="s">
        <v>12212</v>
      </c>
      <c r="D4779" s="140" t="s">
        <v>6718</v>
      </c>
      <c r="E4779" s="140" t="s">
        <v>748</v>
      </c>
      <c r="F4779" s="140" t="s">
        <v>748</v>
      </c>
      <c r="G4779" s="141" t="s">
        <v>6304</v>
      </c>
      <c r="H4779" s="140" t="s">
        <v>6312</v>
      </c>
      <c r="I4779" s="140" t="s">
        <v>6527</v>
      </c>
      <c r="J4779" s="140" t="s">
        <v>6319</v>
      </c>
      <c r="K4779" s="140" t="s">
        <v>1573</v>
      </c>
    </row>
    <row r="4780">
      <c r="A4780" s="140" t="s">
        <v>302</v>
      </c>
      <c r="B4780" s="140" t="s">
        <v>12214</v>
      </c>
      <c r="C4780" s="140" t="s">
        <v>12215</v>
      </c>
      <c r="D4780" s="140" t="s">
        <v>6718</v>
      </c>
      <c r="E4780" s="140" t="s">
        <v>748</v>
      </c>
      <c r="F4780" s="140" t="s">
        <v>748</v>
      </c>
      <c r="G4780" s="141" t="s">
        <v>6304</v>
      </c>
      <c r="H4780" s="140" t="s">
        <v>6312</v>
      </c>
      <c r="I4780" s="140" t="s">
        <v>6527</v>
      </c>
      <c r="J4780" s="140" t="s">
        <v>6319</v>
      </c>
      <c r="K4780" s="140" t="s">
        <v>1573</v>
      </c>
    </row>
    <row r="4781">
      <c r="A4781" s="140" t="s">
        <v>302</v>
      </c>
      <c r="B4781" s="140" t="s">
        <v>12216</v>
      </c>
      <c r="C4781" s="140" t="s">
        <v>12215</v>
      </c>
      <c r="D4781" s="140" t="s">
        <v>6718</v>
      </c>
      <c r="E4781" s="140" t="s">
        <v>748</v>
      </c>
      <c r="F4781" s="140" t="s">
        <v>748</v>
      </c>
      <c r="G4781" s="141" t="s">
        <v>6304</v>
      </c>
      <c r="H4781" s="140" t="s">
        <v>6312</v>
      </c>
      <c r="I4781" s="140" t="s">
        <v>6527</v>
      </c>
      <c r="J4781" s="140" t="s">
        <v>6319</v>
      </c>
      <c r="K4781" s="140" t="s">
        <v>1573</v>
      </c>
    </row>
    <row r="4782">
      <c r="A4782" s="140" t="s">
        <v>302</v>
      </c>
      <c r="B4782" s="140" t="s">
        <v>12217</v>
      </c>
      <c r="C4782" s="140" t="s">
        <v>12218</v>
      </c>
      <c r="D4782" s="140" t="s">
        <v>6718</v>
      </c>
      <c r="E4782" s="140" t="s">
        <v>748</v>
      </c>
      <c r="F4782" s="140" t="s">
        <v>748</v>
      </c>
      <c r="G4782" s="141" t="s">
        <v>6304</v>
      </c>
      <c r="H4782" s="140" t="s">
        <v>6312</v>
      </c>
      <c r="I4782" s="140" t="s">
        <v>6527</v>
      </c>
      <c r="J4782" s="140" t="s">
        <v>6319</v>
      </c>
      <c r="K4782" s="140" t="s">
        <v>1573</v>
      </c>
    </row>
    <row r="4783">
      <c r="A4783" s="140" t="s">
        <v>302</v>
      </c>
      <c r="B4783" s="140" t="s">
        <v>12219</v>
      </c>
      <c r="C4783" s="140" t="s">
        <v>12218</v>
      </c>
      <c r="D4783" s="140" t="s">
        <v>6718</v>
      </c>
      <c r="E4783" s="140" t="s">
        <v>748</v>
      </c>
      <c r="F4783" s="140" t="s">
        <v>748</v>
      </c>
      <c r="G4783" s="141" t="s">
        <v>6304</v>
      </c>
      <c r="H4783" s="140" t="s">
        <v>6312</v>
      </c>
      <c r="I4783" s="140" t="s">
        <v>6527</v>
      </c>
      <c r="J4783" s="140" t="s">
        <v>6319</v>
      </c>
      <c r="K4783" s="140" t="s">
        <v>1573</v>
      </c>
    </row>
    <row r="4784">
      <c r="A4784" s="140" t="s">
        <v>302</v>
      </c>
      <c r="B4784" s="140" t="s">
        <v>12220</v>
      </c>
      <c r="C4784" s="140" t="s">
        <v>11781</v>
      </c>
      <c r="D4784" s="140" t="s">
        <v>6718</v>
      </c>
      <c r="E4784" s="140" t="s">
        <v>748</v>
      </c>
      <c r="F4784" s="140" t="s">
        <v>748</v>
      </c>
      <c r="G4784" s="141" t="s">
        <v>6304</v>
      </c>
      <c r="H4784" s="140" t="s">
        <v>6312</v>
      </c>
      <c r="I4784" s="140" t="s">
        <v>6527</v>
      </c>
      <c r="J4784" s="140" t="s">
        <v>6319</v>
      </c>
      <c r="K4784" s="140" t="s">
        <v>1573</v>
      </c>
    </row>
    <row r="4785">
      <c r="A4785" s="140" t="s">
        <v>302</v>
      </c>
      <c r="B4785" s="140" t="s">
        <v>12221</v>
      </c>
      <c r="C4785" s="140" t="s">
        <v>12222</v>
      </c>
      <c r="D4785" s="140" t="s">
        <v>6718</v>
      </c>
      <c r="E4785" s="140" t="s">
        <v>748</v>
      </c>
      <c r="F4785" s="140" t="s">
        <v>748</v>
      </c>
      <c r="G4785" s="141" t="s">
        <v>6401</v>
      </c>
      <c r="H4785" s="140" t="s">
        <v>6312</v>
      </c>
      <c r="I4785" s="140" t="s">
        <v>6313</v>
      </c>
      <c r="J4785" s="140" t="s">
        <v>6319</v>
      </c>
      <c r="K4785" s="140" t="s">
        <v>1573</v>
      </c>
    </row>
    <row r="4786">
      <c r="A4786" s="140" t="s">
        <v>302</v>
      </c>
      <c r="B4786" s="140" t="s">
        <v>12223</v>
      </c>
      <c r="C4786" s="140" t="s">
        <v>12224</v>
      </c>
      <c r="D4786" s="140" t="s">
        <v>6718</v>
      </c>
      <c r="E4786" s="140" t="s">
        <v>748</v>
      </c>
      <c r="F4786" s="140" t="s">
        <v>748</v>
      </c>
      <c r="G4786" s="141" t="s">
        <v>6304</v>
      </c>
      <c r="H4786" s="140" t="s">
        <v>6312</v>
      </c>
      <c r="I4786" s="140" t="s">
        <v>6527</v>
      </c>
      <c r="J4786" s="140" t="s">
        <v>6319</v>
      </c>
      <c r="K4786" s="140" t="s">
        <v>1573</v>
      </c>
    </row>
    <row r="4787">
      <c r="A4787" s="140" t="s">
        <v>302</v>
      </c>
      <c r="B4787" s="140" t="s">
        <v>12225</v>
      </c>
      <c r="C4787" s="140" t="s">
        <v>12226</v>
      </c>
      <c r="D4787" s="140" t="s">
        <v>6718</v>
      </c>
      <c r="E4787" s="140" t="s">
        <v>748</v>
      </c>
      <c r="F4787" s="140" t="s">
        <v>748</v>
      </c>
      <c r="G4787" s="141" t="s">
        <v>6304</v>
      </c>
      <c r="H4787" s="140" t="s">
        <v>6312</v>
      </c>
      <c r="I4787" s="140" t="s">
        <v>6527</v>
      </c>
      <c r="J4787" s="140" t="s">
        <v>6319</v>
      </c>
      <c r="K4787" s="140" t="s">
        <v>1573</v>
      </c>
    </row>
    <row r="4788">
      <c r="A4788" s="140" t="s">
        <v>302</v>
      </c>
      <c r="B4788" s="140" t="s">
        <v>12227</v>
      </c>
      <c r="C4788" s="140" t="s">
        <v>12228</v>
      </c>
      <c r="D4788" s="140" t="s">
        <v>6718</v>
      </c>
      <c r="E4788" s="140" t="s">
        <v>748</v>
      </c>
      <c r="F4788" s="140" t="s">
        <v>748</v>
      </c>
      <c r="G4788" s="141" t="s">
        <v>6401</v>
      </c>
      <c r="H4788" s="140" t="s">
        <v>6312</v>
      </c>
      <c r="I4788" s="140" t="s">
        <v>6313</v>
      </c>
      <c r="J4788" s="140" t="s">
        <v>6319</v>
      </c>
      <c r="K4788" s="140" t="s">
        <v>1573</v>
      </c>
    </row>
    <row r="4789">
      <c r="A4789" s="140" t="s">
        <v>302</v>
      </c>
      <c r="B4789" s="140" t="s">
        <v>12229</v>
      </c>
      <c r="C4789" s="140" t="s">
        <v>12230</v>
      </c>
      <c r="D4789" s="140" t="s">
        <v>6718</v>
      </c>
      <c r="E4789" s="140" t="s">
        <v>748</v>
      </c>
      <c r="F4789" s="140" t="s">
        <v>748</v>
      </c>
      <c r="G4789" s="141" t="s">
        <v>6401</v>
      </c>
      <c r="H4789" s="140" t="s">
        <v>6312</v>
      </c>
      <c r="I4789" s="140" t="s">
        <v>6313</v>
      </c>
      <c r="J4789" s="140" t="s">
        <v>6319</v>
      </c>
      <c r="K4789" s="140" t="s">
        <v>1573</v>
      </c>
    </row>
    <row r="4790">
      <c r="A4790" s="140" t="s">
        <v>302</v>
      </c>
      <c r="B4790" s="140" t="s">
        <v>12231</v>
      </c>
      <c r="C4790" s="140" t="s">
        <v>12232</v>
      </c>
      <c r="D4790" s="140" t="s">
        <v>6718</v>
      </c>
      <c r="E4790" s="140" t="s">
        <v>748</v>
      </c>
      <c r="F4790" s="140" t="s">
        <v>748</v>
      </c>
      <c r="G4790" s="141" t="s">
        <v>6304</v>
      </c>
      <c r="H4790" s="140" t="s">
        <v>6312</v>
      </c>
      <c r="I4790" s="140" t="s">
        <v>6527</v>
      </c>
      <c r="J4790" s="140" t="s">
        <v>6319</v>
      </c>
      <c r="K4790" s="140" t="s">
        <v>1573</v>
      </c>
    </row>
    <row r="4791">
      <c r="A4791" s="140" t="s">
        <v>302</v>
      </c>
      <c r="B4791" s="140" t="s">
        <v>12233</v>
      </c>
      <c r="C4791" s="140" t="s">
        <v>12234</v>
      </c>
      <c r="D4791" s="140" t="s">
        <v>6718</v>
      </c>
      <c r="E4791" s="140" t="s">
        <v>748</v>
      </c>
      <c r="F4791" s="140" t="s">
        <v>748</v>
      </c>
      <c r="G4791" s="141" t="s">
        <v>6304</v>
      </c>
      <c r="H4791" s="140" t="s">
        <v>6312</v>
      </c>
      <c r="I4791" s="140" t="s">
        <v>6527</v>
      </c>
      <c r="J4791" s="140" t="s">
        <v>6319</v>
      </c>
      <c r="K4791" s="140" t="s">
        <v>1573</v>
      </c>
    </row>
    <row r="4792">
      <c r="A4792" s="140" t="s">
        <v>302</v>
      </c>
      <c r="B4792" s="143">
        <v>1.60821E12</v>
      </c>
      <c r="C4792" s="140" t="s">
        <v>12235</v>
      </c>
      <c r="D4792" s="140" t="s">
        <v>6718</v>
      </c>
      <c r="E4792" s="140" t="s">
        <v>748</v>
      </c>
      <c r="F4792" s="140" t="s">
        <v>748</v>
      </c>
      <c r="G4792" s="141" t="s">
        <v>6401</v>
      </c>
      <c r="H4792" s="140" t="s">
        <v>6312</v>
      </c>
      <c r="I4792" s="140" t="s">
        <v>6313</v>
      </c>
      <c r="J4792" s="140" t="s">
        <v>6319</v>
      </c>
      <c r="K4792" s="140" t="s">
        <v>1573</v>
      </c>
    </row>
    <row r="4793">
      <c r="A4793" s="140" t="s">
        <v>302</v>
      </c>
      <c r="B4793" s="143">
        <v>1.60821E12</v>
      </c>
      <c r="C4793" s="140" t="s">
        <v>12236</v>
      </c>
      <c r="D4793" s="140" t="s">
        <v>6718</v>
      </c>
      <c r="E4793" s="140" t="s">
        <v>748</v>
      </c>
      <c r="F4793" s="140" t="s">
        <v>748</v>
      </c>
      <c r="G4793" s="141" t="s">
        <v>6401</v>
      </c>
      <c r="H4793" s="140" t="s">
        <v>6312</v>
      </c>
      <c r="I4793" s="140" t="s">
        <v>6313</v>
      </c>
      <c r="J4793" s="140" t="s">
        <v>6319</v>
      </c>
      <c r="K4793" s="140" t="s">
        <v>1573</v>
      </c>
    </row>
    <row r="4794">
      <c r="A4794" s="140" t="s">
        <v>302</v>
      </c>
      <c r="B4794" s="143">
        <v>1.53557E12</v>
      </c>
      <c r="C4794" s="140" t="s">
        <v>12237</v>
      </c>
      <c r="D4794" s="140" t="s">
        <v>6718</v>
      </c>
      <c r="E4794" s="140" t="s">
        <v>748</v>
      </c>
      <c r="F4794" s="140" t="s">
        <v>748</v>
      </c>
      <c r="G4794" s="141" t="s">
        <v>6401</v>
      </c>
      <c r="H4794" s="140" t="s">
        <v>6312</v>
      </c>
      <c r="I4794" s="140" t="s">
        <v>6313</v>
      </c>
      <c r="J4794" s="140" t="s">
        <v>6319</v>
      </c>
      <c r="K4794" s="140" t="s">
        <v>1573</v>
      </c>
    </row>
    <row r="4795">
      <c r="A4795" s="140" t="s">
        <v>302</v>
      </c>
      <c r="B4795" s="143">
        <v>1.57912E12</v>
      </c>
      <c r="C4795" s="140" t="s">
        <v>12238</v>
      </c>
      <c r="D4795" s="140" t="s">
        <v>6718</v>
      </c>
      <c r="E4795" s="140" t="s">
        <v>748</v>
      </c>
      <c r="F4795" s="140" t="s">
        <v>748</v>
      </c>
      <c r="G4795" s="141" t="s">
        <v>6401</v>
      </c>
      <c r="H4795" s="140" t="s">
        <v>6312</v>
      </c>
      <c r="I4795" s="140" t="s">
        <v>6313</v>
      </c>
      <c r="J4795" s="140" t="s">
        <v>6319</v>
      </c>
      <c r="K4795" s="140" t="s">
        <v>1573</v>
      </c>
    </row>
    <row r="4796">
      <c r="A4796" s="140" t="s">
        <v>11471</v>
      </c>
      <c r="B4796" s="143">
        <v>1.60562E12</v>
      </c>
      <c r="C4796" s="140" t="s">
        <v>12239</v>
      </c>
      <c r="D4796" s="140" t="s">
        <v>6718</v>
      </c>
      <c r="E4796" s="140" t="s">
        <v>748</v>
      </c>
      <c r="F4796" s="140" t="s">
        <v>748</v>
      </c>
      <c r="G4796" s="141" t="s">
        <v>6401</v>
      </c>
      <c r="H4796" s="140" t="s">
        <v>6312</v>
      </c>
      <c r="I4796" s="140" t="s">
        <v>6313</v>
      </c>
      <c r="J4796" s="140" t="s">
        <v>6319</v>
      </c>
      <c r="K4796" s="140" t="s">
        <v>1573</v>
      </c>
    </row>
    <row r="4797">
      <c r="A4797" s="140" t="s">
        <v>302</v>
      </c>
      <c r="B4797" s="143">
        <v>1.57912E12</v>
      </c>
      <c r="C4797" s="140" t="s">
        <v>12240</v>
      </c>
      <c r="D4797" s="140" t="s">
        <v>6718</v>
      </c>
      <c r="E4797" s="140" t="s">
        <v>748</v>
      </c>
      <c r="F4797" s="140" t="s">
        <v>748</v>
      </c>
      <c r="G4797" s="141" t="s">
        <v>6401</v>
      </c>
      <c r="H4797" s="140" t="s">
        <v>6312</v>
      </c>
      <c r="I4797" s="140" t="s">
        <v>6313</v>
      </c>
      <c r="J4797" s="140" t="s">
        <v>6319</v>
      </c>
      <c r="K4797" s="140" t="s">
        <v>1573</v>
      </c>
    </row>
    <row r="4798">
      <c r="A4798" s="140" t="s">
        <v>302</v>
      </c>
      <c r="B4798" s="143">
        <v>1.60562E12</v>
      </c>
      <c r="C4798" s="140" t="s">
        <v>12241</v>
      </c>
      <c r="D4798" s="140" t="s">
        <v>6718</v>
      </c>
      <c r="E4798" s="140" t="s">
        <v>748</v>
      </c>
      <c r="F4798" s="140" t="s">
        <v>748</v>
      </c>
      <c r="G4798" s="141" t="s">
        <v>6401</v>
      </c>
      <c r="H4798" s="140" t="s">
        <v>6312</v>
      </c>
      <c r="I4798" s="140" t="s">
        <v>6313</v>
      </c>
      <c r="J4798" s="140" t="s">
        <v>6319</v>
      </c>
      <c r="K4798" s="140" t="s">
        <v>1573</v>
      </c>
    </row>
    <row r="4799">
      <c r="A4799" s="140" t="s">
        <v>302</v>
      </c>
      <c r="B4799" s="143">
        <v>1.60571E12</v>
      </c>
      <c r="C4799" s="140" t="s">
        <v>12242</v>
      </c>
      <c r="D4799" s="140" t="s">
        <v>6718</v>
      </c>
      <c r="E4799" s="140" t="s">
        <v>748</v>
      </c>
      <c r="F4799" s="140" t="s">
        <v>748</v>
      </c>
      <c r="G4799" s="141" t="s">
        <v>6401</v>
      </c>
      <c r="H4799" s="140" t="s">
        <v>6312</v>
      </c>
      <c r="I4799" s="140" t="s">
        <v>6313</v>
      </c>
      <c r="J4799" s="140" t="s">
        <v>6319</v>
      </c>
      <c r="K4799" s="140" t="s">
        <v>1573</v>
      </c>
    </row>
    <row r="4800">
      <c r="A4800" s="140" t="s">
        <v>302</v>
      </c>
      <c r="B4800" s="143">
        <v>1.60571E12</v>
      </c>
      <c r="C4800" s="140" t="s">
        <v>12243</v>
      </c>
      <c r="D4800" s="140" t="s">
        <v>6718</v>
      </c>
      <c r="E4800" s="140" t="s">
        <v>748</v>
      </c>
      <c r="F4800" s="140" t="s">
        <v>748</v>
      </c>
      <c r="G4800" s="141" t="s">
        <v>6401</v>
      </c>
      <c r="H4800" s="140" t="s">
        <v>6312</v>
      </c>
      <c r="I4800" s="140" t="s">
        <v>6313</v>
      </c>
      <c r="J4800" s="140" t="s">
        <v>6319</v>
      </c>
      <c r="K4800" s="140" t="s">
        <v>1573</v>
      </c>
    </row>
    <row r="4801">
      <c r="A4801" s="140" t="s">
        <v>302</v>
      </c>
      <c r="B4801" s="143">
        <v>1.60571E12</v>
      </c>
      <c r="C4801" s="140" t="s">
        <v>12244</v>
      </c>
      <c r="D4801" s="140" t="s">
        <v>6718</v>
      </c>
      <c r="E4801" s="140" t="s">
        <v>748</v>
      </c>
      <c r="F4801" s="140" t="s">
        <v>748</v>
      </c>
      <c r="G4801" s="141" t="s">
        <v>6401</v>
      </c>
      <c r="H4801" s="140" t="s">
        <v>6312</v>
      </c>
      <c r="I4801" s="140" t="s">
        <v>6313</v>
      </c>
      <c r="J4801" s="140" t="s">
        <v>6319</v>
      </c>
      <c r="K4801" s="140" t="s">
        <v>1573</v>
      </c>
    </row>
    <row r="4802">
      <c r="A4802" s="140" t="s">
        <v>302</v>
      </c>
      <c r="B4802" s="143">
        <v>1.6051E12</v>
      </c>
      <c r="C4802" s="140" t="s">
        <v>12245</v>
      </c>
      <c r="D4802" s="140" t="s">
        <v>6718</v>
      </c>
      <c r="E4802" s="140" t="s">
        <v>748</v>
      </c>
      <c r="F4802" s="140" t="s">
        <v>748</v>
      </c>
      <c r="G4802" s="141" t="s">
        <v>6401</v>
      </c>
      <c r="H4802" s="140" t="s">
        <v>6312</v>
      </c>
      <c r="I4802" s="140" t="s">
        <v>6313</v>
      </c>
      <c r="J4802" s="140" t="s">
        <v>6319</v>
      </c>
      <c r="K4802" s="140" t="s">
        <v>1573</v>
      </c>
    </row>
    <row r="4803">
      <c r="A4803" s="140" t="s">
        <v>302</v>
      </c>
      <c r="B4803" s="143">
        <v>1.60571E12</v>
      </c>
      <c r="C4803" s="140" t="s">
        <v>12246</v>
      </c>
      <c r="D4803" s="140" t="s">
        <v>6718</v>
      </c>
      <c r="E4803" s="140" t="s">
        <v>748</v>
      </c>
      <c r="F4803" s="140" t="s">
        <v>748</v>
      </c>
      <c r="G4803" s="141" t="s">
        <v>6401</v>
      </c>
      <c r="H4803" s="140" t="s">
        <v>6312</v>
      </c>
      <c r="I4803" s="140" t="s">
        <v>6313</v>
      </c>
      <c r="J4803" s="140" t="s">
        <v>6319</v>
      </c>
      <c r="K4803" s="140" t="s">
        <v>1573</v>
      </c>
    </row>
    <row r="4804">
      <c r="A4804" s="140" t="s">
        <v>302</v>
      </c>
      <c r="B4804" s="143">
        <v>1.60556E12</v>
      </c>
      <c r="C4804" s="140" t="s">
        <v>12247</v>
      </c>
      <c r="D4804" s="140" t="s">
        <v>6718</v>
      </c>
      <c r="E4804" s="140" t="s">
        <v>748</v>
      </c>
      <c r="F4804" s="140" t="s">
        <v>748</v>
      </c>
      <c r="G4804" s="141" t="s">
        <v>6401</v>
      </c>
      <c r="H4804" s="140" t="s">
        <v>6312</v>
      </c>
      <c r="I4804" s="140" t="s">
        <v>6313</v>
      </c>
      <c r="J4804" s="140" t="s">
        <v>6319</v>
      </c>
      <c r="K4804" s="140" t="s">
        <v>1573</v>
      </c>
    </row>
    <row r="4805">
      <c r="A4805" s="140" t="s">
        <v>302</v>
      </c>
      <c r="B4805" s="143">
        <v>1.60571E12</v>
      </c>
      <c r="C4805" s="140" t="s">
        <v>12248</v>
      </c>
      <c r="D4805" s="140" t="s">
        <v>6718</v>
      </c>
      <c r="E4805" s="140" t="s">
        <v>748</v>
      </c>
      <c r="F4805" s="140" t="s">
        <v>748</v>
      </c>
      <c r="G4805" s="141" t="s">
        <v>6401</v>
      </c>
      <c r="H4805" s="140" t="s">
        <v>6312</v>
      </c>
      <c r="I4805" s="140" t="s">
        <v>6313</v>
      </c>
      <c r="J4805" s="140" t="s">
        <v>6319</v>
      </c>
      <c r="K4805" s="140" t="s">
        <v>1573</v>
      </c>
    </row>
    <row r="4806">
      <c r="A4806" s="140" t="s">
        <v>302</v>
      </c>
      <c r="B4806" s="143">
        <v>1.57901E12</v>
      </c>
      <c r="C4806" s="140" t="s">
        <v>12249</v>
      </c>
      <c r="D4806" s="140" t="s">
        <v>6718</v>
      </c>
      <c r="E4806" s="140" t="s">
        <v>748</v>
      </c>
      <c r="F4806" s="140" t="s">
        <v>748</v>
      </c>
      <c r="G4806" s="141" t="s">
        <v>6401</v>
      </c>
      <c r="H4806" s="140" t="s">
        <v>6312</v>
      </c>
      <c r="I4806" s="140" t="s">
        <v>6313</v>
      </c>
      <c r="J4806" s="140" t="s">
        <v>6319</v>
      </c>
      <c r="K4806" s="140" t="s">
        <v>1573</v>
      </c>
    </row>
    <row r="4807">
      <c r="A4807" s="140" t="s">
        <v>302</v>
      </c>
      <c r="B4807" s="143">
        <v>1.58196E12</v>
      </c>
      <c r="C4807" s="140" t="s">
        <v>12250</v>
      </c>
      <c r="D4807" s="140" t="s">
        <v>6718</v>
      </c>
      <c r="E4807" s="140" t="s">
        <v>748</v>
      </c>
      <c r="F4807" s="140" t="s">
        <v>748</v>
      </c>
      <c r="G4807" s="141" t="s">
        <v>6401</v>
      </c>
      <c r="H4807" s="140" t="s">
        <v>6312</v>
      </c>
      <c r="I4807" s="140" t="s">
        <v>6313</v>
      </c>
      <c r="J4807" s="140" t="s">
        <v>6319</v>
      </c>
      <c r="K4807" s="140" t="s">
        <v>1573</v>
      </c>
    </row>
    <row r="4808">
      <c r="A4808" s="140" t="s">
        <v>302</v>
      </c>
      <c r="B4808" s="143">
        <v>1.58196E12</v>
      </c>
      <c r="C4808" s="140" t="s">
        <v>12251</v>
      </c>
      <c r="D4808" s="140" t="s">
        <v>6718</v>
      </c>
      <c r="E4808" s="140" t="s">
        <v>748</v>
      </c>
      <c r="F4808" s="140" t="s">
        <v>748</v>
      </c>
      <c r="G4808" s="141" t="s">
        <v>6401</v>
      </c>
      <c r="H4808" s="140" t="s">
        <v>6312</v>
      </c>
      <c r="I4808" s="140" t="s">
        <v>6313</v>
      </c>
      <c r="J4808" s="140" t="s">
        <v>6319</v>
      </c>
      <c r="K4808" s="140" t="s">
        <v>1573</v>
      </c>
    </row>
    <row r="4809">
      <c r="A4809" s="140" t="s">
        <v>302</v>
      </c>
      <c r="B4809" s="143">
        <v>1.60433E12</v>
      </c>
      <c r="C4809" s="140" t="s">
        <v>12252</v>
      </c>
      <c r="D4809" s="140" t="s">
        <v>6718</v>
      </c>
      <c r="E4809" s="140" t="s">
        <v>748</v>
      </c>
      <c r="F4809" s="140" t="s">
        <v>748</v>
      </c>
      <c r="G4809" s="141" t="s">
        <v>6401</v>
      </c>
      <c r="H4809" s="140" t="s">
        <v>6312</v>
      </c>
      <c r="I4809" s="140" t="s">
        <v>6313</v>
      </c>
      <c r="J4809" s="140" t="s">
        <v>6319</v>
      </c>
      <c r="K4809" s="140" t="s">
        <v>1573</v>
      </c>
    </row>
    <row r="4810">
      <c r="A4810" s="140" t="s">
        <v>302</v>
      </c>
      <c r="B4810" s="143">
        <v>1.60562E12</v>
      </c>
      <c r="C4810" s="140" t="s">
        <v>12253</v>
      </c>
      <c r="D4810" s="140" t="s">
        <v>6718</v>
      </c>
      <c r="E4810" s="140" t="s">
        <v>748</v>
      </c>
      <c r="F4810" s="140" t="s">
        <v>748</v>
      </c>
      <c r="G4810" s="141" t="s">
        <v>6401</v>
      </c>
      <c r="H4810" s="140" t="s">
        <v>6312</v>
      </c>
      <c r="I4810" s="140" t="s">
        <v>6313</v>
      </c>
      <c r="J4810" s="140" t="s">
        <v>6319</v>
      </c>
      <c r="K4810" s="140" t="s">
        <v>1573</v>
      </c>
    </row>
    <row r="4811">
      <c r="A4811" s="140" t="s">
        <v>302</v>
      </c>
      <c r="B4811" s="143">
        <v>1.60562E12</v>
      </c>
      <c r="C4811" s="140" t="s">
        <v>12254</v>
      </c>
      <c r="D4811" s="140" t="s">
        <v>6718</v>
      </c>
      <c r="E4811" s="140" t="s">
        <v>748</v>
      </c>
      <c r="F4811" s="140" t="s">
        <v>748</v>
      </c>
      <c r="G4811" s="141" t="s">
        <v>6401</v>
      </c>
      <c r="H4811" s="140" t="s">
        <v>6312</v>
      </c>
      <c r="I4811" s="140" t="s">
        <v>6313</v>
      </c>
      <c r="J4811" s="140" t="s">
        <v>6319</v>
      </c>
      <c r="K4811" s="140" t="s">
        <v>1573</v>
      </c>
    </row>
    <row r="4812">
      <c r="A4812" s="140" t="s">
        <v>302</v>
      </c>
      <c r="B4812" s="143">
        <v>1.58196E12</v>
      </c>
      <c r="C4812" s="140" t="s">
        <v>12255</v>
      </c>
      <c r="D4812" s="140" t="s">
        <v>6718</v>
      </c>
      <c r="E4812" s="140" t="s">
        <v>748</v>
      </c>
      <c r="F4812" s="140" t="s">
        <v>748</v>
      </c>
      <c r="G4812" s="141" t="s">
        <v>6401</v>
      </c>
      <c r="H4812" s="140" t="s">
        <v>6312</v>
      </c>
      <c r="I4812" s="140" t="s">
        <v>6313</v>
      </c>
      <c r="J4812" s="140" t="s">
        <v>6319</v>
      </c>
      <c r="K4812" s="140" t="s">
        <v>1573</v>
      </c>
    </row>
    <row r="4813">
      <c r="A4813" s="140" t="s">
        <v>302</v>
      </c>
      <c r="B4813" s="143">
        <v>1.60562E12</v>
      </c>
      <c r="C4813" s="140" t="s">
        <v>12256</v>
      </c>
      <c r="D4813" s="140" t="s">
        <v>6718</v>
      </c>
      <c r="E4813" s="140" t="s">
        <v>748</v>
      </c>
      <c r="F4813" s="140" t="s">
        <v>748</v>
      </c>
      <c r="G4813" s="141" t="s">
        <v>6401</v>
      </c>
      <c r="H4813" s="140" t="s">
        <v>6312</v>
      </c>
      <c r="I4813" s="140" t="s">
        <v>6313</v>
      </c>
      <c r="J4813" s="140" t="s">
        <v>6319</v>
      </c>
      <c r="K4813" s="140" t="s">
        <v>1573</v>
      </c>
    </row>
    <row r="4814">
      <c r="A4814" s="140" t="s">
        <v>302</v>
      </c>
      <c r="B4814" s="143">
        <v>1.58196E12</v>
      </c>
      <c r="C4814" s="140" t="s">
        <v>12257</v>
      </c>
      <c r="D4814" s="140" t="s">
        <v>6718</v>
      </c>
      <c r="E4814" s="140" t="s">
        <v>748</v>
      </c>
      <c r="F4814" s="140" t="s">
        <v>748</v>
      </c>
      <c r="G4814" s="141" t="s">
        <v>6401</v>
      </c>
      <c r="H4814" s="140" t="s">
        <v>6312</v>
      </c>
      <c r="I4814" s="140" t="s">
        <v>6313</v>
      </c>
      <c r="J4814" s="140" t="s">
        <v>6319</v>
      </c>
      <c r="K4814" s="140" t="s">
        <v>1573</v>
      </c>
    </row>
    <row r="4815">
      <c r="A4815" s="140" t="s">
        <v>302</v>
      </c>
      <c r="B4815" s="143">
        <v>1.58196E12</v>
      </c>
      <c r="C4815" s="140" t="s">
        <v>12258</v>
      </c>
      <c r="D4815" s="140" t="s">
        <v>6718</v>
      </c>
      <c r="E4815" s="140" t="s">
        <v>748</v>
      </c>
      <c r="F4815" s="140" t="s">
        <v>748</v>
      </c>
      <c r="G4815" s="141" t="s">
        <v>6401</v>
      </c>
      <c r="H4815" s="140" t="s">
        <v>6312</v>
      </c>
      <c r="I4815" s="140" t="s">
        <v>6313</v>
      </c>
      <c r="J4815" s="140" t="s">
        <v>6319</v>
      </c>
      <c r="K4815" s="140" t="s">
        <v>1573</v>
      </c>
    </row>
    <row r="4816">
      <c r="A4816" s="140" t="s">
        <v>302</v>
      </c>
      <c r="B4816" s="143">
        <v>1.57912E12</v>
      </c>
      <c r="C4816" s="140" t="s">
        <v>12259</v>
      </c>
      <c r="D4816" s="140" t="s">
        <v>6718</v>
      </c>
      <c r="E4816" s="140" t="s">
        <v>748</v>
      </c>
      <c r="F4816" s="140" t="s">
        <v>748</v>
      </c>
      <c r="G4816" s="141" t="s">
        <v>6401</v>
      </c>
      <c r="H4816" s="140" t="s">
        <v>6312</v>
      </c>
      <c r="I4816" s="140" t="s">
        <v>6313</v>
      </c>
      <c r="J4816" s="140" t="s">
        <v>6319</v>
      </c>
      <c r="K4816" s="140" t="s">
        <v>1573</v>
      </c>
    </row>
    <row r="4817">
      <c r="A4817" s="140" t="s">
        <v>302</v>
      </c>
      <c r="B4817" s="143">
        <v>1.57418E12</v>
      </c>
      <c r="C4817" s="140" t="s">
        <v>12260</v>
      </c>
      <c r="D4817" s="140" t="s">
        <v>6718</v>
      </c>
      <c r="E4817" s="140" t="s">
        <v>748</v>
      </c>
      <c r="F4817" s="140" t="s">
        <v>748</v>
      </c>
      <c r="G4817" s="141" t="s">
        <v>6401</v>
      </c>
      <c r="H4817" s="140" t="s">
        <v>6312</v>
      </c>
      <c r="I4817" s="140" t="s">
        <v>6313</v>
      </c>
      <c r="J4817" s="140" t="s">
        <v>6319</v>
      </c>
      <c r="K4817" s="140" t="s">
        <v>1573</v>
      </c>
    </row>
    <row r="4818">
      <c r="A4818" s="140" t="s">
        <v>302</v>
      </c>
      <c r="B4818" s="143">
        <v>1.63604E12</v>
      </c>
      <c r="C4818" s="140" t="s">
        <v>12261</v>
      </c>
      <c r="D4818" s="140" t="s">
        <v>6718</v>
      </c>
      <c r="E4818" s="140" t="s">
        <v>748</v>
      </c>
      <c r="F4818" s="140" t="s">
        <v>748</v>
      </c>
      <c r="G4818" s="141" t="s">
        <v>6401</v>
      </c>
      <c r="H4818" s="140" t="s">
        <v>6312</v>
      </c>
      <c r="I4818" s="140" t="s">
        <v>6313</v>
      </c>
      <c r="J4818" s="140" t="s">
        <v>6319</v>
      </c>
      <c r="K4818" s="140" t="s">
        <v>1573</v>
      </c>
    </row>
    <row r="4819">
      <c r="A4819" s="140" t="s">
        <v>302</v>
      </c>
      <c r="B4819" s="143">
        <v>1.60859E12</v>
      </c>
      <c r="C4819" s="140" t="s">
        <v>12262</v>
      </c>
      <c r="D4819" s="140" t="s">
        <v>6718</v>
      </c>
      <c r="E4819" s="140" t="s">
        <v>748</v>
      </c>
      <c r="F4819" s="140" t="s">
        <v>748</v>
      </c>
      <c r="G4819" s="141" t="s">
        <v>6401</v>
      </c>
      <c r="H4819" s="140" t="s">
        <v>6312</v>
      </c>
      <c r="I4819" s="140" t="s">
        <v>6313</v>
      </c>
      <c r="J4819" s="140" t="s">
        <v>6319</v>
      </c>
      <c r="K4819" s="140" t="s">
        <v>1573</v>
      </c>
    </row>
    <row r="4820">
      <c r="A4820" s="140" t="s">
        <v>302</v>
      </c>
      <c r="B4820" s="143">
        <v>1.60859E12</v>
      </c>
      <c r="C4820" s="140" t="s">
        <v>12263</v>
      </c>
      <c r="D4820" s="140" t="s">
        <v>6718</v>
      </c>
      <c r="E4820" s="140" t="s">
        <v>748</v>
      </c>
      <c r="F4820" s="140" t="s">
        <v>748</v>
      </c>
      <c r="G4820" s="141" t="s">
        <v>6401</v>
      </c>
      <c r="H4820" s="140" t="s">
        <v>6312</v>
      </c>
      <c r="I4820" s="140" t="s">
        <v>6313</v>
      </c>
      <c r="J4820" s="140" t="s">
        <v>6319</v>
      </c>
      <c r="K4820" s="140" t="s">
        <v>1573</v>
      </c>
    </row>
    <row r="4821">
      <c r="A4821" s="140" t="s">
        <v>302</v>
      </c>
      <c r="B4821" s="143">
        <v>1.60755E12</v>
      </c>
      <c r="C4821" s="140" t="s">
        <v>12264</v>
      </c>
      <c r="D4821" s="140" t="s">
        <v>6718</v>
      </c>
      <c r="E4821" s="140" t="s">
        <v>748</v>
      </c>
      <c r="F4821" s="140" t="s">
        <v>748</v>
      </c>
      <c r="G4821" s="141" t="s">
        <v>6401</v>
      </c>
      <c r="H4821" s="140" t="s">
        <v>6312</v>
      </c>
      <c r="I4821" s="140" t="s">
        <v>6313</v>
      </c>
      <c r="J4821" s="140" t="s">
        <v>6319</v>
      </c>
      <c r="K4821" s="140" t="s">
        <v>1573</v>
      </c>
    </row>
    <row r="4822">
      <c r="A4822" s="140" t="s">
        <v>302</v>
      </c>
      <c r="B4822" s="143">
        <v>1.60859E12</v>
      </c>
      <c r="C4822" s="140" t="s">
        <v>12265</v>
      </c>
      <c r="D4822" s="140" t="s">
        <v>6718</v>
      </c>
      <c r="E4822" s="140" t="s">
        <v>748</v>
      </c>
      <c r="F4822" s="140" t="s">
        <v>748</v>
      </c>
      <c r="G4822" s="141" t="s">
        <v>6401</v>
      </c>
      <c r="H4822" s="140" t="s">
        <v>6312</v>
      </c>
      <c r="I4822" s="140" t="s">
        <v>6313</v>
      </c>
      <c r="J4822" s="140" t="s">
        <v>6319</v>
      </c>
      <c r="K4822" s="140" t="s">
        <v>1573</v>
      </c>
    </row>
    <row r="4823">
      <c r="A4823" s="140" t="s">
        <v>302</v>
      </c>
      <c r="B4823" s="143">
        <v>1.60859E12</v>
      </c>
      <c r="C4823" s="140" t="s">
        <v>12266</v>
      </c>
      <c r="D4823" s="140" t="s">
        <v>6718</v>
      </c>
      <c r="E4823" s="140" t="s">
        <v>748</v>
      </c>
      <c r="F4823" s="140" t="s">
        <v>748</v>
      </c>
      <c r="G4823" s="141" t="s">
        <v>6401</v>
      </c>
      <c r="H4823" s="140" t="s">
        <v>6312</v>
      </c>
      <c r="I4823" s="140" t="s">
        <v>6313</v>
      </c>
      <c r="J4823" s="140" t="s">
        <v>6319</v>
      </c>
      <c r="K4823" s="140" t="s">
        <v>1573</v>
      </c>
    </row>
    <row r="4824">
      <c r="A4824" s="140" t="s">
        <v>302</v>
      </c>
      <c r="B4824" s="143">
        <v>1.60859E12</v>
      </c>
      <c r="C4824" s="140" t="s">
        <v>12267</v>
      </c>
      <c r="D4824" s="140" t="s">
        <v>6718</v>
      </c>
      <c r="E4824" s="140" t="s">
        <v>748</v>
      </c>
      <c r="F4824" s="140" t="s">
        <v>748</v>
      </c>
      <c r="G4824" s="141" t="s">
        <v>6401</v>
      </c>
      <c r="H4824" s="140" t="s">
        <v>6312</v>
      </c>
      <c r="I4824" s="140" t="s">
        <v>6313</v>
      </c>
      <c r="J4824" s="140" t="s">
        <v>6319</v>
      </c>
      <c r="K4824" s="140" t="s">
        <v>1573</v>
      </c>
    </row>
    <row r="4825">
      <c r="A4825" s="140" t="s">
        <v>302</v>
      </c>
      <c r="B4825" s="143">
        <v>1.60755E12</v>
      </c>
      <c r="C4825" s="140" t="s">
        <v>12268</v>
      </c>
      <c r="D4825" s="140" t="s">
        <v>6718</v>
      </c>
      <c r="E4825" s="140" t="s">
        <v>748</v>
      </c>
      <c r="F4825" s="140" t="s">
        <v>748</v>
      </c>
      <c r="G4825" s="141" t="s">
        <v>6401</v>
      </c>
      <c r="H4825" s="140" t="s">
        <v>6312</v>
      </c>
      <c r="I4825" s="140" t="s">
        <v>6313</v>
      </c>
      <c r="J4825" s="140" t="s">
        <v>6319</v>
      </c>
      <c r="K4825" s="140" t="s">
        <v>1573</v>
      </c>
    </row>
    <row r="4826">
      <c r="A4826" s="140" t="s">
        <v>302</v>
      </c>
      <c r="B4826" s="143">
        <v>1.63612E12</v>
      </c>
      <c r="C4826" s="140" t="s">
        <v>12269</v>
      </c>
      <c r="D4826" s="140" t="s">
        <v>6718</v>
      </c>
      <c r="E4826" s="140" t="s">
        <v>748</v>
      </c>
      <c r="F4826" s="140" t="s">
        <v>748</v>
      </c>
      <c r="G4826" s="141" t="s">
        <v>6401</v>
      </c>
      <c r="H4826" s="140" t="s">
        <v>6312</v>
      </c>
      <c r="I4826" s="140" t="s">
        <v>6313</v>
      </c>
      <c r="J4826" s="140" t="s">
        <v>6319</v>
      </c>
      <c r="K4826" s="140" t="s">
        <v>1573</v>
      </c>
    </row>
    <row r="4827">
      <c r="A4827" s="140" t="s">
        <v>302</v>
      </c>
      <c r="B4827" s="143">
        <v>1.60859E12</v>
      </c>
      <c r="C4827" s="140" t="s">
        <v>12270</v>
      </c>
      <c r="D4827" s="140" t="s">
        <v>6718</v>
      </c>
      <c r="E4827" s="140" t="s">
        <v>748</v>
      </c>
      <c r="F4827" s="140" t="s">
        <v>748</v>
      </c>
      <c r="G4827" s="141" t="s">
        <v>6401</v>
      </c>
      <c r="H4827" s="140" t="s">
        <v>6312</v>
      </c>
      <c r="I4827" s="140" t="s">
        <v>6313</v>
      </c>
      <c r="J4827" s="140" t="s">
        <v>6319</v>
      </c>
      <c r="K4827" s="140" t="s">
        <v>1573</v>
      </c>
    </row>
    <row r="4828">
      <c r="A4828" s="140" t="s">
        <v>302</v>
      </c>
      <c r="B4828" s="143">
        <v>1.60859E12</v>
      </c>
      <c r="C4828" s="140" t="s">
        <v>12271</v>
      </c>
      <c r="D4828" s="140" t="s">
        <v>6718</v>
      </c>
      <c r="E4828" s="140" t="s">
        <v>748</v>
      </c>
      <c r="F4828" s="140" t="s">
        <v>748</v>
      </c>
      <c r="G4828" s="141" t="s">
        <v>6401</v>
      </c>
      <c r="H4828" s="140" t="s">
        <v>6312</v>
      </c>
      <c r="I4828" s="140" t="s">
        <v>6313</v>
      </c>
      <c r="J4828" s="140" t="s">
        <v>6319</v>
      </c>
      <c r="K4828" s="140" t="s">
        <v>1573</v>
      </c>
    </row>
    <row r="4829">
      <c r="A4829" s="140" t="s">
        <v>302</v>
      </c>
      <c r="B4829" s="140" t="s">
        <v>12272</v>
      </c>
      <c r="C4829" s="140" t="s">
        <v>12273</v>
      </c>
      <c r="D4829" s="140" t="s">
        <v>6718</v>
      </c>
      <c r="E4829" s="140" t="s">
        <v>748</v>
      </c>
      <c r="F4829" s="140" t="s">
        <v>748</v>
      </c>
      <c r="G4829" s="141" t="s">
        <v>6401</v>
      </c>
      <c r="H4829" s="140" t="s">
        <v>6312</v>
      </c>
      <c r="I4829" s="140" t="s">
        <v>6313</v>
      </c>
      <c r="J4829" s="140" t="s">
        <v>6319</v>
      </c>
      <c r="K4829" s="140" t="s">
        <v>1573</v>
      </c>
    </row>
    <row r="4830">
      <c r="A4830" s="140" t="s">
        <v>302</v>
      </c>
      <c r="B4830" s="140" t="s">
        <v>12274</v>
      </c>
      <c r="C4830" s="140" t="s">
        <v>12275</v>
      </c>
      <c r="D4830" s="140" t="s">
        <v>6718</v>
      </c>
      <c r="E4830" s="140" t="s">
        <v>748</v>
      </c>
      <c r="F4830" s="140" t="s">
        <v>748</v>
      </c>
      <c r="G4830" s="141" t="s">
        <v>6401</v>
      </c>
      <c r="H4830" s="140" t="s">
        <v>6312</v>
      </c>
      <c r="I4830" s="140" t="s">
        <v>6313</v>
      </c>
      <c r="J4830" s="140" t="s">
        <v>6319</v>
      </c>
      <c r="K4830" s="140" t="s">
        <v>1573</v>
      </c>
    </row>
    <row r="4831">
      <c r="A4831" s="140" t="s">
        <v>302</v>
      </c>
      <c r="B4831" s="143">
        <v>1.60203E12</v>
      </c>
      <c r="C4831" s="140" t="s">
        <v>12276</v>
      </c>
      <c r="D4831" s="140" t="s">
        <v>6718</v>
      </c>
      <c r="E4831" s="140" t="s">
        <v>748</v>
      </c>
      <c r="F4831" s="140" t="s">
        <v>748</v>
      </c>
      <c r="G4831" s="141" t="s">
        <v>6401</v>
      </c>
      <c r="H4831" s="140" t="s">
        <v>6312</v>
      </c>
      <c r="I4831" s="140" t="s">
        <v>6313</v>
      </c>
      <c r="J4831" s="140" t="s">
        <v>6319</v>
      </c>
      <c r="K4831" s="140" t="s">
        <v>1573</v>
      </c>
    </row>
    <row r="4832">
      <c r="A4832" s="140" t="s">
        <v>302</v>
      </c>
      <c r="B4832" s="143">
        <v>1.62152E12</v>
      </c>
      <c r="C4832" s="140" t="s">
        <v>12277</v>
      </c>
      <c r="D4832" s="140" t="s">
        <v>6718</v>
      </c>
      <c r="E4832" s="140" t="s">
        <v>748</v>
      </c>
      <c r="F4832" s="140" t="s">
        <v>748</v>
      </c>
      <c r="G4832" s="141" t="s">
        <v>6401</v>
      </c>
      <c r="H4832" s="140" t="s">
        <v>6312</v>
      </c>
      <c r="I4832" s="140" t="s">
        <v>6313</v>
      </c>
      <c r="J4832" s="140" t="s">
        <v>6319</v>
      </c>
      <c r="K4832" s="140" t="s">
        <v>1573</v>
      </c>
    </row>
    <row r="4833">
      <c r="A4833" s="140" t="s">
        <v>302</v>
      </c>
      <c r="B4833" s="143">
        <v>1.62152E12</v>
      </c>
      <c r="C4833" s="140" t="s">
        <v>12278</v>
      </c>
      <c r="D4833" s="140" t="s">
        <v>6718</v>
      </c>
      <c r="E4833" s="140" t="s">
        <v>748</v>
      </c>
      <c r="F4833" s="140" t="s">
        <v>748</v>
      </c>
      <c r="G4833" s="141" t="s">
        <v>6401</v>
      </c>
      <c r="H4833" s="140" t="s">
        <v>6312</v>
      </c>
      <c r="I4833" s="140" t="s">
        <v>6313</v>
      </c>
      <c r="J4833" s="140" t="s">
        <v>6319</v>
      </c>
      <c r="K4833" s="140" t="s">
        <v>1573</v>
      </c>
    </row>
    <row r="4834">
      <c r="A4834" s="140" t="s">
        <v>302</v>
      </c>
      <c r="B4834" s="143">
        <v>1.62152E12</v>
      </c>
      <c r="C4834" s="140" t="s">
        <v>12279</v>
      </c>
      <c r="D4834" s="140" t="s">
        <v>6718</v>
      </c>
      <c r="E4834" s="140" t="s">
        <v>748</v>
      </c>
      <c r="F4834" s="140" t="s">
        <v>748</v>
      </c>
      <c r="G4834" s="141" t="s">
        <v>6401</v>
      </c>
      <c r="H4834" s="140" t="s">
        <v>6312</v>
      </c>
      <c r="I4834" s="140" t="s">
        <v>6313</v>
      </c>
      <c r="J4834" s="140" t="s">
        <v>6319</v>
      </c>
      <c r="K4834" s="140" t="s">
        <v>1573</v>
      </c>
    </row>
    <row r="4835">
      <c r="A4835" s="140" t="s">
        <v>302</v>
      </c>
      <c r="B4835" s="143">
        <v>1.62152E12</v>
      </c>
      <c r="C4835" s="140" t="s">
        <v>12280</v>
      </c>
      <c r="D4835" s="140" t="s">
        <v>6718</v>
      </c>
      <c r="E4835" s="140" t="s">
        <v>748</v>
      </c>
      <c r="F4835" s="140" t="s">
        <v>748</v>
      </c>
      <c r="G4835" s="141" t="s">
        <v>6401</v>
      </c>
      <c r="H4835" s="140" t="s">
        <v>6312</v>
      </c>
      <c r="I4835" s="140" t="s">
        <v>6313</v>
      </c>
      <c r="J4835" s="140" t="s">
        <v>6319</v>
      </c>
      <c r="K4835" s="140" t="s">
        <v>1573</v>
      </c>
    </row>
    <row r="4836">
      <c r="A4836" s="140" t="s">
        <v>302</v>
      </c>
      <c r="B4836" s="140" t="s">
        <v>12281</v>
      </c>
      <c r="C4836" s="140" t="s">
        <v>12282</v>
      </c>
      <c r="D4836" s="140" t="s">
        <v>6718</v>
      </c>
      <c r="E4836" s="140" t="s">
        <v>748</v>
      </c>
      <c r="F4836" s="140" t="s">
        <v>748</v>
      </c>
      <c r="G4836" s="141" t="s">
        <v>6401</v>
      </c>
      <c r="H4836" s="140" t="s">
        <v>6312</v>
      </c>
      <c r="I4836" s="140" t="s">
        <v>6313</v>
      </c>
      <c r="J4836" s="140" t="s">
        <v>6319</v>
      </c>
      <c r="K4836" s="140" t="s">
        <v>1573</v>
      </c>
    </row>
    <row r="4837">
      <c r="A4837" s="140" t="s">
        <v>302</v>
      </c>
      <c r="B4837" s="140" t="s">
        <v>12283</v>
      </c>
      <c r="C4837" s="140" t="s">
        <v>12284</v>
      </c>
      <c r="D4837" s="140" t="s">
        <v>6718</v>
      </c>
      <c r="E4837" s="140" t="s">
        <v>748</v>
      </c>
      <c r="F4837" s="140" t="s">
        <v>748</v>
      </c>
      <c r="G4837" s="141" t="s">
        <v>6304</v>
      </c>
      <c r="H4837" s="140" t="s">
        <v>6312</v>
      </c>
      <c r="I4837" s="140" t="s">
        <v>6527</v>
      </c>
      <c r="J4837" s="140" t="s">
        <v>6319</v>
      </c>
      <c r="K4837" s="140" t="s">
        <v>1573</v>
      </c>
    </row>
    <row r="4838">
      <c r="A4838" s="140" t="s">
        <v>302</v>
      </c>
      <c r="B4838" s="143">
        <v>1.63909E12</v>
      </c>
      <c r="C4838" s="140" t="s">
        <v>12285</v>
      </c>
      <c r="D4838" s="140" t="s">
        <v>6718</v>
      </c>
      <c r="E4838" s="140" t="s">
        <v>748</v>
      </c>
      <c r="F4838" s="140" t="s">
        <v>748</v>
      </c>
      <c r="G4838" s="141" t="s">
        <v>6401</v>
      </c>
      <c r="H4838" s="140" t="s">
        <v>6312</v>
      </c>
      <c r="I4838" s="140" t="s">
        <v>6313</v>
      </c>
      <c r="J4838" s="140" t="s">
        <v>6319</v>
      </c>
      <c r="K4838" s="140" t="s">
        <v>1573</v>
      </c>
    </row>
    <row r="4839">
      <c r="A4839" s="140" t="s">
        <v>302</v>
      </c>
      <c r="B4839" s="140" t="s">
        <v>12286</v>
      </c>
      <c r="C4839" s="140" t="s">
        <v>12287</v>
      </c>
      <c r="D4839" s="140" t="s">
        <v>6718</v>
      </c>
      <c r="E4839" s="140" t="s">
        <v>748</v>
      </c>
      <c r="F4839" s="140" t="s">
        <v>748</v>
      </c>
      <c r="G4839" s="141" t="s">
        <v>6401</v>
      </c>
      <c r="H4839" s="140" t="s">
        <v>6312</v>
      </c>
      <c r="I4839" s="140" t="s">
        <v>6313</v>
      </c>
      <c r="J4839" s="140" t="s">
        <v>6319</v>
      </c>
      <c r="K4839" s="140" t="s">
        <v>1573</v>
      </c>
    </row>
    <row r="4840">
      <c r="A4840" s="140" t="s">
        <v>302</v>
      </c>
      <c r="B4840" s="140" t="s">
        <v>12288</v>
      </c>
      <c r="C4840" s="140" t="s">
        <v>12289</v>
      </c>
      <c r="D4840" s="140" t="s">
        <v>6718</v>
      </c>
      <c r="E4840" s="140" t="s">
        <v>748</v>
      </c>
      <c r="F4840" s="140" t="s">
        <v>748</v>
      </c>
      <c r="G4840" s="141" t="s">
        <v>6401</v>
      </c>
      <c r="H4840" s="140" t="s">
        <v>6312</v>
      </c>
      <c r="I4840" s="140" t="s">
        <v>6313</v>
      </c>
      <c r="J4840" s="140" t="s">
        <v>6319</v>
      </c>
      <c r="K4840" s="140" t="s">
        <v>1573</v>
      </c>
    </row>
    <row r="4841">
      <c r="A4841" s="140" t="s">
        <v>302</v>
      </c>
      <c r="B4841" s="143">
        <v>1.59709E12</v>
      </c>
      <c r="C4841" s="140" t="s">
        <v>12290</v>
      </c>
      <c r="D4841" s="140" t="s">
        <v>6718</v>
      </c>
      <c r="E4841" s="140" t="s">
        <v>748</v>
      </c>
      <c r="F4841" s="140" t="s">
        <v>748</v>
      </c>
      <c r="G4841" s="141" t="s">
        <v>6401</v>
      </c>
      <c r="H4841" s="140" t="s">
        <v>6312</v>
      </c>
      <c r="I4841" s="140" t="s">
        <v>6313</v>
      </c>
      <c r="J4841" s="140" t="s">
        <v>6319</v>
      </c>
      <c r="K4841" s="140" t="s">
        <v>1573</v>
      </c>
    </row>
    <row r="4842">
      <c r="A4842" s="140" t="s">
        <v>302</v>
      </c>
      <c r="B4842" s="143">
        <v>1.59709E12</v>
      </c>
      <c r="C4842" s="140" t="s">
        <v>12291</v>
      </c>
      <c r="D4842" s="140" t="s">
        <v>6718</v>
      </c>
      <c r="E4842" s="140" t="s">
        <v>748</v>
      </c>
      <c r="F4842" s="140" t="s">
        <v>748</v>
      </c>
      <c r="G4842" s="141" t="s">
        <v>6401</v>
      </c>
      <c r="H4842" s="140" t="s">
        <v>6312</v>
      </c>
      <c r="I4842" s="140" t="s">
        <v>6313</v>
      </c>
      <c r="J4842" s="140" t="s">
        <v>6319</v>
      </c>
      <c r="K4842" s="140" t="s">
        <v>1573</v>
      </c>
    </row>
    <row r="4843">
      <c r="A4843" s="140" t="s">
        <v>11471</v>
      </c>
      <c r="B4843" s="143">
        <v>1.59709E12</v>
      </c>
      <c r="C4843" s="140" t="s">
        <v>12292</v>
      </c>
      <c r="D4843" s="140" t="s">
        <v>6718</v>
      </c>
      <c r="E4843" s="140" t="s">
        <v>748</v>
      </c>
      <c r="F4843" s="140" t="s">
        <v>748</v>
      </c>
      <c r="G4843" s="141" t="s">
        <v>6401</v>
      </c>
      <c r="H4843" s="140" t="s">
        <v>6312</v>
      </c>
      <c r="I4843" s="140" t="s">
        <v>6313</v>
      </c>
      <c r="J4843" s="140" t="s">
        <v>6319</v>
      </c>
      <c r="K4843" s="140" t="s">
        <v>1573</v>
      </c>
    </row>
    <row r="4844">
      <c r="A4844" s="140" t="s">
        <v>11471</v>
      </c>
      <c r="B4844" s="143">
        <v>1.60203E12</v>
      </c>
      <c r="C4844" s="140" t="s">
        <v>12293</v>
      </c>
      <c r="D4844" s="140" t="s">
        <v>6718</v>
      </c>
      <c r="E4844" s="140" t="s">
        <v>748</v>
      </c>
      <c r="F4844" s="140" t="s">
        <v>748</v>
      </c>
      <c r="G4844" s="141" t="s">
        <v>6401</v>
      </c>
      <c r="H4844" s="140" t="s">
        <v>6312</v>
      </c>
      <c r="I4844" s="140" t="s">
        <v>6313</v>
      </c>
      <c r="J4844" s="140" t="s">
        <v>6319</v>
      </c>
      <c r="K4844" s="140" t="s">
        <v>1573</v>
      </c>
    </row>
    <row r="4845">
      <c r="A4845" s="140" t="s">
        <v>302</v>
      </c>
      <c r="B4845" s="143">
        <v>1.62152E12</v>
      </c>
      <c r="C4845" s="140" t="s">
        <v>12294</v>
      </c>
      <c r="D4845" s="140" t="s">
        <v>6718</v>
      </c>
      <c r="E4845" s="140" t="s">
        <v>748</v>
      </c>
      <c r="F4845" s="140" t="s">
        <v>748</v>
      </c>
      <c r="G4845" s="141" t="s">
        <v>6401</v>
      </c>
      <c r="H4845" s="140" t="s">
        <v>6312</v>
      </c>
      <c r="I4845" s="140" t="s">
        <v>6313</v>
      </c>
      <c r="J4845" s="140" t="s">
        <v>6319</v>
      </c>
      <c r="K4845" s="140" t="s">
        <v>1573</v>
      </c>
    </row>
    <row r="4846">
      <c r="A4846" s="140" t="s">
        <v>302</v>
      </c>
      <c r="B4846" s="143">
        <v>1.60623E12</v>
      </c>
      <c r="C4846" s="140" t="s">
        <v>12295</v>
      </c>
      <c r="D4846" s="140" t="s">
        <v>6718</v>
      </c>
      <c r="E4846" s="140" t="s">
        <v>748</v>
      </c>
      <c r="F4846" s="140" t="s">
        <v>748</v>
      </c>
      <c r="G4846" s="141" t="s">
        <v>6401</v>
      </c>
      <c r="H4846" s="140" t="s">
        <v>6312</v>
      </c>
      <c r="I4846" s="140" t="s">
        <v>6313</v>
      </c>
      <c r="J4846" s="140" t="s">
        <v>6319</v>
      </c>
      <c r="K4846" s="140" t="s">
        <v>1573</v>
      </c>
    </row>
    <row r="4847">
      <c r="A4847" s="140" t="s">
        <v>302</v>
      </c>
      <c r="B4847" s="143">
        <v>1.60623E12</v>
      </c>
      <c r="C4847" s="140" t="s">
        <v>12296</v>
      </c>
      <c r="D4847" s="140" t="s">
        <v>6718</v>
      </c>
      <c r="E4847" s="140" t="s">
        <v>748</v>
      </c>
      <c r="F4847" s="140" t="s">
        <v>748</v>
      </c>
      <c r="G4847" s="141" t="s">
        <v>6401</v>
      </c>
      <c r="H4847" s="140" t="s">
        <v>6312</v>
      </c>
      <c r="I4847" s="140" t="s">
        <v>6313</v>
      </c>
      <c r="J4847" s="140" t="s">
        <v>6319</v>
      </c>
      <c r="K4847" s="140" t="s">
        <v>1573</v>
      </c>
    </row>
    <row r="4848">
      <c r="A4848" s="140" t="s">
        <v>302</v>
      </c>
      <c r="B4848" s="143">
        <v>1.63906E12</v>
      </c>
      <c r="C4848" s="140" t="s">
        <v>12297</v>
      </c>
      <c r="D4848" s="140" t="s">
        <v>6718</v>
      </c>
      <c r="E4848" s="140" t="s">
        <v>748</v>
      </c>
      <c r="F4848" s="140" t="s">
        <v>748</v>
      </c>
      <c r="G4848" s="141" t="s">
        <v>6401</v>
      </c>
      <c r="H4848" s="140" t="s">
        <v>6312</v>
      </c>
      <c r="I4848" s="140" t="s">
        <v>6313</v>
      </c>
      <c r="J4848" s="140" t="s">
        <v>6319</v>
      </c>
      <c r="K4848" s="140" t="s">
        <v>1573</v>
      </c>
    </row>
    <row r="4849">
      <c r="A4849" s="140" t="s">
        <v>302</v>
      </c>
      <c r="B4849" s="143">
        <v>1.60623E12</v>
      </c>
      <c r="C4849" s="140" t="s">
        <v>12298</v>
      </c>
      <c r="D4849" s="140" t="s">
        <v>6718</v>
      </c>
      <c r="E4849" s="140" t="s">
        <v>748</v>
      </c>
      <c r="F4849" s="140" t="s">
        <v>748</v>
      </c>
      <c r="G4849" s="141" t="s">
        <v>6401</v>
      </c>
      <c r="H4849" s="140" t="s">
        <v>6312</v>
      </c>
      <c r="I4849" s="140" t="s">
        <v>6313</v>
      </c>
      <c r="J4849" s="140" t="s">
        <v>6319</v>
      </c>
      <c r="K4849" s="140" t="s">
        <v>1573</v>
      </c>
    </row>
    <row r="4850">
      <c r="A4850" s="140" t="s">
        <v>302</v>
      </c>
      <c r="B4850" s="143">
        <v>1.60623E12</v>
      </c>
      <c r="C4850" s="140" t="s">
        <v>12299</v>
      </c>
      <c r="D4850" s="140" t="s">
        <v>6718</v>
      </c>
      <c r="E4850" s="140" t="s">
        <v>748</v>
      </c>
      <c r="F4850" s="140" t="s">
        <v>748</v>
      </c>
      <c r="G4850" s="141" t="s">
        <v>6401</v>
      </c>
      <c r="H4850" s="140" t="s">
        <v>6312</v>
      </c>
      <c r="I4850" s="140" t="s">
        <v>6313</v>
      </c>
      <c r="J4850" s="140" t="s">
        <v>6319</v>
      </c>
      <c r="K4850" s="140" t="s">
        <v>1573</v>
      </c>
    </row>
    <row r="4851">
      <c r="A4851" s="140" t="s">
        <v>11471</v>
      </c>
      <c r="B4851" s="143">
        <v>1.60287E12</v>
      </c>
      <c r="C4851" s="140" t="s">
        <v>12300</v>
      </c>
      <c r="D4851" s="140" t="s">
        <v>6718</v>
      </c>
      <c r="E4851" s="140" t="s">
        <v>748</v>
      </c>
      <c r="F4851" s="140" t="s">
        <v>748</v>
      </c>
      <c r="G4851" s="141" t="s">
        <v>6401</v>
      </c>
      <c r="H4851" s="140" t="s">
        <v>6312</v>
      </c>
      <c r="I4851" s="140" t="s">
        <v>6313</v>
      </c>
      <c r="J4851" s="140" t="s">
        <v>6319</v>
      </c>
      <c r="K4851" s="140" t="s">
        <v>1573</v>
      </c>
    </row>
    <row r="4852">
      <c r="A4852" s="140" t="s">
        <v>11471</v>
      </c>
      <c r="B4852" s="143">
        <v>1.60753E12</v>
      </c>
      <c r="C4852" s="140" t="s">
        <v>12301</v>
      </c>
      <c r="D4852" s="140" t="s">
        <v>6718</v>
      </c>
      <c r="E4852" s="140" t="s">
        <v>748</v>
      </c>
      <c r="F4852" s="140" t="s">
        <v>748</v>
      </c>
      <c r="G4852" s="141" t="s">
        <v>6401</v>
      </c>
      <c r="H4852" s="140" t="s">
        <v>6312</v>
      </c>
      <c r="I4852" s="140" t="s">
        <v>6313</v>
      </c>
      <c r="J4852" s="140" t="s">
        <v>6319</v>
      </c>
      <c r="K4852" s="140" t="s">
        <v>1573</v>
      </c>
    </row>
    <row r="4853">
      <c r="A4853" s="140" t="s">
        <v>11471</v>
      </c>
      <c r="B4853" s="143">
        <v>1.60562E12</v>
      </c>
      <c r="C4853" s="140" t="s">
        <v>12302</v>
      </c>
      <c r="D4853" s="140" t="s">
        <v>6718</v>
      </c>
      <c r="E4853" s="140" t="s">
        <v>748</v>
      </c>
      <c r="F4853" s="140" t="s">
        <v>748</v>
      </c>
      <c r="G4853" s="141" t="s">
        <v>6401</v>
      </c>
      <c r="H4853" s="140" t="s">
        <v>6312</v>
      </c>
      <c r="I4853" s="140" t="s">
        <v>6313</v>
      </c>
      <c r="J4853" s="140" t="s">
        <v>6319</v>
      </c>
      <c r="K4853" s="140" t="s">
        <v>1573</v>
      </c>
    </row>
    <row r="4854">
      <c r="A4854" s="140" t="s">
        <v>302</v>
      </c>
      <c r="B4854" s="143">
        <v>1.60623E12</v>
      </c>
      <c r="C4854" s="140" t="s">
        <v>12303</v>
      </c>
      <c r="D4854" s="140" t="s">
        <v>6718</v>
      </c>
      <c r="E4854" s="140" t="s">
        <v>748</v>
      </c>
      <c r="F4854" s="140" t="s">
        <v>748</v>
      </c>
      <c r="G4854" s="141" t="s">
        <v>6401</v>
      </c>
      <c r="H4854" s="140" t="s">
        <v>6312</v>
      </c>
      <c r="I4854" s="140" t="s">
        <v>6313</v>
      </c>
      <c r="J4854" s="140" t="s">
        <v>6319</v>
      </c>
      <c r="K4854" s="140" t="s">
        <v>1573</v>
      </c>
    </row>
    <row r="4855">
      <c r="A4855" s="140" t="s">
        <v>302</v>
      </c>
      <c r="B4855" s="143">
        <v>1.63881E12</v>
      </c>
      <c r="C4855" s="140" t="s">
        <v>12304</v>
      </c>
      <c r="D4855" s="140" t="s">
        <v>6718</v>
      </c>
      <c r="E4855" s="140" t="s">
        <v>748</v>
      </c>
      <c r="F4855" s="140" t="s">
        <v>748</v>
      </c>
      <c r="G4855" s="141" t="s">
        <v>6401</v>
      </c>
      <c r="H4855" s="140" t="s">
        <v>6312</v>
      </c>
      <c r="I4855" s="140" t="s">
        <v>6313</v>
      </c>
      <c r="J4855" s="140" t="s">
        <v>6319</v>
      </c>
      <c r="K4855" s="140" t="s">
        <v>1573</v>
      </c>
    </row>
    <row r="4856">
      <c r="A4856" s="140" t="s">
        <v>302</v>
      </c>
      <c r="B4856" s="143">
        <v>1.60287E12</v>
      </c>
      <c r="C4856" s="140" t="s">
        <v>12305</v>
      </c>
      <c r="D4856" s="140" t="s">
        <v>6718</v>
      </c>
      <c r="E4856" s="140" t="s">
        <v>748</v>
      </c>
      <c r="F4856" s="140" t="s">
        <v>748</v>
      </c>
      <c r="G4856" s="141" t="s">
        <v>6401</v>
      </c>
      <c r="H4856" s="140" t="s">
        <v>6312</v>
      </c>
      <c r="I4856" s="140" t="s">
        <v>6313</v>
      </c>
      <c r="J4856" s="140" t="s">
        <v>6319</v>
      </c>
      <c r="K4856" s="140" t="s">
        <v>1573</v>
      </c>
    </row>
    <row r="4857">
      <c r="A4857" s="140" t="s">
        <v>302</v>
      </c>
      <c r="B4857" s="143">
        <v>1.57653E12</v>
      </c>
      <c r="C4857" s="140" t="s">
        <v>12306</v>
      </c>
      <c r="D4857" s="140" t="s">
        <v>6718</v>
      </c>
      <c r="E4857" s="140" t="s">
        <v>748</v>
      </c>
      <c r="F4857" s="140" t="s">
        <v>748</v>
      </c>
      <c r="G4857" s="141" t="s">
        <v>6401</v>
      </c>
      <c r="H4857" s="140" t="s">
        <v>6312</v>
      </c>
      <c r="I4857" s="140" t="s">
        <v>6313</v>
      </c>
      <c r="J4857" s="140" t="s">
        <v>6319</v>
      </c>
      <c r="K4857" s="140" t="s">
        <v>1573</v>
      </c>
    </row>
    <row r="4858">
      <c r="A4858" s="140" t="s">
        <v>302</v>
      </c>
      <c r="B4858" s="143">
        <v>1.60623E12</v>
      </c>
      <c r="C4858" s="140" t="s">
        <v>12307</v>
      </c>
      <c r="D4858" s="140" t="s">
        <v>6718</v>
      </c>
      <c r="E4858" s="140" t="s">
        <v>748</v>
      </c>
      <c r="F4858" s="140" t="s">
        <v>748</v>
      </c>
      <c r="G4858" s="141" t="s">
        <v>6401</v>
      </c>
      <c r="H4858" s="140" t="s">
        <v>6312</v>
      </c>
      <c r="I4858" s="140" t="s">
        <v>6313</v>
      </c>
      <c r="J4858" s="140" t="s">
        <v>6319</v>
      </c>
      <c r="K4858" s="140" t="s">
        <v>1573</v>
      </c>
    </row>
    <row r="4859">
      <c r="A4859" s="140" t="s">
        <v>302</v>
      </c>
      <c r="B4859" s="143">
        <v>1.59434E12</v>
      </c>
      <c r="C4859" s="140" t="s">
        <v>12308</v>
      </c>
      <c r="D4859" s="140" t="s">
        <v>6718</v>
      </c>
      <c r="E4859" s="140" t="s">
        <v>748</v>
      </c>
      <c r="F4859" s="140" t="s">
        <v>748</v>
      </c>
      <c r="G4859" s="141" t="s">
        <v>6401</v>
      </c>
      <c r="H4859" s="140" t="s">
        <v>6312</v>
      </c>
      <c r="I4859" s="140" t="s">
        <v>6313</v>
      </c>
      <c r="J4859" s="140" t="s">
        <v>6319</v>
      </c>
      <c r="K4859" s="140" t="s">
        <v>1573</v>
      </c>
    </row>
    <row r="4860">
      <c r="A4860" s="140" t="s">
        <v>302</v>
      </c>
      <c r="B4860" s="143">
        <v>1.60562E12</v>
      </c>
      <c r="C4860" s="140" t="s">
        <v>12309</v>
      </c>
      <c r="D4860" s="140" t="s">
        <v>6718</v>
      </c>
      <c r="E4860" s="140" t="s">
        <v>748</v>
      </c>
      <c r="F4860" s="140" t="s">
        <v>748</v>
      </c>
      <c r="G4860" s="141" t="s">
        <v>6401</v>
      </c>
      <c r="H4860" s="140" t="s">
        <v>6312</v>
      </c>
      <c r="I4860" s="140" t="s">
        <v>6313</v>
      </c>
      <c r="J4860" s="140" t="s">
        <v>6319</v>
      </c>
      <c r="K4860" s="140" t="s">
        <v>1573</v>
      </c>
    </row>
    <row r="4861">
      <c r="A4861" s="140" t="s">
        <v>302</v>
      </c>
      <c r="B4861" s="143">
        <v>1.63779E12</v>
      </c>
      <c r="C4861" s="140" t="s">
        <v>12310</v>
      </c>
      <c r="D4861" s="140" t="s">
        <v>6718</v>
      </c>
      <c r="E4861" s="140" t="s">
        <v>748</v>
      </c>
      <c r="F4861" s="140" t="s">
        <v>748</v>
      </c>
      <c r="G4861" s="141" t="s">
        <v>6401</v>
      </c>
      <c r="H4861" s="140" t="s">
        <v>6312</v>
      </c>
      <c r="I4861" s="140" t="s">
        <v>6313</v>
      </c>
      <c r="J4861" s="140" t="s">
        <v>6319</v>
      </c>
      <c r="K4861" s="140" t="s">
        <v>1573</v>
      </c>
    </row>
    <row r="4862">
      <c r="A4862" s="140" t="s">
        <v>11471</v>
      </c>
      <c r="B4862" s="143">
        <v>1.60623E12</v>
      </c>
      <c r="C4862" s="140" t="s">
        <v>12311</v>
      </c>
      <c r="D4862" s="140" t="s">
        <v>6718</v>
      </c>
      <c r="E4862" s="140" t="s">
        <v>748</v>
      </c>
      <c r="F4862" s="140" t="s">
        <v>748</v>
      </c>
      <c r="G4862" s="141" t="s">
        <v>6401</v>
      </c>
      <c r="H4862" s="140" t="s">
        <v>6312</v>
      </c>
      <c r="I4862" s="140" t="s">
        <v>6313</v>
      </c>
      <c r="J4862" s="140" t="s">
        <v>6319</v>
      </c>
      <c r="K4862" s="140" t="s">
        <v>1573</v>
      </c>
    </row>
    <row r="4863">
      <c r="A4863" s="140" t="s">
        <v>302</v>
      </c>
      <c r="B4863" s="143">
        <v>1.6396E12</v>
      </c>
      <c r="C4863" s="140" t="s">
        <v>12312</v>
      </c>
      <c r="D4863" s="140" t="s">
        <v>6718</v>
      </c>
      <c r="E4863" s="140" t="s">
        <v>748</v>
      </c>
      <c r="F4863" s="140" t="s">
        <v>748</v>
      </c>
      <c r="G4863" s="141" t="s">
        <v>6401</v>
      </c>
      <c r="H4863" s="140" t="s">
        <v>6312</v>
      </c>
      <c r="I4863" s="140" t="s">
        <v>6313</v>
      </c>
      <c r="J4863" s="140" t="s">
        <v>6319</v>
      </c>
      <c r="K4863" s="140" t="s">
        <v>1573</v>
      </c>
    </row>
    <row r="4864">
      <c r="A4864" s="140" t="s">
        <v>302</v>
      </c>
      <c r="B4864" s="143">
        <v>1.60804E12</v>
      </c>
      <c r="C4864" s="140" t="s">
        <v>12313</v>
      </c>
      <c r="D4864" s="140" t="s">
        <v>6718</v>
      </c>
      <c r="E4864" s="140" t="s">
        <v>748</v>
      </c>
      <c r="F4864" s="140" t="s">
        <v>748</v>
      </c>
      <c r="G4864" s="141" t="s">
        <v>6401</v>
      </c>
      <c r="H4864" s="140" t="s">
        <v>6312</v>
      </c>
      <c r="I4864" s="140" t="s">
        <v>6313</v>
      </c>
      <c r="J4864" s="140" t="s">
        <v>6319</v>
      </c>
      <c r="K4864" s="140" t="s">
        <v>1573</v>
      </c>
    </row>
    <row r="4865">
      <c r="A4865" s="140" t="s">
        <v>302</v>
      </c>
      <c r="B4865" s="143">
        <v>1.60804E12</v>
      </c>
      <c r="C4865" s="140" t="s">
        <v>12314</v>
      </c>
      <c r="D4865" s="140" t="s">
        <v>6718</v>
      </c>
      <c r="E4865" s="140" t="s">
        <v>748</v>
      </c>
      <c r="F4865" s="140" t="s">
        <v>748</v>
      </c>
      <c r="G4865" s="141" t="s">
        <v>6401</v>
      </c>
      <c r="H4865" s="140" t="s">
        <v>6312</v>
      </c>
      <c r="I4865" s="140" t="s">
        <v>6313</v>
      </c>
      <c r="J4865" s="140" t="s">
        <v>6319</v>
      </c>
      <c r="K4865" s="140" t="s">
        <v>1573</v>
      </c>
    </row>
    <row r="4866">
      <c r="A4866" s="140" t="s">
        <v>302</v>
      </c>
      <c r="B4866" s="143">
        <v>1.62152E12</v>
      </c>
      <c r="C4866" s="140" t="s">
        <v>12315</v>
      </c>
      <c r="D4866" s="140" t="s">
        <v>6718</v>
      </c>
      <c r="E4866" s="140" t="s">
        <v>748</v>
      </c>
      <c r="F4866" s="140" t="s">
        <v>748</v>
      </c>
      <c r="G4866" s="141" t="s">
        <v>6401</v>
      </c>
      <c r="H4866" s="140" t="s">
        <v>6312</v>
      </c>
      <c r="I4866" s="140" t="s">
        <v>6313</v>
      </c>
      <c r="J4866" s="140" t="s">
        <v>6319</v>
      </c>
      <c r="K4866" s="140" t="s">
        <v>1573</v>
      </c>
    </row>
    <row r="4867">
      <c r="A4867" s="140" t="s">
        <v>302</v>
      </c>
      <c r="B4867" s="143">
        <v>1.62152E12</v>
      </c>
      <c r="C4867" s="140" t="s">
        <v>12316</v>
      </c>
      <c r="D4867" s="140" t="s">
        <v>6718</v>
      </c>
      <c r="E4867" s="140" t="s">
        <v>748</v>
      </c>
      <c r="F4867" s="140" t="s">
        <v>748</v>
      </c>
      <c r="G4867" s="141" t="s">
        <v>6401</v>
      </c>
      <c r="H4867" s="140" t="s">
        <v>6312</v>
      </c>
      <c r="I4867" s="140" t="s">
        <v>6313</v>
      </c>
      <c r="J4867" s="140" t="s">
        <v>6319</v>
      </c>
      <c r="K4867" s="140" t="s">
        <v>1573</v>
      </c>
    </row>
    <row r="4868">
      <c r="A4868" s="140" t="s">
        <v>302</v>
      </c>
      <c r="B4868" s="143">
        <v>1.62152E12</v>
      </c>
      <c r="C4868" s="140" t="s">
        <v>12317</v>
      </c>
      <c r="D4868" s="140" t="s">
        <v>6718</v>
      </c>
      <c r="E4868" s="140" t="s">
        <v>748</v>
      </c>
      <c r="F4868" s="140" t="s">
        <v>748</v>
      </c>
      <c r="G4868" s="141" t="s">
        <v>6401</v>
      </c>
      <c r="H4868" s="140" t="s">
        <v>6312</v>
      </c>
      <c r="I4868" s="140" t="s">
        <v>6313</v>
      </c>
      <c r="J4868" s="140" t="s">
        <v>6319</v>
      </c>
      <c r="K4868" s="140" t="s">
        <v>1573</v>
      </c>
    </row>
    <row r="4869">
      <c r="A4869" s="140" t="s">
        <v>302</v>
      </c>
      <c r="B4869" s="143">
        <v>1.62152E12</v>
      </c>
      <c r="C4869" s="140" t="s">
        <v>12318</v>
      </c>
      <c r="D4869" s="140" t="s">
        <v>6718</v>
      </c>
      <c r="E4869" s="140" t="s">
        <v>748</v>
      </c>
      <c r="F4869" s="140" t="s">
        <v>748</v>
      </c>
      <c r="G4869" s="141" t="s">
        <v>6401</v>
      </c>
      <c r="H4869" s="140" t="s">
        <v>6312</v>
      </c>
      <c r="I4869" s="140" t="s">
        <v>6313</v>
      </c>
      <c r="J4869" s="140" t="s">
        <v>6319</v>
      </c>
      <c r="K4869" s="140" t="s">
        <v>1573</v>
      </c>
    </row>
    <row r="4870">
      <c r="A4870" s="140" t="s">
        <v>302</v>
      </c>
      <c r="B4870" s="143">
        <v>1.59434E12</v>
      </c>
      <c r="C4870" s="140" t="s">
        <v>12319</v>
      </c>
      <c r="D4870" s="140" t="s">
        <v>6718</v>
      </c>
      <c r="E4870" s="140" t="s">
        <v>748</v>
      </c>
      <c r="F4870" s="140" t="s">
        <v>748</v>
      </c>
      <c r="G4870" s="141" t="s">
        <v>6401</v>
      </c>
      <c r="H4870" s="140" t="s">
        <v>6312</v>
      </c>
      <c r="I4870" s="140" t="s">
        <v>6313</v>
      </c>
      <c r="J4870" s="140" t="s">
        <v>6319</v>
      </c>
      <c r="K4870" s="140" t="s">
        <v>1573</v>
      </c>
    </row>
    <row r="4871">
      <c r="A4871" s="140" t="s">
        <v>302</v>
      </c>
      <c r="B4871" s="143">
        <v>1.59434E12</v>
      </c>
      <c r="C4871" s="140" t="s">
        <v>12320</v>
      </c>
      <c r="D4871" s="140" t="s">
        <v>6718</v>
      </c>
      <c r="E4871" s="140" t="s">
        <v>748</v>
      </c>
      <c r="F4871" s="140" t="s">
        <v>748</v>
      </c>
      <c r="G4871" s="141" t="s">
        <v>6401</v>
      </c>
      <c r="H4871" s="140" t="s">
        <v>6312</v>
      </c>
      <c r="I4871" s="140" t="s">
        <v>6313</v>
      </c>
      <c r="J4871" s="140" t="s">
        <v>6319</v>
      </c>
      <c r="K4871" s="140" t="s">
        <v>1573</v>
      </c>
    </row>
    <row r="4872">
      <c r="A4872" s="140" t="s">
        <v>302</v>
      </c>
      <c r="B4872" s="143">
        <v>1.59441E12</v>
      </c>
      <c r="C4872" s="140" t="s">
        <v>12321</v>
      </c>
      <c r="D4872" s="140" t="s">
        <v>6718</v>
      </c>
      <c r="E4872" s="140" t="s">
        <v>748</v>
      </c>
      <c r="F4872" s="140" t="s">
        <v>748</v>
      </c>
      <c r="G4872" s="141" t="s">
        <v>6401</v>
      </c>
      <c r="H4872" s="140" t="s">
        <v>6312</v>
      </c>
      <c r="I4872" s="140" t="s">
        <v>6313</v>
      </c>
      <c r="J4872" s="140" t="s">
        <v>6319</v>
      </c>
      <c r="K4872" s="140" t="s">
        <v>1573</v>
      </c>
    </row>
    <row r="4873">
      <c r="A4873" s="140" t="s">
        <v>302</v>
      </c>
      <c r="B4873" s="140" t="s">
        <v>12322</v>
      </c>
      <c r="C4873" s="140" t="s">
        <v>12323</v>
      </c>
      <c r="D4873" s="140" t="s">
        <v>6718</v>
      </c>
      <c r="E4873" s="140" t="s">
        <v>748</v>
      </c>
      <c r="F4873" s="140" t="s">
        <v>748</v>
      </c>
      <c r="G4873" s="141" t="s">
        <v>6401</v>
      </c>
      <c r="H4873" s="140" t="s">
        <v>6312</v>
      </c>
      <c r="I4873" s="140" t="s">
        <v>6313</v>
      </c>
      <c r="J4873" s="140" t="s">
        <v>6319</v>
      </c>
      <c r="K4873" s="140" t="s">
        <v>1573</v>
      </c>
    </row>
    <row r="4874">
      <c r="A4874" s="140" t="s">
        <v>302</v>
      </c>
      <c r="B4874" s="140" t="s">
        <v>12324</v>
      </c>
      <c r="C4874" s="140" t="s">
        <v>12325</v>
      </c>
      <c r="D4874" s="140" t="s">
        <v>6718</v>
      </c>
      <c r="E4874" s="140" t="s">
        <v>748</v>
      </c>
      <c r="F4874" s="140" t="s">
        <v>748</v>
      </c>
      <c r="G4874" s="141" t="s">
        <v>6401</v>
      </c>
      <c r="H4874" s="140" t="s">
        <v>6312</v>
      </c>
      <c r="I4874" s="140" t="s">
        <v>6313</v>
      </c>
      <c r="J4874" s="140" t="s">
        <v>6319</v>
      </c>
      <c r="K4874" s="140" t="s">
        <v>1573</v>
      </c>
    </row>
    <row r="4875">
      <c r="A4875" s="140" t="s">
        <v>302</v>
      </c>
      <c r="B4875" s="140" t="s">
        <v>12326</v>
      </c>
      <c r="C4875" s="140" t="s">
        <v>12327</v>
      </c>
      <c r="D4875" s="140" t="s">
        <v>6718</v>
      </c>
      <c r="E4875" s="140" t="s">
        <v>748</v>
      </c>
      <c r="F4875" s="140" t="s">
        <v>748</v>
      </c>
      <c r="G4875" s="141" t="s">
        <v>6401</v>
      </c>
      <c r="H4875" s="140" t="s">
        <v>6312</v>
      </c>
      <c r="I4875" s="140" t="s">
        <v>6313</v>
      </c>
      <c r="J4875" s="140" t="s">
        <v>6319</v>
      </c>
      <c r="K4875" s="140" t="s">
        <v>1573</v>
      </c>
    </row>
    <row r="4876">
      <c r="A4876" s="140" t="s">
        <v>302</v>
      </c>
      <c r="B4876" s="140" t="s">
        <v>12328</v>
      </c>
      <c r="C4876" s="140" t="s">
        <v>12329</v>
      </c>
      <c r="D4876" s="140" t="s">
        <v>6718</v>
      </c>
      <c r="E4876" s="140" t="s">
        <v>748</v>
      </c>
      <c r="F4876" s="140" t="s">
        <v>748</v>
      </c>
      <c r="G4876" s="141" t="s">
        <v>6304</v>
      </c>
      <c r="H4876" s="140" t="s">
        <v>6312</v>
      </c>
      <c r="I4876" s="140" t="s">
        <v>6527</v>
      </c>
      <c r="J4876" s="140" t="s">
        <v>6319</v>
      </c>
      <c r="K4876" s="140" t="s">
        <v>1573</v>
      </c>
    </row>
    <row r="4877">
      <c r="A4877" s="140" t="s">
        <v>302</v>
      </c>
      <c r="B4877" s="140" t="s">
        <v>12330</v>
      </c>
      <c r="C4877" s="140" t="s">
        <v>12331</v>
      </c>
      <c r="D4877" s="140" t="s">
        <v>6718</v>
      </c>
      <c r="E4877" s="140" t="s">
        <v>748</v>
      </c>
      <c r="F4877" s="140" t="s">
        <v>748</v>
      </c>
      <c r="G4877" s="141" t="s">
        <v>6304</v>
      </c>
      <c r="H4877" s="140" t="s">
        <v>6312</v>
      </c>
      <c r="I4877" s="140" t="s">
        <v>6527</v>
      </c>
      <c r="J4877" s="140" t="s">
        <v>6319</v>
      </c>
      <c r="K4877" s="140" t="s">
        <v>1573</v>
      </c>
    </row>
    <row r="4878">
      <c r="A4878" s="140" t="s">
        <v>302</v>
      </c>
      <c r="B4878" s="140" t="s">
        <v>12332</v>
      </c>
      <c r="C4878" s="140" t="s">
        <v>12333</v>
      </c>
      <c r="D4878" s="140" t="s">
        <v>6718</v>
      </c>
      <c r="E4878" s="140" t="s">
        <v>748</v>
      </c>
      <c r="F4878" s="140" t="s">
        <v>748</v>
      </c>
      <c r="G4878" s="141" t="s">
        <v>6304</v>
      </c>
      <c r="H4878" s="140" t="s">
        <v>6312</v>
      </c>
      <c r="I4878" s="140" t="s">
        <v>6527</v>
      </c>
      <c r="J4878" s="140" t="s">
        <v>6319</v>
      </c>
      <c r="K4878" s="140" t="s">
        <v>1573</v>
      </c>
    </row>
    <row r="4879">
      <c r="A4879" s="140" t="s">
        <v>302</v>
      </c>
      <c r="B4879" s="140" t="s">
        <v>12334</v>
      </c>
      <c r="C4879" s="140" t="s">
        <v>12335</v>
      </c>
      <c r="D4879" s="140" t="s">
        <v>6718</v>
      </c>
      <c r="E4879" s="140" t="s">
        <v>748</v>
      </c>
      <c r="F4879" s="140" t="s">
        <v>748</v>
      </c>
      <c r="G4879" s="141" t="s">
        <v>6304</v>
      </c>
      <c r="H4879" s="140" t="s">
        <v>6312</v>
      </c>
      <c r="I4879" s="140" t="s">
        <v>6527</v>
      </c>
      <c r="J4879" s="140" t="s">
        <v>6319</v>
      </c>
      <c r="K4879" s="140" t="s">
        <v>1573</v>
      </c>
    </row>
    <row r="4880">
      <c r="A4880" s="140" t="s">
        <v>302</v>
      </c>
      <c r="B4880" s="140" t="s">
        <v>12336</v>
      </c>
      <c r="C4880" s="140" t="s">
        <v>12337</v>
      </c>
      <c r="D4880" s="140" t="s">
        <v>6718</v>
      </c>
      <c r="E4880" s="140" t="s">
        <v>748</v>
      </c>
      <c r="F4880" s="140" t="s">
        <v>748</v>
      </c>
      <c r="G4880" s="141" t="s">
        <v>6304</v>
      </c>
      <c r="H4880" s="140" t="s">
        <v>6312</v>
      </c>
      <c r="I4880" s="140" t="s">
        <v>6527</v>
      </c>
      <c r="J4880" s="140" t="s">
        <v>6319</v>
      </c>
      <c r="K4880" s="140" t="s">
        <v>1573</v>
      </c>
    </row>
    <row r="4881">
      <c r="A4881" s="140" t="s">
        <v>302</v>
      </c>
      <c r="B4881" s="140" t="s">
        <v>12338</v>
      </c>
      <c r="C4881" s="140" t="s">
        <v>12339</v>
      </c>
      <c r="D4881" s="140" t="s">
        <v>6718</v>
      </c>
      <c r="E4881" s="140" t="s">
        <v>748</v>
      </c>
      <c r="F4881" s="140" t="s">
        <v>748</v>
      </c>
      <c r="G4881" s="141" t="s">
        <v>6304</v>
      </c>
      <c r="H4881" s="140" t="s">
        <v>6312</v>
      </c>
      <c r="I4881" s="140" t="s">
        <v>6527</v>
      </c>
      <c r="J4881" s="140" t="s">
        <v>6319</v>
      </c>
      <c r="K4881" s="140" t="s">
        <v>1573</v>
      </c>
    </row>
    <row r="4882">
      <c r="A4882" s="140" t="s">
        <v>11471</v>
      </c>
      <c r="B4882" s="143">
        <v>6.6437E13</v>
      </c>
      <c r="C4882" s="140" t="s">
        <v>12340</v>
      </c>
      <c r="D4882" s="140" t="s">
        <v>6718</v>
      </c>
      <c r="E4882" s="140" t="s">
        <v>748</v>
      </c>
      <c r="F4882" s="140" t="s">
        <v>748</v>
      </c>
      <c r="G4882" s="141" t="s">
        <v>6401</v>
      </c>
      <c r="H4882" s="140" t="s">
        <v>6312</v>
      </c>
      <c r="I4882" s="140" t="s">
        <v>6313</v>
      </c>
      <c r="J4882" s="140" t="s">
        <v>6319</v>
      </c>
      <c r="K4882" s="140" t="s">
        <v>1573</v>
      </c>
    </row>
    <row r="4883">
      <c r="A4883" s="140" t="s">
        <v>12341</v>
      </c>
      <c r="B4883" s="140">
        <v>1700284.0</v>
      </c>
      <c r="C4883" s="140" t="s">
        <v>12342</v>
      </c>
      <c r="D4883" s="140" t="s">
        <v>6318</v>
      </c>
      <c r="E4883" s="140">
        <v>0.0</v>
      </c>
      <c r="F4883" s="140" t="s">
        <v>1340</v>
      </c>
      <c r="G4883" s="141" t="s">
        <v>6401</v>
      </c>
      <c r="H4883" s="140" t="s">
        <v>6312</v>
      </c>
      <c r="I4883" s="140" t="s">
        <v>6313</v>
      </c>
      <c r="J4883" s="140" t="s">
        <v>6314</v>
      </c>
      <c r="K4883" s="140" t="s">
        <v>6880</v>
      </c>
    </row>
    <row r="4884">
      <c r="A4884" s="140" t="s">
        <v>12341</v>
      </c>
      <c r="B4884" s="140" t="s">
        <v>6757</v>
      </c>
      <c r="C4884" s="140" t="s">
        <v>12343</v>
      </c>
      <c r="D4884" s="140" t="s">
        <v>6318</v>
      </c>
      <c r="E4884" s="140" t="s">
        <v>1180</v>
      </c>
      <c r="F4884" s="140" t="s">
        <v>1181</v>
      </c>
      <c r="G4884" s="141" t="s">
        <v>6401</v>
      </c>
      <c r="H4884" s="140" t="s">
        <v>6312</v>
      </c>
      <c r="I4884" s="140" t="s">
        <v>6313</v>
      </c>
      <c r="J4884" s="140" t="s">
        <v>6314</v>
      </c>
      <c r="K4884" s="140" t="s">
        <v>6880</v>
      </c>
    </row>
    <row r="4885">
      <c r="A4885" s="140" t="s">
        <v>12341</v>
      </c>
      <c r="B4885" s="140">
        <v>80317.0</v>
      </c>
      <c r="C4885" s="140" t="s">
        <v>12343</v>
      </c>
      <c r="D4885" s="140" t="s">
        <v>6318</v>
      </c>
      <c r="E4885" s="140" t="s">
        <v>1180</v>
      </c>
      <c r="F4885" s="140" t="s">
        <v>1181</v>
      </c>
      <c r="G4885" s="141" t="s">
        <v>6401</v>
      </c>
      <c r="H4885" s="140" t="s">
        <v>6330</v>
      </c>
      <c r="I4885" s="140" t="s">
        <v>6313</v>
      </c>
      <c r="J4885" s="140" t="s">
        <v>6314</v>
      </c>
      <c r="K4885" s="140" t="s">
        <v>6880</v>
      </c>
    </row>
    <row r="4886">
      <c r="A4886" s="140" t="s">
        <v>12344</v>
      </c>
      <c r="B4886" s="140" t="s">
        <v>12345</v>
      </c>
      <c r="C4886" s="140" t="s">
        <v>12346</v>
      </c>
      <c r="D4886" s="140" t="s">
        <v>6318</v>
      </c>
      <c r="E4886" s="140" t="s">
        <v>1180</v>
      </c>
      <c r="F4886" s="140" t="s">
        <v>5810</v>
      </c>
      <c r="G4886" s="141" t="s">
        <v>6304</v>
      </c>
      <c r="H4886" s="140" t="s">
        <v>6312</v>
      </c>
      <c r="I4886" s="140" t="s">
        <v>6527</v>
      </c>
      <c r="J4886" s="140" t="s">
        <v>6314</v>
      </c>
      <c r="K4886" s="140" t="s">
        <v>6880</v>
      </c>
    </row>
    <row r="4887">
      <c r="A4887" s="140" t="s">
        <v>12344</v>
      </c>
      <c r="B4887" s="140" t="s">
        <v>12347</v>
      </c>
      <c r="C4887" s="140" t="s">
        <v>12346</v>
      </c>
      <c r="D4887" s="140" t="s">
        <v>6318</v>
      </c>
      <c r="E4887" s="140" t="s">
        <v>1180</v>
      </c>
      <c r="F4887" s="140" t="s">
        <v>5810</v>
      </c>
      <c r="G4887" s="141" t="s">
        <v>6304</v>
      </c>
      <c r="H4887" s="140" t="s">
        <v>6312</v>
      </c>
      <c r="I4887" s="140" t="s">
        <v>6527</v>
      </c>
      <c r="J4887" s="140" t="s">
        <v>6314</v>
      </c>
      <c r="K4887" s="140" t="s">
        <v>6880</v>
      </c>
    </row>
    <row r="4888">
      <c r="A4888" s="140" t="s">
        <v>12341</v>
      </c>
      <c r="B4888" s="140">
        <v>827187.0</v>
      </c>
      <c r="C4888" s="140" t="s">
        <v>12348</v>
      </c>
      <c r="D4888" s="140" t="s">
        <v>6318</v>
      </c>
      <c r="E4888" s="140" t="s">
        <v>1180</v>
      </c>
      <c r="F4888" s="140" t="s">
        <v>5810</v>
      </c>
      <c r="G4888" s="141" t="s">
        <v>6401</v>
      </c>
      <c r="H4888" s="140" t="s">
        <v>6312</v>
      </c>
      <c r="I4888" s="140" t="s">
        <v>6313</v>
      </c>
      <c r="J4888" s="140" t="s">
        <v>6314</v>
      </c>
      <c r="K4888" s="140" t="s">
        <v>6880</v>
      </c>
    </row>
    <row r="4889">
      <c r="A4889" s="140" t="s">
        <v>12341</v>
      </c>
      <c r="B4889" s="140">
        <v>274646.0</v>
      </c>
      <c r="C4889" s="140" t="s">
        <v>12349</v>
      </c>
      <c r="D4889" s="140" t="s">
        <v>6318</v>
      </c>
      <c r="E4889" s="140" t="s">
        <v>1180</v>
      </c>
      <c r="F4889" s="140" t="s">
        <v>5810</v>
      </c>
      <c r="G4889" s="141" t="s">
        <v>6401</v>
      </c>
      <c r="H4889" s="140" t="s">
        <v>6312</v>
      </c>
      <c r="I4889" s="140" t="s">
        <v>6313</v>
      </c>
      <c r="J4889" s="140" t="s">
        <v>6314</v>
      </c>
      <c r="K4889" s="140" t="s">
        <v>6880</v>
      </c>
    </row>
    <row r="4890">
      <c r="A4890" s="140" t="s">
        <v>12341</v>
      </c>
      <c r="B4890" s="140">
        <v>273540.0</v>
      </c>
      <c r="C4890" s="140" t="s">
        <v>12350</v>
      </c>
      <c r="D4890" s="140" t="s">
        <v>6318</v>
      </c>
      <c r="E4890" s="140" t="s">
        <v>1180</v>
      </c>
      <c r="F4890" s="140" t="s">
        <v>5810</v>
      </c>
      <c r="G4890" s="141" t="s">
        <v>6401</v>
      </c>
      <c r="H4890" s="140" t="s">
        <v>6312</v>
      </c>
      <c r="I4890" s="140" t="s">
        <v>6313</v>
      </c>
      <c r="J4890" s="140" t="s">
        <v>6314</v>
      </c>
      <c r="K4890" s="140" t="s">
        <v>6880</v>
      </c>
    </row>
    <row r="4891">
      <c r="A4891" s="140" t="s">
        <v>12341</v>
      </c>
      <c r="B4891" s="140">
        <v>56726.0</v>
      </c>
      <c r="C4891" s="140" t="s">
        <v>12351</v>
      </c>
      <c r="D4891" s="140" t="s">
        <v>6318</v>
      </c>
      <c r="E4891" s="140" t="s">
        <v>1180</v>
      </c>
      <c r="F4891" s="140" t="s">
        <v>5810</v>
      </c>
      <c r="G4891" s="141" t="s">
        <v>6401</v>
      </c>
      <c r="H4891" s="140" t="s">
        <v>6312</v>
      </c>
      <c r="I4891" s="140" t="s">
        <v>6313</v>
      </c>
      <c r="J4891" s="140" t="s">
        <v>6314</v>
      </c>
      <c r="K4891" s="140" t="s">
        <v>6880</v>
      </c>
    </row>
    <row r="4892">
      <c r="A4892" s="140" t="s">
        <v>12341</v>
      </c>
      <c r="B4892" s="140" t="s">
        <v>2816</v>
      </c>
      <c r="C4892" s="140" t="s">
        <v>12352</v>
      </c>
      <c r="D4892" s="140" t="s">
        <v>6318</v>
      </c>
      <c r="E4892" s="140" t="s">
        <v>1180</v>
      </c>
      <c r="F4892" s="140" t="s">
        <v>5810</v>
      </c>
      <c r="G4892" s="141" t="s">
        <v>6668</v>
      </c>
      <c r="H4892" s="140" t="s">
        <v>6330</v>
      </c>
      <c r="I4892" s="140" t="s">
        <v>6313</v>
      </c>
      <c r="J4892" s="140" t="s">
        <v>6314</v>
      </c>
      <c r="K4892" s="140" t="s">
        <v>6880</v>
      </c>
    </row>
    <row r="4893">
      <c r="A4893" s="140" t="s">
        <v>12341</v>
      </c>
      <c r="B4893" s="144" t="s">
        <v>4057</v>
      </c>
      <c r="C4893" s="140" t="s">
        <v>12353</v>
      </c>
      <c r="D4893" s="140" t="s">
        <v>6318</v>
      </c>
      <c r="E4893" s="140" t="s">
        <v>1180</v>
      </c>
      <c r="F4893" s="140" t="s">
        <v>5810</v>
      </c>
      <c r="G4893" s="141" t="s">
        <v>6668</v>
      </c>
      <c r="H4893" s="140" t="s">
        <v>6330</v>
      </c>
      <c r="I4893" s="140" t="s">
        <v>6313</v>
      </c>
      <c r="J4893" s="140" t="s">
        <v>6314</v>
      </c>
      <c r="K4893" s="140" t="s">
        <v>6880</v>
      </c>
    </row>
    <row r="4894">
      <c r="A4894" s="140" t="s">
        <v>12341</v>
      </c>
      <c r="B4894" s="140">
        <v>89388.0</v>
      </c>
      <c r="C4894" s="140" t="s">
        <v>12354</v>
      </c>
      <c r="D4894" s="140" t="s">
        <v>6318</v>
      </c>
      <c r="E4894" s="140" t="s">
        <v>1180</v>
      </c>
      <c r="F4894" s="140" t="s">
        <v>5810</v>
      </c>
      <c r="G4894" s="141" t="s">
        <v>6401</v>
      </c>
      <c r="H4894" s="140" t="s">
        <v>6312</v>
      </c>
      <c r="I4894" s="140" t="s">
        <v>6313</v>
      </c>
      <c r="J4894" s="140" t="s">
        <v>6314</v>
      </c>
      <c r="K4894" s="140" t="s">
        <v>6880</v>
      </c>
    </row>
    <row r="4895">
      <c r="A4895" s="140" t="s">
        <v>12341</v>
      </c>
      <c r="B4895" s="140" t="s">
        <v>3094</v>
      </c>
      <c r="C4895" s="140" t="s">
        <v>12355</v>
      </c>
      <c r="D4895" s="140" t="s">
        <v>6318</v>
      </c>
      <c r="E4895" s="140" t="s">
        <v>1180</v>
      </c>
      <c r="F4895" s="140" t="s">
        <v>5810</v>
      </c>
      <c r="G4895" s="141" t="s">
        <v>6401</v>
      </c>
      <c r="H4895" s="140" t="s">
        <v>6330</v>
      </c>
      <c r="I4895" s="140" t="s">
        <v>6313</v>
      </c>
      <c r="J4895" s="140" t="s">
        <v>6314</v>
      </c>
      <c r="K4895" s="140" t="s">
        <v>6880</v>
      </c>
    </row>
    <row r="4896">
      <c r="A4896" s="140" t="s">
        <v>12341</v>
      </c>
      <c r="B4896" s="140" t="s">
        <v>12356</v>
      </c>
      <c r="C4896" s="140" t="s">
        <v>12357</v>
      </c>
      <c r="D4896" s="140" t="s">
        <v>6318</v>
      </c>
      <c r="E4896" s="140" t="s">
        <v>1180</v>
      </c>
      <c r="F4896" s="140" t="s">
        <v>5810</v>
      </c>
      <c r="G4896" s="141" t="s">
        <v>6401</v>
      </c>
      <c r="H4896" s="140" t="s">
        <v>6312</v>
      </c>
      <c r="I4896" s="140" t="s">
        <v>6313</v>
      </c>
      <c r="J4896" s="140" t="s">
        <v>6314</v>
      </c>
      <c r="K4896" s="140" t="s">
        <v>6880</v>
      </c>
    </row>
    <row r="4897">
      <c r="A4897" s="140" t="s">
        <v>12341</v>
      </c>
      <c r="B4897" s="140">
        <v>89554.0</v>
      </c>
      <c r="C4897" s="140" t="s">
        <v>12358</v>
      </c>
      <c r="D4897" s="140" t="s">
        <v>6318</v>
      </c>
      <c r="E4897" s="140" t="s">
        <v>1180</v>
      </c>
      <c r="F4897" s="140" t="s">
        <v>5810</v>
      </c>
      <c r="G4897" s="141" t="s">
        <v>6668</v>
      </c>
      <c r="H4897" s="140" t="s">
        <v>6330</v>
      </c>
      <c r="I4897" s="140" t="s">
        <v>6313</v>
      </c>
      <c r="J4897" s="140" t="s">
        <v>6314</v>
      </c>
      <c r="K4897" s="140" t="s">
        <v>6880</v>
      </c>
    </row>
    <row r="4898">
      <c r="A4898" s="140" t="s">
        <v>12341</v>
      </c>
      <c r="B4898" s="140">
        <v>249040.0</v>
      </c>
      <c r="C4898" s="140" t="s">
        <v>12359</v>
      </c>
      <c r="D4898" s="140" t="s">
        <v>6318</v>
      </c>
      <c r="E4898" s="140" t="s">
        <v>1180</v>
      </c>
      <c r="F4898" s="140" t="s">
        <v>5810</v>
      </c>
      <c r="G4898" s="141" t="s">
        <v>6401</v>
      </c>
      <c r="H4898" s="140" t="s">
        <v>6312</v>
      </c>
      <c r="I4898" s="140" t="s">
        <v>6313</v>
      </c>
      <c r="J4898" s="140" t="s">
        <v>6314</v>
      </c>
      <c r="K4898" s="140" t="s">
        <v>6880</v>
      </c>
    </row>
    <row r="4899">
      <c r="A4899" s="140" t="s">
        <v>12341</v>
      </c>
      <c r="B4899" s="140">
        <v>1801080.0</v>
      </c>
      <c r="C4899" s="140" t="s">
        <v>12360</v>
      </c>
      <c r="D4899" s="140" t="s">
        <v>6318</v>
      </c>
      <c r="E4899" s="140" t="s">
        <v>1180</v>
      </c>
      <c r="F4899" s="140" t="s">
        <v>1195</v>
      </c>
      <c r="G4899" s="141" t="s">
        <v>6401</v>
      </c>
      <c r="H4899" s="140" t="s">
        <v>6330</v>
      </c>
      <c r="I4899" s="140" t="s">
        <v>6313</v>
      </c>
      <c r="J4899" s="140" t="s">
        <v>6314</v>
      </c>
      <c r="K4899" s="140" t="s">
        <v>6880</v>
      </c>
    </row>
    <row r="4900">
      <c r="A4900" s="140" t="s">
        <v>12341</v>
      </c>
      <c r="B4900" s="140">
        <v>9550134.0</v>
      </c>
      <c r="C4900" s="140" t="s">
        <v>12361</v>
      </c>
      <c r="D4900" s="140" t="s">
        <v>6318</v>
      </c>
      <c r="E4900" s="140" t="s">
        <v>1180</v>
      </c>
      <c r="F4900" s="140" t="s">
        <v>1195</v>
      </c>
      <c r="G4900" s="141" t="s">
        <v>6668</v>
      </c>
      <c r="H4900" s="140" t="s">
        <v>6330</v>
      </c>
      <c r="I4900" s="140" t="s">
        <v>6313</v>
      </c>
      <c r="J4900" s="140" t="s">
        <v>6314</v>
      </c>
      <c r="K4900" s="140" t="s">
        <v>6880</v>
      </c>
    </row>
    <row r="4901">
      <c r="A4901" s="140" t="s">
        <v>12341</v>
      </c>
      <c r="B4901" s="140">
        <v>1709226.0</v>
      </c>
      <c r="C4901" s="140" t="s">
        <v>12362</v>
      </c>
      <c r="D4901" s="140" t="s">
        <v>6318</v>
      </c>
      <c r="E4901" s="140" t="s">
        <v>1180</v>
      </c>
      <c r="F4901" s="140" t="s">
        <v>1195</v>
      </c>
      <c r="G4901" s="141" t="s">
        <v>6668</v>
      </c>
      <c r="H4901" s="140" t="s">
        <v>6330</v>
      </c>
      <c r="I4901" s="140" t="s">
        <v>6313</v>
      </c>
      <c r="J4901" s="140" t="s">
        <v>6314</v>
      </c>
      <c r="K4901" s="140" t="s">
        <v>6880</v>
      </c>
    </row>
    <row r="4902">
      <c r="A4902" s="140" t="s">
        <v>12344</v>
      </c>
      <c r="B4902" s="140" t="s">
        <v>12363</v>
      </c>
      <c r="C4902" s="140" t="s">
        <v>12364</v>
      </c>
      <c r="D4902" s="140" t="s">
        <v>6318</v>
      </c>
      <c r="E4902" s="140" t="s">
        <v>1180</v>
      </c>
      <c r="F4902" s="140" t="s">
        <v>1195</v>
      </c>
      <c r="G4902" s="141" t="s">
        <v>6304</v>
      </c>
      <c r="H4902" s="140" t="s">
        <v>6312</v>
      </c>
      <c r="I4902" s="140" t="s">
        <v>6527</v>
      </c>
      <c r="J4902" s="140" t="s">
        <v>6314</v>
      </c>
      <c r="K4902" s="140" t="s">
        <v>6880</v>
      </c>
    </row>
    <row r="4903">
      <c r="A4903" s="140" t="s">
        <v>12344</v>
      </c>
      <c r="B4903" s="140">
        <v>2651002.0</v>
      </c>
      <c r="C4903" s="140" t="s">
        <v>12365</v>
      </c>
      <c r="D4903" s="140" t="s">
        <v>6318</v>
      </c>
      <c r="E4903" s="140" t="s">
        <v>1180</v>
      </c>
      <c r="F4903" s="140" t="s">
        <v>1195</v>
      </c>
      <c r="G4903" s="141" t="s">
        <v>6401</v>
      </c>
      <c r="H4903" s="140" t="s">
        <v>6312</v>
      </c>
      <c r="I4903" s="140" t="s">
        <v>6313</v>
      </c>
      <c r="J4903" s="140" t="s">
        <v>6314</v>
      </c>
      <c r="K4903" s="140" t="s">
        <v>6880</v>
      </c>
    </row>
    <row r="4904">
      <c r="A4904" s="140" t="s">
        <v>12341</v>
      </c>
      <c r="B4904" s="140">
        <v>925197.0</v>
      </c>
      <c r="C4904" s="140" t="s">
        <v>12366</v>
      </c>
      <c r="D4904" s="140" t="s">
        <v>6318</v>
      </c>
      <c r="E4904" s="140" t="s">
        <v>1180</v>
      </c>
      <c r="F4904" s="140" t="s">
        <v>1195</v>
      </c>
      <c r="G4904" s="141" t="s">
        <v>6401</v>
      </c>
      <c r="H4904" s="140" t="s">
        <v>6330</v>
      </c>
      <c r="I4904" s="140" t="s">
        <v>6313</v>
      </c>
      <c r="J4904" s="140" t="s">
        <v>6314</v>
      </c>
      <c r="K4904" s="140" t="s">
        <v>6880</v>
      </c>
    </row>
    <row r="4905">
      <c r="A4905" s="140" t="s">
        <v>12341</v>
      </c>
      <c r="B4905" s="140">
        <v>925180.0</v>
      </c>
      <c r="C4905" s="140" t="s">
        <v>12367</v>
      </c>
      <c r="D4905" s="140" t="s">
        <v>6318</v>
      </c>
      <c r="E4905" s="140" t="s">
        <v>1180</v>
      </c>
      <c r="F4905" s="140" t="s">
        <v>1195</v>
      </c>
      <c r="G4905" s="141" t="s">
        <v>6401</v>
      </c>
      <c r="H4905" s="140" t="s">
        <v>6330</v>
      </c>
      <c r="I4905" s="140" t="s">
        <v>6313</v>
      </c>
      <c r="J4905" s="140" t="s">
        <v>6314</v>
      </c>
      <c r="K4905" s="140" t="s">
        <v>6880</v>
      </c>
    </row>
    <row r="4906">
      <c r="A4906" s="140" t="s">
        <v>12341</v>
      </c>
      <c r="B4906" s="140">
        <v>925173.0</v>
      </c>
      <c r="C4906" s="140" t="s">
        <v>12368</v>
      </c>
      <c r="D4906" s="140" t="s">
        <v>6318</v>
      </c>
      <c r="E4906" s="140" t="s">
        <v>1180</v>
      </c>
      <c r="F4906" s="140" t="s">
        <v>1195</v>
      </c>
      <c r="G4906" s="141" t="s">
        <v>6401</v>
      </c>
      <c r="H4906" s="140" t="s">
        <v>6330</v>
      </c>
      <c r="I4906" s="140" t="s">
        <v>6313</v>
      </c>
      <c r="J4906" s="140" t="s">
        <v>6314</v>
      </c>
      <c r="K4906" s="140" t="s">
        <v>6880</v>
      </c>
    </row>
    <row r="4907">
      <c r="A4907" s="140" t="s">
        <v>12341</v>
      </c>
      <c r="B4907" s="140">
        <v>925166.0</v>
      </c>
      <c r="C4907" s="140" t="s">
        <v>12369</v>
      </c>
      <c r="D4907" s="140" t="s">
        <v>6318</v>
      </c>
      <c r="E4907" s="140" t="s">
        <v>1180</v>
      </c>
      <c r="F4907" s="140" t="s">
        <v>1195</v>
      </c>
      <c r="G4907" s="141" t="s">
        <v>6401</v>
      </c>
      <c r="H4907" s="140" t="s">
        <v>6330</v>
      </c>
      <c r="I4907" s="140" t="s">
        <v>6313</v>
      </c>
      <c r="J4907" s="140" t="s">
        <v>6314</v>
      </c>
      <c r="K4907" s="140" t="s">
        <v>6880</v>
      </c>
    </row>
    <row r="4908">
      <c r="A4908" s="140" t="s">
        <v>12341</v>
      </c>
      <c r="B4908" s="140">
        <v>1722782.0</v>
      </c>
      <c r="C4908" s="140" t="s">
        <v>12370</v>
      </c>
      <c r="D4908" s="140" t="s">
        <v>6318</v>
      </c>
      <c r="E4908" s="140" t="s">
        <v>1180</v>
      </c>
      <c r="F4908" s="140" t="s">
        <v>1195</v>
      </c>
      <c r="G4908" s="141" t="s">
        <v>6401</v>
      </c>
      <c r="H4908" s="140" t="s">
        <v>6330</v>
      </c>
      <c r="I4908" s="140" t="s">
        <v>6313</v>
      </c>
      <c r="J4908" s="140" t="s">
        <v>6314</v>
      </c>
      <c r="K4908" s="140" t="s">
        <v>6880</v>
      </c>
    </row>
    <row r="4909">
      <c r="A4909" s="140" t="s">
        <v>12344</v>
      </c>
      <c r="B4909" s="140">
        <v>2651003.0</v>
      </c>
      <c r="C4909" s="140" t="s">
        <v>12371</v>
      </c>
      <c r="D4909" s="140" t="s">
        <v>6318</v>
      </c>
      <c r="E4909" s="140" t="s">
        <v>1180</v>
      </c>
      <c r="F4909" s="140" t="s">
        <v>1195</v>
      </c>
      <c r="G4909" s="141" t="s">
        <v>6401</v>
      </c>
      <c r="H4909" s="140" t="s">
        <v>6312</v>
      </c>
      <c r="I4909" s="140" t="s">
        <v>6313</v>
      </c>
      <c r="J4909" s="140" t="s">
        <v>6314</v>
      </c>
      <c r="K4909" s="140" t="s">
        <v>6880</v>
      </c>
    </row>
    <row r="4910">
      <c r="A4910" s="140" t="s">
        <v>12344</v>
      </c>
      <c r="B4910" s="140">
        <v>1720432.0</v>
      </c>
      <c r="C4910" s="140" t="s">
        <v>12372</v>
      </c>
      <c r="D4910" s="140" t="s">
        <v>6318</v>
      </c>
      <c r="E4910" s="140" t="s">
        <v>1180</v>
      </c>
      <c r="F4910" s="140" t="s">
        <v>1195</v>
      </c>
      <c r="G4910" s="141" t="s">
        <v>6401</v>
      </c>
      <c r="H4910" s="140" t="s">
        <v>6330</v>
      </c>
      <c r="I4910" s="140" t="s">
        <v>6313</v>
      </c>
      <c r="J4910" s="140" t="s">
        <v>6314</v>
      </c>
      <c r="K4910" s="140" t="s">
        <v>6880</v>
      </c>
    </row>
    <row r="4911">
      <c r="A4911" s="140" t="s">
        <v>12344</v>
      </c>
      <c r="B4911" s="140">
        <v>1720433.0</v>
      </c>
      <c r="C4911" s="140" t="s">
        <v>12373</v>
      </c>
      <c r="D4911" s="140" t="s">
        <v>6318</v>
      </c>
      <c r="E4911" s="140" t="s">
        <v>1180</v>
      </c>
      <c r="F4911" s="140" t="s">
        <v>1195</v>
      </c>
      <c r="G4911" s="141" t="s">
        <v>6401</v>
      </c>
      <c r="H4911" s="140" t="s">
        <v>6330</v>
      </c>
      <c r="I4911" s="140" t="s">
        <v>6313</v>
      </c>
      <c r="J4911" s="140" t="s">
        <v>6314</v>
      </c>
      <c r="K4911" s="140" t="s">
        <v>6880</v>
      </c>
    </row>
    <row r="4912">
      <c r="A4912" s="140" t="s">
        <v>12344</v>
      </c>
      <c r="B4912" s="140">
        <v>1720434.0</v>
      </c>
      <c r="C4912" s="140" t="s">
        <v>12374</v>
      </c>
      <c r="D4912" s="140" t="s">
        <v>6318</v>
      </c>
      <c r="E4912" s="140" t="s">
        <v>1180</v>
      </c>
      <c r="F4912" s="140" t="s">
        <v>1195</v>
      </c>
      <c r="G4912" s="141" t="s">
        <v>6401</v>
      </c>
      <c r="H4912" s="140" t="s">
        <v>6312</v>
      </c>
      <c r="I4912" s="140" t="s">
        <v>6313</v>
      </c>
      <c r="J4912" s="140" t="s">
        <v>6314</v>
      </c>
      <c r="K4912" s="140" t="s">
        <v>6880</v>
      </c>
    </row>
    <row r="4913">
      <c r="A4913" s="140" t="s">
        <v>12344</v>
      </c>
      <c r="B4913" s="140">
        <v>1720662.0</v>
      </c>
      <c r="C4913" s="140" t="s">
        <v>12375</v>
      </c>
      <c r="D4913" s="140" t="s">
        <v>6318</v>
      </c>
      <c r="E4913" s="140" t="s">
        <v>1180</v>
      </c>
      <c r="F4913" s="140" t="s">
        <v>1195</v>
      </c>
      <c r="G4913" s="141" t="s">
        <v>6401</v>
      </c>
      <c r="H4913" s="140" t="s">
        <v>6330</v>
      </c>
      <c r="I4913" s="140" t="s">
        <v>6313</v>
      </c>
      <c r="J4913" s="140" t="s">
        <v>6314</v>
      </c>
      <c r="K4913" s="140" t="s">
        <v>6880</v>
      </c>
    </row>
    <row r="4914">
      <c r="A4914" s="140" t="s">
        <v>12341</v>
      </c>
      <c r="B4914" s="140" t="s">
        <v>2796</v>
      </c>
      <c r="C4914" s="140" t="s">
        <v>12376</v>
      </c>
      <c r="D4914" s="140" t="s">
        <v>6318</v>
      </c>
      <c r="E4914" s="140" t="s">
        <v>1180</v>
      </c>
      <c r="F4914" s="140" t="s">
        <v>1195</v>
      </c>
      <c r="G4914" s="141" t="s">
        <v>6668</v>
      </c>
      <c r="H4914" s="140" t="s">
        <v>6330</v>
      </c>
      <c r="I4914" s="140" t="s">
        <v>6313</v>
      </c>
      <c r="J4914" s="140" t="s">
        <v>6314</v>
      </c>
      <c r="K4914" s="140" t="s">
        <v>6880</v>
      </c>
    </row>
    <row r="4915">
      <c r="A4915" s="140" t="s">
        <v>12341</v>
      </c>
      <c r="B4915" s="140" t="s">
        <v>12377</v>
      </c>
      <c r="C4915" s="140" t="s">
        <v>12378</v>
      </c>
      <c r="D4915" s="140" t="s">
        <v>6318</v>
      </c>
      <c r="E4915" s="140" t="s">
        <v>1180</v>
      </c>
      <c r="F4915" s="140" t="s">
        <v>1195</v>
      </c>
      <c r="G4915" s="141" t="s">
        <v>6668</v>
      </c>
      <c r="H4915" s="140" t="s">
        <v>6330</v>
      </c>
      <c r="I4915" s="140" t="s">
        <v>6313</v>
      </c>
      <c r="J4915" s="140" t="s">
        <v>6314</v>
      </c>
      <c r="K4915" s="140" t="s">
        <v>6880</v>
      </c>
    </row>
    <row r="4916">
      <c r="A4916" s="140" t="s">
        <v>12341</v>
      </c>
      <c r="B4916" s="140" t="s">
        <v>3499</v>
      </c>
      <c r="C4916" s="140" t="s">
        <v>12379</v>
      </c>
      <c r="D4916" s="140" t="s">
        <v>6318</v>
      </c>
      <c r="E4916" s="140" t="s">
        <v>1180</v>
      </c>
      <c r="F4916" s="140" t="s">
        <v>1195</v>
      </c>
      <c r="G4916" s="141" t="s">
        <v>6401</v>
      </c>
      <c r="H4916" s="140" t="s">
        <v>6330</v>
      </c>
      <c r="I4916" s="140" t="s">
        <v>6313</v>
      </c>
      <c r="J4916" s="140" t="s">
        <v>6314</v>
      </c>
      <c r="K4916" s="140" t="s">
        <v>6880</v>
      </c>
    </row>
    <row r="4917">
      <c r="A4917" s="140" t="s">
        <v>12341</v>
      </c>
      <c r="B4917" s="140" t="s">
        <v>2791</v>
      </c>
      <c r="C4917" s="140" t="s">
        <v>12380</v>
      </c>
      <c r="D4917" s="140" t="s">
        <v>6318</v>
      </c>
      <c r="E4917" s="140" t="s">
        <v>1180</v>
      </c>
      <c r="F4917" s="140" t="s">
        <v>1195</v>
      </c>
      <c r="G4917" s="141" t="s">
        <v>6668</v>
      </c>
      <c r="H4917" s="140" t="s">
        <v>6312</v>
      </c>
      <c r="I4917" s="140" t="s">
        <v>6313</v>
      </c>
      <c r="J4917" s="140" t="s">
        <v>6314</v>
      </c>
      <c r="K4917" s="140" t="s">
        <v>6880</v>
      </c>
    </row>
    <row r="4918">
      <c r="A4918" s="140" t="s">
        <v>12341</v>
      </c>
      <c r="B4918" s="140">
        <v>1795456.0</v>
      </c>
      <c r="C4918" s="140" t="s">
        <v>12381</v>
      </c>
      <c r="D4918" s="140" t="s">
        <v>6318</v>
      </c>
      <c r="E4918" s="140" t="s">
        <v>1225</v>
      </c>
      <c r="F4918" s="140" t="s">
        <v>6362</v>
      </c>
      <c r="G4918" s="141" t="s">
        <v>6401</v>
      </c>
      <c r="H4918" s="140" t="s">
        <v>6330</v>
      </c>
      <c r="I4918" s="140" t="s">
        <v>6313</v>
      </c>
      <c r="J4918" s="140" t="s">
        <v>6314</v>
      </c>
      <c r="K4918" s="140" t="s">
        <v>6880</v>
      </c>
    </row>
    <row r="4919">
      <c r="A4919" s="140" t="s">
        <v>12341</v>
      </c>
      <c r="B4919" s="140">
        <v>1715507.0</v>
      </c>
      <c r="C4919" s="140" t="s">
        <v>12382</v>
      </c>
      <c r="D4919" s="140" t="s">
        <v>6318</v>
      </c>
      <c r="E4919" s="140" t="s">
        <v>1323</v>
      </c>
      <c r="F4919" s="140" t="s">
        <v>1340</v>
      </c>
      <c r="G4919" s="141" t="s">
        <v>6401</v>
      </c>
      <c r="H4919" s="140" t="s">
        <v>6330</v>
      </c>
      <c r="I4919" s="140" t="s">
        <v>6313</v>
      </c>
      <c r="J4919" s="140" t="s">
        <v>6314</v>
      </c>
      <c r="K4919" s="140" t="s">
        <v>6880</v>
      </c>
    </row>
    <row r="4920">
      <c r="A4920" s="140" t="s">
        <v>12341</v>
      </c>
      <c r="B4920" s="140">
        <v>8437.0</v>
      </c>
      <c r="C4920" s="140" t="s">
        <v>12383</v>
      </c>
      <c r="D4920" s="140" t="s">
        <v>6318</v>
      </c>
      <c r="E4920" s="140" t="s">
        <v>1323</v>
      </c>
      <c r="F4920" s="140" t="s">
        <v>1340</v>
      </c>
      <c r="G4920" s="141" t="s">
        <v>6668</v>
      </c>
      <c r="H4920" s="140" t="s">
        <v>6330</v>
      </c>
      <c r="I4920" s="140" t="s">
        <v>6313</v>
      </c>
      <c r="J4920" s="140" t="s">
        <v>6314</v>
      </c>
      <c r="K4920" s="140" t="s">
        <v>6880</v>
      </c>
    </row>
    <row r="4921">
      <c r="A4921" s="140" t="s">
        <v>12341</v>
      </c>
      <c r="B4921" s="140">
        <v>1794305.0</v>
      </c>
      <c r="C4921" s="140" t="s">
        <v>12384</v>
      </c>
      <c r="D4921" s="140" t="s">
        <v>6318</v>
      </c>
      <c r="E4921" s="140" t="s">
        <v>1323</v>
      </c>
      <c r="F4921" s="140" t="s">
        <v>1340</v>
      </c>
      <c r="G4921" s="141" t="s">
        <v>6401</v>
      </c>
      <c r="H4921" s="140" t="s">
        <v>6312</v>
      </c>
      <c r="I4921" s="140" t="s">
        <v>6313</v>
      </c>
      <c r="J4921" s="140" t="s">
        <v>6314</v>
      </c>
      <c r="K4921" s="140" t="s">
        <v>6880</v>
      </c>
    </row>
    <row r="4922">
      <c r="A4922" s="140" t="s">
        <v>12341</v>
      </c>
      <c r="B4922" s="140">
        <v>1796402.0</v>
      </c>
      <c r="C4922" s="140" t="s">
        <v>12385</v>
      </c>
      <c r="D4922" s="140" t="s">
        <v>6318</v>
      </c>
      <c r="E4922" s="140" t="s">
        <v>1395</v>
      </c>
      <c r="F4922" s="140" t="s">
        <v>1399</v>
      </c>
      <c r="G4922" s="141" t="s">
        <v>6668</v>
      </c>
      <c r="H4922" s="140" t="s">
        <v>6330</v>
      </c>
      <c r="I4922" s="140" t="s">
        <v>6313</v>
      </c>
      <c r="J4922" s="140" t="s">
        <v>6314</v>
      </c>
      <c r="K4922" s="140" t="s">
        <v>6880</v>
      </c>
    </row>
    <row r="4923">
      <c r="A4923" s="140" t="s">
        <v>12341</v>
      </c>
      <c r="B4923" s="140">
        <v>1700887.0</v>
      </c>
      <c r="C4923" s="140" t="s">
        <v>12386</v>
      </c>
      <c r="D4923" s="140" t="s">
        <v>6318</v>
      </c>
      <c r="E4923" s="140" t="s">
        <v>1395</v>
      </c>
      <c r="F4923" s="140" t="s">
        <v>1408</v>
      </c>
      <c r="G4923" s="141" t="s">
        <v>6668</v>
      </c>
      <c r="H4923" s="140" t="s">
        <v>6330</v>
      </c>
      <c r="I4923" s="140" t="s">
        <v>6313</v>
      </c>
      <c r="J4923" s="140" t="s">
        <v>6314</v>
      </c>
      <c r="K4923" s="140" t="s">
        <v>6880</v>
      </c>
    </row>
    <row r="4924">
      <c r="A4924" s="140" t="s">
        <v>12387</v>
      </c>
      <c r="B4924" s="140" t="s">
        <v>12388</v>
      </c>
      <c r="C4924" s="140" t="s">
        <v>12389</v>
      </c>
      <c r="D4924" s="140" t="s">
        <v>6309</v>
      </c>
      <c r="E4924" s="140" t="s">
        <v>1223</v>
      </c>
      <c r="F4924" s="140" t="s">
        <v>1223</v>
      </c>
      <c r="G4924" s="141" t="s">
        <v>6401</v>
      </c>
      <c r="H4924" s="140" t="s">
        <v>6312</v>
      </c>
      <c r="I4924" s="140" t="s">
        <v>6313</v>
      </c>
      <c r="J4924" s="140" t="s">
        <v>6314</v>
      </c>
      <c r="K4924" s="140" t="s">
        <v>12390</v>
      </c>
    </row>
    <row r="4925">
      <c r="A4925" s="140" t="s">
        <v>12387</v>
      </c>
      <c r="B4925" s="140" t="s">
        <v>12391</v>
      </c>
      <c r="C4925" s="140" t="s">
        <v>12392</v>
      </c>
      <c r="D4925" s="140" t="s">
        <v>6309</v>
      </c>
      <c r="E4925" s="140" t="s">
        <v>1223</v>
      </c>
      <c r="F4925" s="140" t="s">
        <v>1223</v>
      </c>
      <c r="G4925" s="141" t="s">
        <v>6401</v>
      </c>
      <c r="H4925" s="140" t="s">
        <v>6312</v>
      </c>
      <c r="I4925" s="140" t="s">
        <v>6313</v>
      </c>
      <c r="J4925" s="140" t="s">
        <v>6314</v>
      </c>
      <c r="K4925" s="140" t="s">
        <v>12390</v>
      </c>
    </row>
    <row r="4926">
      <c r="A4926" s="140" t="s">
        <v>12387</v>
      </c>
      <c r="B4926" s="140" t="s">
        <v>12393</v>
      </c>
      <c r="C4926" s="140" t="s">
        <v>12394</v>
      </c>
      <c r="D4926" s="140" t="s">
        <v>6309</v>
      </c>
      <c r="E4926" s="140" t="s">
        <v>1223</v>
      </c>
      <c r="F4926" s="140" t="s">
        <v>1223</v>
      </c>
      <c r="G4926" s="141" t="s">
        <v>6401</v>
      </c>
      <c r="H4926" s="140" t="s">
        <v>6312</v>
      </c>
      <c r="I4926" s="140" t="s">
        <v>6313</v>
      </c>
      <c r="J4926" s="140" t="s">
        <v>6314</v>
      </c>
      <c r="K4926" s="140" t="s">
        <v>12390</v>
      </c>
    </row>
    <row r="4927">
      <c r="A4927" s="140" t="s">
        <v>12387</v>
      </c>
      <c r="B4927" s="140" t="s">
        <v>12395</v>
      </c>
      <c r="C4927" s="140" t="s">
        <v>12396</v>
      </c>
      <c r="D4927" s="140" t="s">
        <v>6309</v>
      </c>
      <c r="E4927" s="140" t="s">
        <v>1223</v>
      </c>
      <c r="F4927" s="140" t="s">
        <v>1223</v>
      </c>
      <c r="G4927" s="141" t="s">
        <v>6401</v>
      </c>
      <c r="H4927" s="140" t="s">
        <v>6312</v>
      </c>
      <c r="I4927" s="140" t="s">
        <v>6313</v>
      </c>
      <c r="J4927" s="140" t="s">
        <v>6314</v>
      </c>
      <c r="K4927" s="140" t="s">
        <v>12390</v>
      </c>
    </row>
    <row r="4928">
      <c r="A4928" s="140" t="s">
        <v>12387</v>
      </c>
      <c r="B4928" s="140" t="s">
        <v>12397</v>
      </c>
      <c r="C4928" s="140" t="s">
        <v>12398</v>
      </c>
      <c r="D4928" s="140" t="s">
        <v>6309</v>
      </c>
      <c r="E4928" s="140" t="s">
        <v>1223</v>
      </c>
      <c r="F4928" s="140" t="s">
        <v>1223</v>
      </c>
      <c r="G4928" s="141" t="s">
        <v>6401</v>
      </c>
      <c r="H4928" s="140" t="s">
        <v>6312</v>
      </c>
      <c r="I4928" s="140" t="s">
        <v>6313</v>
      </c>
      <c r="J4928" s="140" t="s">
        <v>6314</v>
      </c>
      <c r="K4928" s="140" t="s">
        <v>12390</v>
      </c>
    </row>
    <row r="4929">
      <c r="A4929" s="140" t="s">
        <v>12387</v>
      </c>
      <c r="B4929" s="140" t="s">
        <v>12399</v>
      </c>
      <c r="C4929" s="140" t="s">
        <v>12400</v>
      </c>
      <c r="D4929" s="140" t="s">
        <v>6309</v>
      </c>
      <c r="E4929" s="140" t="s">
        <v>1223</v>
      </c>
      <c r="F4929" s="140" t="s">
        <v>1223</v>
      </c>
      <c r="G4929" s="141" t="s">
        <v>6401</v>
      </c>
      <c r="H4929" s="140" t="s">
        <v>6312</v>
      </c>
      <c r="I4929" s="140" t="s">
        <v>6313</v>
      </c>
      <c r="J4929" s="140" t="s">
        <v>6314</v>
      </c>
      <c r="K4929" s="140" t="s">
        <v>12390</v>
      </c>
    </row>
    <row r="4930">
      <c r="A4930" s="140" t="s">
        <v>12387</v>
      </c>
      <c r="B4930" s="140" t="s">
        <v>12401</v>
      </c>
      <c r="C4930" s="140" t="s">
        <v>12402</v>
      </c>
      <c r="D4930" s="140" t="s">
        <v>6309</v>
      </c>
      <c r="E4930" s="140" t="s">
        <v>1223</v>
      </c>
      <c r="F4930" s="140" t="s">
        <v>1223</v>
      </c>
      <c r="G4930" s="141" t="s">
        <v>6401</v>
      </c>
      <c r="H4930" s="140" t="s">
        <v>6312</v>
      </c>
      <c r="I4930" s="140" t="s">
        <v>6313</v>
      </c>
      <c r="J4930" s="140" t="s">
        <v>6314</v>
      </c>
      <c r="K4930" s="140" t="s">
        <v>12390</v>
      </c>
    </row>
    <row r="4931">
      <c r="A4931" s="140" t="s">
        <v>12387</v>
      </c>
      <c r="B4931" s="143">
        <v>1.50341E12</v>
      </c>
      <c r="C4931" s="140" t="s">
        <v>12403</v>
      </c>
      <c r="D4931" s="140" t="s">
        <v>6309</v>
      </c>
      <c r="E4931" s="140" t="s">
        <v>1223</v>
      </c>
      <c r="F4931" s="140" t="s">
        <v>1223</v>
      </c>
      <c r="G4931" s="141" t="s">
        <v>6401</v>
      </c>
      <c r="H4931" s="140" t="s">
        <v>6312</v>
      </c>
      <c r="I4931" s="140" t="s">
        <v>6313</v>
      </c>
      <c r="J4931" s="140" t="s">
        <v>6314</v>
      </c>
      <c r="K4931" s="140" t="s">
        <v>12390</v>
      </c>
    </row>
    <row r="4932">
      <c r="A4932" s="140" t="s">
        <v>12387</v>
      </c>
      <c r="B4932" s="143">
        <v>1.50341E12</v>
      </c>
      <c r="C4932" s="140" t="s">
        <v>12404</v>
      </c>
      <c r="D4932" s="140" t="s">
        <v>6309</v>
      </c>
      <c r="E4932" s="140" t="s">
        <v>1223</v>
      </c>
      <c r="F4932" s="140" t="s">
        <v>1223</v>
      </c>
      <c r="G4932" s="141" t="s">
        <v>6401</v>
      </c>
      <c r="H4932" s="140" t="s">
        <v>6312</v>
      </c>
      <c r="I4932" s="140" t="s">
        <v>6313</v>
      </c>
      <c r="J4932" s="140" t="s">
        <v>6314</v>
      </c>
      <c r="K4932" s="140" t="s">
        <v>12390</v>
      </c>
    </row>
    <row r="4933">
      <c r="A4933" s="140" t="s">
        <v>12405</v>
      </c>
      <c r="B4933" s="140" t="s">
        <v>3314</v>
      </c>
      <c r="C4933" s="140" t="s">
        <v>12406</v>
      </c>
      <c r="D4933" s="140" t="s">
        <v>6309</v>
      </c>
      <c r="E4933" s="140" t="s">
        <v>1223</v>
      </c>
      <c r="F4933" s="140" t="s">
        <v>6414</v>
      </c>
      <c r="G4933" s="141" t="s">
        <v>6401</v>
      </c>
      <c r="H4933" s="140" t="s">
        <v>6312</v>
      </c>
      <c r="I4933" s="140" t="s">
        <v>6313</v>
      </c>
      <c r="J4933" s="140" t="s">
        <v>6314</v>
      </c>
      <c r="K4933" s="140" t="s">
        <v>12405</v>
      </c>
    </row>
    <row r="4934">
      <c r="A4934" s="140" t="s">
        <v>12405</v>
      </c>
      <c r="B4934" s="140" t="s">
        <v>5532</v>
      </c>
      <c r="C4934" s="140" t="s">
        <v>12407</v>
      </c>
      <c r="D4934" s="140" t="s">
        <v>6309</v>
      </c>
      <c r="E4934" s="140" t="s">
        <v>1223</v>
      </c>
      <c r="F4934" s="140" t="s">
        <v>6414</v>
      </c>
      <c r="G4934" s="141" t="s">
        <v>6401</v>
      </c>
      <c r="H4934" s="140" t="s">
        <v>6312</v>
      </c>
      <c r="I4934" s="140" t="s">
        <v>6313</v>
      </c>
      <c r="J4934" s="140" t="s">
        <v>6314</v>
      </c>
      <c r="K4934" s="140" t="s">
        <v>12405</v>
      </c>
    </row>
    <row r="4935">
      <c r="A4935" s="140" t="s">
        <v>12405</v>
      </c>
      <c r="B4935" s="140" t="s">
        <v>4405</v>
      </c>
      <c r="C4935" s="140" t="s">
        <v>12408</v>
      </c>
      <c r="D4935" s="140" t="s">
        <v>6309</v>
      </c>
      <c r="E4935" s="140" t="s">
        <v>1223</v>
      </c>
      <c r="F4935" s="140" t="s">
        <v>6414</v>
      </c>
      <c r="G4935" s="141" t="s">
        <v>6401</v>
      </c>
      <c r="H4935" s="140" t="s">
        <v>6312</v>
      </c>
      <c r="I4935" s="140" t="s">
        <v>6313</v>
      </c>
      <c r="J4935" s="140" t="s">
        <v>6314</v>
      </c>
      <c r="K4935" s="140" t="s">
        <v>12405</v>
      </c>
    </row>
    <row r="4936">
      <c r="A4936" s="140" t="s">
        <v>12405</v>
      </c>
      <c r="B4936" s="140" t="s">
        <v>12409</v>
      </c>
      <c r="C4936" s="140" t="s">
        <v>12410</v>
      </c>
      <c r="D4936" s="140" t="s">
        <v>6309</v>
      </c>
      <c r="E4936" s="140" t="s">
        <v>1223</v>
      </c>
      <c r="F4936" s="140" t="s">
        <v>6414</v>
      </c>
      <c r="G4936" s="141" t="s">
        <v>6401</v>
      </c>
      <c r="H4936" s="140" t="s">
        <v>6312</v>
      </c>
      <c r="I4936" s="140" t="s">
        <v>6313</v>
      </c>
      <c r="J4936" s="140" t="s">
        <v>6314</v>
      </c>
      <c r="K4936" s="140" t="s">
        <v>12405</v>
      </c>
    </row>
    <row r="4937">
      <c r="A4937" s="140" t="s">
        <v>12405</v>
      </c>
      <c r="B4937" s="140" t="s">
        <v>12411</v>
      </c>
      <c r="C4937" s="140" t="s">
        <v>12412</v>
      </c>
      <c r="D4937" s="140" t="s">
        <v>6309</v>
      </c>
      <c r="E4937" s="140" t="s">
        <v>1223</v>
      </c>
      <c r="F4937" s="140" t="s">
        <v>12413</v>
      </c>
      <c r="G4937" s="141" t="s">
        <v>6401</v>
      </c>
      <c r="H4937" s="140" t="s">
        <v>6312</v>
      </c>
      <c r="I4937" s="140" t="s">
        <v>6313</v>
      </c>
      <c r="J4937" s="140" t="s">
        <v>6314</v>
      </c>
      <c r="K4937" s="140" t="s">
        <v>12405</v>
      </c>
    </row>
    <row r="4938">
      <c r="A4938" s="140" t="s">
        <v>12405</v>
      </c>
      <c r="B4938" s="140" t="s">
        <v>12414</v>
      </c>
      <c r="C4938" s="140" t="s">
        <v>12415</v>
      </c>
      <c r="D4938" s="140" t="s">
        <v>6309</v>
      </c>
      <c r="E4938" s="140" t="s">
        <v>1223</v>
      </c>
      <c r="F4938" s="140" t="s">
        <v>12413</v>
      </c>
      <c r="G4938" s="141" t="s">
        <v>6401</v>
      </c>
      <c r="H4938" s="140" t="s">
        <v>6312</v>
      </c>
      <c r="I4938" s="140" t="s">
        <v>6313</v>
      </c>
      <c r="J4938" s="140" t="s">
        <v>6314</v>
      </c>
      <c r="K4938" s="140" t="s">
        <v>12405</v>
      </c>
    </row>
    <row r="4939">
      <c r="A4939" s="140" t="s">
        <v>12405</v>
      </c>
      <c r="B4939" s="140" t="s">
        <v>5465</v>
      </c>
      <c r="C4939" s="140" t="s">
        <v>12416</v>
      </c>
      <c r="D4939" s="140" t="s">
        <v>6309</v>
      </c>
      <c r="E4939" s="140" t="s">
        <v>1223</v>
      </c>
      <c r="F4939" s="140" t="s">
        <v>12413</v>
      </c>
      <c r="G4939" s="141" t="s">
        <v>6401</v>
      </c>
      <c r="H4939" s="140" t="s">
        <v>6312</v>
      </c>
      <c r="I4939" s="140" t="s">
        <v>6313</v>
      </c>
      <c r="J4939" s="140" t="s">
        <v>6314</v>
      </c>
      <c r="K4939" s="140" t="s">
        <v>12405</v>
      </c>
    </row>
    <row r="4940">
      <c r="A4940" s="140" t="s">
        <v>12405</v>
      </c>
      <c r="B4940" s="140" t="s">
        <v>12417</v>
      </c>
      <c r="C4940" s="140" t="s">
        <v>12418</v>
      </c>
      <c r="D4940" s="140" t="s">
        <v>6309</v>
      </c>
      <c r="E4940" s="140" t="s">
        <v>1223</v>
      </c>
      <c r="F4940" s="140" t="s">
        <v>12413</v>
      </c>
      <c r="G4940" s="141" t="s">
        <v>6401</v>
      </c>
      <c r="H4940" s="140" t="s">
        <v>6312</v>
      </c>
      <c r="I4940" s="140" t="s">
        <v>6313</v>
      </c>
      <c r="J4940" s="140" t="s">
        <v>6314</v>
      </c>
      <c r="K4940" s="140" t="s">
        <v>12405</v>
      </c>
    </row>
    <row r="4941">
      <c r="A4941" s="140" t="s">
        <v>12405</v>
      </c>
      <c r="B4941" s="140" t="s">
        <v>12419</v>
      </c>
      <c r="C4941" s="140" t="s">
        <v>12420</v>
      </c>
      <c r="D4941" s="140" t="s">
        <v>6309</v>
      </c>
      <c r="E4941" s="140" t="s">
        <v>1223</v>
      </c>
      <c r="F4941" s="140" t="s">
        <v>12413</v>
      </c>
      <c r="G4941" s="141" t="s">
        <v>6401</v>
      </c>
      <c r="H4941" s="140" t="s">
        <v>6312</v>
      </c>
      <c r="I4941" s="140" t="s">
        <v>6313</v>
      </c>
      <c r="J4941" s="140" t="s">
        <v>6314</v>
      </c>
      <c r="K4941" s="140" t="s">
        <v>12405</v>
      </c>
    </row>
    <row r="4942">
      <c r="A4942" s="140" t="s">
        <v>12405</v>
      </c>
      <c r="B4942" s="140" t="s">
        <v>12421</v>
      </c>
      <c r="C4942" s="140" t="s">
        <v>12422</v>
      </c>
      <c r="D4942" s="140" t="s">
        <v>6309</v>
      </c>
      <c r="E4942" s="140" t="s">
        <v>1223</v>
      </c>
      <c r="F4942" s="140" t="s">
        <v>12413</v>
      </c>
      <c r="G4942" s="141" t="s">
        <v>6401</v>
      </c>
      <c r="H4942" s="140" t="s">
        <v>6312</v>
      </c>
      <c r="I4942" s="140" t="s">
        <v>6313</v>
      </c>
      <c r="J4942" s="140" t="s">
        <v>6314</v>
      </c>
      <c r="K4942" s="140" t="s">
        <v>12405</v>
      </c>
    </row>
    <row r="4943">
      <c r="A4943" s="140" t="s">
        <v>12405</v>
      </c>
      <c r="B4943" s="140" t="s">
        <v>4638</v>
      </c>
      <c r="C4943" s="140" t="s">
        <v>12423</v>
      </c>
      <c r="D4943" s="140" t="s">
        <v>6309</v>
      </c>
      <c r="E4943" s="140" t="s">
        <v>1223</v>
      </c>
      <c r="F4943" s="140" t="s">
        <v>12413</v>
      </c>
      <c r="G4943" s="141" t="s">
        <v>6401</v>
      </c>
      <c r="H4943" s="140" t="s">
        <v>6312</v>
      </c>
      <c r="I4943" s="140" t="s">
        <v>6313</v>
      </c>
      <c r="J4943" s="140" t="s">
        <v>6314</v>
      </c>
      <c r="K4943" s="140" t="s">
        <v>12405</v>
      </c>
    </row>
    <row r="4944">
      <c r="A4944" s="140" t="s">
        <v>12405</v>
      </c>
      <c r="B4944" s="140" t="s">
        <v>12424</v>
      </c>
      <c r="C4944" s="140" t="s">
        <v>12425</v>
      </c>
      <c r="D4944" s="140" t="s">
        <v>6309</v>
      </c>
      <c r="E4944" s="140" t="s">
        <v>1223</v>
      </c>
      <c r="F4944" s="140" t="s">
        <v>12413</v>
      </c>
      <c r="G4944" s="141" t="s">
        <v>6401</v>
      </c>
      <c r="H4944" s="140" t="s">
        <v>6312</v>
      </c>
      <c r="I4944" s="140" t="s">
        <v>6313</v>
      </c>
      <c r="J4944" s="140" t="s">
        <v>6314</v>
      </c>
      <c r="K4944" s="140" t="s">
        <v>12405</v>
      </c>
    </row>
    <row r="4945">
      <c r="A4945" s="140" t="s">
        <v>12405</v>
      </c>
      <c r="B4945" s="140" t="s">
        <v>12426</v>
      </c>
      <c r="C4945" s="140" t="s">
        <v>12427</v>
      </c>
      <c r="D4945" s="140" t="s">
        <v>6309</v>
      </c>
      <c r="E4945" s="140" t="s">
        <v>1223</v>
      </c>
      <c r="F4945" s="140" t="s">
        <v>12413</v>
      </c>
      <c r="G4945" s="141" t="s">
        <v>6401</v>
      </c>
      <c r="H4945" s="140" t="s">
        <v>6312</v>
      </c>
      <c r="I4945" s="140" t="s">
        <v>6313</v>
      </c>
      <c r="J4945" s="140" t="s">
        <v>6314</v>
      </c>
      <c r="K4945" s="140" t="s">
        <v>12405</v>
      </c>
    </row>
    <row r="4946">
      <c r="A4946" s="140" t="s">
        <v>12405</v>
      </c>
      <c r="B4946" s="140" t="s">
        <v>12428</v>
      </c>
      <c r="C4946" s="140" t="s">
        <v>12429</v>
      </c>
      <c r="D4946" s="140" t="s">
        <v>6309</v>
      </c>
      <c r="E4946" s="140" t="s">
        <v>1223</v>
      </c>
      <c r="F4946" s="140" t="s">
        <v>12413</v>
      </c>
      <c r="G4946" s="141" t="s">
        <v>6401</v>
      </c>
      <c r="H4946" s="140" t="s">
        <v>6312</v>
      </c>
      <c r="I4946" s="140" t="s">
        <v>6313</v>
      </c>
      <c r="J4946" s="140" t="s">
        <v>6314</v>
      </c>
      <c r="K4946" s="140" t="s">
        <v>12405</v>
      </c>
    </row>
    <row r="4947">
      <c r="A4947" s="140" t="s">
        <v>12405</v>
      </c>
      <c r="B4947" s="140" t="s">
        <v>4816</v>
      </c>
      <c r="C4947" s="140" t="s">
        <v>12430</v>
      </c>
      <c r="D4947" s="140" t="s">
        <v>6309</v>
      </c>
      <c r="E4947" s="140" t="s">
        <v>1223</v>
      </c>
      <c r="F4947" s="140" t="s">
        <v>12413</v>
      </c>
      <c r="G4947" s="141" t="s">
        <v>6401</v>
      </c>
      <c r="H4947" s="140" t="s">
        <v>6312</v>
      </c>
      <c r="I4947" s="140" t="s">
        <v>6313</v>
      </c>
      <c r="J4947" s="140" t="s">
        <v>6314</v>
      </c>
      <c r="K4947" s="140" t="s">
        <v>12405</v>
      </c>
    </row>
    <row r="4948">
      <c r="A4948" s="140" t="s">
        <v>12405</v>
      </c>
      <c r="B4948" s="140" t="s">
        <v>5534</v>
      </c>
      <c r="C4948" s="140" t="s">
        <v>12431</v>
      </c>
      <c r="D4948" s="140" t="s">
        <v>6309</v>
      </c>
      <c r="E4948" s="140" t="s">
        <v>1223</v>
      </c>
      <c r="F4948" s="140" t="s">
        <v>12413</v>
      </c>
      <c r="G4948" s="141" t="s">
        <v>6401</v>
      </c>
      <c r="H4948" s="140" t="s">
        <v>6312</v>
      </c>
      <c r="I4948" s="140" t="s">
        <v>6313</v>
      </c>
      <c r="J4948" s="140" t="s">
        <v>6314</v>
      </c>
      <c r="K4948" s="140" t="s">
        <v>12405</v>
      </c>
    </row>
    <row r="4949">
      <c r="A4949" s="140" t="s">
        <v>12432</v>
      </c>
      <c r="B4949" s="140">
        <v>3406.0</v>
      </c>
      <c r="C4949" s="140" t="s">
        <v>12433</v>
      </c>
      <c r="D4949" s="140" t="s">
        <v>7874</v>
      </c>
      <c r="E4949" s="140" t="s">
        <v>7879</v>
      </c>
      <c r="F4949" s="140" t="s">
        <v>9838</v>
      </c>
      <c r="G4949" s="141" t="s">
        <v>6401</v>
      </c>
      <c r="H4949" s="140" t="s">
        <v>6312</v>
      </c>
      <c r="I4949" s="140" t="s">
        <v>6313</v>
      </c>
      <c r="J4949" s="140" t="s">
        <v>6314</v>
      </c>
      <c r="K4949" s="140" t="s">
        <v>8996</v>
      </c>
    </row>
    <row r="4950">
      <c r="A4950" s="140" t="s">
        <v>12432</v>
      </c>
      <c r="B4950" s="140">
        <v>1592.0</v>
      </c>
      <c r="C4950" s="140" t="s">
        <v>12434</v>
      </c>
      <c r="D4950" s="140" t="s">
        <v>7874</v>
      </c>
      <c r="E4950" s="140" t="s">
        <v>7879</v>
      </c>
      <c r="F4950" s="140" t="s">
        <v>9838</v>
      </c>
      <c r="G4950" s="141" t="s">
        <v>6401</v>
      </c>
      <c r="H4950" s="140" t="s">
        <v>6312</v>
      </c>
      <c r="I4950" s="140" t="s">
        <v>6313</v>
      </c>
      <c r="J4950" s="140" t="s">
        <v>6314</v>
      </c>
      <c r="K4950" s="140" t="s">
        <v>8996</v>
      </c>
    </row>
    <row r="4951">
      <c r="A4951" s="140" t="s">
        <v>12432</v>
      </c>
      <c r="B4951" s="140">
        <v>6055.0</v>
      </c>
      <c r="C4951" s="140" t="s">
        <v>12435</v>
      </c>
      <c r="D4951" s="140" t="s">
        <v>7874</v>
      </c>
      <c r="E4951" s="140" t="s">
        <v>7879</v>
      </c>
      <c r="F4951" s="140" t="s">
        <v>9838</v>
      </c>
      <c r="G4951" s="141" t="s">
        <v>6401</v>
      </c>
      <c r="H4951" s="140" t="s">
        <v>6312</v>
      </c>
      <c r="I4951" s="140" t="s">
        <v>6313</v>
      </c>
      <c r="J4951" s="140" t="s">
        <v>6314</v>
      </c>
      <c r="K4951" s="140" t="s">
        <v>8996</v>
      </c>
    </row>
    <row r="4952">
      <c r="A4952" s="140" t="s">
        <v>12432</v>
      </c>
      <c r="B4952" s="140">
        <v>6052.0</v>
      </c>
      <c r="C4952" s="140" t="s">
        <v>12436</v>
      </c>
      <c r="D4952" s="140" t="s">
        <v>7874</v>
      </c>
      <c r="E4952" s="140" t="s">
        <v>7879</v>
      </c>
      <c r="F4952" s="140" t="s">
        <v>9838</v>
      </c>
      <c r="G4952" s="141" t="s">
        <v>6401</v>
      </c>
      <c r="H4952" s="140" t="s">
        <v>6312</v>
      </c>
      <c r="I4952" s="140" t="s">
        <v>6313</v>
      </c>
      <c r="J4952" s="140" t="s">
        <v>6314</v>
      </c>
      <c r="K4952" s="140" t="s">
        <v>8996</v>
      </c>
    </row>
    <row r="4953">
      <c r="A4953" s="140" t="s">
        <v>12432</v>
      </c>
      <c r="B4953" s="140">
        <v>6051.0</v>
      </c>
      <c r="C4953" s="140" t="s">
        <v>12437</v>
      </c>
      <c r="D4953" s="140" t="s">
        <v>7874</v>
      </c>
      <c r="E4953" s="140" t="s">
        <v>7879</v>
      </c>
      <c r="F4953" s="140" t="s">
        <v>9838</v>
      </c>
      <c r="G4953" s="141" t="s">
        <v>6401</v>
      </c>
      <c r="H4953" s="140" t="s">
        <v>6312</v>
      </c>
      <c r="I4953" s="140" t="s">
        <v>6313</v>
      </c>
      <c r="J4953" s="140" t="s">
        <v>6314</v>
      </c>
      <c r="K4953" s="140" t="s">
        <v>8996</v>
      </c>
    </row>
    <row r="4954">
      <c r="A4954" s="140" t="s">
        <v>12432</v>
      </c>
      <c r="B4954" s="140">
        <v>6057.0</v>
      </c>
      <c r="C4954" s="140" t="s">
        <v>12438</v>
      </c>
      <c r="D4954" s="140" t="s">
        <v>7874</v>
      </c>
      <c r="E4954" s="140" t="s">
        <v>7879</v>
      </c>
      <c r="F4954" s="140" t="s">
        <v>9838</v>
      </c>
      <c r="G4954" s="141" t="s">
        <v>6401</v>
      </c>
      <c r="H4954" s="140" t="s">
        <v>6312</v>
      </c>
      <c r="I4954" s="140" t="s">
        <v>6313</v>
      </c>
      <c r="J4954" s="140" t="s">
        <v>6314</v>
      </c>
      <c r="K4954" s="140" t="s">
        <v>8996</v>
      </c>
    </row>
    <row r="4955">
      <c r="A4955" s="140" t="s">
        <v>12439</v>
      </c>
      <c r="B4955" s="140" t="s">
        <v>2937</v>
      </c>
      <c r="C4955" s="140" t="s">
        <v>12440</v>
      </c>
      <c r="D4955" s="140" t="s">
        <v>6318</v>
      </c>
      <c r="E4955" s="140" t="s">
        <v>1631</v>
      </c>
      <c r="F4955" s="140" t="s">
        <v>12441</v>
      </c>
      <c r="G4955" s="141" t="s">
        <v>6401</v>
      </c>
      <c r="H4955" s="140" t="s">
        <v>6312</v>
      </c>
      <c r="I4955" s="140" t="s">
        <v>6313</v>
      </c>
      <c r="J4955" s="140" t="s">
        <v>6314</v>
      </c>
      <c r="K4955" s="140" t="s">
        <v>12439</v>
      </c>
    </row>
    <row r="4956">
      <c r="A4956" s="140" t="s">
        <v>12439</v>
      </c>
      <c r="B4956" s="140" t="s">
        <v>12442</v>
      </c>
      <c r="C4956" s="140" t="s">
        <v>12443</v>
      </c>
      <c r="D4956" s="140" t="s">
        <v>6318</v>
      </c>
      <c r="E4956" s="140" t="s">
        <v>1631</v>
      </c>
      <c r="F4956" s="140" t="s">
        <v>12441</v>
      </c>
      <c r="G4956" s="141" t="s">
        <v>6668</v>
      </c>
      <c r="H4956" s="140" t="s">
        <v>6312</v>
      </c>
      <c r="I4956" s="140" t="s">
        <v>6313</v>
      </c>
      <c r="J4956" s="140" t="s">
        <v>6314</v>
      </c>
      <c r="K4956" s="140" t="s">
        <v>12439</v>
      </c>
    </row>
    <row r="4957">
      <c r="A4957" s="140" t="s">
        <v>12439</v>
      </c>
      <c r="B4957" s="140" t="s">
        <v>12444</v>
      </c>
      <c r="C4957" s="140" t="s">
        <v>12445</v>
      </c>
      <c r="D4957" s="140" t="s">
        <v>6318</v>
      </c>
      <c r="E4957" s="140" t="s">
        <v>1631</v>
      </c>
      <c r="F4957" s="140" t="s">
        <v>12441</v>
      </c>
      <c r="G4957" s="141" t="s">
        <v>6401</v>
      </c>
      <c r="H4957" s="140" t="s">
        <v>6312</v>
      </c>
      <c r="I4957" s="140" t="s">
        <v>6313</v>
      </c>
      <c r="J4957" s="140" t="s">
        <v>6314</v>
      </c>
      <c r="K4957" s="140" t="s">
        <v>12439</v>
      </c>
    </row>
    <row r="4958">
      <c r="A4958" s="140" t="s">
        <v>12439</v>
      </c>
      <c r="B4958" s="140" t="s">
        <v>5655</v>
      </c>
      <c r="C4958" s="140" t="s">
        <v>12446</v>
      </c>
      <c r="D4958" s="140" t="s">
        <v>6318</v>
      </c>
      <c r="E4958" s="140" t="s">
        <v>1631</v>
      </c>
      <c r="F4958" s="140" t="s">
        <v>12441</v>
      </c>
      <c r="G4958" s="141" t="s">
        <v>6401</v>
      </c>
      <c r="H4958" s="140" t="s">
        <v>6312</v>
      </c>
      <c r="I4958" s="140" t="s">
        <v>6313</v>
      </c>
      <c r="J4958" s="140" t="s">
        <v>6314</v>
      </c>
      <c r="K4958" s="140" t="s">
        <v>12439</v>
      </c>
    </row>
    <row r="4959">
      <c r="A4959" s="140" t="s">
        <v>12439</v>
      </c>
      <c r="B4959" s="140" t="s">
        <v>12447</v>
      </c>
      <c r="C4959" s="140" t="s">
        <v>12448</v>
      </c>
      <c r="D4959" s="140" t="s">
        <v>6318</v>
      </c>
      <c r="E4959" s="140" t="s">
        <v>1631</v>
      </c>
      <c r="F4959" s="140" t="s">
        <v>9899</v>
      </c>
      <c r="G4959" s="141" t="s">
        <v>6304</v>
      </c>
      <c r="H4959" s="140" t="s">
        <v>6312</v>
      </c>
      <c r="I4959" s="140" t="s">
        <v>6527</v>
      </c>
      <c r="J4959" s="140" t="s">
        <v>6314</v>
      </c>
      <c r="K4959" s="140" t="s">
        <v>12439</v>
      </c>
    </row>
    <row r="4960">
      <c r="A4960" s="140" t="s">
        <v>12439</v>
      </c>
      <c r="B4960" s="140" t="s">
        <v>12449</v>
      </c>
      <c r="C4960" s="140" t="s">
        <v>12450</v>
      </c>
      <c r="D4960" s="140" t="s">
        <v>6318</v>
      </c>
      <c r="E4960" s="140" t="s">
        <v>1631</v>
      </c>
      <c r="F4960" s="140" t="s">
        <v>9899</v>
      </c>
      <c r="G4960" s="141" t="s">
        <v>6304</v>
      </c>
      <c r="H4960" s="140" t="s">
        <v>6312</v>
      </c>
      <c r="I4960" s="140" t="s">
        <v>6527</v>
      </c>
      <c r="J4960" s="140" t="s">
        <v>6314</v>
      </c>
      <c r="K4960" s="140" t="s">
        <v>12439</v>
      </c>
    </row>
    <row r="4961">
      <c r="A4961" s="140" t="s">
        <v>12439</v>
      </c>
      <c r="B4961" s="140" t="s">
        <v>12451</v>
      </c>
      <c r="C4961" s="140" t="s">
        <v>12452</v>
      </c>
      <c r="D4961" s="140" t="s">
        <v>6318</v>
      </c>
      <c r="E4961" s="140" t="s">
        <v>1631</v>
      </c>
      <c r="F4961" s="140" t="s">
        <v>9899</v>
      </c>
      <c r="G4961" s="141" t="s">
        <v>6304</v>
      </c>
      <c r="H4961" s="140" t="s">
        <v>6312</v>
      </c>
      <c r="I4961" s="140" t="s">
        <v>6527</v>
      </c>
      <c r="J4961" s="140" t="s">
        <v>6314</v>
      </c>
      <c r="K4961" s="140" t="s">
        <v>12439</v>
      </c>
    </row>
    <row r="4962">
      <c r="A4962" s="140" t="s">
        <v>12439</v>
      </c>
      <c r="B4962" s="140" t="s">
        <v>12453</v>
      </c>
      <c r="C4962" s="140" t="s">
        <v>12454</v>
      </c>
      <c r="D4962" s="140" t="s">
        <v>6318</v>
      </c>
      <c r="E4962" s="140" t="s">
        <v>1631</v>
      </c>
      <c r="F4962" s="140" t="s">
        <v>9899</v>
      </c>
      <c r="G4962" s="141" t="s">
        <v>6304</v>
      </c>
      <c r="H4962" s="140" t="s">
        <v>6312</v>
      </c>
      <c r="I4962" s="140" t="s">
        <v>6527</v>
      </c>
      <c r="J4962" s="140" t="s">
        <v>6314</v>
      </c>
      <c r="K4962" s="140" t="s">
        <v>12439</v>
      </c>
    </row>
    <row r="4963">
      <c r="A4963" s="140" t="s">
        <v>12439</v>
      </c>
      <c r="B4963" s="140" t="s">
        <v>12455</v>
      </c>
      <c r="C4963" s="140" t="s">
        <v>12456</v>
      </c>
      <c r="D4963" s="140" t="s">
        <v>6318</v>
      </c>
      <c r="E4963" s="140" t="s">
        <v>1631</v>
      </c>
      <c r="F4963" s="140" t="s">
        <v>9899</v>
      </c>
      <c r="G4963" s="141" t="s">
        <v>6304</v>
      </c>
      <c r="H4963" s="140" t="s">
        <v>6312</v>
      </c>
      <c r="I4963" s="140" t="s">
        <v>6527</v>
      </c>
      <c r="J4963" s="140" t="s">
        <v>6314</v>
      </c>
      <c r="K4963" s="140" t="s">
        <v>12439</v>
      </c>
    </row>
    <row r="4964">
      <c r="A4964" s="140" t="s">
        <v>12439</v>
      </c>
      <c r="B4964" s="140" t="s">
        <v>12457</v>
      </c>
      <c r="C4964" s="140" t="s">
        <v>12458</v>
      </c>
      <c r="D4964" s="140" t="s">
        <v>6318</v>
      </c>
      <c r="E4964" s="140" t="s">
        <v>1631</v>
      </c>
      <c r="F4964" s="140" t="s">
        <v>9899</v>
      </c>
      <c r="G4964" s="141" t="s">
        <v>6304</v>
      </c>
      <c r="H4964" s="140" t="s">
        <v>6312</v>
      </c>
      <c r="I4964" s="140" t="s">
        <v>6527</v>
      </c>
      <c r="J4964" s="140" t="s">
        <v>6314</v>
      </c>
      <c r="K4964" s="140" t="s">
        <v>12439</v>
      </c>
    </row>
    <row r="4965">
      <c r="A4965" s="140" t="s">
        <v>12439</v>
      </c>
      <c r="B4965" s="140" t="s">
        <v>12459</v>
      </c>
      <c r="C4965" s="140" t="s">
        <v>12460</v>
      </c>
      <c r="D4965" s="140" t="s">
        <v>6318</v>
      </c>
      <c r="E4965" s="140" t="s">
        <v>1631</v>
      </c>
      <c r="F4965" s="140" t="s">
        <v>9899</v>
      </c>
      <c r="G4965" s="141" t="s">
        <v>6304</v>
      </c>
      <c r="H4965" s="140" t="s">
        <v>6312</v>
      </c>
      <c r="I4965" s="140" t="s">
        <v>6527</v>
      </c>
      <c r="J4965" s="140" t="s">
        <v>6314</v>
      </c>
      <c r="K4965" s="140" t="s">
        <v>12439</v>
      </c>
    </row>
    <row r="4966">
      <c r="A4966" s="140" t="s">
        <v>12439</v>
      </c>
      <c r="B4966" s="140" t="s">
        <v>12461</v>
      </c>
      <c r="C4966" s="140" t="s">
        <v>12462</v>
      </c>
      <c r="D4966" s="140" t="s">
        <v>6318</v>
      </c>
      <c r="E4966" s="140" t="s">
        <v>1631</v>
      </c>
      <c r="F4966" s="140" t="s">
        <v>9899</v>
      </c>
      <c r="G4966" s="141" t="s">
        <v>6304</v>
      </c>
      <c r="H4966" s="140" t="s">
        <v>6312</v>
      </c>
      <c r="I4966" s="140" t="s">
        <v>6527</v>
      </c>
      <c r="J4966" s="140" t="s">
        <v>6314</v>
      </c>
      <c r="K4966" s="140" t="s">
        <v>12439</v>
      </c>
    </row>
    <row r="4967">
      <c r="A4967" s="140" t="s">
        <v>12439</v>
      </c>
      <c r="B4967" s="140" t="s">
        <v>12463</v>
      </c>
      <c r="C4967" s="140" t="s">
        <v>12464</v>
      </c>
      <c r="D4967" s="140" t="s">
        <v>6318</v>
      </c>
      <c r="E4967" s="140" t="s">
        <v>1631</v>
      </c>
      <c r="F4967" s="140" t="s">
        <v>9899</v>
      </c>
      <c r="G4967" s="141" t="s">
        <v>6304</v>
      </c>
      <c r="H4967" s="140" t="s">
        <v>6312</v>
      </c>
      <c r="I4967" s="140" t="s">
        <v>6527</v>
      </c>
      <c r="J4967" s="140" t="s">
        <v>6314</v>
      </c>
      <c r="K4967" s="140" t="s">
        <v>12439</v>
      </c>
    </row>
    <row r="4968">
      <c r="A4968" s="140" t="s">
        <v>12439</v>
      </c>
      <c r="B4968" s="140" t="s">
        <v>12465</v>
      </c>
      <c r="C4968" s="140" t="s">
        <v>12466</v>
      </c>
      <c r="D4968" s="140" t="s">
        <v>6318</v>
      </c>
      <c r="E4968" s="140" t="s">
        <v>1631</v>
      </c>
      <c r="F4968" s="140" t="s">
        <v>9899</v>
      </c>
      <c r="G4968" s="141" t="s">
        <v>6304</v>
      </c>
      <c r="H4968" s="140" t="s">
        <v>6312</v>
      </c>
      <c r="I4968" s="140" t="s">
        <v>6527</v>
      </c>
      <c r="J4968" s="140" t="s">
        <v>6314</v>
      </c>
      <c r="K4968" s="140" t="s">
        <v>12439</v>
      </c>
    </row>
    <row r="4969">
      <c r="A4969" s="140" t="s">
        <v>12439</v>
      </c>
      <c r="B4969" s="140" t="s">
        <v>12467</v>
      </c>
      <c r="C4969" s="140" t="s">
        <v>12468</v>
      </c>
      <c r="D4969" s="140" t="s">
        <v>6318</v>
      </c>
      <c r="E4969" s="140" t="s">
        <v>1631</v>
      </c>
      <c r="F4969" s="140" t="s">
        <v>9899</v>
      </c>
      <c r="G4969" s="141" t="s">
        <v>6304</v>
      </c>
      <c r="H4969" s="140" t="s">
        <v>6312</v>
      </c>
      <c r="I4969" s="140" t="s">
        <v>6527</v>
      </c>
      <c r="J4969" s="140" t="s">
        <v>6314</v>
      </c>
      <c r="K4969" s="140" t="s">
        <v>12439</v>
      </c>
    </row>
    <row r="4970">
      <c r="A4970" s="140" t="s">
        <v>12439</v>
      </c>
      <c r="B4970" s="140" t="s">
        <v>12469</v>
      </c>
      <c r="C4970" s="140" t="s">
        <v>12470</v>
      </c>
      <c r="D4970" s="140" t="s">
        <v>6318</v>
      </c>
      <c r="E4970" s="140" t="s">
        <v>1631</v>
      </c>
      <c r="F4970" s="140" t="s">
        <v>9899</v>
      </c>
      <c r="G4970" s="141" t="s">
        <v>6304</v>
      </c>
      <c r="H4970" s="140" t="s">
        <v>6312</v>
      </c>
      <c r="I4970" s="140" t="s">
        <v>6527</v>
      </c>
      <c r="J4970" s="140" t="s">
        <v>6314</v>
      </c>
      <c r="K4970" s="140" t="s">
        <v>12439</v>
      </c>
    </row>
    <row r="4971">
      <c r="A4971" s="140" t="s">
        <v>12439</v>
      </c>
      <c r="B4971" s="140" t="s">
        <v>12471</v>
      </c>
      <c r="C4971" s="140" t="s">
        <v>12472</v>
      </c>
      <c r="D4971" s="140" t="s">
        <v>6318</v>
      </c>
      <c r="E4971" s="140" t="s">
        <v>1631</v>
      </c>
      <c r="F4971" s="140" t="s">
        <v>9899</v>
      </c>
      <c r="G4971" s="141" t="s">
        <v>6304</v>
      </c>
      <c r="H4971" s="140" t="s">
        <v>6312</v>
      </c>
      <c r="I4971" s="140" t="s">
        <v>6527</v>
      </c>
      <c r="J4971" s="140" t="s">
        <v>6314</v>
      </c>
      <c r="K4971" s="140" t="s">
        <v>12439</v>
      </c>
    </row>
    <row r="4972">
      <c r="A4972" s="140" t="s">
        <v>12439</v>
      </c>
      <c r="B4972" s="140" t="s">
        <v>12473</v>
      </c>
      <c r="C4972" s="140" t="s">
        <v>12474</v>
      </c>
      <c r="D4972" s="140" t="s">
        <v>6318</v>
      </c>
      <c r="E4972" s="140" t="s">
        <v>1631</v>
      </c>
      <c r="F4972" s="140" t="s">
        <v>9899</v>
      </c>
      <c r="G4972" s="141" t="s">
        <v>6304</v>
      </c>
      <c r="H4972" s="140" t="s">
        <v>6312</v>
      </c>
      <c r="I4972" s="140" t="s">
        <v>6527</v>
      </c>
      <c r="J4972" s="140" t="s">
        <v>6314</v>
      </c>
      <c r="K4972" s="140" t="s">
        <v>12439</v>
      </c>
    </row>
    <row r="4973">
      <c r="A4973" s="140" t="s">
        <v>12439</v>
      </c>
      <c r="B4973" s="140" t="s">
        <v>12475</v>
      </c>
      <c r="C4973" s="140" t="s">
        <v>12476</v>
      </c>
      <c r="D4973" s="140" t="s">
        <v>6318</v>
      </c>
      <c r="E4973" s="140" t="s">
        <v>1631</v>
      </c>
      <c r="F4973" s="140" t="s">
        <v>9899</v>
      </c>
      <c r="G4973" s="141" t="s">
        <v>6304</v>
      </c>
      <c r="H4973" s="140" t="s">
        <v>6312</v>
      </c>
      <c r="I4973" s="140" t="s">
        <v>6527</v>
      </c>
      <c r="J4973" s="140" t="s">
        <v>6314</v>
      </c>
      <c r="K4973" s="140" t="s">
        <v>12439</v>
      </c>
    </row>
    <row r="4974">
      <c r="A4974" s="140" t="s">
        <v>12439</v>
      </c>
      <c r="B4974" s="140" t="s">
        <v>2961</v>
      </c>
      <c r="C4974" s="140" t="s">
        <v>12477</v>
      </c>
      <c r="D4974" s="140" t="s">
        <v>6318</v>
      </c>
      <c r="E4974" s="140" t="s">
        <v>1631</v>
      </c>
      <c r="F4974" s="140" t="s">
        <v>9899</v>
      </c>
      <c r="G4974" s="141" t="s">
        <v>6401</v>
      </c>
      <c r="H4974" s="140" t="s">
        <v>6312</v>
      </c>
      <c r="I4974" s="140" t="s">
        <v>6313</v>
      </c>
      <c r="J4974" s="140" t="s">
        <v>6314</v>
      </c>
      <c r="K4974" s="140" t="s">
        <v>12439</v>
      </c>
    </row>
    <row r="4975">
      <c r="A4975" s="140" t="s">
        <v>12439</v>
      </c>
      <c r="B4975" s="140" t="s">
        <v>2959</v>
      </c>
      <c r="C4975" s="140" t="s">
        <v>12478</v>
      </c>
      <c r="D4975" s="140" t="s">
        <v>6318</v>
      </c>
      <c r="E4975" s="140" t="s">
        <v>1631</v>
      </c>
      <c r="F4975" s="140" t="s">
        <v>9899</v>
      </c>
      <c r="G4975" s="141" t="s">
        <v>6401</v>
      </c>
      <c r="H4975" s="140" t="s">
        <v>6312</v>
      </c>
      <c r="I4975" s="140" t="s">
        <v>6313</v>
      </c>
      <c r="J4975" s="140" t="s">
        <v>6314</v>
      </c>
      <c r="K4975" s="140" t="s">
        <v>12439</v>
      </c>
    </row>
    <row r="4976">
      <c r="A4976" s="140" t="s">
        <v>12439</v>
      </c>
      <c r="B4976" s="140" t="s">
        <v>12479</v>
      </c>
      <c r="C4976" s="140" t="s">
        <v>12480</v>
      </c>
      <c r="D4976" s="140" t="s">
        <v>6318</v>
      </c>
      <c r="E4976" s="140" t="s">
        <v>1631</v>
      </c>
      <c r="F4976" s="140" t="s">
        <v>9899</v>
      </c>
      <c r="G4976" s="141" t="s">
        <v>6401</v>
      </c>
      <c r="H4976" s="140" t="s">
        <v>6312</v>
      </c>
      <c r="I4976" s="140" t="s">
        <v>6313</v>
      </c>
      <c r="J4976" s="140" t="s">
        <v>6314</v>
      </c>
      <c r="K4976" s="140" t="s">
        <v>12439</v>
      </c>
    </row>
    <row r="4977">
      <c r="A4977" s="140" t="s">
        <v>12439</v>
      </c>
      <c r="B4977" s="140" t="s">
        <v>12481</v>
      </c>
      <c r="C4977" s="140" t="s">
        <v>12482</v>
      </c>
      <c r="D4977" s="140" t="s">
        <v>6318</v>
      </c>
      <c r="E4977" s="140" t="s">
        <v>1631</v>
      </c>
      <c r="F4977" s="140" t="s">
        <v>9899</v>
      </c>
      <c r="G4977" s="141" t="s">
        <v>6401</v>
      </c>
      <c r="H4977" s="140" t="s">
        <v>6312</v>
      </c>
      <c r="I4977" s="140" t="s">
        <v>6313</v>
      </c>
      <c r="J4977" s="140" t="s">
        <v>6314</v>
      </c>
      <c r="K4977" s="140" t="s">
        <v>12439</v>
      </c>
    </row>
    <row r="4978">
      <c r="A4978" s="140" t="s">
        <v>12439</v>
      </c>
      <c r="B4978" s="140" t="s">
        <v>12483</v>
      </c>
      <c r="C4978" s="140" t="s">
        <v>12484</v>
      </c>
      <c r="D4978" s="140" t="s">
        <v>6318</v>
      </c>
      <c r="E4978" s="140" t="s">
        <v>1631</v>
      </c>
      <c r="F4978" s="140" t="s">
        <v>9899</v>
      </c>
      <c r="G4978" s="141" t="s">
        <v>6401</v>
      </c>
      <c r="H4978" s="140" t="s">
        <v>6312</v>
      </c>
      <c r="I4978" s="140" t="s">
        <v>6313</v>
      </c>
      <c r="J4978" s="140" t="s">
        <v>6314</v>
      </c>
      <c r="K4978" s="140" t="s">
        <v>12439</v>
      </c>
    </row>
    <row r="4979">
      <c r="A4979" s="140" t="s">
        <v>12439</v>
      </c>
      <c r="B4979" s="140" t="s">
        <v>12485</v>
      </c>
      <c r="C4979" s="140" t="s">
        <v>12486</v>
      </c>
      <c r="D4979" s="140" t="s">
        <v>6318</v>
      </c>
      <c r="E4979" s="140" t="s">
        <v>1631</v>
      </c>
      <c r="F4979" s="140" t="s">
        <v>9899</v>
      </c>
      <c r="G4979" s="141" t="s">
        <v>6401</v>
      </c>
      <c r="H4979" s="140" t="s">
        <v>6312</v>
      </c>
      <c r="I4979" s="140" t="s">
        <v>6313</v>
      </c>
      <c r="J4979" s="140" t="s">
        <v>6314</v>
      </c>
      <c r="K4979" s="140" t="s">
        <v>12439</v>
      </c>
    </row>
    <row r="4980">
      <c r="A4980" s="140" t="s">
        <v>12439</v>
      </c>
      <c r="B4980" s="140" t="s">
        <v>2963</v>
      </c>
      <c r="C4980" s="140" t="s">
        <v>12487</v>
      </c>
      <c r="D4980" s="140" t="s">
        <v>6318</v>
      </c>
      <c r="E4980" s="140" t="s">
        <v>1631</v>
      </c>
      <c r="F4980" s="140" t="s">
        <v>9899</v>
      </c>
      <c r="G4980" s="141" t="s">
        <v>6401</v>
      </c>
      <c r="H4980" s="140" t="s">
        <v>6312</v>
      </c>
      <c r="I4980" s="140" t="s">
        <v>6313</v>
      </c>
      <c r="J4980" s="140" t="s">
        <v>6314</v>
      </c>
      <c r="K4980" s="140" t="s">
        <v>12439</v>
      </c>
    </row>
    <row r="4981">
      <c r="A4981" s="140" t="s">
        <v>12439</v>
      </c>
      <c r="B4981" s="140" t="s">
        <v>4840</v>
      </c>
      <c r="C4981" s="140" t="s">
        <v>12488</v>
      </c>
      <c r="D4981" s="140" t="s">
        <v>6318</v>
      </c>
      <c r="E4981" s="140" t="s">
        <v>1631</v>
      </c>
      <c r="F4981" s="140" t="s">
        <v>9899</v>
      </c>
      <c r="G4981" s="141" t="s">
        <v>6401</v>
      </c>
      <c r="H4981" s="140" t="s">
        <v>6312</v>
      </c>
      <c r="I4981" s="140" t="s">
        <v>6313</v>
      </c>
      <c r="J4981" s="140" t="s">
        <v>6314</v>
      </c>
      <c r="K4981" s="140" t="s">
        <v>12439</v>
      </c>
    </row>
    <row r="4982">
      <c r="A4982" s="140" t="s">
        <v>12439</v>
      </c>
      <c r="B4982" s="140" t="s">
        <v>4844</v>
      </c>
      <c r="C4982" s="140" t="s">
        <v>12489</v>
      </c>
      <c r="D4982" s="140" t="s">
        <v>6318</v>
      </c>
      <c r="E4982" s="140" t="s">
        <v>1631</v>
      </c>
      <c r="F4982" s="140" t="s">
        <v>9899</v>
      </c>
      <c r="G4982" s="141" t="s">
        <v>6401</v>
      </c>
      <c r="H4982" s="140" t="s">
        <v>6312</v>
      </c>
      <c r="I4982" s="140" t="s">
        <v>6313</v>
      </c>
      <c r="J4982" s="140" t="s">
        <v>6314</v>
      </c>
      <c r="K4982" s="140" t="s">
        <v>12439</v>
      </c>
    </row>
    <row r="4983">
      <c r="A4983" s="140" t="s">
        <v>12439</v>
      </c>
      <c r="B4983" s="140" t="s">
        <v>4842</v>
      </c>
      <c r="C4983" s="140" t="s">
        <v>12490</v>
      </c>
      <c r="D4983" s="140" t="s">
        <v>6318</v>
      </c>
      <c r="E4983" s="140" t="s">
        <v>1631</v>
      </c>
      <c r="F4983" s="140" t="s">
        <v>9899</v>
      </c>
      <c r="G4983" s="141" t="s">
        <v>6401</v>
      </c>
      <c r="H4983" s="140" t="s">
        <v>6312</v>
      </c>
      <c r="I4983" s="140" t="s">
        <v>6313</v>
      </c>
      <c r="J4983" s="140" t="s">
        <v>6314</v>
      </c>
      <c r="K4983" s="140" t="s">
        <v>12439</v>
      </c>
    </row>
    <row r="4984">
      <c r="A4984" s="140" t="s">
        <v>12439</v>
      </c>
      <c r="B4984" s="140" t="s">
        <v>12491</v>
      </c>
      <c r="C4984" s="140" t="s">
        <v>12492</v>
      </c>
      <c r="D4984" s="140" t="s">
        <v>6318</v>
      </c>
      <c r="E4984" s="140" t="s">
        <v>1631</v>
      </c>
      <c r="F4984" s="140" t="s">
        <v>9899</v>
      </c>
      <c r="G4984" s="141" t="s">
        <v>6401</v>
      </c>
      <c r="H4984" s="140" t="s">
        <v>6312</v>
      </c>
      <c r="I4984" s="140" t="s">
        <v>6313</v>
      </c>
      <c r="J4984" s="140" t="s">
        <v>6314</v>
      </c>
      <c r="K4984" s="140" t="s">
        <v>12439</v>
      </c>
    </row>
    <row r="4985">
      <c r="A4985" s="140" t="s">
        <v>12439</v>
      </c>
      <c r="B4985" s="140" t="s">
        <v>3589</v>
      </c>
      <c r="C4985" s="140" t="s">
        <v>12493</v>
      </c>
      <c r="D4985" s="140" t="s">
        <v>6318</v>
      </c>
      <c r="E4985" s="140" t="s">
        <v>1631</v>
      </c>
      <c r="F4985" s="140" t="s">
        <v>9899</v>
      </c>
      <c r="G4985" s="141" t="s">
        <v>6401</v>
      </c>
      <c r="H4985" s="140" t="s">
        <v>6312</v>
      </c>
      <c r="I4985" s="140" t="s">
        <v>6313</v>
      </c>
      <c r="J4985" s="140" t="s">
        <v>6314</v>
      </c>
      <c r="K4985" s="140" t="s">
        <v>12439</v>
      </c>
    </row>
    <row r="4986">
      <c r="A4986" s="140" t="s">
        <v>12439</v>
      </c>
      <c r="B4986" s="140" t="s">
        <v>2935</v>
      </c>
      <c r="C4986" s="140" t="s">
        <v>12494</v>
      </c>
      <c r="D4986" s="140" t="s">
        <v>6318</v>
      </c>
      <c r="E4986" s="140" t="s">
        <v>1631</v>
      </c>
      <c r="F4986" s="140" t="s">
        <v>9899</v>
      </c>
      <c r="G4986" s="141" t="s">
        <v>6401</v>
      </c>
      <c r="H4986" s="140" t="s">
        <v>6312</v>
      </c>
      <c r="I4986" s="140" t="s">
        <v>6313</v>
      </c>
      <c r="J4986" s="140" t="s">
        <v>6314</v>
      </c>
      <c r="K4986" s="140" t="s">
        <v>12439</v>
      </c>
    </row>
    <row r="4987">
      <c r="A4987" s="140" t="s">
        <v>12439</v>
      </c>
      <c r="B4987" s="140" t="s">
        <v>2943</v>
      </c>
      <c r="C4987" s="140" t="s">
        <v>12495</v>
      </c>
      <c r="D4987" s="140" t="s">
        <v>6318</v>
      </c>
      <c r="E4987" s="140" t="s">
        <v>1631</v>
      </c>
      <c r="F4987" s="140" t="s">
        <v>9899</v>
      </c>
      <c r="G4987" s="141" t="s">
        <v>6742</v>
      </c>
      <c r="H4987" s="140" t="s">
        <v>6312</v>
      </c>
      <c r="I4987" s="140" t="s">
        <v>6313</v>
      </c>
      <c r="J4987" s="140" t="s">
        <v>6314</v>
      </c>
      <c r="K4987" s="140" t="s">
        <v>12439</v>
      </c>
    </row>
    <row r="4988">
      <c r="A4988" s="140" t="s">
        <v>12439</v>
      </c>
      <c r="B4988" s="140" t="s">
        <v>2945</v>
      </c>
      <c r="C4988" s="140" t="s">
        <v>12496</v>
      </c>
      <c r="D4988" s="140" t="s">
        <v>6318</v>
      </c>
      <c r="E4988" s="140" t="s">
        <v>1631</v>
      </c>
      <c r="F4988" s="140" t="s">
        <v>9899</v>
      </c>
      <c r="G4988" s="141" t="s">
        <v>6668</v>
      </c>
      <c r="H4988" s="140" t="s">
        <v>6312</v>
      </c>
      <c r="I4988" s="140" t="s">
        <v>6313</v>
      </c>
      <c r="J4988" s="140" t="s">
        <v>6314</v>
      </c>
      <c r="K4988" s="140" t="s">
        <v>12439</v>
      </c>
    </row>
    <row r="4989">
      <c r="A4989" s="140" t="s">
        <v>12439</v>
      </c>
      <c r="B4989" s="140" t="s">
        <v>3599</v>
      </c>
      <c r="C4989" s="140" t="s">
        <v>12497</v>
      </c>
      <c r="D4989" s="140" t="s">
        <v>6318</v>
      </c>
      <c r="E4989" s="140" t="s">
        <v>1631</v>
      </c>
      <c r="F4989" s="140" t="s">
        <v>9899</v>
      </c>
      <c r="G4989" s="141" t="s">
        <v>6401</v>
      </c>
      <c r="H4989" s="140" t="s">
        <v>6312</v>
      </c>
      <c r="I4989" s="140" t="s">
        <v>6313</v>
      </c>
      <c r="J4989" s="140" t="s">
        <v>6314</v>
      </c>
      <c r="K4989" s="140" t="s">
        <v>12439</v>
      </c>
    </row>
    <row r="4990">
      <c r="A4990" s="140" t="s">
        <v>12439</v>
      </c>
      <c r="B4990" s="140" t="s">
        <v>5649</v>
      </c>
      <c r="C4990" s="140" t="s">
        <v>12498</v>
      </c>
      <c r="D4990" s="140" t="s">
        <v>6318</v>
      </c>
      <c r="E4990" s="140" t="s">
        <v>1631</v>
      </c>
      <c r="F4990" s="140" t="s">
        <v>9899</v>
      </c>
      <c r="G4990" s="141" t="s">
        <v>6668</v>
      </c>
      <c r="H4990" s="140" t="s">
        <v>6312</v>
      </c>
      <c r="I4990" s="140" t="s">
        <v>6313</v>
      </c>
      <c r="J4990" s="140" t="s">
        <v>6314</v>
      </c>
      <c r="K4990" s="140" t="s">
        <v>12439</v>
      </c>
    </row>
    <row r="4991">
      <c r="A4991" s="140" t="s">
        <v>12439</v>
      </c>
      <c r="B4991" s="140" t="s">
        <v>5651</v>
      </c>
      <c r="C4991" s="140" t="s">
        <v>12499</v>
      </c>
      <c r="D4991" s="140" t="s">
        <v>6318</v>
      </c>
      <c r="E4991" s="140" t="s">
        <v>1631</v>
      </c>
      <c r="F4991" s="140" t="s">
        <v>9899</v>
      </c>
      <c r="G4991" s="141" t="s">
        <v>6668</v>
      </c>
      <c r="H4991" s="140" t="s">
        <v>6312</v>
      </c>
      <c r="I4991" s="140" t="s">
        <v>6313</v>
      </c>
      <c r="J4991" s="140" t="s">
        <v>6314</v>
      </c>
      <c r="K4991" s="140" t="s">
        <v>12439</v>
      </c>
    </row>
    <row r="4992">
      <c r="A4992" s="140" t="s">
        <v>12439</v>
      </c>
      <c r="B4992" s="140" t="s">
        <v>2933</v>
      </c>
      <c r="C4992" s="140" t="s">
        <v>12500</v>
      </c>
      <c r="D4992" s="140" t="s">
        <v>6318</v>
      </c>
      <c r="E4992" s="140" t="s">
        <v>1631</v>
      </c>
      <c r="F4992" s="140" t="s">
        <v>9899</v>
      </c>
      <c r="G4992" s="141" t="s">
        <v>6668</v>
      </c>
      <c r="H4992" s="140" t="s">
        <v>6312</v>
      </c>
      <c r="I4992" s="140" t="s">
        <v>6313</v>
      </c>
      <c r="J4992" s="140" t="s">
        <v>6314</v>
      </c>
      <c r="K4992" s="140" t="s">
        <v>12439</v>
      </c>
    </row>
    <row r="4993">
      <c r="A4993" s="140" t="s">
        <v>12439</v>
      </c>
      <c r="B4993" s="140" t="s">
        <v>5645</v>
      </c>
      <c r="C4993" s="140" t="s">
        <v>12501</v>
      </c>
      <c r="D4993" s="140" t="s">
        <v>6318</v>
      </c>
      <c r="E4993" s="140" t="s">
        <v>1631</v>
      </c>
      <c r="F4993" s="140" t="s">
        <v>9899</v>
      </c>
      <c r="G4993" s="141" t="s">
        <v>6668</v>
      </c>
      <c r="H4993" s="140" t="s">
        <v>6312</v>
      </c>
      <c r="I4993" s="140" t="s">
        <v>6313</v>
      </c>
      <c r="J4993" s="140" t="s">
        <v>6314</v>
      </c>
      <c r="K4993" s="140" t="s">
        <v>12439</v>
      </c>
    </row>
    <row r="4994">
      <c r="A4994" s="140" t="s">
        <v>12439</v>
      </c>
      <c r="B4994" s="140" t="s">
        <v>3338</v>
      </c>
      <c r="C4994" s="140" t="s">
        <v>12502</v>
      </c>
      <c r="D4994" s="140" t="s">
        <v>6318</v>
      </c>
      <c r="E4994" s="140" t="s">
        <v>1631</v>
      </c>
      <c r="F4994" s="140" t="s">
        <v>9899</v>
      </c>
      <c r="G4994" s="141" t="s">
        <v>6668</v>
      </c>
      <c r="H4994" s="140" t="s">
        <v>6312</v>
      </c>
      <c r="I4994" s="140" t="s">
        <v>6313</v>
      </c>
      <c r="J4994" s="140" t="s">
        <v>6314</v>
      </c>
      <c r="K4994" s="140" t="s">
        <v>12439</v>
      </c>
    </row>
    <row r="4995">
      <c r="A4995" s="140" t="s">
        <v>12439</v>
      </c>
      <c r="B4995" s="140" t="s">
        <v>3587</v>
      </c>
      <c r="C4995" s="140" t="s">
        <v>12503</v>
      </c>
      <c r="D4995" s="140" t="s">
        <v>6318</v>
      </c>
      <c r="E4995" s="140" t="s">
        <v>1631</v>
      </c>
      <c r="F4995" s="140" t="s">
        <v>9899</v>
      </c>
      <c r="G4995" s="141" t="s">
        <v>6668</v>
      </c>
      <c r="H4995" s="140" t="s">
        <v>6312</v>
      </c>
      <c r="I4995" s="140" t="s">
        <v>6313</v>
      </c>
      <c r="J4995" s="140" t="s">
        <v>6314</v>
      </c>
      <c r="K4995" s="140" t="s">
        <v>12439</v>
      </c>
    </row>
    <row r="4996">
      <c r="A4996" s="140" t="s">
        <v>12439</v>
      </c>
      <c r="B4996" s="140" t="s">
        <v>5647</v>
      </c>
      <c r="C4996" s="140" t="s">
        <v>12504</v>
      </c>
      <c r="D4996" s="140" t="s">
        <v>6318</v>
      </c>
      <c r="E4996" s="140" t="s">
        <v>1631</v>
      </c>
      <c r="F4996" s="140" t="s">
        <v>9899</v>
      </c>
      <c r="G4996" s="141" t="s">
        <v>6668</v>
      </c>
      <c r="H4996" s="140" t="s">
        <v>6312</v>
      </c>
      <c r="I4996" s="140" t="s">
        <v>6313</v>
      </c>
      <c r="J4996" s="140" t="s">
        <v>6314</v>
      </c>
      <c r="K4996" s="140" t="s">
        <v>12439</v>
      </c>
    </row>
    <row r="4997">
      <c r="A4997" s="140" t="s">
        <v>12439</v>
      </c>
      <c r="B4997" s="140" t="s">
        <v>12505</v>
      </c>
      <c r="C4997" s="140" t="s">
        <v>12506</v>
      </c>
      <c r="D4997" s="140" t="s">
        <v>6318</v>
      </c>
      <c r="E4997" s="140" t="s">
        <v>1631</v>
      </c>
      <c r="F4997" s="140" t="s">
        <v>9899</v>
      </c>
      <c r="G4997" s="141" t="s">
        <v>6401</v>
      </c>
      <c r="H4997" s="140" t="s">
        <v>6312</v>
      </c>
      <c r="I4997" s="140" t="s">
        <v>6313</v>
      </c>
      <c r="J4997" s="140" t="s">
        <v>6314</v>
      </c>
      <c r="K4997" s="140" t="s">
        <v>12439</v>
      </c>
    </row>
    <row r="4998">
      <c r="A4998" s="140" t="s">
        <v>12439</v>
      </c>
      <c r="B4998" s="140" t="s">
        <v>12507</v>
      </c>
      <c r="C4998" s="140" t="s">
        <v>12508</v>
      </c>
      <c r="D4998" s="140" t="s">
        <v>6318</v>
      </c>
      <c r="E4998" s="140" t="s">
        <v>1631</v>
      </c>
      <c r="F4998" s="140" t="s">
        <v>9899</v>
      </c>
      <c r="G4998" s="141" t="s">
        <v>6668</v>
      </c>
      <c r="H4998" s="140" t="s">
        <v>6312</v>
      </c>
      <c r="I4998" s="140" t="s">
        <v>6313</v>
      </c>
      <c r="J4998" s="140" t="s">
        <v>6314</v>
      </c>
      <c r="K4998" s="140" t="s">
        <v>12439</v>
      </c>
    </row>
    <row r="4999">
      <c r="A4999" s="140" t="s">
        <v>12439</v>
      </c>
      <c r="B4999" s="140" t="s">
        <v>12509</v>
      </c>
      <c r="C4999" s="140" t="s">
        <v>12510</v>
      </c>
      <c r="D4999" s="140" t="s">
        <v>6318</v>
      </c>
      <c r="E4999" s="140" t="s">
        <v>1631</v>
      </c>
      <c r="F4999" s="140" t="s">
        <v>9899</v>
      </c>
      <c r="G4999" s="141" t="s">
        <v>6401</v>
      </c>
      <c r="H4999" s="140" t="s">
        <v>6312</v>
      </c>
      <c r="I4999" s="140" t="s">
        <v>6313</v>
      </c>
      <c r="J4999" s="140" t="s">
        <v>6314</v>
      </c>
      <c r="K4999" s="140" t="s">
        <v>12439</v>
      </c>
    </row>
    <row r="5000">
      <c r="A5000" s="140" t="s">
        <v>12439</v>
      </c>
      <c r="B5000" s="140" t="s">
        <v>5675</v>
      </c>
      <c r="C5000" s="140" t="s">
        <v>12511</v>
      </c>
      <c r="D5000" s="140" t="s">
        <v>6318</v>
      </c>
      <c r="E5000" s="140" t="s">
        <v>1631</v>
      </c>
      <c r="F5000" s="140" t="s">
        <v>9899</v>
      </c>
      <c r="G5000" s="141" t="s">
        <v>6668</v>
      </c>
      <c r="H5000" s="140" t="s">
        <v>6312</v>
      </c>
      <c r="I5000" s="140" t="s">
        <v>6313</v>
      </c>
      <c r="J5000" s="140" t="s">
        <v>6314</v>
      </c>
      <c r="K5000" s="140" t="s">
        <v>12439</v>
      </c>
    </row>
    <row r="5001">
      <c r="A5001" s="140" t="s">
        <v>12439</v>
      </c>
      <c r="B5001" s="140" t="s">
        <v>3352</v>
      </c>
      <c r="C5001" s="140" t="s">
        <v>12512</v>
      </c>
      <c r="D5001" s="140" t="s">
        <v>6318</v>
      </c>
      <c r="E5001" s="140" t="s">
        <v>1631</v>
      </c>
      <c r="F5001" s="140" t="s">
        <v>9899</v>
      </c>
      <c r="G5001" s="141" t="s">
        <v>6401</v>
      </c>
      <c r="H5001" s="140" t="s">
        <v>6312</v>
      </c>
      <c r="I5001" s="140" t="s">
        <v>6313</v>
      </c>
      <c r="J5001" s="140" t="s">
        <v>6314</v>
      </c>
      <c r="K5001" s="140" t="s">
        <v>12439</v>
      </c>
    </row>
    <row r="5002">
      <c r="A5002" s="140" t="s">
        <v>12439</v>
      </c>
      <c r="B5002" s="140" t="s">
        <v>2949</v>
      </c>
      <c r="C5002" s="140" t="s">
        <v>12513</v>
      </c>
      <c r="D5002" s="140" t="s">
        <v>6318</v>
      </c>
      <c r="E5002" s="140" t="s">
        <v>1631</v>
      </c>
      <c r="F5002" s="140" t="s">
        <v>9899</v>
      </c>
      <c r="G5002" s="141" t="s">
        <v>6664</v>
      </c>
      <c r="H5002" s="140" t="s">
        <v>6312</v>
      </c>
      <c r="I5002" s="140" t="s">
        <v>6313</v>
      </c>
      <c r="J5002" s="140" t="s">
        <v>6314</v>
      </c>
      <c r="K5002" s="140" t="s">
        <v>12439</v>
      </c>
    </row>
    <row r="5003">
      <c r="A5003" s="140" t="s">
        <v>12439</v>
      </c>
      <c r="B5003" s="140" t="s">
        <v>2951</v>
      </c>
      <c r="C5003" s="140" t="s">
        <v>12514</v>
      </c>
      <c r="D5003" s="140" t="s">
        <v>6318</v>
      </c>
      <c r="E5003" s="140" t="s">
        <v>1631</v>
      </c>
      <c r="F5003" s="140" t="s">
        <v>9899</v>
      </c>
      <c r="G5003" s="141" t="s">
        <v>6668</v>
      </c>
      <c r="H5003" s="140" t="s">
        <v>6312</v>
      </c>
      <c r="I5003" s="140" t="s">
        <v>6313</v>
      </c>
      <c r="J5003" s="140" t="s">
        <v>6314</v>
      </c>
      <c r="K5003" s="140" t="s">
        <v>12439</v>
      </c>
    </row>
    <row r="5004">
      <c r="A5004" s="140" t="s">
        <v>12439</v>
      </c>
      <c r="B5004" s="140" t="s">
        <v>2947</v>
      </c>
      <c r="C5004" s="140" t="s">
        <v>12515</v>
      </c>
      <c r="D5004" s="140" t="s">
        <v>6318</v>
      </c>
      <c r="E5004" s="140" t="s">
        <v>1631</v>
      </c>
      <c r="F5004" s="140" t="s">
        <v>9899</v>
      </c>
      <c r="G5004" s="141" t="s">
        <v>6668</v>
      </c>
      <c r="H5004" s="140" t="s">
        <v>6312</v>
      </c>
      <c r="I5004" s="140" t="s">
        <v>6313</v>
      </c>
      <c r="J5004" s="140" t="s">
        <v>6314</v>
      </c>
      <c r="K5004" s="140" t="s">
        <v>12439</v>
      </c>
    </row>
    <row r="5005">
      <c r="A5005" s="140" t="s">
        <v>12439</v>
      </c>
      <c r="B5005" s="140" t="s">
        <v>5661</v>
      </c>
      <c r="C5005" s="140" t="s">
        <v>12516</v>
      </c>
      <c r="D5005" s="140" t="s">
        <v>6318</v>
      </c>
      <c r="E5005" s="140" t="s">
        <v>1631</v>
      </c>
      <c r="F5005" s="140" t="s">
        <v>9899</v>
      </c>
      <c r="G5005" s="141" t="s">
        <v>6401</v>
      </c>
      <c r="H5005" s="140" t="s">
        <v>6312</v>
      </c>
      <c r="I5005" s="140" t="s">
        <v>6313</v>
      </c>
      <c r="J5005" s="140" t="s">
        <v>6314</v>
      </c>
      <c r="K5005" s="140" t="s">
        <v>12439</v>
      </c>
    </row>
    <row r="5006">
      <c r="A5006" s="140" t="s">
        <v>12439</v>
      </c>
      <c r="B5006" s="140" t="s">
        <v>12517</v>
      </c>
      <c r="C5006" s="140" t="s">
        <v>12518</v>
      </c>
      <c r="D5006" s="140" t="s">
        <v>6318</v>
      </c>
      <c r="E5006" s="140" t="s">
        <v>1631</v>
      </c>
      <c r="F5006" s="140" t="s">
        <v>9899</v>
      </c>
      <c r="G5006" s="141" t="s">
        <v>6401</v>
      </c>
      <c r="H5006" s="140" t="s">
        <v>6312</v>
      </c>
      <c r="I5006" s="140" t="s">
        <v>6313</v>
      </c>
      <c r="J5006" s="140" t="s">
        <v>6314</v>
      </c>
      <c r="K5006" s="140" t="s">
        <v>12439</v>
      </c>
    </row>
    <row r="5007">
      <c r="A5007" s="140" t="s">
        <v>12439</v>
      </c>
      <c r="B5007" s="140" t="s">
        <v>12519</v>
      </c>
      <c r="C5007" s="140" t="s">
        <v>12520</v>
      </c>
      <c r="D5007" s="140" t="s">
        <v>6318</v>
      </c>
      <c r="E5007" s="140" t="s">
        <v>1631</v>
      </c>
      <c r="F5007" s="140" t="s">
        <v>9899</v>
      </c>
      <c r="G5007" s="141" t="s">
        <v>6401</v>
      </c>
      <c r="H5007" s="140" t="s">
        <v>6312</v>
      </c>
      <c r="I5007" s="140" t="s">
        <v>6313</v>
      </c>
      <c r="J5007" s="140" t="s">
        <v>6314</v>
      </c>
      <c r="K5007" s="140" t="s">
        <v>12439</v>
      </c>
    </row>
    <row r="5008">
      <c r="A5008" s="140" t="s">
        <v>12439</v>
      </c>
      <c r="B5008" s="140" t="s">
        <v>12521</v>
      </c>
      <c r="C5008" s="140" t="s">
        <v>12522</v>
      </c>
      <c r="D5008" s="140" t="s">
        <v>6318</v>
      </c>
      <c r="E5008" s="140" t="s">
        <v>1631</v>
      </c>
      <c r="F5008" s="140" t="s">
        <v>9899</v>
      </c>
      <c r="G5008" s="141" t="s">
        <v>6401</v>
      </c>
      <c r="H5008" s="140" t="s">
        <v>6312</v>
      </c>
      <c r="I5008" s="140" t="s">
        <v>6313</v>
      </c>
      <c r="J5008" s="140" t="s">
        <v>6314</v>
      </c>
      <c r="K5008" s="140" t="s">
        <v>12439</v>
      </c>
    </row>
    <row r="5009">
      <c r="A5009" s="140" t="s">
        <v>12439</v>
      </c>
      <c r="B5009" s="140" t="s">
        <v>12523</v>
      </c>
      <c r="C5009" s="140" t="s">
        <v>12524</v>
      </c>
      <c r="D5009" s="140" t="s">
        <v>6318</v>
      </c>
      <c r="E5009" s="140" t="s">
        <v>1631</v>
      </c>
      <c r="F5009" s="140" t="s">
        <v>9899</v>
      </c>
      <c r="G5009" s="141" t="s">
        <v>6401</v>
      </c>
      <c r="H5009" s="140" t="s">
        <v>6312</v>
      </c>
      <c r="I5009" s="140" t="s">
        <v>6313</v>
      </c>
      <c r="J5009" s="140" t="s">
        <v>6314</v>
      </c>
      <c r="K5009" s="140" t="s">
        <v>12439</v>
      </c>
    </row>
    <row r="5010">
      <c r="A5010" s="140" t="s">
        <v>12439</v>
      </c>
      <c r="B5010" s="140" t="s">
        <v>12525</v>
      </c>
      <c r="C5010" s="140" t="s">
        <v>12526</v>
      </c>
      <c r="D5010" s="140" t="s">
        <v>6318</v>
      </c>
      <c r="E5010" s="140" t="s">
        <v>1631</v>
      </c>
      <c r="F5010" s="140" t="s">
        <v>9899</v>
      </c>
      <c r="G5010" s="141" t="s">
        <v>6401</v>
      </c>
      <c r="H5010" s="140" t="s">
        <v>6312</v>
      </c>
      <c r="I5010" s="140" t="s">
        <v>6313</v>
      </c>
      <c r="J5010" s="140" t="s">
        <v>6314</v>
      </c>
      <c r="K5010" s="140" t="s">
        <v>12439</v>
      </c>
    </row>
    <row r="5011">
      <c r="A5011" s="140" t="s">
        <v>12439</v>
      </c>
      <c r="B5011" s="140" t="s">
        <v>12527</v>
      </c>
      <c r="C5011" s="140" t="s">
        <v>12528</v>
      </c>
      <c r="D5011" s="140" t="s">
        <v>6318</v>
      </c>
      <c r="E5011" s="140" t="s">
        <v>1631</v>
      </c>
      <c r="F5011" s="140" t="s">
        <v>9899</v>
      </c>
      <c r="G5011" s="141" t="s">
        <v>6401</v>
      </c>
      <c r="H5011" s="140" t="s">
        <v>6312</v>
      </c>
      <c r="I5011" s="140" t="s">
        <v>6313</v>
      </c>
      <c r="J5011" s="140" t="s">
        <v>6314</v>
      </c>
      <c r="K5011" s="140" t="s">
        <v>12439</v>
      </c>
    </row>
    <row r="5012">
      <c r="A5012" s="140" t="s">
        <v>12439</v>
      </c>
      <c r="B5012" s="140" t="s">
        <v>12529</v>
      </c>
      <c r="C5012" s="140" t="s">
        <v>12530</v>
      </c>
      <c r="D5012" s="140" t="s">
        <v>6318</v>
      </c>
      <c r="E5012" s="140" t="s">
        <v>1631</v>
      </c>
      <c r="F5012" s="140" t="s">
        <v>9899</v>
      </c>
      <c r="G5012" s="141" t="s">
        <v>6668</v>
      </c>
      <c r="H5012" s="140" t="s">
        <v>6312</v>
      </c>
      <c r="I5012" s="140" t="s">
        <v>6313</v>
      </c>
      <c r="J5012" s="140" t="s">
        <v>6314</v>
      </c>
      <c r="K5012" s="140" t="s">
        <v>12439</v>
      </c>
    </row>
    <row r="5013">
      <c r="A5013" s="140" t="s">
        <v>12439</v>
      </c>
      <c r="B5013" s="140" t="s">
        <v>12531</v>
      </c>
      <c r="C5013" s="140" t="s">
        <v>12532</v>
      </c>
      <c r="D5013" s="140" t="s">
        <v>6318</v>
      </c>
      <c r="E5013" s="140" t="s">
        <v>1631</v>
      </c>
      <c r="F5013" s="140" t="s">
        <v>9899</v>
      </c>
      <c r="G5013" s="141" t="s">
        <v>6668</v>
      </c>
      <c r="H5013" s="140" t="s">
        <v>6312</v>
      </c>
      <c r="I5013" s="140" t="s">
        <v>6313</v>
      </c>
      <c r="J5013" s="140" t="s">
        <v>6314</v>
      </c>
      <c r="K5013" s="140" t="s">
        <v>12439</v>
      </c>
    </row>
    <row r="5014">
      <c r="A5014" s="140" t="s">
        <v>12439</v>
      </c>
      <c r="B5014" s="140" t="s">
        <v>3591</v>
      </c>
      <c r="C5014" s="140" t="s">
        <v>12533</v>
      </c>
      <c r="D5014" s="140" t="s">
        <v>6318</v>
      </c>
      <c r="E5014" s="140" t="s">
        <v>1631</v>
      </c>
      <c r="F5014" s="140" t="s">
        <v>9899</v>
      </c>
      <c r="G5014" s="141" t="s">
        <v>6668</v>
      </c>
      <c r="H5014" s="140" t="s">
        <v>6312</v>
      </c>
      <c r="I5014" s="140" t="s">
        <v>6313</v>
      </c>
      <c r="J5014" s="140" t="s">
        <v>6314</v>
      </c>
      <c r="K5014" s="140" t="s">
        <v>12439</v>
      </c>
    </row>
    <row r="5015">
      <c r="A5015" s="140" t="s">
        <v>12439</v>
      </c>
      <c r="B5015" s="140" t="s">
        <v>12534</v>
      </c>
      <c r="C5015" s="140" t="s">
        <v>12535</v>
      </c>
      <c r="D5015" s="140" t="s">
        <v>6318</v>
      </c>
      <c r="E5015" s="140" t="s">
        <v>1631</v>
      </c>
      <c r="F5015" s="140" t="s">
        <v>9899</v>
      </c>
      <c r="G5015" s="141" t="s">
        <v>6668</v>
      </c>
      <c r="H5015" s="140" t="s">
        <v>6312</v>
      </c>
      <c r="I5015" s="140" t="s">
        <v>6313</v>
      </c>
      <c r="J5015" s="140" t="s">
        <v>6314</v>
      </c>
      <c r="K5015" s="140" t="s">
        <v>12439</v>
      </c>
    </row>
    <row r="5016">
      <c r="A5016" s="140" t="s">
        <v>12439</v>
      </c>
      <c r="B5016" s="140" t="s">
        <v>12536</v>
      </c>
      <c r="C5016" s="140" t="s">
        <v>12537</v>
      </c>
      <c r="D5016" s="140" t="s">
        <v>6318</v>
      </c>
      <c r="E5016" s="140" t="s">
        <v>1631</v>
      </c>
      <c r="F5016" s="140" t="s">
        <v>9899</v>
      </c>
      <c r="G5016" s="141" t="s">
        <v>6668</v>
      </c>
      <c r="H5016" s="140" t="s">
        <v>6312</v>
      </c>
      <c r="I5016" s="140" t="s">
        <v>6313</v>
      </c>
      <c r="J5016" s="140" t="s">
        <v>6314</v>
      </c>
      <c r="K5016" s="140" t="s">
        <v>12439</v>
      </c>
    </row>
    <row r="5017">
      <c r="A5017" s="140" t="s">
        <v>12439</v>
      </c>
      <c r="B5017" s="140" t="s">
        <v>5679</v>
      </c>
      <c r="C5017" s="140" t="s">
        <v>12538</v>
      </c>
      <c r="D5017" s="140" t="s">
        <v>6318</v>
      </c>
      <c r="E5017" s="140" t="s">
        <v>1631</v>
      </c>
      <c r="F5017" s="140" t="s">
        <v>9899</v>
      </c>
      <c r="G5017" s="141" t="s">
        <v>6668</v>
      </c>
      <c r="H5017" s="140" t="s">
        <v>6312</v>
      </c>
      <c r="I5017" s="140" t="s">
        <v>6313</v>
      </c>
      <c r="J5017" s="140" t="s">
        <v>6314</v>
      </c>
      <c r="K5017" s="140" t="s">
        <v>12439</v>
      </c>
    </row>
    <row r="5018">
      <c r="A5018" s="140" t="s">
        <v>12439</v>
      </c>
      <c r="B5018" s="140" t="s">
        <v>3601</v>
      </c>
      <c r="C5018" s="140" t="s">
        <v>12539</v>
      </c>
      <c r="D5018" s="140" t="s">
        <v>6318</v>
      </c>
      <c r="E5018" s="140" t="s">
        <v>1631</v>
      </c>
      <c r="F5018" s="140" t="s">
        <v>9899</v>
      </c>
      <c r="G5018" s="141" t="s">
        <v>6668</v>
      </c>
      <c r="H5018" s="140" t="s">
        <v>6312</v>
      </c>
      <c r="I5018" s="140" t="s">
        <v>6313</v>
      </c>
      <c r="J5018" s="140" t="s">
        <v>6314</v>
      </c>
      <c r="K5018" s="140" t="s">
        <v>12439</v>
      </c>
    </row>
    <row r="5019">
      <c r="A5019" s="140" t="s">
        <v>12439</v>
      </c>
      <c r="B5019" s="140" t="s">
        <v>4846</v>
      </c>
      <c r="C5019" s="140" t="s">
        <v>12540</v>
      </c>
      <c r="D5019" s="140" t="s">
        <v>6318</v>
      </c>
      <c r="E5019" s="140" t="s">
        <v>1631</v>
      </c>
      <c r="F5019" s="140" t="s">
        <v>9899</v>
      </c>
      <c r="G5019" s="141" t="s">
        <v>6401</v>
      </c>
      <c r="H5019" s="140" t="s">
        <v>6312</v>
      </c>
      <c r="I5019" s="140" t="s">
        <v>6313</v>
      </c>
      <c r="J5019" s="140" t="s">
        <v>6314</v>
      </c>
      <c r="K5019" s="140" t="s">
        <v>12439</v>
      </c>
    </row>
    <row r="5020">
      <c r="A5020" s="140" t="s">
        <v>12439</v>
      </c>
      <c r="B5020" s="140" t="s">
        <v>4848</v>
      </c>
      <c r="C5020" s="140" t="s">
        <v>12541</v>
      </c>
      <c r="D5020" s="140" t="s">
        <v>6318</v>
      </c>
      <c r="E5020" s="140" t="s">
        <v>1631</v>
      </c>
      <c r="F5020" s="140" t="s">
        <v>9899</v>
      </c>
      <c r="G5020" s="141" t="s">
        <v>6401</v>
      </c>
      <c r="H5020" s="140" t="s">
        <v>6312</v>
      </c>
      <c r="I5020" s="140" t="s">
        <v>6313</v>
      </c>
      <c r="J5020" s="140" t="s">
        <v>6314</v>
      </c>
      <c r="K5020" s="140" t="s">
        <v>12439</v>
      </c>
    </row>
    <row r="5021">
      <c r="A5021" s="140" t="s">
        <v>12439</v>
      </c>
      <c r="B5021" s="140" t="s">
        <v>12542</v>
      </c>
      <c r="C5021" s="140" t="s">
        <v>12543</v>
      </c>
      <c r="D5021" s="140" t="s">
        <v>6318</v>
      </c>
      <c r="E5021" s="140" t="s">
        <v>1631</v>
      </c>
      <c r="F5021" s="140" t="s">
        <v>9899</v>
      </c>
      <c r="G5021" s="141" t="s">
        <v>6401</v>
      </c>
      <c r="H5021" s="140" t="s">
        <v>6312</v>
      </c>
      <c r="I5021" s="140" t="s">
        <v>6313</v>
      </c>
      <c r="J5021" s="140" t="s">
        <v>6314</v>
      </c>
      <c r="K5021" s="140" t="s">
        <v>12439</v>
      </c>
    </row>
    <row r="5022">
      <c r="A5022" s="140" t="s">
        <v>12439</v>
      </c>
      <c r="B5022" s="140" t="s">
        <v>12544</v>
      </c>
      <c r="C5022" s="140" t="s">
        <v>12545</v>
      </c>
      <c r="D5022" s="140" t="s">
        <v>6318</v>
      </c>
      <c r="E5022" s="140" t="s">
        <v>1631</v>
      </c>
      <c r="F5022" s="140" t="s">
        <v>9899</v>
      </c>
      <c r="G5022" s="141" t="s">
        <v>6401</v>
      </c>
      <c r="H5022" s="140" t="s">
        <v>6312</v>
      </c>
      <c r="I5022" s="140" t="s">
        <v>6313</v>
      </c>
      <c r="J5022" s="140" t="s">
        <v>6314</v>
      </c>
      <c r="K5022" s="140" t="s">
        <v>12439</v>
      </c>
    </row>
    <row r="5023">
      <c r="A5023" s="140" t="s">
        <v>12439</v>
      </c>
      <c r="B5023" s="140" t="s">
        <v>2969</v>
      </c>
      <c r="C5023" s="140" t="s">
        <v>12546</v>
      </c>
      <c r="D5023" s="140" t="s">
        <v>6318</v>
      </c>
      <c r="E5023" s="140" t="s">
        <v>1631</v>
      </c>
      <c r="F5023" s="140" t="s">
        <v>9899</v>
      </c>
      <c r="G5023" s="141" t="s">
        <v>6401</v>
      </c>
      <c r="H5023" s="140" t="s">
        <v>6312</v>
      </c>
      <c r="I5023" s="140" t="s">
        <v>6313</v>
      </c>
      <c r="J5023" s="140" t="s">
        <v>6314</v>
      </c>
      <c r="K5023" s="140" t="s">
        <v>12439</v>
      </c>
    </row>
    <row r="5024">
      <c r="A5024" s="140" t="s">
        <v>12439</v>
      </c>
      <c r="B5024" s="140" t="s">
        <v>4850</v>
      </c>
      <c r="C5024" s="140" t="s">
        <v>12547</v>
      </c>
      <c r="D5024" s="140" t="s">
        <v>6318</v>
      </c>
      <c r="E5024" s="140" t="s">
        <v>1631</v>
      </c>
      <c r="F5024" s="140" t="s">
        <v>9899</v>
      </c>
      <c r="G5024" s="141" t="s">
        <v>6401</v>
      </c>
      <c r="H5024" s="140" t="s">
        <v>6312</v>
      </c>
      <c r="I5024" s="140" t="s">
        <v>6313</v>
      </c>
      <c r="J5024" s="140" t="s">
        <v>6314</v>
      </c>
      <c r="K5024" s="140" t="s">
        <v>12439</v>
      </c>
    </row>
    <row r="5025">
      <c r="A5025" s="140" t="s">
        <v>12439</v>
      </c>
      <c r="B5025" s="140" t="s">
        <v>12548</v>
      </c>
      <c r="C5025" s="140" t="s">
        <v>12549</v>
      </c>
      <c r="D5025" s="140" t="s">
        <v>6318</v>
      </c>
      <c r="E5025" s="140" t="s">
        <v>1631</v>
      </c>
      <c r="F5025" s="140" t="s">
        <v>9899</v>
      </c>
      <c r="G5025" s="141" t="s">
        <v>6401</v>
      </c>
      <c r="H5025" s="140" t="s">
        <v>6312</v>
      </c>
      <c r="I5025" s="140" t="s">
        <v>6313</v>
      </c>
      <c r="J5025" s="140" t="s">
        <v>6314</v>
      </c>
      <c r="K5025" s="140" t="s">
        <v>12439</v>
      </c>
    </row>
    <row r="5026">
      <c r="A5026" s="140" t="s">
        <v>12439</v>
      </c>
      <c r="B5026" s="140" t="s">
        <v>12550</v>
      </c>
      <c r="C5026" s="140" t="s">
        <v>12551</v>
      </c>
      <c r="D5026" s="140" t="s">
        <v>6318</v>
      </c>
      <c r="E5026" s="140" t="s">
        <v>1631</v>
      </c>
      <c r="F5026" s="140" t="s">
        <v>9899</v>
      </c>
      <c r="G5026" s="141" t="s">
        <v>6304</v>
      </c>
      <c r="H5026" s="140" t="s">
        <v>6312</v>
      </c>
      <c r="I5026" s="140" t="s">
        <v>6527</v>
      </c>
      <c r="J5026" s="140" t="s">
        <v>6314</v>
      </c>
      <c r="K5026" s="140" t="s">
        <v>12439</v>
      </c>
    </row>
    <row r="5027">
      <c r="A5027" s="140" t="s">
        <v>12439</v>
      </c>
      <c r="B5027" s="140" t="s">
        <v>12552</v>
      </c>
      <c r="C5027" s="140" t="s">
        <v>12553</v>
      </c>
      <c r="D5027" s="140" t="s">
        <v>6318</v>
      </c>
      <c r="E5027" s="140" t="s">
        <v>1631</v>
      </c>
      <c r="F5027" s="140" t="s">
        <v>9899</v>
      </c>
      <c r="G5027" s="141" t="s">
        <v>6304</v>
      </c>
      <c r="H5027" s="140" t="s">
        <v>6312</v>
      </c>
      <c r="I5027" s="140" t="s">
        <v>6527</v>
      </c>
      <c r="J5027" s="140" t="s">
        <v>6314</v>
      </c>
      <c r="K5027" s="140" t="s">
        <v>12439</v>
      </c>
    </row>
    <row r="5028">
      <c r="A5028" s="140" t="s">
        <v>12439</v>
      </c>
      <c r="B5028" s="140" t="s">
        <v>12554</v>
      </c>
      <c r="C5028" s="140" t="s">
        <v>12555</v>
      </c>
      <c r="D5028" s="140" t="s">
        <v>6318</v>
      </c>
      <c r="E5028" s="140" t="s">
        <v>1631</v>
      </c>
      <c r="F5028" s="140" t="s">
        <v>9899</v>
      </c>
      <c r="G5028" s="141" t="s">
        <v>6304</v>
      </c>
      <c r="H5028" s="140" t="s">
        <v>6312</v>
      </c>
      <c r="I5028" s="140" t="s">
        <v>6527</v>
      </c>
      <c r="J5028" s="140" t="s">
        <v>6314</v>
      </c>
      <c r="K5028" s="140" t="s">
        <v>12439</v>
      </c>
    </row>
    <row r="5029">
      <c r="A5029" s="140" t="s">
        <v>12439</v>
      </c>
      <c r="B5029" s="140" t="s">
        <v>12556</v>
      </c>
      <c r="C5029" s="140" t="s">
        <v>12557</v>
      </c>
      <c r="D5029" s="140" t="s">
        <v>6318</v>
      </c>
      <c r="E5029" s="140" t="s">
        <v>1631</v>
      </c>
      <c r="F5029" s="140" t="s">
        <v>9899</v>
      </c>
      <c r="G5029" s="141" t="s">
        <v>6304</v>
      </c>
      <c r="H5029" s="140" t="s">
        <v>6312</v>
      </c>
      <c r="I5029" s="140" t="s">
        <v>6527</v>
      </c>
      <c r="J5029" s="140" t="s">
        <v>6314</v>
      </c>
      <c r="K5029" s="140" t="s">
        <v>12439</v>
      </c>
    </row>
    <row r="5030">
      <c r="A5030" s="140" t="s">
        <v>12439</v>
      </c>
      <c r="B5030" s="140" t="s">
        <v>12558</v>
      </c>
      <c r="C5030" s="140" t="s">
        <v>12559</v>
      </c>
      <c r="D5030" s="140" t="s">
        <v>6318</v>
      </c>
      <c r="E5030" s="140" t="s">
        <v>1631</v>
      </c>
      <c r="F5030" s="140" t="s">
        <v>9899</v>
      </c>
      <c r="G5030" s="141" t="s">
        <v>6304</v>
      </c>
      <c r="H5030" s="140" t="s">
        <v>6312</v>
      </c>
      <c r="I5030" s="140" t="s">
        <v>6527</v>
      </c>
      <c r="J5030" s="140" t="s">
        <v>6314</v>
      </c>
      <c r="K5030" s="140" t="s">
        <v>12439</v>
      </c>
    </row>
    <row r="5031">
      <c r="A5031" s="140" t="s">
        <v>12439</v>
      </c>
      <c r="B5031" s="140" t="s">
        <v>12560</v>
      </c>
      <c r="C5031" s="140" t="s">
        <v>12561</v>
      </c>
      <c r="D5031" s="140" t="s">
        <v>6318</v>
      </c>
      <c r="E5031" s="140" t="s">
        <v>1631</v>
      </c>
      <c r="F5031" s="140" t="s">
        <v>9899</v>
      </c>
      <c r="G5031" s="141" t="s">
        <v>6304</v>
      </c>
      <c r="H5031" s="140" t="s">
        <v>6312</v>
      </c>
      <c r="I5031" s="140" t="s">
        <v>6527</v>
      </c>
      <c r="J5031" s="140" t="s">
        <v>6314</v>
      </c>
      <c r="K5031" s="140" t="s">
        <v>12439</v>
      </c>
    </row>
    <row r="5032">
      <c r="A5032" s="140" t="s">
        <v>12439</v>
      </c>
      <c r="B5032" s="140" t="s">
        <v>12562</v>
      </c>
      <c r="C5032" s="140" t="s">
        <v>12563</v>
      </c>
      <c r="D5032" s="140" t="s">
        <v>6318</v>
      </c>
      <c r="E5032" s="140" t="s">
        <v>1631</v>
      </c>
      <c r="F5032" s="140" t="s">
        <v>9899</v>
      </c>
      <c r="G5032" s="141" t="s">
        <v>6304</v>
      </c>
      <c r="H5032" s="140" t="s">
        <v>6312</v>
      </c>
      <c r="I5032" s="140" t="s">
        <v>6527</v>
      </c>
      <c r="J5032" s="140" t="s">
        <v>6314</v>
      </c>
      <c r="K5032" s="140" t="s">
        <v>12439</v>
      </c>
    </row>
    <row r="5033">
      <c r="A5033" s="140" t="s">
        <v>12439</v>
      </c>
      <c r="B5033" s="140" t="s">
        <v>12564</v>
      </c>
      <c r="C5033" s="140" t="s">
        <v>12565</v>
      </c>
      <c r="D5033" s="140" t="s">
        <v>6318</v>
      </c>
      <c r="E5033" s="140" t="s">
        <v>1631</v>
      </c>
      <c r="F5033" s="140" t="s">
        <v>9899</v>
      </c>
      <c r="G5033" s="141" t="s">
        <v>6304</v>
      </c>
      <c r="H5033" s="140" t="s">
        <v>6312</v>
      </c>
      <c r="I5033" s="140" t="s">
        <v>6527</v>
      </c>
      <c r="J5033" s="140" t="s">
        <v>6314</v>
      </c>
      <c r="K5033" s="140" t="s">
        <v>12439</v>
      </c>
    </row>
    <row r="5034">
      <c r="A5034" s="140" t="s">
        <v>12439</v>
      </c>
      <c r="B5034" s="140" t="s">
        <v>12566</v>
      </c>
      <c r="C5034" s="140" t="s">
        <v>12567</v>
      </c>
      <c r="D5034" s="140" t="s">
        <v>6318</v>
      </c>
      <c r="E5034" s="140" t="s">
        <v>1631</v>
      </c>
      <c r="F5034" s="140" t="s">
        <v>9899</v>
      </c>
      <c r="G5034" s="141" t="s">
        <v>6304</v>
      </c>
      <c r="H5034" s="140" t="s">
        <v>6312</v>
      </c>
      <c r="I5034" s="140" t="s">
        <v>6527</v>
      </c>
      <c r="J5034" s="140" t="s">
        <v>6314</v>
      </c>
      <c r="K5034" s="140" t="s">
        <v>12439</v>
      </c>
    </row>
    <row r="5035">
      <c r="A5035" s="140" t="s">
        <v>12439</v>
      </c>
      <c r="B5035" s="140" t="s">
        <v>12568</v>
      </c>
      <c r="C5035" s="140" t="s">
        <v>12569</v>
      </c>
      <c r="D5035" s="140" t="s">
        <v>6318</v>
      </c>
      <c r="E5035" s="140" t="s">
        <v>1631</v>
      </c>
      <c r="F5035" s="140" t="s">
        <v>9899</v>
      </c>
      <c r="G5035" s="141" t="s">
        <v>6304</v>
      </c>
      <c r="H5035" s="140" t="s">
        <v>6312</v>
      </c>
      <c r="I5035" s="140" t="s">
        <v>6527</v>
      </c>
      <c r="J5035" s="140" t="s">
        <v>6314</v>
      </c>
      <c r="K5035" s="140" t="s">
        <v>12439</v>
      </c>
    </row>
    <row r="5036">
      <c r="A5036" s="140" t="s">
        <v>12439</v>
      </c>
      <c r="B5036" s="140" t="s">
        <v>12570</v>
      </c>
      <c r="C5036" s="140" t="s">
        <v>12571</v>
      </c>
      <c r="D5036" s="140" t="s">
        <v>6318</v>
      </c>
      <c r="E5036" s="140" t="s">
        <v>1631</v>
      </c>
      <c r="F5036" s="140" t="s">
        <v>9899</v>
      </c>
      <c r="G5036" s="141" t="s">
        <v>6304</v>
      </c>
      <c r="H5036" s="140" t="s">
        <v>6312</v>
      </c>
      <c r="I5036" s="140" t="s">
        <v>6527</v>
      </c>
      <c r="J5036" s="140" t="s">
        <v>6314</v>
      </c>
      <c r="K5036" s="140" t="s">
        <v>12439</v>
      </c>
    </row>
    <row r="5037">
      <c r="A5037" s="140" t="s">
        <v>12439</v>
      </c>
      <c r="B5037" s="140" t="s">
        <v>12572</v>
      </c>
      <c r="C5037" s="140" t="s">
        <v>12573</v>
      </c>
      <c r="D5037" s="140" t="s">
        <v>6318</v>
      </c>
      <c r="E5037" s="140" t="s">
        <v>1631</v>
      </c>
      <c r="F5037" s="140" t="s">
        <v>9899</v>
      </c>
      <c r="G5037" s="141" t="s">
        <v>6304</v>
      </c>
      <c r="H5037" s="140" t="s">
        <v>6312</v>
      </c>
      <c r="I5037" s="140" t="s">
        <v>6527</v>
      </c>
      <c r="J5037" s="140" t="s">
        <v>6314</v>
      </c>
      <c r="K5037" s="140" t="s">
        <v>12439</v>
      </c>
    </row>
    <row r="5038">
      <c r="A5038" s="140" t="s">
        <v>12439</v>
      </c>
      <c r="B5038" s="140" t="s">
        <v>12574</v>
      </c>
      <c r="C5038" s="140" t="s">
        <v>12575</v>
      </c>
      <c r="D5038" s="140" t="s">
        <v>6318</v>
      </c>
      <c r="E5038" s="140" t="s">
        <v>1631</v>
      </c>
      <c r="F5038" s="140" t="s">
        <v>9899</v>
      </c>
      <c r="G5038" s="141" t="s">
        <v>6304</v>
      </c>
      <c r="H5038" s="140" t="s">
        <v>6312</v>
      </c>
      <c r="I5038" s="140" t="s">
        <v>6527</v>
      </c>
      <c r="J5038" s="140" t="s">
        <v>6314</v>
      </c>
      <c r="K5038" s="140" t="s">
        <v>12439</v>
      </c>
    </row>
    <row r="5039">
      <c r="A5039" s="140" t="s">
        <v>12439</v>
      </c>
      <c r="B5039" s="140" t="s">
        <v>12576</v>
      </c>
      <c r="C5039" s="140" t="s">
        <v>12577</v>
      </c>
      <c r="D5039" s="140" t="s">
        <v>6318</v>
      </c>
      <c r="E5039" s="140" t="s">
        <v>1631</v>
      </c>
      <c r="F5039" s="140" t="s">
        <v>9899</v>
      </c>
      <c r="G5039" s="141" t="s">
        <v>6304</v>
      </c>
      <c r="H5039" s="140" t="s">
        <v>6312</v>
      </c>
      <c r="I5039" s="140" t="s">
        <v>6527</v>
      </c>
      <c r="J5039" s="140" t="s">
        <v>6314</v>
      </c>
      <c r="K5039" s="140" t="s">
        <v>12439</v>
      </c>
    </row>
    <row r="5040">
      <c r="A5040" s="140" t="s">
        <v>12439</v>
      </c>
      <c r="B5040" s="140" t="s">
        <v>12578</v>
      </c>
      <c r="C5040" s="140" t="s">
        <v>12579</v>
      </c>
      <c r="D5040" s="140" t="s">
        <v>6318</v>
      </c>
      <c r="E5040" s="140" t="s">
        <v>1631</v>
      </c>
      <c r="F5040" s="140" t="s">
        <v>9909</v>
      </c>
      <c r="G5040" s="141" t="s">
        <v>6304</v>
      </c>
      <c r="H5040" s="140" t="s">
        <v>6312</v>
      </c>
      <c r="I5040" s="140" t="s">
        <v>6527</v>
      </c>
      <c r="J5040" s="140" t="s">
        <v>6314</v>
      </c>
      <c r="K5040" s="140" t="s">
        <v>12439</v>
      </c>
    </row>
    <row r="5041">
      <c r="A5041" s="140" t="s">
        <v>12439</v>
      </c>
      <c r="B5041" s="140" t="s">
        <v>12580</v>
      </c>
      <c r="C5041" s="140" t="s">
        <v>12581</v>
      </c>
      <c r="D5041" s="140" t="s">
        <v>6318</v>
      </c>
      <c r="E5041" s="140" t="s">
        <v>1631</v>
      </c>
      <c r="F5041" s="140" t="s">
        <v>9909</v>
      </c>
      <c r="G5041" s="141" t="s">
        <v>6304</v>
      </c>
      <c r="H5041" s="140" t="s">
        <v>6312</v>
      </c>
      <c r="I5041" s="140" t="s">
        <v>6527</v>
      </c>
      <c r="J5041" s="140" t="s">
        <v>6314</v>
      </c>
      <c r="K5041" s="140" t="s">
        <v>12439</v>
      </c>
    </row>
    <row r="5042">
      <c r="A5042" s="140" t="s">
        <v>12439</v>
      </c>
      <c r="B5042" s="140" t="s">
        <v>12582</v>
      </c>
      <c r="C5042" s="140" t="s">
        <v>12583</v>
      </c>
      <c r="D5042" s="140" t="s">
        <v>6318</v>
      </c>
      <c r="E5042" s="140" t="s">
        <v>1631</v>
      </c>
      <c r="F5042" s="140" t="s">
        <v>9909</v>
      </c>
      <c r="G5042" s="141" t="s">
        <v>6304</v>
      </c>
      <c r="H5042" s="140" t="s">
        <v>6312</v>
      </c>
      <c r="I5042" s="140" t="s">
        <v>6527</v>
      </c>
      <c r="J5042" s="140" t="s">
        <v>6314</v>
      </c>
      <c r="K5042" s="140" t="s">
        <v>12439</v>
      </c>
    </row>
    <row r="5043">
      <c r="A5043" s="140" t="s">
        <v>12439</v>
      </c>
      <c r="B5043" s="140" t="s">
        <v>12584</v>
      </c>
      <c r="C5043" s="140" t="s">
        <v>12585</v>
      </c>
      <c r="D5043" s="140" t="s">
        <v>6318</v>
      </c>
      <c r="E5043" s="140" t="s">
        <v>1631</v>
      </c>
      <c r="F5043" s="140" t="s">
        <v>9909</v>
      </c>
      <c r="G5043" s="141" t="s">
        <v>6304</v>
      </c>
      <c r="H5043" s="140" t="s">
        <v>6312</v>
      </c>
      <c r="I5043" s="140" t="s">
        <v>6527</v>
      </c>
      <c r="J5043" s="140" t="s">
        <v>6314</v>
      </c>
      <c r="K5043" s="140" t="s">
        <v>12439</v>
      </c>
    </row>
    <row r="5044">
      <c r="A5044" s="140" t="s">
        <v>12439</v>
      </c>
      <c r="B5044" s="140" t="s">
        <v>12586</v>
      </c>
      <c r="C5044" s="140" t="s">
        <v>12587</v>
      </c>
      <c r="D5044" s="140" t="s">
        <v>6318</v>
      </c>
      <c r="E5044" s="140" t="s">
        <v>1631</v>
      </c>
      <c r="F5044" s="140" t="s">
        <v>9909</v>
      </c>
      <c r="G5044" s="141" t="s">
        <v>6304</v>
      </c>
      <c r="H5044" s="140" t="s">
        <v>6312</v>
      </c>
      <c r="I5044" s="140" t="s">
        <v>6527</v>
      </c>
      <c r="J5044" s="140" t="s">
        <v>6314</v>
      </c>
      <c r="K5044" s="140" t="s">
        <v>12439</v>
      </c>
    </row>
    <row r="5045">
      <c r="A5045" s="140" t="s">
        <v>12439</v>
      </c>
      <c r="B5045" s="140" t="s">
        <v>12588</v>
      </c>
      <c r="C5045" s="140" t="s">
        <v>12589</v>
      </c>
      <c r="D5045" s="140" t="s">
        <v>6318</v>
      </c>
      <c r="E5045" s="140" t="s">
        <v>1631</v>
      </c>
      <c r="F5045" s="140" t="s">
        <v>9909</v>
      </c>
      <c r="G5045" s="141" t="s">
        <v>6304</v>
      </c>
      <c r="H5045" s="140" t="s">
        <v>6312</v>
      </c>
      <c r="I5045" s="140" t="s">
        <v>6527</v>
      </c>
      <c r="J5045" s="140" t="s">
        <v>6314</v>
      </c>
      <c r="K5045" s="140" t="s">
        <v>12439</v>
      </c>
    </row>
    <row r="5046">
      <c r="A5046" s="140" t="s">
        <v>12439</v>
      </c>
      <c r="B5046" s="140" t="s">
        <v>12590</v>
      </c>
      <c r="C5046" s="140" t="s">
        <v>12591</v>
      </c>
      <c r="D5046" s="140" t="s">
        <v>6318</v>
      </c>
      <c r="E5046" s="140" t="s">
        <v>1631</v>
      </c>
      <c r="F5046" s="140" t="s">
        <v>9909</v>
      </c>
      <c r="G5046" s="141" t="s">
        <v>6304</v>
      </c>
      <c r="H5046" s="140" t="s">
        <v>6312</v>
      </c>
      <c r="I5046" s="140" t="s">
        <v>6527</v>
      </c>
      <c r="J5046" s="140" t="s">
        <v>6314</v>
      </c>
      <c r="K5046" s="140" t="s">
        <v>12439</v>
      </c>
    </row>
    <row r="5047">
      <c r="A5047" s="140" t="s">
        <v>12439</v>
      </c>
      <c r="B5047" s="140" t="s">
        <v>12592</v>
      </c>
      <c r="C5047" s="140" t="s">
        <v>12593</v>
      </c>
      <c r="D5047" s="140" t="s">
        <v>6318</v>
      </c>
      <c r="E5047" s="140" t="s">
        <v>1631</v>
      </c>
      <c r="F5047" s="140" t="s">
        <v>9909</v>
      </c>
      <c r="G5047" s="141" t="s">
        <v>6304</v>
      </c>
      <c r="H5047" s="140" t="s">
        <v>6312</v>
      </c>
      <c r="I5047" s="140" t="s">
        <v>6527</v>
      </c>
      <c r="J5047" s="140" t="s">
        <v>6314</v>
      </c>
      <c r="K5047" s="140" t="s">
        <v>12439</v>
      </c>
    </row>
    <row r="5048">
      <c r="A5048" s="140" t="s">
        <v>12439</v>
      </c>
      <c r="B5048" s="140" t="s">
        <v>12594</v>
      </c>
      <c r="C5048" s="140" t="s">
        <v>12595</v>
      </c>
      <c r="D5048" s="140" t="s">
        <v>6318</v>
      </c>
      <c r="E5048" s="140" t="s">
        <v>1631</v>
      </c>
      <c r="F5048" s="140" t="s">
        <v>9909</v>
      </c>
      <c r="G5048" s="141" t="s">
        <v>6304</v>
      </c>
      <c r="H5048" s="140" t="s">
        <v>6312</v>
      </c>
      <c r="I5048" s="140" t="s">
        <v>6527</v>
      </c>
      <c r="J5048" s="140" t="s">
        <v>6314</v>
      </c>
      <c r="K5048" s="140" t="s">
        <v>12439</v>
      </c>
    </row>
    <row r="5049">
      <c r="A5049" s="140" t="s">
        <v>12439</v>
      </c>
      <c r="B5049" s="140" t="s">
        <v>12596</v>
      </c>
      <c r="C5049" s="140" t="s">
        <v>12597</v>
      </c>
      <c r="D5049" s="140" t="s">
        <v>6318</v>
      </c>
      <c r="E5049" s="140" t="s">
        <v>1631</v>
      </c>
      <c r="F5049" s="140" t="s">
        <v>9909</v>
      </c>
      <c r="G5049" s="141" t="s">
        <v>6304</v>
      </c>
      <c r="H5049" s="140" t="s">
        <v>6312</v>
      </c>
      <c r="I5049" s="140" t="s">
        <v>6527</v>
      </c>
      <c r="J5049" s="140" t="s">
        <v>6314</v>
      </c>
      <c r="K5049" s="140" t="s">
        <v>12439</v>
      </c>
    </row>
    <row r="5050">
      <c r="A5050" s="140" t="s">
        <v>12439</v>
      </c>
      <c r="B5050" s="140" t="s">
        <v>12598</v>
      </c>
      <c r="C5050" s="140" t="s">
        <v>12599</v>
      </c>
      <c r="D5050" s="140" t="s">
        <v>6318</v>
      </c>
      <c r="E5050" s="140" t="s">
        <v>1631</v>
      </c>
      <c r="F5050" s="140" t="s">
        <v>9909</v>
      </c>
      <c r="G5050" s="141" t="s">
        <v>6304</v>
      </c>
      <c r="H5050" s="140" t="s">
        <v>6312</v>
      </c>
      <c r="I5050" s="140" t="s">
        <v>6527</v>
      </c>
      <c r="J5050" s="140" t="s">
        <v>6314</v>
      </c>
      <c r="K5050" s="140" t="s">
        <v>12439</v>
      </c>
    </row>
    <row r="5051">
      <c r="A5051" s="140" t="s">
        <v>12439</v>
      </c>
      <c r="B5051" s="140" t="s">
        <v>12600</v>
      </c>
      <c r="C5051" s="140" t="s">
        <v>12601</v>
      </c>
      <c r="D5051" s="140" t="s">
        <v>6318</v>
      </c>
      <c r="E5051" s="140" t="s">
        <v>1631</v>
      </c>
      <c r="F5051" s="140" t="s">
        <v>9909</v>
      </c>
      <c r="G5051" s="141" t="s">
        <v>6304</v>
      </c>
      <c r="H5051" s="140" t="s">
        <v>6312</v>
      </c>
      <c r="I5051" s="140" t="s">
        <v>6527</v>
      </c>
      <c r="J5051" s="140" t="s">
        <v>6314</v>
      </c>
      <c r="K5051" s="140" t="s">
        <v>12439</v>
      </c>
    </row>
    <row r="5052">
      <c r="A5052" s="140" t="s">
        <v>12439</v>
      </c>
      <c r="B5052" s="140" t="s">
        <v>12602</v>
      </c>
      <c r="C5052" s="140" t="s">
        <v>12603</v>
      </c>
      <c r="D5052" s="140" t="s">
        <v>6318</v>
      </c>
      <c r="E5052" s="140" t="s">
        <v>1631</v>
      </c>
      <c r="F5052" s="140" t="s">
        <v>9909</v>
      </c>
      <c r="G5052" s="141" t="s">
        <v>6304</v>
      </c>
      <c r="H5052" s="140" t="s">
        <v>6312</v>
      </c>
      <c r="I5052" s="140" t="s">
        <v>6527</v>
      </c>
      <c r="J5052" s="140" t="s">
        <v>6314</v>
      </c>
      <c r="K5052" s="140" t="s">
        <v>12439</v>
      </c>
    </row>
    <row r="5053">
      <c r="A5053" s="140" t="s">
        <v>12439</v>
      </c>
      <c r="B5053" s="140" t="s">
        <v>12604</v>
      </c>
      <c r="C5053" s="140" t="s">
        <v>12605</v>
      </c>
      <c r="D5053" s="140" t="s">
        <v>6318</v>
      </c>
      <c r="E5053" s="140" t="s">
        <v>1631</v>
      </c>
      <c r="F5053" s="140" t="s">
        <v>9909</v>
      </c>
      <c r="G5053" s="141" t="s">
        <v>6304</v>
      </c>
      <c r="H5053" s="140" t="s">
        <v>6312</v>
      </c>
      <c r="I5053" s="140" t="s">
        <v>6527</v>
      </c>
      <c r="J5053" s="140" t="s">
        <v>6314</v>
      </c>
      <c r="K5053" s="140" t="s">
        <v>12439</v>
      </c>
    </row>
    <row r="5054">
      <c r="A5054" s="140" t="s">
        <v>12439</v>
      </c>
      <c r="B5054" s="140" t="s">
        <v>12606</v>
      </c>
      <c r="C5054" s="140" t="s">
        <v>12607</v>
      </c>
      <c r="D5054" s="140" t="s">
        <v>6318</v>
      </c>
      <c r="E5054" s="140" t="s">
        <v>1631</v>
      </c>
      <c r="F5054" s="140" t="s">
        <v>9909</v>
      </c>
      <c r="G5054" s="141" t="s">
        <v>6304</v>
      </c>
      <c r="H5054" s="140" t="s">
        <v>6312</v>
      </c>
      <c r="I5054" s="140" t="s">
        <v>6527</v>
      </c>
      <c r="J5054" s="140" t="s">
        <v>6314</v>
      </c>
      <c r="K5054" s="140" t="s">
        <v>12439</v>
      </c>
    </row>
    <row r="5055">
      <c r="A5055" s="140" t="s">
        <v>12439</v>
      </c>
      <c r="B5055" s="140" t="s">
        <v>12608</v>
      </c>
      <c r="C5055" s="140" t="s">
        <v>12609</v>
      </c>
      <c r="D5055" s="140" t="s">
        <v>6318</v>
      </c>
      <c r="E5055" s="140" t="s">
        <v>1631</v>
      </c>
      <c r="F5055" s="140" t="s">
        <v>9909</v>
      </c>
      <c r="G5055" s="141" t="s">
        <v>6304</v>
      </c>
      <c r="H5055" s="140" t="s">
        <v>6312</v>
      </c>
      <c r="I5055" s="140" t="s">
        <v>6527</v>
      </c>
      <c r="J5055" s="140" t="s">
        <v>6314</v>
      </c>
      <c r="K5055" s="140" t="s">
        <v>12439</v>
      </c>
    </row>
    <row r="5056">
      <c r="A5056" s="140" t="s">
        <v>12439</v>
      </c>
      <c r="B5056" s="140" t="s">
        <v>12610</v>
      </c>
      <c r="C5056" s="140" t="s">
        <v>12611</v>
      </c>
      <c r="D5056" s="140" t="s">
        <v>6318</v>
      </c>
      <c r="E5056" s="140" t="s">
        <v>1631</v>
      </c>
      <c r="F5056" s="140" t="s">
        <v>9909</v>
      </c>
      <c r="G5056" s="141" t="s">
        <v>6304</v>
      </c>
      <c r="H5056" s="140" t="s">
        <v>6312</v>
      </c>
      <c r="I5056" s="140" t="s">
        <v>6527</v>
      </c>
      <c r="J5056" s="140" t="s">
        <v>6314</v>
      </c>
      <c r="K5056" s="140" t="s">
        <v>12439</v>
      </c>
    </row>
    <row r="5057">
      <c r="A5057" s="140" t="s">
        <v>12439</v>
      </c>
      <c r="B5057" s="140" t="s">
        <v>12612</v>
      </c>
      <c r="C5057" s="140" t="s">
        <v>12613</v>
      </c>
      <c r="D5057" s="140" t="s">
        <v>6318</v>
      </c>
      <c r="E5057" s="140" t="s">
        <v>1631</v>
      </c>
      <c r="F5057" s="140" t="s">
        <v>9909</v>
      </c>
      <c r="G5057" s="141" t="s">
        <v>6304</v>
      </c>
      <c r="H5057" s="140" t="s">
        <v>6312</v>
      </c>
      <c r="I5057" s="140" t="s">
        <v>6527</v>
      </c>
      <c r="J5057" s="140" t="s">
        <v>6314</v>
      </c>
      <c r="K5057" s="140" t="s">
        <v>12439</v>
      </c>
    </row>
    <row r="5058">
      <c r="A5058" s="140" t="s">
        <v>12439</v>
      </c>
      <c r="B5058" s="140" t="s">
        <v>12614</v>
      </c>
      <c r="C5058" s="140" t="s">
        <v>12615</v>
      </c>
      <c r="D5058" s="140" t="s">
        <v>6318</v>
      </c>
      <c r="E5058" s="140" t="s">
        <v>1631</v>
      </c>
      <c r="F5058" s="140" t="s">
        <v>9909</v>
      </c>
      <c r="G5058" s="141" t="s">
        <v>6304</v>
      </c>
      <c r="H5058" s="140" t="s">
        <v>6312</v>
      </c>
      <c r="I5058" s="140" t="s">
        <v>6527</v>
      </c>
      <c r="J5058" s="140" t="s">
        <v>6314</v>
      </c>
      <c r="K5058" s="140" t="s">
        <v>12439</v>
      </c>
    </row>
    <row r="5059">
      <c r="A5059" s="140" t="s">
        <v>12439</v>
      </c>
      <c r="B5059" s="140" t="s">
        <v>12616</v>
      </c>
      <c r="C5059" s="140" t="s">
        <v>12617</v>
      </c>
      <c r="D5059" s="140" t="s">
        <v>6318</v>
      </c>
      <c r="E5059" s="140" t="s">
        <v>1631</v>
      </c>
      <c r="F5059" s="140" t="s">
        <v>9909</v>
      </c>
      <c r="G5059" s="141" t="s">
        <v>6304</v>
      </c>
      <c r="H5059" s="140" t="s">
        <v>6312</v>
      </c>
      <c r="I5059" s="140" t="s">
        <v>6527</v>
      </c>
      <c r="J5059" s="140" t="s">
        <v>6314</v>
      </c>
      <c r="K5059" s="140" t="s">
        <v>12439</v>
      </c>
    </row>
    <row r="5060">
      <c r="A5060" s="140" t="s">
        <v>12439</v>
      </c>
      <c r="B5060" s="140" t="s">
        <v>12618</v>
      </c>
      <c r="C5060" s="140" t="s">
        <v>12619</v>
      </c>
      <c r="D5060" s="140" t="s">
        <v>6318</v>
      </c>
      <c r="E5060" s="140" t="s">
        <v>1631</v>
      </c>
      <c r="F5060" s="140" t="s">
        <v>9909</v>
      </c>
      <c r="G5060" s="141" t="s">
        <v>6304</v>
      </c>
      <c r="H5060" s="140" t="s">
        <v>6312</v>
      </c>
      <c r="I5060" s="140" t="s">
        <v>6527</v>
      </c>
      <c r="J5060" s="140" t="s">
        <v>6314</v>
      </c>
      <c r="K5060" s="140" t="s">
        <v>12439</v>
      </c>
    </row>
    <row r="5061">
      <c r="A5061" s="140" t="s">
        <v>12439</v>
      </c>
      <c r="B5061" s="140" t="s">
        <v>12620</v>
      </c>
      <c r="C5061" s="140" t="s">
        <v>12621</v>
      </c>
      <c r="D5061" s="140" t="s">
        <v>6318</v>
      </c>
      <c r="E5061" s="140" t="s">
        <v>1631</v>
      </c>
      <c r="F5061" s="140" t="s">
        <v>9909</v>
      </c>
      <c r="G5061" s="141" t="s">
        <v>6304</v>
      </c>
      <c r="H5061" s="140" t="s">
        <v>6312</v>
      </c>
      <c r="I5061" s="140" t="s">
        <v>6527</v>
      </c>
      <c r="J5061" s="140" t="s">
        <v>6314</v>
      </c>
      <c r="K5061" s="140" t="s">
        <v>12439</v>
      </c>
    </row>
    <row r="5062">
      <c r="A5062" s="140" t="s">
        <v>12439</v>
      </c>
      <c r="B5062" s="140" t="s">
        <v>12622</v>
      </c>
      <c r="C5062" s="140" t="s">
        <v>12623</v>
      </c>
      <c r="D5062" s="140" t="s">
        <v>6318</v>
      </c>
      <c r="E5062" s="140" t="s">
        <v>1631</v>
      </c>
      <c r="F5062" s="140" t="s">
        <v>9909</v>
      </c>
      <c r="G5062" s="141" t="s">
        <v>6304</v>
      </c>
      <c r="H5062" s="140" t="s">
        <v>6312</v>
      </c>
      <c r="I5062" s="140" t="s">
        <v>6527</v>
      </c>
      <c r="J5062" s="140" t="s">
        <v>6314</v>
      </c>
      <c r="K5062" s="140" t="s">
        <v>12439</v>
      </c>
    </row>
    <row r="5063">
      <c r="A5063" s="140" t="s">
        <v>12439</v>
      </c>
      <c r="B5063" s="140" t="s">
        <v>12624</v>
      </c>
      <c r="C5063" s="140" t="s">
        <v>12625</v>
      </c>
      <c r="D5063" s="140" t="s">
        <v>6318</v>
      </c>
      <c r="E5063" s="140" t="s">
        <v>1631</v>
      </c>
      <c r="F5063" s="140" t="s">
        <v>9909</v>
      </c>
      <c r="G5063" s="141" t="s">
        <v>6304</v>
      </c>
      <c r="H5063" s="140" t="s">
        <v>6312</v>
      </c>
      <c r="I5063" s="140" t="s">
        <v>6527</v>
      </c>
      <c r="J5063" s="140" t="s">
        <v>6314</v>
      </c>
      <c r="K5063" s="140" t="s">
        <v>12439</v>
      </c>
    </row>
    <row r="5064">
      <c r="A5064" s="140" t="s">
        <v>12439</v>
      </c>
      <c r="B5064" s="140" t="s">
        <v>12626</v>
      </c>
      <c r="C5064" s="140" t="s">
        <v>12627</v>
      </c>
      <c r="D5064" s="140" t="s">
        <v>6318</v>
      </c>
      <c r="E5064" s="140" t="s">
        <v>1631</v>
      </c>
      <c r="F5064" s="140" t="s">
        <v>9909</v>
      </c>
      <c r="G5064" s="141" t="s">
        <v>6304</v>
      </c>
      <c r="H5064" s="140" t="s">
        <v>6312</v>
      </c>
      <c r="I5064" s="140" t="s">
        <v>6527</v>
      </c>
      <c r="J5064" s="140" t="s">
        <v>6314</v>
      </c>
      <c r="K5064" s="140" t="s">
        <v>12439</v>
      </c>
    </row>
    <row r="5065">
      <c r="A5065" s="140" t="s">
        <v>12439</v>
      </c>
      <c r="B5065" s="140" t="s">
        <v>12628</v>
      </c>
      <c r="C5065" s="140" t="s">
        <v>12629</v>
      </c>
      <c r="D5065" s="140" t="s">
        <v>6318</v>
      </c>
      <c r="E5065" s="140" t="s">
        <v>1631</v>
      </c>
      <c r="F5065" s="140" t="s">
        <v>9909</v>
      </c>
      <c r="G5065" s="141" t="s">
        <v>6304</v>
      </c>
      <c r="H5065" s="140" t="s">
        <v>6312</v>
      </c>
      <c r="I5065" s="140" t="s">
        <v>6527</v>
      </c>
      <c r="J5065" s="140" t="s">
        <v>6314</v>
      </c>
      <c r="K5065" s="140" t="s">
        <v>12439</v>
      </c>
    </row>
    <row r="5066">
      <c r="A5066" s="140" t="s">
        <v>12439</v>
      </c>
      <c r="B5066" s="140" t="s">
        <v>12630</v>
      </c>
      <c r="C5066" s="140" t="s">
        <v>12631</v>
      </c>
      <c r="D5066" s="140" t="s">
        <v>6318</v>
      </c>
      <c r="E5066" s="140" t="s">
        <v>1631</v>
      </c>
      <c r="F5066" s="140" t="s">
        <v>9909</v>
      </c>
      <c r="G5066" s="141" t="s">
        <v>6304</v>
      </c>
      <c r="H5066" s="140" t="s">
        <v>6312</v>
      </c>
      <c r="I5066" s="140" t="s">
        <v>6527</v>
      </c>
      <c r="J5066" s="140" t="s">
        <v>6314</v>
      </c>
      <c r="K5066" s="140" t="s">
        <v>12439</v>
      </c>
    </row>
    <row r="5067">
      <c r="A5067" s="140" t="s">
        <v>12439</v>
      </c>
      <c r="B5067" s="140" t="s">
        <v>12632</v>
      </c>
      <c r="C5067" s="140" t="s">
        <v>12633</v>
      </c>
      <c r="D5067" s="140" t="s">
        <v>6318</v>
      </c>
      <c r="E5067" s="140" t="s">
        <v>1631</v>
      </c>
      <c r="F5067" s="140" t="s">
        <v>9909</v>
      </c>
      <c r="G5067" s="141" t="s">
        <v>6304</v>
      </c>
      <c r="H5067" s="140" t="s">
        <v>6312</v>
      </c>
      <c r="I5067" s="140" t="s">
        <v>6527</v>
      </c>
      <c r="J5067" s="140" t="s">
        <v>6314</v>
      </c>
      <c r="K5067" s="140" t="s">
        <v>12439</v>
      </c>
    </row>
    <row r="5068">
      <c r="A5068" s="140" t="s">
        <v>12439</v>
      </c>
      <c r="B5068" s="140" t="s">
        <v>12634</v>
      </c>
      <c r="C5068" s="140" t="s">
        <v>12635</v>
      </c>
      <c r="D5068" s="140" t="s">
        <v>6318</v>
      </c>
      <c r="E5068" s="140" t="s">
        <v>1631</v>
      </c>
      <c r="F5068" s="140" t="s">
        <v>9909</v>
      </c>
      <c r="G5068" s="141" t="s">
        <v>6304</v>
      </c>
      <c r="H5068" s="140" t="s">
        <v>6312</v>
      </c>
      <c r="I5068" s="140" t="s">
        <v>6527</v>
      </c>
      <c r="J5068" s="140" t="s">
        <v>6314</v>
      </c>
      <c r="K5068" s="140" t="s">
        <v>12439</v>
      </c>
    </row>
    <row r="5069">
      <c r="A5069" s="140" t="s">
        <v>12439</v>
      </c>
      <c r="B5069" s="140" t="s">
        <v>12636</v>
      </c>
      <c r="C5069" s="140" t="s">
        <v>12637</v>
      </c>
      <c r="D5069" s="140" t="s">
        <v>6318</v>
      </c>
      <c r="E5069" s="140" t="s">
        <v>1631</v>
      </c>
      <c r="F5069" s="140" t="s">
        <v>9909</v>
      </c>
      <c r="G5069" s="141" t="s">
        <v>6304</v>
      </c>
      <c r="H5069" s="140" t="s">
        <v>6312</v>
      </c>
      <c r="I5069" s="140" t="s">
        <v>6527</v>
      </c>
      <c r="J5069" s="140" t="s">
        <v>6314</v>
      </c>
      <c r="K5069" s="140" t="s">
        <v>12439</v>
      </c>
    </row>
    <row r="5070">
      <c r="A5070" s="140" t="s">
        <v>12439</v>
      </c>
      <c r="B5070" s="140" t="s">
        <v>12638</v>
      </c>
      <c r="C5070" s="140" t="s">
        <v>12639</v>
      </c>
      <c r="D5070" s="140" t="s">
        <v>6318</v>
      </c>
      <c r="E5070" s="140" t="s">
        <v>1631</v>
      </c>
      <c r="F5070" s="140" t="s">
        <v>9909</v>
      </c>
      <c r="G5070" s="141" t="s">
        <v>6304</v>
      </c>
      <c r="H5070" s="140" t="s">
        <v>6312</v>
      </c>
      <c r="I5070" s="140" t="s">
        <v>6527</v>
      </c>
      <c r="J5070" s="140" t="s">
        <v>6314</v>
      </c>
      <c r="K5070" s="140" t="s">
        <v>12439</v>
      </c>
    </row>
    <row r="5071">
      <c r="A5071" s="140" t="s">
        <v>12439</v>
      </c>
      <c r="B5071" s="140" t="s">
        <v>12640</v>
      </c>
      <c r="C5071" s="140" t="s">
        <v>12641</v>
      </c>
      <c r="D5071" s="140" t="s">
        <v>6318</v>
      </c>
      <c r="E5071" s="140" t="s">
        <v>1631</v>
      </c>
      <c r="F5071" s="140" t="s">
        <v>9909</v>
      </c>
      <c r="G5071" s="141" t="s">
        <v>6304</v>
      </c>
      <c r="H5071" s="140" t="s">
        <v>6312</v>
      </c>
      <c r="I5071" s="140" t="s">
        <v>6527</v>
      </c>
      <c r="J5071" s="140" t="s">
        <v>6314</v>
      </c>
      <c r="K5071" s="140" t="s">
        <v>12439</v>
      </c>
    </row>
    <row r="5072">
      <c r="A5072" s="140" t="s">
        <v>12439</v>
      </c>
      <c r="B5072" s="140" t="s">
        <v>12642</v>
      </c>
      <c r="C5072" s="140" t="s">
        <v>12643</v>
      </c>
      <c r="D5072" s="140" t="s">
        <v>6318</v>
      </c>
      <c r="E5072" s="140" t="s">
        <v>1631</v>
      </c>
      <c r="F5072" s="140" t="s">
        <v>9909</v>
      </c>
      <c r="G5072" s="141" t="s">
        <v>6304</v>
      </c>
      <c r="H5072" s="140" t="s">
        <v>6312</v>
      </c>
      <c r="I5072" s="140" t="s">
        <v>6527</v>
      </c>
      <c r="J5072" s="140" t="s">
        <v>6314</v>
      </c>
      <c r="K5072" s="140" t="s">
        <v>12439</v>
      </c>
    </row>
    <row r="5073">
      <c r="A5073" s="140" t="s">
        <v>12439</v>
      </c>
      <c r="B5073" s="140" t="s">
        <v>12644</v>
      </c>
      <c r="C5073" s="140" t="s">
        <v>12645</v>
      </c>
      <c r="D5073" s="140" t="s">
        <v>6318</v>
      </c>
      <c r="E5073" s="140" t="s">
        <v>1631</v>
      </c>
      <c r="F5073" s="140" t="s">
        <v>9909</v>
      </c>
      <c r="G5073" s="141" t="s">
        <v>6304</v>
      </c>
      <c r="H5073" s="140" t="s">
        <v>6312</v>
      </c>
      <c r="I5073" s="140" t="s">
        <v>6527</v>
      </c>
      <c r="J5073" s="140" t="s">
        <v>6314</v>
      </c>
      <c r="K5073" s="140" t="s">
        <v>12439</v>
      </c>
    </row>
    <row r="5074">
      <c r="A5074" s="140" t="s">
        <v>12439</v>
      </c>
      <c r="B5074" s="140" t="s">
        <v>12646</v>
      </c>
      <c r="C5074" s="140" t="s">
        <v>12647</v>
      </c>
      <c r="D5074" s="140" t="s">
        <v>6318</v>
      </c>
      <c r="E5074" s="140" t="s">
        <v>1631</v>
      </c>
      <c r="F5074" s="140" t="s">
        <v>9909</v>
      </c>
      <c r="G5074" s="141" t="s">
        <v>6304</v>
      </c>
      <c r="H5074" s="140" t="s">
        <v>6312</v>
      </c>
      <c r="I5074" s="140" t="s">
        <v>6527</v>
      </c>
      <c r="J5074" s="140" t="s">
        <v>6314</v>
      </c>
      <c r="K5074" s="140" t="s">
        <v>12439</v>
      </c>
    </row>
    <row r="5075">
      <c r="A5075" s="140" t="s">
        <v>12439</v>
      </c>
      <c r="B5075" s="140" t="s">
        <v>12648</v>
      </c>
      <c r="C5075" s="140" t="s">
        <v>12649</v>
      </c>
      <c r="D5075" s="140" t="s">
        <v>6318</v>
      </c>
      <c r="E5075" s="140" t="s">
        <v>1631</v>
      </c>
      <c r="F5075" s="140" t="s">
        <v>9909</v>
      </c>
      <c r="G5075" s="141" t="s">
        <v>6304</v>
      </c>
      <c r="H5075" s="140" t="s">
        <v>6312</v>
      </c>
      <c r="I5075" s="140" t="s">
        <v>6527</v>
      </c>
      <c r="J5075" s="140" t="s">
        <v>6314</v>
      </c>
      <c r="K5075" s="140" t="s">
        <v>12439</v>
      </c>
    </row>
    <row r="5076">
      <c r="A5076" s="140" t="s">
        <v>12439</v>
      </c>
      <c r="B5076" s="140" t="s">
        <v>12650</v>
      </c>
      <c r="C5076" s="140" t="s">
        <v>12651</v>
      </c>
      <c r="D5076" s="140" t="s">
        <v>6318</v>
      </c>
      <c r="E5076" s="140" t="s">
        <v>1631</v>
      </c>
      <c r="F5076" s="140" t="s">
        <v>9909</v>
      </c>
      <c r="G5076" s="141" t="s">
        <v>6401</v>
      </c>
      <c r="H5076" s="140" t="s">
        <v>6312</v>
      </c>
      <c r="I5076" s="140" t="s">
        <v>6313</v>
      </c>
      <c r="J5076" s="140" t="s">
        <v>6314</v>
      </c>
      <c r="K5076" s="140" t="s">
        <v>12439</v>
      </c>
    </row>
    <row r="5077">
      <c r="A5077" s="140" t="s">
        <v>12439</v>
      </c>
      <c r="B5077" s="140" t="s">
        <v>3350</v>
      </c>
      <c r="C5077" s="140" t="s">
        <v>12652</v>
      </c>
      <c r="D5077" s="140" t="s">
        <v>6318</v>
      </c>
      <c r="E5077" s="140" t="s">
        <v>1631</v>
      </c>
      <c r="F5077" s="140" t="s">
        <v>9909</v>
      </c>
      <c r="G5077" s="141" t="s">
        <v>6668</v>
      </c>
      <c r="H5077" s="140" t="s">
        <v>6312</v>
      </c>
      <c r="I5077" s="140" t="s">
        <v>6313</v>
      </c>
      <c r="J5077" s="140" t="s">
        <v>6314</v>
      </c>
      <c r="K5077" s="140" t="s">
        <v>12439</v>
      </c>
    </row>
    <row r="5078">
      <c r="A5078" s="140" t="s">
        <v>12439</v>
      </c>
      <c r="B5078" s="140" t="s">
        <v>5659</v>
      </c>
      <c r="C5078" s="140" t="s">
        <v>12653</v>
      </c>
      <c r="D5078" s="140" t="s">
        <v>6318</v>
      </c>
      <c r="E5078" s="140" t="s">
        <v>1631</v>
      </c>
      <c r="F5078" s="140" t="s">
        <v>9909</v>
      </c>
      <c r="G5078" s="141" t="s">
        <v>6401</v>
      </c>
      <c r="H5078" s="140" t="s">
        <v>6312</v>
      </c>
      <c r="I5078" s="140" t="s">
        <v>6313</v>
      </c>
      <c r="J5078" s="140" t="s">
        <v>6314</v>
      </c>
      <c r="K5078" s="140" t="s">
        <v>12439</v>
      </c>
    </row>
    <row r="5079">
      <c r="A5079" s="140" t="s">
        <v>12439</v>
      </c>
      <c r="B5079" s="140" t="s">
        <v>12654</v>
      </c>
      <c r="C5079" s="140" t="s">
        <v>12655</v>
      </c>
      <c r="D5079" s="140" t="s">
        <v>6318</v>
      </c>
      <c r="E5079" s="140" t="s">
        <v>1631</v>
      </c>
      <c r="F5079" s="140" t="s">
        <v>9909</v>
      </c>
      <c r="G5079" s="141" t="s">
        <v>6401</v>
      </c>
      <c r="H5079" s="140" t="s">
        <v>6312</v>
      </c>
      <c r="I5079" s="140" t="s">
        <v>6313</v>
      </c>
      <c r="J5079" s="140" t="s">
        <v>6314</v>
      </c>
      <c r="K5079" s="140" t="s">
        <v>12439</v>
      </c>
    </row>
    <row r="5080">
      <c r="A5080" s="140" t="s">
        <v>12439</v>
      </c>
      <c r="B5080" s="140" t="s">
        <v>3344</v>
      </c>
      <c r="C5080" s="140" t="s">
        <v>12656</v>
      </c>
      <c r="D5080" s="140" t="s">
        <v>6318</v>
      </c>
      <c r="E5080" s="140" t="s">
        <v>1631</v>
      </c>
      <c r="F5080" s="140" t="s">
        <v>9909</v>
      </c>
      <c r="G5080" s="141" t="s">
        <v>6668</v>
      </c>
      <c r="H5080" s="140" t="s">
        <v>6312</v>
      </c>
      <c r="I5080" s="140" t="s">
        <v>6313</v>
      </c>
      <c r="J5080" s="140" t="s">
        <v>6314</v>
      </c>
      <c r="K5080" s="140" t="s">
        <v>12439</v>
      </c>
    </row>
    <row r="5081">
      <c r="A5081" s="140" t="s">
        <v>12439</v>
      </c>
      <c r="B5081" s="140" t="s">
        <v>2941</v>
      </c>
      <c r="C5081" s="140" t="s">
        <v>12657</v>
      </c>
      <c r="D5081" s="140" t="s">
        <v>6318</v>
      </c>
      <c r="E5081" s="140" t="s">
        <v>1631</v>
      </c>
      <c r="F5081" s="140" t="s">
        <v>9909</v>
      </c>
      <c r="G5081" s="141" t="s">
        <v>6668</v>
      </c>
      <c r="H5081" s="140" t="s">
        <v>6312</v>
      </c>
      <c r="I5081" s="140" t="s">
        <v>6313</v>
      </c>
      <c r="J5081" s="140" t="s">
        <v>6314</v>
      </c>
      <c r="K5081" s="140" t="s">
        <v>12439</v>
      </c>
    </row>
    <row r="5082">
      <c r="A5082" s="140" t="s">
        <v>12439</v>
      </c>
      <c r="B5082" s="140" t="s">
        <v>12658</v>
      </c>
      <c r="C5082" s="140" t="s">
        <v>12659</v>
      </c>
      <c r="D5082" s="140" t="s">
        <v>6318</v>
      </c>
      <c r="E5082" s="140" t="s">
        <v>1631</v>
      </c>
      <c r="F5082" s="140" t="s">
        <v>9909</v>
      </c>
      <c r="G5082" s="141" t="s">
        <v>6668</v>
      </c>
      <c r="H5082" s="140" t="s">
        <v>6312</v>
      </c>
      <c r="I5082" s="140" t="s">
        <v>6313</v>
      </c>
      <c r="J5082" s="140" t="s">
        <v>6314</v>
      </c>
      <c r="K5082" s="140" t="s">
        <v>12439</v>
      </c>
    </row>
    <row r="5083">
      <c r="A5083" s="140" t="s">
        <v>12439</v>
      </c>
      <c r="B5083" s="140" t="s">
        <v>12660</v>
      </c>
      <c r="C5083" s="140" t="s">
        <v>12661</v>
      </c>
      <c r="D5083" s="140" t="s">
        <v>6318</v>
      </c>
      <c r="E5083" s="140" t="s">
        <v>1631</v>
      </c>
      <c r="F5083" s="140" t="s">
        <v>9909</v>
      </c>
      <c r="G5083" s="141" t="s">
        <v>6668</v>
      </c>
      <c r="H5083" s="140" t="s">
        <v>6312</v>
      </c>
      <c r="I5083" s="140" t="s">
        <v>6313</v>
      </c>
      <c r="J5083" s="140" t="s">
        <v>6314</v>
      </c>
      <c r="K5083" s="140" t="s">
        <v>12439</v>
      </c>
    </row>
    <row r="5084">
      <c r="A5084" s="140" t="s">
        <v>12439</v>
      </c>
      <c r="B5084" s="140" t="s">
        <v>12662</v>
      </c>
      <c r="C5084" s="140" t="s">
        <v>12663</v>
      </c>
      <c r="D5084" s="140" t="s">
        <v>6318</v>
      </c>
      <c r="E5084" s="140" t="s">
        <v>1631</v>
      </c>
      <c r="F5084" s="140" t="s">
        <v>9909</v>
      </c>
      <c r="G5084" s="141" t="s">
        <v>6401</v>
      </c>
      <c r="H5084" s="140" t="s">
        <v>6312</v>
      </c>
      <c r="I5084" s="140" t="s">
        <v>6313</v>
      </c>
      <c r="J5084" s="140" t="s">
        <v>6314</v>
      </c>
      <c r="K5084" s="140" t="s">
        <v>12439</v>
      </c>
    </row>
    <row r="5085">
      <c r="A5085" s="140" t="s">
        <v>12439</v>
      </c>
      <c r="B5085" s="140" t="s">
        <v>2955</v>
      </c>
      <c r="C5085" s="140" t="s">
        <v>12664</v>
      </c>
      <c r="D5085" s="140" t="s">
        <v>6318</v>
      </c>
      <c r="E5085" s="140" t="s">
        <v>1631</v>
      </c>
      <c r="F5085" s="140" t="s">
        <v>9909</v>
      </c>
      <c r="G5085" s="141" t="s">
        <v>6668</v>
      </c>
      <c r="H5085" s="140" t="s">
        <v>6312</v>
      </c>
      <c r="I5085" s="140" t="s">
        <v>6313</v>
      </c>
      <c r="J5085" s="140" t="s">
        <v>6314</v>
      </c>
      <c r="K5085" s="140" t="s">
        <v>12439</v>
      </c>
    </row>
    <row r="5086">
      <c r="A5086" s="140" t="s">
        <v>12439</v>
      </c>
      <c r="B5086" s="140" t="s">
        <v>2953</v>
      </c>
      <c r="C5086" s="140" t="s">
        <v>12665</v>
      </c>
      <c r="D5086" s="140" t="s">
        <v>6318</v>
      </c>
      <c r="E5086" s="140" t="s">
        <v>1631</v>
      </c>
      <c r="F5086" s="140" t="s">
        <v>9909</v>
      </c>
      <c r="G5086" s="141" t="s">
        <v>6668</v>
      </c>
      <c r="H5086" s="140" t="s">
        <v>6312</v>
      </c>
      <c r="I5086" s="140" t="s">
        <v>6313</v>
      </c>
      <c r="J5086" s="140" t="s">
        <v>6314</v>
      </c>
      <c r="K5086" s="140" t="s">
        <v>12439</v>
      </c>
    </row>
    <row r="5087">
      <c r="A5087" s="140" t="s">
        <v>12439</v>
      </c>
      <c r="B5087" s="140" t="s">
        <v>12666</v>
      </c>
      <c r="C5087" s="140" t="s">
        <v>12667</v>
      </c>
      <c r="D5087" s="140" t="s">
        <v>6318</v>
      </c>
      <c r="E5087" s="140" t="s">
        <v>1631</v>
      </c>
      <c r="F5087" s="140" t="s">
        <v>9909</v>
      </c>
      <c r="G5087" s="141" t="s">
        <v>6401</v>
      </c>
      <c r="H5087" s="140" t="s">
        <v>6312</v>
      </c>
      <c r="I5087" s="140" t="s">
        <v>6313</v>
      </c>
      <c r="J5087" s="140" t="s">
        <v>6314</v>
      </c>
      <c r="K5087" s="140" t="s">
        <v>12439</v>
      </c>
    </row>
    <row r="5088">
      <c r="A5088" s="140" t="s">
        <v>12439</v>
      </c>
      <c r="B5088" s="140" t="s">
        <v>12668</v>
      </c>
      <c r="C5088" s="140" t="s">
        <v>12669</v>
      </c>
      <c r="D5088" s="140" t="s">
        <v>6318</v>
      </c>
      <c r="E5088" s="140" t="s">
        <v>1631</v>
      </c>
      <c r="F5088" s="140" t="s">
        <v>9909</v>
      </c>
      <c r="G5088" s="141" t="s">
        <v>6401</v>
      </c>
      <c r="H5088" s="140" t="s">
        <v>6312</v>
      </c>
      <c r="I5088" s="140" t="s">
        <v>6313</v>
      </c>
      <c r="J5088" s="140" t="s">
        <v>6314</v>
      </c>
      <c r="K5088" s="140" t="s">
        <v>12439</v>
      </c>
    </row>
    <row r="5089">
      <c r="A5089" s="140" t="s">
        <v>12439</v>
      </c>
      <c r="B5089" s="140" t="s">
        <v>12670</v>
      </c>
      <c r="C5089" s="140" t="s">
        <v>12671</v>
      </c>
      <c r="D5089" s="140" t="s">
        <v>6318</v>
      </c>
      <c r="E5089" s="140" t="s">
        <v>1631</v>
      </c>
      <c r="F5089" s="140" t="s">
        <v>9909</v>
      </c>
      <c r="G5089" s="141" t="s">
        <v>6401</v>
      </c>
      <c r="H5089" s="140" t="s">
        <v>6312</v>
      </c>
      <c r="I5089" s="140" t="s">
        <v>6313</v>
      </c>
      <c r="J5089" s="140" t="s">
        <v>6314</v>
      </c>
      <c r="K5089" s="140" t="s">
        <v>12439</v>
      </c>
    </row>
    <row r="5090">
      <c r="A5090" s="140" t="s">
        <v>12439</v>
      </c>
      <c r="B5090" s="140" t="s">
        <v>5677</v>
      </c>
      <c r="C5090" s="140" t="s">
        <v>12672</v>
      </c>
      <c r="D5090" s="140" t="s">
        <v>6318</v>
      </c>
      <c r="E5090" s="140" t="s">
        <v>1631</v>
      </c>
      <c r="F5090" s="140" t="s">
        <v>9909</v>
      </c>
      <c r="G5090" s="141" t="s">
        <v>6668</v>
      </c>
      <c r="H5090" s="140" t="s">
        <v>6312</v>
      </c>
      <c r="I5090" s="140" t="s">
        <v>6313</v>
      </c>
      <c r="J5090" s="140" t="s">
        <v>6314</v>
      </c>
      <c r="K5090" s="140" t="s">
        <v>12439</v>
      </c>
    </row>
    <row r="5091">
      <c r="A5091" s="140" t="s">
        <v>12439</v>
      </c>
      <c r="B5091" s="140" t="s">
        <v>3348</v>
      </c>
      <c r="C5091" s="140" t="s">
        <v>12673</v>
      </c>
      <c r="D5091" s="140" t="s">
        <v>6318</v>
      </c>
      <c r="E5091" s="140" t="s">
        <v>1631</v>
      </c>
      <c r="F5091" s="140" t="s">
        <v>9909</v>
      </c>
      <c r="G5091" s="141" t="s">
        <v>6668</v>
      </c>
      <c r="H5091" s="140" t="s">
        <v>6312</v>
      </c>
      <c r="I5091" s="140" t="s">
        <v>6313</v>
      </c>
      <c r="J5091" s="140" t="s">
        <v>6314</v>
      </c>
      <c r="K5091" s="140" t="s">
        <v>12439</v>
      </c>
    </row>
    <row r="5092">
      <c r="A5092" s="140" t="s">
        <v>12439</v>
      </c>
      <c r="B5092" s="140" t="s">
        <v>12674</v>
      </c>
      <c r="C5092" s="140" t="s">
        <v>12675</v>
      </c>
      <c r="D5092" s="140" t="s">
        <v>6318</v>
      </c>
      <c r="E5092" s="140" t="s">
        <v>1631</v>
      </c>
      <c r="F5092" s="140" t="s">
        <v>9909</v>
      </c>
      <c r="G5092" s="141" t="s">
        <v>6668</v>
      </c>
      <c r="H5092" s="140" t="s">
        <v>6312</v>
      </c>
      <c r="I5092" s="140" t="s">
        <v>6313</v>
      </c>
      <c r="J5092" s="140" t="s">
        <v>6314</v>
      </c>
      <c r="K5092" s="140" t="s">
        <v>12439</v>
      </c>
    </row>
    <row r="5093">
      <c r="A5093" s="140" t="s">
        <v>12439</v>
      </c>
      <c r="B5093" s="140" t="s">
        <v>3346</v>
      </c>
      <c r="C5093" s="140" t="s">
        <v>12676</v>
      </c>
      <c r="D5093" s="140" t="s">
        <v>6318</v>
      </c>
      <c r="E5093" s="140" t="s">
        <v>1631</v>
      </c>
      <c r="F5093" s="140" t="s">
        <v>9909</v>
      </c>
      <c r="G5093" s="141" t="s">
        <v>6401</v>
      </c>
      <c r="H5093" s="140" t="s">
        <v>6312</v>
      </c>
      <c r="I5093" s="140" t="s">
        <v>6313</v>
      </c>
      <c r="J5093" s="140" t="s">
        <v>6314</v>
      </c>
      <c r="K5093" s="140" t="s">
        <v>12439</v>
      </c>
    </row>
    <row r="5094">
      <c r="A5094" s="140" t="s">
        <v>12439</v>
      </c>
      <c r="B5094" s="140" t="s">
        <v>12677</v>
      </c>
      <c r="C5094" s="140" t="s">
        <v>12678</v>
      </c>
      <c r="D5094" s="140" t="s">
        <v>6318</v>
      </c>
      <c r="E5094" s="140" t="s">
        <v>1631</v>
      </c>
      <c r="F5094" s="140" t="s">
        <v>9909</v>
      </c>
      <c r="G5094" s="141" t="s">
        <v>6401</v>
      </c>
      <c r="H5094" s="140" t="s">
        <v>6312</v>
      </c>
      <c r="I5094" s="140" t="s">
        <v>6313</v>
      </c>
      <c r="J5094" s="140" t="s">
        <v>6314</v>
      </c>
      <c r="K5094" s="140" t="s">
        <v>12439</v>
      </c>
    </row>
    <row r="5095">
      <c r="A5095" s="140" t="s">
        <v>12439</v>
      </c>
      <c r="B5095" s="140" t="s">
        <v>2939</v>
      </c>
      <c r="C5095" s="140" t="s">
        <v>12679</v>
      </c>
      <c r="D5095" s="140" t="s">
        <v>6318</v>
      </c>
      <c r="E5095" s="140" t="s">
        <v>1631</v>
      </c>
      <c r="F5095" s="140" t="s">
        <v>9909</v>
      </c>
      <c r="G5095" s="141" t="s">
        <v>6668</v>
      </c>
      <c r="H5095" s="140" t="s">
        <v>6312</v>
      </c>
      <c r="I5095" s="140" t="s">
        <v>6313</v>
      </c>
      <c r="J5095" s="140" t="s">
        <v>6314</v>
      </c>
      <c r="K5095" s="140" t="s">
        <v>12439</v>
      </c>
    </row>
    <row r="5096">
      <c r="A5096" s="140" t="s">
        <v>12439</v>
      </c>
      <c r="B5096" s="140" t="s">
        <v>12680</v>
      </c>
      <c r="C5096" s="140" t="s">
        <v>12681</v>
      </c>
      <c r="D5096" s="140" t="s">
        <v>6318</v>
      </c>
      <c r="E5096" s="140" t="s">
        <v>1631</v>
      </c>
      <c r="F5096" s="140" t="s">
        <v>9909</v>
      </c>
      <c r="G5096" s="141" t="s">
        <v>6668</v>
      </c>
      <c r="H5096" s="140" t="s">
        <v>6312</v>
      </c>
      <c r="I5096" s="140" t="s">
        <v>6313</v>
      </c>
      <c r="J5096" s="140" t="s">
        <v>6314</v>
      </c>
      <c r="K5096" s="140" t="s">
        <v>12439</v>
      </c>
    </row>
    <row r="5097">
      <c r="A5097" s="140" t="s">
        <v>12439</v>
      </c>
      <c r="B5097" s="140" t="s">
        <v>3595</v>
      </c>
      <c r="C5097" s="140" t="s">
        <v>12682</v>
      </c>
      <c r="D5097" s="140" t="s">
        <v>6318</v>
      </c>
      <c r="E5097" s="140" t="s">
        <v>1631</v>
      </c>
      <c r="F5097" s="140" t="s">
        <v>9909</v>
      </c>
      <c r="G5097" s="141" t="s">
        <v>6668</v>
      </c>
      <c r="H5097" s="140" t="s">
        <v>6312</v>
      </c>
      <c r="I5097" s="140" t="s">
        <v>6313</v>
      </c>
      <c r="J5097" s="140" t="s">
        <v>6314</v>
      </c>
      <c r="K5097" s="140" t="s">
        <v>12439</v>
      </c>
    </row>
    <row r="5098">
      <c r="A5098" s="140" t="s">
        <v>12439</v>
      </c>
      <c r="B5098" s="140" t="s">
        <v>5657</v>
      </c>
      <c r="C5098" s="140" t="s">
        <v>12683</v>
      </c>
      <c r="D5098" s="140" t="s">
        <v>6318</v>
      </c>
      <c r="E5098" s="140" t="s">
        <v>1631</v>
      </c>
      <c r="F5098" s="140" t="s">
        <v>9909</v>
      </c>
      <c r="G5098" s="141" t="s">
        <v>6664</v>
      </c>
      <c r="H5098" s="140" t="s">
        <v>6312</v>
      </c>
      <c r="I5098" s="140" t="s">
        <v>6313</v>
      </c>
      <c r="J5098" s="140" t="s">
        <v>6314</v>
      </c>
      <c r="K5098" s="140" t="s">
        <v>12439</v>
      </c>
    </row>
    <row r="5099">
      <c r="A5099" s="140" t="s">
        <v>12439</v>
      </c>
      <c r="B5099" s="140" t="s">
        <v>12684</v>
      </c>
      <c r="C5099" s="140" t="s">
        <v>12685</v>
      </c>
      <c r="D5099" s="140" t="s">
        <v>6318</v>
      </c>
      <c r="E5099" s="140" t="s">
        <v>1631</v>
      </c>
      <c r="F5099" s="140" t="s">
        <v>9909</v>
      </c>
      <c r="G5099" s="141" t="s">
        <v>6668</v>
      </c>
      <c r="H5099" s="140" t="s">
        <v>6312</v>
      </c>
      <c r="I5099" s="140" t="s">
        <v>6313</v>
      </c>
      <c r="J5099" s="140" t="s">
        <v>6314</v>
      </c>
      <c r="K5099" s="140" t="s">
        <v>12439</v>
      </c>
    </row>
    <row r="5100">
      <c r="A5100" s="140" t="s">
        <v>12439</v>
      </c>
      <c r="B5100" s="140" t="s">
        <v>3340</v>
      </c>
      <c r="C5100" s="140" t="s">
        <v>12686</v>
      </c>
      <c r="D5100" s="140" t="s">
        <v>6318</v>
      </c>
      <c r="E5100" s="140" t="s">
        <v>1631</v>
      </c>
      <c r="F5100" s="140" t="s">
        <v>9909</v>
      </c>
      <c r="G5100" s="141" t="s">
        <v>6668</v>
      </c>
      <c r="H5100" s="140" t="s">
        <v>6312</v>
      </c>
      <c r="I5100" s="140" t="s">
        <v>6313</v>
      </c>
      <c r="J5100" s="140" t="s">
        <v>6314</v>
      </c>
      <c r="K5100" s="140" t="s">
        <v>12439</v>
      </c>
    </row>
    <row r="5101">
      <c r="A5101" s="140" t="s">
        <v>12439</v>
      </c>
      <c r="B5101" s="140" t="s">
        <v>12687</v>
      </c>
      <c r="C5101" s="140" t="s">
        <v>12688</v>
      </c>
      <c r="D5101" s="140" t="s">
        <v>6318</v>
      </c>
      <c r="E5101" s="140" t="s">
        <v>1631</v>
      </c>
      <c r="F5101" s="140" t="s">
        <v>9909</v>
      </c>
      <c r="G5101" s="141" t="s">
        <v>6401</v>
      </c>
      <c r="H5101" s="140" t="s">
        <v>6312</v>
      </c>
      <c r="I5101" s="140" t="s">
        <v>6313</v>
      </c>
      <c r="J5101" s="140" t="s">
        <v>6314</v>
      </c>
      <c r="K5101" s="140" t="s">
        <v>12439</v>
      </c>
    </row>
    <row r="5102">
      <c r="A5102" s="140" t="s">
        <v>12439</v>
      </c>
      <c r="B5102" s="140" t="s">
        <v>3593</v>
      </c>
      <c r="C5102" s="140" t="s">
        <v>12689</v>
      </c>
      <c r="D5102" s="140" t="s">
        <v>6318</v>
      </c>
      <c r="E5102" s="140" t="s">
        <v>1631</v>
      </c>
      <c r="F5102" s="140" t="s">
        <v>9909</v>
      </c>
      <c r="G5102" s="141" t="s">
        <v>6668</v>
      </c>
      <c r="H5102" s="140" t="s">
        <v>6312</v>
      </c>
      <c r="I5102" s="140" t="s">
        <v>6313</v>
      </c>
      <c r="J5102" s="140" t="s">
        <v>6314</v>
      </c>
      <c r="K5102" s="140" t="s">
        <v>12439</v>
      </c>
    </row>
    <row r="5103">
      <c r="A5103" s="140" t="s">
        <v>12439</v>
      </c>
      <c r="B5103" s="140" t="s">
        <v>12690</v>
      </c>
      <c r="C5103" s="140" t="s">
        <v>12691</v>
      </c>
      <c r="D5103" s="140" t="s">
        <v>6318</v>
      </c>
      <c r="E5103" s="140" t="s">
        <v>1631</v>
      </c>
      <c r="F5103" s="140" t="s">
        <v>9909</v>
      </c>
      <c r="G5103" s="141" t="s">
        <v>6401</v>
      </c>
      <c r="H5103" s="140" t="s">
        <v>6312</v>
      </c>
      <c r="I5103" s="140" t="s">
        <v>6313</v>
      </c>
      <c r="J5103" s="140" t="s">
        <v>6314</v>
      </c>
      <c r="K5103" s="140" t="s">
        <v>12439</v>
      </c>
    </row>
    <row r="5104">
      <c r="A5104" s="140" t="s">
        <v>12439</v>
      </c>
      <c r="B5104" s="140" t="s">
        <v>5671</v>
      </c>
      <c r="C5104" s="140" t="s">
        <v>12692</v>
      </c>
      <c r="D5104" s="140" t="s">
        <v>6318</v>
      </c>
      <c r="E5104" s="140" t="s">
        <v>1631</v>
      </c>
      <c r="F5104" s="140" t="s">
        <v>9909</v>
      </c>
      <c r="G5104" s="141" t="s">
        <v>6668</v>
      </c>
      <c r="H5104" s="140" t="s">
        <v>6312</v>
      </c>
      <c r="I5104" s="140" t="s">
        <v>6313</v>
      </c>
      <c r="J5104" s="140" t="s">
        <v>6314</v>
      </c>
      <c r="K5104" s="140" t="s">
        <v>12439</v>
      </c>
    </row>
    <row r="5105">
      <c r="A5105" s="140" t="s">
        <v>12439</v>
      </c>
      <c r="B5105" s="140" t="s">
        <v>12693</v>
      </c>
      <c r="C5105" s="140" t="s">
        <v>12694</v>
      </c>
      <c r="D5105" s="140" t="s">
        <v>6318</v>
      </c>
      <c r="E5105" s="140" t="s">
        <v>1631</v>
      </c>
      <c r="F5105" s="140" t="s">
        <v>9909</v>
      </c>
      <c r="G5105" s="141" t="s">
        <v>6401</v>
      </c>
      <c r="H5105" s="140" t="s">
        <v>6312</v>
      </c>
      <c r="I5105" s="140" t="s">
        <v>6313</v>
      </c>
      <c r="J5105" s="140" t="s">
        <v>6314</v>
      </c>
      <c r="K5105" s="140" t="s">
        <v>12439</v>
      </c>
    </row>
    <row r="5106">
      <c r="A5106" s="140" t="s">
        <v>12439</v>
      </c>
      <c r="B5106" s="140" t="s">
        <v>3603</v>
      </c>
      <c r="C5106" s="140" t="s">
        <v>12695</v>
      </c>
      <c r="D5106" s="140" t="s">
        <v>6318</v>
      </c>
      <c r="E5106" s="140" t="s">
        <v>1631</v>
      </c>
      <c r="F5106" s="140" t="s">
        <v>9909</v>
      </c>
      <c r="G5106" s="141" t="s">
        <v>6401</v>
      </c>
      <c r="H5106" s="140" t="s">
        <v>6312</v>
      </c>
      <c r="I5106" s="140" t="s">
        <v>6313</v>
      </c>
      <c r="J5106" s="140" t="s">
        <v>6314</v>
      </c>
      <c r="K5106" s="140" t="s">
        <v>12439</v>
      </c>
    </row>
    <row r="5107">
      <c r="A5107" s="140" t="s">
        <v>12439</v>
      </c>
      <c r="B5107" s="140" t="s">
        <v>12696</v>
      </c>
      <c r="C5107" s="140" t="s">
        <v>12697</v>
      </c>
      <c r="D5107" s="140" t="s">
        <v>6318</v>
      </c>
      <c r="E5107" s="140" t="s">
        <v>1631</v>
      </c>
      <c r="F5107" s="140" t="s">
        <v>9909</v>
      </c>
      <c r="G5107" s="141" t="s">
        <v>6401</v>
      </c>
      <c r="H5107" s="140" t="s">
        <v>6312</v>
      </c>
      <c r="I5107" s="140" t="s">
        <v>6313</v>
      </c>
      <c r="J5107" s="140" t="s">
        <v>6314</v>
      </c>
      <c r="K5107" s="140" t="s">
        <v>12439</v>
      </c>
    </row>
    <row r="5108">
      <c r="A5108" s="140" t="s">
        <v>12439</v>
      </c>
      <c r="B5108" s="140" t="s">
        <v>2967</v>
      </c>
      <c r="C5108" s="140" t="s">
        <v>12698</v>
      </c>
      <c r="D5108" s="140" t="s">
        <v>6318</v>
      </c>
      <c r="E5108" s="140" t="s">
        <v>1631</v>
      </c>
      <c r="F5108" s="140" t="s">
        <v>9909</v>
      </c>
      <c r="G5108" s="141" t="s">
        <v>6401</v>
      </c>
      <c r="H5108" s="140" t="s">
        <v>6312</v>
      </c>
      <c r="I5108" s="140" t="s">
        <v>6313</v>
      </c>
      <c r="J5108" s="140" t="s">
        <v>6314</v>
      </c>
      <c r="K5108" s="140" t="s">
        <v>12439</v>
      </c>
    </row>
    <row r="5109">
      <c r="A5109" s="140" t="s">
        <v>12439</v>
      </c>
      <c r="B5109" s="140" t="s">
        <v>3597</v>
      </c>
      <c r="C5109" s="140" t="s">
        <v>12699</v>
      </c>
      <c r="D5109" s="140" t="s">
        <v>6318</v>
      </c>
      <c r="E5109" s="140" t="s">
        <v>1631</v>
      </c>
      <c r="F5109" s="140" t="s">
        <v>9909</v>
      </c>
      <c r="G5109" s="141" t="s">
        <v>6668</v>
      </c>
      <c r="H5109" s="140" t="s">
        <v>6312</v>
      </c>
      <c r="I5109" s="140" t="s">
        <v>6313</v>
      </c>
      <c r="J5109" s="140" t="s">
        <v>6314</v>
      </c>
      <c r="K5109" s="140" t="s">
        <v>12439</v>
      </c>
    </row>
    <row r="5110">
      <c r="A5110" s="140" t="s">
        <v>12439</v>
      </c>
      <c r="B5110" s="140" t="s">
        <v>3342</v>
      </c>
      <c r="C5110" s="140" t="s">
        <v>12700</v>
      </c>
      <c r="D5110" s="140" t="s">
        <v>6318</v>
      </c>
      <c r="E5110" s="140" t="s">
        <v>1631</v>
      </c>
      <c r="F5110" s="140" t="s">
        <v>9909</v>
      </c>
      <c r="G5110" s="141" t="s">
        <v>6401</v>
      </c>
      <c r="H5110" s="140" t="s">
        <v>6312</v>
      </c>
      <c r="I5110" s="140" t="s">
        <v>6313</v>
      </c>
      <c r="J5110" s="140" t="s">
        <v>6314</v>
      </c>
      <c r="K5110" s="140" t="s">
        <v>12439</v>
      </c>
    </row>
    <row r="5111">
      <c r="A5111" s="140" t="s">
        <v>12439</v>
      </c>
      <c r="B5111" s="140" t="s">
        <v>12701</v>
      </c>
      <c r="C5111" s="140" t="s">
        <v>12702</v>
      </c>
      <c r="D5111" s="140" t="s">
        <v>6318</v>
      </c>
      <c r="E5111" s="140" t="s">
        <v>1631</v>
      </c>
      <c r="F5111" s="140" t="s">
        <v>9909</v>
      </c>
      <c r="G5111" s="141" t="s">
        <v>6401</v>
      </c>
      <c r="H5111" s="140" t="s">
        <v>6312</v>
      </c>
      <c r="I5111" s="140" t="s">
        <v>6313</v>
      </c>
      <c r="J5111" s="140" t="s">
        <v>6314</v>
      </c>
      <c r="K5111" s="140" t="s">
        <v>12439</v>
      </c>
    </row>
    <row r="5112">
      <c r="A5112" s="140" t="s">
        <v>12439</v>
      </c>
      <c r="B5112" s="140" t="s">
        <v>12703</v>
      </c>
      <c r="C5112" s="140" t="s">
        <v>12704</v>
      </c>
      <c r="D5112" s="140" t="s">
        <v>6318</v>
      </c>
      <c r="E5112" s="140" t="s">
        <v>1631</v>
      </c>
      <c r="F5112" s="140" t="s">
        <v>9909</v>
      </c>
      <c r="G5112" s="141" t="s">
        <v>6668</v>
      </c>
      <c r="H5112" s="140" t="s">
        <v>6312</v>
      </c>
      <c r="I5112" s="140" t="s">
        <v>6313</v>
      </c>
      <c r="J5112" s="140" t="s">
        <v>6314</v>
      </c>
      <c r="K5112" s="140" t="s">
        <v>12439</v>
      </c>
    </row>
    <row r="5113">
      <c r="A5113" s="140" t="s">
        <v>12439</v>
      </c>
      <c r="B5113" s="140" t="s">
        <v>5665</v>
      </c>
      <c r="C5113" s="140" t="s">
        <v>12705</v>
      </c>
      <c r="D5113" s="140" t="s">
        <v>6318</v>
      </c>
      <c r="E5113" s="140" t="s">
        <v>1631</v>
      </c>
      <c r="F5113" s="140" t="s">
        <v>9909</v>
      </c>
      <c r="G5113" s="141" t="s">
        <v>6668</v>
      </c>
      <c r="H5113" s="140" t="s">
        <v>6312</v>
      </c>
      <c r="I5113" s="140" t="s">
        <v>6313</v>
      </c>
      <c r="J5113" s="140" t="s">
        <v>6314</v>
      </c>
      <c r="K5113" s="140" t="s">
        <v>12439</v>
      </c>
    </row>
    <row r="5114">
      <c r="A5114" s="140" t="s">
        <v>12439</v>
      </c>
      <c r="B5114" s="140" t="s">
        <v>5663</v>
      </c>
      <c r="C5114" s="140" t="s">
        <v>12706</v>
      </c>
      <c r="D5114" s="140" t="s">
        <v>6318</v>
      </c>
      <c r="E5114" s="140" t="s">
        <v>1631</v>
      </c>
      <c r="F5114" s="140" t="s">
        <v>9909</v>
      </c>
      <c r="G5114" s="141" t="s">
        <v>6668</v>
      </c>
      <c r="H5114" s="140" t="s">
        <v>6312</v>
      </c>
      <c r="I5114" s="140" t="s">
        <v>6313</v>
      </c>
      <c r="J5114" s="140" t="s">
        <v>6314</v>
      </c>
      <c r="K5114" s="140" t="s">
        <v>12439</v>
      </c>
    </row>
    <row r="5115">
      <c r="A5115" s="140" t="s">
        <v>12439</v>
      </c>
      <c r="B5115" s="140" t="s">
        <v>5673</v>
      </c>
      <c r="C5115" s="140" t="s">
        <v>12707</v>
      </c>
      <c r="D5115" s="140" t="s">
        <v>6318</v>
      </c>
      <c r="E5115" s="140" t="s">
        <v>1631</v>
      </c>
      <c r="F5115" s="140" t="s">
        <v>9909</v>
      </c>
      <c r="G5115" s="141" t="s">
        <v>6668</v>
      </c>
      <c r="H5115" s="140" t="s">
        <v>6312</v>
      </c>
      <c r="I5115" s="140" t="s">
        <v>6313</v>
      </c>
      <c r="J5115" s="140" t="s">
        <v>6314</v>
      </c>
      <c r="K5115" s="140" t="s">
        <v>12439</v>
      </c>
    </row>
    <row r="5116">
      <c r="A5116" s="140" t="s">
        <v>12439</v>
      </c>
      <c r="B5116" s="140" t="s">
        <v>5669</v>
      </c>
      <c r="C5116" s="140" t="s">
        <v>12708</v>
      </c>
      <c r="D5116" s="140" t="s">
        <v>6318</v>
      </c>
      <c r="E5116" s="140" t="s">
        <v>1631</v>
      </c>
      <c r="F5116" s="140" t="s">
        <v>9909</v>
      </c>
      <c r="G5116" s="141" t="s">
        <v>6668</v>
      </c>
      <c r="H5116" s="140" t="s">
        <v>6312</v>
      </c>
      <c r="I5116" s="140" t="s">
        <v>6313</v>
      </c>
      <c r="J5116" s="140" t="s">
        <v>6314</v>
      </c>
      <c r="K5116" s="140" t="s">
        <v>12439</v>
      </c>
    </row>
    <row r="5117">
      <c r="A5117" s="140" t="s">
        <v>12439</v>
      </c>
      <c r="B5117" s="140" t="s">
        <v>5667</v>
      </c>
      <c r="C5117" s="140" t="s">
        <v>12709</v>
      </c>
      <c r="D5117" s="140" t="s">
        <v>6318</v>
      </c>
      <c r="E5117" s="140" t="s">
        <v>1631</v>
      </c>
      <c r="F5117" s="140" t="s">
        <v>9909</v>
      </c>
      <c r="G5117" s="141" t="s">
        <v>6668</v>
      </c>
      <c r="H5117" s="140" t="s">
        <v>6312</v>
      </c>
      <c r="I5117" s="140" t="s">
        <v>6313</v>
      </c>
      <c r="J5117" s="140" t="s">
        <v>6314</v>
      </c>
      <c r="K5117" s="140" t="s">
        <v>12439</v>
      </c>
    </row>
    <row r="5118">
      <c r="A5118" s="140" t="s">
        <v>12439</v>
      </c>
      <c r="B5118" s="140" t="s">
        <v>2971</v>
      </c>
      <c r="C5118" s="140" t="s">
        <v>12710</v>
      </c>
      <c r="D5118" s="140" t="s">
        <v>6318</v>
      </c>
      <c r="E5118" s="140" t="s">
        <v>1631</v>
      </c>
      <c r="F5118" s="140" t="s">
        <v>12711</v>
      </c>
      <c r="G5118" s="141" t="s">
        <v>6401</v>
      </c>
      <c r="H5118" s="140" t="s">
        <v>6312</v>
      </c>
      <c r="I5118" s="140" t="s">
        <v>6313</v>
      </c>
      <c r="J5118" s="140" t="s">
        <v>6314</v>
      </c>
      <c r="K5118" s="140" t="s">
        <v>12439</v>
      </c>
    </row>
    <row r="5119">
      <c r="A5119" s="140" t="s">
        <v>12439</v>
      </c>
      <c r="B5119" s="140" t="s">
        <v>12712</v>
      </c>
      <c r="C5119" s="140" t="s">
        <v>12713</v>
      </c>
      <c r="D5119" s="140" t="s">
        <v>6318</v>
      </c>
      <c r="E5119" s="140" t="s">
        <v>1631</v>
      </c>
      <c r="F5119" s="140" t="s">
        <v>12711</v>
      </c>
      <c r="G5119" s="141" t="s">
        <v>6401</v>
      </c>
      <c r="H5119" s="140" t="s">
        <v>6312</v>
      </c>
      <c r="I5119" s="140" t="s">
        <v>6313</v>
      </c>
      <c r="J5119" s="140" t="s">
        <v>6314</v>
      </c>
      <c r="K5119" s="140" t="s">
        <v>12439</v>
      </c>
    </row>
    <row r="5120">
      <c r="A5120" s="140" t="s">
        <v>12439</v>
      </c>
      <c r="B5120" s="140" t="s">
        <v>12714</v>
      </c>
      <c r="C5120" s="140" t="s">
        <v>12715</v>
      </c>
      <c r="D5120" s="140" t="s">
        <v>6318</v>
      </c>
      <c r="E5120" s="140" t="s">
        <v>1631</v>
      </c>
      <c r="F5120" s="140" t="s">
        <v>12711</v>
      </c>
      <c r="G5120" s="141" t="s">
        <v>6401</v>
      </c>
      <c r="H5120" s="140" t="s">
        <v>6312</v>
      </c>
      <c r="I5120" s="140" t="s">
        <v>6313</v>
      </c>
      <c r="J5120" s="140" t="s">
        <v>6314</v>
      </c>
      <c r="K5120" s="140" t="s">
        <v>12439</v>
      </c>
    </row>
    <row r="5121">
      <c r="A5121" s="140" t="s">
        <v>12439</v>
      </c>
      <c r="B5121" s="140" t="s">
        <v>12716</v>
      </c>
      <c r="C5121" s="140" t="s">
        <v>12717</v>
      </c>
      <c r="D5121" s="140" t="s">
        <v>6318</v>
      </c>
      <c r="E5121" s="140" t="s">
        <v>1631</v>
      </c>
      <c r="F5121" s="140" t="s">
        <v>12711</v>
      </c>
      <c r="G5121" s="141" t="s">
        <v>6401</v>
      </c>
      <c r="H5121" s="140" t="s">
        <v>6312</v>
      </c>
      <c r="I5121" s="140" t="s">
        <v>6313</v>
      </c>
      <c r="J5121" s="140" t="s">
        <v>6314</v>
      </c>
      <c r="K5121" s="140" t="s">
        <v>12439</v>
      </c>
    </row>
    <row r="5122">
      <c r="A5122" s="140" t="s">
        <v>12439</v>
      </c>
      <c r="B5122" s="140" t="s">
        <v>12718</v>
      </c>
      <c r="C5122" s="140" t="s">
        <v>12719</v>
      </c>
      <c r="D5122" s="140" t="s">
        <v>6318</v>
      </c>
      <c r="E5122" s="140" t="s">
        <v>1631</v>
      </c>
      <c r="F5122" s="140" t="s">
        <v>12711</v>
      </c>
      <c r="G5122" s="141" t="s">
        <v>6401</v>
      </c>
      <c r="H5122" s="140" t="s">
        <v>6312</v>
      </c>
      <c r="I5122" s="140" t="s">
        <v>6313</v>
      </c>
      <c r="J5122" s="140" t="s">
        <v>6314</v>
      </c>
      <c r="K5122" s="140" t="s">
        <v>12439</v>
      </c>
    </row>
    <row r="5123">
      <c r="A5123" s="140" t="s">
        <v>12439</v>
      </c>
      <c r="B5123" s="140" t="s">
        <v>12720</v>
      </c>
      <c r="C5123" s="140" t="s">
        <v>12721</v>
      </c>
      <c r="D5123" s="140" t="s">
        <v>6318</v>
      </c>
      <c r="E5123" s="140" t="s">
        <v>1631</v>
      </c>
      <c r="F5123" s="140" t="s">
        <v>12711</v>
      </c>
      <c r="G5123" s="141" t="s">
        <v>6401</v>
      </c>
      <c r="H5123" s="140" t="s">
        <v>6312</v>
      </c>
      <c r="I5123" s="140" t="s">
        <v>6313</v>
      </c>
      <c r="J5123" s="140" t="s">
        <v>6314</v>
      </c>
      <c r="K5123" s="140" t="s">
        <v>12439</v>
      </c>
    </row>
    <row r="5124">
      <c r="A5124" s="140" t="s">
        <v>12439</v>
      </c>
      <c r="B5124" s="140" t="s">
        <v>12722</v>
      </c>
      <c r="C5124" s="140" t="s">
        <v>12723</v>
      </c>
      <c r="D5124" s="140" t="s">
        <v>6318</v>
      </c>
      <c r="E5124" s="140" t="s">
        <v>1631</v>
      </c>
      <c r="F5124" s="140" t="s">
        <v>12711</v>
      </c>
      <c r="G5124" s="141" t="s">
        <v>6401</v>
      </c>
      <c r="H5124" s="140" t="s">
        <v>6312</v>
      </c>
      <c r="I5124" s="140" t="s">
        <v>6313</v>
      </c>
      <c r="J5124" s="140" t="s">
        <v>6314</v>
      </c>
      <c r="K5124" s="140" t="s">
        <v>12439</v>
      </c>
    </row>
    <row r="5125">
      <c r="A5125" s="140" t="s">
        <v>12439</v>
      </c>
      <c r="B5125" s="140" t="s">
        <v>12724</v>
      </c>
      <c r="C5125" s="140" t="s">
        <v>12725</v>
      </c>
      <c r="D5125" s="140" t="s">
        <v>6318</v>
      </c>
      <c r="E5125" s="140" t="s">
        <v>1631</v>
      </c>
      <c r="F5125" s="140" t="s">
        <v>12711</v>
      </c>
      <c r="G5125" s="141" t="s">
        <v>6401</v>
      </c>
      <c r="H5125" s="140" t="s">
        <v>6312</v>
      </c>
      <c r="I5125" s="140" t="s">
        <v>6313</v>
      </c>
      <c r="J5125" s="140" t="s">
        <v>6314</v>
      </c>
      <c r="K5125" s="140" t="s">
        <v>12439</v>
      </c>
    </row>
    <row r="5126">
      <c r="A5126" s="140" t="s">
        <v>12439</v>
      </c>
      <c r="B5126" s="140" t="s">
        <v>12726</v>
      </c>
      <c r="C5126" s="140" t="s">
        <v>12727</v>
      </c>
      <c r="D5126" s="140" t="s">
        <v>6318</v>
      </c>
      <c r="E5126" s="140" t="s">
        <v>1631</v>
      </c>
      <c r="F5126" s="140" t="s">
        <v>12711</v>
      </c>
      <c r="G5126" s="141" t="s">
        <v>6401</v>
      </c>
      <c r="H5126" s="140" t="s">
        <v>6312</v>
      </c>
      <c r="I5126" s="140" t="s">
        <v>6313</v>
      </c>
      <c r="J5126" s="140" t="s">
        <v>6314</v>
      </c>
      <c r="K5126" s="140" t="s">
        <v>12439</v>
      </c>
    </row>
    <row r="5127">
      <c r="A5127" s="140" t="s">
        <v>12439</v>
      </c>
      <c r="B5127" s="140" t="s">
        <v>12728</v>
      </c>
      <c r="C5127" s="140" t="s">
        <v>12729</v>
      </c>
      <c r="D5127" s="140" t="s">
        <v>224</v>
      </c>
      <c r="E5127" s="140" t="s">
        <v>7685</v>
      </c>
      <c r="F5127" s="140" t="s">
        <v>12730</v>
      </c>
      <c r="G5127" s="141" t="s">
        <v>6401</v>
      </c>
      <c r="H5127" s="140" t="s">
        <v>6312</v>
      </c>
      <c r="I5127" s="140" t="s">
        <v>6313</v>
      </c>
      <c r="J5127" s="140" t="s">
        <v>6314</v>
      </c>
      <c r="K5127" s="140" t="s">
        <v>12439</v>
      </c>
    </row>
    <row r="5128">
      <c r="A5128" s="140" t="s">
        <v>12439</v>
      </c>
      <c r="B5128" s="140" t="s">
        <v>4828</v>
      </c>
      <c r="C5128" s="140" t="s">
        <v>12731</v>
      </c>
      <c r="D5128" s="140" t="s">
        <v>6620</v>
      </c>
      <c r="E5128" s="140" t="s">
        <v>6621</v>
      </c>
      <c r="F5128" s="140" t="s">
        <v>8910</v>
      </c>
      <c r="G5128" s="141" t="s">
        <v>6401</v>
      </c>
      <c r="H5128" s="140" t="s">
        <v>6312</v>
      </c>
      <c r="I5128" s="140" t="s">
        <v>6313</v>
      </c>
      <c r="J5128" s="140" t="s">
        <v>6314</v>
      </c>
      <c r="K5128" s="140" t="s">
        <v>12439</v>
      </c>
    </row>
    <row r="5129">
      <c r="A5129" s="140" t="s">
        <v>12439</v>
      </c>
      <c r="B5129" s="140" t="s">
        <v>12732</v>
      </c>
      <c r="C5129" s="140" t="s">
        <v>12733</v>
      </c>
      <c r="D5129" s="140" t="s">
        <v>6620</v>
      </c>
      <c r="E5129" s="140" t="s">
        <v>6621</v>
      </c>
      <c r="F5129" s="140" t="s">
        <v>8910</v>
      </c>
      <c r="G5129" s="141" t="s">
        <v>6401</v>
      </c>
      <c r="H5129" s="140" t="s">
        <v>6312</v>
      </c>
      <c r="I5129" s="140" t="s">
        <v>6313</v>
      </c>
      <c r="J5129" s="140" t="s">
        <v>6314</v>
      </c>
      <c r="K5129" s="140" t="s">
        <v>12439</v>
      </c>
    </row>
    <row r="5130">
      <c r="A5130" s="140" t="s">
        <v>12439</v>
      </c>
      <c r="B5130" s="140" t="s">
        <v>12734</v>
      </c>
      <c r="C5130" s="140" t="s">
        <v>12735</v>
      </c>
      <c r="D5130" s="140" t="s">
        <v>6620</v>
      </c>
      <c r="E5130" s="140" t="s">
        <v>6621</v>
      </c>
      <c r="F5130" s="140" t="s">
        <v>8910</v>
      </c>
      <c r="G5130" s="141" t="s">
        <v>6401</v>
      </c>
      <c r="H5130" s="140" t="s">
        <v>6312</v>
      </c>
      <c r="I5130" s="140" t="s">
        <v>6313</v>
      </c>
      <c r="J5130" s="140" t="s">
        <v>6314</v>
      </c>
      <c r="K5130" s="140" t="s">
        <v>12439</v>
      </c>
    </row>
    <row r="5131">
      <c r="A5131" s="140" t="s">
        <v>12439</v>
      </c>
      <c r="B5131" s="140" t="s">
        <v>4836</v>
      </c>
      <c r="C5131" s="140" t="s">
        <v>12736</v>
      </c>
      <c r="D5131" s="140" t="s">
        <v>6620</v>
      </c>
      <c r="E5131" s="140" t="s">
        <v>6621</v>
      </c>
      <c r="F5131" s="140" t="s">
        <v>8910</v>
      </c>
      <c r="G5131" s="141" t="s">
        <v>6401</v>
      </c>
      <c r="H5131" s="140" t="s">
        <v>6312</v>
      </c>
      <c r="I5131" s="140" t="s">
        <v>6313</v>
      </c>
      <c r="J5131" s="140" t="s">
        <v>6314</v>
      </c>
      <c r="K5131" s="140" t="s">
        <v>12439</v>
      </c>
    </row>
    <row r="5132">
      <c r="A5132" s="140" t="s">
        <v>12439</v>
      </c>
      <c r="B5132" s="140" t="s">
        <v>4838</v>
      </c>
      <c r="C5132" s="140" t="s">
        <v>12737</v>
      </c>
      <c r="D5132" s="140" t="s">
        <v>6620</v>
      </c>
      <c r="E5132" s="140" t="s">
        <v>6621</v>
      </c>
      <c r="F5132" s="140" t="s">
        <v>8910</v>
      </c>
      <c r="G5132" s="141" t="s">
        <v>6401</v>
      </c>
      <c r="H5132" s="140" t="s">
        <v>6312</v>
      </c>
      <c r="I5132" s="140" t="s">
        <v>6313</v>
      </c>
      <c r="J5132" s="140" t="s">
        <v>6314</v>
      </c>
      <c r="K5132" s="140" t="s">
        <v>12439</v>
      </c>
    </row>
    <row r="5133">
      <c r="A5133" s="140" t="s">
        <v>12439</v>
      </c>
      <c r="B5133" s="140" t="s">
        <v>2688</v>
      </c>
      <c r="C5133" s="140" t="s">
        <v>12738</v>
      </c>
      <c r="D5133" s="140" t="s">
        <v>6620</v>
      </c>
      <c r="E5133" s="140" t="s">
        <v>6621</v>
      </c>
      <c r="F5133" s="140" t="s">
        <v>8910</v>
      </c>
      <c r="G5133" s="141" t="s">
        <v>6401</v>
      </c>
      <c r="H5133" s="140" t="s">
        <v>6312</v>
      </c>
      <c r="I5133" s="140" t="s">
        <v>6313</v>
      </c>
      <c r="J5133" s="140" t="s">
        <v>6314</v>
      </c>
      <c r="K5133" s="140" t="s">
        <v>12439</v>
      </c>
    </row>
    <row r="5134">
      <c r="A5134" s="140" t="s">
        <v>12439</v>
      </c>
      <c r="B5134" s="140" t="s">
        <v>4826</v>
      </c>
      <c r="C5134" s="140" t="s">
        <v>12739</v>
      </c>
      <c r="D5134" s="140" t="s">
        <v>6620</v>
      </c>
      <c r="E5134" s="140" t="s">
        <v>6621</v>
      </c>
      <c r="F5134" s="140" t="s">
        <v>8910</v>
      </c>
      <c r="G5134" s="141" t="s">
        <v>6401</v>
      </c>
      <c r="H5134" s="140" t="s">
        <v>6312</v>
      </c>
      <c r="I5134" s="140" t="s">
        <v>6313</v>
      </c>
      <c r="J5134" s="140" t="s">
        <v>6314</v>
      </c>
      <c r="K5134" s="140" t="s">
        <v>12439</v>
      </c>
    </row>
    <row r="5135">
      <c r="A5135" s="140" t="s">
        <v>12439</v>
      </c>
      <c r="B5135" s="140" t="s">
        <v>12740</v>
      </c>
      <c r="C5135" s="140" t="s">
        <v>12741</v>
      </c>
      <c r="D5135" s="140" t="s">
        <v>6620</v>
      </c>
      <c r="E5135" s="140" t="s">
        <v>6621</v>
      </c>
      <c r="F5135" s="140" t="s">
        <v>8910</v>
      </c>
      <c r="G5135" s="141" t="s">
        <v>6401</v>
      </c>
      <c r="H5135" s="140" t="s">
        <v>6312</v>
      </c>
      <c r="I5135" s="140" t="s">
        <v>6313</v>
      </c>
      <c r="J5135" s="140" t="s">
        <v>6314</v>
      </c>
      <c r="K5135" s="140" t="s">
        <v>12439</v>
      </c>
    </row>
    <row r="5136">
      <c r="A5136" s="140" t="s">
        <v>12439</v>
      </c>
      <c r="B5136" s="140" t="s">
        <v>4824</v>
      </c>
      <c r="C5136" s="140" t="s">
        <v>12742</v>
      </c>
      <c r="D5136" s="140" t="s">
        <v>6620</v>
      </c>
      <c r="E5136" s="140" t="s">
        <v>6621</v>
      </c>
      <c r="F5136" s="140" t="s">
        <v>8910</v>
      </c>
      <c r="G5136" s="141" t="s">
        <v>6401</v>
      </c>
      <c r="H5136" s="140" t="s">
        <v>6312</v>
      </c>
      <c r="I5136" s="140" t="s">
        <v>6313</v>
      </c>
      <c r="J5136" s="140" t="s">
        <v>6314</v>
      </c>
      <c r="K5136" s="140" t="s">
        <v>12439</v>
      </c>
    </row>
    <row r="5137">
      <c r="A5137" s="140" t="s">
        <v>12439</v>
      </c>
      <c r="B5137" s="140" t="s">
        <v>2957</v>
      </c>
      <c r="C5137" s="140" t="s">
        <v>12743</v>
      </c>
      <c r="D5137" s="140" t="s">
        <v>6620</v>
      </c>
      <c r="E5137" s="140" t="s">
        <v>6621</v>
      </c>
      <c r="F5137" s="140" t="s">
        <v>8910</v>
      </c>
      <c r="G5137" s="141" t="s">
        <v>6401</v>
      </c>
      <c r="H5137" s="140" t="s">
        <v>6312</v>
      </c>
      <c r="I5137" s="140" t="s">
        <v>6313</v>
      </c>
      <c r="J5137" s="140" t="s">
        <v>6314</v>
      </c>
      <c r="K5137" s="140" t="s">
        <v>12439</v>
      </c>
    </row>
    <row r="5138">
      <c r="A5138" s="140" t="s">
        <v>12439</v>
      </c>
      <c r="B5138" s="140" t="s">
        <v>12744</v>
      </c>
      <c r="C5138" s="140" t="s">
        <v>12745</v>
      </c>
      <c r="D5138" s="140" t="s">
        <v>6620</v>
      </c>
      <c r="E5138" s="140" t="s">
        <v>6621</v>
      </c>
      <c r="F5138" s="140" t="s">
        <v>8910</v>
      </c>
      <c r="G5138" s="141" t="s">
        <v>6401</v>
      </c>
      <c r="H5138" s="140" t="s">
        <v>6312</v>
      </c>
      <c r="I5138" s="140" t="s">
        <v>6313</v>
      </c>
      <c r="J5138" s="140" t="s">
        <v>6314</v>
      </c>
      <c r="K5138" s="140" t="s">
        <v>12439</v>
      </c>
    </row>
    <row r="5139">
      <c r="A5139" s="140" t="s">
        <v>12439</v>
      </c>
      <c r="B5139" s="140" t="s">
        <v>4822</v>
      </c>
      <c r="C5139" s="140" t="s">
        <v>12746</v>
      </c>
      <c r="D5139" s="140" t="s">
        <v>6620</v>
      </c>
      <c r="E5139" s="140" t="s">
        <v>6621</v>
      </c>
      <c r="F5139" s="140" t="s">
        <v>8910</v>
      </c>
      <c r="G5139" s="141" t="s">
        <v>6401</v>
      </c>
      <c r="H5139" s="140" t="s">
        <v>6312</v>
      </c>
      <c r="I5139" s="140" t="s">
        <v>6313</v>
      </c>
      <c r="J5139" s="140" t="s">
        <v>6314</v>
      </c>
      <c r="K5139" s="140" t="s">
        <v>12439</v>
      </c>
    </row>
    <row r="5140">
      <c r="A5140" s="140" t="s">
        <v>12439</v>
      </c>
      <c r="B5140" s="140" t="s">
        <v>4830</v>
      </c>
      <c r="C5140" s="140" t="s">
        <v>12747</v>
      </c>
      <c r="D5140" s="140" t="s">
        <v>6620</v>
      </c>
      <c r="E5140" s="140" t="s">
        <v>6621</v>
      </c>
      <c r="F5140" s="140" t="s">
        <v>8910</v>
      </c>
      <c r="G5140" s="141" t="s">
        <v>6401</v>
      </c>
      <c r="H5140" s="140" t="s">
        <v>6312</v>
      </c>
      <c r="I5140" s="140" t="s">
        <v>6313</v>
      </c>
      <c r="J5140" s="140" t="s">
        <v>6314</v>
      </c>
      <c r="K5140" s="140" t="s">
        <v>12439</v>
      </c>
    </row>
    <row r="5141">
      <c r="A5141" s="140" t="s">
        <v>12439</v>
      </c>
      <c r="B5141" s="140" t="s">
        <v>12748</v>
      </c>
      <c r="C5141" s="140" t="s">
        <v>12749</v>
      </c>
      <c r="D5141" s="140" t="s">
        <v>6620</v>
      </c>
      <c r="E5141" s="140" t="s">
        <v>6621</v>
      </c>
      <c r="F5141" s="140" t="s">
        <v>8910</v>
      </c>
      <c r="G5141" s="141" t="s">
        <v>6401</v>
      </c>
      <c r="H5141" s="140" t="s">
        <v>6312</v>
      </c>
      <c r="I5141" s="140" t="s">
        <v>6313</v>
      </c>
      <c r="J5141" s="140" t="s">
        <v>6314</v>
      </c>
      <c r="K5141" s="140" t="s">
        <v>12439</v>
      </c>
    </row>
    <row r="5142">
      <c r="A5142" s="140" t="s">
        <v>12439</v>
      </c>
      <c r="B5142" s="140" t="s">
        <v>12750</v>
      </c>
      <c r="C5142" s="140" t="s">
        <v>12751</v>
      </c>
      <c r="D5142" s="140" t="s">
        <v>6620</v>
      </c>
      <c r="E5142" s="140" t="s">
        <v>6621</v>
      </c>
      <c r="F5142" s="140" t="s">
        <v>8910</v>
      </c>
      <c r="G5142" s="141" t="s">
        <v>6401</v>
      </c>
      <c r="H5142" s="140" t="s">
        <v>6312</v>
      </c>
      <c r="I5142" s="140" t="s">
        <v>6313</v>
      </c>
      <c r="J5142" s="140" t="s">
        <v>6314</v>
      </c>
      <c r="K5142" s="140" t="s">
        <v>12439</v>
      </c>
    </row>
    <row r="5143">
      <c r="A5143" s="140" t="s">
        <v>12439</v>
      </c>
      <c r="B5143" s="140" t="s">
        <v>12752</v>
      </c>
      <c r="C5143" s="140" t="s">
        <v>12753</v>
      </c>
      <c r="D5143" s="140" t="s">
        <v>6620</v>
      </c>
      <c r="E5143" s="140" t="s">
        <v>6621</v>
      </c>
      <c r="F5143" s="140" t="s">
        <v>8910</v>
      </c>
      <c r="G5143" s="141" t="s">
        <v>6401</v>
      </c>
      <c r="H5143" s="140" t="s">
        <v>6312</v>
      </c>
      <c r="I5143" s="140" t="s">
        <v>6313</v>
      </c>
      <c r="J5143" s="140" t="s">
        <v>6314</v>
      </c>
      <c r="K5143" s="140" t="s">
        <v>12439</v>
      </c>
    </row>
    <row r="5144">
      <c r="A5144" s="140" t="s">
        <v>12439</v>
      </c>
      <c r="B5144" s="140" t="s">
        <v>12754</v>
      </c>
      <c r="C5144" s="140" t="s">
        <v>12755</v>
      </c>
      <c r="D5144" s="140" t="s">
        <v>6620</v>
      </c>
      <c r="E5144" s="140" t="s">
        <v>6621</v>
      </c>
      <c r="F5144" s="140" t="s">
        <v>8910</v>
      </c>
      <c r="G5144" s="141" t="s">
        <v>6401</v>
      </c>
      <c r="H5144" s="140" t="s">
        <v>6312</v>
      </c>
      <c r="I5144" s="140" t="s">
        <v>6313</v>
      </c>
      <c r="J5144" s="140" t="s">
        <v>6314</v>
      </c>
      <c r="K5144" s="140" t="s">
        <v>12439</v>
      </c>
    </row>
    <row r="5145">
      <c r="A5145" s="140" t="s">
        <v>12439</v>
      </c>
      <c r="B5145" s="140" t="s">
        <v>12756</v>
      </c>
      <c r="C5145" s="140" t="s">
        <v>12757</v>
      </c>
      <c r="D5145" s="140" t="s">
        <v>6620</v>
      </c>
      <c r="E5145" s="140" t="s">
        <v>6621</v>
      </c>
      <c r="F5145" s="140" t="s">
        <v>8910</v>
      </c>
      <c r="G5145" s="141" t="s">
        <v>6401</v>
      </c>
      <c r="H5145" s="140" t="s">
        <v>6312</v>
      </c>
      <c r="I5145" s="140" t="s">
        <v>6313</v>
      </c>
      <c r="J5145" s="140" t="s">
        <v>6314</v>
      </c>
      <c r="K5145" s="140" t="s">
        <v>12439</v>
      </c>
    </row>
    <row r="5146">
      <c r="A5146" s="140" t="s">
        <v>12439</v>
      </c>
      <c r="B5146" s="140" t="s">
        <v>4832</v>
      </c>
      <c r="C5146" s="140" t="s">
        <v>12758</v>
      </c>
      <c r="D5146" s="140" t="s">
        <v>6620</v>
      </c>
      <c r="E5146" s="140" t="s">
        <v>6621</v>
      </c>
      <c r="F5146" s="140" t="s">
        <v>8910</v>
      </c>
      <c r="G5146" s="141" t="s">
        <v>6401</v>
      </c>
      <c r="H5146" s="140" t="s">
        <v>6312</v>
      </c>
      <c r="I5146" s="140" t="s">
        <v>6313</v>
      </c>
      <c r="J5146" s="140" t="s">
        <v>6314</v>
      </c>
      <c r="K5146" s="140" t="s">
        <v>12439</v>
      </c>
    </row>
    <row r="5147">
      <c r="A5147" s="140" t="s">
        <v>12439</v>
      </c>
      <c r="B5147" s="140" t="s">
        <v>4834</v>
      </c>
      <c r="C5147" s="140" t="s">
        <v>12759</v>
      </c>
      <c r="D5147" s="140" t="s">
        <v>6620</v>
      </c>
      <c r="E5147" s="140" t="s">
        <v>6621</v>
      </c>
      <c r="F5147" s="140" t="s">
        <v>8910</v>
      </c>
      <c r="G5147" s="141" t="s">
        <v>6401</v>
      </c>
      <c r="H5147" s="140" t="s">
        <v>6312</v>
      </c>
      <c r="I5147" s="140" t="s">
        <v>6313</v>
      </c>
      <c r="J5147" s="140" t="s">
        <v>6314</v>
      </c>
      <c r="K5147" s="140" t="s">
        <v>12439</v>
      </c>
    </row>
    <row r="5148">
      <c r="A5148" s="140" t="s">
        <v>12439</v>
      </c>
      <c r="B5148" s="140" t="s">
        <v>12760</v>
      </c>
      <c r="C5148" s="140" t="s">
        <v>12761</v>
      </c>
      <c r="D5148" s="140" t="s">
        <v>6620</v>
      </c>
      <c r="E5148" s="140" t="s">
        <v>6621</v>
      </c>
      <c r="F5148" s="140" t="s">
        <v>8910</v>
      </c>
      <c r="G5148" s="141" t="s">
        <v>6401</v>
      </c>
      <c r="H5148" s="140" t="s">
        <v>6312</v>
      </c>
      <c r="I5148" s="140" t="s">
        <v>6313</v>
      </c>
      <c r="J5148" s="140" t="s">
        <v>6314</v>
      </c>
      <c r="K5148" s="140" t="s">
        <v>12439</v>
      </c>
    </row>
    <row r="5149">
      <c r="A5149" s="140" t="s">
        <v>12439</v>
      </c>
      <c r="B5149" s="140" t="s">
        <v>12762</v>
      </c>
      <c r="C5149" s="140" t="s">
        <v>12763</v>
      </c>
      <c r="D5149" s="140" t="s">
        <v>6620</v>
      </c>
      <c r="E5149" s="140" t="s">
        <v>6621</v>
      </c>
      <c r="F5149" s="140" t="s">
        <v>12764</v>
      </c>
      <c r="G5149" s="141" t="s">
        <v>6401</v>
      </c>
      <c r="H5149" s="140" t="s">
        <v>6312</v>
      </c>
      <c r="I5149" s="140" t="s">
        <v>6313</v>
      </c>
      <c r="J5149" s="140" t="s">
        <v>6314</v>
      </c>
      <c r="K5149" s="140" t="s">
        <v>12439</v>
      </c>
    </row>
    <row r="5150">
      <c r="A5150" s="140" t="s">
        <v>12439</v>
      </c>
      <c r="B5150" s="140" t="s">
        <v>4818</v>
      </c>
      <c r="C5150" s="140" t="s">
        <v>12765</v>
      </c>
      <c r="D5150" s="140" t="s">
        <v>6620</v>
      </c>
      <c r="E5150" s="140" t="s">
        <v>6621</v>
      </c>
      <c r="F5150" s="140" t="s">
        <v>12764</v>
      </c>
      <c r="G5150" s="141" t="s">
        <v>6401</v>
      </c>
      <c r="H5150" s="140" t="s">
        <v>6312</v>
      </c>
      <c r="I5150" s="140" t="s">
        <v>6313</v>
      </c>
      <c r="J5150" s="140" t="s">
        <v>6314</v>
      </c>
      <c r="K5150" s="140" t="s">
        <v>12439</v>
      </c>
    </row>
    <row r="5151">
      <c r="A5151" s="140" t="s">
        <v>12439</v>
      </c>
      <c r="B5151" s="140" t="s">
        <v>4820</v>
      </c>
      <c r="C5151" s="140" t="s">
        <v>12766</v>
      </c>
      <c r="D5151" s="140" t="s">
        <v>6620</v>
      </c>
      <c r="E5151" s="140" t="s">
        <v>6621</v>
      </c>
      <c r="F5151" s="140" t="s">
        <v>12764</v>
      </c>
      <c r="G5151" s="141" t="s">
        <v>6401</v>
      </c>
      <c r="H5151" s="140" t="s">
        <v>6312</v>
      </c>
      <c r="I5151" s="140" t="s">
        <v>6313</v>
      </c>
      <c r="J5151" s="140" t="s">
        <v>6314</v>
      </c>
      <c r="K5151" s="140" t="s">
        <v>12439</v>
      </c>
    </row>
    <row r="5152">
      <c r="A5152" s="140" t="s">
        <v>12439</v>
      </c>
      <c r="B5152" s="140" t="s">
        <v>12767</v>
      </c>
      <c r="C5152" s="140" t="s">
        <v>12768</v>
      </c>
      <c r="D5152" s="140" t="s">
        <v>6620</v>
      </c>
      <c r="E5152" s="140" t="s">
        <v>6621</v>
      </c>
      <c r="F5152" s="140" t="s">
        <v>12764</v>
      </c>
      <c r="G5152" s="141" t="s">
        <v>6401</v>
      </c>
      <c r="H5152" s="140" t="s">
        <v>6312</v>
      </c>
      <c r="I5152" s="140" t="s">
        <v>6313</v>
      </c>
      <c r="J5152" s="140" t="s">
        <v>6314</v>
      </c>
      <c r="K5152" s="140" t="s">
        <v>12439</v>
      </c>
    </row>
    <row r="5153">
      <c r="A5153" s="140" t="s">
        <v>12439</v>
      </c>
      <c r="B5153" s="140" t="s">
        <v>12769</v>
      </c>
      <c r="C5153" s="140" t="s">
        <v>12770</v>
      </c>
      <c r="D5153" s="140" t="s">
        <v>6620</v>
      </c>
      <c r="E5153" s="140" t="s">
        <v>6621</v>
      </c>
      <c r="F5153" s="140" t="s">
        <v>12764</v>
      </c>
      <c r="G5153" s="141" t="s">
        <v>6401</v>
      </c>
      <c r="H5153" s="140" t="s">
        <v>6312</v>
      </c>
      <c r="I5153" s="140" t="s">
        <v>6313</v>
      </c>
      <c r="J5153" s="140" t="s">
        <v>6314</v>
      </c>
      <c r="K5153" s="140" t="s">
        <v>12439</v>
      </c>
    </row>
    <row r="5154">
      <c r="A5154" s="140" t="s">
        <v>12439</v>
      </c>
      <c r="B5154" s="140" t="s">
        <v>12771</v>
      </c>
      <c r="C5154" s="140" t="s">
        <v>12772</v>
      </c>
      <c r="D5154" s="140" t="s">
        <v>6620</v>
      </c>
      <c r="E5154" s="140" t="s">
        <v>6621</v>
      </c>
      <c r="F5154" s="140" t="s">
        <v>12764</v>
      </c>
      <c r="G5154" s="141" t="s">
        <v>6401</v>
      </c>
      <c r="H5154" s="140" t="s">
        <v>6312</v>
      </c>
      <c r="I5154" s="140" t="s">
        <v>6313</v>
      </c>
      <c r="J5154" s="140" t="s">
        <v>6314</v>
      </c>
      <c r="K5154" s="140" t="s">
        <v>12439</v>
      </c>
    </row>
    <row r="5155">
      <c r="A5155" s="140" t="s">
        <v>12439</v>
      </c>
      <c r="B5155" s="140" t="s">
        <v>12773</v>
      </c>
      <c r="C5155" s="140" t="s">
        <v>12774</v>
      </c>
      <c r="D5155" s="140" t="s">
        <v>6620</v>
      </c>
      <c r="E5155" s="140" t="s">
        <v>6621</v>
      </c>
      <c r="F5155" s="140" t="s">
        <v>12764</v>
      </c>
      <c r="G5155" s="141" t="s">
        <v>6401</v>
      </c>
      <c r="H5155" s="140" t="s">
        <v>6312</v>
      </c>
      <c r="I5155" s="140" t="s">
        <v>6313</v>
      </c>
      <c r="J5155" s="140" t="s">
        <v>6314</v>
      </c>
      <c r="K5155" s="140" t="s">
        <v>12439</v>
      </c>
    </row>
    <row r="5156">
      <c r="A5156" s="140" t="s">
        <v>12439</v>
      </c>
      <c r="B5156" s="140" t="s">
        <v>12775</v>
      </c>
      <c r="C5156" s="140" t="s">
        <v>12776</v>
      </c>
      <c r="D5156" s="140" t="s">
        <v>6620</v>
      </c>
      <c r="E5156" s="140" t="s">
        <v>6621</v>
      </c>
      <c r="F5156" s="140" t="s">
        <v>12764</v>
      </c>
      <c r="G5156" s="141" t="s">
        <v>6401</v>
      </c>
      <c r="H5156" s="140" t="s">
        <v>6312</v>
      </c>
      <c r="I5156" s="140" t="s">
        <v>6313</v>
      </c>
      <c r="J5156" s="140" t="s">
        <v>6314</v>
      </c>
      <c r="K5156" s="140" t="s">
        <v>12439</v>
      </c>
    </row>
    <row r="5157">
      <c r="A5157" s="140" t="s">
        <v>12439</v>
      </c>
      <c r="B5157" s="140" t="s">
        <v>12777</v>
      </c>
      <c r="C5157" s="140" t="s">
        <v>12778</v>
      </c>
      <c r="D5157" s="140" t="s">
        <v>6620</v>
      </c>
      <c r="E5157" s="140" t="s">
        <v>6621</v>
      </c>
      <c r="F5157" s="140" t="s">
        <v>12764</v>
      </c>
      <c r="G5157" s="141" t="s">
        <v>6401</v>
      </c>
      <c r="H5157" s="140" t="s">
        <v>6312</v>
      </c>
      <c r="I5157" s="140" t="s">
        <v>6313</v>
      </c>
      <c r="J5157" s="140" t="s">
        <v>6314</v>
      </c>
      <c r="K5157" s="140" t="s">
        <v>12439</v>
      </c>
    </row>
    <row r="5158">
      <c r="A5158" s="140" t="s">
        <v>12439</v>
      </c>
      <c r="B5158" s="140" t="s">
        <v>12779</v>
      </c>
      <c r="C5158" s="140" t="s">
        <v>12780</v>
      </c>
      <c r="D5158" s="140" t="s">
        <v>6620</v>
      </c>
      <c r="E5158" s="140" t="s">
        <v>6621</v>
      </c>
      <c r="F5158" s="140" t="s">
        <v>12764</v>
      </c>
      <c r="G5158" s="141" t="s">
        <v>6401</v>
      </c>
      <c r="H5158" s="140" t="s">
        <v>6312</v>
      </c>
      <c r="I5158" s="140" t="s">
        <v>6313</v>
      </c>
      <c r="J5158" s="140" t="s">
        <v>6314</v>
      </c>
      <c r="K5158" s="140" t="s">
        <v>12439</v>
      </c>
    </row>
    <row r="5159">
      <c r="A5159" s="140" t="s">
        <v>12439</v>
      </c>
      <c r="B5159" s="140" t="s">
        <v>12781</v>
      </c>
      <c r="C5159" s="140" t="s">
        <v>12782</v>
      </c>
      <c r="D5159" s="140" t="s">
        <v>6620</v>
      </c>
      <c r="E5159" s="140" t="s">
        <v>6621</v>
      </c>
      <c r="F5159" s="140" t="s">
        <v>12764</v>
      </c>
      <c r="G5159" s="141" t="s">
        <v>6401</v>
      </c>
      <c r="H5159" s="140" t="s">
        <v>6312</v>
      </c>
      <c r="I5159" s="140" t="s">
        <v>6313</v>
      </c>
      <c r="J5159" s="140" t="s">
        <v>6314</v>
      </c>
      <c r="K5159" s="140" t="s">
        <v>12439</v>
      </c>
    </row>
    <row r="5160">
      <c r="A5160" s="140" t="s">
        <v>12439</v>
      </c>
      <c r="B5160" s="140" t="s">
        <v>12783</v>
      </c>
      <c r="C5160" s="140" t="s">
        <v>12784</v>
      </c>
      <c r="D5160" s="140" t="s">
        <v>6620</v>
      </c>
      <c r="E5160" s="140" t="s">
        <v>6621</v>
      </c>
      <c r="F5160" s="140" t="s">
        <v>12764</v>
      </c>
      <c r="G5160" s="141" t="s">
        <v>6401</v>
      </c>
      <c r="H5160" s="140" t="s">
        <v>6312</v>
      </c>
      <c r="I5160" s="140" t="s">
        <v>6313</v>
      </c>
      <c r="J5160" s="140" t="s">
        <v>6314</v>
      </c>
      <c r="K5160" s="140" t="s">
        <v>12439</v>
      </c>
    </row>
    <row r="5161">
      <c r="A5161" s="140" t="s">
        <v>12439</v>
      </c>
      <c r="B5161" s="140" t="s">
        <v>5653</v>
      </c>
      <c r="C5161" s="140" t="s">
        <v>12785</v>
      </c>
      <c r="D5161" s="140" t="s">
        <v>6620</v>
      </c>
      <c r="E5161" s="140" t="s">
        <v>6621</v>
      </c>
      <c r="F5161" s="140" t="s">
        <v>12764</v>
      </c>
      <c r="G5161" s="141" t="s">
        <v>6401</v>
      </c>
      <c r="H5161" s="140" t="s">
        <v>6312</v>
      </c>
      <c r="I5161" s="140" t="s">
        <v>6313</v>
      </c>
      <c r="J5161" s="140" t="s">
        <v>6314</v>
      </c>
      <c r="K5161" s="140" t="s">
        <v>12439</v>
      </c>
    </row>
    <row r="5162">
      <c r="A5162" s="140" t="s">
        <v>12439</v>
      </c>
      <c r="B5162" s="140" t="s">
        <v>12786</v>
      </c>
      <c r="C5162" s="140" t="s">
        <v>12787</v>
      </c>
      <c r="D5162" s="140" t="s">
        <v>6620</v>
      </c>
      <c r="E5162" s="140" t="s">
        <v>6621</v>
      </c>
      <c r="F5162" s="140" t="s">
        <v>12764</v>
      </c>
      <c r="G5162" s="141" t="s">
        <v>6401</v>
      </c>
      <c r="H5162" s="140" t="s">
        <v>6312</v>
      </c>
      <c r="I5162" s="140" t="s">
        <v>6313</v>
      </c>
      <c r="J5162" s="140" t="s">
        <v>6314</v>
      </c>
      <c r="K5162" s="140" t="s">
        <v>12439</v>
      </c>
    </row>
    <row r="5163">
      <c r="A5163" s="140" t="s">
        <v>12439</v>
      </c>
      <c r="B5163" s="140" t="s">
        <v>12788</v>
      </c>
      <c r="C5163" s="140" t="s">
        <v>12789</v>
      </c>
      <c r="D5163" s="140" t="s">
        <v>6620</v>
      </c>
      <c r="E5163" s="140" t="s">
        <v>6621</v>
      </c>
      <c r="F5163" s="140" t="s">
        <v>12764</v>
      </c>
      <c r="G5163" s="141" t="s">
        <v>6668</v>
      </c>
      <c r="H5163" s="140" t="s">
        <v>6312</v>
      </c>
      <c r="I5163" s="140" t="s">
        <v>6313</v>
      </c>
      <c r="J5163" s="140" t="s">
        <v>6314</v>
      </c>
      <c r="K5163" s="140" t="s">
        <v>12439</v>
      </c>
    </row>
    <row r="5164">
      <c r="A5164" s="140" t="s">
        <v>12439</v>
      </c>
      <c r="B5164" s="140" t="s">
        <v>12790</v>
      </c>
      <c r="C5164" s="140" t="s">
        <v>12791</v>
      </c>
      <c r="D5164" s="140" t="s">
        <v>6620</v>
      </c>
      <c r="E5164" s="140" t="s">
        <v>6621</v>
      </c>
      <c r="F5164" s="140" t="s">
        <v>12764</v>
      </c>
      <c r="G5164" s="141" t="s">
        <v>6401</v>
      </c>
      <c r="H5164" s="140" t="s">
        <v>6312</v>
      </c>
      <c r="I5164" s="140" t="s">
        <v>6313</v>
      </c>
      <c r="J5164" s="140" t="s">
        <v>6314</v>
      </c>
      <c r="K5164" s="140" t="s">
        <v>12439</v>
      </c>
    </row>
    <row r="5165">
      <c r="A5165" s="140" t="s">
        <v>12439</v>
      </c>
      <c r="B5165" s="140" t="s">
        <v>12792</v>
      </c>
      <c r="C5165" s="140" t="s">
        <v>12793</v>
      </c>
      <c r="D5165" s="140" t="s">
        <v>6620</v>
      </c>
      <c r="E5165" s="140" t="s">
        <v>6621</v>
      </c>
      <c r="F5165" s="140" t="s">
        <v>12764</v>
      </c>
      <c r="G5165" s="141" t="s">
        <v>6401</v>
      </c>
      <c r="H5165" s="140" t="s">
        <v>6312</v>
      </c>
      <c r="I5165" s="140" t="s">
        <v>6313</v>
      </c>
      <c r="J5165" s="140" t="s">
        <v>6314</v>
      </c>
      <c r="K5165" s="140" t="s">
        <v>12439</v>
      </c>
    </row>
    <row r="5166">
      <c r="A5166" s="140" t="s">
        <v>12439</v>
      </c>
      <c r="B5166" s="140" t="s">
        <v>12794</v>
      </c>
      <c r="C5166" s="140" t="s">
        <v>12795</v>
      </c>
      <c r="D5166" s="140" t="s">
        <v>6620</v>
      </c>
      <c r="E5166" s="140" t="s">
        <v>6621</v>
      </c>
      <c r="F5166" s="140" t="s">
        <v>12764</v>
      </c>
      <c r="G5166" s="141" t="s">
        <v>6401</v>
      </c>
      <c r="H5166" s="140" t="s">
        <v>6312</v>
      </c>
      <c r="I5166" s="140" t="s">
        <v>6313</v>
      </c>
      <c r="J5166" s="140" t="s">
        <v>6314</v>
      </c>
      <c r="K5166" s="140" t="s">
        <v>12439</v>
      </c>
    </row>
    <row r="5167">
      <c r="A5167" s="140" t="s">
        <v>12439</v>
      </c>
      <c r="B5167" s="140" t="s">
        <v>2965</v>
      </c>
      <c r="C5167" s="140" t="s">
        <v>12796</v>
      </c>
      <c r="D5167" s="140" t="s">
        <v>6620</v>
      </c>
      <c r="E5167" s="140" t="s">
        <v>6621</v>
      </c>
      <c r="F5167" s="140" t="s">
        <v>12764</v>
      </c>
      <c r="G5167" s="141" t="s">
        <v>6401</v>
      </c>
      <c r="H5167" s="140" t="s">
        <v>6312</v>
      </c>
      <c r="I5167" s="140" t="s">
        <v>6313</v>
      </c>
      <c r="J5167" s="140" t="s">
        <v>6314</v>
      </c>
      <c r="K5167" s="140" t="s">
        <v>12439</v>
      </c>
    </row>
    <row r="5168">
      <c r="A5168" s="140" t="s">
        <v>12439</v>
      </c>
      <c r="B5168" s="140" t="s">
        <v>12797</v>
      </c>
      <c r="C5168" s="140" t="s">
        <v>12798</v>
      </c>
      <c r="D5168" s="140" t="s">
        <v>6620</v>
      </c>
      <c r="E5168" s="140" t="s">
        <v>6621</v>
      </c>
      <c r="F5168" s="140" t="s">
        <v>12764</v>
      </c>
      <c r="G5168" s="141" t="s">
        <v>6401</v>
      </c>
      <c r="H5168" s="140" t="s">
        <v>6312</v>
      </c>
      <c r="I5168" s="140" t="s">
        <v>6313</v>
      </c>
      <c r="J5168" s="140" t="s">
        <v>6314</v>
      </c>
      <c r="K5168" s="140" t="s">
        <v>12439</v>
      </c>
    </row>
    <row r="5169">
      <c r="A5169" s="140" t="s">
        <v>12439</v>
      </c>
      <c r="B5169" s="140" t="s">
        <v>12799</v>
      </c>
      <c r="C5169" s="140" t="s">
        <v>12800</v>
      </c>
      <c r="D5169" s="140" t="s">
        <v>6620</v>
      </c>
      <c r="E5169" s="140" t="s">
        <v>6621</v>
      </c>
      <c r="F5169" s="140" t="s">
        <v>12764</v>
      </c>
      <c r="G5169" s="141" t="s">
        <v>6401</v>
      </c>
      <c r="H5169" s="140" t="s">
        <v>6312</v>
      </c>
      <c r="I5169" s="140" t="s">
        <v>6313</v>
      </c>
      <c r="J5169" s="140" t="s">
        <v>6314</v>
      </c>
      <c r="K5169" s="140" t="s">
        <v>12439</v>
      </c>
    </row>
    <row r="5170">
      <c r="A5170" s="140" t="s">
        <v>12439</v>
      </c>
      <c r="B5170" s="140" t="s">
        <v>12801</v>
      </c>
      <c r="C5170" s="140" t="s">
        <v>12802</v>
      </c>
      <c r="D5170" s="140" t="s">
        <v>6620</v>
      </c>
      <c r="E5170" s="140" t="s">
        <v>6621</v>
      </c>
      <c r="F5170" s="140" t="s">
        <v>12764</v>
      </c>
      <c r="G5170" s="141" t="s">
        <v>6401</v>
      </c>
      <c r="H5170" s="140" t="s">
        <v>6312</v>
      </c>
      <c r="I5170" s="140" t="s">
        <v>6313</v>
      </c>
      <c r="J5170" s="140" t="s">
        <v>6314</v>
      </c>
      <c r="K5170" s="140" t="s">
        <v>12439</v>
      </c>
    </row>
    <row r="5171">
      <c r="A5171" s="140" t="s">
        <v>12439</v>
      </c>
      <c r="B5171" s="140" t="s">
        <v>12803</v>
      </c>
      <c r="C5171" s="140" t="s">
        <v>12804</v>
      </c>
      <c r="D5171" s="140" t="s">
        <v>6620</v>
      </c>
      <c r="E5171" s="140" t="s">
        <v>6621</v>
      </c>
      <c r="F5171" s="140" t="s">
        <v>12764</v>
      </c>
      <c r="G5171" s="141" t="s">
        <v>6401</v>
      </c>
      <c r="H5171" s="140" t="s">
        <v>6312</v>
      </c>
      <c r="I5171" s="140" t="s">
        <v>6313</v>
      </c>
      <c r="J5171" s="140" t="s">
        <v>6314</v>
      </c>
      <c r="K5171" s="140" t="s">
        <v>12439</v>
      </c>
    </row>
    <row r="5172">
      <c r="A5172" s="140" t="s">
        <v>12439</v>
      </c>
      <c r="B5172" s="140" t="s">
        <v>12805</v>
      </c>
      <c r="C5172" s="140" t="s">
        <v>12806</v>
      </c>
      <c r="D5172" s="140" t="s">
        <v>6620</v>
      </c>
      <c r="E5172" s="140" t="s">
        <v>6621</v>
      </c>
      <c r="F5172" s="140" t="s">
        <v>12764</v>
      </c>
      <c r="G5172" s="141" t="s">
        <v>6401</v>
      </c>
      <c r="H5172" s="140" t="s">
        <v>6312</v>
      </c>
      <c r="I5172" s="140" t="s">
        <v>6313</v>
      </c>
      <c r="J5172" s="140" t="s">
        <v>6314</v>
      </c>
      <c r="K5172" s="140" t="s">
        <v>12439</v>
      </c>
    </row>
    <row r="5173">
      <c r="A5173" s="140" t="s">
        <v>12439</v>
      </c>
      <c r="B5173" s="140" t="s">
        <v>12807</v>
      </c>
      <c r="C5173" s="140" t="s">
        <v>12808</v>
      </c>
      <c r="D5173" s="140" t="s">
        <v>6318</v>
      </c>
      <c r="E5173" s="140" t="s">
        <v>6323</v>
      </c>
      <c r="F5173" s="140" t="s">
        <v>5774</v>
      </c>
      <c r="G5173" s="141" t="s">
        <v>6401</v>
      </c>
      <c r="H5173" s="140" t="s">
        <v>6312</v>
      </c>
      <c r="I5173" s="140" t="s">
        <v>6313</v>
      </c>
      <c r="J5173" s="140" t="s">
        <v>6314</v>
      </c>
      <c r="K5173" s="140" t="s">
        <v>12439</v>
      </c>
    </row>
    <row r="5174">
      <c r="A5174" s="140" t="s">
        <v>12809</v>
      </c>
      <c r="B5174" s="140">
        <v>2.12053302E8</v>
      </c>
      <c r="C5174" s="140" t="s">
        <v>12810</v>
      </c>
      <c r="D5174" s="140" t="s">
        <v>6309</v>
      </c>
      <c r="E5174" s="140" t="s">
        <v>6310</v>
      </c>
      <c r="F5174" s="140" t="s">
        <v>8978</v>
      </c>
      <c r="G5174" s="141" t="s">
        <v>6311</v>
      </c>
      <c r="H5174" s="140" t="s">
        <v>6312</v>
      </c>
      <c r="I5174" s="140" t="s">
        <v>6313</v>
      </c>
      <c r="J5174" s="140" t="s">
        <v>6314</v>
      </c>
      <c r="K5174" s="140" t="s">
        <v>8979</v>
      </c>
    </row>
    <row r="5175">
      <c r="A5175" s="140" t="s">
        <v>12809</v>
      </c>
      <c r="B5175" s="140">
        <v>2.12050036E8</v>
      </c>
      <c r="C5175" s="140" t="s">
        <v>12811</v>
      </c>
      <c r="D5175" s="140" t="s">
        <v>6309</v>
      </c>
      <c r="E5175" s="140" t="s">
        <v>6310</v>
      </c>
      <c r="F5175" s="140" t="s">
        <v>8978</v>
      </c>
      <c r="G5175" s="141" t="s">
        <v>6311</v>
      </c>
      <c r="H5175" s="140" t="s">
        <v>6312</v>
      </c>
      <c r="I5175" s="140" t="s">
        <v>6313</v>
      </c>
      <c r="J5175" s="140" t="s">
        <v>6314</v>
      </c>
      <c r="K5175" s="140" t="s">
        <v>8979</v>
      </c>
    </row>
    <row r="5176">
      <c r="A5176" s="140" t="s">
        <v>12809</v>
      </c>
      <c r="B5176" s="140">
        <v>2.12053188E8</v>
      </c>
      <c r="C5176" s="140" t="s">
        <v>12812</v>
      </c>
      <c r="D5176" s="140" t="s">
        <v>6309</v>
      </c>
      <c r="E5176" s="140" t="s">
        <v>6310</v>
      </c>
      <c r="F5176" s="140" t="s">
        <v>8978</v>
      </c>
      <c r="G5176" s="141" t="s">
        <v>6311</v>
      </c>
      <c r="H5176" s="140" t="s">
        <v>6312</v>
      </c>
      <c r="I5176" s="140" t="s">
        <v>6313</v>
      </c>
      <c r="J5176" s="140" t="s">
        <v>6314</v>
      </c>
      <c r="K5176" s="140" t="s">
        <v>8979</v>
      </c>
    </row>
    <row r="5177">
      <c r="A5177" s="140" t="s">
        <v>12809</v>
      </c>
      <c r="B5177" s="143">
        <v>2.12057E11</v>
      </c>
      <c r="C5177" s="140" t="s">
        <v>12813</v>
      </c>
      <c r="D5177" s="140" t="s">
        <v>6309</v>
      </c>
      <c r="E5177" s="140" t="s">
        <v>6310</v>
      </c>
      <c r="F5177" s="140" t="s">
        <v>8978</v>
      </c>
      <c r="G5177" s="141" t="s">
        <v>6311</v>
      </c>
      <c r="H5177" s="140" t="s">
        <v>6312</v>
      </c>
      <c r="I5177" s="140" t="s">
        <v>6313</v>
      </c>
      <c r="J5177" s="140" t="s">
        <v>6314</v>
      </c>
      <c r="K5177" s="140" t="s">
        <v>8979</v>
      </c>
    </row>
    <row r="5178">
      <c r="A5178" s="140" t="s">
        <v>12809</v>
      </c>
      <c r="B5178" s="140">
        <v>2.1205729E8</v>
      </c>
      <c r="C5178" s="140" t="s">
        <v>12814</v>
      </c>
      <c r="D5178" s="140" t="s">
        <v>6309</v>
      </c>
      <c r="E5178" s="140" t="s">
        <v>6310</v>
      </c>
      <c r="F5178" s="140" t="s">
        <v>8978</v>
      </c>
      <c r="G5178" s="141" t="s">
        <v>6311</v>
      </c>
      <c r="H5178" s="140" t="s">
        <v>6312</v>
      </c>
      <c r="I5178" s="140" t="s">
        <v>6313</v>
      </c>
      <c r="J5178" s="140" t="s">
        <v>6314</v>
      </c>
      <c r="K5178" s="140" t="s">
        <v>8979</v>
      </c>
    </row>
    <row r="5179">
      <c r="A5179" s="140" t="s">
        <v>12809</v>
      </c>
      <c r="B5179" s="140">
        <v>2.12057287E8</v>
      </c>
      <c r="C5179" s="140" t="s">
        <v>12815</v>
      </c>
      <c r="D5179" s="140" t="s">
        <v>6309</v>
      </c>
      <c r="E5179" s="140" t="s">
        <v>6310</v>
      </c>
      <c r="F5179" s="140" t="s">
        <v>8978</v>
      </c>
      <c r="G5179" s="141" t="s">
        <v>6311</v>
      </c>
      <c r="H5179" s="140" t="s">
        <v>6312</v>
      </c>
      <c r="I5179" s="140" t="s">
        <v>6313</v>
      </c>
      <c r="J5179" s="140" t="s">
        <v>6314</v>
      </c>
      <c r="K5179" s="140" t="s">
        <v>8979</v>
      </c>
    </row>
    <row r="5180">
      <c r="A5180" s="140" t="s">
        <v>12809</v>
      </c>
      <c r="B5180" s="140">
        <v>2.12054101E8</v>
      </c>
      <c r="C5180" s="140" t="s">
        <v>12816</v>
      </c>
      <c r="D5180" s="140" t="s">
        <v>6309</v>
      </c>
      <c r="E5180" s="140" t="s">
        <v>6310</v>
      </c>
      <c r="F5180" s="140" t="s">
        <v>8978</v>
      </c>
      <c r="G5180" s="141" t="s">
        <v>6311</v>
      </c>
      <c r="H5180" s="140" t="s">
        <v>6312</v>
      </c>
      <c r="I5180" s="140" t="s">
        <v>6313</v>
      </c>
      <c r="J5180" s="140" t="s">
        <v>6314</v>
      </c>
      <c r="K5180" s="140" t="s">
        <v>8979</v>
      </c>
    </row>
    <row r="5181">
      <c r="A5181" s="140" t="s">
        <v>12809</v>
      </c>
      <c r="B5181" s="140">
        <v>2.12055012E8</v>
      </c>
      <c r="C5181" s="140" t="s">
        <v>12817</v>
      </c>
      <c r="D5181" s="140" t="s">
        <v>6309</v>
      </c>
      <c r="E5181" s="140" t="s">
        <v>6310</v>
      </c>
      <c r="F5181" s="140" t="s">
        <v>8978</v>
      </c>
      <c r="G5181" s="141" t="s">
        <v>6311</v>
      </c>
      <c r="H5181" s="140" t="s">
        <v>6312</v>
      </c>
      <c r="I5181" s="140" t="s">
        <v>6313</v>
      </c>
      <c r="J5181" s="140" t="s">
        <v>6314</v>
      </c>
      <c r="K5181" s="140" t="s">
        <v>8979</v>
      </c>
    </row>
    <row r="5182">
      <c r="A5182" s="140" t="s">
        <v>12809</v>
      </c>
      <c r="B5182" s="140">
        <v>2.12051031E8</v>
      </c>
      <c r="C5182" s="140" t="s">
        <v>12818</v>
      </c>
      <c r="D5182" s="140" t="s">
        <v>6309</v>
      </c>
      <c r="E5182" s="140" t="s">
        <v>6310</v>
      </c>
      <c r="F5182" s="140" t="s">
        <v>8978</v>
      </c>
      <c r="G5182" s="141" t="s">
        <v>6311</v>
      </c>
      <c r="H5182" s="140" t="s">
        <v>6312</v>
      </c>
      <c r="I5182" s="140" t="s">
        <v>6313</v>
      </c>
      <c r="J5182" s="140" t="s">
        <v>6314</v>
      </c>
      <c r="K5182" s="140" t="s">
        <v>8979</v>
      </c>
    </row>
    <row r="5183">
      <c r="A5183" s="140" t="s">
        <v>12809</v>
      </c>
      <c r="B5183" s="140">
        <v>2.12055008E8</v>
      </c>
      <c r="C5183" s="140" t="s">
        <v>12819</v>
      </c>
      <c r="D5183" s="140" t="s">
        <v>6309</v>
      </c>
      <c r="E5183" s="140" t="s">
        <v>6310</v>
      </c>
      <c r="F5183" s="140" t="s">
        <v>8978</v>
      </c>
      <c r="G5183" s="141" t="s">
        <v>6311</v>
      </c>
      <c r="H5183" s="140" t="s">
        <v>6312</v>
      </c>
      <c r="I5183" s="140" t="s">
        <v>6313</v>
      </c>
      <c r="J5183" s="140" t="s">
        <v>6314</v>
      </c>
      <c r="K5183" s="140" t="s">
        <v>8979</v>
      </c>
    </row>
    <row r="5184">
      <c r="A5184" s="140" t="s">
        <v>12809</v>
      </c>
      <c r="B5184" s="140">
        <v>2.12053178E8</v>
      </c>
      <c r="C5184" s="140" t="s">
        <v>12820</v>
      </c>
      <c r="D5184" s="140" t="s">
        <v>6309</v>
      </c>
      <c r="E5184" s="140" t="s">
        <v>6310</v>
      </c>
      <c r="F5184" s="140" t="s">
        <v>8978</v>
      </c>
      <c r="G5184" s="141" t="s">
        <v>6311</v>
      </c>
      <c r="H5184" s="140" t="s">
        <v>6312</v>
      </c>
      <c r="I5184" s="140" t="s">
        <v>6313</v>
      </c>
      <c r="J5184" s="140" t="s">
        <v>6314</v>
      </c>
      <c r="K5184" s="140" t="s">
        <v>8979</v>
      </c>
    </row>
    <row r="5185">
      <c r="A5185" s="140" t="s">
        <v>12809</v>
      </c>
      <c r="B5185" s="140">
        <v>2.12053166E8</v>
      </c>
      <c r="C5185" s="140" t="s">
        <v>12821</v>
      </c>
      <c r="D5185" s="140" t="s">
        <v>6309</v>
      </c>
      <c r="E5185" s="140" t="s">
        <v>6310</v>
      </c>
      <c r="F5185" s="140" t="s">
        <v>8978</v>
      </c>
      <c r="G5185" s="141" t="s">
        <v>6311</v>
      </c>
      <c r="H5185" s="140" t="s">
        <v>6312</v>
      </c>
      <c r="I5185" s="140" t="s">
        <v>6313</v>
      </c>
      <c r="J5185" s="140" t="s">
        <v>6314</v>
      </c>
      <c r="K5185" s="140" t="s">
        <v>8979</v>
      </c>
    </row>
    <row r="5186">
      <c r="A5186" s="140" t="s">
        <v>12809</v>
      </c>
      <c r="B5186" s="140">
        <v>2.12054211E8</v>
      </c>
      <c r="C5186" s="140" t="s">
        <v>12822</v>
      </c>
      <c r="D5186" s="140" t="s">
        <v>6309</v>
      </c>
      <c r="E5186" s="140" t="s">
        <v>6310</v>
      </c>
      <c r="F5186" s="140" t="s">
        <v>8978</v>
      </c>
      <c r="G5186" s="141" t="s">
        <v>6311</v>
      </c>
      <c r="H5186" s="140" t="s">
        <v>6312</v>
      </c>
      <c r="I5186" s="140" t="s">
        <v>6313</v>
      </c>
      <c r="J5186" s="140" t="s">
        <v>6314</v>
      </c>
      <c r="K5186" s="140" t="s">
        <v>8979</v>
      </c>
    </row>
    <row r="5187">
      <c r="A5187" s="140" t="s">
        <v>12809</v>
      </c>
      <c r="B5187" s="140">
        <v>2.12054035E8</v>
      </c>
      <c r="C5187" s="140" t="s">
        <v>12823</v>
      </c>
      <c r="D5187" s="140" t="s">
        <v>6309</v>
      </c>
      <c r="E5187" s="140" t="s">
        <v>6310</v>
      </c>
      <c r="F5187" s="140" t="s">
        <v>8978</v>
      </c>
      <c r="G5187" s="141" t="s">
        <v>6311</v>
      </c>
      <c r="H5187" s="140" t="s">
        <v>6312</v>
      </c>
      <c r="I5187" s="140" t="s">
        <v>6313</v>
      </c>
      <c r="J5187" s="140" t="s">
        <v>6314</v>
      </c>
      <c r="K5187" s="140" t="s">
        <v>8979</v>
      </c>
    </row>
    <row r="5188">
      <c r="A5188" s="140" t="s">
        <v>12809</v>
      </c>
      <c r="B5188" s="140">
        <v>2.12052021E8</v>
      </c>
      <c r="C5188" s="140" t="s">
        <v>12824</v>
      </c>
      <c r="D5188" s="140" t="s">
        <v>6309</v>
      </c>
      <c r="E5188" s="140" t="s">
        <v>6310</v>
      </c>
      <c r="F5188" s="140" t="s">
        <v>8978</v>
      </c>
      <c r="G5188" s="141" t="s">
        <v>6311</v>
      </c>
      <c r="H5188" s="140" t="s">
        <v>6312</v>
      </c>
      <c r="I5188" s="140" t="s">
        <v>6313</v>
      </c>
      <c r="J5188" s="140" t="s">
        <v>6314</v>
      </c>
      <c r="K5188" s="140" t="s">
        <v>8979</v>
      </c>
    </row>
    <row r="5189">
      <c r="A5189" s="140" t="s">
        <v>12809</v>
      </c>
      <c r="B5189" s="140">
        <v>2.12052013E8</v>
      </c>
      <c r="C5189" s="140" t="s">
        <v>12825</v>
      </c>
      <c r="D5189" s="140" t="s">
        <v>6309</v>
      </c>
      <c r="E5189" s="140" t="s">
        <v>6310</v>
      </c>
      <c r="F5189" s="140" t="s">
        <v>8978</v>
      </c>
      <c r="G5189" s="141" t="s">
        <v>6311</v>
      </c>
      <c r="H5189" s="140" t="s">
        <v>6312</v>
      </c>
      <c r="I5189" s="140" t="s">
        <v>6313</v>
      </c>
      <c r="J5189" s="140" t="s">
        <v>6314</v>
      </c>
      <c r="K5189" s="140" t="s">
        <v>8979</v>
      </c>
    </row>
    <row r="5190">
      <c r="A5190" s="140" t="s">
        <v>12809</v>
      </c>
      <c r="B5190" s="140">
        <v>2.12053172E8</v>
      </c>
      <c r="C5190" s="140" t="s">
        <v>12826</v>
      </c>
      <c r="D5190" s="140" t="s">
        <v>6309</v>
      </c>
      <c r="E5190" s="140" t="s">
        <v>6310</v>
      </c>
      <c r="F5190" s="140" t="s">
        <v>8978</v>
      </c>
      <c r="G5190" s="141" t="s">
        <v>6311</v>
      </c>
      <c r="H5190" s="140" t="s">
        <v>6312</v>
      </c>
      <c r="I5190" s="140" t="s">
        <v>6313</v>
      </c>
      <c r="J5190" s="140" t="s">
        <v>6314</v>
      </c>
      <c r="K5190" s="140" t="s">
        <v>8979</v>
      </c>
    </row>
    <row r="5191">
      <c r="A5191" s="140" t="s">
        <v>12809</v>
      </c>
      <c r="B5191" s="140">
        <v>2.12057288E8</v>
      </c>
      <c r="C5191" s="140" t="s">
        <v>12827</v>
      </c>
      <c r="D5191" s="140" t="s">
        <v>6309</v>
      </c>
      <c r="E5191" s="140" t="s">
        <v>6310</v>
      </c>
      <c r="F5191" s="140" t="s">
        <v>8978</v>
      </c>
      <c r="G5191" s="141" t="s">
        <v>6311</v>
      </c>
      <c r="H5191" s="140" t="s">
        <v>6312</v>
      </c>
      <c r="I5191" s="140" t="s">
        <v>6313</v>
      </c>
      <c r="J5191" s="140" t="s">
        <v>6314</v>
      </c>
      <c r="K5191" s="140" t="s">
        <v>8979</v>
      </c>
    </row>
    <row r="5192">
      <c r="A5192" s="140" t="s">
        <v>12828</v>
      </c>
      <c r="B5192" s="140" t="s">
        <v>12829</v>
      </c>
      <c r="C5192" s="140" t="s">
        <v>12830</v>
      </c>
      <c r="D5192" s="140" t="s">
        <v>7347</v>
      </c>
      <c r="E5192" s="140" t="s">
        <v>513</v>
      </c>
      <c r="F5192" s="140" t="s">
        <v>514</v>
      </c>
      <c r="G5192" s="141" t="s">
        <v>6401</v>
      </c>
      <c r="H5192" s="140" t="s">
        <v>6312</v>
      </c>
      <c r="I5192" s="140" t="s">
        <v>6313</v>
      </c>
      <c r="J5192" s="140" t="s">
        <v>6314</v>
      </c>
      <c r="K5192" s="140" t="s">
        <v>12831</v>
      </c>
    </row>
    <row r="5193">
      <c r="A5193" s="140" t="s">
        <v>12828</v>
      </c>
      <c r="B5193" s="140" t="s">
        <v>12832</v>
      </c>
      <c r="C5193" s="140" t="s">
        <v>12833</v>
      </c>
      <c r="D5193" s="140" t="s">
        <v>6601</v>
      </c>
      <c r="E5193" s="140" t="s">
        <v>526</v>
      </c>
      <c r="F5193" s="140" t="s">
        <v>175</v>
      </c>
      <c r="G5193" s="141" t="s">
        <v>6401</v>
      </c>
      <c r="H5193" s="140" t="s">
        <v>6312</v>
      </c>
      <c r="I5193" s="140" t="s">
        <v>6313</v>
      </c>
      <c r="J5193" s="140" t="s">
        <v>6314</v>
      </c>
      <c r="K5193" s="140" t="s">
        <v>12831</v>
      </c>
    </row>
    <row r="5194">
      <c r="A5194" s="140" t="s">
        <v>12828</v>
      </c>
      <c r="B5194" s="140" t="s">
        <v>12834</v>
      </c>
      <c r="C5194" s="140" t="s">
        <v>12835</v>
      </c>
      <c r="D5194" s="140" t="s">
        <v>7347</v>
      </c>
      <c r="E5194" s="140" t="s">
        <v>526</v>
      </c>
      <c r="F5194" s="140" t="s">
        <v>12836</v>
      </c>
      <c r="G5194" s="141" t="s">
        <v>6401</v>
      </c>
      <c r="H5194" s="140" t="s">
        <v>6312</v>
      </c>
      <c r="I5194" s="140" t="s">
        <v>6313</v>
      </c>
      <c r="J5194" s="140" t="s">
        <v>6314</v>
      </c>
      <c r="K5194" s="140" t="s">
        <v>12831</v>
      </c>
    </row>
    <row r="5195">
      <c r="A5195" s="140" t="s">
        <v>12828</v>
      </c>
      <c r="B5195" s="140" t="s">
        <v>12837</v>
      </c>
      <c r="C5195" s="140" t="s">
        <v>12838</v>
      </c>
      <c r="D5195" s="140" t="s">
        <v>6601</v>
      </c>
      <c r="E5195" s="140" t="s">
        <v>526</v>
      </c>
      <c r="F5195" s="140" t="s">
        <v>591</v>
      </c>
      <c r="G5195" s="141" t="s">
        <v>6401</v>
      </c>
      <c r="H5195" s="140" t="s">
        <v>6312</v>
      </c>
      <c r="I5195" s="140" t="s">
        <v>6313</v>
      </c>
      <c r="J5195" s="140" t="s">
        <v>6314</v>
      </c>
      <c r="K5195" s="140" t="s">
        <v>12831</v>
      </c>
    </row>
    <row r="5196">
      <c r="A5196" s="140" t="s">
        <v>12839</v>
      </c>
      <c r="B5196" s="143">
        <v>2.014E12</v>
      </c>
      <c r="C5196" s="140" t="s">
        <v>12840</v>
      </c>
      <c r="D5196" s="140" t="s">
        <v>9064</v>
      </c>
      <c r="E5196" s="140" t="s">
        <v>1438</v>
      </c>
      <c r="F5196" s="140" t="s">
        <v>1439</v>
      </c>
      <c r="G5196" s="141" t="s">
        <v>6664</v>
      </c>
      <c r="H5196" s="140" t="s">
        <v>6312</v>
      </c>
      <c r="I5196" s="140" t="s">
        <v>6313</v>
      </c>
      <c r="J5196" s="140" t="s">
        <v>6314</v>
      </c>
      <c r="K5196" s="140" t="s">
        <v>12839</v>
      </c>
    </row>
    <row r="5197">
      <c r="A5197" s="140" t="s">
        <v>12839</v>
      </c>
      <c r="B5197" s="143">
        <v>2.014E12</v>
      </c>
      <c r="C5197" s="140" t="s">
        <v>12841</v>
      </c>
      <c r="D5197" s="140" t="s">
        <v>9064</v>
      </c>
      <c r="E5197" s="140" t="s">
        <v>1438</v>
      </c>
      <c r="F5197" s="140" t="s">
        <v>1439</v>
      </c>
      <c r="G5197" s="141" t="s">
        <v>6664</v>
      </c>
      <c r="H5197" s="140" t="s">
        <v>6312</v>
      </c>
      <c r="I5197" s="140" t="s">
        <v>6313</v>
      </c>
      <c r="J5197" s="140" t="s">
        <v>6314</v>
      </c>
      <c r="K5197" s="140" t="s">
        <v>12839</v>
      </c>
    </row>
    <row r="5198">
      <c r="A5198" s="140" t="s">
        <v>12839</v>
      </c>
      <c r="B5198" s="140">
        <v>9.500021503E9</v>
      </c>
      <c r="C5198" s="140" t="s">
        <v>12842</v>
      </c>
      <c r="D5198" s="140" t="s">
        <v>7996</v>
      </c>
      <c r="E5198" s="140" t="s">
        <v>7997</v>
      </c>
      <c r="F5198" s="140" t="s">
        <v>12843</v>
      </c>
      <c r="G5198" s="141" t="s">
        <v>6401</v>
      </c>
      <c r="H5198" s="140" t="s">
        <v>6312</v>
      </c>
      <c r="I5198" s="140" t="s">
        <v>6313</v>
      </c>
      <c r="J5198" s="140" t="s">
        <v>6314</v>
      </c>
      <c r="K5198" s="140" t="s">
        <v>12839</v>
      </c>
    </row>
    <row r="5199">
      <c r="A5199" s="140" t="s">
        <v>12839</v>
      </c>
      <c r="B5199" s="140" t="s">
        <v>5427</v>
      </c>
      <c r="C5199" s="140" t="s">
        <v>12844</v>
      </c>
      <c r="D5199" s="140" t="s">
        <v>7996</v>
      </c>
      <c r="E5199" s="140" t="s">
        <v>7997</v>
      </c>
      <c r="F5199" s="140" t="s">
        <v>12843</v>
      </c>
      <c r="G5199" s="141" t="s">
        <v>6401</v>
      </c>
      <c r="H5199" s="140" t="s">
        <v>6312</v>
      </c>
      <c r="I5199" s="140" t="s">
        <v>6313</v>
      </c>
      <c r="J5199" s="140" t="s">
        <v>6314</v>
      </c>
      <c r="K5199" s="140" t="s">
        <v>12839</v>
      </c>
    </row>
    <row r="5200">
      <c r="A5200" s="140" t="s">
        <v>12839</v>
      </c>
      <c r="B5200" s="143">
        <v>1.8E11</v>
      </c>
      <c r="C5200" s="140" t="s">
        <v>12845</v>
      </c>
      <c r="D5200" s="140" t="s">
        <v>7996</v>
      </c>
      <c r="E5200" s="140" t="s">
        <v>7997</v>
      </c>
      <c r="F5200" s="140" t="s">
        <v>7998</v>
      </c>
      <c r="G5200" s="141" t="s">
        <v>6401</v>
      </c>
      <c r="H5200" s="140" t="s">
        <v>6312</v>
      </c>
      <c r="I5200" s="140" t="s">
        <v>6313</v>
      </c>
      <c r="J5200" s="140" t="s">
        <v>6314</v>
      </c>
      <c r="K5200" s="140" t="s">
        <v>12839</v>
      </c>
    </row>
    <row r="5201">
      <c r="A5201" s="140" t="s">
        <v>12839</v>
      </c>
      <c r="B5201" s="140" t="s">
        <v>5687</v>
      </c>
      <c r="C5201" s="140" t="s">
        <v>12846</v>
      </c>
      <c r="D5201" s="140" t="s">
        <v>7996</v>
      </c>
      <c r="E5201" s="140" t="s">
        <v>7997</v>
      </c>
      <c r="F5201" s="140" t="s">
        <v>7998</v>
      </c>
      <c r="G5201" s="141" t="s">
        <v>6401</v>
      </c>
      <c r="H5201" s="140" t="s">
        <v>6312</v>
      </c>
      <c r="I5201" s="140" t="s">
        <v>6313</v>
      </c>
      <c r="J5201" s="140" t="s">
        <v>6314</v>
      </c>
      <c r="K5201" s="140" t="s">
        <v>12839</v>
      </c>
    </row>
    <row r="5202">
      <c r="A5202" s="140" t="s">
        <v>12839</v>
      </c>
      <c r="B5202" s="140" t="s">
        <v>5265</v>
      </c>
      <c r="C5202" s="140" t="s">
        <v>12847</v>
      </c>
      <c r="D5202" s="140" t="s">
        <v>7996</v>
      </c>
      <c r="E5202" s="140" t="s">
        <v>7997</v>
      </c>
      <c r="F5202" s="140" t="s">
        <v>7998</v>
      </c>
      <c r="G5202" s="141" t="s">
        <v>6401</v>
      </c>
      <c r="H5202" s="140" t="s">
        <v>6312</v>
      </c>
      <c r="I5202" s="140" t="s">
        <v>6313</v>
      </c>
      <c r="J5202" s="140" t="s">
        <v>6314</v>
      </c>
      <c r="K5202" s="140" t="s">
        <v>12839</v>
      </c>
    </row>
    <row r="5203">
      <c r="A5203" s="140" t="s">
        <v>12839</v>
      </c>
      <c r="B5203" s="140" t="s">
        <v>5263</v>
      </c>
      <c r="C5203" s="140" t="s">
        <v>12848</v>
      </c>
      <c r="D5203" s="140" t="s">
        <v>7996</v>
      </c>
      <c r="E5203" s="140" t="s">
        <v>7997</v>
      </c>
      <c r="F5203" s="140" t="s">
        <v>7998</v>
      </c>
      <c r="G5203" s="141" t="s">
        <v>6401</v>
      </c>
      <c r="H5203" s="140" t="s">
        <v>6312</v>
      </c>
      <c r="I5203" s="140" t="s">
        <v>6313</v>
      </c>
      <c r="J5203" s="140" t="s">
        <v>6314</v>
      </c>
      <c r="K5203" s="140" t="s">
        <v>12839</v>
      </c>
    </row>
    <row r="5204">
      <c r="A5204" s="140" t="s">
        <v>12839</v>
      </c>
      <c r="B5204" s="140">
        <v>2.0000208084E10</v>
      </c>
      <c r="C5204" s="140" t="s">
        <v>12849</v>
      </c>
      <c r="D5204" s="140" t="s">
        <v>7996</v>
      </c>
      <c r="E5204" s="140" t="s">
        <v>7997</v>
      </c>
      <c r="F5204" s="140" t="s">
        <v>12850</v>
      </c>
      <c r="G5204" s="141" t="s">
        <v>6401</v>
      </c>
      <c r="H5204" s="140" t="s">
        <v>6312</v>
      </c>
      <c r="I5204" s="140" t="s">
        <v>6313</v>
      </c>
      <c r="J5204" s="140" t="s">
        <v>6314</v>
      </c>
      <c r="K5204" s="140" t="s">
        <v>12839</v>
      </c>
    </row>
    <row r="5205">
      <c r="A5205" s="140" t="s">
        <v>12839</v>
      </c>
      <c r="B5205" s="140">
        <v>2.0000207087E10</v>
      </c>
      <c r="C5205" s="140" t="s">
        <v>12851</v>
      </c>
      <c r="D5205" s="140" t="s">
        <v>7996</v>
      </c>
      <c r="E5205" s="140" t="s">
        <v>7997</v>
      </c>
      <c r="F5205" s="140" t="s">
        <v>12850</v>
      </c>
      <c r="G5205" s="141" t="s">
        <v>6401</v>
      </c>
      <c r="H5205" s="140" t="s">
        <v>6312</v>
      </c>
      <c r="I5205" s="140" t="s">
        <v>6313</v>
      </c>
      <c r="J5205" s="140" t="s">
        <v>6314</v>
      </c>
      <c r="K5205" s="140" t="s">
        <v>12839</v>
      </c>
    </row>
    <row r="5206">
      <c r="A5206" s="140" t="s">
        <v>12839</v>
      </c>
      <c r="B5206" s="140">
        <v>2.0000209081E10</v>
      </c>
      <c r="C5206" s="140" t="s">
        <v>12852</v>
      </c>
      <c r="D5206" s="140" t="s">
        <v>7996</v>
      </c>
      <c r="E5206" s="140" t="s">
        <v>7997</v>
      </c>
      <c r="F5206" s="140" t="s">
        <v>12850</v>
      </c>
      <c r="G5206" s="141" t="s">
        <v>6401</v>
      </c>
      <c r="H5206" s="140" t="s">
        <v>6312</v>
      </c>
      <c r="I5206" s="140" t="s">
        <v>6313</v>
      </c>
      <c r="J5206" s="140" t="s">
        <v>6314</v>
      </c>
      <c r="K5206" s="140" t="s">
        <v>12839</v>
      </c>
    </row>
    <row r="5207">
      <c r="A5207" s="140" t="s">
        <v>12839</v>
      </c>
      <c r="B5207" s="140">
        <v>2.0000808024E10</v>
      </c>
      <c r="C5207" s="140" t="s">
        <v>12853</v>
      </c>
      <c r="D5207" s="140" t="s">
        <v>7996</v>
      </c>
      <c r="E5207" s="140" t="s">
        <v>7997</v>
      </c>
      <c r="F5207" s="140" t="s">
        <v>12850</v>
      </c>
      <c r="G5207" s="141" t="s">
        <v>6401</v>
      </c>
      <c r="H5207" s="140" t="s">
        <v>6312</v>
      </c>
      <c r="I5207" s="140" t="s">
        <v>6313</v>
      </c>
      <c r="J5207" s="140" t="s">
        <v>6314</v>
      </c>
      <c r="K5207" s="140" t="s">
        <v>12839</v>
      </c>
    </row>
    <row r="5208">
      <c r="A5208" s="140" t="s">
        <v>12839</v>
      </c>
      <c r="B5208" s="140">
        <v>2.000080821E10</v>
      </c>
      <c r="C5208" s="140" t="s">
        <v>12854</v>
      </c>
      <c r="D5208" s="140" t="s">
        <v>7996</v>
      </c>
      <c r="E5208" s="140" t="s">
        <v>7997</v>
      </c>
      <c r="F5208" s="140" t="s">
        <v>12850</v>
      </c>
      <c r="G5208" s="141" t="s">
        <v>6401</v>
      </c>
      <c r="H5208" s="140" t="s">
        <v>6312</v>
      </c>
      <c r="I5208" s="140" t="s">
        <v>6313</v>
      </c>
      <c r="J5208" s="140" t="s">
        <v>6314</v>
      </c>
      <c r="K5208" s="140" t="s">
        <v>12839</v>
      </c>
    </row>
    <row r="5209">
      <c r="A5209" s="140" t="s">
        <v>12839</v>
      </c>
      <c r="B5209" s="140">
        <v>2.000080809E10</v>
      </c>
      <c r="C5209" s="140" t="s">
        <v>12855</v>
      </c>
      <c r="D5209" s="140" t="s">
        <v>7996</v>
      </c>
      <c r="E5209" s="140" t="s">
        <v>7997</v>
      </c>
      <c r="F5209" s="140" t="s">
        <v>12850</v>
      </c>
      <c r="G5209" s="141" t="s">
        <v>6401</v>
      </c>
      <c r="H5209" s="140" t="s">
        <v>6312</v>
      </c>
      <c r="I5209" s="140" t="s">
        <v>6313</v>
      </c>
      <c r="J5209" s="140" t="s">
        <v>6314</v>
      </c>
      <c r="K5209" s="140" t="s">
        <v>12839</v>
      </c>
    </row>
    <row r="5210">
      <c r="A5210" s="140" t="s">
        <v>12839</v>
      </c>
      <c r="B5210" s="140">
        <v>2.0000807027E10</v>
      </c>
      <c r="C5210" s="140" t="s">
        <v>12856</v>
      </c>
      <c r="D5210" s="140" t="s">
        <v>7996</v>
      </c>
      <c r="E5210" s="140" t="s">
        <v>7997</v>
      </c>
      <c r="F5210" s="140" t="s">
        <v>12850</v>
      </c>
      <c r="G5210" s="141" t="s">
        <v>6401</v>
      </c>
      <c r="H5210" s="140" t="s">
        <v>6312</v>
      </c>
      <c r="I5210" s="140" t="s">
        <v>6313</v>
      </c>
      <c r="J5210" s="140" t="s">
        <v>6314</v>
      </c>
      <c r="K5210" s="140" t="s">
        <v>12839</v>
      </c>
    </row>
    <row r="5211">
      <c r="A5211" s="140" t="s">
        <v>12839</v>
      </c>
      <c r="B5211" s="140">
        <v>2.000080721E10</v>
      </c>
      <c r="C5211" s="140" t="s">
        <v>12857</v>
      </c>
      <c r="D5211" s="140" t="s">
        <v>7996</v>
      </c>
      <c r="E5211" s="140" t="s">
        <v>7997</v>
      </c>
      <c r="F5211" s="140" t="s">
        <v>12850</v>
      </c>
      <c r="G5211" s="141" t="s">
        <v>6401</v>
      </c>
      <c r="H5211" s="140" t="s">
        <v>6312</v>
      </c>
      <c r="I5211" s="140" t="s">
        <v>6313</v>
      </c>
      <c r="J5211" s="140" t="s">
        <v>6314</v>
      </c>
      <c r="K5211" s="140" t="s">
        <v>12839</v>
      </c>
    </row>
    <row r="5212">
      <c r="A5212" s="140" t="s">
        <v>12839</v>
      </c>
      <c r="B5212" s="140">
        <v>2.000080709E10</v>
      </c>
      <c r="C5212" s="140" t="s">
        <v>12858</v>
      </c>
      <c r="D5212" s="140" t="s">
        <v>7996</v>
      </c>
      <c r="E5212" s="140" t="s">
        <v>7997</v>
      </c>
      <c r="F5212" s="140" t="s">
        <v>12850</v>
      </c>
      <c r="G5212" s="141" t="s">
        <v>6401</v>
      </c>
      <c r="H5212" s="140" t="s">
        <v>6312</v>
      </c>
      <c r="I5212" s="140" t="s">
        <v>6313</v>
      </c>
      <c r="J5212" s="140" t="s">
        <v>6314</v>
      </c>
      <c r="K5212" s="140" t="s">
        <v>12839</v>
      </c>
    </row>
    <row r="5213">
      <c r="A5213" s="140" t="s">
        <v>12839</v>
      </c>
      <c r="B5213" s="140">
        <v>2.000080602E10</v>
      </c>
      <c r="C5213" s="140" t="s">
        <v>12859</v>
      </c>
      <c r="D5213" s="140" t="s">
        <v>7996</v>
      </c>
      <c r="E5213" s="140" t="s">
        <v>7997</v>
      </c>
      <c r="F5213" s="140" t="s">
        <v>12850</v>
      </c>
      <c r="G5213" s="141" t="s">
        <v>6401</v>
      </c>
      <c r="H5213" s="140" t="s">
        <v>6312</v>
      </c>
      <c r="I5213" s="140" t="s">
        <v>6313</v>
      </c>
      <c r="J5213" s="140" t="s">
        <v>6314</v>
      </c>
      <c r="K5213" s="140" t="s">
        <v>12839</v>
      </c>
    </row>
    <row r="5214">
      <c r="A5214" s="140" t="s">
        <v>12839</v>
      </c>
      <c r="B5214" s="140">
        <v>2.000080621E10</v>
      </c>
      <c r="C5214" s="140" t="s">
        <v>12860</v>
      </c>
      <c r="D5214" s="140" t="s">
        <v>7996</v>
      </c>
      <c r="E5214" s="140" t="s">
        <v>7997</v>
      </c>
      <c r="F5214" s="140" t="s">
        <v>12850</v>
      </c>
      <c r="G5214" s="141" t="s">
        <v>6401</v>
      </c>
      <c r="H5214" s="140" t="s">
        <v>6312</v>
      </c>
      <c r="I5214" s="140" t="s">
        <v>6313</v>
      </c>
      <c r="J5214" s="140" t="s">
        <v>6314</v>
      </c>
      <c r="K5214" s="140" t="s">
        <v>12839</v>
      </c>
    </row>
    <row r="5215">
      <c r="A5215" s="140" t="s">
        <v>12839</v>
      </c>
      <c r="B5215" s="140">
        <v>2.000080609E10</v>
      </c>
      <c r="C5215" s="140" t="s">
        <v>12861</v>
      </c>
      <c r="D5215" s="140" t="s">
        <v>7996</v>
      </c>
      <c r="E5215" s="140" t="s">
        <v>7997</v>
      </c>
      <c r="F5215" s="140" t="s">
        <v>12850</v>
      </c>
      <c r="G5215" s="141" t="s">
        <v>6401</v>
      </c>
      <c r="H5215" s="140" t="s">
        <v>6312</v>
      </c>
      <c r="I5215" s="140" t="s">
        <v>6313</v>
      </c>
      <c r="J5215" s="140" t="s">
        <v>6314</v>
      </c>
      <c r="K5215" s="140" t="s">
        <v>12839</v>
      </c>
    </row>
    <row r="5216">
      <c r="A5216" s="140" t="s">
        <v>12839</v>
      </c>
      <c r="B5216" s="140">
        <v>2.000080502E10</v>
      </c>
      <c r="C5216" s="140" t="s">
        <v>12862</v>
      </c>
      <c r="D5216" s="140" t="s">
        <v>7996</v>
      </c>
      <c r="E5216" s="140" t="s">
        <v>7997</v>
      </c>
      <c r="F5216" s="140" t="s">
        <v>12850</v>
      </c>
      <c r="G5216" s="141" t="s">
        <v>6401</v>
      </c>
      <c r="H5216" s="140" t="s">
        <v>6312</v>
      </c>
      <c r="I5216" s="140" t="s">
        <v>6313</v>
      </c>
      <c r="J5216" s="140" t="s">
        <v>6314</v>
      </c>
      <c r="K5216" s="140" t="s">
        <v>12839</v>
      </c>
    </row>
    <row r="5217">
      <c r="A5217" s="140" t="s">
        <v>12839</v>
      </c>
      <c r="B5217" s="140">
        <v>2.000080521E10</v>
      </c>
      <c r="C5217" s="140" t="s">
        <v>12863</v>
      </c>
      <c r="D5217" s="140" t="s">
        <v>7996</v>
      </c>
      <c r="E5217" s="140" t="s">
        <v>7997</v>
      </c>
      <c r="F5217" s="140" t="s">
        <v>12850</v>
      </c>
      <c r="G5217" s="141" t="s">
        <v>6401</v>
      </c>
      <c r="H5217" s="140" t="s">
        <v>6312</v>
      </c>
      <c r="I5217" s="140" t="s">
        <v>6313</v>
      </c>
      <c r="J5217" s="140" t="s">
        <v>6314</v>
      </c>
      <c r="K5217" s="140" t="s">
        <v>12839</v>
      </c>
    </row>
    <row r="5218">
      <c r="A5218" s="140" t="s">
        <v>12839</v>
      </c>
      <c r="B5218" s="140">
        <v>2.000080509E10</v>
      </c>
      <c r="C5218" s="140" t="s">
        <v>12864</v>
      </c>
      <c r="D5218" s="140" t="s">
        <v>7996</v>
      </c>
      <c r="E5218" s="140" t="s">
        <v>7997</v>
      </c>
      <c r="F5218" s="140" t="s">
        <v>12850</v>
      </c>
      <c r="G5218" s="141" t="s">
        <v>6401</v>
      </c>
      <c r="H5218" s="140" t="s">
        <v>6312</v>
      </c>
      <c r="I5218" s="140" t="s">
        <v>6313</v>
      </c>
      <c r="J5218" s="140" t="s">
        <v>6314</v>
      </c>
      <c r="K5218" s="140" t="s">
        <v>12839</v>
      </c>
    </row>
    <row r="5219">
      <c r="A5219" s="140" t="s">
        <v>12839</v>
      </c>
      <c r="B5219" s="140">
        <v>2.000110821E9</v>
      </c>
      <c r="C5219" s="140" t="s">
        <v>12865</v>
      </c>
      <c r="D5219" s="140" t="s">
        <v>7996</v>
      </c>
      <c r="E5219" s="140" t="s">
        <v>7997</v>
      </c>
      <c r="F5219" s="140" t="s">
        <v>12850</v>
      </c>
      <c r="G5219" s="141" t="s">
        <v>6401</v>
      </c>
      <c r="H5219" s="140" t="s">
        <v>6312</v>
      </c>
      <c r="I5219" s="140" t="s">
        <v>6313</v>
      </c>
      <c r="J5219" s="140" t="s">
        <v>6314</v>
      </c>
      <c r="K5219" s="140" t="s">
        <v>12839</v>
      </c>
    </row>
    <row r="5220">
      <c r="A5220" s="140" t="s">
        <v>12839</v>
      </c>
      <c r="B5220" s="140">
        <v>2.000110807E9</v>
      </c>
      <c r="C5220" s="140" t="s">
        <v>12866</v>
      </c>
      <c r="D5220" s="140" t="s">
        <v>7996</v>
      </c>
      <c r="E5220" s="140" t="s">
        <v>7997</v>
      </c>
      <c r="F5220" s="140" t="s">
        <v>12850</v>
      </c>
      <c r="G5220" s="141" t="s">
        <v>6401</v>
      </c>
      <c r="H5220" s="140" t="s">
        <v>6312</v>
      </c>
      <c r="I5220" s="140" t="s">
        <v>6313</v>
      </c>
      <c r="J5220" s="140" t="s">
        <v>6314</v>
      </c>
      <c r="K5220" s="140" t="s">
        <v>12839</v>
      </c>
    </row>
    <row r="5221">
      <c r="A5221" s="140" t="s">
        <v>12839</v>
      </c>
      <c r="B5221" s="140">
        <v>2.00011081E9</v>
      </c>
      <c r="C5221" s="140" t="s">
        <v>12867</v>
      </c>
      <c r="D5221" s="140" t="s">
        <v>7996</v>
      </c>
      <c r="E5221" s="140" t="s">
        <v>7997</v>
      </c>
      <c r="F5221" s="140" t="s">
        <v>12850</v>
      </c>
      <c r="G5221" s="141" t="s">
        <v>6401</v>
      </c>
      <c r="H5221" s="140" t="s">
        <v>6312</v>
      </c>
      <c r="I5221" s="140" t="s">
        <v>6313</v>
      </c>
      <c r="J5221" s="140" t="s">
        <v>6314</v>
      </c>
      <c r="K5221" s="140" t="s">
        <v>12839</v>
      </c>
    </row>
    <row r="5222">
      <c r="A5222" s="140" t="s">
        <v>12839</v>
      </c>
      <c r="B5222" s="140">
        <v>2.000110721E9</v>
      </c>
      <c r="C5222" s="140" t="s">
        <v>12868</v>
      </c>
      <c r="D5222" s="140" t="s">
        <v>7996</v>
      </c>
      <c r="E5222" s="140" t="s">
        <v>7997</v>
      </c>
      <c r="F5222" s="140" t="s">
        <v>12850</v>
      </c>
      <c r="G5222" s="141" t="s">
        <v>6401</v>
      </c>
      <c r="H5222" s="140" t="s">
        <v>6312</v>
      </c>
      <c r="I5222" s="140" t="s">
        <v>6313</v>
      </c>
      <c r="J5222" s="140" t="s">
        <v>6314</v>
      </c>
      <c r="K5222" s="140" t="s">
        <v>12839</v>
      </c>
    </row>
    <row r="5223">
      <c r="A5223" s="140" t="s">
        <v>12839</v>
      </c>
      <c r="B5223" s="140">
        <v>2.000110707E9</v>
      </c>
      <c r="C5223" s="140" t="s">
        <v>12869</v>
      </c>
      <c r="D5223" s="140" t="s">
        <v>7996</v>
      </c>
      <c r="E5223" s="140" t="s">
        <v>7997</v>
      </c>
      <c r="F5223" s="140" t="s">
        <v>12850</v>
      </c>
      <c r="G5223" s="141" t="s">
        <v>6401</v>
      </c>
      <c r="H5223" s="140" t="s">
        <v>6312</v>
      </c>
      <c r="I5223" s="140" t="s">
        <v>6313</v>
      </c>
      <c r="J5223" s="140" t="s">
        <v>6314</v>
      </c>
      <c r="K5223" s="140" t="s">
        <v>12839</v>
      </c>
    </row>
    <row r="5224">
      <c r="A5224" s="140" t="s">
        <v>12839</v>
      </c>
      <c r="B5224" s="140">
        <v>2.00011071E9</v>
      </c>
      <c r="C5224" s="140" t="s">
        <v>12870</v>
      </c>
      <c r="D5224" s="140" t="s">
        <v>7996</v>
      </c>
      <c r="E5224" s="140" t="s">
        <v>7997</v>
      </c>
      <c r="F5224" s="140" t="s">
        <v>12850</v>
      </c>
      <c r="G5224" s="141" t="s">
        <v>6401</v>
      </c>
      <c r="H5224" s="140" t="s">
        <v>6312</v>
      </c>
      <c r="I5224" s="140" t="s">
        <v>6313</v>
      </c>
      <c r="J5224" s="140" t="s">
        <v>6314</v>
      </c>
      <c r="K5224" s="140" t="s">
        <v>12839</v>
      </c>
    </row>
    <row r="5225">
      <c r="A5225" s="140" t="s">
        <v>12839</v>
      </c>
      <c r="B5225" s="140">
        <v>2.000110621E9</v>
      </c>
      <c r="C5225" s="140" t="s">
        <v>12871</v>
      </c>
      <c r="D5225" s="140" t="s">
        <v>7996</v>
      </c>
      <c r="E5225" s="140" t="s">
        <v>7997</v>
      </c>
      <c r="F5225" s="140" t="s">
        <v>12850</v>
      </c>
      <c r="G5225" s="141" t="s">
        <v>6401</v>
      </c>
      <c r="H5225" s="140" t="s">
        <v>6312</v>
      </c>
      <c r="I5225" s="140" t="s">
        <v>6313</v>
      </c>
      <c r="J5225" s="140" t="s">
        <v>6314</v>
      </c>
      <c r="K5225" s="140" t="s">
        <v>12839</v>
      </c>
    </row>
    <row r="5226">
      <c r="A5226" s="140" t="s">
        <v>12839</v>
      </c>
      <c r="B5226" s="140">
        <v>2.000110607E9</v>
      </c>
      <c r="C5226" s="140" t="s">
        <v>12872</v>
      </c>
      <c r="D5226" s="140" t="s">
        <v>7996</v>
      </c>
      <c r="E5226" s="140" t="s">
        <v>7997</v>
      </c>
      <c r="F5226" s="140" t="s">
        <v>12850</v>
      </c>
      <c r="G5226" s="141" t="s">
        <v>6401</v>
      </c>
      <c r="H5226" s="140" t="s">
        <v>6312</v>
      </c>
      <c r="I5226" s="140" t="s">
        <v>6313</v>
      </c>
      <c r="J5226" s="140" t="s">
        <v>6314</v>
      </c>
      <c r="K5226" s="140" t="s">
        <v>12839</v>
      </c>
    </row>
    <row r="5227">
      <c r="A5227" s="140" t="s">
        <v>12839</v>
      </c>
      <c r="B5227" s="140">
        <v>2.00011061E9</v>
      </c>
      <c r="C5227" s="140" t="s">
        <v>12873</v>
      </c>
      <c r="D5227" s="140" t="s">
        <v>7996</v>
      </c>
      <c r="E5227" s="140" t="s">
        <v>7997</v>
      </c>
      <c r="F5227" s="140" t="s">
        <v>12850</v>
      </c>
      <c r="G5227" s="141" t="s">
        <v>6401</v>
      </c>
      <c r="H5227" s="140" t="s">
        <v>6312</v>
      </c>
      <c r="I5227" s="140" t="s">
        <v>6313</v>
      </c>
      <c r="J5227" s="140" t="s">
        <v>6314</v>
      </c>
      <c r="K5227" s="140" t="s">
        <v>12839</v>
      </c>
    </row>
    <row r="5228">
      <c r="A5228" s="140" t="s">
        <v>12839</v>
      </c>
      <c r="B5228" s="140">
        <v>2.000110921E9</v>
      </c>
      <c r="C5228" s="140" t="s">
        <v>12874</v>
      </c>
      <c r="D5228" s="140" t="s">
        <v>7996</v>
      </c>
      <c r="E5228" s="140" t="s">
        <v>7997</v>
      </c>
      <c r="F5228" s="140" t="s">
        <v>12850</v>
      </c>
      <c r="G5228" s="141" t="s">
        <v>6401</v>
      </c>
      <c r="H5228" s="140" t="s">
        <v>6312</v>
      </c>
      <c r="I5228" s="140" t="s">
        <v>6313</v>
      </c>
      <c r="J5228" s="140" t="s">
        <v>6314</v>
      </c>
      <c r="K5228" s="140" t="s">
        <v>12839</v>
      </c>
    </row>
    <row r="5229">
      <c r="A5229" s="140" t="s">
        <v>12839</v>
      </c>
      <c r="B5229" s="140">
        <v>2.000110907E9</v>
      </c>
      <c r="C5229" s="140" t="s">
        <v>12875</v>
      </c>
      <c r="D5229" s="140" t="s">
        <v>7996</v>
      </c>
      <c r="E5229" s="140" t="s">
        <v>7997</v>
      </c>
      <c r="F5229" s="140" t="s">
        <v>12850</v>
      </c>
      <c r="G5229" s="141" t="s">
        <v>6401</v>
      </c>
      <c r="H5229" s="140" t="s">
        <v>6312</v>
      </c>
      <c r="I5229" s="140" t="s">
        <v>6313</v>
      </c>
      <c r="J5229" s="140" t="s">
        <v>6314</v>
      </c>
      <c r="K5229" s="140" t="s">
        <v>12839</v>
      </c>
    </row>
    <row r="5230">
      <c r="A5230" s="140" t="s">
        <v>12839</v>
      </c>
      <c r="B5230" s="140">
        <v>2.00011091E9</v>
      </c>
      <c r="C5230" s="140" t="s">
        <v>12876</v>
      </c>
      <c r="D5230" s="140" t="s">
        <v>7996</v>
      </c>
      <c r="E5230" s="140" t="s">
        <v>7997</v>
      </c>
      <c r="F5230" s="140" t="s">
        <v>12850</v>
      </c>
      <c r="G5230" s="141" t="s">
        <v>6401</v>
      </c>
      <c r="H5230" s="140" t="s">
        <v>6312</v>
      </c>
      <c r="I5230" s="140" t="s">
        <v>6313</v>
      </c>
      <c r="J5230" s="140" t="s">
        <v>6314</v>
      </c>
      <c r="K5230" s="140" t="s">
        <v>12839</v>
      </c>
    </row>
    <row r="5231">
      <c r="A5231" s="140" t="s">
        <v>12839</v>
      </c>
      <c r="B5231" s="140" t="s">
        <v>5505</v>
      </c>
      <c r="C5231" s="140" t="s">
        <v>12877</v>
      </c>
      <c r="D5231" s="140" t="s">
        <v>7996</v>
      </c>
      <c r="E5231" s="140" t="s">
        <v>7997</v>
      </c>
      <c r="F5231" s="140" t="s">
        <v>12850</v>
      </c>
      <c r="G5231" s="141" t="s">
        <v>6401</v>
      </c>
      <c r="H5231" s="140" t="s">
        <v>6312</v>
      </c>
      <c r="I5231" s="140" t="s">
        <v>6313</v>
      </c>
      <c r="J5231" s="140" t="s">
        <v>6314</v>
      </c>
      <c r="K5231" s="140" t="s">
        <v>12839</v>
      </c>
    </row>
    <row r="5232">
      <c r="A5232" s="140" t="s">
        <v>12839</v>
      </c>
      <c r="B5232" s="140" t="s">
        <v>5503</v>
      </c>
      <c r="C5232" s="140" t="s">
        <v>12878</v>
      </c>
      <c r="D5232" s="140" t="s">
        <v>7996</v>
      </c>
      <c r="E5232" s="140" t="s">
        <v>7997</v>
      </c>
      <c r="F5232" s="140" t="s">
        <v>12850</v>
      </c>
      <c r="G5232" s="141" t="s">
        <v>6401</v>
      </c>
      <c r="H5232" s="140" t="s">
        <v>6312</v>
      </c>
      <c r="I5232" s="140" t="s">
        <v>6313</v>
      </c>
      <c r="J5232" s="140" t="s">
        <v>6314</v>
      </c>
      <c r="K5232" s="140" t="s">
        <v>12839</v>
      </c>
    </row>
    <row r="5233">
      <c r="A5233" s="140" t="s">
        <v>12839</v>
      </c>
      <c r="B5233" s="140" t="s">
        <v>5501</v>
      </c>
      <c r="C5233" s="140" t="s">
        <v>12879</v>
      </c>
      <c r="D5233" s="140" t="s">
        <v>7996</v>
      </c>
      <c r="E5233" s="140" t="s">
        <v>7997</v>
      </c>
      <c r="F5233" s="140" t="s">
        <v>12850</v>
      </c>
      <c r="G5233" s="141" t="s">
        <v>6401</v>
      </c>
      <c r="H5233" s="140" t="s">
        <v>6312</v>
      </c>
      <c r="I5233" s="140" t="s">
        <v>6313</v>
      </c>
      <c r="J5233" s="140" t="s">
        <v>6314</v>
      </c>
      <c r="K5233" s="140" t="s">
        <v>12839</v>
      </c>
    </row>
    <row r="5234">
      <c r="A5234" s="140" t="s">
        <v>12839</v>
      </c>
      <c r="B5234" s="140" t="s">
        <v>5507</v>
      </c>
      <c r="C5234" s="140" t="s">
        <v>12880</v>
      </c>
      <c r="D5234" s="140" t="s">
        <v>7996</v>
      </c>
      <c r="E5234" s="140" t="s">
        <v>7997</v>
      </c>
      <c r="F5234" s="140" t="s">
        <v>12850</v>
      </c>
      <c r="G5234" s="141" t="s">
        <v>6401</v>
      </c>
      <c r="H5234" s="140" t="s">
        <v>6312</v>
      </c>
      <c r="I5234" s="140" t="s">
        <v>6313</v>
      </c>
      <c r="J5234" s="140" t="s">
        <v>6314</v>
      </c>
      <c r="K5234" s="140" t="s">
        <v>12839</v>
      </c>
    </row>
    <row r="5235">
      <c r="A5235" s="140" t="s">
        <v>12839</v>
      </c>
      <c r="B5235" s="140" t="s">
        <v>5499</v>
      </c>
      <c r="C5235" s="140" t="s">
        <v>12881</v>
      </c>
      <c r="D5235" s="140" t="s">
        <v>7996</v>
      </c>
      <c r="E5235" s="140" t="s">
        <v>7997</v>
      </c>
      <c r="F5235" s="140" t="s">
        <v>12850</v>
      </c>
      <c r="G5235" s="141" t="s">
        <v>6401</v>
      </c>
      <c r="H5235" s="140" t="s">
        <v>6312</v>
      </c>
      <c r="I5235" s="140" t="s">
        <v>6313</v>
      </c>
      <c r="J5235" s="140" t="s">
        <v>6314</v>
      </c>
      <c r="K5235" s="140" t="s">
        <v>12839</v>
      </c>
    </row>
    <row r="5236">
      <c r="A5236" s="140" t="s">
        <v>12839</v>
      </c>
      <c r="B5236" s="140">
        <v>2.0001010082E10</v>
      </c>
      <c r="C5236" s="140" t="s">
        <v>12882</v>
      </c>
      <c r="D5236" s="140" t="s">
        <v>7996</v>
      </c>
      <c r="E5236" s="140" t="s">
        <v>7997</v>
      </c>
      <c r="F5236" s="140" t="s">
        <v>12850</v>
      </c>
      <c r="G5236" s="141" t="s">
        <v>6401</v>
      </c>
      <c r="H5236" s="140" t="s">
        <v>6312</v>
      </c>
      <c r="I5236" s="140" t="s">
        <v>6313</v>
      </c>
      <c r="J5236" s="140" t="s">
        <v>6314</v>
      </c>
      <c r="K5236" s="140" t="s">
        <v>12839</v>
      </c>
    </row>
    <row r="5237">
      <c r="A5237" s="140" t="s">
        <v>12839</v>
      </c>
      <c r="B5237" s="140">
        <v>2.0001008089E10</v>
      </c>
      <c r="C5237" s="140" t="s">
        <v>12883</v>
      </c>
      <c r="D5237" s="140" t="s">
        <v>7996</v>
      </c>
      <c r="E5237" s="140" t="s">
        <v>7997</v>
      </c>
      <c r="F5237" s="140" t="s">
        <v>12850</v>
      </c>
      <c r="G5237" s="141" t="s">
        <v>6401</v>
      </c>
      <c r="H5237" s="140" t="s">
        <v>6312</v>
      </c>
      <c r="I5237" s="140" t="s">
        <v>6313</v>
      </c>
      <c r="J5237" s="140" t="s">
        <v>6314</v>
      </c>
      <c r="K5237" s="140" t="s">
        <v>12839</v>
      </c>
    </row>
    <row r="5238">
      <c r="A5238" s="140" t="s">
        <v>12839</v>
      </c>
      <c r="B5238" s="140">
        <v>2.0001007081E10</v>
      </c>
      <c r="C5238" s="140" t="s">
        <v>12884</v>
      </c>
      <c r="D5238" s="140" t="s">
        <v>7996</v>
      </c>
      <c r="E5238" s="140" t="s">
        <v>7997</v>
      </c>
      <c r="F5238" s="140" t="s">
        <v>12850</v>
      </c>
      <c r="G5238" s="141" t="s">
        <v>6401</v>
      </c>
      <c r="H5238" s="140" t="s">
        <v>6312</v>
      </c>
      <c r="I5238" s="140" t="s">
        <v>6313</v>
      </c>
      <c r="J5238" s="140" t="s">
        <v>6314</v>
      </c>
      <c r="K5238" s="140" t="s">
        <v>12839</v>
      </c>
    </row>
    <row r="5239">
      <c r="A5239" s="140" t="s">
        <v>12839</v>
      </c>
      <c r="B5239" s="140">
        <v>2.0001009086E10</v>
      </c>
      <c r="C5239" s="140" t="s">
        <v>12885</v>
      </c>
      <c r="D5239" s="140" t="s">
        <v>7996</v>
      </c>
      <c r="E5239" s="140" t="s">
        <v>7997</v>
      </c>
      <c r="F5239" s="140" t="s">
        <v>12850</v>
      </c>
      <c r="G5239" s="141" t="s">
        <v>6401</v>
      </c>
      <c r="H5239" s="140" t="s">
        <v>6312</v>
      </c>
      <c r="I5239" s="140" t="s">
        <v>6313</v>
      </c>
      <c r="J5239" s="140" t="s">
        <v>6314</v>
      </c>
      <c r="K5239" s="140" t="s">
        <v>12839</v>
      </c>
    </row>
    <row r="5240">
      <c r="A5240" s="140" t="s">
        <v>12839</v>
      </c>
      <c r="B5240" s="140" t="s">
        <v>5509</v>
      </c>
      <c r="C5240" s="140" t="s">
        <v>12886</v>
      </c>
      <c r="D5240" s="140" t="s">
        <v>7996</v>
      </c>
      <c r="E5240" s="140" t="s">
        <v>7997</v>
      </c>
      <c r="F5240" s="140" t="s">
        <v>12850</v>
      </c>
      <c r="G5240" s="141" t="s">
        <v>6401</v>
      </c>
      <c r="H5240" s="140" t="s">
        <v>6312</v>
      </c>
      <c r="I5240" s="140" t="s">
        <v>6313</v>
      </c>
      <c r="J5240" s="140" t="s">
        <v>6314</v>
      </c>
      <c r="K5240" s="140" t="s">
        <v>12839</v>
      </c>
    </row>
    <row r="5241">
      <c r="A5241" s="140" t="s">
        <v>12839</v>
      </c>
      <c r="B5241" s="140" t="s">
        <v>3428</v>
      </c>
      <c r="C5241" s="140" t="s">
        <v>12887</v>
      </c>
      <c r="D5241" s="140" t="s">
        <v>7996</v>
      </c>
      <c r="E5241" s="140" t="s">
        <v>7997</v>
      </c>
      <c r="F5241" s="140" t="s">
        <v>12850</v>
      </c>
      <c r="G5241" s="141" t="s">
        <v>6401</v>
      </c>
      <c r="H5241" s="140" t="s">
        <v>6312</v>
      </c>
      <c r="I5241" s="140" t="s">
        <v>6313</v>
      </c>
      <c r="J5241" s="140" t="s">
        <v>6314</v>
      </c>
      <c r="K5241" s="140" t="s">
        <v>12839</v>
      </c>
    </row>
    <row r="5242">
      <c r="A5242" s="140" t="s">
        <v>12839</v>
      </c>
      <c r="B5242" s="140" t="s">
        <v>5267</v>
      </c>
      <c r="C5242" s="140" t="s">
        <v>12888</v>
      </c>
      <c r="D5242" s="140" t="s">
        <v>7996</v>
      </c>
      <c r="E5242" s="140" t="s">
        <v>7997</v>
      </c>
      <c r="F5242" s="140" t="s">
        <v>12889</v>
      </c>
      <c r="G5242" s="141" t="s">
        <v>6401</v>
      </c>
      <c r="H5242" s="140" t="s">
        <v>6312</v>
      </c>
      <c r="I5242" s="140" t="s">
        <v>6313</v>
      </c>
      <c r="J5242" s="140" t="s">
        <v>6314</v>
      </c>
      <c r="K5242" s="140" t="s">
        <v>12839</v>
      </c>
    </row>
    <row r="5243">
      <c r="A5243" s="140" t="s">
        <v>12839</v>
      </c>
      <c r="B5243" s="140" t="s">
        <v>12890</v>
      </c>
      <c r="C5243" s="140" t="s">
        <v>12891</v>
      </c>
      <c r="D5243" s="140" t="s">
        <v>7996</v>
      </c>
      <c r="E5243" s="140" t="s">
        <v>7997</v>
      </c>
      <c r="F5243" s="140" t="s">
        <v>12889</v>
      </c>
      <c r="G5243" s="141" t="s">
        <v>6401</v>
      </c>
      <c r="H5243" s="140" t="s">
        <v>6312</v>
      </c>
      <c r="I5243" s="140" t="s">
        <v>6313</v>
      </c>
      <c r="J5243" s="140" t="s">
        <v>6314</v>
      </c>
      <c r="K5243" s="140" t="s">
        <v>12839</v>
      </c>
    </row>
    <row r="5244">
      <c r="A5244" s="140" t="s">
        <v>12839</v>
      </c>
      <c r="B5244" s="140" t="s">
        <v>5269</v>
      </c>
      <c r="C5244" s="140" t="s">
        <v>12892</v>
      </c>
      <c r="D5244" s="140" t="s">
        <v>7996</v>
      </c>
      <c r="E5244" s="140" t="s">
        <v>7997</v>
      </c>
      <c r="F5244" s="140" t="s">
        <v>12889</v>
      </c>
      <c r="G5244" s="141" t="s">
        <v>6401</v>
      </c>
      <c r="H5244" s="140" t="s">
        <v>6312</v>
      </c>
      <c r="I5244" s="140" t="s">
        <v>6313</v>
      </c>
      <c r="J5244" s="140" t="s">
        <v>6314</v>
      </c>
      <c r="K5244" s="140" t="s">
        <v>12839</v>
      </c>
    </row>
    <row r="5245">
      <c r="A5245" s="140" t="s">
        <v>12839</v>
      </c>
      <c r="B5245" s="140">
        <v>6.500071503E9</v>
      </c>
      <c r="C5245" s="140" t="s">
        <v>12893</v>
      </c>
      <c r="D5245" s="140" t="s">
        <v>7996</v>
      </c>
      <c r="E5245" s="140" t="s">
        <v>7997</v>
      </c>
      <c r="F5245" s="140" t="s">
        <v>12889</v>
      </c>
      <c r="G5245" s="141" t="s">
        <v>6401</v>
      </c>
      <c r="H5245" s="140" t="s">
        <v>6312</v>
      </c>
      <c r="I5245" s="140" t="s">
        <v>6313</v>
      </c>
      <c r="J5245" s="140" t="s">
        <v>6314</v>
      </c>
      <c r="K5245" s="140" t="s">
        <v>12839</v>
      </c>
    </row>
    <row r="5246">
      <c r="A5246" s="140" t="s">
        <v>12839</v>
      </c>
      <c r="B5246" s="143">
        <v>1.909E12</v>
      </c>
      <c r="C5246" s="140" t="s">
        <v>12894</v>
      </c>
      <c r="D5246" s="140" t="s">
        <v>7996</v>
      </c>
      <c r="E5246" s="140" t="s">
        <v>7997</v>
      </c>
      <c r="F5246" s="140" t="s">
        <v>12895</v>
      </c>
      <c r="G5246" s="141" t="s">
        <v>6401</v>
      </c>
      <c r="H5246" s="140" t="s">
        <v>6312</v>
      </c>
      <c r="I5246" s="140" t="s">
        <v>6313</v>
      </c>
      <c r="J5246" s="140" t="s">
        <v>6314</v>
      </c>
      <c r="K5246" s="140" t="s">
        <v>12839</v>
      </c>
    </row>
    <row r="5247">
      <c r="A5247" s="140" t="s">
        <v>12839</v>
      </c>
      <c r="B5247" s="140" t="s">
        <v>12896</v>
      </c>
      <c r="C5247" s="140" t="s">
        <v>12897</v>
      </c>
      <c r="D5247" s="140" t="s">
        <v>7996</v>
      </c>
      <c r="E5247" s="140" t="s">
        <v>7997</v>
      </c>
      <c r="F5247" s="140" t="s">
        <v>12895</v>
      </c>
      <c r="G5247" s="141" t="s">
        <v>6304</v>
      </c>
      <c r="H5247" s="140" t="s">
        <v>6312</v>
      </c>
      <c r="I5247" s="140" t="s">
        <v>6527</v>
      </c>
      <c r="J5247" s="140" t="s">
        <v>6314</v>
      </c>
      <c r="K5247" s="140" t="s">
        <v>12839</v>
      </c>
    </row>
    <row r="5248">
      <c r="A5248" s="140" t="s">
        <v>12839</v>
      </c>
      <c r="B5248" s="140" t="s">
        <v>5419</v>
      </c>
      <c r="C5248" s="140" t="s">
        <v>12898</v>
      </c>
      <c r="D5248" s="140" t="s">
        <v>7996</v>
      </c>
      <c r="E5248" s="140" t="s">
        <v>7997</v>
      </c>
      <c r="F5248" s="140" t="s">
        <v>12895</v>
      </c>
      <c r="G5248" s="141" t="s">
        <v>6401</v>
      </c>
      <c r="H5248" s="140" t="s">
        <v>6312</v>
      </c>
      <c r="I5248" s="140" t="s">
        <v>6313</v>
      </c>
      <c r="J5248" s="140" t="s">
        <v>6314</v>
      </c>
      <c r="K5248" s="140" t="s">
        <v>12839</v>
      </c>
    </row>
    <row r="5249">
      <c r="A5249" s="140" t="s">
        <v>12839</v>
      </c>
      <c r="B5249" s="140" t="s">
        <v>5421</v>
      </c>
      <c r="C5249" s="140" t="s">
        <v>12899</v>
      </c>
      <c r="D5249" s="140" t="s">
        <v>7996</v>
      </c>
      <c r="E5249" s="140" t="s">
        <v>7997</v>
      </c>
      <c r="F5249" s="140" t="s">
        <v>12895</v>
      </c>
      <c r="G5249" s="141" t="s">
        <v>6401</v>
      </c>
      <c r="H5249" s="140" t="s">
        <v>6312</v>
      </c>
      <c r="I5249" s="140" t="s">
        <v>6313</v>
      </c>
      <c r="J5249" s="140" t="s">
        <v>6314</v>
      </c>
      <c r="K5249" s="140" t="s">
        <v>12839</v>
      </c>
    </row>
    <row r="5250">
      <c r="A5250" s="140" t="s">
        <v>12839</v>
      </c>
      <c r="B5250" s="140" t="s">
        <v>5425</v>
      </c>
      <c r="C5250" s="140" t="s">
        <v>12900</v>
      </c>
      <c r="D5250" s="140" t="s">
        <v>7996</v>
      </c>
      <c r="E5250" s="140" t="s">
        <v>7997</v>
      </c>
      <c r="F5250" s="140" t="s">
        <v>12895</v>
      </c>
      <c r="G5250" s="141" t="s">
        <v>6401</v>
      </c>
      <c r="H5250" s="140" t="s">
        <v>6312</v>
      </c>
      <c r="I5250" s="140" t="s">
        <v>6313</v>
      </c>
      <c r="J5250" s="140" t="s">
        <v>6314</v>
      </c>
      <c r="K5250" s="140" t="s">
        <v>12839</v>
      </c>
    </row>
    <row r="5251">
      <c r="A5251" s="140" t="s">
        <v>12839</v>
      </c>
      <c r="B5251" s="140" t="s">
        <v>5423</v>
      </c>
      <c r="C5251" s="140" t="s">
        <v>12901</v>
      </c>
      <c r="D5251" s="140" t="s">
        <v>7996</v>
      </c>
      <c r="E5251" s="140" t="s">
        <v>7997</v>
      </c>
      <c r="F5251" s="140" t="s">
        <v>12895</v>
      </c>
      <c r="G5251" s="141" t="s">
        <v>6401</v>
      </c>
      <c r="H5251" s="140" t="s">
        <v>6312</v>
      </c>
      <c r="I5251" s="140" t="s">
        <v>6313</v>
      </c>
      <c r="J5251" s="140" t="s">
        <v>6314</v>
      </c>
      <c r="K5251" s="140" t="s">
        <v>12839</v>
      </c>
    </row>
    <row r="5252">
      <c r="A5252" s="140" t="s">
        <v>12839</v>
      </c>
      <c r="B5252" s="140" t="s">
        <v>5693</v>
      </c>
      <c r="C5252" s="140" t="s">
        <v>12902</v>
      </c>
      <c r="D5252" s="140" t="s">
        <v>7996</v>
      </c>
      <c r="E5252" s="140" t="s">
        <v>7997</v>
      </c>
      <c r="F5252" s="140" t="s">
        <v>12903</v>
      </c>
      <c r="G5252" s="141" t="s">
        <v>6664</v>
      </c>
      <c r="H5252" s="140" t="s">
        <v>6312</v>
      </c>
      <c r="I5252" s="140" t="s">
        <v>6313</v>
      </c>
      <c r="J5252" s="140" t="s">
        <v>6314</v>
      </c>
      <c r="K5252" s="140" t="s">
        <v>12839</v>
      </c>
    </row>
    <row r="5253">
      <c r="A5253" s="140" t="s">
        <v>12839</v>
      </c>
      <c r="B5253" s="140" t="s">
        <v>5475</v>
      </c>
      <c r="C5253" s="140" t="s">
        <v>12904</v>
      </c>
      <c r="D5253" s="140" t="s">
        <v>7996</v>
      </c>
      <c r="E5253" s="140" t="s">
        <v>7997</v>
      </c>
      <c r="F5253" s="140" t="s">
        <v>12903</v>
      </c>
      <c r="G5253" s="141" t="s">
        <v>6668</v>
      </c>
      <c r="H5253" s="140" t="s">
        <v>6312</v>
      </c>
      <c r="I5253" s="140" t="s">
        <v>6313</v>
      </c>
      <c r="J5253" s="140" t="s">
        <v>6314</v>
      </c>
      <c r="K5253" s="140" t="s">
        <v>12839</v>
      </c>
    </row>
    <row r="5254">
      <c r="A5254" s="140" t="s">
        <v>12839</v>
      </c>
      <c r="B5254" s="140" t="s">
        <v>2731</v>
      </c>
      <c r="C5254" s="140" t="s">
        <v>12905</v>
      </c>
      <c r="D5254" s="140" t="s">
        <v>7996</v>
      </c>
      <c r="E5254" s="140" t="s">
        <v>7997</v>
      </c>
      <c r="F5254" s="140" t="s">
        <v>12903</v>
      </c>
      <c r="G5254" s="141" t="s">
        <v>6401</v>
      </c>
      <c r="H5254" s="140" t="s">
        <v>6312</v>
      </c>
      <c r="I5254" s="140" t="s">
        <v>6313</v>
      </c>
      <c r="J5254" s="140" t="s">
        <v>6314</v>
      </c>
      <c r="K5254" s="140" t="s">
        <v>12839</v>
      </c>
    </row>
    <row r="5255">
      <c r="A5255" s="140" t="s">
        <v>12839</v>
      </c>
      <c r="B5255" s="140" t="s">
        <v>3635</v>
      </c>
      <c r="C5255" s="140" t="s">
        <v>12906</v>
      </c>
      <c r="D5255" s="140" t="s">
        <v>7996</v>
      </c>
      <c r="E5255" s="140" t="s">
        <v>7997</v>
      </c>
      <c r="F5255" s="140" t="s">
        <v>12903</v>
      </c>
      <c r="G5255" s="141" t="s">
        <v>6668</v>
      </c>
      <c r="H5255" s="140" t="s">
        <v>6312</v>
      </c>
      <c r="I5255" s="140" t="s">
        <v>6313</v>
      </c>
      <c r="J5255" s="140" t="s">
        <v>6314</v>
      </c>
      <c r="K5255" s="140" t="s">
        <v>12839</v>
      </c>
    </row>
    <row r="5256">
      <c r="A5256" s="140" t="s">
        <v>12839</v>
      </c>
      <c r="B5256" s="143">
        <v>7.64451E11</v>
      </c>
      <c r="C5256" s="140" t="s">
        <v>12907</v>
      </c>
      <c r="D5256" s="140" t="s">
        <v>7996</v>
      </c>
      <c r="E5256" s="140" t="s">
        <v>7997</v>
      </c>
      <c r="F5256" s="140" t="s">
        <v>12903</v>
      </c>
      <c r="G5256" s="141" t="s">
        <v>6401</v>
      </c>
      <c r="H5256" s="140" t="s">
        <v>6312</v>
      </c>
      <c r="I5256" s="140" t="s">
        <v>6313</v>
      </c>
      <c r="J5256" s="140" t="s">
        <v>6314</v>
      </c>
      <c r="K5256" s="140" t="s">
        <v>12839</v>
      </c>
    </row>
    <row r="5257">
      <c r="A5257" s="140" t="s">
        <v>12839</v>
      </c>
      <c r="B5257" s="140" t="s">
        <v>5483</v>
      </c>
      <c r="C5257" s="140" t="s">
        <v>12908</v>
      </c>
      <c r="D5257" s="140" t="s">
        <v>7996</v>
      </c>
      <c r="E5257" s="140" t="s">
        <v>7997</v>
      </c>
      <c r="F5257" s="140" t="s">
        <v>12903</v>
      </c>
      <c r="G5257" s="141" t="s">
        <v>6668</v>
      </c>
      <c r="H5257" s="140" t="s">
        <v>6312</v>
      </c>
      <c r="I5257" s="140" t="s">
        <v>6313</v>
      </c>
      <c r="J5257" s="140" t="s">
        <v>6314</v>
      </c>
      <c r="K5257" s="140" t="s">
        <v>12839</v>
      </c>
    </row>
    <row r="5258">
      <c r="A5258" s="140" t="s">
        <v>12839</v>
      </c>
      <c r="B5258" s="140" t="s">
        <v>5481</v>
      </c>
      <c r="C5258" s="140" t="s">
        <v>12909</v>
      </c>
      <c r="D5258" s="140" t="s">
        <v>7996</v>
      </c>
      <c r="E5258" s="140" t="s">
        <v>7997</v>
      </c>
      <c r="F5258" s="140" t="s">
        <v>12903</v>
      </c>
      <c r="G5258" s="141" t="s">
        <v>6401</v>
      </c>
      <c r="H5258" s="140" t="s">
        <v>6312</v>
      </c>
      <c r="I5258" s="140" t="s">
        <v>6313</v>
      </c>
      <c r="J5258" s="140" t="s">
        <v>6314</v>
      </c>
      <c r="K5258" s="140" t="s">
        <v>12839</v>
      </c>
    </row>
    <row r="5259">
      <c r="A5259" s="140" t="s">
        <v>12839</v>
      </c>
      <c r="B5259" s="140" t="s">
        <v>5479</v>
      </c>
      <c r="C5259" s="140" t="s">
        <v>12910</v>
      </c>
      <c r="D5259" s="140" t="s">
        <v>7996</v>
      </c>
      <c r="E5259" s="140" t="s">
        <v>7997</v>
      </c>
      <c r="F5259" s="140" t="s">
        <v>12903</v>
      </c>
      <c r="G5259" s="141" t="s">
        <v>6668</v>
      </c>
      <c r="H5259" s="140" t="s">
        <v>6312</v>
      </c>
      <c r="I5259" s="140" t="s">
        <v>6313</v>
      </c>
      <c r="J5259" s="140" t="s">
        <v>6314</v>
      </c>
      <c r="K5259" s="140" t="s">
        <v>12839</v>
      </c>
    </row>
    <row r="5260">
      <c r="A5260" s="140" t="s">
        <v>12839</v>
      </c>
      <c r="B5260" s="140" t="s">
        <v>3426</v>
      </c>
      <c r="C5260" s="140" t="s">
        <v>12911</v>
      </c>
      <c r="D5260" s="140" t="s">
        <v>7996</v>
      </c>
      <c r="E5260" s="140" t="s">
        <v>7997</v>
      </c>
      <c r="F5260" s="140" t="s">
        <v>12903</v>
      </c>
      <c r="G5260" s="141" t="s">
        <v>6401</v>
      </c>
      <c r="H5260" s="140" t="s">
        <v>6312</v>
      </c>
      <c r="I5260" s="140" t="s">
        <v>6313</v>
      </c>
      <c r="J5260" s="140" t="s">
        <v>6314</v>
      </c>
      <c r="K5260" s="140" t="s">
        <v>12839</v>
      </c>
    </row>
    <row r="5261">
      <c r="A5261" s="140" t="s">
        <v>12839</v>
      </c>
      <c r="B5261" s="140" t="s">
        <v>5477</v>
      </c>
      <c r="C5261" s="140" t="s">
        <v>12912</v>
      </c>
      <c r="D5261" s="140" t="s">
        <v>7996</v>
      </c>
      <c r="E5261" s="140" t="s">
        <v>7997</v>
      </c>
      <c r="F5261" s="140" t="s">
        <v>12903</v>
      </c>
      <c r="G5261" s="141" t="s">
        <v>6401</v>
      </c>
      <c r="H5261" s="140" t="s">
        <v>6312</v>
      </c>
      <c r="I5261" s="140" t="s">
        <v>6313</v>
      </c>
      <c r="J5261" s="140" t="s">
        <v>6314</v>
      </c>
      <c r="K5261" s="140" t="s">
        <v>12839</v>
      </c>
    </row>
    <row r="5262">
      <c r="A5262" s="140" t="s">
        <v>12839</v>
      </c>
      <c r="B5262" s="140" t="s">
        <v>3637</v>
      </c>
      <c r="C5262" s="140" t="s">
        <v>12913</v>
      </c>
      <c r="D5262" s="140" t="s">
        <v>7996</v>
      </c>
      <c r="E5262" s="140" t="s">
        <v>7997</v>
      </c>
      <c r="F5262" s="140" t="s">
        <v>12903</v>
      </c>
      <c r="G5262" s="141" t="s">
        <v>6401</v>
      </c>
      <c r="H5262" s="140" t="s">
        <v>6312</v>
      </c>
      <c r="I5262" s="140" t="s">
        <v>6313</v>
      </c>
      <c r="J5262" s="140" t="s">
        <v>6314</v>
      </c>
      <c r="K5262" s="140" t="s">
        <v>12839</v>
      </c>
    </row>
    <row r="5263">
      <c r="A5263" s="140" t="s">
        <v>12839</v>
      </c>
      <c r="B5263" s="140" t="s">
        <v>3639</v>
      </c>
      <c r="C5263" s="140" t="s">
        <v>12914</v>
      </c>
      <c r="D5263" s="140" t="s">
        <v>7996</v>
      </c>
      <c r="E5263" s="140" t="s">
        <v>7997</v>
      </c>
      <c r="F5263" s="140" t="s">
        <v>12903</v>
      </c>
      <c r="G5263" s="141" t="s">
        <v>6668</v>
      </c>
      <c r="H5263" s="140" t="s">
        <v>6312</v>
      </c>
      <c r="I5263" s="140" t="s">
        <v>6313</v>
      </c>
      <c r="J5263" s="140" t="s">
        <v>6314</v>
      </c>
      <c r="K5263" s="140" t="s">
        <v>12839</v>
      </c>
    </row>
    <row r="5264">
      <c r="A5264" s="140" t="s">
        <v>12839</v>
      </c>
      <c r="B5264" s="140" t="s">
        <v>5485</v>
      </c>
      <c r="C5264" s="140" t="s">
        <v>12915</v>
      </c>
      <c r="D5264" s="140" t="s">
        <v>7996</v>
      </c>
      <c r="E5264" s="140" t="s">
        <v>7997</v>
      </c>
      <c r="F5264" s="140" t="s">
        <v>12903</v>
      </c>
      <c r="G5264" s="141" t="s">
        <v>6401</v>
      </c>
      <c r="H5264" s="140" t="s">
        <v>6312</v>
      </c>
      <c r="I5264" s="140" t="s">
        <v>6313</v>
      </c>
      <c r="J5264" s="140" t="s">
        <v>6314</v>
      </c>
      <c r="K5264" s="140" t="s">
        <v>12839</v>
      </c>
    </row>
    <row r="5265">
      <c r="A5265" s="140" t="s">
        <v>12839</v>
      </c>
      <c r="B5265" s="140" t="s">
        <v>2733</v>
      </c>
      <c r="C5265" s="140" t="s">
        <v>12916</v>
      </c>
      <c r="D5265" s="140" t="s">
        <v>7996</v>
      </c>
      <c r="E5265" s="140" t="s">
        <v>7997</v>
      </c>
      <c r="F5265" s="140" t="s">
        <v>12917</v>
      </c>
      <c r="G5265" s="141" t="s">
        <v>6401</v>
      </c>
      <c r="H5265" s="140" t="s">
        <v>6312</v>
      </c>
      <c r="I5265" s="140" t="s">
        <v>6313</v>
      </c>
      <c r="J5265" s="140" t="s">
        <v>6314</v>
      </c>
      <c r="K5265" s="140" t="s">
        <v>12839</v>
      </c>
    </row>
    <row r="5266">
      <c r="A5266" s="140" t="s">
        <v>12839</v>
      </c>
      <c r="B5266" s="140">
        <v>1.0000105087E10</v>
      </c>
      <c r="C5266" s="140" t="s">
        <v>12918</v>
      </c>
      <c r="D5266" s="140" t="s">
        <v>7996</v>
      </c>
      <c r="E5266" s="140" t="s">
        <v>7997</v>
      </c>
      <c r="F5266" s="140" t="s">
        <v>12919</v>
      </c>
      <c r="G5266" s="141" t="s">
        <v>6401</v>
      </c>
      <c r="H5266" s="140" t="s">
        <v>6312</v>
      </c>
      <c r="I5266" s="140" t="s">
        <v>6313</v>
      </c>
      <c r="J5266" s="140" t="s">
        <v>6314</v>
      </c>
      <c r="K5266" s="140" t="s">
        <v>12839</v>
      </c>
    </row>
    <row r="5267">
      <c r="A5267" s="140" t="s">
        <v>12839</v>
      </c>
      <c r="B5267" s="140">
        <v>1.0000110081E10</v>
      </c>
      <c r="C5267" s="140" t="s">
        <v>12920</v>
      </c>
      <c r="D5267" s="140" t="s">
        <v>7996</v>
      </c>
      <c r="E5267" s="140" t="s">
        <v>7997</v>
      </c>
      <c r="F5267" s="140" t="s">
        <v>12919</v>
      </c>
      <c r="G5267" s="141" t="s">
        <v>6401</v>
      </c>
      <c r="H5267" s="140" t="s">
        <v>6312</v>
      </c>
      <c r="I5267" s="140" t="s">
        <v>6313</v>
      </c>
      <c r="J5267" s="140" t="s">
        <v>6314</v>
      </c>
      <c r="K5267" s="140" t="s">
        <v>12839</v>
      </c>
    </row>
    <row r="5268">
      <c r="A5268" s="140" t="s">
        <v>12839</v>
      </c>
      <c r="B5268" s="140">
        <v>1.0000106084E10</v>
      </c>
      <c r="C5268" s="140" t="s">
        <v>12921</v>
      </c>
      <c r="D5268" s="140" t="s">
        <v>7996</v>
      </c>
      <c r="E5268" s="140" t="s">
        <v>7997</v>
      </c>
      <c r="F5268" s="140" t="s">
        <v>12919</v>
      </c>
      <c r="G5268" s="141" t="s">
        <v>6401</v>
      </c>
      <c r="H5268" s="140" t="s">
        <v>6312</v>
      </c>
      <c r="I5268" s="140" t="s">
        <v>6313</v>
      </c>
      <c r="J5268" s="140" t="s">
        <v>6314</v>
      </c>
      <c r="K5268" s="140" t="s">
        <v>12839</v>
      </c>
    </row>
    <row r="5269">
      <c r="A5269" s="140" t="s">
        <v>12839</v>
      </c>
      <c r="B5269" s="140">
        <v>1.000200819E9</v>
      </c>
      <c r="C5269" s="140" t="s">
        <v>12922</v>
      </c>
      <c r="D5269" s="140" t="s">
        <v>7996</v>
      </c>
      <c r="E5269" s="140" t="s">
        <v>7997</v>
      </c>
      <c r="F5269" s="140" t="s">
        <v>12919</v>
      </c>
      <c r="G5269" s="141" t="s">
        <v>6401</v>
      </c>
      <c r="H5269" s="140" t="s">
        <v>6312</v>
      </c>
      <c r="I5269" s="140" t="s">
        <v>6313</v>
      </c>
      <c r="J5269" s="140" t="s">
        <v>6314</v>
      </c>
      <c r="K5269" s="140" t="s">
        <v>12839</v>
      </c>
    </row>
    <row r="5270">
      <c r="A5270" s="140" t="s">
        <v>12839</v>
      </c>
      <c r="B5270" s="140">
        <v>1.000200812E9</v>
      </c>
      <c r="C5270" s="140" t="s">
        <v>12923</v>
      </c>
      <c r="D5270" s="140" t="s">
        <v>7996</v>
      </c>
      <c r="E5270" s="140" t="s">
        <v>7997</v>
      </c>
      <c r="F5270" s="140" t="s">
        <v>12919</v>
      </c>
      <c r="G5270" s="141" t="s">
        <v>6401</v>
      </c>
      <c r="H5270" s="140" t="s">
        <v>6312</v>
      </c>
      <c r="I5270" s="140" t="s">
        <v>6313</v>
      </c>
      <c r="J5270" s="140" t="s">
        <v>6314</v>
      </c>
      <c r="K5270" s="140" t="s">
        <v>12839</v>
      </c>
    </row>
    <row r="5271">
      <c r="A5271" s="140" t="s">
        <v>12839</v>
      </c>
      <c r="B5271" s="140">
        <v>1.00020081E9</v>
      </c>
      <c r="C5271" s="140" t="s">
        <v>12924</v>
      </c>
      <c r="D5271" s="140" t="s">
        <v>7996</v>
      </c>
      <c r="E5271" s="140" t="s">
        <v>7997</v>
      </c>
      <c r="F5271" s="140" t="s">
        <v>12919</v>
      </c>
      <c r="G5271" s="141" t="s">
        <v>6401</v>
      </c>
      <c r="H5271" s="140" t="s">
        <v>6312</v>
      </c>
      <c r="I5271" s="140" t="s">
        <v>6313</v>
      </c>
      <c r="J5271" s="140" t="s">
        <v>6314</v>
      </c>
      <c r="K5271" s="140" t="s">
        <v>12839</v>
      </c>
    </row>
    <row r="5272">
      <c r="A5272" s="140" t="s">
        <v>12839</v>
      </c>
      <c r="B5272" s="140">
        <v>1.000200719E9</v>
      </c>
      <c r="C5272" s="140" t="s">
        <v>12925</v>
      </c>
      <c r="D5272" s="140" t="s">
        <v>7996</v>
      </c>
      <c r="E5272" s="140" t="s">
        <v>7997</v>
      </c>
      <c r="F5272" s="140" t="s">
        <v>12919</v>
      </c>
      <c r="G5272" s="141" t="s">
        <v>6401</v>
      </c>
      <c r="H5272" s="140" t="s">
        <v>6312</v>
      </c>
      <c r="I5272" s="140" t="s">
        <v>6313</v>
      </c>
      <c r="J5272" s="140" t="s">
        <v>6314</v>
      </c>
      <c r="K5272" s="140" t="s">
        <v>12839</v>
      </c>
    </row>
    <row r="5273">
      <c r="A5273" s="140" t="s">
        <v>12839</v>
      </c>
      <c r="B5273" s="140">
        <v>1.000200712E9</v>
      </c>
      <c r="C5273" s="140" t="s">
        <v>12926</v>
      </c>
      <c r="D5273" s="140" t="s">
        <v>7996</v>
      </c>
      <c r="E5273" s="140" t="s">
        <v>7997</v>
      </c>
      <c r="F5273" s="140" t="s">
        <v>12919</v>
      </c>
      <c r="G5273" s="141" t="s">
        <v>6401</v>
      </c>
      <c r="H5273" s="140" t="s">
        <v>6312</v>
      </c>
      <c r="I5273" s="140" t="s">
        <v>6313</v>
      </c>
      <c r="J5273" s="140" t="s">
        <v>6314</v>
      </c>
      <c r="K5273" s="140" t="s">
        <v>12839</v>
      </c>
    </row>
    <row r="5274">
      <c r="A5274" s="140" t="s">
        <v>12839</v>
      </c>
      <c r="B5274" s="140">
        <v>1.00020071E9</v>
      </c>
      <c r="C5274" s="140" t="s">
        <v>12927</v>
      </c>
      <c r="D5274" s="140" t="s">
        <v>7996</v>
      </c>
      <c r="E5274" s="140" t="s">
        <v>7997</v>
      </c>
      <c r="F5274" s="140" t="s">
        <v>12919</v>
      </c>
      <c r="G5274" s="141" t="s">
        <v>6401</v>
      </c>
      <c r="H5274" s="140" t="s">
        <v>6312</v>
      </c>
      <c r="I5274" s="140" t="s">
        <v>6313</v>
      </c>
      <c r="J5274" s="140" t="s">
        <v>6314</v>
      </c>
      <c r="K5274" s="140" t="s">
        <v>12839</v>
      </c>
    </row>
    <row r="5275">
      <c r="A5275" s="140" t="s">
        <v>12839</v>
      </c>
      <c r="B5275" s="140">
        <v>1.000200619E9</v>
      </c>
      <c r="C5275" s="140" t="s">
        <v>12928</v>
      </c>
      <c r="D5275" s="140" t="s">
        <v>7996</v>
      </c>
      <c r="E5275" s="140" t="s">
        <v>7997</v>
      </c>
      <c r="F5275" s="140" t="s">
        <v>12919</v>
      </c>
      <c r="G5275" s="141" t="s">
        <v>6401</v>
      </c>
      <c r="H5275" s="140" t="s">
        <v>6312</v>
      </c>
      <c r="I5275" s="140" t="s">
        <v>6313</v>
      </c>
      <c r="J5275" s="140" t="s">
        <v>6314</v>
      </c>
      <c r="K5275" s="140" t="s">
        <v>12839</v>
      </c>
    </row>
    <row r="5276">
      <c r="A5276" s="140" t="s">
        <v>12839</v>
      </c>
      <c r="B5276" s="140">
        <v>1.000200612E9</v>
      </c>
      <c r="C5276" s="140" t="s">
        <v>12929</v>
      </c>
      <c r="D5276" s="140" t="s">
        <v>7996</v>
      </c>
      <c r="E5276" s="140" t="s">
        <v>7997</v>
      </c>
      <c r="F5276" s="140" t="s">
        <v>12919</v>
      </c>
      <c r="G5276" s="141" t="s">
        <v>6401</v>
      </c>
      <c r="H5276" s="140" t="s">
        <v>6312</v>
      </c>
      <c r="I5276" s="140" t="s">
        <v>6313</v>
      </c>
      <c r="J5276" s="140" t="s">
        <v>6314</v>
      </c>
      <c r="K5276" s="140" t="s">
        <v>12839</v>
      </c>
    </row>
    <row r="5277">
      <c r="A5277" s="140" t="s">
        <v>12839</v>
      </c>
      <c r="B5277" s="140">
        <v>1.00020061E9</v>
      </c>
      <c r="C5277" s="140" t="s">
        <v>12930</v>
      </c>
      <c r="D5277" s="140" t="s">
        <v>7996</v>
      </c>
      <c r="E5277" s="140" t="s">
        <v>7997</v>
      </c>
      <c r="F5277" s="140" t="s">
        <v>12919</v>
      </c>
      <c r="G5277" s="141" t="s">
        <v>6401</v>
      </c>
      <c r="H5277" s="140" t="s">
        <v>6312</v>
      </c>
      <c r="I5277" s="140" t="s">
        <v>6313</v>
      </c>
      <c r="J5277" s="140" t="s">
        <v>6314</v>
      </c>
      <c r="K5277" s="140" t="s">
        <v>12839</v>
      </c>
    </row>
    <row r="5278">
      <c r="A5278" s="140" t="s">
        <v>12839</v>
      </c>
      <c r="B5278" s="140">
        <v>1.000200519E9</v>
      </c>
      <c r="C5278" s="140" t="s">
        <v>12931</v>
      </c>
      <c r="D5278" s="140" t="s">
        <v>7996</v>
      </c>
      <c r="E5278" s="140" t="s">
        <v>7997</v>
      </c>
      <c r="F5278" s="140" t="s">
        <v>12919</v>
      </c>
      <c r="G5278" s="141" t="s">
        <v>6401</v>
      </c>
      <c r="H5278" s="140" t="s">
        <v>6312</v>
      </c>
      <c r="I5278" s="140" t="s">
        <v>6313</v>
      </c>
      <c r="J5278" s="140" t="s">
        <v>6314</v>
      </c>
      <c r="K5278" s="140" t="s">
        <v>12839</v>
      </c>
    </row>
    <row r="5279">
      <c r="A5279" s="140" t="s">
        <v>12839</v>
      </c>
      <c r="B5279" s="140">
        <v>1.000200512E9</v>
      </c>
      <c r="C5279" s="140" t="s">
        <v>12932</v>
      </c>
      <c r="D5279" s="140" t="s">
        <v>7996</v>
      </c>
      <c r="E5279" s="140" t="s">
        <v>7997</v>
      </c>
      <c r="F5279" s="140" t="s">
        <v>12919</v>
      </c>
      <c r="G5279" s="141" t="s">
        <v>6401</v>
      </c>
      <c r="H5279" s="140" t="s">
        <v>6312</v>
      </c>
      <c r="I5279" s="140" t="s">
        <v>6313</v>
      </c>
      <c r="J5279" s="140" t="s">
        <v>6314</v>
      </c>
      <c r="K5279" s="140" t="s">
        <v>12839</v>
      </c>
    </row>
    <row r="5280">
      <c r="A5280" s="140" t="s">
        <v>12839</v>
      </c>
      <c r="B5280" s="140">
        <v>1.00020051E9</v>
      </c>
      <c r="C5280" s="140" t="s">
        <v>12933</v>
      </c>
      <c r="D5280" s="140" t="s">
        <v>7996</v>
      </c>
      <c r="E5280" s="140" t="s">
        <v>7997</v>
      </c>
      <c r="F5280" s="140" t="s">
        <v>12919</v>
      </c>
      <c r="G5280" s="141" t="s">
        <v>6401</v>
      </c>
      <c r="H5280" s="140" t="s">
        <v>6312</v>
      </c>
      <c r="I5280" s="140" t="s">
        <v>6313</v>
      </c>
      <c r="J5280" s="140" t="s">
        <v>6314</v>
      </c>
      <c r="K5280" s="140" t="s">
        <v>12839</v>
      </c>
    </row>
    <row r="5281">
      <c r="A5281" s="140" t="s">
        <v>12839</v>
      </c>
      <c r="B5281" s="140">
        <v>1.0001708027E10</v>
      </c>
      <c r="C5281" s="140" t="s">
        <v>12934</v>
      </c>
      <c r="D5281" s="140" t="s">
        <v>7996</v>
      </c>
      <c r="E5281" s="140" t="s">
        <v>7997</v>
      </c>
      <c r="F5281" s="140" t="s">
        <v>12919</v>
      </c>
      <c r="G5281" s="141" t="s">
        <v>6401</v>
      </c>
      <c r="H5281" s="140" t="s">
        <v>6312</v>
      </c>
      <c r="I5281" s="140" t="s">
        <v>6313</v>
      </c>
      <c r="J5281" s="140" t="s">
        <v>6314</v>
      </c>
      <c r="K5281" s="140" t="s">
        <v>12839</v>
      </c>
    </row>
    <row r="5282">
      <c r="A5282" s="140" t="s">
        <v>12839</v>
      </c>
      <c r="B5282" s="140" t="s">
        <v>5495</v>
      </c>
      <c r="C5282" s="140" t="s">
        <v>12935</v>
      </c>
      <c r="D5282" s="140" t="s">
        <v>7996</v>
      </c>
      <c r="E5282" s="140" t="s">
        <v>7997</v>
      </c>
      <c r="F5282" s="140" t="s">
        <v>12919</v>
      </c>
      <c r="G5282" s="141" t="s">
        <v>6401</v>
      </c>
      <c r="H5282" s="140" t="s">
        <v>6312</v>
      </c>
      <c r="I5282" s="140" t="s">
        <v>6313</v>
      </c>
      <c r="J5282" s="140" t="s">
        <v>6314</v>
      </c>
      <c r="K5282" s="140" t="s">
        <v>12839</v>
      </c>
    </row>
    <row r="5283">
      <c r="A5283" s="140" t="s">
        <v>12839</v>
      </c>
      <c r="B5283" s="140" t="s">
        <v>5497</v>
      </c>
      <c r="C5283" s="140" t="s">
        <v>12936</v>
      </c>
      <c r="D5283" s="140" t="s">
        <v>7996</v>
      </c>
      <c r="E5283" s="140" t="s">
        <v>7997</v>
      </c>
      <c r="F5283" s="140" t="s">
        <v>12919</v>
      </c>
      <c r="G5283" s="141" t="s">
        <v>6401</v>
      </c>
      <c r="H5283" s="140" t="s">
        <v>6312</v>
      </c>
      <c r="I5283" s="140" t="s">
        <v>6313</v>
      </c>
      <c r="J5283" s="140" t="s">
        <v>6314</v>
      </c>
      <c r="K5283" s="140" t="s">
        <v>12839</v>
      </c>
    </row>
    <row r="5284">
      <c r="A5284" s="140" t="s">
        <v>12839</v>
      </c>
      <c r="B5284" s="140" t="s">
        <v>5487</v>
      </c>
      <c r="C5284" s="140" t="s">
        <v>12937</v>
      </c>
      <c r="D5284" s="140" t="s">
        <v>7996</v>
      </c>
      <c r="E5284" s="140" t="s">
        <v>7997</v>
      </c>
      <c r="F5284" s="140" t="s">
        <v>12919</v>
      </c>
      <c r="G5284" s="141" t="s">
        <v>6401</v>
      </c>
      <c r="H5284" s="140" t="s">
        <v>6312</v>
      </c>
      <c r="I5284" s="140" t="s">
        <v>6313</v>
      </c>
      <c r="J5284" s="140" t="s">
        <v>6314</v>
      </c>
      <c r="K5284" s="140" t="s">
        <v>12839</v>
      </c>
    </row>
    <row r="5285">
      <c r="A5285" s="140" t="s">
        <v>12839</v>
      </c>
      <c r="B5285" s="140" t="s">
        <v>5489</v>
      </c>
      <c r="C5285" s="140" t="s">
        <v>12938</v>
      </c>
      <c r="D5285" s="140" t="s">
        <v>7996</v>
      </c>
      <c r="E5285" s="140" t="s">
        <v>7997</v>
      </c>
      <c r="F5285" s="140" t="s">
        <v>12919</v>
      </c>
      <c r="G5285" s="141" t="s">
        <v>6401</v>
      </c>
      <c r="H5285" s="140" t="s">
        <v>6312</v>
      </c>
      <c r="I5285" s="140" t="s">
        <v>6313</v>
      </c>
      <c r="J5285" s="140" t="s">
        <v>6314</v>
      </c>
      <c r="K5285" s="140" t="s">
        <v>12839</v>
      </c>
    </row>
    <row r="5286">
      <c r="A5286" s="140" t="s">
        <v>12839</v>
      </c>
      <c r="B5286" s="140" t="s">
        <v>5493</v>
      </c>
      <c r="C5286" s="140" t="s">
        <v>12939</v>
      </c>
      <c r="D5286" s="140" t="s">
        <v>7996</v>
      </c>
      <c r="E5286" s="140" t="s">
        <v>7997</v>
      </c>
      <c r="F5286" s="140" t="s">
        <v>12919</v>
      </c>
      <c r="G5286" s="141" t="s">
        <v>6401</v>
      </c>
      <c r="H5286" s="140" t="s">
        <v>6312</v>
      </c>
      <c r="I5286" s="140" t="s">
        <v>6313</v>
      </c>
      <c r="J5286" s="140" t="s">
        <v>6314</v>
      </c>
      <c r="K5286" s="140" t="s">
        <v>12839</v>
      </c>
    </row>
    <row r="5287">
      <c r="A5287" s="140" t="s">
        <v>12839</v>
      </c>
      <c r="B5287" s="140" t="s">
        <v>5491</v>
      </c>
      <c r="C5287" s="140" t="s">
        <v>12940</v>
      </c>
      <c r="D5287" s="140" t="s">
        <v>7996</v>
      </c>
      <c r="E5287" s="140" t="s">
        <v>7997</v>
      </c>
      <c r="F5287" s="140" t="s">
        <v>12919</v>
      </c>
      <c r="G5287" s="141" t="s">
        <v>6401</v>
      </c>
      <c r="H5287" s="140" t="s">
        <v>6312</v>
      </c>
      <c r="I5287" s="140" t="s">
        <v>6313</v>
      </c>
      <c r="J5287" s="140" t="s">
        <v>6314</v>
      </c>
      <c r="K5287" s="140" t="s">
        <v>12839</v>
      </c>
    </row>
    <row r="5288">
      <c r="A5288" s="140" t="s">
        <v>12839</v>
      </c>
      <c r="B5288" s="140" t="s">
        <v>5546</v>
      </c>
      <c r="C5288" s="140" t="s">
        <v>12941</v>
      </c>
      <c r="D5288" s="140" t="s">
        <v>7996</v>
      </c>
      <c r="E5288" s="140" t="s">
        <v>7997</v>
      </c>
      <c r="F5288" s="140" t="s">
        <v>12919</v>
      </c>
      <c r="G5288" s="141" t="s">
        <v>6401</v>
      </c>
      <c r="H5288" s="140" t="s">
        <v>6312</v>
      </c>
      <c r="I5288" s="140" t="s">
        <v>6313</v>
      </c>
      <c r="J5288" s="140" t="s">
        <v>6314</v>
      </c>
      <c r="K5288" s="140" t="s">
        <v>12839</v>
      </c>
    </row>
    <row r="5289">
      <c r="A5289" s="140" t="s">
        <v>12839</v>
      </c>
      <c r="B5289" s="140" t="s">
        <v>5550</v>
      </c>
      <c r="C5289" s="140" t="s">
        <v>12942</v>
      </c>
      <c r="D5289" s="140" t="s">
        <v>7996</v>
      </c>
      <c r="E5289" s="140" t="s">
        <v>7997</v>
      </c>
      <c r="F5289" s="140" t="s">
        <v>12919</v>
      </c>
      <c r="G5289" s="141" t="s">
        <v>6401</v>
      </c>
      <c r="H5289" s="140" t="s">
        <v>6312</v>
      </c>
      <c r="I5289" s="140" t="s">
        <v>6313</v>
      </c>
      <c r="J5289" s="140" t="s">
        <v>6314</v>
      </c>
      <c r="K5289" s="140" t="s">
        <v>12839</v>
      </c>
    </row>
    <row r="5290">
      <c r="A5290" s="140" t="s">
        <v>12839</v>
      </c>
      <c r="B5290" s="140" t="s">
        <v>5548</v>
      </c>
      <c r="C5290" s="140" t="s">
        <v>12943</v>
      </c>
      <c r="D5290" s="140" t="s">
        <v>7996</v>
      </c>
      <c r="E5290" s="140" t="s">
        <v>7997</v>
      </c>
      <c r="F5290" s="140" t="s">
        <v>12919</v>
      </c>
      <c r="G5290" s="141" t="s">
        <v>6401</v>
      </c>
      <c r="H5290" s="140" t="s">
        <v>6312</v>
      </c>
      <c r="I5290" s="140" t="s">
        <v>6313</v>
      </c>
      <c r="J5290" s="140" t="s">
        <v>6314</v>
      </c>
      <c r="K5290" s="140" t="s">
        <v>12839</v>
      </c>
    </row>
    <row r="5291">
      <c r="A5291" s="140" t="s">
        <v>12839</v>
      </c>
      <c r="B5291" s="140" t="s">
        <v>12944</v>
      </c>
      <c r="C5291" s="140" t="s">
        <v>12945</v>
      </c>
      <c r="D5291" s="140" t="s">
        <v>7996</v>
      </c>
      <c r="E5291" s="140" t="s">
        <v>7997</v>
      </c>
      <c r="F5291" s="140" t="s">
        <v>12919</v>
      </c>
      <c r="G5291" s="141" t="s">
        <v>6401</v>
      </c>
      <c r="H5291" s="140" t="s">
        <v>6312</v>
      </c>
      <c r="I5291" s="140" t="s">
        <v>6313</v>
      </c>
      <c r="J5291" s="140" t="s">
        <v>6314</v>
      </c>
      <c r="K5291" s="140" t="s">
        <v>12839</v>
      </c>
    </row>
    <row r="5292">
      <c r="A5292" s="140" t="s">
        <v>12839</v>
      </c>
      <c r="B5292" s="140" t="s">
        <v>12946</v>
      </c>
      <c r="C5292" s="140" t="s">
        <v>12947</v>
      </c>
      <c r="D5292" s="140" t="s">
        <v>7996</v>
      </c>
      <c r="E5292" s="140" t="s">
        <v>7997</v>
      </c>
      <c r="F5292" s="140" t="s">
        <v>12919</v>
      </c>
      <c r="G5292" s="141" t="s">
        <v>6401</v>
      </c>
      <c r="H5292" s="140" t="s">
        <v>6312</v>
      </c>
      <c r="I5292" s="140" t="s">
        <v>6313</v>
      </c>
      <c r="J5292" s="140" t="s">
        <v>6314</v>
      </c>
      <c r="K5292" s="140" t="s">
        <v>12839</v>
      </c>
    </row>
    <row r="5293">
      <c r="A5293" s="140" t="s">
        <v>12839</v>
      </c>
      <c r="B5293" s="140" t="s">
        <v>5554</v>
      </c>
      <c r="C5293" s="140" t="s">
        <v>12948</v>
      </c>
      <c r="D5293" s="140" t="s">
        <v>7996</v>
      </c>
      <c r="E5293" s="140" t="s">
        <v>7997</v>
      </c>
      <c r="F5293" s="140" t="s">
        <v>12919</v>
      </c>
      <c r="G5293" s="141" t="s">
        <v>6401</v>
      </c>
      <c r="H5293" s="140" t="s">
        <v>6312</v>
      </c>
      <c r="I5293" s="140" t="s">
        <v>6313</v>
      </c>
      <c r="J5293" s="140" t="s">
        <v>6314</v>
      </c>
      <c r="K5293" s="140" t="s">
        <v>12839</v>
      </c>
    </row>
    <row r="5294">
      <c r="A5294" s="140" t="s">
        <v>12839</v>
      </c>
      <c r="B5294" s="140" t="s">
        <v>5552</v>
      </c>
      <c r="C5294" s="140" t="s">
        <v>12949</v>
      </c>
      <c r="D5294" s="140" t="s">
        <v>7996</v>
      </c>
      <c r="E5294" s="140" t="s">
        <v>7997</v>
      </c>
      <c r="F5294" s="140" t="s">
        <v>12919</v>
      </c>
      <c r="G5294" s="141" t="s">
        <v>6401</v>
      </c>
      <c r="H5294" s="140" t="s">
        <v>6312</v>
      </c>
      <c r="I5294" s="140" t="s">
        <v>6313</v>
      </c>
      <c r="J5294" s="140" t="s">
        <v>6314</v>
      </c>
      <c r="K5294" s="140" t="s">
        <v>12839</v>
      </c>
    </row>
    <row r="5295">
      <c r="A5295" s="140" t="s">
        <v>12839</v>
      </c>
      <c r="B5295" s="140" t="s">
        <v>12950</v>
      </c>
      <c r="C5295" s="140" t="s">
        <v>12951</v>
      </c>
      <c r="D5295" s="140" t="s">
        <v>7996</v>
      </c>
      <c r="E5295" s="140" t="s">
        <v>7997</v>
      </c>
      <c r="F5295" s="140" t="s">
        <v>12919</v>
      </c>
      <c r="G5295" s="141" t="s">
        <v>6401</v>
      </c>
      <c r="H5295" s="140" t="s">
        <v>6312</v>
      </c>
      <c r="I5295" s="140" t="s">
        <v>6313</v>
      </c>
      <c r="J5295" s="140" t="s">
        <v>6314</v>
      </c>
      <c r="K5295" s="140" t="s">
        <v>12839</v>
      </c>
    </row>
    <row r="5296">
      <c r="A5296" s="140" t="s">
        <v>12839</v>
      </c>
      <c r="B5296" s="140" t="s">
        <v>5544</v>
      </c>
      <c r="C5296" s="140" t="s">
        <v>12952</v>
      </c>
      <c r="D5296" s="140" t="s">
        <v>7996</v>
      </c>
      <c r="E5296" s="140" t="s">
        <v>7997</v>
      </c>
      <c r="F5296" s="140" t="s">
        <v>12919</v>
      </c>
      <c r="G5296" s="141" t="s">
        <v>6401</v>
      </c>
      <c r="H5296" s="140" t="s">
        <v>6312</v>
      </c>
      <c r="I5296" s="140" t="s">
        <v>6313</v>
      </c>
      <c r="J5296" s="140" t="s">
        <v>6314</v>
      </c>
      <c r="K5296" s="140" t="s">
        <v>12839</v>
      </c>
    </row>
    <row r="5297">
      <c r="A5297" s="140" t="s">
        <v>12839</v>
      </c>
      <c r="B5297" s="140" t="s">
        <v>5540</v>
      </c>
      <c r="C5297" s="140" t="s">
        <v>12953</v>
      </c>
      <c r="D5297" s="140" t="s">
        <v>7996</v>
      </c>
      <c r="E5297" s="140" t="s">
        <v>7997</v>
      </c>
      <c r="F5297" s="140" t="s">
        <v>12919</v>
      </c>
      <c r="G5297" s="141" t="s">
        <v>6401</v>
      </c>
      <c r="H5297" s="140" t="s">
        <v>6312</v>
      </c>
      <c r="I5297" s="140" t="s">
        <v>6313</v>
      </c>
      <c r="J5297" s="140" t="s">
        <v>6314</v>
      </c>
      <c r="K5297" s="140" t="s">
        <v>12839</v>
      </c>
    </row>
    <row r="5298">
      <c r="A5298" s="140" t="s">
        <v>12839</v>
      </c>
      <c r="B5298" s="140" t="s">
        <v>5538</v>
      </c>
      <c r="C5298" s="140" t="s">
        <v>12954</v>
      </c>
      <c r="D5298" s="140" t="s">
        <v>7996</v>
      </c>
      <c r="E5298" s="140" t="s">
        <v>7997</v>
      </c>
      <c r="F5298" s="140" t="s">
        <v>12919</v>
      </c>
      <c r="G5298" s="141" t="s">
        <v>6401</v>
      </c>
      <c r="H5298" s="140" t="s">
        <v>6312</v>
      </c>
      <c r="I5298" s="140" t="s">
        <v>6313</v>
      </c>
      <c r="J5298" s="140" t="s">
        <v>6314</v>
      </c>
      <c r="K5298" s="140" t="s">
        <v>12839</v>
      </c>
    </row>
    <row r="5299">
      <c r="A5299" s="140" t="s">
        <v>12839</v>
      </c>
      <c r="B5299" s="140" t="s">
        <v>5542</v>
      </c>
      <c r="C5299" s="140" t="s">
        <v>12955</v>
      </c>
      <c r="D5299" s="140" t="s">
        <v>7996</v>
      </c>
      <c r="E5299" s="140" t="s">
        <v>7997</v>
      </c>
      <c r="F5299" s="140" t="s">
        <v>12919</v>
      </c>
      <c r="G5299" s="141" t="s">
        <v>6401</v>
      </c>
      <c r="H5299" s="140" t="s">
        <v>6312</v>
      </c>
      <c r="I5299" s="140" t="s">
        <v>6313</v>
      </c>
      <c r="J5299" s="140" t="s">
        <v>6314</v>
      </c>
      <c r="K5299" s="140" t="s">
        <v>12839</v>
      </c>
    </row>
    <row r="5300">
      <c r="A5300" s="140" t="s">
        <v>12839</v>
      </c>
      <c r="B5300" s="140" t="s">
        <v>12956</v>
      </c>
      <c r="C5300" s="140" t="s">
        <v>12957</v>
      </c>
      <c r="D5300" s="140" t="s">
        <v>7996</v>
      </c>
      <c r="E5300" s="140" t="s">
        <v>7997</v>
      </c>
      <c r="F5300" s="140" t="s">
        <v>12919</v>
      </c>
      <c r="G5300" s="141" t="s">
        <v>6401</v>
      </c>
      <c r="H5300" s="140" t="s">
        <v>6312</v>
      </c>
      <c r="I5300" s="140" t="s">
        <v>6313</v>
      </c>
      <c r="J5300" s="140" t="s">
        <v>6314</v>
      </c>
      <c r="K5300" s="140" t="s">
        <v>12839</v>
      </c>
    </row>
    <row r="5301">
      <c r="A5301" s="140" t="s">
        <v>12839</v>
      </c>
      <c r="B5301" s="140" t="s">
        <v>12958</v>
      </c>
      <c r="C5301" s="140" t="s">
        <v>12959</v>
      </c>
      <c r="D5301" s="140" t="s">
        <v>7996</v>
      </c>
      <c r="E5301" s="140" t="s">
        <v>7997</v>
      </c>
      <c r="F5301" s="140" t="s">
        <v>12919</v>
      </c>
      <c r="G5301" s="141" t="s">
        <v>6401</v>
      </c>
      <c r="H5301" s="140" t="s">
        <v>6312</v>
      </c>
      <c r="I5301" s="140" t="s">
        <v>6313</v>
      </c>
      <c r="J5301" s="140" t="s">
        <v>6314</v>
      </c>
      <c r="K5301" s="140" t="s">
        <v>12839</v>
      </c>
    </row>
    <row r="5302">
      <c r="A5302" s="140" t="s">
        <v>12839</v>
      </c>
      <c r="B5302" s="140">
        <v>1.000220802E9</v>
      </c>
      <c r="C5302" s="140" t="s">
        <v>12960</v>
      </c>
      <c r="D5302" s="140" t="s">
        <v>7996</v>
      </c>
      <c r="E5302" s="140" t="s">
        <v>7997</v>
      </c>
      <c r="F5302" s="140" t="s">
        <v>12919</v>
      </c>
      <c r="G5302" s="141" t="s">
        <v>6401</v>
      </c>
      <c r="H5302" s="140" t="s">
        <v>6312</v>
      </c>
      <c r="I5302" s="140" t="s">
        <v>6313</v>
      </c>
      <c r="J5302" s="140" t="s">
        <v>6314</v>
      </c>
      <c r="K5302" s="140" t="s">
        <v>12839</v>
      </c>
    </row>
    <row r="5303">
      <c r="A5303" s="140" t="s">
        <v>12839</v>
      </c>
      <c r="B5303" s="140">
        <v>1.000220821E9</v>
      </c>
      <c r="C5303" s="140" t="s">
        <v>12961</v>
      </c>
      <c r="D5303" s="140" t="s">
        <v>7996</v>
      </c>
      <c r="E5303" s="140" t="s">
        <v>7997</v>
      </c>
      <c r="F5303" s="140" t="s">
        <v>12919</v>
      </c>
      <c r="G5303" s="141" t="s">
        <v>6401</v>
      </c>
      <c r="H5303" s="140" t="s">
        <v>6312</v>
      </c>
      <c r="I5303" s="140" t="s">
        <v>6313</v>
      </c>
      <c r="J5303" s="140" t="s">
        <v>6314</v>
      </c>
      <c r="K5303" s="140" t="s">
        <v>12839</v>
      </c>
    </row>
    <row r="5304">
      <c r="A5304" s="140" t="s">
        <v>12839</v>
      </c>
      <c r="B5304" s="140">
        <v>1.000220808E9</v>
      </c>
      <c r="C5304" s="140" t="s">
        <v>12962</v>
      </c>
      <c r="D5304" s="140" t="s">
        <v>7996</v>
      </c>
      <c r="E5304" s="140" t="s">
        <v>7997</v>
      </c>
      <c r="F5304" s="140" t="s">
        <v>12919</v>
      </c>
      <c r="G5304" s="141" t="s">
        <v>6401</v>
      </c>
      <c r="H5304" s="140" t="s">
        <v>6312</v>
      </c>
      <c r="I5304" s="140" t="s">
        <v>6313</v>
      </c>
      <c r="J5304" s="140" t="s">
        <v>6314</v>
      </c>
      <c r="K5304" s="140" t="s">
        <v>12839</v>
      </c>
    </row>
    <row r="5305">
      <c r="A5305" s="140" t="s">
        <v>12839</v>
      </c>
      <c r="B5305" s="140">
        <v>1.000220702E9</v>
      </c>
      <c r="C5305" s="140" t="s">
        <v>12963</v>
      </c>
      <c r="D5305" s="140" t="s">
        <v>7996</v>
      </c>
      <c r="E5305" s="140" t="s">
        <v>7997</v>
      </c>
      <c r="F5305" s="140" t="s">
        <v>12919</v>
      </c>
      <c r="G5305" s="141" t="s">
        <v>6401</v>
      </c>
      <c r="H5305" s="140" t="s">
        <v>6312</v>
      </c>
      <c r="I5305" s="140" t="s">
        <v>6313</v>
      </c>
      <c r="J5305" s="140" t="s">
        <v>6314</v>
      </c>
      <c r="K5305" s="140" t="s">
        <v>12839</v>
      </c>
    </row>
    <row r="5306">
      <c r="A5306" s="140" t="s">
        <v>12839</v>
      </c>
      <c r="B5306" s="140">
        <v>1.000220721E9</v>
      </c>
      <c r="C5306" s="140" t="s">
        <v>12964</v>
      </c>
      <c r="D5306" s="140" t="s">
        <v>7996</v>
      </c>
      <c r="E5306" s="140" t="s">
        <v>7997</v>
      </c>
      <c r="F5306" s="140" t="s">
        <v>12919</v>
      </c>
      <c r="G5306" s="141" t="s">
        <v>6401</v>
      </c>
      <c r="H5306" s="140" t="s">
        <v>6312</v>
      </c>
      <c r="I5306" s="140" t="s">
        <v>6313</v>
      </c>
      <c r="J5306" s="140" t="s">
        <v>6314</v>
      </c>
      <c r="K5306" s="140" t="s">
        <v>12839</v>
      </c>
    </row>
    <row r="5307">
      <c r="A5307" s="140" t="s">
        <v>12839</v>
      </c>
      <c r="B5307" s="140">
        <v>1.000220708E9</v>
      </c>
      <c r="C5307" s="140" t="s">
        <v>12965</v>
      </c>
      <c r="D5307" s="140" t="s">
        <v>7996</v>
      </c>
      <c r="E5307" s="140" t="s">
        <v>7997</v>
      </c>
      <c r="F5307" s="140" t="s">
        <v>12919</v>
      </c>
      <c r="G5307" s="141" t="s">
        <v>6401</v>
      </c>
      <c r="H5307" s="140" t="s">
        <v>6312</v>
      </c>
      <c r="I5307" s="140" t="s">
        <v>6313</v>
      </c>
      <c r="J5307" s="140" t="s">
        <v>6314</v>
      </c>
      <c r="K5307" s="140" t="s">
        <v>12839</v>
      </c>
    </row>
    <row r="5308">
      <c r="A5308" s="140" t="s">
        <v>12839</v>
      </c>
      <c r="B5308" s="140">
        <v>1.000220602E9</v>
      </c>
      <c r="C5308" s="140" t="s">
        <v>12966</v>
      </c>
      <c r="D5308" s="140" t="s">
        <v>7996</v>
      </c>
      <c r="E5308" s="140" t="s">
        <v>7997</v>
      </c>
      <c r="F5308" s="140" t="s">
        <v>12919</v>
      </c>
      <c r="G5308" s="141" t="s">
        <v>6401</v>
      </c>
      <c r="H5308" s="140" t="s">
        <v>6312</v>
      </c>
      <c r="I5308" s="140" t="s">
        <v>6313</v>
      </c>
      <c r="J5308" s="140" t="s">
        <v>6314</v>
      </c>
      <c r="K5308" s="140" t="s">
        <v>12839</v>
      </c>
    </row>
    <row r="5309">
      <c r="A5309" s="140" t="s">
        <v>12839</v>
      </c>
      <c r="B5309" s="140">
        <v>1.000220621E9</v>
      </c>
      <c r="C5309" s="140" t="s">
        <v>12967</v>
      </c>
      <c r="D5309" s="140" t="s">
        <v>7996</v>
      </c>
      <c r="E5309" s="140" t="s">
        <v>7997</v>
      </c>
      <c r="F5309" s="140" t="s">
        <v>12919</v>
      </c>
      <c r="G5309" s="141" t="s">
        <v>6401</v>
      </c>
      <c r="H5309" s="140" t="s">
        <v>6312</v>
      </c>
      <c r="I5309" s="140" t="s">
        <v>6313</v>
      </c>
      <c r="J5309" s="140" t="s">
        <v>6314</v>
      </c>
      <c r="K5309" s="140" t="s">
        <v>12839</v>
      </c>
    </row>
    <row r="5310">
      <c r="A5310" s="140" t="s">
        <v>12839</v>
      </c>
      <c r="B5310" s="140">
        <v>1.000220608E9</v>
      </c>
      <c r="C5310" s="140" t="s">
        <v>12968</v>
      </c>
      <c r="D5310" s="140" t="s">
        <v>7996</v>
      </c>
      <c r="E5310" s="140" t="s">
        <v>7997</v>
      </c>
      <c r="F5310" s="140" t="s">
        <v>12919</v>
      </c>
      <c r="G5310" s="141" t="s">
        <v>6401</v>
      </c>
      <c r="H5310" s="140" t="s">
        <v>6312</v>
      </c>
      <c r="I5310" s="140" t="s">
        <v>6313</v>
      </c>
      <c r="J5310" s="140" t="s">
        <v>6314</v>
      </c>
      <c r="K5310" s="140" t="s">
        <v>12839</v>
      </c>
    </row>
    <row r="5311">
      <c r="A5311" s="140" t="s">
        <v>12839</v>
      </c>
      <c r="B5311" s="140">
        <v>1.000220502E9</v>
      </c>
      <c r="C5311" s="140" t="s">
        <v>12969</v>
      </c>
      <c r="D5311" s="140" t="s">
        <v>7996</v>
      </c>
      <c r="E5311" s="140" t="s">
        <v>7997</v>
      </c>
      <c r="F5311" s="140" t="s">
        <v>12919</v>
      </c>
      <c r="G5311" s="141" t="s">
        <v>6401</v>
      </c>
      <c r="H5311" s="140" t="s">
        <v>6312</v>
      </c>
      <c r="I5311" s="140" t="s">
        <v>6313</v>
      </c>
      <c r="J5311" s="140" t="s">
        <v>6314</v>
      </c>
      <c r="K5311" s="140" t="s">
        <v>12839</v>
      </c>
    </row>
    <row r="5312">
      <c r="A5312" s="140" t="s">
        <v>12839</v>
      </c>
      <c r="B5312" s="140">
        <v>1.000220521E9</v>
      </c>
      <c r="C5312" s="140" t="s">
        <v>12970</v>
      </c>
      <c r="D5312" s="140" t="s">
        <v>7996</v>
      </c>
      <c r="E5312" s="140" t="s">
        <v>7997</v>
      </c>
      <c r="F5312" s="140" t="s">
        <v>12919</v>
      </c>
      <c r="G5312" s="141" t="s">
        <v>6401</v>
      </c>
      <c r="H5312" s="140" t="s">
        <v>6312</v>
      </c>
      <c r="I5312" s="140" t="s">
        <v>6313</v>
      </c>
      <c r="J5312" s="140" t="s">
        <v>6314</v>
      </c>
      <c r="K5312" s="140" t="s">
        <v>12839</v>
      </c>
    </row>
    <row r="5313">
      <c r="A5313" s="140" t="s">
        <v>12839</v>
      </c>
      <c r="B5313" s="140">
        <v>1.000220508E9</v>
      </c>
      <c r="C5313" s="140" t="s">
        <v>12971</v>
      </c>
      <c r="D5313" s="140" t="s">
        <v>7996</v>
      </c>
      <c r="E5313" s="140" t="s">
        <v>7997</v>
      </c>
      <c r="F5313" s="140" t="s">
        <v>12919</v>
      </c>
      <c r="G5313" s="141" t="s">
        <v>6401</v>
      </c>
      <c r="H5313" s="140" t="s">
        <v>6312</v>
      </c>
      <c r="I5313" s="140" t="s">
        <v>6313</v>
      </c>
      <c r="J5313" s="140" t="s">
        <v>6314</v>
      </c>
      <c r="K5313" s="140" t="s">
        <v>12839</v>
      </c>
    </row>
    <row r="5314">
      <c r="A5314" s="140" t="s">
        <v>12839</v>
      </c>
      <c r="B5314" s="140">
        <v>1.000180802E9</v>
      </c>
      <c r="C5314" s="140" t="s">
        <v>12972</v>
      </c>
      <c r="D5314" s="140" t="s">
        <v>7996</v>
      </c>
      <c r="E5314" s="140" t="s">
        <v>7997</v>
      </c>
      <c r="F5314" s="140" t="s">
        <v>12919</v>
      </c>
      <c r="G5314" s="141" t="s">
        <v>6401</v>
      </c>
      <c r="H5314" s="140" t="s">
        <v>6312</v>
      </c>
      <c r="I5314" s="140" t="s">
        <v>6313</v>
      </c>
      <c r="J5314" s="140" t="s">
        <v>6314</v>
      </c>
      <c r="K5314" s="140" t="s">
        <v>12839</v>
      </c>
    </row>
    <row r="5315">
      <c r="A5315" s="140" t="s">
        <v>12839</v>
      </c>
      <c r="B5315" s="140" t="s">
        <v>12973</v>
      </c>
      <c r="C5315" s="140" t="s">
        <v>12974</v>
      </c>
      <c r="D5315" s="140" t="s">
        <v>7996</v>
      </c>
      <c r="E5315" s="140" t="s">
        <v>7997</v>
      </c>
      <c r="F5315" s="140" t="s">
        <v>12919</v>
      </c>
      <c r="G5315" s="141" t="s">
        <v>6401</v>
      </c>
      <c r="H5315" s="140" t="s">
        <v>6312</v>
      </c>
      <c r="I5315" s="140" t="s">
        <v>6313</v>
      </c>
      <c r="J5315" s="140" t="s">
        <v>6314</v>
      </c>
      <c r="K5315" s="140" t="s">
        <v>12839</v>
      </c>
    </row>
    <row r="5316">
      <c r="A5316" s="140" t="s">
        <v>12839</v>
      </c>
      <c r="B5316" s="140">
        <v>1.000210801E9</v>
      </c>
      <c r="C5316" s="140" t="s">
        <v>12975</v>
      </c>
      <c r="D5316" s="140" t="s">
        <v>7996</v>
      </c>
      <c r="E5316" s="140" t="s">
        <v>7997</v>
      </c>
      <c r="F5316" s="140" t="s">
        <v>12919</v>
      </c>
      <c r="G5316" s="141" t="s">
        <v>6401</v>
      </c>
      <c r="H5316" s="140" t="s">
        <v>6312</v>
      </c>
      <c r="I5316" s="140" t="s">
        <v>6313</v>
      </c>
      <c r="J5316" s="140" t="s">
        <v>6314</v>
      </c>
      <c r="K5316" s="140" t="s">
        <v>12839</v>
      </c>
    </row>
    <row r="5317">
      <c r="A5317" s="140" t="s">
        <v>12839</v>
      </c>
      <c r="B5317" s="140">
        <v>1.000210809E9</v>
      </c>
      <c r="C5317" s="140" t="s">
        <v>12976</v>
      </c>
      <c r="D5317" s="140" t="s">
        <v>7996</v>
      </c>
      <c r="E5317" s="140" t="s">
        <v>7997</v>
      </c>
      <c r="F5317" s="140" t="s">
        <v>12919</v>
      </c>
      <c r="G5317" s="141" t="s">
        <v>6401</v>
      </c>
      <c r="H5317" s="140" t="s">
        <v>6312</v>
      </c>
      <c r="I5317" s="140" t="s">
        <v>6313</v>
      </c>
      <c r="J5317" s="140" t="s">
        <v>6314</v>
      </c>
      <c r="K5317" s="140" t="s">
        <v>12839</v>
      </c>
    </row>
    <row r="5318">
      <c r="A5318" s="140" t="s">
        <v>12839</v>
      </c>
      <c r="B5318" s="140">
        <v>1.00021081E9</v>
      </c>
      <c r="C5318" s="140" t="s">
        <v>12977</v>
      </c>
      <c r="D5318" s="140" t="s">
        <v>7996</v>
      </c>
      <c r="E5318" s="140" t="s">
        <v>7997</v>
      </c>
      <c r="F5318" s="140" t="s">
        <v>12919</v>
      </c>
      <c r="G5318" s="141" t="s">
        <v>6401</v>
      </c>
      <c r="H5318" s="140" t="s">
        <v>6312</v>
      </c>
      <c r="I5318" s="140" t="s">
        <v>6313</v>
      </c>
      <c r="J5318" s="140" t="s">
        <v>6314</v>
      </c>
      <c r="K5318" s="140" t="s">
        <v>12839</v>
      </c>
    </row>
    <row r="5319">
      <c r="A5319" s="140" t="s">
        <v>12839</v>
      </c>
      <c r="B5319" s="140">
        <v>1.000210701E9</v>
      </c>
      <c r="C5319" s="140" t="s">
        <v>12978</v>
      </c>
      <c r="D5319" s="140" t="s">
        <v>7996</v>
      </c>
      <c r="E5319" s="140" t="s">
        <v>7997</v>
      </c>
      <c r="F5319" s="140" t="s">
        <v>12919</v>
      </c>
      <c r="G5319" s="141" t="s">
        <v>6401</v>
      </c>
      <c r="H5319" s="140" t="s">
        <v>6312</v>
      </c>
      <c r="I5319" s="140" t="s">
        <v>6313</v>
      </c>
      <c r="J5319" s="140" t="s">
        <v>6314</v>
      </c>
      <c r="K5319" s="140" t="s">
        <v>12839</v>
      </c>
    </row>
    <row r="5320">
      <c r="A5320" s="140" t="s">
        <v>12839</v>
      </c>
      <c r="B5320" s="140">
        <v>1.000210709E9</v>
      </c>
      <c r="C5320" s="140" t="s">
        <v>12979</v>
      </c>
      <c r="D5320" s="140" t="s">
        <v>7996</v>
      </c>
      <c r="E5320" s="140" t="s">
        <v>7997</v>
      </c>
      <c r="F5320" s="140" t="s">
        <v>12919</v>
      </c>
      <c r="G5320" s="141" t="s">
        <v>6401</v>
      </c>
      <c r="H5320" s="140" t="s">
        <v>6312</v>
      </c>
      <c r="I5320" s="140" t="s">
        <v>6313</v>
      </c>
      <c r="J5320" s="140" t="s">
        <v>6314</v>
      </c>
      <c r="K5320" s="140" t="s">
        <v>12839</v>
      </c>
    </row>
    <row r="5321">
      <c r="A5321" s="140" t="s">
        <v>12839</v>
      </c>
      <c r="B5321" s="140">
        <v>1.00021071E9</v>
      </c>
      <c r="C5321" s="140" t="s">
        <v>12980</v>
      </c>
      <c r="D5321" s="140" t="s">
        <v>7996</v>
      </c>
      <c r="E5321" s="140" t="s">
        <v>7997</v>
      </c>
      <c r="F5321" s="140" t="s">
        <v>12919</v>
      </c>
      <c r="G5321" s="141" t="s">
        <v>6401</v>
      </c>
      <c r="H5321" s="140" t="s">
        <v>6312</v>
      </c>
      <c r="I5321" s="140" t="s">
        <v>6313</v>
      </c>
      <c r="J5321" s="140" t="s">
        <v>6314</v>
      </c>
      <c r="K5321" s="140" t="s">
        <v>12839</v>
      </c>
    </row>
    <row r="5322">
      <c r="A5322" s="140" t="s">
        <v>12839</v>
      </c>
      <c r="B5322" s="140">
        <v>1.000210601E9</v>
      </c>
      <c r="C5322" s="140" t="s">
        <v>12981</v>
      </c>
      <c r="D5322" s="140" t="s">
        <v>7996</v>
      </c>
      <c r="E5322" s="140" t="s">
        <v>7997</v>
      </c>
      <c r="F5322" s="140" t="s">
        <v>12919</v>
      </c>
      <c r="G5322" s="141" t="s">
        <v>6401</v>
      </c>
      <c r="H5322" s="140" t="s">
        <v>6312</v>
      </c>
      <c r="I5322" s="140" t="s">
        <v>6313</v>
      </c>
      <c r="J5322" s="140" t="s">
        <v>6314</v>
      </c>
      <c r="K5322" s="140" t="s">
        <v>12839</v>
      </c>
    </row>
    <row r="5323">
      <c r="A5323" s="140" t="s">
        <v>12839</v>
      </c>
      <c r="B5323" s="140">
        <v>1.000210609E9</v>
      </c>
      <c r="C5323" s="140" t="s">
        <v>12982</v>
      </c>
      <c r="D5323" s="140" t="s">
        <v>7996</v>
      </c>
      <c r="E5323" s="140" t="s">
        <v>7997</v>
      </c>
      <c r="F5323" s="140" t="s">
        <v>12919</v>
      </c>
      <c r="G5323" s="141" t="s">
        <v>6401</v>
      </c>
      <c r="H5323" s="140" t="s">
        <v>6312</v>
      </c>
      <c r="I5323" s="140" t="s">
        <v>6313</v>
      </c>
      <c r="J5323" s="140" t="s">
        <v>6314</v>
      </c>
      <c r="K5323" s="140" t="s">
        <v>12839</v>
      </c>
    </row>
    <row r="5324">
      <c r="A5324" s="140" t="s">
        <v>12839</v>
      </c>
      <c r="B5324" s="140">
        <v>1.00021061E9</v>
      </c>
      <c r="C5324" s="140" t="s">
        <v>12983</v>
      </c>
      <c r="D5324" s="140" t="s">
        <v>7996</v>
      </c>
      <c r="E5324" s="140" t="s">
        <v>7997</v>
      </c>
      <c r="F5324" s="140" t="s">
        <v>12919</v>
      </c>
      <c r="G5324" s="141" t="s">
        <v>6401</v>
      </c>
      <c r="H5324" s="140" t="s">
        <v>6312</v>
      </c>
      <c r="I5324" s="140" t="s">
        <v>6313</v>
      </c>
      <c r="J5324" s="140" t="s">
        <v>6314</v>
      </c>
      <c r="K5324" s="140" t="s">
        <v>12839</v>
      </c>
    </row>
    <row r="5325">
      <c r="A5325" s="140" t="s">
        <v>12839</v>
      </c>
      <c r="B5325" s="140">
        <v>1.000210501E9</v>
      </c>
      <c r="C5325" s="140" t="s">
        <v>12984</v>
      </c>
      <c r="D5325" s="140" t="s">
        <v>7996</v>
      </c>
      <c r="E5325" s="140" t="s">
        <v>7997</v>
      </c>
      <c r="F5325" s="140" t="s">
        <v>12919</v>
      </c>
      <c r="G5325" s="141" t="s">
        <v>6401</v>
      </c>
      <c r="H5325" s="140" t="s">
        <v>6312</v>
      </c>
      <c r="I5325" s="140" t="s">
        <v>6313</v>
      </c>
      <c r="J5325" s="140" t="s">
        <v>6314</v>
      </c>
      <c r="K5325" s="140" t="s">
        <v>12839</v>
      </c>
    </row>
    <row r="5326">
      <c r="A5326" s="140" t="s">
        <v>12839</v>
      </c>
      <c r="B5326" s="140">
        <v>1.000210509E9</v>
      </c>
      <c r="C5326" s="140" t="s">
        <v>12985</v>
      </c>
      <c r="D5326" s="140" t="s">
        <v>7996</v>
      </c>
      <c r="E5326" s="140" t="s">
        <v>7997</v>
      </c>
      <c r="F5326" s="140" t="s">
        <v>12919</v>
      </c>
      <c r="G5326" s="141" t="s">
        <v>6401</v>
      </c>
      <c r="H5326" s="140" t="s">
        <v>6312</v>
      </c>
      <c r="I5326" s="140" t="s">
        <v>6313</v>
      </c>
      <c r="J5326" s="140" t="s">
        <v>6314</v>
      </c>
      <c r="K5326" s="140" t="s">
        <v>12839</v>
      </c>
    </row>
    <row r="5327">
      <c r="A5327" s="140" t="s">
        <v>12839</v>
      </c>
      <c r="B5327" s="140">
        <v>1.00021051E9</v>
      </c>
      <c r="C5327" s="140" t="s">
        <v>12986</v>
      </c>
      <c r="D5327" s="140" t="s">
        <v>7996</v>
      </c>
      <c r="E5327" s="140" t="s">
        <v>7997</v>
      </c>
      <c r="F5327" s="140" t="s">
        <v>12919</v>
      </c>
      <c r="G5327" s="141" t="s">
        <v>6401</v>
      </c>
      <c r="H5327" s="140" t="s">
        <v>6312</v>
      </c>
      <c r="I5327" s="140" t="s">
        <v>6313</v>
      </c>
      <c r="J5327" s="140" t="s">
        <v>6314</v>
      </c>
      <c r="K5327" s="140" t="s">
        <v>12839</v>
      </c>
    </row>
    <row r="5328">
      <c r="A5328" s="140" t="s">
        <v>12839</v>
      </c>
      <c r="B5328" s="140">
        <v>1.000190802E9</v>
      </c>
      <c r="C5328" s="140" t="s">
        <v>12987</v>
      </c>
      <c r="D5328" s="140" t="s">
        <v>7996</v>
      </c>
      <c r="E5328" s="140" t="s">
        <v>7997</v>
      </c>
      <c r="F5328" s="140" t="s">
        <v>12919</v>
      </c>
      <c r="G5328" s="141" t="s">
        <v>6401</v>
      </c>
      <c r="H5328" s="140" t="s">
        <v>6312</v>
      </c>
      <c r="I5328" s="140" t="s">
        <v>6313</v>
      </c>
      <c r="J5328" s="140" t="s">
        <v>6314</v>
      </c>
      <c r="K5328" s="140" t="s">
        <v>12839</v>
      </c>
    </row>
    <row r="5329">
      <c r="A5329" s="140" t="s">
        <v>12839</v>
      </c>
      <c r="B5329" s="140">
        <v>1.000190821E9</v>
      </c>
      <c r="C5329" s="140" t="s">
        <v>12988</v>
      </c>
      <c r="D5329" s="140" t="s">
        <v>7996</v>
      </c>
      <c r="E5329" s="140" t="s">
        <v>7997</v>
      </c>
      <c r="F5329" s="140" t="s">
        <v>12919</v>
      </c>
      <c r="G5329" s="141" t="s">
        <v>6401</v>
      </c>
      <c r="H5329" s="140" t="s">
        <v>6312</v>
      </c>
      <c r="I5329" s="140" t="s">
        <v>6313</v>
      </c>
      <c r="J5329" s="140" t="s">
        <v>6314</v>
      </c>
      <c r="K5329" s="140" t="s">
        <v>12839</v>
      </c>
    </row>
    <row r="5330">
      <c r="A5330" s="140" t="s">
        <v>12839</v>
      </c>
      <c r="B5330" s="140">
        <v>1.000190807E9</v>
      </c>
      <c r="C5330" s="140" t="s">
        <v>12989</v>
      </c>
      <c r="D5330" s="140" t="s">
        <v>7996</v>
      </c>
      <c r="E5330" s="140" t="s">
        <v>7997</v>
      </c>
      <c r="F5330" s="140" t="s">
        <v>12919</v>
      </c>
      <c r="G5330" s="141" t="s">
        <v>6401</v>
      </c>
      <c r="H5330" s="140" t="s">
        <v>6312</v>
      </c>
      <c r="I5330" s="140" t="s">
        <v>6313</v>
      </c>
      <c r="J5330" s="140" t="s">
        <v>6314</v>
      </c>
      <c r="K5330" s="140" t="s">
        <v>12839</v>
      </c>
    </row>
    <row r="5331">
      <c r="A5331" s="140" t="s">
        <v>12839</v>
      </c>
      <c r="B5331" s="140">
        <v>1.000190702E9</v>
      </c>
      <c r="C5331" s="140" t="s">
        <v>12990</v>
      </c>
      <c r="D5331" s="140" t="s">
        <v>7996</v>
      </c>
      <c r="E5331" s="140" t="s">
        <v>7997</v>
      </c>
      <c r="F5331" s="140" t="s">
        <v>12919</v>
      </c>
      <c r="G5331" s="141" t="s">
        <v>6401</v>
      </c>
      <c r="H5331" s="140" t="s">
        <v>6312</v>
      </c>
      <c r="I5331" s="140" t="s">
        <v>6313</v>
      </c>
      <c r="J5331" s="140" t="s">
        <v>6314</v>
      </c>
      <c r="K5331" s="140" t="s">
        <v>12839</v>
      </c>
    </row>
    <row r="5332">
      <c r="A5332" s="140" t="s">
        <v>12839</v>
      </c>
      <c r="B5332" s="140">
        <v>1.000190721E9</v>
      </c>
      <c r="C5332" s="140" t="s">
        <v>12991</v>
      </c>
      <c r="D5332" s="140" t="s">
        <v>7996</v>
      </c>
      <c r="E5332" s="140" t="s">
        <v>7997</v>
      </c>
      <c r="F5332" s="140" t="s">
        <v>12919</v>
      </c>
      <c r="G5332" s="141" t="s">
        <v>6401</v>
      </c>
      <c r="H5332" s="140" t="s">
        <v>6312</v>
      </c>
      <c r="I5332" s="140" t="s">
        <v>6313</v>
      </c>
      <c r="J5332" s="140" t="s">
        <v>6314</v>
      </c>
      <c r="K5332" s="140" t="s">
        <v>12839</v>
      </c>
    </row>
    <row r="5333">
      <c r="A5333" s="140" t="s">
        <v>12839</v>
      </c>
      <c r="B5333" s="140">
        <v>1.000190707E9</v>
      </c>
      <c r="C5333" s="140" t="s">
        <v>12992</v>
      </c>
      <c r="D5333" s="140" t="s">
        <v>7996</v>
      </c>
      <c r="E5333" s="140" t="s">
        <v>7997</v>
      </c>
      <c r="F5333" s="140" t="s">
        <v>12919</v>
      </c>
      <c r="G5333" s="141" t="s">
        <v>6401</v>
      </c>
      <c r="H5333" s="140" t="s">
        <v>6312</v>
      </c>
      <c r="I5333" s="140" t="s">
        <v>6313</v>
      </c>
      <c r="J5333" s="140" t="s">
        <v>6314</v>
      </c>
      <c r="K5333" s="140" t="s">
        <v>12839</v>
      </c>
    </row>
    <row r="5334">
      <c r="A5334" s="140" t="s">
        <v>12839</v>
      </c>
      <c r="B5334" s="140">
        <v>1.000190602E9</v>
      </c>
      <c r="C5334" s="140" t="s">
        <v>12993</v>
      </c>
      <c r="D5334" s="140" t="s">
        <v>7996</v>
      </c>
      <c r="E5334" s="140" t="s">
        <v>7997</v>
      </c>
      <c r="F5334" s="140" t="s">
        <v>12919</v>
      </c>
      <c r="G5334" s="141" t="s">
        <v>6401</v>
      </c>
      <c r="H5334" s="140" t="s">
        <v>6312</v>
      </c>
      <c r="I5334" s="140" t="s">
        <v>6313</v>
      </c>
      <c r="J5334" s="140" t="s">
        <v>6314</v>
      </c>
      <c r="K5334" s="140" t="s">
        <v>12839</v>
      </c>
    </row>
    <row r="5335">
      <c r="A5335" s="140" t="s">
        <v>12839</v>
      </c>
      <c r="B5335" s="140">
        <v>1.000190621E9</v>
      </c>
      <c r="C5335" s="140" t="s">
        <v>12994</v>
      </c>
      <c r="D5335" s="140" t="s">
        <v>7996</v>
      </c>
      <c r="E5335" s="140" t="s">
        <v>7997</v>
      </c>
      <c r="F5335" s="140" t="s">
        <v>12919</v>
      </c>
      <c r="G5335" s="141" t="s">
        <v>6401</v>
      </c>
      <c r="H5335" s="140" t="s">
        <v>6312</v>
      </c>
      <c r="I5335" s="140" t="s">
        <v>6313</v>
      </c>
      <c r="J5335" s="140" t="s">
        <v>6314</v>
      </c>
      <c r="K5335" s="140" t="s">
        <v>12839</v>
      </c>
    </row>
    <row r="5336">
      <c r="A5336" s="140" t="s">
        <v>12839</v>
      </c>
      <c r="B5336" s="140">
        <v>1.000190607E9</v>
      </c>
      <c r="C5336" s="140" t="s">
        <v>12995</v>
      </c>
      <c r="D5336" s="140" t="s">
        <v>7996</v>
      </c>
      <c r="E5336" s="140" t="s">
        <v>7997</v>
      </c>
      <c r="F5336" s="140" t="s">
        <v>12919</v>
      </c>
      <c r="G5336" s="141" t="s">
        <v>6401</v>
      </c>
      <c r="H5336" s="140" t="s">
        <v>6312</v>
      </c>
      <c r="I5336" s="140" t="s">
        <v>6313</v>
      </c>
      <c r="J5336" s="140" t="s">
        <v>6314</v>
      </c>
      <c r="K5336" s="140" t="s">
        <v>12839</v>
      </c>
    </row>
    <row r="5337">
      <c r="A5337" s="140" t="s">
        <v>12839</v>
      </c>
      <c r="B5337" s="140">
        <v>1.000190502E9</v>
      </c>
      <c r="C5337" s="140" t="s">
        <v>12996</v>
      </c>
      <c r="D5337" s="140" t="s">
        <v>7996</v>
      </c>
      <c r="E5337" s="140" t="s">
        <v>7997</v>
      </c>
      <c r="F5337" s="140" t="s">
        <v>12919</v>
      </c>
      <c r="G5337" s="141" t="s">
        <v>6401</v>
      </c>
      <c r="H5337" s="140" t="s">
        <v>6312</v>
      </c>
      <c r="I5337" s="140" t="s">
        <v>6313</v>
      </c>
      <c r="J5337" s="140" t="s">
        <v>6314</v>
      </c>
      <c r="K5337" s="140" t="s">
        <v>12839</v>
      </c>
    </row>
    <row r="5338">
      <c r="A5338" s="140" t="s">
        <v>12839</v>
      </c>
      <c r="B5338" s="140">
        <v>1.000190521E9</v>
      </c>
      <c r="C5338" s="140" t="s">
        <v>12997</v>
      </c>
      <c r="D5338" s="140" t="s">
        <v>7996</v>
      </c>
      <c r="E5338" s="140" t="s">
        <v>7997</v>
      </c>
      <c r="F5338" s="140" t="s">
        <v>12919</v>
      </c>
      <c r="G5338" s="141" t="s">
        <v>6401</v>
      </c>
      <c r="H5338" s="140" t="s">
        <v>6312</v>
      </c>
      <c r="I5338" s="140" t="s">
        <v>6313</v>
      </c>
      <c r="J5338" s="140" t="s">
        <v>6314</v>
      </c>
      <c r="K5338" s="140" t="s">
        <v>12839</v>
      </c>
    </row>
    <row r="5339">
      <c r="A5339" s="140" t="s">
        <v>12839</v>
      </c>
      <c r="B5339" s="140">
        <v>1.000190507E9</v>
      </c>
      <c r="C5339" s="140" t="s">
        <v>12998</v>
      </c>
      <c r="D5339" s="140" t="s">
        <v>7996</v>
      </c>
      <c r="E5339" s="140" t="s">
        <v>7997</v>
      </c>
      <c r="F5339" s="140" t="s">
        <v>12919</v>
      </c>
      <c r="G5339" s="141" t="s">
        <v>6401</v>
      </c>
      <c r="H5339" s="140" t="s">
        <v>6312</v>
      </c>
      <c r="I5339" s="140" t="s">
        <v>6313</v>
      </c>
      <c r="J5339" s="140" t="s">
        <v>6314</v>
      </c>
      <c r="K5339" s="140" t="s">
        <v>12839</v>
      </c>
    </row>
    <row r="5340">
      <c r="A5340" s="140" t="s">
        <v>12839</v>
      </c>
      <c r="B5340" s="140">
        <v>3.000181508E9</v>
      </c>
      <c r="C5340" s="140" t="s">
        <v>12999</v>
      </c>
      <c r="D5340" s="140" t="s">
        <v>7996</v>
      </c>
      <c r="E5340" s="140" t="s">
        <v>7997</v>
      </c>
      <c r="F5340" s="140" t="s">
        <v>13000</v>
      </c>
      <c r="G5340" s="141" t="s">
        <v>6401</v>
      </c>
      <c r="H5340" s="140" t="s">
        <v>6312</v>
      </c>
      <c r="I5340" s="140" t="s">
        <v>6313</v>
      </c>
      <c r="J5340" s="140" t="s">
        <v>6314</v>
      </c>
      <c r="K5340" s="140" t="s">
        <v>12839</v>
      </c>
    </row>
    <row r="5341">
      <c r="A5341" s="140" t="s">
        <v>12839</v>
      </c>
      <c r="B5341" s="140">
        <v>3.000171508E9</v>
      </c>
      <c r="C5341" s="140" t="s">
        <v>13001</v>
      </c>
      <c r="D5341" s="140" t="s">
        <v>7996</v>
      </c>
      <c r="E5341" s="140" t="s">
        <v>7997</v>
      </c>
      <c r="F5341" s="140" t="s">
        <v>13000</v>
      </c>
      <c r="G5341" s="141" t="s">
        <v>6401</v>
      </c>
      <c r="H5341" s="140" t="s">
        <v>6312</v>
      </c>
      <c r="I5341" s="140" t="s">
        <v>6313</v>
      </c>
      <c r="J5341" s="140" t="s">
        <v>6314</v>
      </c>
      <c r="K5341" s="140" t="s">
        <v>12839</v>
      </c>
    </row>
    <row r="5342">
      <c r="A5342" s="140" t="s">
        <v>12839</v>
      </c>
      <c r="B5342" s="140" t="s">
        <v>5511</v>
      </c>
      <c r="C5342" s="140" t="s">
        <v>13002</v>
      </c>
      <c r="D5342" s="140" t="s">
        <v>7996</v>
      </c>
      <c r="E5342" s="140" t="s">
        <v>7997</v>
      </c>
      <c r="F5342" s="140" t="s">
        <v>13000</v>
      </c>
      <c r="G5342" s="141" t="s">
        <v>6401</v>
      </c>
      <c r="H5342" s="140" t="s">
        <v>6312</v>
      </c>
      <c r="I5342" s="140" t="s">
        <v>6313</v>
      </c>
      <c r="J5342" s="140" t="s">
        <v>6314</v>
      </c>
      <c r="K5342" s="140" t="s">
        <v>12839</v>
      </c>
    </row>
    <row r="5343">
      <c r="A5343" s="140" t="s">
        <v>12839</v>
      </c>
      <c r="B5343" s="140">
        <v>3.000200802E9</v>
      </c>
      <c r="C5343" s="140" t="s">
        <v>13003</v>
      </c>
      <c r="D5343" s="140" t="s">
        <v>7996</v>
      </c>
      <c r="E5343" s="140" t="s">
        <v>7997</v>
      </c>
      <c r="F5343" s="140" t="s">
        <v>13000</v>
      </c>
      <c r="G5343" s="141" t="s">
        <v>6401</v>
      </c>
      <c r="H5343" s="140" t="s">
        <v>6312</v>
      </c>
      <c r="I5343" s="140" t="s">
        <v>6313</v>
      </c>
      <c r="J5343" s="140" t="s">
        <v>6314</v>
      </c>
      <c r="K5343" s="140" t="s">
        <v>12839</v>
      </c>
    </row>
    <row r="5344">
      <c r="A5344" s="140" t="s">
        <v>12839</v>
      </c>
      <c r="B5344" s="140">
        <v>3.000200821E9</v>
      </c>
      <c r="C5344" s="140" t="s">
        <v>13004</v>
      </c>
      <c r="D5344" s="140" t="s">
        <v>7996</v>
      </c>
      <c r="E5344" s="140" t="s">
        <v>7997</v>
      </c>
      <c r="F5344" s="140" t="s">
        <v>13000</v>
      </c>
      <c r="G5344" s="141" t="s">
        <v>6401</v>
      </c>
      <c r="H5344" s="140" t="s">
        <v>6312</v>
      </c>
      <c r="I5344" s="140" t="s">
        <v>6313</v>
      </c>
      <c r="J5344" s="140" t="s">
        <v>6314</v>
      </c>
      <c r="K5344" s="140" t="s">
        <v>12839</v>
      </c>
    </row>
    <row r="5345">
      <c r="A5345" s="140" t="s">
        <v>12839</v>
      </c>
      <c r="B5345" s="140">
        <v>3.000200702E9</v>
      </c>
      <c r="C5345" s="140" t="s">
        <v>13005</v>
      </c>
      <c r="D5345" s="140" t="s">
        <v>7996</v>
      </c>
      <c r="E5345" s="140" t="s">
        <v>7997</v>
      </c>
      <c r="F5345" s="140" t="s">
        <v>13000</v>
      </c>
      <c r="G5345" s="141" t="s">
        <v>6401</v>
      </c>
      <c r="H5345" s="140" t="s">
        <v>6312</v>
      </c>
      <c r="I5345" s="140" t="s">
        <v>6313</v>
      </c>
      <c r="J5345" s="140" t="s">
        <v>6314</v>
      </c>
      <c r="K5345" s="140" t="s">
        <v>12839</v>
      </c>
    </row>
    <row r="5346">
      <c r="A5346" s="140" t="s">
        <v>12839</v>
      </c>
      <c r="B5346" s="140">
        <v>3.000200721E9</v>
      </c>
      <c r="C5346" s="140" t="s">
        <v>13006</v>
      </c>
      <c r="D5346" s="140" t="s">
        <v>7996</v>
      </c>
      <c r="E5346" s="140" t="s">
        <v>7997</v>
      </c>
      <c r="F5346" s="140" t="s">
        <v>13000</v>
      </c>
      <c r="G5346" s="141" t="s">
        <v>6401</v>
      </c>
      <c r="H5346" s="140" t="s">
        <v>6312</v>
      </c>
      <c r="I5346" s="140" t="s">
        <v>6313</v>
      </c>
      <c r="J5346" s="140" t="s">
        <v>6314</v>
      </c>
      <c r="K5346" s="140" t="s">
        <v>12839</v>
      </c>
    </row>
    <row r="5347">
      <c r="A5347" s="140" t="s">
        <v>12839</v>
      </c>
      <c r="B5347" s="140">
        <v>3.000190802E9</v>
      </c>
      <c r="C5347" s="140" t="s">
        <v>13007</v>
      </c>
      <c r="D5347" s="140" t="s">
        <v>7996</v>
      </c>
      <c r="E5347" s="140" t="s">
        <v>7997</v>
      </c>
      <c r="F5347" s="140" t="s">
        <v>13000</v>
      </c>
      <c r="G5347" s="141" t="s">
        <v>6401</v>
      </c>
      <c r="H5347" s="140" t="s">
        <v>6312</v>
      </c>
      <c r="I5347" s="140" t="s">
        <v>6313</v>
      </c>
      <c r="J5347" s="140" t="s">
        <v>6314</v>
      </c>
      <c r="K5347" s="140" t="s">
        <v>12839</v>
      </c>
    </row>
    <row r="5348">
      <c r="A5348" s="140" t="s">
        <v>12839</v>
      </c>
      <c r="B5348" s="140">
        <v>3.000141508E10</v>
      </c>
      <c r="C5348" s="140" t="s">
        <v>13008</v>
      </c>
      <c r="D5348" s="140" t="s">
        <v>7996</v>
      </c>
      <c r="E5348" s="140" t="s">
        <v>7997</v>
      </c>
      <c r="F5348" s="140" t="s">
        <v>13000</v>
      </c>
      <c r="G5348" s="141" t="s">
        <v>6401</v>
      </c>
      <c r="H5348" s="140" t="s">
        <v>6312</v>
      </c>
      <c r="I5348" s="140" t="s">
        <v>6313</v>
      </c>
      <c r="J5348" s="140" t="s">
        <v>6314</v>
      </c>
      <c r="K5348" s="140" t="s">
        <v>12839</v>
      </c>
    </row>
    <row r="5349">
      <c r="A5349" s="140" t="s">
        <v>12839</v>
      </c>
      <c r="B5349" s="140">
        <v>3.0001415091E10</v>
      </c>
      <c r="C5349" s="140" t="s">
        <v>13009</v>
      </c>
      <c r="D5349" s="140" t="s">
        <v>7996</v>
      </c>
      <c r="E5349" s="140" t="s">
        <v>7997</v>
      </c>
      <c r="F5349" s="140" t="s">
        <v>13000</v>
      </c>
      <c r="G5349" s="141" t="s">
        <v>6401</v>
      </c>
      <c r="H5349" s="140" t="s">
        <v>6312</v>
      </c>
      <c r="I5349" s="140" t="s">
        <v>6313</v>
      </c>
      <c r="J5349" s="140" t="s">
        <v>6314</v>
      </c>
      <c r="K5349" s="140" t="s">
        <v>12839</v>
      </c>
    </row>
    <row r="5350">
      <c r="A5350" s="140" t="s">
        <v>12839</v>
      </c>
      <c r="B5350" s="140">
        <v>3.000140708E10</v>
      </c>
      <c r="C5350" s="140" t="s">
        <v>13010</v>
      </c>
      <c r="D5350" s="140" t="s">
        <v>7996</v>
      </c>
      <c r="E5350" s="140" t="s">
        <v>7997</v>
      </c>
      <c r="F5350" s="140" t="s">
        <v>13000</v>
      </c>
      <c r="G5350" s="141" t="s">
        <v>6401</v>
      </c>
      <c r="H5350" s="140" t="s">
        <v>6312</v>
      </c>
      <c r="I5350" s="140" t="s">
        <v>6313</v>
      </c>
      <c r="J5350" s="140" t="s">
        <v>6314</v>
      </c>
      <c r="K5350" s="140" t="s">
        <v>12839</v>
      </c>
    </row>
    <row r="5351">
      <c r="A5351" s="140" t="s">
        <v>12839</v>
      </c>
      <c r="B5351" s="140">
        <v>3.0001407091E10</v>
      </c>
      <c r="C5351" s="140" t="s">
        <v>13011</v>
      </c>
      <c r="D5351" s="140" t="s">
        <v>7996</v>
      </c>
      <c r="E5351" s="140" t="s">
        <v>7997</v>
      </c>
      <c r="F5351" s="140" t="s">
        <v>13000</v>
      </c>
      <c r="G5351" s="141" t="s">
        <v>6401</v>
      </c>
      <c r="H5351" s="140" t="s">
        <v>6312</v>
      </c>
      <c r="I5351" s="140" t="s">
        <v>6313</v>
      </c>
      <c r="J5351" s="140" t="s">
        <v>6314</v>
      </c>
      <c r="K5351" s="140" t="s">
        <v>12839</v>
      </c>
    </row>
    <row r="5352">
      <c r="A5352" s="140" t="s">
        <v>12839</v>
      </c>
      <c r="B5352" s="140" t="s">
        <v>5261</v>
      </c>
      <c r="C5352" s="140" t="s">
        <v>13012</v>
      </c>
      <c r="D5352" s="140" t="s">
        <v>7996</v>
      </c>
      <c r="E5352" s="140" t="s">
        <v>7997</v>
      </c>
      <c r="F5352" s="140" t="s">
        <v>13013</v>
      </c>
      <c r="G5352" s="141" t="s">
        <v>6401</v>
      </c>
      <c r="H5352" s="140" t="s">
        <v>6312</v>
      </c>
      <c r="I5352" s="140" t="s">
        <v>6313</v>
      </c>
      <c r="J5352" s="140" t="s">
        <v>6314</v>
      </c>
      <c r="K5352" s="140" t="s">
        <v>12839</v>
      </c>
    </row>
    <row r="5353">
      <c r="A5353" s="140" t="s">
        <v>12839</v>
      </c>
      <c r="B5353" s="140" t="s">
        <v>5257</v>
      </c>
      <c r="C5353" s="140" t="s">
        <v>13014</v>
      </c>
      <c r="D5353" s="140" t="s">
        <v>7996</v>
      </c>
      <c r="E5353" s="140" t="s">
        <v>7997</v>
      </c>
      <c r="F5353" s="140" t="s">
        <v>13013</v>
      </c>
      <c r="G5353" s="141" t="s">
        <v>6401</v>
      </c>
      <c r="H5353" s="140" t="s">
        <v>6312</v>
      </c>
      <c r="I5353" s="140" t="s">
        <v>6313</v>
      </c>
      <c r="J5353" s="140" t="s">
        <v>6314</v>
      </c>
      <c r="K5353" s="140" t="s">
        <v>12839</v>
      </c>
    </row>
    <row r="5354">
      <c r="A5354" s="140" t="s">
        <v>12839</v>
      </c>
      <c r="B5354" s="140" t="s">
        <v>13015</v>
      </c>
      <c r="C5354" s="140" t="s">
        <v>13016</v>
      </c>
      <c r="D5354" s="140" t="s">
        <v>7996</v>
      </c>
      <c r="E5354" s="140" t="s">
        <v>7997</v>
      </c>
      <c r="F5354" s="140" t="s">
        <v>13013</v>
      </c>
      <c r="G5354" s="141" t="s">
        <v>6401</v>
      </c>
      <c r="H5354" s="140" t="s">
        <v>6312</v>
      </c>
      <c r="I5354" s="140" t="s">
        <v>6313</v>
      </c>
      <c r="J5354" s="140" t="s">
        <v>6314</v>
      </c>
      <c r="K5354" s="140" t="s">
        <v>12839</v>
      </c>
    </row>
    <row r="5355">
      <c r="A5355" s="140" t="s">
        <v>12839</v>
      </c>
      <c r="B5355" s="140" t="s">
        <v>13017</v>
      </c>
      <c r="C5355" s="140" t="s">
        <v>13018</v>
      </c>
      <c r="D5355" s="140" t="s">
        <v>7996</v>
      </c>
      <c r="E5355" s="140" t="s">
        <v>7997</v>
      </c>
      <c r="F5355" s="140" t="s">
        <v>13013</v>
      </c>
      <c r="G5355" s="141" t="s">
        <v>6401</v>
      </c>
      <c r="H5355" s="140" t="s">
        <v>6312</v>
      </c>
      <c r="I5355" s="140" t="s">
        <v>6313</v>
      </c>
      <c r="J5355" s="140" t="s">
        <v>6314</v>
      </c>
      <c r="K5355" s="140" t="s">
        <v>12839</v>
      </c>
    </row>
    <row r="5356">
      <c r="A5356" s="140" t="s">
        <v>12839</v>
      </c>
      <c r="B5356" s="140" t="s">
        <v>5259</v>
      </c>
      <c r="C5356" s="140" t="s">
        <v>13019</v>
      </c>
      <c r="D5356" s="140" t="s">
        <v>7996</v>
      </c>
      <c r="E5356" s="140" t="s">
        <v>7997</v>
      </c>
      <c r="F5356" s="140" t="s">
        <v>13013</v>
      </c>
      <c r="G5356" s="141" t="s">
        <v>6401</v>
      </c>
      <c r="H5356" s="140" t="s">
        <v>6312</v>
      </c>
      <c r="I5356" s="140" t="s">
        <v>6313</v>
      </c>
      <c r="J5356" s="140" t="s">
        <v>6314</v>
      </c>
      <c r="K5356" s="140" t="s">
        <v>12839</v>
      </c>
    </row>
    <row r="5357">
      <c r="A5357" s="140" t="s">
        <v>12839</v>
      </c>
      <c r="B5357" s="140" t="s">
        <v>13020</v>
      </c>
      <c r="C5357" s="140" t="s">
        <v>13021</v>
      </c>
      <c r="D5357" s="140" t="s">
        <v>7996</v>
      </c>
      <c r="E5357" s="140" t="s">
        <v>7997</v>
      </c>
      <c r="F5357" s="140" t="s">
        <v>13013</v>
      </c>
      <c r="G5357" s="141" t="s">
        <v>6401</v>
      </c>
      <c r="H5357" s="140" t="s">
        <v>6312</v>
      </c>
      <c r="I5357" s="140" t="s">
        <v>6313</v>
      </c>
      <c r="J5357" s="140" t="s">
        <v>6314</v>
      </c>
      <c r="K5357" s="140" t="s">
        <v>12839</v>
      </c>
    </row>
    <row r="5358">
      <c r="A5358" s="140" t="s">
        <v>12839</v>
      </c>
      <c r="B5358" s="143">
        <v>7.64451E11</v>
      </c>
      <c r="C5358" s="140" t="s">
        <v>13022</v>
      </c>
      <c r="D5358" s="140" t="s">
        <v>7996</v>
      </c>
      <c r="E5358" s="140" t="s">
        <v>7997</v>
      </c>
      <c r="F5358" s="140" t="s">
        <v>13023</v>
      </c>
      <c r="G5358" s="141" t="s">
        <v>6401</v>
      </c>
      <c r="H5358" s="140" t="s">
        <v>6312</v>
      </c>
      <c r="I5358" s="140" t="s">
        <v>6313</v>
      </c>
      <c r="J5358" s="140" t="s">
        <v>6314</v>
      </c>
      <c r="K5358" s="140" t="s">
        <v>12839</v>
      </c>
    </row>
    <row r="5359">
      <c r="A5359" s="140" t="s">
        <v>12839</v>
      </c>
      <c r="B5359" s="140">
        <v>7.500030802E9</v>
      </c>
      <c r="C5359" s="140" t="s">
        <v>13024</v>
      </c>
      <c r="D5359" s="140" t="s">
        <v>7996</v>
      </c>
      <c r="E5359" s="140" t="s">
        <v>7997</v>
      </c>
      <c r="F5359" s="140" t="s">
        <v>13023</v>
      </c>
      <c r="G5359" s="141" t="s">
        <v>6401</v>
      </c>
      <c r="H5359" s="140" t="s">
        <v>6312</v>
      </c>
      <c r="I5359" s="140" t="s">
        <v>6313</v>
      </c>
      <c r="J5359" s="140" t="s">
        <v>6314</v>
      </c>
      <c r="K5359" s="140" t="s">
        <v>12839</v>
      </c>
    </row>
    <row r="5360">
      <c r="A5360" s="140" t="s">
        <v>12839</v>
      </c>
      <c r="B5360" s="140">
        <v>7.500030821E9</v>
      </c>
      <c r="C5360" s="140" t="s">
        <v>13025</v>
      </c>
      <c r="D5360" s="140" t="s">
        <v>7996</v>
      </c>
      <c r="E5360" s="140" t="s">
        <v>7997</v>
      </c>
      <c r="F5360" s="140" t="s">
        <v>13023</v>
      </c>
      <c r="G5360" s="141" t="s">
        <v>6401</v>
      </c>
      <c r="H5360" s="140" t="s">
        <v>6312</v>
      </c>
      <c r="I5360" s="140" t="s">
        <v>6313</v>
      </c>
      <c r="J5360" s="140" t="s">
        <v>6314</v>
      </c>
      <c r="K5360" s="140" t="s">
        <v>12839</v>
      </c>
    </row>
    <row r="5361">
      <c r="A5361" s="140" t="s">
        <v>12839</v>
      </c>
      <c r="B5361" s="140">
        <v>7.500030702E9</v>
      </c>
      <c r="C5361" s="140" t="s">
        <v>13026</v>
      </c>
      <c r="D5361" s="140" t="s">
        <v>7996</v>
      </c>
      <c r="E5361" s="140" t="s">
        <v>7997</v>
      </c>
      <c r="F5361" s="140" t="s">
        <v>13023</v>
      </c>
      <c r="G5361" s="141" t="s">
        <v>6401</v>
      </c>
      <c r="H5361" s="140" t="s">
        <v>6312</v>
      </c>
      <c r="I5361" s="140" t="s">
        <v>6313</v>
      </c>
      <c r="J5361" s="140" t="s">
        <v>6314</v>
      </c>
      <c r="K5361" s="140" t="s">
        <v>12839</v>
      </c>
    </row>
    <row r="5362">
      <c r="A5362" s="140" t="s">
        <v>12839</v>
      </c>
      <c r="B5362" s="140">
        <v>7.500030721E9</v>
      </c>
      <c r="C5362" s="140" t="s">
        <v>13027</v>
      </c>
      <c r="D5362" s="140" t="s">
        <v>7996</v>
      </c>
      <c r="E5362" s="140" t="s">
        <v>7997</v>
      </c>
      <c r="F5362" s="140" t="s">
        <v>13023</v>
      </c>
      <c r="G5362" s="141" t="s">
        <v>6401</v>
      </c>
      <c r="H5362" s="140" t="s">
        <v>6312</v>
      </c>
      <c r="I5362" s="140" t="s">
        <v>6313</v>
      </c>
      <c r="J5362" s="140" t="s">
        <v>6314</v>
      </c>
      <c r="K5362" s="140" t="s">
        <v>12839</v>
      </c>
    </row>
    <row r="5363">
      <c r="A5363" s="140" t="s">
        <v>12839</v>
      </c>
      <c r="B5363" s="140" t="s">
        <v>4890</v>
      </c>
      <c r="C5363" s="140" t="s">
        <v>13028</v>
      </c>
      <c r="D5363" s="140" t="s">
        <v>7996</v>
      </c>
      <c r="E5363" s="140" t="s">
        <v>7997</v>
      </c>
      <c r="F5363" s="140" t="s">
        <v>13029</v>
      </c>
      <c r="G5363" s="141" t="s">
        <v>6401</v>
      </c>
      <c r="H5363" s="140" t="s">
        <v>6312</v>
      </c>
      <c r="I5363" s="140" t="s">
        <v>6313</v>
      </c>
      <c r="J5363" s="140" t="s">
        <v>6314</v>
      </c>
      <c r="K5363" s="140" t="s">
        <v>12839</v>
      </c>
    </row>
    <row r="5364">
      <c r="A5364" s="140" t="s">
        <v>12839</v>
      </c>
      <c r="B5364" s="140" t="s">
        <v>3356</v>
      </c>
      <c r="C5364" s="140" t="s">
        <v>13030</v>
      </c>
      <c r="D5364" s="140" t="s">
        <v>7996</v>
      </c>
      <c r="E5364" s="140" t="s">
        <v>7997</v>
      </c>
      <c r="F5364" s="140" t="s">
        <v>13029</v>
      </c>
      <c r="G5364" s="141" t="s">
        <v>6401</v>
      </c>
      <c r="H5364" s="140" t="s">
        <v>6312</v>
      </c>
      <c r="I5364" s="140" t="s">
        <v>6313</v>
      </c>
      <c r="J5364" s="140" t="s">
        <v>6314</v>
      </c>
      <c r="K5364" s="140" t="s">
        <v>12839</v>
      </c>
    </row>
    <row r="5365">
      <c r="A5365" s="140" t="s">
        <v>12839</v>
      </c>
      <c r="B5365" s="140" t="s">
        <v>13031</v>
      </c>
      <c r="C5365" s="140" t="s">
        <v>13032</v>
      </c>
      <c r="D5365" s="140" t="s">
        <v>7996</v>
      </c>
      <c r="E5365" s="140" t="s">
        <v>7997</v>
      </c>
      <c r="F5365" s="140" t="s">
        <v>13029</v>
      </c>
      <c r="G5365" s="141" t="s">
        <v>6401</v>
      </c>
      <c r="H5365" s="140" t="s">
        <v>6312</v>
      </c>
      <c r="I5365" s="140" t="s">
        <v>6313</v>
      </c>
      <c r="J5365" s="140" t="s">
        <v>6314</v>
      </c>
      <c r="K5365" s="140" t="s">
        <v>12839</v>
      </c>
    </row>
    <row r="5366">
      <c r="A5366" s="140" t="s">
        <v>12839</v>
      </c>
      <c r="B5366" s="140" t="s">
        <v>4900</v>
      </c>
      <c r="C5366" s="140" t="s">
        <v>13033</v>
      </c>
      <c r="D5366" s="140" t="s">
        <v>7996</v>
      </c>
      <c r="E5366" s="140" t="s">
        <v>7997</v>
      </c>
      <c r="F5366" s="140" t="s">
        <v>13029</v>
      </c>
      <c r="G5366" s="141" t="s">
        <v>6401</v>
      </c>
      <c r="H5366" s="140" t="s">
        <v>6312</v>
      </c>
      <c r="I5366" s="140" t="s">
        <v>6313</v>
      </c>
      <c r="J5366" s="140" t="s">
        <v>6314</v>
      </c>
      <c r="K5366" s="140" t="s">
        <v>12839</v>
      </c>
    </row>
    <row r="5367">
      <c r="A5367" s="140" t="s">
        <v>12839</v>
      </c>
      <c r="B5367" s="140" t="s">
        <v>4898</v>
      </c>
      <c r="C5367" s="140" t="s">
        <v>13034</v>
      </c>
      <c r="D5367" s="140" t="s">
        <v>7996</v>
      </c>
      <c r="E5367" s="140" t="s">
        <v>7997</v>
      </c>
      <c r="F5367" s="140" t="s">
        <v>13029</v>
      </c>
      <c r="G5367" s="141" t="s">
        <v>6401</v>
      </c>
      <c r="H5367" s="140" t="s">
        <v>6312</v>
      </c>
      <c r="I5367" s="140" t="s">
        <v>6313</v>
      </c>
      <c r="J5367" s="140" t="s">
        <v>6314</v>
      </c>
      <c r="K5367" s="140" t="s">
        <v>12839</v>
      </c>
    </row>
    <row r="5368">
      <c r="A5368" s="140" t="s">
        <v>12839</v>
      </c>
      <c r="B5368" s="140" t="s">
        <v>4908</v>
      </c>
      <c r="C5368" s="140" t="s">
        <v>13035</v>
      </c>
      <c r="D5368" s="140" t="s">
        <v>7996</v>
      </c>
      <c r="E5368" s="140" t="s">
        <v>7997</v>
      </c>
      <c r="F5368" s="140" t="s">
        <v>13029</v>
      </c>
      <c r="G5368" s="141" t="s">
        <v>6401</v>
      </c>
      <c r="H5368" s="140" t="s">
        <v>6312</v>
      </c>
      <c r="I5368" s="140" t="s">
        <v>6313</v>
      </c>
      <c r="J5368" s="140" t="s">
        <v>6314</v>
      </c>
      <c r="K5368" s="140" t="s">
        <v>12839</v>
      </c>
    </row>
    <row r="5369">
      <c r="A5369" s="140" t="s">
        <v>12839</v>
      </c>
      <c r="B5369" s="140" t="s">
        <v>4904</v>
      </c>
      <c r="C5369" s="140" t="s">
        <v>13036</v>
      </c>
      <c r="D5369" s="140" t="s">
        <v>7996</v>
      </c>
      <c r="E5369" s="140" t="s">
        <v>7997</v>
      </c>
      <c r="F5369" s="140" t="s">
        <v>13029</v>
      </c>
      <c r="G5369" s="141" t="s">
        <v>6401</v>
      </c>
      <c r="H5369" s="140" t="s">
        <v>6312</v>
      </c>
      <c r="I5369" s="140" t="s">
        <v>6313</v>
      </c>
      <c r="J5369" s="140" t="s">
        <v>6314</v>
      </c>
      <c r="K5369" s="140" t="s">
        <v>12839</v>
      </c>
    </row>
    <row r="5370">
      <c r="A5370" s="140" t="s">
        <v>12839</v>
      </c>
      <c r="B5370" s="140" t="s">
        <v>4902</v>
      </c>
      <c r="C5370" s="140" t="s">
        <v>13037</v>
      </c>
      <c r="D5370" s="140" t="s">
        <v>7996</v>
      </c>
      <c r="E5370" s="140" t="s">
        <v>7997</v>
      </c>
      <c r="F5370" s="140" t="s">
        <v>13029</v>
      </c>
      <c r="G5370" s="141" t="s">
        <v>6401</v>
      </c>
      <c r="H5370" s="140" t="s">
        <v>6312</v>
      </c>
      <c r="I5370" s="140" t="s">
        <v>6313</v>
      </c>
      <c r="J5370" s="140" t="s">
        <v>6314</v>
      </c>
      <c r="K5370" s="140" t="s">
        <v>12839</v>
      </c>
    </row>
    <row r="5371">
      <c r="A5371" s="140" t="s">
        <v>12839</v>
      </c>
      <c r="B5371" s="140" t="s">
        <v>13038</v>
      </c>
      <c r="C5371" s="140" t="s">
        <v>13039</v>
      </c>
      <c r="D5371" s="140" t="s">
        <v>7996</v>
      </c>
      <c r="E5371" s="140" t="s">
        <v>7997</v>
      </c>
      <c r="F5371" s="140" t="s">
        <v>13029</v>
      </c>
      <c r="G5371" s="141" t="s">
        <v>6401</v>
      </c>
      <c r="H5371" s="140" t="s">
        <v>6312</v>
      </c>
      <c r="I5371" s="140" t="s">
        <v>6313</v>
      </c>
      <c r="J5371" s="140" t="s">
        <v>6314</v>
      </c>
      <c r="K5371" s="140" t="s">
        <v>12839</v>
      </c>
    </row>
    <row r="5372">
      <c r="A5372" s="140" t="s">
        <v>12839</v>
      </c>
      <c r="B5372" s="140" t="s">
        <v>4886</v>
      </c>
      <c r="C5372" s="140" t="s">
        <v>13040</v>
      </c>
      <c r="D5372" s="140" t="s">
        <v>7996</v>
      </c>
      <c r="E5372" s="140" t="s">
        <v>7997</v>
      </c>
      <c r="F5372" s="140" t="s">
        <v>13029</v>
      </c>
      <c r="G5372" s="141" t="s">
        <v>6401</v>
      </c>
      <c r="H5372" s="140" t="s">
        <v>6312</v>
      </c>
      <c r="I5372" s="140" t="s">
        <v>6313</v>
      </c>
      <c r="J5372" s="140" t="s">
        <v>6314</v>
      </c>
      <c r="K5372" s="140" t="s">
        <v>12839</v>
      </c>
    </row>
    <row r="5373">
      <c r="A5373" s="140" t="s">
        <v>12839</v>
      </c>
      <c r="B5373" s="140" t="s">
        <v>4884</v>
      </c>
      <c r="C5373" s="140" t="s">
        <v>13041</v>
      </c>
      <c r="D5373" s="140" t="s">
        <v>7996</v>
      </c>
      <c r="E5373" s="140" t="s">
        <v>7997</v>
      </c>
      <c r="F5373" s="140" t="s">
        <v>13029</v>
      </c>
      <c r="G5373" s="141" t="s">
        <v>6401</v>
      </c>
      <c r="H5373" s="140" t="s">
        <v>6312</v>
      </c>
      <c r="I5373" s="140" t="s">
        <v>6313</v>
      </c>
      <c r="J5373" s="140" t="s">
        <v>6314</v>
      </c>
      <c r="K5373" s="140" t="s">
        <v>12839</v>
      </c>
    </row>
    <row r="5374">
      <c r="A5374" s="140" t="s">
        <v>12839</v>
      </c>
      <c r="B5374" s="140" t="s">
        <v>4882</v>
      </c>
      <c r="C5374" s="140" t="s">
        <v>13042</v>
      </c>
      <c r="D5374" s="140" t="s">
        <v>7996</v>
      </c>
      <c r="E5374" s="140" t="s">
        <v>7997</v>
      </c>
      <c r="F5374" s="140" t="s">
        <v>13029</v>
      </c>
      <c r="G5374" s="141" t="s">
        <v>6401</v>
      </c>
      <c r="H5374" s="140" t="s">
        <v>6312</v>
      </c>
      <c r="I5374" s="140" t="s">
        <v>6313</v>
      </c>
      <c r="J5374" s="140" t="s">
        <v>6314</v>
      </c>
      <c r="K5374" s="140" t="s">
        <v>12839</v>
      </c>
    </row>
    <row r="5375">
      <c r="A5375" s="140" t="s">
        <v>12839</v>
      </c>
      <c r="B5375" s="140" t="s">
        <v>4888</v>
      </c>
      <c r="C5375" s="140" t="s">
        <v>13043</v>
      </c>
      <c r="D5375" s="140" t="s">
        <v>7996</v>
      </c>
      <c r="E5375" s="140" t="s">
        <v>7997</v>
      </c>
      <c r="F5375" s="140" t="s">
        <v>13029</v>
      </c>
      <c r="G5375" s="141" t="s">
        <v>6401</v>
      </c>
      <c r="H5375" s="140" t="s">
        <v>6312</v>
      </c>
      <c r="I5375" s="140" t="s">
        <v>6313</v>
      </c>
      <c r="J5375" s="140" t="s">
        <v>6314</v>
      </c>
      <c r="K5375" s="140" t="s">
        <v>12839</v>
      </c>
    </row>
    <row r="5376">
      <c r="A5376" s="140" t="s">
        <v>12839</v>
      </c>
      <c r="B5376" s="140" t="s">
        <v>2690</v>
      </c>
      <c r="C5376" s="140" t="s">
        <v>13044</v>
      </c>
      <c r="D5376" s="140" t="s">
        <v>7996</v>
      </c>
      <c r="E5376" s="140" t="s">
        <v>7997</v>
      </c>
      <c r="F5376" s="140" t="s">
        <v>13029</v>
      </c>
      <c r="G5376" s="141" t="s">
        <v>6401</v>
      </c>
      <c r="H5376" s="140" t="s">
        <v>6312</v>
      </c>
      <c r="I5376" s="140" t="s">
        <v>6313</v>
      </c>
      <c r="J5376" s="140" t="s">
        <v>6314</v>
      </c>
      <c r="K5376" s="140" t="s">
        <v>12839</v>
      </c>
    </row>
    <row r="5377">
      <c r="A5377" s="140" t="s">
        <v>12839</v>
      </c>
      <c r="B5377" s="140" t="s">
        <v>13045</v>
      </c>
      <c r="C5377" s="140" t="s">
        <v>13046</v>
      </c>
      <c r="D5377" s="140" t="s">
        <v>7996</v>
      </c>
      <c r="E5377" s="140" t="s">
        <v>7997</v>
      </c>
      <c r="F5377" s="140" t="s">
        <v>13029</v>
      </c>
      <c r="G5377" s="141" t="s">
        <v>6401</v>
      </c>
      <c r="H5377" s="140" t="s">
        <v>6312</v>
      </c>
      <c r="I5377" s="140" t="s">
        <v>6313</v>
      </c>
      <c r="J5377" s="140" t="s">
        <v>6314</v>
      </c>
      <c r="K5377" s="140" t="s">
        <v>12839</v>
      </c>
    </row>
    <row r="5378">
      <c r="A5378" s="140" t="s">
        <v>12839</v>
      </c>
      <c r="B5378" s="140" t="s">
        <v>13047</v>
      </c>
      <c r="C5378" s="140" t="s">
        <v>13048</v>
      </c>
      <c r="D5378" s="140" t="s">
        <v>7996</v>
      </c>
      <c r="E5378" s="140" t="s">
        <v>7997</v>
      </c>
      <c r="F5378" s="140" t="s">
        <v>13029</v>
      </c>
      <c r="G5378" s="141" t="s">
        <v>6401</v>
      </c>
      <c r="H5378" s="140" t="s">
        <v>6312</v>
      </c>
      <c r="I5378" s="140" t="s">
        <v>6313</v>
      </c>
      <c r="J5378" s="140" t="s">
        <v>6314</v>
      </c>
      <c r="K5378" s="140" t="s">
        <v>12839</v>
      </c>
    </row>
    <row r="5379">
      <c r="A5379" s="140" t="s">
        <v>12839</v>
      </c>
      <c r="B5379" s="140" t="s">
        <v>13049</v>
      </c>
      <c r="C5379" s="140" t="s">
        <v>13050</v>
      </c>
      <c r="D5379" s="140" t="s">
        <v>7996</v>
      </c>
      <c r="E5379" s="140" t="s">
        <v>7997</v>
      </c>
      <c r="F5379" s="140" t="s">
        <v>13029</v>
      </c>
      <c r="G5379" s="141" t="s">
        <v>6401</v>
      </c>
      <c r="H5379" s="140" t="s">
        <v>6312</v>
      </c>
      <c r="I5379" s="140" t="s">
        <v>6313</v>
      </c>
      <c r="J5379" s="140" t="s">
        <v>6314</v>
      </c>
      <c r="K5379" s="140" t="s">
        <v>12839</v>
      </c>
    </row>
    <row r="5380">
      <c r="A5380" s="140" t="s">
        <v>12839</v>
      </c>
      <c r="B5380" s="140" t="s">
        <v>5558</v>
      </c>
      <c r="C5380" s="140" t="s">
        <v>13051</v>
      </c>
      <c r="D5380" s="140" t="s">
        <v>7996</v>
      </c>
      <c r="E5380" s="140" t="s">
        <v>7997</v>
      </c>
      <c r="F5380" s="140" t="s">
        <v>13029</v>
      </c>
      <c r="G5380" s="141" t="s">
        <v>6401</v>
      </c>
      <c r="H5380" s="140" t="s">
        <v>6312</v>
      </c>
      <c r="I5380" s="140" t="s">
        <v>6313</v>
      </c>
      <c r="J5380" s="140" t="s">
        <v>6314</v>
      </c>
      <c r="K5380" s="140" t="s">
        <v>12839</v>
      </c>
    </row>
    <row r="5381">
      <c r="A5381" s="140" t="s">
        <v>12839</v>
      </c>
      <c r="B5381" s="140" t="s">
        <v>4880</v>
      </c>
      <c r="C5381" s="140" t="s">
        <v>13052</v>
      </c>
      <c r="D5381" s="140" t="s">
        <v>7996</v>
      </c>
      <c r="E5381" s="140" t="s">
        <v>7997</v>
      </c>
      <c r="F5381" s="140" t="s">
        <v>13029</v>
      </c>
      <c r="G5381" s="141" t="s">
        <v>6401</v>
      </c>
      <c r="H5381" s="140" t="s">
        <v>6312</v>
      </c>
      <c r="I5381" s="140" t="s">
        <v>6313</v>
      </c>
      <c r="J5381" s="140" t="s">
        <v>6314</v>
      </c>
      <c r="K5381" s="140" t="s">
        <v>12839</v>
      </c>
    </row>
    <row r="5382">
      <c r="A5382" s="140" t="s">
        <v>12839</v>
      </c>
      <c r="B5382" s="140" t="s">
        <v>4896</v>
      </c>
      <c r="C5382" s="140" t="s">
        <v>13053</v>
      </c>
      <c r="D5382" s="140" t="s">
        <v>7996</v>
      </c>
      <c r="E5382" s="140" t="s">
        <v>7997</v>
      </c>
      <c r="F5382" s="140" t="s">
        <v>13029</v>
      </c>
      <c r="G5382" s="141" t="s">
        <v>6401</v>
      </c>
      <c r="H5382" s="140" t="s">
        <v>6312</v>
      </c>
      <c r="I5382" s="140" t="s">
        <v>6313</v>
      </c>
      <c r="J5382" s="140" t="s">
        <v>6314</v>
      </c>
      <c r="K5382" s="140" t="s">
        <v>12839</v>
      </c>
    </row>
    <row r="5383">
      <c r="A5383" s="140" t="s">
        <v>12839</v>
      </c>
      <c r="B5383" s="140" t="s">
        <v>13054</v>
      </c>
      <c r="C5383" s="140" t="s">
        <v>13055</v>
      </c>
      <c r="D5383" s="140" t="s">
        <v>7996</v>
      </c>
      <c r="E5383" s="140" t="s">
        <v>7997</v>
      </c>
      <c r="F5383" s="140" t="s">
        <v>13029</v>
      </c>
      <c r="G5383" s="141" t="s">
        <v>6401</v>
      </c>
      <c r="H5383" s="140" t="s">
        <v>6312</v>
      </c>
      <c r="I5383" s="140" t="s">
        <v>6313</v>
      </c>
      <c r="J5383" s="140" t="s">
        <v>6314</v>
      </c>
      <c r="K5383" s="140" t="s">
        <v>12839</v>
      </c>
    </row>
    <row r="5384">
      <c r="A5384" s="140" t="s">
        <v>12839</v>
      </c>
      <c r="B5384" s="140" t="s">
        <v>13056</v>
      </c>
      <c r="C5384" s="140" t="s">
        <v>13057</v>
      </c>
      <c r="D5384" s="140" t="s">
        <v>7996</v>
      </c>
      <c r="E5384" s="140" t="s">
        <v>7997</v>
      </c>
      <c r="F5384" s="140" t="s">
        <v>13029</v>
      </c>
      <c r="G5384" s="141" t="s">
        <v>6304</v>
      </c>
      <c r="H5384" s="140" t="s">
        <v>6312</v>
      </c>
      <c r="I5384" s="140" t="s">
        <v>6527</v>
      </c>
      <c r="J5384" s="140" t="s">
        <v>6314</v>
      </c>
      <c r="K5384" s="140" t="s">
        <v>12839</v>
      </c>
    </row>
    <row r="5385">
      <c r="A5385" s="140" t="s">
        <v>12839</v>
      </c>
      <c r="B5385" s="140" t="s">
        <v>4894</v>
      </c>
      <c r="C5385" s="140" t="s">
        <v>13058</v>
      </c>
      <c r="D5385" s="140" t="s">
        <v>7996</v>
      </c>
      <c r="E5385" s="140" t="s">
        <v>7997</v>
      </c>
      <c r="F5385" s="140" t="s">
        <v>13029</v>
      </c>
      <c r="G5385" s="141" t="s">
        <v>6401</v>
      </c>
      <c r="H5385" s="140" t="s">
        <v>6312</v>
      </c>
      <c r="I5385" s="140" t="s">
        <v>6313</v>
      </c>
      <c r="J5385" s="140" t="s">
        <v>6314</v>
      </c>
      <c r="K5385" s="140" t="s">
        <v>12839</v>
      </c>
    </row>
    <row r="5386">
      <c r="A5386" s="140" t="s">
        <v>12839</v>
      </c>
      <c r="B5386" s="140" t="s">
        <v>4892</v>
      </c>
      <c r="C5386" s="140" t="s">
        <v>13059</v>
      </c>
      <c r="D5386" s="140" t="s">
        <v>7996</v>
      </c>
      <c r="E5386" s="140" t="s">
        <v>7997</v>
      </c>
      <c r="F5386" s="140" t="s">
        <v>13029</v>
      </c>
      <c r="G5386" s="141" t="s">
        <v>6401</v>
      </c>
      <c r="H5386" s="140" t="s">
        <v>6312</v>
      </c>
      <c r="I5386" s="140" t="s">
        <v>6313</v>
      </c>
      <c r="J5386" s="140" t="s">
        <v>6314</v>
      </c>
      <c r="K5386" s="140" t="s">
        <v>12839</v>
      </c>
    </row>
    <row r="5387">
      <c r="A5387" s="140" t="s">
        <v>12839</v>
      </c>
      <c r="B5387" s="140" t="s">
        <v>13060</v>
      </c>
      <c r="C5387" s="140" t="s">
        <v>13061</v>
      </c>
      <c r="D5387" s="140" t="s">
        <v>7996</v>
      </c>
      <c r="E5387" s="140" t="s">
        <v>7997</v>
      </c>
      <c r="F5387" s="140" t="s">
        <v>13029</v>
      </c>
      <c r="G5387" s="141" t="s">
        <v>6401</v>
      </c>
      <c r="H5387" s="140" t="s">
        <v>6312</v>
      </c>
      <c r="I5387" s="140" t="s">
        <v>6313</v>
      </c>
      <c r="J5387" s="140" t="s">
        <v>6314</v>
      </c>
      <c r="K5387" s="140" t="s">
        <v>12839</v>
      </c>
    </row>
    <row r="5388">
      <c r="A5388" s="140" t="s">
        <v>12839</v>
      </c>
      <c r="B5388" s="140" t="s">
        <v>4914</v>
      </c>
      <c r="C5388" s="140" t="s">
        <v>13062</v>
      </c>
      <c r="D5388" s="140" t="s">
        <v>7996</v>
      </c>
      <c r="E5388" s="140" t="s">
        <v>7997</v>
      </c>
      <c r="F5388" s="140" t="s">
        <v>13029</v>
      </c>
      <c r="G5388" s="141" t="s">
        <v>6401</v>
      </c>
      <c r="H5388" s="140" t="s">
        <v>6312</v>
      </c>
      <c r="I5388" s="140" t="s">
        <v>6313</v>
      </c>
      <c r="J5388" s="140" t="s">
        <v>6314</v>
      </c>
      <c r="K5388" s="140" t="s">
        <v>12839</v>
      </c>
    </row>
    <row r="5389">
      <c r="A5389" s="140" t="s">
        <v>12839</v>
      </c>
      <c r="B5389" s="140" t="s">
        <v>4912</v>
      </c>
      <c r="C5389" s="140" t="s">
        <v>13063</v>
      </c>
      <c r="D5389" s="140" t="s">
        <v>7996</v>
      </c>
      <c r="E5389" s="140" t="s">
        <v>7997</v>
      </c>
      <c r="F5389" s="140" t="s">
        <v>13029</v>
      </c>
      <c r="G5389" s="141" t="s">
        <v>6401</v>
      </c>
      <c r="H5389" s="140" t="s">
        <v>6312</v>
      </c>
      <c r="I5389" s="140" t="s">
        <v>6313</v>
      </c>
      <c r="J5389" s="140" t="s">
        <v>6314</v>
      </c>
      <c r="K5389" s="140" t="s">
        <v>12839</v>
      </c>
    </row>
    <row r="5390">
      <c r="A5390" s="140" t="s">
        <v>12839</v>
      </c>
      <c r="B5390" s="140" t="s">
        <v>4910</v>
      </c>
      <c r="C5390" s="140" t="s">
        <v>13064</v>
      </c>
      <c r="D5390" s="140" t="s">
        <v>7996</v>
      </c>
      <c r="E5390" s="140" t="s">
        <v>7997</v>
      </c>
      <c r="F5390" s="140" t="s">
        <v>13029</v>
      </c>
      <c r="G5390" s="141" t="s">
        <v>6401</v>
      </c>
      <c r="H5390" s="140" t="s">
        <v>6312</v>
      </c>
      <c r="I5390" s="140" t="s">
        <v>6313</v>
      </c>
      <c r="J5390" s="140" t="s">
        <v>6314</v>
      </c>
      <c r="K5390" s="140" t="s">
        <v>12839</v>
      </c>
    </row>
    <row r="5391">
      <c r="A5391" s="140" t="s">
        <v>12839</v>
      </c>
      <c r="B5391" s="140" t="s">
        <v>4906</v>
      </c>
      <c r="C5391" s="140" t="s">
        <v>13065</v>
      </c>
      <c r="D5391" s="140" t="s">
        <v>7996</v>
      </c>
      <c r="E5391" s="140" t="s">
        <v>7997</v>
      </c>
      <c r="F5391" s="140" t="s">
        <v>13029</v>
      </c>
      <c r="G5391" s="141" t="s">
        <v>6401</v>
      </c>
      <c r="H5391" s="140" t="s">
        <v>6312</v>
      </c>
      <c r="I5391" s="140" t="s">
        <v>6313</v>
      </c>
      <c r="J5391" s="140" t="s">
        <v>6314</v>
      </c>
      <c r="K5391" s="140" t="s">
        <v>12839</v>
      </c>
    </row>
    <row r="5392">
      <c r="A5392" s="140" t="s">
        <v>12839</v>
      </c>
      <c r="B5392" s="140" t="s">
        <v>3358</v>
      </c>
      <c r="C5392" s="140" t="s">
        <v>13066</v>
      </c>
      <c r="D5392" s="140" t="s">
        <v>7996</v>
      </c>
      <c r="E5392" s="140" t="s">
        <v>7997</v>
      </c>
      <c r="F5392" s="140" t="s">
        <v>13029</v>
      </c>
      <c r="G5392" s="141" t="s">
        <v>6401</v>
      </c>
      <c r="H5392" s="140" t="s">
        <v>6312</v>
      </c>
      <c r="I5392" s="140" t="s">
        <v>6313</v>
      </c>
      <c r="J5392" s="140" t="s">
        <v>6314</v>
      </c>
      <c r="K5392" s="140" t="s">
        <v>12839</v>
      </c>
    </row>
    <row r="5393">
      <c r="A5393" s="140" t="s">
        <v>12839</v>
      </c>
      <c r="B5393" s="140" t="s">
        <v>13067</v>
      </c>
      <c r="C5393" s="140" t="s">
        <v>13068</v>
      </c>
      <c r="D5393" s="140" t="s">
        <v>7996</v>
      </c>
      <c r="E5393" s="140" t="s">
        <v>7997</v>
      </c>
      <c r="F5393" s="140" t="s">
        <v>13029</v>
      </c>
      <c r="G5393" s="141" t="s">
        <v>6401</v>
      </c>
      <c r="H5393" s="140" t="s">
        <v>6312</v>
      </c>
      <c r="I5393" s="140" t="s">
        <v>6313</v>
      </c>
      <c r="J5393" s="140" t="s">
        <v>6314</v>
      </c>
      <c r="K5393" s="140" t="s">
        <v>12839</v>
      </c>
    </row>
    <row r="5394">
      <c r="A5394" s="140" t="s">
        <v>12839</v>
      </c>
      <c r="B5394" s="140">
        <v>7.500021502E9</v>
      </c>
      <c r="C5394" s="140" t="s">
        <v>13069</v>
      </c>
      <c r="D5394" s="140" t="s">
        <v>7996</v>
      </c>
      <c r="E5394" s="140" t="s">
        <v>7997</v>
      </c>
      <c r="F5394" s="140" t="s">
        <v>13029</v>
      </c>
      <c r="G5394" s="141" t="s">
        <v>6401</v>
      </c>
      <c r="H5394" s="140" t="s">
        <v>6312</v>
      </c>
      <c r="I5394" s="140" t="s">
        <v>6313</v>
      </c>
      <c r="J5394" s="140" t="s">
        <v>6314</v>
      </c>
      <c r="K5394" s="140" t="s">
        <v>12839</v>
      </c>
    </row>
    <row r="5395">
      <c r="A5395" s="140" t="s">
        <v>12839</v>
      </c>
      <c r="B5395" s="140">
        <v>7.500021521E9</v>
      </c>
      <c r="C5395" s="140" t="s">
        <v>13070</v>
      </c>
      <c r="D5395" s="140" t="s">
        <v>7996</v>
      </c>
      <c r="E5395" s="140" t="s">
        <v>7997</v>
      </c>
      <c r="F5395" s="140" t="s">
        <v>13029</v>
      </c>
      <c r="G5395" s="141" t="s">
        <v>6401</v>
      </c>
      <c r="H5395" s="140" t="s">
        <v>6312</v>
      </c>
      <c r="I5395" s="140" t="s">
        <v>6313</v>
      </c>
      <c r="J5395" s="140" t="s">
        <v>6314</v>
      </c>
      <c r="K5395" s="140" t="s">
        <v>12839</v>
      </c>
    </row>
    <row r="5396">
      <c r="A5396" s="140" t="s">
        <v>12839</v>
      </c>
      <c r="B5396" s="143">
        <v>2.11E12</v>
      </c>
      <c r="C5396" s="140" t="s">
        <v>13071</v>
      </c>
      <c r="D5396" s="140" t="s">
        <v>7996</v>
      </c>
      <c r="E5396" s="140" t="s">
        <v>7997</v>
      </c>
      <c r="F5396" s="140" t="s">
        <v>13072</v>
      </c>
      <c r="G5396" s="141" t="s">
        <v>6401</v>
      </c>
      <c r="H5396" s="140" t="s">
        <v>6312</v>
      </c>
      <c r="I5396" s="140" t="s">
        <v>6313</v>
      </c>
      <c r="J5396" s="140" t="s">
        <v>6314</v>
      </c>
      <c r="K5396" s="140" t="s">
        <v>12839</v>
      </c>
    </row>
    <row r="5397">
      <c r="A5397" s="140" t="s">
        <v>12839</v>
      </c>
      <c r="B5397" s="143">
        <v>2.11E12</v>
      </c>
      <c r="C5397" s="140" t="s">
        <v>13073</v>
      </c>
      <c r="D5397" s="140" t="s">
        <v>7996</v>
      </c>
      <c r="E5397" s="140" t="s">
        <v>7997</v>
      </c>
      <c r="F5397" s="140" t="s">
        <v>13072</v>
      </c>
      <c r="G5397" s="141" t="s">
        <v>6401</v>
      </c>
      <c r="H5397" s="140" t="s">
        <v>6312</v>
      </c>
      <c r="I5397" s="140" t="s">
        <v>6313</v>
      </c>
      <c r="J5397" s="140" t="s">
        <v>6314</v>
      </c>
      <c r="K5397" s="140" t="s">
        <v>12839</v>
      </c>
    </row>
    <row r="5398">
      <c r="A5398" s="140" t="s">
        <v>12839</v>
      </c>
      <c r="B5398" s="140" t="s">
        <v>5560</v>
      </c>
      <c r="C5398" s="140" t="s">
        <v>13074</v>
      </c>
      <c r="D5398" s="140" t="s">
        <v>7996</v>
      </c>
      <c r="E5398" s="140" t="s">
        <v>7997</v>
      </c>
      <c r="F5398" s="140" t="s">
        <v>13075</v>
      </c>
      <c r="G5398" s="141" t="s">
        <v>6401</v>
      </c>
      <c r="H5398" s="140" t="s">
        <v>6312</v>
      </c>
      <c r="I5398" s="140" t="s">
        <v>6313</v>
      </c>
      <c r="J5398" s="140" t="s">
        <v>6314</v>
      </c>
      <c r="K5398" s="140" t="s">
        <v>12839</v>
      </c>
    </row>
    <row r="5399">
      <c r="A5399" s="140" t="s">
        <v>12839</v>
      </c>
      <c r="B5399" s="140" t="s">
        <v>5562</v>
      </c>
      <c r="C5399" s="140" t="s">
        <v>13076</v>
      </c>
      <c r="D5399" s="140" t="s">
        <v>7996</v>
      </c>
      <c r="E5399" s="140" t="s">
        <v>7997</v>
      </c>
      <c r="F5399" s="140" t="s">
        <v>13075</v>
      </c>
      <c r="G5399" s="141" t="s">
        <v>6401</v>
      </c>
      <c r="H5399" s="140" t="s">
        <v>6312</v>
      </c>
      <c r="I5399" s="140" t="s">
        <v>6313</v>
      </c>
      <c r="J5399" s="140" t="s">
        <v>6314</v>
      </c>
      <c r="K5399" s="140" t="s">
        <v>12839</v>
      </c>
    </row>
    <row r="5400">
      <c r="A5400" s="140" t="s">
        <v>12839</v>
      </c>
      <c r="B5400" s="140" t="s">
        <v>13077</v>
      </c>
      <c r="C5400" s="140" t="s">
        <v>13078</v>
      </c>
      <c r="D5400" s="140" t="s">
        <v>7996</v>
      </c>
      <c r="E5400" s="140" t="s">
        <v>7997</v>
      </c>
      <c r="F5400" s="140" t="s">
        <v>13075</v>
      </c>
      <c r="G5400" s="141" t="s">
        <v>6401</v>
      </c>
      <c r="H5400" s="140" t="s">
        <v>6312</v>
      </c>
      <c r="I5400" s="140" t="s">
        <v>6313</v>
      </c>
      <c r="J5400" s="140" t="s">
        <v>6314</v>
      </c>
      <c r="K5400" s="140" t="s">
        <v>12839</v>
      </c>
    </row>
    <row r="5401">
      <c r="A5401" s="140" t="s">
        <v>12839</v>
      </c>
      <c r="B5401" s="140" t="s">
        <v>13079</v>
      </c>
      <c r="C5401" s="140" t="s">
        <v>13080</v>
      </c>
      <c r="D5401" s="140" t="s">
        <v>7996</v>
      </c>
      <c r="E5401" s="140" t="s">
        <v>7997</v>
      </c>
      <c r="F5401" s="140" t="s">
        <v>13075</v>
      </c>
      <c r="G5401" s="141" t="s">
        <v>6401</v>
      </c>
      <c r="H5401" s="140" t="s">
        <v>6312</v>
      </c>
      <c r="I5401" s="140" t="s">
        <v>6313</v>
      </c>
      <c r="J5401" s="140" t="s">
        <v>6314</v>
      </c>
      <c r="K5401" s="140" t="s">
        <v>12839</v>
      </c>
    </row>
    <row r="5402">
      <c r="A5402" s="140" t="s">
        <v>12839</v>
      </c>
      <c r="B5402" s="140" t="s">
        <v>5413</v>
      </c>
      <c r="C5402" s="140" t="s">
        <v>13081</v>
      </c>
      <c r="D5402" s="140" t="s">
        <v>7996</v>
      </c>
      <c r="E5402" s="140" t="s">
        <v>7997</v>
      </c>
      <c r="F5402" s="140" t="s">
        <v>13082</v>
      </c>
      <c r="G5402" s="141" t="s">
        <v>6401</v>
      </c>
      <c r="H5402" s="140" t="s">
        <v>6312</v>
      </c>
      <c r="I5402" s="140" t="s">
        <v>6313</v>
      </c>
      <c r="J5402" s="140" t="s">
        <v>6314</v>
      </c>
      <c r="K5402" s="140" t="s">
        <v>12839</v>
      </c>
    </row>
    <row r="5403">
      <c r="A5403" s="140" t="s">
        <v>12839</v>
      </c>
      <c r="B5403" s="140" t="s">
        <v>5411</v>
      </c>
      <c r="C5403" s="140" t="s">
        <v>13083</v>
      </c>
      <c r="D5403" s="140" t="s">
        <v>7996</v>
      </c>
      <c r="E5403" s="140" t="s">
        <v>7997</v>
      </c>
      <c r="F5403" s="140" t="s">
        <v>13082</v>
      </c>
      <c r="G5403" s="141" t="s">
        <v>6401</v>
      </c>
      <c r="H5403" s="140" t="s">
        <v>6312</v>
      </c>
      <c r="I5403" s="140" t="s">
        <v>6313</v>
      </c>
      <c r="J5403" s="140" t="s">
        <v>6314</v>
      </c>
      <c r="K5403" s="140" t="s">
        <v>12839</v>
      </c>
    </row>
    <row r="5404">
      <c r="A5404" s="140" t="s">
        <v>12839</v>
      </c>
      <c r="B5404" s="140" t="s">
        <v>5415</v>
      </c>
      <c r="C5404" s="140" t="s">
        <v>13084</v>
      </c>
      <c r="D5404" s="140" t="s">
        <v>7996</v>
      </c>
      <c r="E5404" s="140" t="s">
        <v>7997</v>
      </c>
      <c r="F5404" s="140" t="s">
        <v>13082</v>
      </c>
      <c r="G5404" s="141" t="s">
        <v>6401</v>
      </c>
      <c r="H5404" s="140" t="s">
        <v>6312</v>
      </c>
      <c r="I5404" s="140" t="s">
        <v>6313</v>
      </c>
      <c r="J5404" s="140" t="s">
        <v>6314</v>
      </c>
      <c r="K5404" s="140" t="s">
        <v>12839</v>
      </c>
    </row>
    <row r="5405">
      <c r="A5405" s="140" t="s">
        <v>12839</v>
      </c>
      <c r="B5405" s="140" t="s">
        <v>5417</v>
      </c>
      <c r="C5405" s="140" t="s">
        <v>13085</v>
      </c>
      <c r="D5405" s="140" t="s">
        <v>7996</v>
      </c>
      <c r="E5405" s="140" t="s">
        <v>7997</v>
      </c>
      <c r="F5405" s="140" t="s">
        <v>13082</v>
      </c>
      <c r="G5405" s="141" t="s">
        <v>6401</v>
      </c>
      <c r="H5405" s="140" t="s">
        <v>6312</v>
      </c>
      <c r="I5405" s="140" t="s">
        <v>6313</v>
      </c>
      <c r="J5405" s="140" t="s">
        <v>6314</v>
      </c>
      <c r="K5405" s="140" t="s">
        <v>12839</v>
      </c>
    </row>
    <row r="5406">
      <c r="A5406" s="140" t="s">
        <v>12839</v>
      </c>
      <c r="B5406" s="140" t="s">
        <v>5409</v>
      </c>
      <c r="C5406" s="140" t="s">
        <v>13086</v>
      </c>
      <c r="D5406" s="140" t="s">
        <v>7996</v>
      </c>
      <c r="E5406" s="140" t="s">
        <v>7997</v>
      </c>
      <c r="F5406" s="140" t="s">
        <v>13082</v>
      </c>
      <c r="G5406" s="141" t="s">
        <v>6401</v>
      </c>
      <c r="H5406" s="140" t="s">
        <v>6312</v>
      </c>
      <c r="I5406" s="140" t="s">
        <v>6313</v>
      </c>
      <c r="J5406" s="140" t="s">
        <v>6314</v>
      </c>
      <c r="K5406" s="140" t="s">
        <v>12839</v>
      </c>
    </row>
    <row r="5407">
      <c r="A5407" s="140" t="s">
        <v>12839</v>
      </c>
      <c r="B5407" s="140" t="s">
        <v>5407</v>
      </c>
      <c r="C5407" s="140" t="s">
        <v>13087</v>
      </c>
      <c r="D5407" s="140" t="s">
        <v>7996</v>
      </c>
      <c r="E5407" s="140" t="s">
        <v>7997</v>
      </c>
      <c r="F5407" s="140" t="s">
        <v>13082</v>
      </c>
      <c r="G5407" s="141" t="s">
        <v>6401</v>
      </c>
      <c r="H5407" s="140" t="s">
        <v>6312</v>
      </c>
      <c r="I5407" s="140" t="s">
        <v>6313</v>
      </c>
      <c r="J5407" s="140" t="s">
        <v>6314</v>
      </c>
      <c r="K5407" s="140" t="s">
        <v>12839</v>
      </c>
    </row>
    <row r="5408">
      <c r="A5408" s="140" t="s">
        <v>12839</v>
      </c>
      <c r="B5408" s="140" t="s">
        <v>5299</v>
      </c>
      <c r="C5408" s="140" t="s">
        <v>13088</v>
      </c>
      <c r="D5408" s="140" t="s">
        <v>7996</v>
      </c>
      <c r="E5408" s="140" t="s">
        <v>7997</v>
      </c>
      <c r="F5408" s="140" t="s">
        <v>13089</v>
      </c>
      <c r="G5408" s="141" t="s">
        <v>6401</v>
      </c>
      <c r="H5408" s="140" t="s">
        <v>6312</v>
      </c>
      <c r="I5408" s="140" t="s">
        <v>6313</v>
      </c>
      <c r="J5408" s="140" t="s">
        <v>6314</v>
      </c>
      <c r="K5408" s="140" t="s">
        <v>12839</v>
      </c>
    </row>
    <row r="5409">
      <c r="A5409" s="140" t="s">
        <v>12839</v>
      </c>
      <c r="B5409" s="140" t="s">
        <v>5301</v>
      </c>
      <c r="C5409" s="140" t="s">
        <v>13090</v>
      </c>
      <c r="D5409" s="140" t="s">
        <v>7996</v>
      </c>
      <c r="E5409" s="140" t="s">
        <v>7997</v>
      </c>
      <c r="F5409" s="140" t="s">
        <v>13089</v>
      </c>
      <c r="G5409" s="141" t="s">
        <v>6401</v>
      </c>
      <c r="H5409" s="140" t="s">
        <v>6312</v>
      </c>
      <c r="I5409" s="140" t="s">
        <v>6313</v>
      </c>
      <c r="J5409" s="140" t="s">
        <v>6314</v>
      </c>
      <c r="K5409" s="140" t="s">
        <v>12839</v>
      </c>
    </row>
    <row r="5410">
      <c r="A5410" s="140" t="s">
        <v>12839</v>
      </c>
      <c r="B5410" s="140" t="s">
        <v>5303</v>
      </c>
      <c r="C5410" s="140" t="s">
        <v>13091</v>
      </c>
      <c r="D5410" s="140" t="s">
        <v>7996</v>
      </c>
      <c r="E5410" s="140" t="s">
        <v>7997</v>
      </c>
      <c r="F5410" s="140" t="s">
        <v>13089</v>
      </c>
      <c r="G5410" s="141" t="s">
        <v>6401</v>
      </c>
      <c r="H5410" s="140" t="s">
        <v>6312</v>
      </c>
      <c r="I5410" s="140" t="s">
        <v>6313</v>
      </c>
      <c r="J5410" s="140" t="s">
        <v>6314</v>
      </c>
      <c r="K5410" s="140" t="s">
        <v>12839</v>
      </c>
    </row>
    <row r="5411">
      <c r="A5411" s="140" t="s">
        <v>12839</v>
      </c>
      <c r="B5411" s="140" t="s">
        <v>5293</v>
      </c>
      <c r="C5411" s="140" t="s">
        <v>13092</v>
      </c>
      <c r="D5411" s="140" t="s">
        <v>7996</v>
      </c>
      <c r="E5411" s="140" t="s">
        <v>7997</v>
      </c>
      <c r="F5411" s="140" t="s">
        <v>13089</v>
      </c>
      <c r="G5411" s="141" t="s">
        <v>6401</v>
      </c>
      <c r="H5411" s="140" t="s">
        <v>6312</v>
      </c>
      <c r="I5411" s="140" t="s">
        <v>6313</v>
      </c>
      <c r="J5411" s="140" t="s">
        <v>6314</v>
      </c>
      <c r="K5411" s="140" t="s">
        <v>12839</v>
      </c>
    </row>
    <row r="5412">
      <c r="A5412" s="140" t="s">
        <v>12839</v>
      </c>
      <c r="B5412" s="140" t="s">
        <v>5295</v>
      </c>
      <c r="C5412" s="140" t="s">
        <v>13093</v>
      </c>
      <c r="D5412" s="140" t="s">
        <v>7996</v>
      </c>
      <c r="E5412" s="140" t="s">
        <v>7997</v>
      </c>
      <c r="F5412" s="140" t="s">
        <v>13089</v>
      </c>
      <c r="G5412" s="141" t="s">
        <v>6401</v>
      </c>
      <c r="H5412" s="140" t="s">
        <v>6312</v>
      </c>
      <c r="I5412" s="140" t="s">
        <v>6313</v>
      </c>
      <c r="J5412" s="140" t="s">
        <v>6314</v>
      </c>
      <c r="K5412" s="140" t="s">
        <v>12839</v>
      </c>
    </row>
    <row r="5413">
      <c r="A5413" s="140" t="s">
        <v>12839</v>
      </c>
      <c r="B5413" s="140" t="s">
        <v>5297</v>
      </c>
      <c r="C5413" s="140" t="s">
        <v>13094</v>
      </c>
      <c r="D5413" s="140" t="s">
        <v>7996</v>
      </c>
      <c r="E5413" s="140" t="s">
        <v>7997</v>
      </c>
      <c r="F5413" s="140" t="s">
        <v>13089</v>
      </c>
      <c r="G5413" s="141" t="s">
        <v>6401</v>
      </c>
      <c r="H5413" s="140" t="s">
        <v>6312</v>
      </c>
      <c r="I5413" s="140" t="s">
        <v>6313</v>
      </c>
      <c r="J5413" s="140" t="s">
        <v>6314</v>
      </c>
      <c r="K5413" s="140" t="s">
        <v>12839</v>
      </c>
    </row>
    <row r="5414">
      <c r="A5414" s="140" t="s">
        <v>12839</v>
      </c>
      <c r="B5414" s="140" t="s">
        <v>5287</v>
      </c>
      <c r="C5414" s="140" t="s">
        <v>13095</v>
      </c>
      <c r="D5414" s="140" t="s">
        <v>7996</v>
      </c>
      <c r="E5414" s="140" t="s">
        <v>7997</v>
      </c>
      <c r="F5414" s="140" t="s">
        <v>13089</v>
      </c>
      <c r="G5414" s="141" t="s">
        <v>6401</v>
      </c>
      <c r="H5414" s="140" t="s">
        <v>6312</v>
      </c>
      <c r="I5414" s="140" t="s">
        <v>6313</v>
      </c>
      <c r="J5414" s="140" t="s">
        <v>6314</v>
      </c>
      <c r="K5414" s="140" t="s">
        <v>12839</v>
      </c>
    </row>
    <row r="5415">
      <c r="A5415" s="140" t="s">
        <v>12839</v>
      </c>
      <c r="B5415" s="140" t="s">
        <v>5289</v>
      </c>
      <c r="C5415" s="140" t="s">
        <v>13096</v>
      </c>
      <c r="D5415" s="140" t="s">
        <v>7996</v>
      </c>
      <c r="E5415" s="140" t="s">
        <v>7997</v>
      </c>
      <c r="F5415" s="140" t="s">
        <v>13089</v>
      </c>
      <c r="G5415" s="141" t="s">
        <v>6401</v>
      </c>
      <c r="H5415" s="140" t="s">
        <v>6312</v>
      </c>
      <c r="I5415" s="140" t="s">
        <v>6313</v>
      </c>
      <c r="J5415" s="140" t="s">
        <v>6314</v>
      </c>
      <c r="K5415" s="140" t="s">
        <v>12839</v>
      </c>
    </row>
    <row r="5416">
      <c r="A5416" s="140" t="s">
        <v>12839</v>
      </c>
      <c r="B5416" s="140" t="s">
        <v>5291</v>
      </c>
      <c r="C5416" s="140" t="s">
        <v>13097</v>
      </c>
      <c r="D5416" s="140" t="s">
        <v>7996</v>
      </c>
      <c r="E5416" s="140" t="s">
        <v>7997</v>
      </c>
      <c r="F5416" s="140" t="s">
        <v>13089</v>
      </c>
      <c r="G5416" s="141" t="s">
        <v>6401</v>
      </c>
      <c r="H5416" s="140" t="s">
        <v>6312</v>
      </c>
      <c r="I5416" s="140" t="s">
        <v>6313</v>
      </c>
      <c r="J5416" s="140" t="s">
        <v>6314</v>
      </c>
      <c r="K5416" s="140" t="s">
        <v>12839</v>
      </c>
    </row>
    <row r="5417">
      <c r="A5417" s="140" t="s">
        <v>12839</v>
      </c>
      <c r="B5417" s="140" t="s">
        <v>5305</v>
      </c>
      <c r="C5417" s="140" t="s">
        <v>13098</v>
      </c>
      <c r="D5417" s="140" t="s">
        <v>7996</v>
      </c>
      <c r="E5417" s="140" t="s">
        <v>7997</v>
      </c>
      <c r="F5417" s="140" t="s">
        <v>13089</v>
      </c>
      <c r="G5417" s="141" t="s">
        <v>6401</v>
      </c>
      <c r="H5417" s="140" t="s">
        <v>6312</v>
      </c>
      <c r="I5417" s="140" t="s">
        <v>6313</v>
      </c>
      <c r="J5417" s="140" t="s">
        <v>6314</v>
      </c>
      <c r="K5417" s="140" t="s">
        <v>12839</v>
      </c>
    </row>
    <row r="5418">
      <c r="A5418" s="140" t="s">
        <v>12839</v>
      </c>
      <c r="B5418" s="140" t="s">
        <v>2708</v>
      </c>
      <c r="C5418" s="140" t="s">
        <v>13099</v>
      </c>
      <c r="D5418" s="140" t="s">
        <v>7996</v>
      </c>
      <c r="E5418" s="140" t="s">
        <v>7997</v>
      </c>
      <c r="F5418" s="140" t="s">
        <v>13089</v>
      </c>
      <c r="G5418" s="141" t="s">
        <v>6401</v>
      </c>
      <c r="H5418" s="140" t="s">
        <v>6312</v>
      </c>
      <c r="I5418" s="140" t="s">
        <v>6313</v>
      </c>
      <c r="J5418" s="140" t="s">
        <v>6314</v>
      </c>
      <c r="K5418" s="140" t="s">
        <v>12839</v>
      </c>
    </row>
    <row r="5419">
      <c r="A5419" s="140" t="s">
        <v>12839</v>
      </c>
      <c r="B5419" s="140" t="s">
        <v>3412</v>
      </c>
      <c r="C5419" s="140" t="s">
        <v>13100</v>
      </c>
      <c r="D5419" s="140" t="s">
        <v>7996</v>
      </c>
      <c r="E5419" s="140" t="s">
        <v>7997</v>
      </c>
      <c r="F5419" s="140" t="s">
        <v>13089</v>
      </c>
      <c r="G5419" s="141" t="s">
        <v>6401</v>
      </c>
      <c r="H5419" s="140" t="s">
        <v>6312</v>
      </c>
      <c r="I5419" s="140" t="s">
        <v>6313</v>
      </c>
      <c r="J5419" s="140" t="s">
        <v>6314</v>
      </c>
      <c r="K5419" s="140" t="s">
        <v>12839</v>
      </c>
    </row>
    <row r="5420">
      <c r="A5420" s="140" t="s">
        <v>12839</v>
      </c>
      <c r="B5420" s="140" t="s">
        <v>5375</v>
      </c>
      <c r="C5420" s="140" t="s">
        <v>13101</v>
      </c>
      <c r="D5420" s="140" t="s">
        <v>7996</v>
      </c>
      <c r="E5420" s="140" t="s">
        <v>7997</v>
      </c>
      <c r="F5420" s="140" t="s">
        <v>13089</v>
      </c>
      <c r="G5420" s="141" t="s">
        <v>6401</v>
      </c>
      <c r="H5420" s="140" t="s">
        <v>6312</v>
      </c>
      <c r="I5420" s="140" t="s">
        <v>6313</v>
      </c>
      <c r="J5420" s="140" t="s">
        <v>6314</v>
      </c>
      <c r="K5420" s="140" t="s">
        <v>12839</v>
      </c>
    </row>
    <row r="5421">
      <c r="A5421" s="140" t="s">
        <v>12839</v>
      </c>
      <c r="B5421" s="140" t="s">
        <v>5377</v>
      </c>
      <c r="C5421" s="140" t="s">
        <v>13102</v>
      </c>
      <c r="D5421" s="140" t="s">
        <v>7996</v>
      </c>
      <c r="E5421" s="140" t="s">
        <v>7997</v>
      </c>
      <c r="F5421" s="140" t="s">
        <v>13089</v>
      </c>
      <c r="G5421" s="141" t="s">
        <v>6401</v>
      </c>
      <c r="H5421" s="140" t="s">
        <v>6312</v>
      </c>
      <c r="I5421" s="140" t="s">
        <v>6313</v>
      </c>
      <c r="J5421" s="140" t="s">
        <v>6314</v>
      </c>
      <c r="K5421" s="140" t="s">
        <v>12839</v>
      </c>
    </row>
    <row r="5422">
      <c r="A5422" s="140" t="s">
        <v>12839</v>
      </c>
      <c r="B5422" s="140" t="s">
        <v>5371</v>
      </c>
      <c r="C5422" s="140" t="s">
        <v>13103</v>
      </c>
      <c r="D5422" s="140" t="s">
        <v>7996</v>
      </c>
      <c r="E5422" s="140" t="s">
        <v>7997</v>
      </c>
      <c r="F5422" s="140" t="s">
        <v>13089</v>
      </c>
      <c r="G5422" s="141" t="s">
        <v>6401</v>
      </c>
      <c r="H5422" s="140" t="s">
        <v>6312</v>
      </c>
      <c r="I5422" s="140" t="s">
        <v>6313</v>
      </c>
      <c r="J5422" s="140" t="s">
        <v>6314</v>
      </c>
      <c r="K5422" s="140" t="s">
        <v>12839</v>
      </c>
    </row>
    <row r="5423">
      <c r="A5423" s="140" t="s">
        <v>12839</v>
      </c>
      <c r="B5423" s="140" t="s">
        <v>5373</v>
      </c>
      <c r="C5423" s="140" t="s">
        <v>13104</v>
      </c>
      <c r="D5423" s="140" t="s">
        <v>7996</v>
      </c>
      <c r="E5423" s="140" t="s">
        <v>7997</v>
      </c>
      <c r="F5423" s="140" t="s">
        <v>13089</v>
      </c>
      <c r="G5423" s="141" t="s">
        <v>6401</v>
      </c>
      <c r="H5423" s="140" t="s">
        <v>6312</v>
      </c>
      <c r="I5423" s="140" t="s">
        <v>6313</v>
      </c>
      <c r="J5423" s="140" t="s">
        <v>6314</v>
      </c>
      <c r="K5423" s="140" t="s">
        <v>12839</v>
      </c>
    </row>
    <row r="5424">
      <c r="A5424" s="140" t="s">
        <v>12839</v>
      </c>
      <c r="B5424" s="140" t="s">
        <v>5367</v>
      </c>
      <c r="C5424" s="140" t="s">
        <v>13105</v>
      </c>
      <c r="D5424" s="140" t="s">
        <v>7996</v>
      </c>
      <c r="E5424" s="140" t="s">
        <v>7997</v>
      </c>
      <c r="F5424" s="140" t="s">
        <v>13089</v>
      </c>
      <c r="G5424" s="141" t="s">
        <v>6401</v>
      </c>
      <c r="H5424" s="140" t="s">
        <v>6312</v>
      </c>
      <c r="I5424" s="140" t="s">
        <v>6313</v>
      </c>
      <c r="J5424" s="140" t="s">
        <v>6314</v>
      </c>
      <c r="K5424" s="140" t="s">
        <v>12839</v>
      </c>
    </row>
    <row r="5425">
      <c r="A5425" s="140" t="s">
        <v>12839</v>
      </c>
      <c r="B5425" s="140" t="s">
        <v>5369</v>
      </c>
      <c r="C5425" s="140" t="s">
        <v>13106</v>
      </c>
      <c r="D5425" s="140" t="s">
        <v>7996</v>
      </c>
      <c r="E5425" s="140" t="s">
        <v>7997</v>
      </c>
      <c r="F5425" s="140" t="s">
        <v>13089</v>
      </c>
      <c r="G5425" s="141" t="s">
        <v>6401</v>
      </c>
      <c r="H5425" s="140" t="s">
        <v>6312</v>
      </c>
      <c r="I5425" s="140" t="s">
        <v>6313</v>
      </c>
      <c r="J5425" s="140" t="s">
        <v>6314</v>
      </c>
      <c r="K5425" s="140" t="s">
        <v>12839</v>
      </c>
    </row>
    <row r="5426">
      <c r="A5426" s="140" t="s">
        <v>12839</v>
      </c>
      <c r="B5426" s="140" t="s">
        <v>5389</v>
      </c>
      <c r="C5426" s="140" t="s">
        <v>13107</v>
      </c>
      <c r="D5426" s="140" t="s">
        <v>7996</v>
      </c>
      <c r="E5426" s="140" t="s">
        <v>7997</v>
      </c>
      <c r="F5426" s="140" t="s">
        <v>13089</v>
      </c>
      <c r="G5426" s="141" t="s">
        <v>6401</v>
      </c>
      <c r="H5426" s="140" t="s">
        <v>6312</v>
      </c>
      <c r="I5426" s="140" t="s">
        <v>6313</v>
      </c>
      <c r="J5426" s="140" t="s">
        <v>6314</v>
      </c>
      <c r="K5426" s="140" t="s">
        <v>12839</v>
      </c>
    </row>
    <row r="5427">
      <c r="A5427" s="140" t="s">
        <v>12839</v>
      </c>
      <c r="B5427" s="140" t="s">
        <v>5387</v>
      </c>
      <c r="C5427" s="140" t="s">
        <v>13108</v>
      </c>
      <c r="D5427" s="140" t="s">
        <v>7996</v>
      </c>
      <c r="E5427" s="140" t="s">
        <v>7997</v>
      </c>
      <c r="F5427" s="140" t="s">
        <v>13089</v>
      </c>
      <c r="G5427" s="141" t="s">
        <v>6401</v>
      </c>
      <c r="H5427" s="140" t="s">
        <v>6312</v>
      </c>
      <c r="I5427" s="140" t="s">
        <v>6313</v>
      </c>
      <c r="J5427" s="140" t="s">
        <v>6314</v>
      </c>
      <c r="K5427" s="140" t="s">
        <v>12839</v>
      </c>
    </row>
    <row r="5428">
      <c r="A5428" s="140" t="s">
        <v>12839</v>
      </c>
      <c r="B5428" s="140" t="s">
        <v>5385</v>
      </c>
      <c r="C5428" s="140" t="s">
        <v>13109</v>
      </c>
      <c r="D5428" s="140" t="s">
        <v>7996</v>
      </c>
      <c r="E5428" s="140" t="s">
        <v>7997</v>
      </c>
      <c r="F5428" s="140" t="s">
        <v>13089</v>
      </c>
      <c r="G5428" s="141" t="s">
        <v>6401</v>
      </c>
      <c r="H5428" s="140" t="s">
        <v>6312</v>
      </c>
      <c r="I5428" s="140" t="s">
        <v>6313</v>
      </c>
      <c r="J5428" s="140" t="s">
        <v>6314</v>
      </c>
      <c r="K5428" s="140" t="s">
        <v>12839</v>
      </c>
    </row>
    <row r="5429">
      <c r="A5429" s="140" t="s">
        <v>12839</v>
      </c>
      <c r="B5429" s="140" t="s">
        <v>5383</v>
      </c>
      <c r="C5429" s="140" t="s">
        <v>13110</v>
      </c>
      <c r="D5429" s="140" t="s">
        <v>7996</v>
      </c>
      <c r="E5429" s="140" t="s">
        <v>7997</v>
      </c>
      <c r="F5429" s="140" t="s">
        <v>13089</v>
      </c>
      <c r="G5429" s="141" t="s">
        <v>6401</v>
      </c>
      <c r="H5429" s="140" t="s">
        <v>6312</v>
      </c>
      <c r="I5429" s="140" t="s">
        <v>6313</v>
      </c>
      <c r="J5429" s="140" t="s">
        <v>6314</v>
      </c>
      <c r="K5429" s="140" t="s">
        <v>12839</v>
      </c>
    </row>
    <row r="5430">
      <c r="A5430" s="140" t="s">
        <v>12839</v>
      </c>
      <c r="B5430" s="140" t="s">
        <v>5381</v>
      </c>
      <c r="C5430" s="140" t="s">
        <v>13111</v>
      </c>
      <c r="D5430" s="140" t="s">
        <v>7996</v>
      </c>
      <c r="E5430" s="140" t="s">
        <v>7997</v>
      </c>
      <c r="F5430" s="140" t="s">
        <v>13089</v>
      </c>
      <c r="G5430" s="141" t="s">
        <v>6401</v>
      </c>
      <c r="H5430" s="140" t="s">
        <v>6312</v>
      </c>
      <c r="I5430" s="140" t="s">
        <v>6313</v>
      </c>
      <c r="J5430" s="140" t="s">
        <v>6314</v>
      </c>
      <c r="K5430" s="140" t="s">
        <v>12839</v>
      </c>
    </row>
    <row r="5431">
      <c r="A5431" s="140" t="s">
        <v>12839</v>
      </c>
      <c r="B5431" s="140" t="s">
        <v>5379</v>
      </c>
      <c r="C5431" s="140" t="s">
        <v>13112</v>
      </c>
      <c r="D5431" s="140" t="s">
        <v>7996</v>
      </c>
      <c r="E5431" s="140" t="s">
        <v>7997</v>
      </c>
      <c r="F5431" s="140" t="s">
        <v>13089</v>
      </c>
      <c r="G5431" s="141" t="s">
        <v>6401</v>
      </c>
      <c r="H5431" s="140" t="s">
        <v>6312</v>
      </c>
      <c r="I5431" s="140" t="s">
        <v>6313</v>
      </c>
      <c r="J5431" s="140" t="s">
        <v>6314</v>
      </c>
      <c r="K5431" s="140" t="s">
        <v>12839</v>
      </c>
    </row>
    <row r="5432">
      <c r="A5432" s="140" t="s">
        <v>12839</v>
      </c>
      <c r="B5432" s="140" t="s">
        <v>5401</v>
      </c>
      <c r="C5432" s="140" t="s">
        <v>13113</v>
      </c>
      <c r="D5432" s="140" t="s">
        <v>7996</v>
      </c>
      <c r="E5432" s="140" t="s">
        <v>7997</v>
      </c>
      <c r="F5432" s="140" t="s">
        <v>13089</v>
      </c>
      <c r="G5432" s="141" t="s">
        <v>6401</v>
      </c>
      <c r="H5432" s="140" t="s">
        <v>6312</v>
      </c>
      <c r="I5432" s="140" t="s">
        <v>6313</v>
      </c>
      <c r="J5432" s="140" t="s">
        <v>6314</v>
      </c>
      <c r="K5432" s="140" t="s">
        <v>12839</v>
      </c>
    </row>
    <row r="5433">
      <c r="A5433" s="140" t="s">
        <v>12839</v>
      </c>
      <c r="B5433" s="140" t="s">
        <v>5403</v>
      </c>
      <c r="C5433" s="140" t="s">
        <v>13114</v>
      </c>
      <c r="D5433" s="140" t="s">
        <v>7996</v>
      </c>
      <c r="E5433" s="140" t="s">
        <v>7997</v>
      </c>
      <c r="F5433" s="140" t="s">
        <v>13089</v>
      </c>
      <c r="G5433" s="141" t="s">
        <v>6401</v>
      </c>
      <c r="H5433" s="140" t="s">
        <v>6312</v>
      </c>
      <c r="I5433" s="140" t="s">
        <v>6313</v>
      </c>
      <c r="J5433" s="140" t="s">
        <v>6314</v>
      </c>
      <c r="K5433" s="140" t="s">
        <v>12839</v>
      </c>
    </row>
    <row r="5434">
      <c r="A5434" s="140" t="s">
        <v>12839</v>
      </c>
      <c r="B5434" s="140" t="s">
        <v>5405</v>
      </c>
      <c r="C5434" s="140" t="s">
        <v>13115</v>
      </c>
      <c r="D5434" s="140" t="s">
        <v>7996</v>
      </c>
      <c r="E5434" s="140" t="s">
        <v>7997</v>
      </c>
      <c r="F5434" s="140" t="s">
        <v>13089</v>
      </c>
      <c r="G5434" s="141" t="s">
        <v>6401</v>
      </c>
      <c r="H5434" s="140" t="s">
        <v>6312</v>
      </c>
      <c r="I5434" s="140" t="s">
        <v>6313</v>
      </c>
      <c r="J5434" s="140" t="s">
        <v>6314</v>
      </c>
      <c r="K5434" s="140" t="s">
        <v>12839</v>
      </c>
    </row>
    <row r="5435">
      <c r="A5435" s="140" t="s">
        <v>12839</v>
      </c>
      <c r="B5435" s="140" t="s">
        <v>5395</v>
      </c>
      <c r="C5435" s="140" t="s">
        <v>13116</v>
      </c>
      <c r="D5435" s="140" t="s">
        <v>7996</v>
      </c>
      <c r="E5435" s="140" t="s">
        <v>7997</v>
      </c>
      <c r="F5435" s="140" t="s">
        <v>13089</v>
      </c>
      <c r="G5435" s="141" t="s">
        <v>6401</v>
      </c>
      <c r="H5435" s="140" t="s">
        <v>6312</v>
      </c>
      <c r="I5435" s="140" t="s">
        <v>6313</v>
      </c>
      <c r="J5435" s="140" t="s">
        <v>6314</v>
      </c>
      <c r="K5435" s="140" t="s">
        <v>12839</v>
      </c>
    </row>
    <row r="5436">
      <c r="A5436" s="140" t="s">
        <v>12839</v>
      </c>
      <c r="B5436" s="140" t="s">
        <v>5397</v>
      </c>
      <c r="C5436" s="140" t="s">
        <v>13117</v>
      </c>
      <c r="D5436" s="140" t="s">
        <v>7996</v>
      </c>
      <c r="E5436" s="140" t="s">
        <v>7997</v>
      </c>
      <c r="F5436" s="140" t="s">
        <v>13089</v>
      </c>
      <c r="G5436" s="141" t="s">
        <v>6401</v>
      </c>
      <c r="H5436" s="140" t="s">
        <v>6312</v>
      </c>
      <c r="I5436" s="140" t="s">
        <v>6313</v>
      </c>
      <c r="J5436" s="140" t="s">
        <v>6314</v>
      </c>
      <c r="K5436" s="140" t="s">
        <v>12839</v>
      </c>
    </row>
    <row r="5437">
      <c r="A5437" s="140" t="s">
        <v>12839</v>
      </c>
      <c r="B5437" s="140" t="s">
        <v>5399</v>
      </c>
      <c r="C5437" s="140" t="s">
        <v>13118</v>
      </c>
      <c r="D5437" s="140" t="s">
        <v>7996</v>
      </c>
      <c r="E5437" s="140" t="s">
        <v>7997</v>
      </c>
      <c r="F5437" s="140" t="s">
        <v>13089</v>
      </c>
      <c r="G5437" s="141" t="s">
        <v>6401</v>
      </c>
      <c r="H5437" s="140" t="s">
        <v>6312</v>
      </c>
      <c r="I5437" s="140" t="s">
        <v>6313</v>
      </c>
      <c r="J5437" s="140" t="s">
        <v>6314</v>
      </c>
      <c r="K5437" s="140" t="s">
        <v>12839</v>
      </c>
    </row>
    <row r="5438">
      <c r="A5438" s="140" t="s">
        <v>12839</v>
      </c>
      <c r="B5438" s="140" t="s">
        <v>2995</v>
      </c>
      <c r="C5438" s="140" t="s">
        <v>13119</v>
      </c>
      <c r="D5438" s="140" t="s">
        <v>7996</v>
      </c>
      <c r="E5438" s="140" t="s">
        <v>7997</v>
      </c>
      <c r="F5438" s="140" t="s">
        <v>13089</v>
      </c>
      <c r="G5438" s="141" t="s">
        <v>6401</v>
      </c>
      <c r="H5438" s="140" t="s">
        <v>6312</v>
      </c>
      <c r="I5438" s="140" t="s">
        <v>6313</v>
      </c>
      <c r="J5438" s="140" t="s">
        <v>6314</v>
      </c>
      <c r="K5438" s="140" t="s">
        <v>12839</v>
      </c>
    </row>
    <row r="5439">
      <c r="A5439" s="140" t="s">
        <v>12839</v>
      </c>
      <c r="B5439" s="140" t="s">
        <v>5391</v>
      </c>
      <c r="C5439" s="140" t="s">
        <v>13120</v>
      </c>
      <c r="D5439" s="140" t="s">
        <v>7996</v>
      </c>
      <c r="E5439" s="140" t="s">
        <v>7997</v>
      </c>
      <c r="F5439" s="140" t="s">
        <v>13089</v>
      </c>
      <c r="G5439" s="141" t="s">
        <v>6401</v>
      </c>
      <c r="H5439" s="140" t="s">
        <v>6312</v>
      </c>
      <c r="I5439" s="140" t="s">
        <v>6313</v>
      </c>
      <c r="J5439" s="140" t="s">
        <v>6314</v>
      </c>
      <c r="K5439" s="140" t="s">
        <v>12839</v>
      </c>
    </row>
    <row r="5440">
      <c r="A5440" s="140" t="s">
        <v>12839</v>
      </c>
      <c r="B5440" s="140" t="s">
        <v>5393</v>
      </c>
      <c r="C5440" s="140" t="s">
        <v>13121</v>
      </c>
      <c r="D5440" s="140" t="s">
        <v>7996</v>
      </c>
      <c r="E5440" s="140" t="s">
        <v>7997</v>
      </c>
      <c r="F5440" s="140" t="s">
        <v>13089</v>
      </c>
      <c r="G5440" s="141" t="s">
        <v>6401</v>
      </c>
      <c r="H5440" s="140" t="s">
        <v>6312</v>
      </c>
      <c r="I5440" s="140" t="s">
        <v>6313</v>
      </c>
      <c r="J5440" s="140" t="s">
        <v>6314</v>
      </c>
      <c r="K5440" s="140" t="s">
        <v>12839</v>
      </c>
    </row>
    <row r="5441">
      <c r="A5441" s="140" t="s">
        <v>12839</v>
      </c>
      <c r="B5441" s="140" t="s">
        <v>5343</v>
      </c>
      <c r="C5441" s="140" t="s">
        <v>13122</v>
      </c>
      <c r="D5441" s="140" t="s">
        <v>7996</v>
      </c>
      <c r="E5441" s="140" t="s">
        <v>7997</v>
      </c>
      <c r="F5441" s="140" t="s">
        <v>13089</v>
      </c>
      <c r="G5441" s="141" t="s">
        <v>6401</v>
      </c>
      <c r="H5441" s="140" t="s">
        <v>6312</v>
      </c>
      <c r="I5441" s="140" t="s">
        <v>6313</v>
      </c>
      <c r="J5441" s="140" t="s">
        <v>6314</v>
      </c>
      <c r="K5441" s="140" t="s">
        <v>12839</v>
      </c>
    </row>
    <row r="5442">
      <c r="A5442" s="140" t="s">
        <v>12839</v>
      </c>
      <c r="B5442" s="140" t="s">
        <v>5347</v>
      </c>
      <c r="C5442" s="140" t="s">
        <v>13123</v>
      </c>
      <c r="D5442" s="140" t="s">
        <v>7996</v>
      </c>
      <c r="E5442" s="140" t="s">
        <v>7997</v>
      </c>
      <c r="F5442" s="140" t="s">
        <v>13089</v>
      </c>
      <c r="G5442" s="141" t="s">
        <v>6401</v>
      </c>
      <c r="H5442" s="140" t="s">
        <v>6312</v>
      </c>
      <c r="I5442" s="140" t="s">
        <v>6313</v>
      </c>
      <c r="J5442" s="140" t="s">
        <v>6314</v>
      </c>
      <c r="K5442" s="140" t="s">
        <v>12839</v>
      </c>
    </row>
    <row r="5443">
      <c r="A5443" s="140" t="s">
        <v>12839</v>
      </c>
      <c r="B5443" s="140" t="s">
        <v>5345</v>
      </c>
      <c r="C5443" s="140" t="s">
        <v>13124</v>
      </c>
      <c r="D5443" s="140" t="s">
        <v>7996</v>
      </c>
      <c r="E5443" s="140" t="s">
        <v>7997</v>
      </c>
      <c r="F5443" s="140" t="s">
        <v>13089</v>
      </c>
      <c r="G5443" s="141" t="s">
        <v>6401</v>
      </c>
      <c r="H5443" s="140" t="s">
        <v>6312</v>
      </c>
      <c r="I5443" s="140" t="s">
        <v>6313</v>
      </c>
      <c r="J5443" s="140" t="s">
        <v>6314</v>
      </c>
      <c r="K5443" s="140" t="s">
        <v>12839</v>
      </c>
    </row>
    <row r="5444">
      <c r="A5444" s="140" t="s">
        <v>12839</v>
      </c>
      <c r="B5444" s="140" t="s">
        <v>5349</v>
      </c>
      <c r="C5444" s="140" t="s">
        <v>13125</v>
      </c>
      <c r="D5444" s="140" t="s">
        <v>7996</v>
      </c>
      <c r="E5444" s="140" t="s">
        <v>7997</v>
      </c>
      <c r="F5444" s="140" t="s">
        <v>13089</v>
      </c>
      <c r="G5444" s="141" t="s">
        <v>6401</v>
      </c>
      <c r="H5444" s="140" t="s">
        <v>6312</v>
      </c>
      <c r="I5444" s="140" t="s">
        <v>6313</v>
      </c>
      <c r="J5444" s="140" t="s">
        <v>6314</v>
      </c>
      <c r="K5444" s="140" t="s">
        <v>12839</v>
      </c>
    </row>
    <row r="5445">
      <c r="A5445" s="140" t="s">
        <v>12839</v>
      </c>
      <c r="B5445" s="140" t="s">
        <v>3418</v>
      </c>
      <c r="C5445" s="140" t="s">
        <v>13126</v>
      </c>
      <c r="D5445" s="140" t="s">
        <v>7996</v>
      </c>
      <c r="E5445" s="140" t="s">
        <v>7997</v>
      </c>
      <c r="F5445" s="140" t="s">
        <v>13089</v>
      </c>
      <c r="G5445" s="141" t="s">
        <v>6401</v>
      </c>
      <c r="H5445" s="140" t="s">
        <v>6312</v>
      </c>
      <c r="I5445" s="140" t="s">
        <v>6313</v>
      </c>
      <c r="J5445" s="140" t="s">
        <v>6314</v>
      </c>
      <c r="K5445" s="140" t="s">
        <v>12839</v>
      </c>
    </row>
    <row r="5446">
      <c r="A5446" s="140" t="s">
        <v>12839</v>
      </c>
      <c r="B5446" s="140" t="s">
        <v>5341</v>
      </c>
      <c r="C5446" s="140" t="s">
        <v>13127</v>
      </c>
      <c r="D5446" s="140" t="s">
        <v>7996</v>
      </c>
      <c r="E5446" s="140" t="s">
        <v>7997</v>
      </c>
      <c r="F5446" s="140" t="s">
        <v>13089</v>
      </c>
      <c r="G5446" s="141" t="s">
        <v>6401</v>
      </c>
      <c r="H5446" s="140" t="s">
        <v>6312</v>
      </c>
      <c r="I5446" s="140" t="s">
        <v>6313</v>
      </c>
      <c r="J5446" s="140" t="s">
        <v>6314</v>
      </c>
      <c r="K5446" s="140" t="s">
        <v>12839</v>
      </c>
    </row>
    <row r="5447">
      <c r="A5447" s="140" t="s">
        <v>12839</v>
      </c>
      <c r="B5447" s="140" t="s">
        <v>3420</v>
      </c>
      <c r="C5447" s="140" t="s">
        <v>13128</v>
      </c>
      <c r="D5447" s="140" t="s">
        <v>7996</v>
      </c>
      <c r="E5447" s="140" t="s">
        <v>7997</v>
      </c>
      <c r="F5447" s="140" t="s">
        <v>13089</v>
      </c>
      <c r="G5447" s="141" t="s">
        <v>6401</v>
      </c>
      <c r="H5447" s="140" t="s">
        <v>6312</v>
      </c>
      <c r="I5447" s="140" t="s">
        <v>6313</v>
      </c>
      <c r="J5447" s="140" t="s">
        <v>6314</v>
      </c>
      <c r="K5447" s="140" t="s">
        <v>12839</v>
      </c>
    </row>
    <row r="5448">
      <c r="A5448" s="140" t="s">
        <v>12839</v>
      </c>
      <c r="B5448" s="140" t="s">
        <v>3422</v>
      </c>
      <c r="C5448" s="140" t="s">
        <v>13129</v>
      </c>
      <c r="D5448" s="140" t="s">
        <v>7996</v>
      </c>
      <c r="E5448" s="140" t="s">
        <v>7997</v>
      </c>
      <c r="F5448" s="140" t="s">
        <v>13089</v>
      </c>
      <c r="G5448" s="141" t="s">
        <v>6401</v>
      </c>
      <c r="H5448" s="140" t="s">
        <v>6312</v>
      </c>
      <c r="I5448" s="140" t="s">
        <v>6313</v>
      </c>
      <c r="J5448" s="140" t="s">
        <v>6314</v>
      </c>
      <c r="K5448" s="140" t="s">
        <v>12839</v>
      </c>
    </row>
    <row r="5449">
      <c r="A5449" s="140" t="s">
        <v>12839</v>
      </c>
      <c r="B5449" s="140" t="s">
        <v>3416</v>
      </c>
      <c r="C5449" s="140" t="s">
        <v>13130</v>
      </c>
      <c r="D5449" s="140" t="s">
        <v>7996</v>
      </c>
      <c r="E5449" s="140" t="s">
        <v>7997</v>
      </c>
      <c r="F5449" s="140" t="s">
        <v>13089</v>
      </c>
      <c r="G5449" s="141" t="s">
        <v>6401</v>
      </c>
      <c r="H5449" s="140" t="s">
        <v>6312</v>
      </c>
      <c r="I5449" s="140" t="s">
        <v>6313</v>
      </c>
      <c r="J5449" s="140" t="s">
        <v>6314</v>
      </c>
      <c r="K5449" s="140" t="s">
        <v>12839</v>
      </c>
    </row>
    <row r="5450">
      <c r="A5450" s="140" t="s">
        <v>12839</v>
      </c>
      <c r="B5450" s="140" t="s">
        <v>5337</v>
      </c>
      <c r="C5450" s="140" t="s">
        <v>13131</v>
      </c>
      <c r="D5450" s="140" t="s">
        <v>7996</v>
      </c>
      <c r="E5450" s="140" t="s">
        <v>7997</v>
      </c>
      <c r="F5450" s="140" t="s">
        <v>13089</v>
      </c>
      <c r="G5450" s="141" t="s">
        <v>6401</v>
      </c>
      <c r="H5450" s="140" t="s">
        <v>6312</v>
      </c>
      <c r="I5450" s="140" t="s">
        <v>6313</v>
      </c>
      <c r="J5450" s="140" t="s">
        <v>6314</v>
      </c>
      <c r="K5450" s="140" t="s">
        <v>12839</v>
      </c>
    </row>
    <row r="5451">
      <c r="A5451" s="140" t="s">
        <v>12839</v>
      </c>
      <c r="B5451" s="140" t="s">
        <v>5335</v>
      </c>
      <c r="C5451" s="140" t="s">
        <v>13132</v>
      </c>
      <c r="D5451" s="140" t="s">
        <v>7996</v>
      </c>
      <c r="E5451" s="140" t="s">
        <v>7997</v>
      </c>
      <c r="F5451" s="140" t="s">
        <v>13089</v>
      </c>
      <c r="G5451" s="141" t="s">
        <v>6401</v>
      </c>
      <c r="H5451" s="140" t="s">
        <v>6312</v>
      </c>
      <c r="I5451" s="140" t="s">
        <v>6313</v>
      </c>
      <c r="J5451" s="140" t="s">
        <v>6314</v>
      </c>
      <c r="K5451" s="140" t="s">
        <v>12839</v>
      </c>
    </row>
    <row r="5452">
      <c r="A5452" s="140" t="s">
        <v>12839</v>
      </c>
      <c r="B5452" s="140" t="s">
        <v>5339</v>
      </c>
      <c r="C5452" s="140" t="s">
        <v>13133</v>
      </c>
      <c r="D5452" s="140" t="s">
        <v>7996</v>
      </c>
      <c r="E5452" s="140" t="s">
        <v>7997</v>
      </c>
      <c r="F5452" s="140" t="s">
        <v>13089</v>
      </c>
      <c r="G5452" s="141" t="s">
        <v>6401</v>
      </c>
      <c r="H5452" s="140" t="s">
        <v>6312</v>
      </c>
      <c r="I5452" s="140" t="s">
        <v>6313</v>
      </c>
      <c r="J5452" s="140" t="s">
        <v>6314</v>
      </c>
      <c r="K5452" s="140" t="s">
        <v>12839</v>
      </c>
    </row>
    <row r="5453">
      <c r="A5453" s="140" t="s">
        <v>12839</v>
      </c>
      <c r="B5453" s="140" t="s">
        <v>13134</v>
      </c>
      <c r="C5453" s="140" t="s">
        <v>13135</v>
      </c>
      <c r="D5453" s="140" t="s">
        <v>7996</v>
      </c>
      <c r="E5453" s="140" t="s">
        <v>7997</v>
      </c>
      <c r="F5453" s="140" t="s">
        <v>13089</v>
      </c>
      <c r="G5453" s="141" t="s">
        <v>6401</v>
      </c>
      <c r="H5453" s="140" t="s">
        <v>6312</v>
      </c>
      <c r="I5453" s="140" t="s">
        <v>6313</v>
      </c>
      <c r="J5453" s="140" t="s">
        <v>6314</v>
      </c>
      <c r="K5453" s="140" t="s">
        <v>12839</v>
      </c>
    </row>
    <row r="5454">
      <c r="A5454" s="140" t="s">
        <v>12839</v>
      </c>
      <c r="B5454" s="140" t="s">
        <v>5363</v>
      </c>
      <c r="C5454" s="140" t="s">
        <v>13136</v>
      </c>
      <c r="D5454" s="140" t="s">
        <v>7996</v>
      </c>
      <c r="E5454" s="140" t="s">
        <v>7997</v>
      </c>
      <c r="F5454" s="140" t="s">
        <v>13089</v>
      </c>
      <c r="G5454" s="141" t="s">
        <v>6401</v>
      </c>
      <c r="H5454" s="140" t="s">
        <v>6312</v>
      </c>
      <c r="I5454" s="140" t="s">
        <v>6313</v>
      </c>
      <c r="J5454" s="140" t="s">
        <v>6314</v>
      </c>
      <c r="K5454" s="140" t="s">
        <v>12839</v>
      </c>
    </row>
    <row r="5455">
      <c r="A5455" s="140" t="s">
        <v>12839</v>
      </c>
      <c r="B5455" s="140" t="s">
        <v>5365</v>
      </c>
      <c r="C5455" s="140" t="s">
        <v>13137</v>
      </c>
      <c r="D5455" s="140" t="s">
        <v>7996</v>
      </c>
      <c r="E5455" s="140" t="s">
        <v>7997</v>
      </c>
      <c r="F5455" s="140" t="s">
        <v>13089</v>
      </c>
      <c r="G5455" s="141" t="s">
        <v>6401</v>
      </c>
      <c r="H5455" s="140" t="s">
        <v>6312</v>
      </c>
      <c r="I5455" s="140" t="s">
        <v>6313</v>
      </c>
      <c r="J5455" s="140" t="s">
        <v>6314</v>
      </c>
      <c r="K5455" s="140" t="s">
        <v>12839</v>
      </c>
    </row>
    <row r="5456">
      <c r="A5456" s="140" t="s">
        <v>12839</v>
      </c>
      <c r="B5456" s="140" t="s">
        <v>5359</v>
      </c>
      <c r="C5456" s="140" t="s">
        <v>13138</v>
      </c>
      <c r="D5456" s="140" t="s">
        <v>7996</v>
      </c>
      <c r="E5456" s="140" t="s">
        <v>7997</v>
      </c>
      <c r="F5456" s="140" t="s">
        <v>13089</v>
      </c>
      <c r="G5456" s="141" t="s">
        <v>6401</v>
      </c>
      <c r="H5456" s="140" t="s">
        <v>6312</v>
      </c>
      <c r="I5456" s="140" t="s">
        <v>6313</v>
      </c>
      <c r="J5456" s="140" t="s">
        <v>6314</v>
      </c>
      <c r="K5456" s="140" t="s">
        <v>12839</v>
      </c>
    </row>
    <row r="5457">
      <c r="A5457" s="140" t="s">
        <v>12839</v>
      </c>
      <c r="B5457" s="140" t="s">
        <v>5361</v>
      </c>
      <c r="C5457" s="140" t="s">
        <v>13139</v>
      </c>
      <c r="D5457" s="140" t="s">
        <v>7996</v>
      </c>
      <c r="E5457" s="140" t="s">
        <v>7997</v>
      </c>
      <c r="F5457" s="140" t="s">
        <v>13089</v>
      </c>
      <c r="G5457" s="141" t="s">
        <v>6401</v>
      </c>
      <c r="H5457" s="140" t="s">
        <v>6312</v>
      </c>
      <c r="I5457" s="140" t="s">
        <v>6313</v>
      </c>
      <c r="J5457" s="140" t="s">
        <v>6314</v>
      </c>
      <c r="K5457" s="140" t="s">
        <v>12839</v>
      </c>
    </row>
    <row r="5458">
      <c r="A5458" s="140" t="s">
        <v>12839</v>
      </c>
      <c r="B5458" s="140" t="s">
        <v>5355</v>
      </c>
      <c r="C5458" s="140" t="s">
        <v>13140</v>
      </c>
      <c r="D5458" s="140" t="s">
        <v>7996</v>
      </c>
      <c r="E5458" s="140" t="s">
        <v>7997</v>
      </c>
      <c r="F5458" s="140" t="s">
        <v>13089</v>
      </c>
      <c r="G5458" s="141" t="s">
        <v>6401</v>
      </c>
      <c r="H5458" s="140" t="s">
        <v>6312</v>
      </c>
      <c r="I5458" s="140" t="s">
        <v>6313</v>
      </c>
      <c r="J5458" s="140" t="s">
        <v>6314</v>
      </c>
      <c r="K5458" s="140" t="s">
        <v>12839</v>
      </c>
    </row>
    <row r="5459">
      <c r="A5459" s="140" t="s">
        <v>12839</v>
      </c>
      <c r="B5459" s="140" t="s">
        <v>5357</v>
      </c>
      <c r="C5459" s="140" t="s">
        <v>13141</v>
      </c>
      <c r="D5459" s="140" t="s">
        <v>7996</v>
      </c>
      <c r="E5459" s="140" t="s">
        <v>7997</v>
      </c>
      <c r="F5459" s="140" t="s">
        <v>13089</v>
      </c>
      <c r="G5459" s="141" t="s">
        <v>6401</v>
      </c>
      <c r="H5459" s="140" t="s">
        <v>6312</v>
      </c>
      <c r="I5459" s="140" t="s">
        <v>6313</v>
      </c>
      <c r="J5459" s="140" t="s">
        <v>6314</v>
      </c>
      <c r="K5459" s="140" t="s">
        <v>12839</v>
      </c>
    </row>
    <row r="5460">
      <c r="A5460" s="140" t="s">
        <v>12839</v>
      </c>
      <c r="B5460" s="140" t="s">
        <v>5351</v>
      </c>
      <c r="C5460" s="140" t="s">
        <v>13142</v>
      </c>
      <c r="D5460" s="140" t="s">
        <v>7996</v>
      </c>
      <c r="E5460" s="140" t="s">
        <v>7997</v>
      </c>
      <c r="F5460" s="140" t="s">
        <v>13089</v>
      </c>
      <c r="G5460" s="141" t="s">
        <v>6401</v>
      </c>
      <c r="H5460" s="140" t="s">
        <v>6312</v>
      </c>
      <c r="I5460" s="140" t="s">
        <v>6313</v>
      </c>
      <c r="J5460" s="140" t="s">
        <v>6314</v>
      </c>
      <c r="K5460" s="140" t="s">
        <v>12839</v>
      </c>
    </row>
    <row r="5461">
      <c r="A5461" s="140" t="s">
        <v>12839</v>
      </c>
      <c r="B5461" s="140" t="s">
        <v>5353</v>
      </c>
      <c r="C5461" s="140" t="s">
        <v>13143</v>
      </c>
      <c r="D5461" s="140" t="s">
        <v>7996</v>
      </c>
      <c r="E5461" s="140" t="s">
        <v>7997</v>
      </c>
      <c r="F5461" s="140" t="s">
        <v>13089</v>
      </c>
      <c r="G5461" s="141" t="s">
        <v>6401</v>
      </c>
      <c r="H5461" s="140" t="s">
        <v>6312</v>
      </c>
      <c r="I5461" s="140" t="s">
        <v>6313</v>
      </c>
      <c r="J5461" s="140" t="s">
        <v>6314</v>
      </c>
      <c r="K5461" s="140" t="s">
        <v>12839</v>
      </c>
    </row>
    <row r="5462">
      <c r="A5462" s="140" t="s">
        <v>12839</v>
      </c>
      <c r="B5462" s="140" t="s">
        <v>13144</v>
      </c>
      <c r="C5462" s="140" t="s">
        <v>13145</v>
      </c>
      <c r="D5462" s="140" t="s">
        <v>7996</v>
      </c>
      <c r="E5462" s="140" t="s">
        <v>7997</v>
      </c>
      <c r="F5462" s="140" t="s">
        <v>13089</v>
      </c>
      <c r="G5462" s="141" t="s">
        <v>6401</v>
      </c>
      <c r="H5462" s="140" t="s">
        <v>6312</v>
      </c>
      <c r="I5462" s="140" t="s">
        <v>6313</v>
      </c>
      <c r="J5462" s="140" t="s">
        <v>6314</v>
      </c>
      <c r="K5462" s="140" t="s">
        <v>12839</v>
      </c>
    </row>
    <row r="5463">
      <c r="A5463" s="140" t="s">
        <v>12839</v>
      </c>
      <c r="B5463" s="140" t="s">
        <v>5556</v>
      </c>
      <c r="C5463" s="140" t="s">
        <v>13146</v>
      </c>
      <c r="D5463" s="140" t="s">
        <v>7996</v>
      </c>
      <c r="E5463" s="140" t="s">
        <v>7997</v>
      </c>
      <c r="F5463" s="140" t="s">
        <v>13089</v>
      </c>
      <c r="G5463" s="141" t="s">
        <v>6401</v>
      </c>
      <c r="H5463" s="140" t="s">
        <v>6312</v>
      </c>
      <c r="I5463" s="140" t="s">
        <v>6313</v>
      </c>
      <c r="J5463" s="140" t="s">
        <v>6314</v>
      </c>
      <c r="K5463" s="140" t="s">
        <v>12839</v>
      </c>
    </row>
    <row r="5464">
      <c r="A5464" s="140" t="s">
        <v>12839</v>
      </c>
      <c r="B5464" s="140" t="s">
        <v>5319</v>
      </c>
      <c r="C5464" s="140" t="s">
        <v>13147</v>
      </c>
      <c r="D5464" s="140" t="s">
        <v>7996</v>
      </c>
      <c r="E5464" s="140" t="s">
        <v>7997</v>
      </c>
      <c r="F5464" s="140" t="s">
        <v>13089</v>
      </c>
      <c r="G5464" s="141" t="s">
        <v>6401</v>
      </c>
      <c r="H5464" s="140" t="s">
        <v>6312</v>
      </c>
      <c r="I5464" s="140" t="s">
        <v>6313</v>
      </c>
      <c r="J5464" s="140" t="s">
        <v>6314</v>
      </c>
      <c r="K5464" s="140" t="s">
        <v>12839</v>
      </c>
    </row>
    <row r="5465">
      <c r="A5465" s="140" t="s">
        <v>12839</v>
      </c>
      <c r="B5465" s="140" t="s">
        <v>5325</v>
      </c>
      <c r="C5465" s="140" t="s">
        <v>13148</v>
      </c>
      <c r="D5465" s="140" t="s">
        <v>7996</v>
      </c>
      <c r="E5465" s="140" t="s">
        <v>7997</v>
      </c>
      <c r="F5465" s="140" t="s">
        <v>13089</v>
      </c>
      <c r="G5465" s="141" t="s">
        <v>6401</v>
      </c>
      <c r="H5465" s="140" t="s">
        <v>6312</v>
      </c>
      <c r="I5465" s="140" t="s">
        <v>6313</v>
      </c>
      <c r="J5465" s="140" t="s">
        <v>6314</v>
      </c>
      <c r="K5465" s="140" t="s">
        <v>12839</v>
      </c>
    </row>
    <row r="5466">
      <c r="A5466" s="140" t="s">
        <v>12839</v>
      </c>
      <c r="B5466" s="140" t="s">
        <v>5323</v>
      </c>
      <c r="C5466" s="140" t="s">
        <v>13149</v>
      </c>
      <c r="D5466" s="140" t="s">
        <v>7996</v>
      </c>
      <c r="E5466" s="140" t="s">
        <v>7997</v>
      </c>
      <c r="F5466" s="140" t="s">
        <v>13089</v>
      </c>
      <c r="G5466" s="141" t="s">
        <v>6401</v>
      </c>
      <c r="H5466" s="140" t="s">
        <v>6312</v>
      </c>
      <c r="I5466" s="140" t="s">
        <v>6313</v>
      </c>
      <c r="J5466" s="140" t="s">
        <v>6314</v>
      </c>
      <c r="K5466" s="140" t="s">
        <v>12839</v>
      </c>
    </row>
    <row r="5467">
      <c r="A5467" s="140" t="s">
        <v>12839</v>
      </c>
      <c r="B5467" s="140" t="s">
        <v>5321</v>
      </c>
      <c r="C5467" s="140" t="s">
        <v>13150</v>
      </c>
      <c r="D5467" s="140" t="s">
        <v>7996</v>
      </c>
      <c r="E5467" s="140" t="s">
        <v>7997</v>
      </c>
      <c r="F5467" s="140" t="s">
        <v>13089</v>
      </c>
      <c r="G5467" s="141" t="s">
        <v>6401</v>
      </c>
      <c r="H5467" s="140" t="s">
        <v>6312</v>
      </c>
      <c r="I5467" s="140" t="s">
        <v>6313</v>
      </c>
      <c r="J5467" s="140" t="s">
        <v>6314</v>
      </c>
      <c r="K5467" s="140" t="s">
        <v>12839</v>
      </c>
    </row>
    <row r="5468">
      <c r="A5468" s="140" t="s">
        <v>12839</v>
      </c>
      <c r="B5468" s="140" t="s">
        <v>3631</v>
      </c>
      <c r="C5468" s="140" t="s">
        <v>13151</v>
      </c>
      <c r="D5468" s="140" t="s">
        <v>7996</v>
      </c>
      <c r="E5468" s="140" t="s">
        <v>7997</v>
      </c>
      <c r="F5468" s="140" t="s">
        <v>13089</v>
      </c>
      <c r="G5468" s="141" t="s">
        <v>6401</v>
      </c>
      <c r="H5468" s="140" t="s">
        <v>6312</v>
      </c>
      <c r="I5468" s="140" t="s">
        <v>6313</v>
      </c>
      <c r="J5468" s="140" t="s">
        <v>6314</v>
      </c>
      <c r="K5468" s="140" t="s">
        <v>12839</v>
      </c>
    </row>
    <row r="5469">
      <c r="A5469" s="140" t="s">
        <v>12839</v>
      </c>
      <c r="B5469" s="140" t="s">
        <v>5317</v>
      </c>
      <c r="C5469" s="140" t="s">
        <v>13152</v>
      </c>
      <c r="D5469" s="140" t="s">
        <v>7996</v>
      </c>
      <c r="E5469" s="140" t="s">
        <v>7997</v>
      </c>
      <c r="F5469" s="140" t="s">
        <v>13089</v>
      </c>
      <c r="G5469" s="141" t="s">
        <v>6401</v>
      </c>
      <c r="H5469" s="140" t="s">
        <v>6312</v>
      </c>
      <c r="I5469" s="140" t="s">
        <v>6313</v>
      </c>
      <c r="J5469" s="140" t="s">
        <v>6314</v>
      </c>
      <c r="K5469" s="140" t="s">
        <v>12839</v>
      </c>
    </row>
    <row r="5470">
      <c r="A5470" s="140" t="s">
        <v>12839</v>
      </c>
      <c r="B5470" s="140" t="s">
        <v>5315</v>
      </c>
      <c r="C5470" s="140" t="s">
        <v>13153</v>
      </c>
      <c r="D5470" s="140" t="s">
        <v>7996</v>
      </c>
      <c r="E5470" s="140" t="s">
        <v>7997</v>
      </c>
      <c r="F5470" s="140" t="s">
        <v>13089</v>
      </c>
      <c r="G5470" s="141" t="s">
        <v>6401</v>
      </c>
      <c r="H5470" s="140" t="s">
        <v>6312</v>
      </c>
      <c r="I5470" s="140" t="s">
        <v>6313</v>
      </c>
      <c r="J5470" s="140" t="s">
        <v>6314</v>
      </c>
      <c r="K5470" s="140" t="s">
        <v>12839</v>
      </c>
    </row>
    <row r="5471">
      <c r="A5471" s="140" t="s">
        <v>12839</v>
      </c>
      <c r="B5471" s="140" t="s">
        <v>3414</v>
      </c>
      <c r="C5471" s="140" t="s">
        <v>13154</v>
      </c>
      <c r="D5471" s="140" t="s">
        <v>7996</v>
      </c>
      <c r="E5471" s="140" t="s">
        <v>7997</v>
      </c>
      <c r="F5471" s="140" t="s">
        <v>13089</v>
      </c>
      <c r="G5471" s="141" t="s">
        <v>6401</v>
      </c>
      <c r="H5471" s="140" t="s">
        <v>6312</v>
      </c>
      <c r="I5471" s="140" t="s">
        <v>6313</v>
      </c>
      <c r="J5471" s="140" t="s">
        <v>6314</v>
      </c>
      <c r="K5471" s="140" t="s">
        <v>12839</v>
      </c>
    </row>
    <row r="5472">
      <c r="A5472" s="140" t="s">
        <v>12839</v>
      </c>
      <c r="B5472" s="140" t="s">
        <v>5307</v>
      </c>
      <c r="C5472" s="140" t="s">
        <v>13155</v>
      </c>
      <c r="D5472" s="140" t="s">
        <v>7996</v>
      </c>
      <c r="E5472" s="140" t="s">
        <v>7997</v>
      </c>
      <c r="F5472" s="140" t="s">
        <v>13089</v>
      </c>
      <c r="G5472" s="141" t="s">
        <v>6401</v>
      </c>
      <c r="H5472" s="140" t="s">
        <v>6312</v>
      </c>
      <c r="I5472" s="140" t="s">
        <v>6313</v>
      </c>
      <c r="J5472" s="140" t="s">
        <v>6314</v>
      </c>
      <c r="K5472" s="140" t="s">
        <v>12839</v>
      </c>
    </row>
    <row r="5473">
      <c r="A5473" s="140" t="s">
        <v>12839</v>
      </c>
      <c r="B5473" s="140" t="s">
        <v>5313</v>
      </c>
      <c r="C5473" s="140" t="s">
        <v>13156</v>
      </c>
      <c r="D5473" s="140" t="s">
        <v>7996</v>
      </c>
      <c r="E5473" s="140" t="s">
        <v>7997</v>
      </c>
      <c r="F5473" s="140" t="s">
        <v>13089</v>
      </c>
      <c r="G5473" s="141" t="s">
        <v>6401</v>
      </c>
      <c r="H5473" s="140" t="s">
        <v>6312</v>
      </c>
      <c r="I5473" s="140" t="s">
        <v>6313</v>
      </c>
      <c r="J5473" s="140" t="s">
        <v>6314</v>
      </c>
      <c r="K5473" s="140" t="s">
        <v>12839</v>
      </c>
    </row>
    <row r="5474">
      <c r="A5474" s="140" t="s">
        <v>12839</v>
      </c>
      <c r="B5474" s="140" t="s">
        <v>5311</v>
      </c>
      <c r="C5474" s="140" t="s">
        <v>13157</v>
      </c>
      <c r="D5474" s="140" t="s">
        <v>7996</v>
      </c>
      <c r="E5474" s="140" t="s">
        <v>7997</v>
      </c>
      <c r="F5474" s="140" t="s">
        <v>13089</v>
      </c>
      <c r="G5474" s="141" t="s">
        <v>6401</v>
      </c>
      <c r="H5474" s="140" t="s">
        <v>6312</v>
      </c>
      <c r="I5474" s="140" t="s">
        <v>6313</v>
      </c>
      <c r="J5474" s="140" t="s">
        <v>6314</v>
      </c>
      <c r="K5474" s="140" t="s">
        <v>12839</v>
      </c>
    </row>
    <row r="5475">
      <c r="A5475" s="140" t="s">
        <v>12839</v>
      </c>
      <c r="B5475" s="140" t="s">
        <v>5309</v>
      </c>
      <c r="C5475" s="140" t="s">
        <v>13158</v>
      </c>
      <c r="D5475" s="140" t="s">
        <v>7996</v>
      </c>
      <c r="E5475" s="140" t="s">
        <v>7997</v>
      </c>
      <c r="F5475" s="140" t="s">
        <v>13089</v>
      </c>
      <c r="G5475" s="141" t="s">
        <v>6401</v>
      </c>
      <c r="H5475" s="140" t="s">
        <v>6312</v>
      </c>
      <c r="I5475" s="140" t="s">
        <v>6313</v>
      </c>
      <c r="J5475" s="140" t="s">
        <v>6314</v>
      </c>
      <c r="K5475" s="140" t="s">
        <v>12839</v>
      </c>
    </row>
    <row r="5476">
      <c r="A5476" s="140" t="s">
        <v>12839</v>
      </c>
      <c r="B5476" s="140" t="s">
        <v>5327</v>
      </c>
      <c r="C5476" s="140" t="s">
        <v>13159</v>
      </c>
      <c r="D5476" s="140" t="s">
        <v>7996</v>
      </c>
      <c r="E5476" s="140" t="s">
        <v>7997</v>
      </c>
      <c r="F5476" s="140" t="s">
        <v>13089</v>
      </c>
      <c r="G5476" s="141" t="s">
        <v>6401</v>
      </c>
      <c r="H5476" s="140" t="s">
        <v>6312</v>
      </c>
      <c r="I5476" s="140" t="s">
        <v>6313</v>
      </c>
      <c r="J5476" s="140" t="s">
        <v>6314</v>
      </c>
      <c r="K5476" s="140" t="s">
        <v>12839</v>
      </c>
    </row>
    <row r="5477">
      <c r="A5477" s="140" t="s">
        <v>12839</v>
      </c>
      <c r="B5477" s="140" t="s">
        <v>5333</v>
      </c>
      <c r="C5477" s="140" t="s">
        <v>13160</v>
      </c>
      <c r="D5477" s="140" t="s">
        <v>7996</v>
      </c>
      <c r="E5477" s="140" t="s">
        <v>7997</v>
      </c>
      <c r="F5477" s="140" t="s">
        <v>13089</v>
      </c>
      <c r="G5477" s="141" t="s">
        <v>6401</v>
      </c>
      <c r="H5477" s="140" t="s">
        <v>6312</v>
      </c>
      <c r="I5477" s="140" t="s">
        <v>6313</v>
      </c>
      <c r="J5477" s="140" t="s">
        <v>6314</v>
      </c>
      <c r="K5477" s="140" t="s">
        <v>12839</v>
      </c>
    </row>
    <row r="5478">
      <c r="A5478" s="140" t="s">
        <v>12839</v>
      </c>
      <c r="B5478" s="140" t="s">
        <v>5331</v>
      </c>
      <c r="C5478" s="140" t="s">
        <v>13161</v>
      </c>
      <c r="D5478" s="140" t="s">
        <v>7996</v>
      </c>
      <c r="E5478" s="140" t="s">
        <v>7997</v>
      </c>
      <c r="F5478" s="140" t="s">
        <v>13089</v>
      </c>
      <c r="G5478" s="141" t="s">
        <v>6401</v>
      </c>
      <c r="H5478" s="140" t="s">
        <v>6312</v>
      </c>
      <c r="I5478" s="140" t="s">
        <v>6313</v>
      </c>
      <c r="J5478" s="140" t="s">
        <v>6314</v>
      </c>
      <c r="K5478" s="140" t="s">
        <v>12839</v>
      </c>
    </row>
    <row r="5479">
      <c r="A5479" s="140" t="s">
        <v>12839</v>
      </c>
      <c r="B5479" s="140" t="s">
        <v>5329</v>
      </c>
      <c r="C5479" s="140" t="s">
        <v>13162</v>
      </c>
      <c r="D5479" s="140" t="s">
        <v>7996</v>
      </c>
      <c r="E5479" s="140" t="s">
        <v>7997</v>
      </c>
      <c r="F5479" s="140" t="s">
        <v>13089</v>
      </c>
      <c r="G5479" s="141" t="s">
        <v>6401</v>
      </c>
      <c r="H5479" s="140" t="s">
        <v>6312</v>
      </c>
      <c r="I5479" s="140" t="s">
        <v>6313</v>
      </c>
      <c r="J5479" s="140" t="s">
        <v>6314</v>
      </c>
      <c r="K5479" s="140" t="s">
        <v>12839</v>
      </c>
    </row>
    <row r="5480">
      <c r="A5480" s="140" t="s">
        <v>12839</v>
      </c>
      <c r="B5480" s="140" t="s">
        <v>5279</v>
      </c>
      <c r="C5480" s="140" t="s">
        <v>13163</v>
      </c>
      <c r="D5480" s="140" t="s">
        <v>7996</v>
      </c>
      <c r="E5480" s="140" t="s">
        <v>7997</v>
      </c>
      <c r="F5480" s="140" t="s">
        <v>13089</v>
      </c>
      <c r="G5480" s="141" t="s">
        <v>6401</v>
      </c>
      <c r="H5480" s="140" t="s">
        <v>6312</v>
      </c>
      <c r="I5480" s="140" t="s">
        <v>6313</v>
      </c>
      <c r="J5480" s="140" t="s">
        <v>6314</v>
      </c>
      <c r="K5480" s="140" t="s">
        <v>12839</v>
      </c>
    </row>
    <row r="5481">
      <c r="A5481" s="140" t="s">
        <v>12839</v>
      </c>
      <c r="B5481" s="140" t="s">
        <v>5285</v>
      </c>
      <c r="C5481" s="140" t="s">
        <v>13164</v>
      </c>
      <c r="D5481" s="140" t="s">
        <v>7996</v>
      </c>
      <c r="E5481" s="140" t="s">
        <v>7997</v>
      </c>
      <c r="F5481" s="140" t="s">
        <v>13089</v>
      </c>
      <c r="G5481" s="141" t="s">
        <v>6401</v>
      </c>
      <c r="H5481" s="140" t="s">
        <v>6312</v>
      </c>
      <c r="I5481" s="140" t="s">
        <v>6313</v>
      </c>
      <c r="J5481" s="140" t="s">
        <v>6314</v>
      </c>
      <c r="K5481" s="140" t="s">
        <v>12839</v>
      </c>
    </row>
    <row r="5482">
      <c r="A5482" s="140" t="s">
        <v>12839</v>
      </c>
      <c r="B5482" s="140" t="s">
        <v>5283</v>
      </c>
      <c r="C5482" s="140" t="s">
        <v>13165</v>
      </c>
      <c r="D5482" s="140" t="s">
        <v>7996</v>
      </c>
      <c r="E5482" s="140" t="s">
        <v>7997</v>
      </c>
      <c r="F5482" s="140" t="s">
        <v>13089</v>
      </c>
      <c r="G5482" s="141" t="s">
        <v>6401</v>
      </c>
      <c r="H5482" s="140" t="s">
        <v>6312</v>
      </c>
      <c r="I5482" s="140" t="s">
        <v>6313</v>
      </c>
      <c r="J5482" s="140" t="s">
        <v>6314</v>
      </c>
      <c r="K5482" s="140" t="s">
        <v>12839</v>
      </c>
    </row>
    <row r="5483">
      <c r="A5483" s="140" t="s">
        <v>12839</v>
      </c>
      <c r="B5483" s="140" t="s">
        <v>5281</v>
      </c>
      <c r="C5483" s="140" t="s">
        <v>13166</v>
      </c>
      <c r="D5483" s="140" t="s">
        <v>7996</v>
      </c>
      <c r="E5483" s="140" t="s">
        <v>7997</v>
      </c>
      <c r="F5483" s="140" t="s">
        <v>13089</v>
      </c>
      <c r="G5483" s="141" t="s">
        <v>6401</v>
      </c>
      <c r="H5483" s="140" t="s">
        <v>6312</v>
      </c>
      <c r="I5483" s="140" t="s">
        <v>6313</v>
      </c>
      <c r="J5483" s="140" t="s">
        <v>6314</v>
      </c>
      <c r="K5483" s="140" t="s">
        <v>12839</v>
      </c>
    </row>
    <row r="5484">
      <c r="A5484" s="140" t="s">
        <v>12839</v>
      </c>
      <c r="B5484" s="140" t="s">
        <v>5271</v>
      </c>
      <c r="C5484" s="140" t="s">
        <v>13167</v>
      </c>
      <c r="D5484" s="140" t="s">
        <v>7996</v>
      </c>
      <c r="E5484" s="140" t="s">
        <v>7997</v>
      </c>
      <c r="F5484" s="140" t="s">
        <v>13089</v>
      </c>
      <c r="G5484" s="141" t="s">
        <v>6401</v>
      </c>
      <c r="H5484" s="140" t="s">
        <v>6312</v>
      </c>
      <c r="I5484" s="140" t="s">
        <v>6313</v>
      </c>
      <c r="J5484" s="140" t="s">
        <v>6314</v>
      </c>
      <c r="K5484" s="140" t="s">
        <v>12839</v>
      </c>
    </row>
    <row r="5485">
      <c r="A5485" s="140" t="s">
        <v>12839</v>
      </c>
      <c r="B5485" s="140" t="s">
        <v>5277</v>
      </c>
      <c r="C5485" s="140" t="s">
        <v>13168</v>
      </c>
      <c r="D5485" s="140" t="s">
        <v>7996</v>
      </c>
      <c r="E5485" s="140" t="s">
        <v>7997</v>
      </c>
      <c r="F5485" s="140" t="s">
        <v>13089</v>
      </c>
      <c r="G5485" s="141" t="s">
        <v>6401</v>
      </c>
      <c r="H5485" s="140" t="s">
        <v>6312</v>
      </c>
      <c r="I5485" s="140" t="s">
        <v>6313</v>
      </c>
      <c r="J5485" s="140" t="s">
        <v>6314</v>
      </c>
      <c r="K5485" s="140" t="s">
        <v>12839</v>
      </c>
    </row>
    <row r="5486">
      <c r="A5486" s="140" t="s">
        <v>12839</v>
      </c>
      <c r="B5486" s="140" t="s">
        <v>5275</v>
      </c>
      <c r="C5486" s="140" t="s">
        <v>13169</v>
      </c>
      <c r="D5486" s="140" t="s">
        <v>7996</v>
      </c>
      <c r="E5486" s="140" t="s">
        <v>7997</v>
      </c>
      <c r="F5486" s="140" t="s">
        <v>13089</v>
      </c>
      <c r="G5486" s="141" t="s">
        <v>6401</v>
      </c>
      <c r="H5486" s="140" t="s">
        <v>6312</v>
      </c>
      <c r="I5486" s="140" t="s">
        <v>6313</v>
      </c>
      <c r="J5486" s="140" t="s">
        <v>6314</v>
      </c>
      <c r="K5486" s="140" t="s">
        <v>12839</v>
      </c>
    </row>
    <row r="5487">
      <c r="A5487" s="140" t="s">
        <v>12839</v>
      </c>
      <c r="B5487" s="140" t="s">
        <v>5273</v>
      </c>
      <c r="C5487" s="140" t="s">
        <v>13170</v>
      </c>
      <c r="D5487" s="140" t="s">
        <v>7996</v>
      </c>
      <c r="E5487" s="140" t="s">
        <v>7997</v>
      </c>
      <c r="F5487" s="140" t="s">
        <v>13089</v>
      </c>
      <c r="G5487" s="141" t="s">
        <v>6401</v>
      </c>
      <c r="H5487" s="140" t="s">
        <v>6312</v>
      </c>
      <c r="I5487" s="140" t="s">
        <v>6313</v>
      </c>
      <c r="J5487" s="140" t="s">
        <v>6314</v>
      </c>
      <c r="K5487" s="140" t="s">
        <v>12839</v>
      </c>
    </row>
    <row r="5488">
      <c r="A5488" s="140" t="s">
        <v>13171</v>
      </c>
      <c r="B5488" s="140" t="s">
        <v>5589</v>
      </c>
      <c r="C5488" s="140" t="s">
        <v>13172</v>
      </c>
      <c r="D5488" s="140" t="s">
        <v>9307</v>
      </c>
      <c r="E5488" s="140" t="s">
        <v>13173</v>
      </c>
      <c r="F5488" s="140" t="s">
        <v>13174</v>
      </c>
      <c r="G5488" s="141" t="s">
        <v>6401</v>
      </c>
      <c r="H5488" s="140" t="s">
        <v>6312</v>
      </c>
      <c r="I5488" s="140" t="s">
        <v>6313</v>
      </c>
      <c r="J5488" s="140" t="s">
        <v>6314</v>
      </c>
      <c r="K5488" s="140" t="s">
        <v>13171</v>
      </c>
    </row>
    <row r="5489">
      <c r="A5489" s="140" t="s">
        <v>13175</v>
      </c>
      <c r="B5489" s="140">
        <v>20989.0</v>
      </c>
      <c r="C5489" s="140" t="s">
        <v>13176</v>
      </c>
      <c r="D5489" s="140" t="s">
        <v>6309</v>
      </c>
      <c r="E5489" s="140" t="s">
        <v>56</v>
      </c>
      <c r="F5489" s="140" t="s">
        <v>64</v>
      </c>
      <c r="G5489" s="141" t="s">
        <v>6311</v>
      </c>
      <c r="H5489" s="140" t="s">
        <v>6312</v>
      </c>
      <c r="I5489" s="140" t="s">
        <v>6313</v>
      </c>
      <c r="J5489" s="140" t="s">
        <v>6314</v>
      </c>
      <c r="K5489" s="140" t="s">
        <v>6315</v>
      </c>
    </row>
    <row r="5490">
      <c r="A5490" s="140" t="s">
        <v>13175</v>
      </c>
      <c r="B5490" s="140">
        <v>27954.0</v>
      </c>
      <c r="C5490" s="140" t="s">
        <v>13177</v>
      </c>
      <c r="D5490" s="140" t="s">
        <v>6309</v>
      </c>
      <c r="E5490" s="140" t="s">
        <v>56</v>
      </c>
      <c r="F5490" s="140" t="s">
        <v>64</v>
      </c>
      <c r="G5490" s="141" t="s">
        <v>6311</v>
      </c>
      <c r="H5490" s="140" t="s">
        <v>6312</v>
      </c>
      <c r="I5490" s="140" t="s">
        <v>6313</v>
      </c>
      <c r="J5490" s="140" t="s">
        <v>6314</v>
      </c>
      <c r="K5490" s="140" t="s">
        <v>6315</v>
      </c>
    </row>
    <row r="5491">
      <c r="A5491" s="140" t="s">
        <v>13175</v>
      </c>
      <c r="B5491" s="140">
        <v>18399.0</v>
      </c>
      <c r="C5491" s="140" t="s">
        <v>13178</v>
      </c>
      <c r="D5491" s="140" t="s">
        <v>6309</v>
      </c>
      <c r="E5491" s="140" t="s">
        <v>56</v>
      </c>
      <c r="F5491" s="140" t="s">
        <v>64</v>
      </c>
      <c r="G5491" s="141" t="s">
        <v>6311</v>
      </c>
      <c r="H5491" s="140" t="s">
        <v>6312</v>
      </c>
      <c r="I5491" s="140" t="s">
        <v>6313</v>
      </c>
      <c r="J5491" s="140" t="s">
        <v>6314</v>
      </c>
      <c r="K5491" s="140" t="s">
        <v>6315</v>
      </c>
    </row>
    <row r="5492">
      <c r="A5492" s="140" t="s">
        <v>13175</v>
      </c>
      <c r="B5492" s="140">
        <v>27955.0</v>
      </c>
      <c r="C5492" s="140" t="s">
        <v>13179</v>
      </c>
      <c r="D5492" s="140" t="s">
        <v>6309</v>
      </c>
      <c r="E5492" s="140" t="s">
        <v>56</v>
      </c>
      <c r="F5492" s="140" t="s">
        <v>64</v>
      </c>
      <c r="G5492" s="141" t="s">
        <v>6311</v>
      </c>
      <c r="H5492" s="140" t="s">
        <v>6312</v>
      </c>
      <c r="I5492" s="140" t="s">
        <v>6313</v>
      </c>
      <c r="J5492" s="140" t="s">
        <v>6314</v>
      </c>
      <c r="K5492" s="140" t="s">
        <v>6315</v>
      </c>
    </row>
    <row r="5493">
      <c r="A5493" s="140" t="s">
        <v>13175</v>
      </c>
      <c r="B5493" s="140">
        <v>34192.0</v>
      </c>
      <c r="C5493" s="140" t="s">
        <v>13180</v>
      </c>
      <c r="D5493" s="140" t="s">
        <v>6309</v>
      </c>
      <c r="E5493" s="140" t="s">
        <v>56</v>
      </c>
      <c r="F5493" s="140" t="s">
        <v>64</v>
      </c>
      <c r="G5493" s="141" t="s">
        <v>6311</v>
      </c>
      <c r="H5493" s="140" t="s">
        <v>6312</v>
      </c>
      <c r="I5493" s="140" t="s">
        <v>6313</v>
      </c>
      <c r="J5493" s="140" t="s">
        <v>6314</v>
      </c>
      <c r="K5493" s="140" t="s">
        <v>6315</v>
      </c>
    </row>
    <row r="5494">
      <c r="A5494" s="140" t="s">
        <v>13175</v>
      </c>
      <c r="B5494" s="140">
        <v>27956.0</v>
      </c>
      <c r="C5494" s="140" t="s">
        <v>13181</v>
      </c>
      <c r="D5494" s="140" t="s">
        <v>6309</v>
      </c>
      <c r="E5494" s="140" t="s">
        <v>56</v>
      </c>
      <c r="F5494" s="140" t="s">
        <v>64</v>
      </c>
      <c r="G5494" s="141" t="s">
        <v>6311</v>
      </c>
      <c r="H5494" s="140" t="s">
        <v>6312</v>
      </c>
      <c r="I5494" s="140" t="s">
        <v>6313</v>
      </c>
      <c r="J5494" s="140" t="s">
        <v>6314</v>
      </c>
      <c r="K5494" s="140" t="s">
        <v>6315</v>
      </c>
    </row>
    <row r="5495">
      <c r="A5495" s="140" t="s">
        <v>13175</v>
      </c>
      <c r="B5495" s="140">
        <v>21636.0</v>
      </c>
      <c r="C5495" s="140" t="s">
        <v>13182</v>
      </c>
      <c r="D5495" s="140" t="s">
        <v>6309</v>
      </c>
      <c r="E5495" s="140" t="s">
        <v>56</v>
      </c>
      <c r="F5495" s="140" t="s">
        <v>64</v>
      </c>
      <c r="G5495" s="141" t="s">
        <v>6311</v>
      </c>
      <c r="H5495" s="140" t="s">
        <v>6312</v>
      </c>
      <c r="I5495" s="140" t="s">
        <v>6313</v>
      </c>
      <c r="J5495" s="140" t="s">
        <v>6314</v>
      </c>
      <c r="K5495" s="140" t="s">
        <v>6315</v>
      </c>
    </row>
    <row r="5496">
      <c r="A5496" s="140" t="s">
        <v>13183</v>
      </c>
      <c r="B5496" s="140">
        <v>34196.0</v>
      </c>
      <c r="C5496" s="140" t="s">
        <v>13184</v>
      </c>
      <c r="D5496" s="140" t="s">
        <v>6309</v>
      </c>
      <c r="E5496" s="140" t="s">
        <v>56</v>
      </c>
      <c r="F5496" s="140" t="s">
        <v>64</v>
      </c>
      <c r="G5496" s="141" t="s">
        <v>6311</v>
      </c>
      <c r="H5496" s="140" t="s">
        <v>6312</v>
      </c>
      <c r="I5496" s="140" t="s">
        <v>6313</v>
      </c>
      <c r="J5496" s="140" t="s">
        <v>6314</v>
      </c>
      <c r="K5496" s="140" t="s">
        <v>6315</v>
      </c>
    </row>
    <row r="5497">
      <c r="A5497" s="140" t="s">
        <v>13185</v>
      </c>
      <c r="B5497" s="140" t="s">
        <v>13186</v>
      </c>
      <c r="C5497" s="140" t="s">
        <v>13187</v>
      </c>
      <c r="D5497" s="140" t="s">
        <v>7347</v>
      </c>
      <c r="E5497" s="140">
        <v>0.0</v>
      </c>
      <c r="F5497" s="140" t="s">
        <v>7348</v>
      </c>
      <c r="G5497" s="141" t="s">
        <v>6401</v>
      </c>
      <c r="H5497" s="140" t="s">
        <v>6312</v>
      </c>
      <c r="I5497" s="140" t="s">
        <v>6313</v>
      </c>
      <c r="J5497" s="140" t="s">
        <v>6314</v>
      </c>
      <c r="K5497" s="140" t="s">
        <v>9070</v>
      </c>
    </row>
    <row r="5498">
      <c r="A5498" s="140" t="s">
        <v>13188</v>
      </c>
      <c r="B5498" s="140" t="s">
        <v>13189</v>
      </c>
      <c r="C5498" s="140" t="s">
        <v>13190</v>
      </c>
      <c r="D5498" s="140" t="s">
        <v>6309</v>
      </c>
      <c r="E5498" s="140">
        <v>0.0</v>
      </c>
      <c r="F5498" s="140" t="s">
        <v>8995</v>
      </c>
      <c r="G5498" s="141" t="s">
        <v>6401</v>
      </c>
      <c r="H5498" s="140" t="s">
        <v>6312</v>
      </c>
      <c r="I5498" s="140" t="s">
        <v>6313</v>
      </c>
      <c r="J5498" s="140" t="s">
        <v>6314</v>
      </c>
      <c r="K5498" s="140" t="s">
        <v>13188</v>
      </c>
    </row>
    <row r="5499">
      <c r="A5499" s="140" t="s">
        <v>13188</v>
      </c>
      <c r="B5499" s="140" t="s">
        <v>13191</v>
      </c>
      <c r="C5499" s="140" t="s">
        <v>13192</v>
      </c>
      <c r="D5499" s="140" t="s">
        <v>6309</v>
      </c>
      <c r="E5499" s="140">
        <v>0.0</v>
      </c>
      <c r="F5499" s="140" t="s">
        <v>8995</v>
      </c>
      <c r="G5499" s="141" t="s">
        <v>6401</v>
      </c>
      <c r="H5499" s="140" t="s">
        <v>6312</v>
      </c>
      <c r="I5499" s="140" t="s">
        <v>6313</v>
      </c>
      <c r="J5499" s="140" t="s">
        <v>6314</v>
      </c>
      <c r="K5499" s="140" t="s">
        <v>13188</v>
      </c>
    </row>
    <row r="5500">
      <c r="A5500" s="140" t="s">
        <v>13188</v>
      </c>
      <c r="B5500" s="140" t="s">
        <v>13193</v>
      </c>
      <c r="C5500" s="140" t="s">
        <v>13194</v>
      </c>
      <c r="D5500" s="140" t="s">
        <v>6309</v>
      </c>
      <c r="E5500" s="140">
        <v>0.0</v>
      </c>
      <c r="F5500" s="140" t="s">
        <v>8995</v>
      </c>
      <c r="G5500" s="141" t="s">
        <v>6401</v>
      </c>
      <c r="H5500" s="140" t="s">
        <v>6312</v>
      </c>
      <c r="I5500" s="140" t="s">
        <v>6313</v>
      </c>
      <c r="J5500" s="140" t="s">
        <v>6314</v>
      </c>
      <c r="K5500" s="140" t="s">
        <v>13188</v>
      </c>
    </row>
    <row r="5501">
      <c r="A5501" s="140" t="s">
        <v>13188</v>
      </c>
      <c r="B5501" s="140" t="s">
        <v>13195</v>
      </c>
      <c r="C5501" s="140" t="s">
        <v>13196</v>
      </c>
      <c r="D5501" s="140" t="s">
        <v>6309</v>
      </c>
      <c r="E5501" s="140">
        <v>0.0</v>
      </c>
      <c r="F5501" s="140" t="s">
        <v>8995</v>
      </c>
      <c r="G5501" s="141" t="s">
        <v>6401</v>
      </c>
      <c r="H5501" s="140" t="s">
        <v>6312</v>
      </c>
      <c r="I5501" s="140" t="s">
        <v>6313</v>
      </c>
      <c r="J5501" s="140" t="s">
        <v>6314</v>
      </c>
      <c r="K5501" s="140" t="s">
        <v>13188</v>
      </c>
    </row>
    <row r="5502">
      <c r="A5502" s="140" t="s">
        <v>13188</v>
      </c>
      <c r="B5502" s="140" t="s">
        <v>13197</v>
      </c>
      <c r="C5502" s="140" t="s">
        <v>13198</v>
      </c>
      <c r="D5502" s="140" t="s">
        <v>6309</v>
      </c>
      <c r="E5502" s="140">
        <v>0.0</v>
      </c>
      <c r="F5502" s="140" t="s">
        <v>8995</v>
      </c>
      <c r="G5502" s="141" t="s">
        <v>6401</v>
      </c>
      <c r="H5502" s="140" t="s">
        <v>6312</v>
      </c>
      <c r="I5502" s="140" t="s">
        <v>6313</v>
      </c>
      <c r="J5502" s="140" t="s">
        <v>6314</v>
      </c>
      <c r="K5502" s="140" t="s">
        <v>13188</v>
      </c>
    </row>
    <row r="5503">
      <c r="A5503" s="140" t="s">
        <v>13188</v>
      </c>
      <c r="B5503" s="140" t="s">
        <v>13199</v>
      </c>
      <c r="C5503" s="140" t="s">
        <v>13200</v>
      </c>
      <c r="D5503" s="140" t="s">
        <v>6309</v>
      </c>
      <c r="E5503" s="140">
        <v>0.0</v>
      </c>
      <c r="F5503" s="140" t="s">
        <v>8995</v>
      </c>
      <c r="G5503" s="141" t="s">
        <v>6401</v>
      </c>
      <c r="H5503" s="140" t="s">
        <v>6312</v>
      </c>
      <c r="I5503" s="140" t="s">
        <v>6313</v>
      </c>
      <c r="J5503" s="140" t="s">
        <v>6314</v>
      </c>
      <c r="K5503" s="140" t="s">
        <v>13188</v>
      </c>
    </row>
    <row r="5504">
      <c r="A5504" s="140" t="s">
        <v>13188</v>
      </c>
      <c r="B5504" s="140" t="s">
        <v>13201</v>
      </c>
      <c r="C5504" s="140" t="s">
        <v>13202</v>
      </c>
      <c r="D5504" s="140" t="s">
        <v>6309</v>
      </c>
      <c r="E5504" s="140">
        <v>0.0</v>
      </c>
      <c r="F5504" s="140" t="s">
        <v>8995</v>
      </c>
      <c r="G5504" s="141" t="s">
        <v>6401</v>
      </c>
      <c r="H5504" s="140" t="s">
        <v>6312</v>
      </c>
      <c r="I5504" s="140" t="s">
        <v>6313</v>
      </c>
      <c r="J5504" s="140" t="s">
        <v>6314</v>
      </c>
      <c r="K5504" s="140" t="s">
        <v>13188</v>
      </c>
    </row>
    <row r="5505">
      <c r="A5505" s="140" t="s">
        <v>13188</v>
      </c>
      <c r="B5505" s="140" t="s">
        <v>13203</v>
      </c>
      <c r="C5505" s="140" t="s">
        <v>13204</v>
      </c>
      <c r="D5505" s="140" t="s">
        <v>6309</v>
      </c>
      <c r="E5505" s="140">
        <v>0.0</v>
      </c>
      <c r="F5505" s="140" t="s">
        <v>8995</v>
      </c>
      <c r="G5505" s="141" t="s">
        <v>6401</v>
      </c>
      <c r="H5505" s="140" t="s">
        <v>6312</v>
      </c>
      <c r="I5505" s="140" t="s">
        <v>6313</v>
      </c>
      <c r="J5505" s="140" t="s">
        <v>6314</v>
      </c>
      <c r="K5505" s="140" t="s">
        <v>13188</v>
      </c>
    </row>
    <row r="5506">
      <c r="A5506" s="140" t="s">
        <v>13188</v>
      </c>
      <c r="B5506" s="140" t="s">
        <v>13205</v>
      </c>
      <c r="C5506" s="140" t="s">
        <v>13206</v>
      </c>
      <c r="D5506" s="140" t="s">
        <v>6309</v>
      </c>
      <c r="E5506" s="140">
        <v>0.0</v>
      </c>
      <c r="F5506" s="140" t="s">
        <v>8995</v>
      </c>
      <c r="G5506" s="141" t="s">
        <v>6401</v>
      </c>
      <c r="H5506" s="140" t="s">
        <v>6312</v>
      </c>
      <c r="I5506" s="140" t="s">
        <v>6313</v>
      </c>
      <c r="J5506" s="140" t="s">
        <v>6314</v>
      </c>
      <c r="K5506" s="140" t="s">
        <v>13188</v>
      </c>
    </row>
    <row r="5507">
      <c r="A5507" s="140" t="s">
        <v>13188</v>
      </c>
      <c r="B5507" s="140" t="s">
        <v>13207</v>
      </c>
      <c r="C5507" s="140" t="s">
        <v>13208</v>
      </c>
      <c r="D5507" s="140" t="s">
        <v>6309</v>
      </c>
      <c r="E5507" s="140">
        <v>0.0</v>
      </c>
      <c r="F5507" s="140" t="s">
        <v>8995</v>
      </c>
      <c r="G5507" s="141" t="s">
        <v>6401</v>
      </c>
      <c r="H5507" s="140" t="s">
        <v>6312</v>
      </c>
      <c r="I5507" s="140" t="s">
        <v>6313</v>
      </c>
      <c r="J5507" s="140" t="s">
        <v>6314</v>
      </c>
      <c r="K5507" s="140" t="s">
        <v>13188</v>
      </c>
    </row>
    <row r="5508">
      <c r="A5508" s="140" t="s">
        <v>13188</v>
      </c>
      <c r="B5508" s="140" t="s">
        <v>13209</v>
      </c>
      <c r="C5508" s="140" t="s">
        <v>13210</v>
      </c>
      <c r="D5508" s="140" t="s">
        <v>6309</v>
      </c>
      <c r="E5508" s="140">
        <v>0.0</v>
      </c>
      <c r="F5508" s="140" t="s">
        <v>8995</v>
      </c>
      <c r="G5508" s="141" t="s">
        <v>6401</v>
      </c>
      <c r="H5508" s="140" t="s">
        <v>6312</v>
      </c>
      <c r="I5508" s="140" t="s">
        <v>6313</v>
      </c>
      <c r="J5508" s="140" t="s">
        <v>6314</v>
      </c>
      <c r="K5508" s="140" t="s">
        <v>13188</v>
      </c>
    </row>
    <row r="5509">
      <c r="A5509" s="140" t="s">
        <v>13188</v>
      </c>
      <c r="B5509" s="140" t="s">
        <v>13211</v>
      </c>
      <c r="C5509" s="140" t="s">
        <v>13212</v>
      </c>
      <c r="D5509" s="140" t="s">
        <v>6309</v>
      </c>
      <c r="E5509" s="140">
        <v>0.0</v>
      </c>
      <c r="F5509" s="140" t="s">
        <v>8995</v>
      </c>
      <c r="G5509" s="141" t="s">
        <v>6401</v>
      </c>
      <c r="H5509" s="140" t="s">
        <v>6312</v>
      </c>
      <c r="I5509" s="140" t="s">
        <v>6313</v>
      </c>
      <c r="J5509" s="140" t="s">
        <v>6314</v>
      </c>
      <c r="K5509" s="140" t="s">
        <v>13188</v>
      </c>
    </row>
    <row r="5510">
      <c r="A5510" s="140" t="s">
        <v>13188</v>
      </c>
      <c r="B5510" s="140" t="s">
        <v>13213</v>
      </c>
      <c r="C5510" s="140" t="s">
        <v>13214</v>
      </c>
      <c r="D5510" s="140" t="s">
        <v>6309</v>
      </c>
      <c r="E5510" s="140">
        <v>0.0</v>
      </c>
      <c r="F5510" s="140" t="s">
        <v>8995</v>
      </c>
      <c r="G5510" s="141" t="s">
        <v>6401</v>
      </c>
      <c r="H5510" s="140" t="s">
        <v>6312</v>
      </c>
      <c r="I5510" s="140" t="s">
        <v>6313</v>
      </c>
      <c r="J5510" s="140" t="s">
        <v>6314</v>
      </c>
      <c r="K5510" s="140" t="s">
        <v>13188</v>
      </c>
    </row>
    <row r="5511">
      <c r="A5511" s="140" t="s">
        <v>13188</v>
      </c>
      <c r="B5511" s="140" t="s">
        <v>13215</v>
      </c>
      <c r="C5511" s="140" t="s">
        <v>13216</v>
      </c>
      <c r="D5511" s="140" t="s">
        <v>6309</v>
      </c>
      <c r="E5511" s="140">
        <v>0.0</v>
      </c>
      <c r="F5511" s="140" t="s">
        <v>8995</v>
      </c>
      <c r="G5511" s="141" t="s">
        <v>6401</v>
      </c>
      <c r="H5511" s="140" t="s">
        <v>6312</v>
      </c>
      <c r="I5511" s="140" t="s">
        <v>6313</v>
      </c>
      <c r="J5511" s="140" t="s">
        <v>6314</v>
      </c>
      <c r="K5511" s="140" t="s">
        <v>13188</v>
      </c>
    </row>
    <row r="5512">
      <c r="A5512" s="140" t="s">
        <v>13188</v>
      </c>
      <c r="B5512" s="140" t="s">
        <v>13217</v>
      </c>
      <c r="C5512" s="140" t="s">
        <v>13218</v>
      </c>
      <c r="D5512" s="140" t="s">
        <v>6309</v>
      </c>
      <c r="E5512" s="140">
        <v>0.0</v>
      </c>
      <c r="F5512" s="140" t="s">
        <v>8995</v>
      </c>
      <c r="G5512" s="141" t="s">
        <v>6401</v>
      </c>
      <c r="H5512" s="140" t="s">
        <v>6312</v>
      </c>
      <c r="I5512" s="140" t="s">
        <v>6313</v>
      </c>
      <c r="J5512" s="140" t="s">
        <v>6314</v>
      </c>
      <c r="K5512" s="140" t="s">
        <v>13188</v>
      </c>
    </row>
    <row r="5513">
      <c r="A5513" s="140" t="s">
        <v>13188</v>
      </c>
      <c r="B5513" s="140" t="s">
        <v>13219</v>
      </c>
      <c r="C5513" s="140" t="s">
        <v>13220</v>
      </c>
      <c r="D5513" s="140" t="s">
        <v>6309</v>
      </c>
      <c r="E5513" s="140">
        <v>0.0</v>
      </c>
      <c r="F5513" s="140" t="s">
        <v>8995</v>
      </c>
      <c r="G5513" s="141" t="s">
        <v>6401</v>
      </c>
      <c r="H5513" s="140" t="s">
        <v>6312</v>
      </c>
      <c r="I5513" s="140" t="s">
        <v>6313</v>
      </c>
      <c r="J5513" s="140" t="s">
        <v>6314</v>
      </c>
      <c r="K5513" s="140" t="s">
        <v>13188</v>
      </c>
    </row>
    <row r="5514">
      <c r="A5514" s="140" t="s">
        <v>13188</v>
      </c>
      <c r="B5514" s="140" t="s">
        <v>13221</v>
      </c>
      <c r="C5514" s="140" t="s">
        <v>13222</v>
      </c>
      <c r="D5514" s="140" t="s">
        <v>6309</v>
      </c>
      <c r="E5514" s="140">
        <v>0.0</v>
      </c>
      <c r="F5514" s="140" t="s">
        <v>8995</v>
      </c>
      <c r="G5514" s="141" t="s">
        <v>6401</v>
      </c>
      <c r="H5514" s="140" t="s">
        <v>6312</v>
      </c>
      <c r="I5514" s="140" t="s">
        <v>6313</v>
      </c>
      <c r="J5514" s="140" t="s">
        <v>6314</v>
      </c>
      <c r="K5514" s="140" t="s">
        <v>13188</v>
      </c>
    </row>
    <row r="5515">
      <c r="A5515" s="140" t="s">
        <v>13188</v>
      </c>
      <c r="B5515" s="140" t="s">
        <v>13223</v>
      </c>
      <c r="C5515" s="140" t="s">
        <v>13224</v>
      </c>
      <c r="D5515" s="140" t="s">
        <v>6309</v>
      </c>
      <c r="E5515" s="140">
        <v>0.0</v>
      </c>
      <c r="F5515" s="140" t="s">
        <v>8995</v>
      </c>
      <c r="G5515" s="141" t="s">
        <v>6401</v>
      </c>
      <c r="H5515" s="140" t="s">
        <v>6312</v>
      </c>
      <c r="I5515" s="140" t="s">
        <v>6313</v>
      </c>
      <c r="J5515" s="140" t="s">
        <v>6314</v>
      </c>
      <c r="K5515" s="140" t="s">
        <v>13188</v>
      </c>
    </row>
    <row r="5516">
      <c r="A5516" s="140" t="s">
        <v>13188</v>
      </c>
      <c r="B5516" s="140" t="s">
        <v>13225</v>
      </c>
      <c r="C5516" s="140" t="s">
        <v>13226</v>
      </c>
      <c r="D5516" s="140" t="s">
        <v>6309</v>
      </c>
      <c r="E5516" s="140">
        <v>0.0</v>
      </c>
      <c r="F5516" s="140" t="s">
        <v>8995</v>
      </c>
      <c r="G5516" s="141" t="s">
        <v>6401</v>
      </c>
      <c r="H5516" s="140" t="s">
        <v>6312</v>
      </c>
      <c r="I5516" s="140" t="s">
        <v>6313</v>
      </c>
      <c r="J5516" s="140" t="s">
        <v>6314</v>
      </c>
      <c r="K5516" s="140" t="s">
        <v>13188</v>
      </c>
    </row>
    <row r="5517">
      <c r="A5517" s="140" t="s">
        <v>13188</v>
      </c>
      <c r="B5517" s="140" t="s">
        <v>13227</v>
      </c>
      <c r="C5517" s="140" t="s">
        <v>13228</v>
      </c>
      <c r="D5517" s="140" t="s">
        <v>6309</v>
      </c>
      <c r="E5517" s="140">
        <v>0.0</v>
      </c>
      <c r="F5517" s="140" t="s">
        <v>8995</v>
      </c>
      <c r="G5517" s="141" t="s">
        <v>6401</v>
      </c>
      <c r="H5517" s="140" t="s">
        <v>6312</v>
      </c>
      <c r="I5517" s="140" t="s">
        <v>6313</v>
      </c>
      <c r="J5517" s="140" t="s">
        <v>6314</v>
      </c>
      <c r="K5517" s="140" t="s">
        <v>13188</v>
      </c>
    </row>
    <row r="5518">
      <c r="A5518" s="140" t="s">
        <v>13188</v>
      </c>
      <c r="B5518" s="140" t="s">
        <v>13229</v>
      </c>
      <c r="C5518" s="140" t="s">
        <v>13230</v>
      </c>
      <c r="D5518" s="140" t="s">
        <v>6309</v>
      </c>
      <c r="E5518" s="140">
        <v>0.0</v>
      </c>
      <c r="F5518" s="140" t="s">
        <v>8995</v>
      </c>
      <c r="G5518" s="141" t="s">
        <v>6401</v>
      </c>
      <c r="H5518" s="140" t="s">
        <v>6312</v>
      </c>
      <c r="I5518" s="140" t="s">
        <v>6313</v>
      </c>
      <c r="J5518" s="140" t="s">
        <v>6314</v>
      </c>
      <c r="K5518" s="140" t="s">
        <v>13188</v>
      </c>
    </row>
    <row r="5519">
      <c r="A5519" s="140" t="s">
        <v>13188</v>
      </c>
      <c r="B5519" s="140" t="s">
        <v>13231</v>
      </c>
      <c r="C5519" s="140" t="s">
        <v>13232</v>
      </c>
      <c r="D5519" s="140" t="s">
        <v>6309</v>
      </c>
      <c r="E5519" s="140">
        <v>0.0</v>
      </c>
      <c r="F5519" s="140" t="s">
        <v>8995</v>
      </c>
      <c r="G5519" s="141" t="s">
        <v>6401</v>
      </c>
      <c r="H5519" s="140" t="s">
        <v>6312</v>
      </c>
      <c r="I5519" s="140" t="s">
        <v>6313</v>
      </c>
      <c r="J5519" s="140" t="s">
        <v>6314</v>
      </c>
      <c r="K5519" s="140" t="s">
        <v>13188</v>
      </c>
    </row>
    <row r="5520">
      <c r="A5520" s="140" t="s">
        <v>13188</v>
      </c>
      <c r="B5520" s="140" t="s">
        <v>13233</v>
      </c>
      <c r="C5520" s="140" t="s">
        <v>13234</v>
      </c>
      <c r="D5520" s="140" t="s">
        <v>6309</v>
      </c>
      <c r="E5520" s="140">
        <v>0.0</v>
      </c>
      <c r="F5520" s="140" t="s">
        <v>8995</v>
      </c>
      <c r="G5520" s="141" t="s">
        <v>6401</v>
      </c>
      <c r="H5520" s="140" t="s">
        <v>6312</v>
      </c>
      <c r="I5520" s="140" t="s">
        <v>6313</v>
      </c>
      <c r="J5520" s="140" t="s">
        <v>6314</v>
      </c>
      <c r="K5520" s="140" t="s">
        <v>13188</v>
      </c>
    </row>
    <row r="5521">
      <c r="A5521" s="140" t="s">
        <v>13188</v>
      </c>
      <c r="B5521" s="140" t="s">
        <v>13235</v>
      </c>
      <c r="C5521" s="140" t="s">
        <v>13236</v>
      </c>
      <c r="D5521" s="140" t="s">
        <v>6309</v>
      </c>
      <c r="E5521" s="140">
        <v>0.0</v>
      </c>
      <c r="F5521" s="140" t="s">
        <v>8995</v>
      </c>
      <c r="G5521" s="141" t="s">
        <v>6401</v>
      </c>
      <c r="H5521" s="140" t="s">
        <v>6312</v>
      </c>
      <c r="I5521" s="140" t="s">
        <v>6313</v>
      </c>
      <c r="J5521" s="140" t="s">
        <v>6314</v>
      </c>
      <c r="K5521" s="140" t="s">
        <v>13188</v>
      </c>
    </row>
    <row r="5522">
      <c r="A5522" s="140" t="s">
        <v>13188</v>
      </c>
      <c r="B5522" s="140" t="s">
        <v>13237</v>
      </c>
      <c r="C5522" s="140" t="s">
        <v>13238</v>
      </c>
      <c r="D5522" s="140" t="s">
        <v>6309</v>
      </c>
      <c r="E5522" s="140">
        <v>0.0</v>
      </c>
      <c r="F5522" s="140" t="s">
        <v>8995</v>
      </c>
      <c r="G5522" s="141" t="s">
        <v>6401</v>
      </c>
      <c r="H5522" s="140" t="s">
        <v>6312</v>
      </c>
      <c r="I5522" s="140" t="s">
        <v>6313</v>
      </c>
      <c r="J5522" s="140" t="s">
        <v>6314</v>
      </c>
      <c r="K5522" s="140" t="s">
        <v>13188</v>
      </c>
    </row>
    <row r="5523">
      <c r="A5523" s="140" t="s">
        <v>13188</v>
      </c>
      <c r="B5523" s="140" t="s">
        <v>13239</v>
      </c>
      <c r="C5523" s="140" t="s">
        <v>13240</v>
      </c>
      <c r="D5523" s="140" t="s">
        <v>6309</v>
      </c>
      <c r="E5523" s="140">
        <v>0.0</v>
      </c>
      <c r="F5523" s="140" t="s">
        <v>8995</v>
      </c>
      <c r="G5523" s="141" t="s">
        <v>6401</v>
      </c>
      <c r="H5523" s="140" t="s">
        <v>6312</v>
      </c>
      <c r="I5523" s="140" t="s">
        <v>6313</v>
      </c>
      <c r="J5523" s="140" t="s">
        <v>6314</v>
      </c>
      <c r="K5523" s="140" t="s">
        <v>13188</v>
      </c>
    </row>
    <row r="5524">
      <c r="A5524" s="140" t="s">
        <v>13188</v>
      </c>
      <c r="B5524" s="140" t="s">
        <v>13241</v>
      </c>
      <c r="C5524" s="140" t="s">
        <v>13242</v>
      </c>
      <c r="D5524" s="140" t="s">
        <v>6309</v>
      </c>
      <c r="E5524" s="140">
        <v>0.0</v>
      </c>
      <c r="F5524" s="140" t="s">
        <v>8995</v>
      </c>
      <c r="G5524" s="141" t="s">
        <v>6401</v>
      </c>
      <c r="H5524" s="140" t="s">
        <v>6312</v>
      </c>
      <c r="I5524" s="140" t="s">
        <v>6313</v>
      </c>
      <c r="J5524" s="140" t="s">
        <v>6314</v>
      </c>
      <c r="K5524" s="140" t="s">
        <v>13188</v>
      </c>
    </row>
    <row r="5525">
      <c r="A5525" s="140" t="s">
        <v>13188</v>
      </c>
      <c r="B5525" s="140" t="s">
        <v>13243</v>
      </c>
      <c r="C5525" s="140" t="s">
        <v>13244</v>
      </c>
      <c r="D5525" s="140" t="s">
        <v>6309</v>
      </c>
      <c r="E5525" s="140">
        <v>0.0</v>
      </c>
      <c r="F5525" s="140" t="s">
        <v>8995</v>
      </c>
      <c r="G5525" s="141" t="s">
        <v>6401</v>
      </c>
      <c r="H5525" s="140" t="s">
        <v>6312</v>
      </c>
      <c r="I5525" s="140" t="s">
        <v>6313</v>
      </c>
      <c r="J5525" s="140" t="s">
        <v>6314</v>
      </c>
      <c r="K5525" s="140" t="s">
        <v>13188</v>
      </c>
    </row>
    <row r="5526">
      <c r="A5526" s="140" t="s">
        <v>13188</v>
      </c>
      <c r="B5526" s="140" t="s">
        <v>13245</v>
      </c>
      <c r="C5526" s="140" t="s">
        <v>13246</v>
      </c>
      <c r="D5526" s="140" t="s">
        <v>6309</v>
      </c>
      <c r="E5526" s="140">
        <v>0.0</v>
      </c>
      <c r="F5526" s="140" t="s">
        <v>8995</v>
      </c>
      <c r="G5526" s="141" t="s">
        <v>6401</v>
      </c>
      <c r="H5526" s="140" t="s">
        <v>6312</v>
      </c>
      <c r="I5526" s="140" t="s">
        <v>6313</v>
      </c>
      <c r="J5526" s="140" t="s">
        <v>6314</v>
      </c>
      <c r="K5526" s="140" t="s">
        <v>13188</v>
      </c>
    </row>
    <row r="5527">
      <c r="A5527" s="140" t="s">
        <v>13188</v>
      </c>
      <c r="B5527" s="140" t="s">
        <v>13247</v>
      </c>
      <c r="C5527" s="140" t="s">
        <v>13248</v>
      </c>
      <c r="D5527" s="140" t="s">
        <v>6309</v>
      </c>
      <c r="E5527" s="140">
        <v>0.0</v>
      </c>
      <c r="F5527" s="140" t="s">
        <v>8995</v>
      </c>
      <c r="G5527" s="141" t="s">
        <v>6401</v>
      </c>
      <c r="H5527" s="140" t="s">
        <v>6312</v>
      </c>
      <c r="I5527" s="140" t="s">
        <v>6313</v>
      </c>
      <c r="J5527" s="140" t="s">
        <v>6314</v>
      </c>
      <c r="K5527" s="140" t="s">
        <v>13188</v>
      </c>
    </row>
    <row r="5528">
      <c r="A5528" s="140" t="s">
        <v>13188</v>
      </c>
      <c r="B5528" s="140" t="s">
        <v>13249</v>
      </c>
      <c r="C5528" s="140" t="s">
        <v>13250</v>
      </c>
      <c r="D5528" s="140" t="s">
        <v>6309</v>
      </c>
      <c r="E5528" s="140">
        <v>0.0</v>
      </c>
      <c r="F5528" s="140" t="s">
        <v>8995</v>
      </c>
      <c r="G5528" s="141" t="s">
        <v>6401</v>
      </c>
      <c r="H5528" s="140" t="s">
        <v>6312</v>
      </c>
      <c r="I5528" s="140" t="s">
        <v>6313</v>
      </c>
      <c r="J5528" s="140" t="s">
        <v>6314</v>
      </c>
      <c r="K5528" s="140" t="s">
        <v>13188</v>
      </c>
    </row>
    <row r="5529">
      <c r="A5529" s="140" t="s">
        <v>13188</v>
      </c>
      <c r="B5529" s="140" t="s">
        <v>13251</v>
      </c>
      <c r="C5529" s="140" t="s">
        <v>13252</v>
      </c>
      <c r="D5529" s="140" t="s">
        <v>6309</v>
      </c>
      <c r="E5529" s="140">
        <v>0.0</v>
      </c>
      <c r="F5529" s="140" t="s">
        <v>8995</v>
      </c>
      <c r="G5529" s="141" t="s">
        <v>6401</v>
      </c>
      <c r="H5529" s="140" t="s">
        <v>6312</v>
      </c>
      <c r="I5529" s="140" t="s">
        <v>6313</v>
      </c>
      <c r="J5529" s="140" t="s">
        <v>6314</v>
      </c>
      <c r="K5529" s="140" t="s">
        <v>13188</v>
      </c>
    </row>
    <row r="5530">
      <c r="A5530" s="140" t="s">
        <v>13188</v>
      </c>
      <c r="B5530" s="140" t="s">
        <v>13253</v>
      </c>
      <c r="C5530" s="140" t="s">
        <v>13254</v>
      </c>
      <c r="D5530" s="140" t="s">
        <v>6309</v>
      </c>
      <c r="E5530" s="140">
        <v>0.0</v>
      </c>
      <c r="F5530" s="140" t="s">
        <v>8995</v>
      </c>
      <c r="G5530" s="141" t="s">
        <v>6401</v>
      </c>
      <c r="H5530" s="140" t="s">
        <v>6312</v>
      </c>
      <c r="I5530" s="140" t="s">
        <v>6313</v>
      </c>
      <c r="J5530" s="140" t="s">
        <v>6314</v>
      </c>
      <c r="K5530" s="140" t="s">
        <v>13188</v>
      </c>
    </row>
    <row r="5531">
      <c r="A5531" s="140" t="s">
        <v>13188</v>
      </c>
      <c r="B5531" s="140" t="s">
        <v>13255</v>
      </c>
      <c r="C5531" s="140" t="s">
        <v>13256</v>
      </c>
      <c r="D5531" s="140" t="s">
        <v>6309</v>
      </c>
      <c r="E5531" s="140">
        <v>0.0</v>
      </c>
      <c r="F5531" s="140" t="s">
        <v>8995</v>
      </c>
      <c r="G5531" s="141" t="s">
        <v>6401</v>
      </c>
      <c r="H5531" s="140" t="s">
        <v>6312</v>
      </c>
      <c r="I5531" s="140" t="s">
        <v>6313</v>
      </c>
      <c r="J5531" s="140" t="s">
        <v>6314</v>
      </c>
      <c r="K5531" s="140" t="s">
        <v>13188</v>
      </c>
    </row>
    <row r="5532">
      <c r="A5532" s="140" t="s">
        <v>13188</v>
      </c>
      <c r="B5532" s="140" t="s">
        <v>13257</v>
      </c>
      <c r="C5532" s="140" t="s">
        <v>13258</v>
      </c>
      <c r="D5532" s="140" t="s">
        <v>6309</v>
      </c>
      <c r="E5532" s="140">
        <v>0.0</v>
      </c>
      <c r="F5532" s="140" t="s">
        <v>8995</v>
      </c>
      <c r="G5532" s="141" t="s">
        <v>6401</v>
      </c>
      <c r="H5532" s="140" t="s">
        <v>6312</v>
      </c>
      <c r="I5532" s="140" t="s">
        <v>6313</v>
      </c>
      <c r="J5532" s="140" t="s">
        <v>6314</v>
      </c>
      <c r="K5532" s="140" t="s">
        <v>13188</v>
      </c>
    </row>
    <row r="5533">
      <c r="A5533" s="140" t="s">
        <v>13188</v>
      </c>
      <c r="B5533" s="140" t="s">
        <v>13259</v>
      </c>
      <c r="C5533" s="140" t="s">
        <v>13260</v>
      </c>
      <c r="D5533" s="140" t="s">
        <v>6309</v>
      </c>
      <c r="E5533" s="140">
        <v>0.0</v>
      </c>
      <c r="F5533" s="140" t="s">
        <v>8995</v>
      </c>
      <c r="G5533" s="141" t="s">
        <v>6401</v>
      </c>
      <c r="H5533" s="140" t="s">
        <v>6312</v>
      </c>
      <c r="I5533" s="140" t="s">
        <v>6313</v>
      </c>
      <c r="J5533" s="140" t="s">
        <v>6314</v>
      </c>
      <c r="K5533" s="140" t="s">
        <v>13188</v>
      </c>
    </row>
    <row r="5534">
      <c r="A5534" s="140" t="s">
        <v>13188</v>
      </c>
      <c r="B5534" s="140" t="s">
        <v>13261</v>
      </c>
      <c r="C5534" s="140" t="s">
        <v>13262</v>
      </c>
      <c r="D5534" s="140" t="s">
        <v>6309</v>
      </c>
      <c r="E5534" s="140">
        <v>0.0</v>
      </c>
      <c r="F5534" s="140" t="s">
        <v>8995</v>
      </c>
      <c r="G5534" s="141" t="s">
        <v>6401</v>
      </c>
      <c r="H5534" s="140" t="s">
        <v>6312</v>
      </c>
      <c r="I5534" s="140" t="s">
        <v>6313</v>
      </c>
      <c r="J5534" s="140" t="s">
        <v>6314</v>
      </c>
      <c r="K5534" s="140" t="s">
        <v>13188</v>
      </c>
    </row>
    <row r="5535">
      <c r="A5535" s="140" t="s">
        <v>13188</v>
      </c>
      <c r="B5535" s="140" t="s">
        <v>13263</v>
      </c>
      <c r="C5535" s="140" t="s">
        <v>13264</v>
      </c>
      <c r="D5535" s="140" t="s">
        <v>6309</v>
      </c>
      <c r="E5535" s="140">
        <v>0.0</v>
      </c>
      <c r="F5535" s="140" t="s">
        <v>8995</v>
      </c>
      <c r="G5535" s="141" t="s">
        <v>6401</v>
      </c>
      <c r="H5535" s="140" t="s">
        <v>6312</v>
      </c>
      <c r="I5535" s="140" t="s">
        <v>6313</v>
      </c>
      <c r="J5535" s="140" t="s">
        <v>6314</v>
      </c>
      <c r="K5535" s="140" t="s">
        <v>13188</v>
      </c>
    </row>
    <row r="5536">
      <c r="A5536" s="140" t="s">
        <v>13188</v>
      </c>
      <c r="B5536" s="140" t="s">
        <v>13265</v>
      </c>
      <c r="C5536" s="140" t="s">
        <v>13266</v>
      </c>
      <c r="D5536" s="140" t="s">
        <v>6309</v>
      </c>
      <c r="E5536" s="140">
        <v>0.0</v>
      </c>
      <c r="F5536" s="140" t="s">
        <v>8995</v>
      </c>
      <c r="G5536" s="141" t="s">
        <v>6401</v>
      </c>
      <c r="H5536" s="140" t="s">
        <v>6312</v>
      </c>
      <c r="I5536" s="140" t="s">
        <v>6313</v>
      </c>
      <c r="J5536" s="140" t="s">
        <v>6314</v>
      </c>
      <c r="K5536" s="140" t="s">
        <v>13188</v>
      </c>
    </row>
    <row r="5537">
      <c r="A5537" s="140" t="s">
        <v>13188</v>
      </c>
      <c r="B5537" s="140" t="s">
        <v>13267</v>
      </c>
      <c r="C5537" s="140" t="s">
        <v>13268</v>
      </c>
      <c r="D5537" s="140" t="s">
        <v>6309</v>
      </c>
      <c r="E5537" s="140">
        <v>0.0</v>
      </c>
      <c r="F5537" s="140" t="s">
        <v>8995</v>
      </c>
      <c r="G5537" s="141" t="s">
        <v>6401</v>
      </c>
      <c r="H5537" s="140" t="s">
        <v>6312</v>
      </c>
      <c r="I5537" s="140" t="s">
        <v>6313</v>
      </c>
      <c r="J5537" s="140" t="s">
        <v>6314</v>
      </c>
      <c r="K5537" s="140" t="s">
        <v>13188</v>
      </c>
    </row>
    <row r="5538">
      <c r="A5538" s="140" t="s">
        <v>13188</v>
      </c>
      <c r="B5538" s="140" t="s">
        <v>13269</v>
      </c>
      <c r="C5538" s="140" t="s">
        <v>13270</v>
      </c>
      <c r="D5538" s="140" t="s">
        <v>6309</v>
      </c>
      <c r="E5538" s="140">
        <v>0.0</v>
      </c>
      <c r="F5538" s="140" t="s">
        <v>8995</v>
      </c>
      <c r="G5538" s="141" t="s">
        <v>6401</v>
      </c>
      <c r="H5538" s="140" t="s">
        <v>6312</v>
      </c>
      <c r="I5538" s="140" t="s">
        <v>6313</v>
      </c>
      <c r="J5538" s="140" t="s">
        <v>6314</v>
      </c>
      <c r="K5538" s="140" t="s">
        <v>13188</v>
      </c>
    </row>
    <row r="5539">
      <c r="A5539" s="140" t="s">
        <v>13188</v>
      </c>
      <c r="B5539" s="140" t="s">
        <v>13271</v>
      </c>
      <c r="C5539" s="140" t="s">
        <v>13272</v>
      </c>
      <c r="D5539" s="140" t="s">
        <v>6309</v>
      </c>
      <c r="E5539" s="140">
        <v>0.0</v>
      </c>
      <c r="F5539" s="140" t="s">
        <v>8995</v>
      </c>
      <c r="G5539" s="141" t="s">
        <v>6401</v>
      </c>
      <c r="H5539" s="140" t="s">
        <v>6312</v>
      </c>
      <c r="I5539" s="140" t="s">
        <v>6313</v>
      </c>
      <c r="J5539" s="140" t="s">
        <v>6314</v>
      </c>
      <c r="K5539" s="140" t="s">
        <v>13188</v>
      </c>
    </row>
    <row r="5540">
      <c r="A5540" s="140" t="s">
        <v>13188</v>
      </c>
      <c r="B5540" s="140" t="s">
        <v>13273</v>
      </c>
      <c r="C5540" s="140" t="s">
        <v>13274</v>
      </c>
      <c r="D5540" s="140" t="s">
        <v>6309</v>
      </c>
      <c r="E5540" s="140">
        <v>0.0</v>
      </c>
      <c r="F5540" s="140" t="s">
        <v>8995</v>
      </c>
      <c r="G5540" s="141" t="s">
        <v>6401</v>
      </c>
      <c r="H5540" s="140" t="s">
        <v>6312</v>
      </c>
      <c r="I5540" s="140" t="s">
        <v>6313</v>
      </c>
      <c r="J5540" s="140" t="s">
        <v>6314</v>
      </c>
      <c r="K5540" s="140" t="s">
        <v>13188</v>
      </c>
    </row>
    <row r="5541">
      <c r="A5541" s="140" t="s">
        <v>13188</v>
      </c>
      <c r="B5541" s="140" t="s">
        <v>13275</v>
      </c>
      <c r="C5541" s="140" t="s">
        <v>13276</v>
      </c>
      <c r="D5541" s="140" t="s">
        <v>6309</v>
      </c>
      <c r="E5541" s="140">
        <v>0.0</v>
      </c>
      <c r="F5541" s="140" t="s">
        <v>8995</v>
      </c>
      <c r="G5541" s="141" t="s">
        <v>6401</v>
      </c>
      <c r="H5541" s="140" t="s">
        <v>6312</v>
      </c>
      <c r="I5541" s="140" t="s">
        <v>6313</v>
      </c>
      <c r="J5541" s="140" t="s">
        <v>6314</v>
      </c>
      <c r="K5541" s="140" t="s">
        <v>13188</v>
      </c>
    </row>
    <row r="5542">
      <c r="A5542" s="140" t="s">
        <v>13188</v>
      </c>
      <c r="B5542" s="140" t="s">
        <v>13277</v>
      </c>
      <c r="C5542" s="140" t="s">
        <v>13278</v>
      </c>
      <c r="D5542" s="140" t="s">
        <v>6309</v>
      </c>
      <c r="E5542" s="140">
        <v>0.0</v>
      </c>
      <c r="F5542" s="140" t="s">
        <v>8995</v>
      </c>
      <c r="G5542" s="141" t="s">
        <v>6401</v>
      </c>
      <c r="H5542" s="140" t="s">
        <v>6312</v>
      </c>
      <c r="I5542" s="140" t="s">
        <v>6313</v>
      </c>
      <c r="J5542" s="140" t="s">
        <v>6314</v>
      </c>
      <c r="K5542" s="140" t="s">
        <v>13188</v>
      </c>
    </row>
    <row r="5543">
      <c r="A5543" s="140" t="s">
        <v>13188</v>
      </c>
      <c r="B5543" s="140" t="s">
        <v>13279</v>
      </c>
      <c r="C5543" s="140" t="s">
        <v>13280</v>
      </c>
      <c r="D5543" s="140" t="s">
        <v>6309</v>
      </c>
      <c r="E5543" s="140">
        <v>0.0</v>
      </c>
      <c r="F5543" s="140" t="s">
        <v>8995</v>
      </c>
      <c r="G5543" s="141" t="s">
        <v>6401</v>
      </c>
      <c r="H5543" s="140" t="s">
        <v>6312</v>
      </c>
      <c r="I5543" s="140" t="s">
        <v>6313</v>
      </c>
      <c r="J5543" s="140" t="s">
        <v>6314</v>
      </c>
      <c r="K5543" s="140" t="s">
        <v>13188</v>
      </c>
    </row>
    <row r="5544">
      <c r="A5544" s="140" t="s">
        <v>13188</v>
      </c>
      <c r="B5544" s="140" t="s">
        <v>13281</v>
      </c>
      <c r="C5544" s="140" t="s">
        <v>13282</v>
      </c>
      <c r="D5544" s="140" t="s">
        <v>6309</v>
      </c>
      <c r="E5544" s="140">
        <v>0.0</v>
      </c>
      <c r="F5544" s="140" t="s">
        <v>8995</v>
      </c>
      <c r="G5544" s="141" t="s">
        <v>6401</v>
      </c>
      <c r="H5544" s="140" t="s">
        <v>6312</v>
      </c>
      <c r="I5544" s="140" t="s">
        <v>6313</v>
      </c>
      <c r="J5544" s="140" t="s">
        <v>6314</v>
      </c>
      <c r="K5544" s="140" t="s">
        <v>13188</v>
      </c>
    </row>
    <row r="5545">
      <c r="A5545" s="140" t="s">
        <v>13188</v>
      </c>
      <c r="B5545" s="140" t="s">
        <v>13283</v>
      </c>
      <c r="C5545" s="140" t="s">
        <v>13284</v>
      </c>
      <c r="D5545" s="140" t="s">
        <v>6309</v>
      </c>
      <c r="E5545" s="140">
        <v>0.0</v>
      </c>
      <c r="F5545" s="140" t="s">
        <v>8995</v>
      </c>
      <c r="G5545" s="141" t="s">
        <v>6401</v>
      </c>
      <c r="H5545" s="140" t="s">
        <v>6312</v>
      </c>
      <c r="I5545" s="140" t="s">
        <v>6313</v>
      </c>
      <c r="J5545" s="140" t="s">
        <v>6314</v>
      </c>
      <c r="K5545" s="140" t="s">
        <v>13188</v>
      </c>
    </row>
    <row r="5546">
      <c r="A5546" s="140" t="s">
        <v>13188</v>
      </c>
      <c r="B5546" s="140" t="s">
        <v>13285</v>
      </c>
      <c r="C5546" s="140" t="s">
        <v>13286</v>
      </c>
      <c r="D5546" s="140" t="s">
        <v>7347</v>
      </c>
      <c r="E5546" s="140" t="s">
        <v>9997</v>
      </c>
      <c r="F5546" s="140" t="s">
        <v>10116</v>
      </c>
      <c r="G5546" s="141" t="s">
        <v>6401</v>
      </c>
      <c r="H5546" s="140" t="s">
        <v>6312</v>
      </c>
      <c r="I5546" s="140" t="s">
        <v>6313</v>
      </c>
      <c r="J5546" s="140" t="s">
        <v>6314</v>
      </c>
      <c r="K5546" s="140" t="s">
        <v>13188</v>
      </c>
    </row>
    <row r="5547">
      <c r="A5547" s="140" t="s">
        <v>13188</v>
      </c>
      <c r="B5547" s="140" t="s">
        <v>13287</v>
      </c>
      <c r="C5547" s="140" t="s">
        <v>13288</v>
      </c>
      <c r="D5547" s="140" t="s">
        <v>7347</v>
      </c>
      <c r="E5547" s="140" t="s">
        <v>9997</v>
      </c>
      <c r="F5547" s="140" t="s">
        <v>10116</v>
      </c>
      <c r="G5547" s="141" t="s">
        <v>6401</v>
      </c>
      <c r="H5547" s="140" t="s">
        <v>6312</v>
      </c>
      <c r="I5547" s="140" t="s">
        <v>6313</v>
      </c>
      <c r="J5547" s="140" t="s">
        <v>6314</v>
      </c>
      <c r="K5547" s="140" t="s">
        <v>13188</v>
      </c>
    </row>
    <row r="5548">
      <c r="A5548" s="140" t="s">
        <v>13188</v>
      </c>
      <c r="B5548" s="140" t="s">
        <v>13289</v>
      </c>
      <c r="C5548" s="140" t="s">
        <v>13290</v>
      </c>
      <c r="D5548" s="140" t="s">
        <v>7347</v>
      </c>
      <c r="E5548" s="140" t="s">
        <v>9997</v>
      </c>
      <c r="F5548" s="140" t="s">
        <v>10116</v>
      </c>
      <c r="G5548" s="141" t="s">
        <v>6401</v>
      </c>
      <c r="H5548" s="140" t="s">
        <v>6312</v>
      </c>
      <c r="I5548" s="140" t="s">
        <v>6313</v>
      </c>
      <c r="J5548" s="140" t="s">
        <v>6314</v>
      </c>
      <c r="K5548" s="140" t="s">
        <v>13188</v>
      </c>
    </row>
    <row r="5549">
      <c r="A5549" s="140" t="s">
        <v>13188</v>
      </c>
      <c r="B5549" s="140" t="s">
        <v>13291</v>
      </c>
      <c r="C5549" s="140" t="s">
        <v>13292</v>
      </c>
      <c r="D5549" s="140" t="s">
        <v>7347</v>
      </c>
      <c r="E5549" s="140" t="s">
        <v>9997</v>
      </c>
      <c r="F5549" s="140" t="s">
        <v>10116</v>
      </c>
      <c r="G5549" s="141" t="s">
        <v>6401</v>
      </c>
      <c r="H5549" s="140" t="s">
        <v>6312</v>
      </c>
      <c r="I5549" s="140" t="s">
        <v>6313</v>
      </c>
      <c r="J5549" s="140" t="s">
        <v>6314</v>
      </c>
      <c r="K5549" s="140" t="s">
        <v>13188</v>
      </c>
    </row>
    <row r="5550">
      <c r="A5550" s="140" t="s">
        <v>13188</v>
      </c>
      <c r="B5550" s="140" t="s">
        <v>13293</v>
      </c>
      <c r="C5550" s="140" t="s">
        <v>13294</v>
      </c>
      <c r="D5550" s="140" t="s">
        <v>7347</v>
      </c>
      <c r="E5550" s="140" t="s">
        <v>9997</v>
      </c>
      <c r="F5550" s="140" t="s">
        <v>10116</v>
      </c>
      <c r="G5550" s="141" t="s">
        <v>6401</v>
      </c>
      <c r="H5550" s="140" t="s">
        <v>6312</v>
      </c>
      <c r="I5550" s="140" t="s">
        <v>6313</v>
      </c>
      <c r="J5550" s="140" t="s">
        <v>6314</v>
      </c>
      <c r="K5550" s="140" t="s">
        <v>13188</v>
      </c>
    </row>
    <row r="5551">
      <c r="A5551" s="140" t="s">
        <v>13188</v>
      </c>
      <c r="B5551" s="140" t="s">
        <v>13295</v>
      </c>
      <c r="C5551" s="140" t="s">
        <v>13296</v>
      </c>
      <c r="D5551" s="140" t="s">
        <v>7347</v>
      </c>
      <c r="E5551" s="140" t="s">
        <v>9997</v>
      </c>
      <c r="F5551" s="140" t="s">
        <v>10116</v>
      </c>
      <c r="G5551" s="141" t="s">
        <v>6401</v>
      </c>
      <c r="H5551" s="140" t="s">
        <v>6312</v>
      </c>
      <c r="I5551" s="140" t="s">
        <v>6313</v>
      </c>
      <c r="J5551" s="140" t="s">
        <v>6314</v>
      </c>
      <c r="K5551" s="140" t="s">
        <v>13188</v>
      </c>
    </row>
    <row r="5552">
      <c r="A5552" s="140" t="s">
        <v>13297</v>
      </c>
      <c r="B5552" s="140" t="s">
        <v>13298</v>
      </c>
      <c r="C5552" s="140" t="s">
        <v>13299</v>
      </c>
      <c r="D5552" s="140" t="s">
        <v>6309</v>
      </c>
      <c r="E5552" s="140">
        <v>0.0</v>
      </c>
      <c r="F5552" s="140" t="s">
        <v>6411</v>
      </c>
      <c r="G5552" s="141" t="s">
        <v>6401</v>
      </c>
      <c r="H5552" s="140" t="s">
        <v>6312</v>
      </c>
      <c r="I5552" s="140" t="s">
        <v>6313</v>
      </c>
      <c r="J5552" s="140" t="s">
        <v>6314</v>
      </c>
      <c r="K5552" s="140" t="s">
        <v>6402</v>
      </c>
    </row>
    <row r="5553">
      <c r="A5553" s="140" t="s">
        <v>13297</v>
      </c>
      <c r="B5553" s="140" t="s">
        <v>13300</v>
      </c>
      <c r="C5553" s="140" t="s">
        <v>13301</v>
      </c>
      <c r="D5553" s="140" t="s">
        <v>6309</v>
      </c>
      <c r="E5553" s="140">
        <v>0.0</v>
      </c>
      <c r="F5553" s="140" t="s">
        <v>6411</v>
      </c>
      <c r="G5553" s="141" t="s">
        <v>6401</v>
      </c>
      <c r="H5553" s="140" t="s">
        <v>6312</v>
      </c>
      <c r="I5553" s="140" t="s">
        <v>6313</v>
      </c>
      <c r="J5553" s="140" t="s">
        <v>6314</v>
      </c>
      <c r="K5553" s="140" t="s">
        <v>6402</v>
      </c>
    </row>
    <row r="5554">
      <c r="A5554" s="140" t="s">
        <v>13297</v>
      </c>
      <c r="B5554" s="140" t="s">
        <v>13302</v>
      </c>
      <c r="C5554" s="140" t="s">
        <v>13303</v>
      </c>
      <c r="D5554" s="140" t="s">
        <v>6309</v>
      </c>
      <c r="E5554" s="140" t="s">
        <v>1223</v>
      </c>
      <c r="F5554" s="140" t="s">
        <v>1223</v>
      </c>
      <c r="G5554" s="141" t="s">
        <v>6401</v>
      </c>
      <c r="H5554" s="140" t="s">
        <v>6312</v>
      </c>
      <c r="I5554" s="140" t="s">
        <v>6313</v>
      </c>
      <c r="J5554" s="140" t="s">
        <v>6314</v>
      </c>
      <c r="K5554" s="140" t="s">
        <v>6402</v>
      </c>
    </row>
    <row r="5555">
      <c r="A5555" s="140" t="s">
        <v>13297</v>
      </c>
      <c r="B5555" s="140" t="s">
        <v>13304</v>
      </c>
      <c r="C5555" s="140" t="s">
        <v>13305</v>
      </c>
      <c r="D5555" s="140" t="s">
        <v>6309</v>
      </c>
      <c r="E5555" s="140" t="s">
        <v>47</v>
      </c>
      <c r="F5555" s="140" t="s">
        <v>7376</v>
      </c>
      <c r="G5555" s="141" t="s">
        <v>6401</v>
      </c>
      <c r="H5555" s="140" t="s">
        <v>6312</v>
      </c>
      <c r="I5555" s="140" t="s">
        <v>6313</v>
      </c>
      <c r="J5555" s="140" t="s">
        <v>6314</v>
      </c>
      <c r="K5555" s="140" t="s">
        <v>6402</v>
      </c>
    </row>
    <row r="5556">
      <c r="A5556" s="140" t="s">
        <v>13297</v>
      </c>
      <c r="B5556" s="140" t="s">
        <v>13306</v>
      </c>
      <c r="C5556" s="140" t="s">
        <v>13307</v>
      </c>
      <c r="D5556" s="140" t="s">
        <v>6309</v>
      </c>
      <c r="E5556" s="140" t="s">
        <v>47</v>
      </c>
      <c r="F5556" s="140" t="s">
        <v>7376</v>
      </c>
      <c r="G5556" s="141" t="s">
        <v>6401</v>
      </c>
      <c r="H5556" s="140" t="s">
        <v>6312</v>
      </c>
      <c r="I5556" s="140" t="s">
        <v>6313</v>
      </c>
      <c r="J5556" s="140" t="s">
        <v>6314</v>
      </c>
      <c r="K5556" s="140" t="s">
        <v>6402</v>
      </c>
    </row>
    <row r="5557">
      <c r="A5557" s="140" t="s">
        <v>13297</v>
      </c>
      <c r="B5557" s="140" t="s">
        <v>13308</v>
      </c>
      <c r="C5557" s="140" t="s">
        <v>13309</v>
      </c>
      <c r="D5557" s="140" t="s">
        <v>6309</v>
      </c>
      <c r="E5557" s="140" t="s">
        <v>47</v>
      </c>
      <c r="F5557" s="140" t="s">
        <v>7376</v>
      </c>
      <c r="G5557" s="141" t="s">
        <v>6401</v>
      </c>
      <c r="H5557" s="140" t="s">
        <v>6312</v>
      </c>
      <c r="I5557" s="140" t="s">
        <v>6313</v>
      </c>
      <c r="J5557" s="140" t="s">
        <v>6314</v>
      </c>
      <c r="K5557" s="140" t="s">
        <v>6402</v>
      </c>
    </row>
    <row r="5558">
      <c r="A5558" s="140" t="s">
        <v>13297</v>
      </c>
      <c r="B5558" s="140" t="s">
        <v>13310</v>
      </c>
      <c r="C5558" s="140" t="s">
        <v>13311</v>
      </c>
      <c r="D5558" s="140" t="s">
        <v>6309</v>
      </c>
      <c r="E5558" s="140" t="s">
        <v>47</v>
      </c>
      <c r="F5558" s="140" t="s">
        <v>7376</v>
      </c>
      <c r="G5558" s="141" t="s">
        <v>6401</v>
      </c>
      <c r="H5558" s="140" t="s">
        <v>6312</v>
      </c>
      <c r="I5558" s="140" t="s">
        <v>6313</v>
      </c>
      <c r="J5558" s="140" t="s">
        <v>6314</v>
      </c>
      <c r="K5558" s="140" t="s">
        <v>6402</v>
      </c>
    </row>
    <row r="5559">
      <c r="A5559" s="140" t="s">
        <v>13297</v>
      </c>
      <c r="B5559" s="140" t="s">
        <v>13312</v>
      </c>
      <c r="C5559" s="140" t="s">
        <v>13313</v>
      </c>
      <c r="D5559" s="140" t="s">
        <v>6309</v>
      </c>
      <c r="E5559" s="140" t="s">
        <v>47</v>
      </c>
      <c r="F5559" s="140" t="s">
        <v>7376</v>
      </c>
      <c r="G5559" s="141" t="s">
        <v>6401</v>
      </c>
      <c r="H5559" s="140" t="s">
        <v>6312</v>
      </c>
      <c r="I5559" s="140" t="s">
        <v>6313</v>
      </c>
      <c r="J5559" s="140" t="s">
        <v>6314</v>
      </c>
      <c r="K5559" s="140" t="s">
        <v>6402</v>
      </c>
    </row>
    <row r="5560">
      <c r="A5560" s="140" t="s">
        <v>13297</v>
      </c>
      <c r="B5560" s="140" t="s">
        <v>13314</v>
      </c>
      <c r="C5560" s="140" t="s">
        <v>13315</v>
      </c>
      <c r="D5560" s="140" t="s">
        <v>6309</v>
      </c>
      <c r="E5560" s="140" t="s">
        <v>47</v>
      </c>
      <c r="F5560" s="140" t="s">
        <v>7376</v>
      </c>
      <c r="G5560" s="141" t="s">
        <v>6401</v>
      </c>
      <c r="H5560" s="140" t="s">
        <v>6312</v>
      </c>
      <c r="I5560" s="140" t="s">
        <v>6313</v>
      </c>
      <c r="J5560" s="140" t="s">
        <v>6314</v>
      </c>
      <c r="K5560" s="140" t="s">
        <v>6402</v>
      </c>
    </row>
    <row r="5561">
      <c r="A5561" s="140" t="s">
        <v>13297</v>
      </c>
      <c r="B5561" s="140" t="s">
        <v>13316</v>
      </c>
      <c r="C5561" s="140" t="s">
        <v>13317</v>
      </c>
      <c r="D5561" s="140" t="s">
        <v>6309</v>
      </c>
      <c r="E5561" s="140" t="s">
        <v>47</v>
      </c>
      <c r="F5561" s="140" t="s">
        <v>7376</v>
      </c>
      <c r="G5561" s="141" t="s">
        <v>6401</v>
      </c>
      <c r="H5561" s="140" t="s">
        <v>6312</v>
      </c>
      <c r="I5561" s="140" t="s">
        <v>6313</v>
      </c>
      <c r="J5561" s="140" t="s">
        <v>6314</v>
      </c>
      <c r="K5561" s="140" t="s">
        <v>6402</v>
      </c>
    </row>
    <row r="5562">
      <c r="A5562" s="140" t="s">
        <v>13297</v>
      </c>
      <c r="B5562" s="140" t="s">
        <v>13318</v>
      </c>
      <c r="C5562" s="140" t="s">
        <v>13319</v>
      </c>
      <c r="D5562" s="140" t="s">
        <v>6309</v>
      </c>
      <c r="E5562" s="140" t="s">
        <v>47</v>
      </c>
      <c r="F5562" s="140" t="s">
        <v>7376</v>
      </c>
      <c r="G5562" s="141" t="s">
        <v>6401</v>
      </c>
      <c r="H5562" s="140" t="s">
        <v>6312</v>
      </c>
      <c r="I5562" s="140" t="s">
        <v>6313</v>
      </c>
      <c r="J5562" s="140" t="s">
        <v>6314</v>
      </c>
      <c r="K5562" s="140" t="s">
        <v>6402</v>
      </c>
    </row>
    <row r="5563">
      <c r="A5563" s="140" t="s">
        <v>13297</v>
      </c>
      <c r="B5563" s="140" t="s">
        <v>13320</v>
      </c>
      <c r="C5563" s="140" t="s">
        <v>13321</v>
      </c>
      <c r="D5563" s="140" t="s">
        <v>6309</v>
      </c>
      <c r="E5563" s="140" t="s">
        <v>47</v>
      </c>
      <c r="F5563" s="140" t="s">
        <v>7376</v>
      </c>
      <c r="G5563" s="141" t="s">
        <v>6401</v>
      </c>
      <c r="H5563" s="140" t="s">
        <v>6312</v>
      </c>
      <c r="I5563" s="140" t="s">
        <v>6313</v>
      </c>
      <c r="J5563" s="140" t="s">
        <v>6314</v>
      </c>
      <c r="K5563" s="140" t="s">
        <v>6402</v>
      </c>
    </row>
    <row r="5564">
      <c r="A5564" s="140" t="s">
        <v>13297</v>
      </c>
      <c r="B5564" s="140" t="s">
        <v>13322</v>
      </c>
      <c r="C5564" s="140" t="s">
        <v>13323</v>
      </c>
      <c r="D5564" s="140" t="s">
        <v>6309</v>
      </c>
      <c r="E5564" s="140" t="s">
        <v>47</v>
      </c>
      <c r="F5564" s="140" t="s">
        <v>7376</v>
      </c>
      <c r="G5564" s="141" t="s">
        <v>6401</v>
      </c>
      <c r="H5564" s="140" t="s">
        <v>6312</v>
      </c>
      <c r="I5564" s="140" t="s">
        <v>6313</v>
      </c>
      <c r="J5564" s="140" t="s">
        <v>6314</v>
      </c>
      <c r="K5564" s="140" t="s">
        <v>6402</v>
      </c>
    </row>
    <row r="5565">
      <c r="A5565" s="140" t="s">
        <v>13297</v>
      </c>
      <c r="B5565" s="140" t="s">
        <v>13324</v>
      </c>
      <c r="C5565" s="140" t="s">
        <v>13325</v>
      </c>
      <c r="D5565" s="140" t="s">
        <v>6309</v>
      </c>
      <c r="E5565" s="140" t="s">
        <v>47</v>
      </c>
      <c r="F5565" s="140" t="s">
        <v>7376</v>
      </c>
      <c r="G5565" s="141" t="s">
        <v>6401</v>
      </c>
      <c r="H5565" s="140" t="s">
        <v>6312</v>
      </c>
      <c r="I5565" s="140" t="s">
        <v>6313</v>
      </c>
      <c r="J5565" s="140" t="s">
        <v>6314</v>
      </c>
      <c r="K5565" s="140" t="s">
        <v>6402</v>
      </c>
    </row>
    <row r="5566">
      <c r="A5566" s="140" t="s">
        <v>13297</v>
      </c>
      <c r="B5566" s="140" t="s">
        <v>13326</v>
      </c>
      <c r="C5566" s="140" t="s">
        <v>13327</v>
      </c>
      <c r="D5566" s="140" t="s">
        <v>6309</v>
      </c>
      <c r="E5566" s="140" t="s">
        <v>47</v>
      </c>
      <c r="F5566" s="140" t="s">
        <v>7376</v>
      </c>
      <c r="G5566" s="141" t="s">
        <v>6401</v>
      </c>
      <c r="H5566" s="140" t="s">
        <v>6312</v>
      </c>
      <c r="I5566" s="140" t="s">
        <v>6313</v>
      </c>
      <c r="J5566" s="140" t="s">
        <v>6314</v>
      </c>
      <c r="K5566" s="140" t="s">
        <v>6402</v>
      </c>
    </row>
    <row r="5567">
      <c r="A5567" s="140" t="s">
        <v>13297</v>
      </c>
      <c r="B5567" s="140" t="s">
        <v>13328</v>
      </c>
      <c r="C5567" s="140" t="s">
        <v>13329</v>
      </c>
      <c r="D5567" s="140" t="s">
        <v>6309</v>
      </c>
      <c r="E5567" s="140" t="s">
        <v>47</v>
      </c>
      <c r="F5567" s="140" t="s">
        <v>7376</v>
      </c>
      <c r="G5567" s="141" t="s">
        <v>6401</v>
      </c>
      <c r="H5567" s="140" t="s">
        <v>6312</v>
      </c>
      <c r="I5567" s="140" t="s">
        <v>6313</v>
      </c>
      <c r="J5567" s="140" t="s">
        <v>6314</v>
      </c>
      <c r="K5567" s="140" t="s">
        <v>6402</v>
      </c>
    </row>
    <row r="5568">
      <c r="A5568" s="140" t="s">
        <v>13297</v>
      </c>
      <c r="B5568" s="140" t="s">
        <v>13330</v>
      </c>
      <c r="C5568" s="140" t="s">
        <v>13331</v>
      </c>
      <c r="D5568" s="140" t="s">
        <v>6309</v>
      </c>
      <c r="E5568" s="140" t="s">
        <v>47</v>
      </c>
      <c r="F5568" s="140" t="s">
        <v>7376</v>
      </c>
      <c r="G5568" s="141" t="s">
        <v>6401</v>
      </c>
      <c r="H5568" s="140" t="s">
        <v>6312</v>
      </c>
      <c r="I5568" s="140" t="s">
        <v>6313</v>
      </c>
      <c r="J5568" s="140" t="s">
        <v>6314</v>
      </c>
      <c r="K5568" s="140" t="s">
        <v>6402</v>
      </c>
    </row>
    <row r="5569">
      <c r="A5569" s="140" t="s">
        <v>13297</v>
      </c>
      <c r="B5569" s="140" t="s">
        <v>13332</v>
      </c>
      <c r="C5569" s="140" t="s">
        <v>13333</v>
      </c>
      <c r="D5569" s="140" t="s">
        <v>6309</v>
      </c>
      <c r="E5569" s="140" t="s">
        <v>47</v>
      </c>
      <c r="F5569" s="140" t="s">
        <v>7376</v>
      </c>
      <c r="G5569" s="141" t="s">
        <v>6401</v>
      </c>
      <c r="H5569" s="140" t="s">
        <v>6312</v>
      </c>
      <c r="I5569" s="140" t="s">
        <v>6313</v>
      </c>
      <c r="J5569" s="140" t="s">
        <v>6314</v>
      </c>
      <c r="K5569" s="140" t="s">
        <v>6402</v>
      </c>
    </row>
    <row r="5570">
      <c r="A5570" s="140" t="s">
        <v>13297</v>
      </c>
      <c r="B5570" s="140" t="s">
        <v>4852</v>
      </c>
      <c r="C5570" s="140" t="s">
        <v>13334</v>
      </c>
      <c r="D5570" s="140" t="s">
        <v>6309</v>
      </c>
      <c r="E5570" s="140" t="s">
        <v>47</v>
      </c>
      <c r="F5570" s="140" t="s">
        <v>7376</v>
      </c>
      <c r="G5570" s="141" t="s">
        <v>6401</v>
      </c>
      <c r="H5570" s="140" t="s">
        <v>6312</v>
      </c>
      <c r="I5570" s="140" t="s">
        <v>6313</v>
      </c>
      <c r="J5570" s="140" t="s">
        <v>6314</v>
      </c>
      <c r="K5570" s="140" t="s">
        <v>6402</v>
      </c>
    </row>
    <row r="5571">
      <c r="A5571" s="140" t="s">
        <v>13297</v>
      </c>
      <c r="B5571" s="140" t="s">
        <v>4868</v>
      </c>
      <c r="C5571" s="140" t="s">
        <v>13335</v>
      </c>
      <c r="D5571" s="140" t="s">
        <v>6309</v>
      </c>
      <c r="E5571" s="140" t="s">
        <v>47</v>
      </c>
      <c r="F5571" s="140" t="s">
        <v>7376</v>
      </c>
      <c r="G5571" s="141" t="s">
        <v>6401</v>
      </c>
      <c r="H5571" s="140" t="s">
        <v>6312</v>
      </c>
      <c r="I5571" s="140" t="s">
        <v>6313</v>
      </c>
      <c r="J5571" s="140" t="s">
        <v>6314</v>
      </c>
      <c r="K5571" s="140" t="s">
        <v>6402</v>
      </c>
    </row>
    <row r="5572">
      <c r="A5572" s="140" t="s">
        <v>13297</v>
      </c>
      <c r="B5572" s="140" t="s">
        <v>4870</v>
      </c>
      <c r="C5572" s="140" t="s">
        <v>13336</v>
      </c>
      <c r="D5572" s="140" t="s">
        <v>6309</v>
      </c>
      <c r="E5572" s="140" t="s">
        <v>47</v>
      </c>
      <c r="F5572" s="140" t="s">
        <v>7376</v>
      </c>
      <c r="G5572" s="141" t="s">
        <v>6401</v>
      </c>
      <c r="H5572" s="140" t="s">
        <v>6312</v>
      </c>
      <c r="I5572" s="140" t="s">
        <v>6313</v>
      </c>
      <c r="J5572" s="140" t="s">
        <v>6314</v>
      </c>
      <c r="K5572" s="140" t="s">
        <v>6402</v>
      </c>
    </row>
    <row r="5573">
      <c r="A5573" s="140" t="s">
        <v>13297</v>
      </c>
      <c r="B5573" s="140" t="s">
        <v>13337</v>
      </c>
      <c r="C5573" s="140" t="s">
        <v>13338</v>
      </c>
      <c r="D5573" s="140" t="s">
        <v>6309</v>
      </c>
      <c r="E5573" s="140" t="s">
        <v>47</v>
      </c>
      <c r="F5573" s="140" t="s">
        <v>7376</v>
      </c>
      <c r="G5573" s="141" t="s">
        <v>6401</v>
      </c>
      <c r="H5573" s="140" t="s">
        <v>6312</v>
      </c>
      <c r="I5573" s="140" t="s">
        <v>6313</v>
      </c>
      <c r="J5573" s="140" t="s">
        <v>6314</v>
      </c>
      <c r="K5573" s="140" t="s">
        <v>6402</v>
      </c>
    </row>
    <row r="5574">
      <c r="A5574" s="140" t="s">
        <v>13297</v>
      </c>
      <c r="B5574" s="140" t="s">
        <v>13339</v>
      </c>
      <c r="C5574" s="140" t="s">
        <v>13340</v>
      </c>
      <c r="D5574" s="140" t="s">
        <v>6309</v>
      </c>
      <c r="E5574" s="140" t="s">
        <v>47</v>
      </c>
      <c r="F5574" s="140" t="s">
        <v>7376</v>
      </c>
      <c r="G5574" s="141" t="s">
        <v>6401</v>
      </c>
      <c r="H5574" s="140" t="s">
        <v>6312</v>
      </c>
      <c r="I5574" s="140" t="s">
        <v>6313</v>
      </c>
      <c r="J5574" s="140" t="s">
        <v>6314</v>
      </c>
      <c r="K5574" s="140" t="s">
        <v>6402</v>
      </c>
    </row>
    <row r="5575">
      <c r="A5575" s="140" t="s">
        <v>13297</v>
      </c>
      <c r="B5575" s="140" t="s">
        <v>13341</v>
      </c>
      <c r="C5575" s="140" t="s">
        <v>13342</v>
      </c>
      <c r="D5575" s="140" t="s">
        <v>6309</v>
      </c>
      <c r="E5575" s="140" t="s">
        <v>47</v>
      </c>
      <c r="F5575" s="140" t="s">
        <v>7376</v>
      </c>
      <c r="G5575" s="141" t="s">
        <v>6401</v>
      </c>
      <c r="H5575" s="140" t="s">
        <v>6312</v>
      </c>
      <c r="I5575" s="140" t="s">
        <v>6313</v>
      </c>
      <c r="J5575" s="140" t="s">
        <v>6314</v>
      </c>
      <c r="K5575" s="140" t="s">
        <v>6402</v>
      </c>
    </row>
    <row r="5576">
      <c r="A5576" s="140" t="s">
        <v>13297</v>
      </c>
      <c r="B5576" s="140" t="s">
        <v>4874</v>
      </c>
      <c r="C5576" s="140" t="s">
        <v>13343</v>
      </c>
      <c r="D5576" s="140" t="s">
        <v>6309</v>
      </c>
      <c r="E5576" s="140" t="s">
        <v>47</v>
      </c>
      <c r="F5576" s="140" t="s">
        <v>7376</v>
      </c>
      <c r="G5576" s="141" t="s">
        <v>6401</v>
      </c>
      <c r="H5576" s="140" t="s">
        <v>6312</v>
      </c>
      <c r="I5576" s="140" t="s">
        <v>6313</v>
      </c>
      <c r="J5576" s="140" t="s">
        <v>6314</v>
      </c>
      <c r="K5576" s="140" t="s">
        <v>6402</v>
      </c>
    </row>
    <row r="5577">
      <c r="A5577" s="140" t="s">
        <v>13297</v>
      </c>
      <c r="B5577" s="140" t="s">
        <v>4872</v>
      </c>
      <c r="C5577" s="140" t="s">
        <v>13344</v>
      </c>
      <c r="D5577" s="140" t="s">
        <v>6309</v>
      </c>
      <c r="E5577" s="140" t="s">
        <v>47</v>
      </c>
      <c r="F5577" s="140" t="s">
        <v>7376</v>
      </c>
      <c r="G5577" s="141" t="s">
        <v>6401</v>
      </c>
      <c r="H5577" s="140" t="s">
        <v>6312</v>
      </c>
      <c r="I5577" s="140" t="s">
        <v>6313</v>
      </c>
      <c r="J5577" s="140" t="s">
        <v>6314</v>
      </c>
      <c r="K5577" s="140" t="s">
        <v>6402</v>
      </c>
    </row>
    <row r="5578">
      <c r="A5578" s="140" t="s">
        <v>13297</v>
      </c>
      <c r="B5578" s="140" t="s">
        <v>13345</v>
      </c>
      <c r="C5578" s="140" t="s">
        <v>13346</v>
      </c>
      <c r="D5578" s="140" t="s">
        <v>6309</v>
      </c>
      <c r="E5578" s="140" t="s">
        <v>47</v>
      </c>
      <c r="F5578" s="140" t="s">
        <v>7376</v>
      </c>
      <c r="G5578" s="141" t="s">
        <v>6401</v>
      </c>
      <c r="H5578" s="140" t="s">
        <v>6312</v>
      </c>
      <c r="I5578" s="140" t="s">
        <v>6313</v>
      </c>
      <c r="J5578" s="140" t="s">
        <v>6314</v>
      </c>
      <c r="K5578" s="140" t="s">
        <v>6402</v>
      </c>
    </row>
    <row r="5579">
      <c r="A5579" s="140" t="s">
        <v>13297</v>
      </c>
      <c r="B5579" s="140" t="s">
        <v>13347</v>
      </c>
      <c r="C5579" s="140" t="s">
        <v>13348</v>
      </c>
      <c r="D5579" s="140" t="s">
        <v>6309</v>
      </c>
      <c r="E5579" s="140" t="s">
        <v>47</v>
      </c>
      <c r="F5579" s="140" t="s">
        <v>7376</v>
      </c>
      <c r="G5579" s="141" t="s">
        <v>6401</v>
      </c>
      <c r="H5579" s="140" t="s">
        <v>6312</v>
      </c>
      <c r="I5579" s="140" t="s">
        <v>6313</v>
      </c>
      <c r="J5579" s="140" t="s">
        <v>6314</v>
      </c>
      <c r="K5579" s="140" t="s">
        <v>6402</v>
      </c>
    </row>
    <row r="5580">
      <c r="A5580" s="140" t="s">
        <v>13297</v>
      </c>
      <c r="B5580" s="140" t="s">
        <v>13349</v>
      </c>
      <c r="C5580" s="140" t="s">
        <v>13350</v>
      </c>
      <c r="D5580" s="140" t="s">
        <v>6309</v>
      </c>
      <c r="E5580" s="140" t="s">
        <v>47</v>
      </c>
      <c r="F5580" s="140" t="s">
        <v>7376</v>
      </c>
      <c r="G5580" s="141" t="s">
        <v>6401</v>
      </c>
      <c r="H5580" s="140" t="s">
        <v>6312</v>
      </c>
      <c r="I5580" s="140" t="s">
        <v>6313</v>
      </c>
      <c r="J5580" s="140" t="s">
        <v>6314</v>
      </c>
      <c r="K5580" s="140" t="s">
        <v>6402</v>
      </c>
    </row>
    <row r="5581">
      <c r="A5581" s="140" t="s">
        <v>13297</v>
      </c>
      <c r="B5581" s="140" t="s">
        <v>4864</v>
      </c>
      <c r="C5581" s="140" t="s">
        <v>13351</v>
      </c>
      <c r="D5581" s="140" t="s">
        <v>6309</v>
      </c>
      <c r="E5581" s="140" t="s">
        <v>47</v>
      </c>
      <c r="F5581" s="140" t="s">
        <v>7376</v>
      </c>
      <c r="G5581" s="141" t="s">
        <v>6401</v>
      </c>
      <c r="H5581" s="140" t="s">
        <v>6312</v>
      </c>
      <c r="I5581" s="140" t="s">
        <v>6313</v>
      </c>
      <c r="J5581" s="140" t="s">
        <v>6314</v>
      </c>
      <c r="K5581" s="140" t="s">
        <v>6402</v>
      </c>
    </row>
    <row r="5582">
      <c r="A5582" s="140" t="s">
        <v>13297</v>
      </c>
      <c r="B5582" s="140" t="s">
        <v>13352</v>
      </c>
      <c r="C5582" s="140" t="s">
        <v>13353</v>
      </c>
      <c r="D5582" s="140" t="s">
        <v>6309</v>
      </c>
      <c r="E5582" s="140" t="s">
        <v>47</v>
      </c>
      <c r="F5582" s="140" t="s">
        <v>53</v>
      </c>
      <c r="G5582" s="141" t="s">
        <v>6401</v>
      </c>
      <c r="H5582" s="140" t="s">
        <v>6312</v>
      </c>
      <c r="I5582" s="140" t="s">
        <v>6313</v>
      </c>
      <c r="J5582" s="140" t="s">
        <v>6314</v>
      </c>
      <c r="K5582" s="140" t="s">
        <v>6402</v>
      </c>
    </row>
    <row r="5583">
      <c r="A5583" s="140" t="s">
        <v>13297</v>
      </c>
      <c r="B5583" s="140" t="s">
        <v>13354</v>
      </c>
      <c r="C5583" s="140" t="s">
        <v>13355</v>
      </c>
      <c r="D5583" s="140" t="s">
        <v>6309</v>
      </c>
      <c r="E5583" s="140" t="s">
        <v>56</v>
      </c>
      <c r="F5583" s="140" t="s">
        <v>64</v>
      </c>
      <c r="G5583" s="141" t="s">
        <v>6401</v>
      </c>
      <c r="H5583" s="140" t="s">
        <v>6312</v>
      </c>
      <c r="I5583" s="140" t="s">
        <v>6313</v>
      </c>
      <c r="J5583" s="140" t="s">
        <v>6314</v>
      </c>
      <c r="K5583" s="140" t="s">
        <v>6402</v>
      </c>
    </row>
    <row r="5584">
      <c r="A5584" s="140" t="s">
        <v>13297</v>
      </c>
      <c r="B5584" s="140" t="s">
        <v>13356</v>
      </c>
      <c r="C5584" s="140" t="s">
        <v>13357</v>
      </c>
      <c r="D5584" s="140" t="s">
        <v>6309</v>
      </c>
      <c r="E5584" s="140" t="s">
        <v>56</v>
      </c>
      <c r="F5584" s="140" t="s">
        <v>64</v>
      </c>
      <c r="G5584" s="141" t="s">
        <v>6401</v>
      </c>
      <c r="H5584" s="140" t="s">
        <v>6312</v>
      </c>
      <c r="I5584" s="140" t="s">
        <v>6313</v>
      </c>
      <c r="J5584" s="140" t="s">
        <v>6314</v>
      </c>
      <c r="K5584" s="140" t="s">
        <v>6402</v>
      </c>
    </row>
    <row r="5585">
      <c r="A5585" s="140" t="s">
        <v>13297</v>
      </c>
      <c r="B5585" s="140" t="s">
        <v>13358</v>
      </c>
      <c r="C5585" s="140" t="s">
        <v>13359</v>
      </c>
      <c r="D5585" s="140" t="s">
        <v>6309</v>
      </c>
      <c r="E5585" s="140" t="s">
        <v>56</v>
      </c>
      <c r="F5585" s="140" t="s">
        <v>64</v>
      </c>
      <c r="G5585" s="141" t="s">
        <v>6401</v>
      </c>
      <c r="H5585" s="140" t="s">
        <v>6312</v>
      </c>
      <c r="I5585" s="140" t="s">
        <v>6313</v>
      </c>
      <c r="J5585" s="140" t="s">
        <v>6314</v>
      </c>
      <c r="K5585" s="140" t="s">
        <v>6402</v>
      </c>
    </row>
    <row r="5586">
      <c r="A5586" s="140" t="s">
        <v>13297</v>
      </c>
      <c r="B5586" s="140" t="s">
        <v>4866</v>
      </c>
      <c r="C5586" s="140" t="s">
        <v>13360</v>
      </c>
      <c r="D5586" s="140" t="s">
        <v>6309</v>
      </c>
      <c r="E5586" s="140" t="s">
        <v>56</v>
      </c>
      <c r="F5586" s="140" t="s">
        <v>64</v>
      </c>
      <c r="G5586" s="141" t="s">
        <v>6401</v>
      </c>
      <c r="H5586" s="140" t="s">
        <v>6312</v>
      </c>
      <c r="I5586" s="140" t="s">
        <v>6313</v>
      </c>
      <c r="J5586" s="140" t="s">
        <v>6314</v>
      </c>
      <c r="K5586" s="140" t="s">
        <v>6402</v>
      </c>
    </row>
    <row r="5587">
      <c r="A5587" s="140" t="s">
        <v>13297</v>
      </c>
      <c r="B5587" s="140" t="s">
        <v>4862</v>
      </c>
      <c r="C5587" s="140" t="s">
        <v>13361</v>
      </c>
      <c r="D5587" s="140" t="s">
        <v>6309</v>
      </c>
      <c r="E5587" s="140" t="s">
        <v>56</v>
      </c>
      <c r="F5587" s="140" t="s">
        <v>64</v>
      </c>
      <c r="G5587" s="141" t="s">
        <v>6401</v>
      </c>
      <c r="H5587" s="140" t="s">
        <v>6312</v>
      </c>
      <c r="I5587" s="140" t="s">
        <v>6313</v>
      </c>
      <c r="J5587" s="140" t="s">
        <v>6314</v>
      </c>
      <c r="K5587" s="140" t="s">
        <v>6402</v>
      </c>
    </row>
    <row r="5588">
      <c r="A5588" s="140" t="s">
        <v>13297</v>
      </c>
      <c r="B5588" s="140" t="s">
        <v>13362</v>
      </c>
      <c r="C5588" s="140" t="s">
        <v>13363</v>
      </c>
      <c r="D5588" s="140" t="s">
        <v>6309</v>
      </c>
      <c r="E5588" s="140" t="s">
        <v>56</v>
      </c>
      <c r="F5588" s="140" t="s">
        <v>64</v>
      </c>
      <c r="G5588" s="141" t="s">
        <v>6401</v>
      </c>
      <c r="H5588" s="140" t="s">
        <v>6312</v>
      </c>
      <c r="I5588" s="140" t="s">
        <v>6313</v>
      </c>
      <c r="J5588" s="140" t="s">
        <v>6314</v>
      </c>
      <c r="K5588" s="140" t="s">
        <v>6402</v>
      </c>
    </row>
    <row r="5589">
      <c r="A5589" s="140" t="s">
        <v>13297</v>
      </c>
      <c r="B5589" s="140" t="s">
        <v>4860</v>
      </c>
      <c r="C5589" s="140" t="s">
        <v>13364</v>
      </c>
      <c r="D5589" s="140" t="s">
        <v>6309</v>
      </c>
      <c r="E5589" s="140" t="s">
        <v>56</v>
      </c>
      <c r="F5589" s="140" t="s">
        <v>64</v>
      </c>
      <c r="G5589" s="141" t="s">
        <v>6401</v>
      </c>
      <c r="H5589" s="140" t="s">
        <v>6312</v>
      </c>
      <c r="I5589" s="140" t="s">
        <v>6313</v>
      </c>
      <c r="J5589" s="140" t="s">
        <v>6314</v>
      </c>
      <c r="K5589" s="140" t="s">
        <v>6402</v>
      </c>
    </row>
    <row r="5590">
      <c r="A5590" s="140" t="s">
        <v>13297</v>
      </c>
      <c r="B5590" s="140" t="s">
        <v>13365</v>
      </c>
      <c r="C5590" s="140" t="s">
        <v>13366</v>
      </c>
      <c r="D5590" s="140" t="s">
        <v>6309</v>
      </c>
      <c r="E5590" s="140" t="s">
        <v>56</v>
      </c>
      <c r="F5590" s="140" t="s">
        <v>64</v>
      </c>
      <c r="G5590" s="141" t="s">
        <v>6668</v>
      </c>
      <c r="H5590" s="140" t="s">
        <v>6312</v>
      </c>
      <c r="I5590" s="140" t="s">
        <v>6313</v>
      </c>
      <c r="J5590" s="140" t="s">
        <v>6314</v>
      </c>
      <c r="K5590" s="140" t="s">
        <v>6402</v>
      </c>
    </row>
    <row r="5591">
      <c r="A5591" s="140" t="s">
        <v>13297</v>
      </c>
      <c r="B5591" s="140" t="s">
        <v>3605</v>
      </c>
      <c r="C5591" s="140" t="s">
        <v>13367</v>
      </c>
      <c r="D5591" s="140" t="s">
        <v>6309</v>
      </c>
      <c r="E5591" s="140" t="s">
        <v>56</v>
      </c>
      <c r="F5591" s="140" t="s">
        <v>64</v>
      </c>
      <c r="G5591" s="141" t="s">
        <v>6401</v>
      </c>
      <c r="H5591" s="140" t="s">
        <v>6312</v>
      </c>
      <c r="I5591" s="140" t="s">
        <v>6313</v>
      </c>
      <c r="J5591" s="140" t="s">
        <v>6314</v>
      </c>
      <c r="K5591" s="140" t="s">
        <v>6402</v>
      </c>
    </row>
    <row r="5592">
      <c r="A5592" s="140" t="s">
        <v>13297</v>
      </c>
      <c r="B5592" s="140" t="s">
        <v>4878</v>
      </c>
      <c r="C5592" s="140" t="s">
        <v>13368</v>
      </c>
      <c r="D5592" s="140" t="s">
        <v>6309</v>
      </c>
      <c r="E5592" s="140" t="s">
        <v>56</v>
      </c>
      <c r="F5592" s="140" t="s">
        <v>64</v>
      </c>
      <c r="G5592" s="141" t="s">
        <v>6401</v>
      </c>
      <c r="H5592" s="140" t="s">
        <v>6312</v>
      </c>
      <c r="I5592" s="140" t="s">
        <v>6313</v>
      </c>
      <c r="J5592" s="140" t="s">
        <v>6314</v>
      </c>
      <c r="K5592" s="140" t="s">
        <v>6402</v>
      </c>
    </row>
    <row r="5593">
      <c r="A5593" s="140" t="s">
        <v>13297</v>
      </c>
      <c r="B5593" s="140" t="s">
        <v>13369</v>
      </c>
      <c r="C5593" s="140" t="s">
        <v>13370</v>
      </c>
      <c r="D5593" s="140" t="s">
        <v>6309</v>
      </c>
      <c r="E5593" s="140" t="s">
        <v>56</v>
      </c>
      <c r="F5593" s="140" t="s">
        <v>64</v>
      </c>
      <c r="G5593" s="141" t="s">
        <v>6401</v>
      </c>
      <c r="H5593" s="140" t="s">
        <v>6312</v>
      </c>
      <c r="I5593" s="140" t="s">
        <v>6313</v>
      </c>
      <c r="J5593" s="140" t="s">
        <v>6314</v>
      </c>
      <c r="K5593" s="140" t="s">
        <v>6402</v>
      </c>
    </row>
    <row r="5594">
      <c r="A5594" s="140" t="s">
        <v>13297</v>
      </c>
      <c r="B5594" s="140" t="s">
        <v>13371</v>
      </c>
      <c r="C5594" s="140" t="s">
        <v>13372</v>
      </c>
      <c r="D5594" s="140" t="s">
        <v>6309</v>
      </c>
      <c r="E5594" s="140" t="s">
        <v>56</v>
      </c>
      <c r="F5594" s="140" t="s">
        <v>64</v>
      </c>
      <c r="G5594" s="141" t="s">
        <v>6401</v>
      </c>
      <c r="H5594" s="140" t="s">
        <v>6312</v>
      </c>
      <c r="I5594" s="140" t="s">
        <v>6313</v>
      </c>
      <c r="J5594" s="140" t="s">
        <v>6314</v>
      </c>
      <c r="K5594" s="140" t="s">
        <v>6402</v>
      </c>
    </row>
    <row r="5595">
      <c r="A5595" s="140" t="s">
        <v>13297</v>
      </c>
      <c r="B5595" s="140" t="s">
        <v>4856</v>
      </c>
      <c r="C5595" s="140" t="s">
        <v>13373</v>
      </c>
      <c r="D5595" s="140" t="s">
        <v>6309</v>
      </c>
      <c r="E5595" s="140" t="s">
        <v>56</v>
      </c>
      <c r="F5595" s="140" t="s">
        <v>64</v>
      </c>
      <c r="G5595" s="141" t="s">
        <v>6401</v>
      </c>
      <c r="H5595" s="140" t="s">
        <v>6312</v>
      </c>
      <c r="I5595" s="140" t="s">
        <v>6313</v>
      </c>
      <c r="J5595" s="140" t="s">
        <v>6314</v>
      </c>
      <c r="K5595" s="140" t="s">
        <v>6402</v>
      </c>
    </row>
    <row r="5596">
      <c r="A5596" s="140" t="s">
        <v>13297</v>
      </c>
      <c r="B5596" s="140" t="s">
        <v>4858</v>
      </c>
      <c r="C5596" s="140" t="s">
        <v>13374</v>
      </c>
      <c r="D5596" s="140" t="s">
        <v>6309</v>
      </c>
      <c r="E5596" s="140" t="s">
        <v>56</v>
      </c>
      <c r="F5596" s="140" t="s">
        <v>64</v>
      </c>
      <c r="G5596" s="141" t="s">
        <v>6401</v>
      </c>
      <c r="H5596" s="140" t="s">
        <v>6312</v>
      </c>
      <c r="I5596" s="140" t="s">
        <v>6313</v>
      </c>
      <c r="J5596" s="140" t="s">
        <v>6314</v>
      </c>
      <c r="K5596" s="140" t="s">
        <v>6402</v>
      </c>
    </row>
    <row r="5597">
      <c r="A5597" s="140" t="s">
        <v>13297</v>
      </c>
      <c r="B5597" s="140" t="s">
        <v>13375</v>
      </c>
      <c r="C5597" s="140" t="s">
        <v>13376</v>
      </c>
      <c r="D5597" s="140" t="s">
        <v>6309</v>
      </c>
      <c r="E5597" s="140" t="s">
        <v>6410</v>
      </c>
      <c r="F5597" s="140" t="s">
        <v>6411</v>
      </c>
      <c r="G5597" s="141" t="s">
        <v>6401</v>
      </c>
      <c r="H5597" s="140" t="s">
        <v>6312</v>
      </c>
      <c r="I5597" s="140" t="s">
        <v>6313</v>
      </c>
      <c r="J5597" s="140" t="s">
        <v>6314</v>
      </c>
      <c r="K5597" s="140" t="s">
        <v>6402</v>
      </c>
    </row>
    <row r="5598">
      <c r="A5598" s="140" t="s">
        <v>13297</v>
      </c>
      <c r="B5598" s="140" t="s">
        <v>13377</v>
      </c>
      <c r="C5598" s="140" t="s">
        <v>13378</v>
      </c>
      <c r="D5598" s="140" t="s">
        <v>6309</v>
      </c>
      <c r="E5598" s="140" t="s">
        <v>6410</v>
      </c>
      <c r="F5598" s="140" t="s">
        <v>6411</v>
      </c>
      <c r="G5598" s="141" t="s">
        <v>6401</v>
      </c>
      <c r="H5598" s="140" t="s">
        <v>6312</v>
      </c>
      <c r="I5598" s="140" t="s">
        <v>6313</v>
      </c>
      <c r="J5598" s="140" t="s">
        <v>6314</v>
      </c>
      <c r="K5598" s="140" t="s">
        <v>6402</v>
      </c>
    </row>
    <row r="5599">
      <c r="A5599" s="140" t="s">
        <v>13297</v>
      </c>
      <c r="B5599" s="140" t="s">
        <v>4854</v>
      </c>
      <c r="C5599" s="140" t="s">
        <v>13379</v>
      </c>
      <c r="D5599" s="140" t="s">
        <v>6309</v>
      </c>
      <c r="E5599" s="140" t="s">
        <v>6410</v>
      </c>
      <c r="F5599" s="140" t="s">
        <v>6411</v>
      </c>
      <c r="G5599" s="141" t="s">
        <v>6401</v>
      </c>
      <c r="H5599" s="140" t="s">
        <v>6312</v>
      </c>
      <c r="I5599" s="140" t="s">
        <v>6313</v>
      </c>
      <c r="J5599" s="140" t="s">
        <v>6314</v>
      </c>
      <c r="K5599" s="140" t="s">
        <v>6402</v>
      </c>
    </row>
    <row r="5600">
      <c r="A5600" s="140" t="s">
        <v>13297</v>
      </c>
      <c r="B5600" s="140" t="s">
        <v>13380</v>
      </c>
      <c r="C5600" s="140" t="s">
        <v>13381</v>
      </c>
      <c r="D5600" s="140" t="s">
        <v>6309</v>
      </c>
      <c r="E5600" s="140" t="s">
        <v>6410</v>
      </c>
      <c r="F5600" s="140" t="s">
        <v>6411</v>
      </c>
      <c r="G5600" s="141" t="s">
        <v>6401</v>
      </c>
      <c r="H5600" s="140" t="s">
        <v>6312</v>
      </c>
      <c r="I5600" s="140" t="s">
        <v>6313</v>
      </c>
      <c r="J5600" s="140" t="s">
        <v>6314</v>
      </c>
      <c r="K5600" s="140" t="s">
        <v>6402</v>
      </c>
    </row>
    <row r="5601">
      <c r="A5601" s="140" t="s">
        <v>13297</v>
      </c>
      <c r="B5601" s="140" t="s">
        <v>4876</v>
      </c>
      <c r="C5601" s="140" t="s">
        <v>13382</v>
      </c>
      <c r="D5601" s="140" t="s">
        <v>6309</v>
      </c>
      <c r="E5601" s="140" t="s">
        <v>6410</v>
      </c>
      <c r="F5601" s="140" t="s">
        <v>6411</v>
      </c>
      <c r="G5601" s="141" t="s">
        <v>6401</v>
      </c>
      <c r="H5601" s="140" t="s">
        <v>6312</v>
      </c>
      <c r="I5601" s="140" t="s">
        <v>6313</v>
      </c>
      <c r="J5601" s="140" t="s">
        <v>6314</v>
      </c>
      <c r="K5601" s="140" t="s">
        <v>6402</v>
      </c>
    </row>
    <row r="5602">
      <c r="A5602" s="140" t="s">
        <v>13383</v>
      </c>
      <c r="B5602" s="140">
        <v>35391.0</v>
      </c>
      <c r="C5602" s="140" t="s">
        <v>13384</v>
      </c>
      <c r="D5602" s="140" t="s">
        <v>6309</v>
      </c>
      <c r="E5602" s="140" t="s">
        <v>6310</v>
      </c>
      <c r="F5602" s="140" t="s">
        <v>6310</v>
      </c>
      <c r="G5602" s="141" t="s">
        <v>6311</v>
      </c>
      <c r="H5602" s="140" t="s">
        <v>6312</v>
      </c>
      <c r="I5602" s="140" t="s">
        <v>6313</v>
      </c>
      <c r="J5602" s="140" t="s">
        <v>6314</v>
      </c>
      <c r="K5602" s="140" t="s">
        <v>6315</v>
      </c>
    </row>
    <row r="5603">
      <c r="A5603" s="140" t="s">
        <v>13383</v>
      </c>
      <c r="B5603" s="140">
        <v>34197.0</v>
      </c>
      <c r="C5603" s="140" t="s">
        <v>13385</v>
      </c>
      <c r="D5603" s="140" t="s">
        <v>6309</v>
      </c>
      <c r="E5603" s="140" t="s">
        <v>6310</v>
      </c>
      <c r="F5603" s="140" t="s">
        <v>6310</v>
      </c>
      <c r="G5603" s="141" t="s">
        <v>6742</v>
      </c>
      <c r="H5603" s="140" t="s">
        <v>6312</v>
      </c>
      <c r="I5603" s="140" t="s">
        <v>6313</v>
      </c>
      <c r="J5603" s="140" t="s">
        <v>6314</v>
      </c>
      <c r="K5603" s="140" t="s">
        <v>6315</v>
      </c>
    </row>
    <row r="5604">
      <c r="A5604" s="140" t="s">
        <v>13383</v>
      </c>
      <c r="B5604" s="140">
        <v>35392.0</v>
      </c>
      <c r="C5604" s="140" t="s">
        <v>13386</v>
      </c>
      <c r="D5604" s="140" t="s">
        <v>6309</v>
      </c>
      <c r="E5604" s="140" t="s">
        <v>6310</v>
      </c>
      <c r="F5604" s="140" t="s">
        <v>6310</v>
      </c>
      <c r="G5604" s="141" t="s">
        <v>6311</v>
      </c>
      <c r="H5604" s="140" t="s">
        <v>6312</v>
      </c>
      <c r="I5604" s="140" t="s">
        <v>6313</v>
      </c>
      <c r="J5604" s="140" t="s">
        <v>6314</v>
      </c>
      <c r="K5604" s="140" t="s">
        <v>6315</v>
      </c>
    </row>
    <row r="5605">
      <c r="A5605" s="140" t="s">
        <v>13387</v>
      </c>
      <c r="B5605" s="140">
        <v>26027.0</v>
      </c>
      <c r="C5605" s="140" t="s">
        <v>13388</v>
      </c>
      <c r="D5605" s="140" t="s">
        <v>6309</v>
      </c>
      <c r="E5605" s="140" t="s">
        <v>21</v>
      </c>
      <c r="F5605" s="140" t="s">
        <v>42</v>
      </c>
      <c r="G5605" s="141" t="s">
        <v>6311</v>
      </c>
      <c r="H5605" s="140" t="s">
        <v>6312</v>
      </c>
      <c r="I5605" s="140" t="s">
        <v>6313</v>
      </c>
      <c r="J5605" s="140" t="s">
        <v>6314</v>
      </c>
      <c r="K5605" s="140" t="s">
        <v>6315</v>
      </c>
    </row>
    <row r="5606">
      <c r="A5606" s="140" t="s">
        <v>13387</v>
      </c>
      <c r="B5606" s="140">
        <v>21621.0</v>
      </c>
      <c r="C5606" s="140" t="s">
        <v>13389</v>
      </c>
      <c r="D5606" s="140" t="s">
        <v>6309</v>
      </c>
      <c r="E5606" s="140" t="s">
        <v>21</v>
      </c>
      <c r="F5606" s="140" t="s">
        <v>42</v>
      </c>
      <c r="G5606" s="141" t="s">
        <v>6311</v>
      </c>
      <c r="H5606" s="140" t="s">
        <v>6312</v>
      </c>
      <c r="I5606" s="140" t="s">
        <v>6313</v>
      </c>
      <c r="J5606" s="140" t="s">
        <v>6314</v>
      </c>
      <c r="K5606" s="140" t="s">
        <v>6315</v>
      </c>
    </row>
    <row r="5607">
      <c r="A5607" s="140" t="s">
        <v>13387</v>
      </c>
      <c r="B5607" s="140">
        <v>13057.0</v>
      </c>
      <c r="C5607" s="140" t="s">
        <v>13390</v>
      </c>
      <c r="D5607" s="140" t="s">
        <v>6309</v>
      </c>
      <c r="E5607" s="140" t="s">
        <v>56</v>
      </c>
      <c r="F5607" s="140" t="s">
        <v>64</v>
      </c>
      <c r="G5607" s="141" t="s">
        <v>6311</v>
      </c>
      <c r="H5607" s="140" t="s">
        <v>6312</v>
      </c>
      <c r="I5607" s="140" t="s">
        <v>6313</v>
      </c>
      <c r="J5607" s="140" t="s">
        <v>6314</v>
      </c>
      <c r="K5607" s="140" t="s">
        <v>6315</v>
      </c>
    </row>
    <row r="5608">
      <c r="A5608" s="140" t="s">
        <v>9070</v>
      </c>
      <c r="B5608" s="143">
        <v>6.40214E11</v>
      </c>
      <c r="C5608" s="140" t="s">
        <v>13391</v>
      </c>
      <c r="D5608" s="140" t="s">
        <v>7347</v>
      </c>
      <c r="E5608" s="140" t="s">
        <v>7770</v>
      </c>
      <c r="F5608" s="140" t="s">
        <v>9498</v>
      </c>
      <c r="G5608" s="141" t="s">
        <v>6401</v>
      </c>
      <c r="H5608" s="140" t="s">
        <v>6312</v>
      </c>
      <c r="I5608" s="140" t="s">
        <v>6313</v>
      </c>
      <c r="J5608" s="140" t="s">
        <v>6314</v>
      </c>
      <c r="K5608" s="140" t="s">
        <v>9070</v>
      </c>
    </row>
    <row r="5609">
      <c r="A5609" s="140" t="s">
        <v>9070</v>
      </c>
      <c r="B5609" s="143">
        <v>3.40067E11</v>
      </c>
      <c r="C5609" s="140" t="s">
        <v>13392</v>
      </c>
      <c r="D5609" s="140" t="s">
        <v>7347</v>
      </c>
      <c r="E5609" s="140" t="s">
        <v>7770</v>
      </c>
      <c r="F5609" s="140" t="s">
        <v>9498</v>
      </c>
      <c r="G5609" s="141" t="s">
        <v>6401</v>
      </c>
      <c r="H5609" s="140" t="s">
        <v>6312</v>
      </c>
      <c r="I5609" s="140" t="s">
        <v>6313</v>
      </c>
      <c r="J5609" s="140" t="s">
        <v>6314</v>
      </c>
      <c r="K5609" s="140" t="s">
        <v>9070</v>
      </c>
    </row>
    <row r="5610">
      <c r="A5610" s="140" t="s">
        <v>9070</v>
      </c>
      <c r="B5610" s="143">
        <v>6.40261E11</v>
      </c>
      <c r="C5610" s="140" t="s">
        <v>13393</v>
      </c>
      <c r="D5610" s="140" t="s">
        <v>7347</v>
      </c>
      <c r="E5610" s="140" t="s">
        <v>7770</v>
      </c>
      <c r="F5610" s="140" t="s">
        <v>9498</v>
      </c>
      <c r="G5610" s="141" t="s">
        <v>6401</v>
      </c>
      <c r="H5610" s="140" t="s">
        <v>6312</v>
      </c>
      <c r="I5610" s="140" t="s">
        <v>6313</v>
      </c>
      <c r="J5610" s="140" t="s">
        <v>6314</v>
      </c>
      <c r="K5610" s="140" t="s">
        <v>9070</v>
      </c>
    </row>
    <row r="5611">
      <c r="A5611" s="140" t="s">
        <v>9070</v>
      </c>
      <c r="B5611" s="143">
        <v>6.40243E11</v>
      </c>
      <c r="C5611" s="140" t="s">
        <v>13394</v>
      </c>
      <c r="D5611" s="140" t="s">
        <v>7347</v>
      </c>
      <c r="E5611" s="140" t="s">
        <v>7770</v>
      </c>
      <c r="F5611" s="140" t="s">
        <v>9498</v>
      </c>
      <c r="G5611" s="141" t="s">
        <v>6401</v>
      </c>
      <c r="H5611" s="140" t="s">
        <v>6312</v>
      </c>
      <c r="I5611" s="140" t="s">
        <v>6313</v>
      </c>
      <c r="J5611" s="140" t="s">
        <v>6314</v>
      </c>
      <c r="K5611" s="140" t="s">
        <v>9070</v>
      </c>
    </row>
    <row r="5612">
      <c r="A5612" s="140" t="s">
        <v>9070</v>
      </c>
      <c r="B5612" s="143">
        <v>6.40243E11</v>
      </c>
      <c r="C5612" s="140" t="s">
        <v>13395</v>
      </c>
      <c r="D5612" s="140" t="s">
        <v>7347</v>
      </c>
      <c r="E5612" s="140" t="s">
        <v>7770</v>
      </c>
      <c r="F5612" s="140" t="s">
        <v>9498</v>
      </c>
      <c r="G5612" s="141" t="s">
        <v>6401</v>
      </c>
      <c r="H5612" s="140" t="s">
        <v>6312</v>
      </c>
      <c r="I5612" s="140" t="s">
        <v>6313</v>
      </c>
      <c r="J5612" s="140" t="s">
        <v>6314</v>
      </c>
      <c r="K5612" s="140" t="s">
        <v>9070</v>
      </c>
    </row>
    <row r="5613">
      <c r="A5613" s="140" t="s">
        <v>9070</v>
      </c>
      <c r="B5613" s="143">
        <v>6.40245E11</v>
      </c>
      <c r="C5613" s="140" t="s">
        <v>13396</v>
      </c>
      <c r="D5613" s="140" t="s">
        <v>7347</v>
      </c>
      <c r="E5613" s="140" t="s">
        <v>7770</v>
      </c>
      <c r="F5613" s="140" t="s">
        <v>9498</v>
      </c>
      <c r="G5613" s="141" t="s">
        <v>6401</v>
      </c>
      <c r="H5613" s="140" t="s">
        <v>6312</v>
      </c>
      <c r="I5613" s="140" t="s">
        <v>6313</v>
      </c>
      <c r="J5613" s="140" t="s">
        <v>6314</v>
      </c>
      <c r="K5613" s="140" t="s">
        <v>9070</v>
      </c>
    </row>
    <row r="5614">
      <c r="A5614" s="140" t="s">
        <v>9070</v>
      </c>
      <c r="B5614" s="143">
        <v>6.40264E11</v>
      </c>
      <c r="C5614" s="140" t="s">
        <v>13397</v>
      </c>
      <c r="D5614" s="140" t="s">
        <v>7347</v>
      </c>
      <c r="E5614" s="140" t="s">
        <v>7770</v>
      </c>
      <c r="F5614" s="140" t="s">
        <v>9498</v>
      </c>
      <c r="G5614" s="141" t="s">
        <v>6401</v>
      </c>
      <c r="H5614" s="140" t="s">
        <v>6312</v>
      </c>
      <c r="I5614" s="140" t="s">
        <v>6313</v>
      </c>
      <c r="J5614" s="140" t="s">
        <v>6314</v>
      </c>
      <c r="K5614" s="140" t="s">
        <v>9070</v>
      </c>
    </row>
    <row r="5615">
      <c r="A5615" s="140" t="s">
        <v>9070</v>
      </c>
      <c r="B5615" s="143">
        <v>6.40149E11</v>
      </c>
      <c r="C5615" s="140" t="s">
        <v>13398</v>
      </c>
      <c r="D5615" s="140" t="s">
        <v>7347</v>
      </c>
      <c r="E5615" s="140" t="s">
        <v>7770</v>
      </c>
      <c r="F5615" s="140" t="s">
        <v>9498</v>
      </c>
      <c r="G5615" s="141" t="s">
        <v>6401</v>
      </c>
      <c r="H5615" s="140" t="s">
        <v>6312</v>
      </c>
      <c r="I5615" s="140" t="s">
        <v>6313</v>
      </c>
      <c r="J5615" s="140" t="s">
        <v>6314</v>
      </c>
      <c r="K5615" s="140" t="s">
        <v>9070</v>
      </c>
    </row>
    <row r="5616">
      <c r="A5616" s="140" t="s">
        <v>9070</v>
      </c>
      <c r="B5616" s="143">
        <v>1.37026E12</v>
      </c>
      <c r="C5616" s="140" t="s">
        <v>13399</v>
      </c>
      <c r="D5616" s="140" t="s">
        <v>7347</v>
      </c>
      <c r="E5616" s="140" t="s">
        <v>7770</v>
      </c>
      <c r="F5616" s="140" t="s">
        <v>9498</v>
      </c>
      <c r="G5616" s="141" t="s">
        <v>6401</v>
      </c>
      <c r="H5616" s="140" t="s">
        <v>6312</v>
      </c>
      <c r="I5616" s="140" t="s">
        <v>6313</v>
      </c>
      <c r="J5616" s="140" t="s">
        <v>6314</v>
      </c>
      <c r="K5616" s="140" t="s">
        <v>9070</v>
      </c>
    </row>
    <row r="5617">
      <c r="A5617" s="140" t="s">
        <v>13400</v>
      </c>
      <c r="B5617" s="140" t="s">
        <v>5467</v>
      </c>
      <c r="C5617" s="140" t="s">
        <v>13401</v>
      </c>
      <c r="D5617" s="140" t="s">
        <v>6309</v>
      </c>
      <c r="E5617" s="140" t="s">
        <v>1223</v>
      </c>
      <c r="F5617" s="140" t="s">
        <v>10275</v>
      </c>
      <c r="G5617" s="141" t="s">
        <v>6401</v>
      </c>
      <c r="H5617" s="140" t="s">
        <v>6312</v>
      </c>
      <c r="I5617" s="140" t="s">
        <v>6313</v>
      </c>
      <c r="J5617" s="140" t="s">
        <v>6314</v>
      </c>
      <c r="K5617" s="140" t="s">
        <v>6402</v>
      </c>
    </row>
    <row r="5618">
      <c r="A5618" s="140" t="s">
        <v>13400</v>
      </c>
      <c r="B5618" s="140" t="s">
        <v>4916</v>
      </c>
      <c r="C5618" s="140" t="s">
        <v>13402</v>
      </c>
      <c r="D5618" s="140" t="s">
        <v>6309</v>
      </c>
      <c r="E5618" s="140" t="s">
        <v>56</v>
      </c>
      <c r="F5618" s="140" t="s">
        <v>64</v>
      </c>
      <c r="G5618" s="141" t="s">
        <v>6401</v>
      </c>
      <c r="H5618" s="140" t="s">
        <v>6312</v>
      </c>
      <c r="I5618" s="140" t="s">
        <v>6313</v>
      </c>
      <c r="J5618" s="140" t="s">
        <v>6314</v>
      </c>
      <c r="K5618" s="140" t="s">
        <v>6402</v>
      </c>
    </row>
    <row r="5619">
      <c r="A5619" s="140" t="s">
        <v>13400</v>
      </c>
      <c r="B5619" s="140" t="s">
        <v>5530</v>
      </c>
      <c r="C5619" s="140" t="s">
        <v>13403</v>
      </c>
      <c r="D5619" s="140" t="s">
        <v>6309</v>
      </c>
      <c r="E5619" s="140" t="s">
        <v>9294</v>
      </c>
      <c r="F5619" s="140" t="s">
        <v>9294</v>
      </c>
      <c r="G5619" s="141" t="s">
        <v>6401</v>
      </c>
      <c r="H5619" s="140" t="s">
        <v>6312</v>
      </c>
      <c r="I5619" s="140" t="s">
        <v>6313</v>
      </c>
      <c r="J5619" s="140" t="s">
        <v>6314</v>
      </c>
      <c r="K5619" s="140" t="s">
        <v>6402</v>
      </c>
    </row>
    <row r="5620">
      <c r="A5620" s="140" t="s">
        <v>13400</v>
      </c>
      <c r="B5620" s="140" t="s">
        <v>13404</v>
      </c>
      <c r="C5620" s="140" t="s">
        <v>13405</v>
      </c>
      <c r="D5620" s="140" t="s">
        <v>6309</v>
      </c>
      <c r="E5620" s="140" t="s">
        <v>9294</v>
      </c>
      <c r="F5620" s="140" t="s">
        <v>9294</v>
      </c>
      <c r="G5620" s="141" t="s">
        <v>6401</v>
      </c>
      <c r="H5620" s="140" t="s">
        <v>6312</v>
      </c>
      <c r="I5620" s="140" t="s">
        <v>6313</v>
      </c>
      <c r="J5620" s="140" t="s">
        <v>6314</v>
      </c>
      <c r="K5620" s="140" t="s">
        <v>6402</v>
      </c>
    </row>
    <row r="5621">
      <c r="A5621" s="140" t="s">
        <v>13406</v>
      </c>
      <c r="B5621" s="140" t="s">
        <v>13407</v>
      </c>
      <c r="C5621" s="140" t="s">
        <v>13408</v>
      </c>
      <c r="D5621" s="140" t="s">
        <v>6620</v>
      </c>
      <c r="E5621" s="140" t="s">
        <v>6621</v>
      </c>
      <c r="F5621" s="140" t="s">
        <v>13409</v>
      </c>
      <c r="G5621" s="141" t="s">
        <v>6401</v>
      </c>
      <c r="H5621" s="140" t="s">
        <v>6312</v>
      </c>
      <c r="I5621" s="140" t="s">
        <v>6313</v>
      </c>
      <c r="J5621" s="140" t="s">
        <v>6314</v>
      </c>
      <c r="K5621" s="140" t="s">
        <v>8954</v>
      </c>
    </row>
    <row r="5622">
      <c r="A5622" s="140" t="s">
        <v>13406</v>
      </c>
      <c r="B5622" s="140" t="s">
        <v>13410</v>
      </c>
      <c r="C5622" s="140" t="s">
        <v>13411</v>
      </c>
      <c r="D5622" s="140" t="s">
        <v>6620</v>
      </c>
      <c r="E5622" s="140" t="s">
        <v>6621</v>
      </c>
      <c r="F5622" s="140" t="s">
        <v>13409</v>
      </c>
      <c r="G5622" s="141" t="s">
        <v>6401</v>
      </c>
      <c r="H5622" s="140" t="s">
        <v>6312</v>
      </c>
      <c r="I5622" s="140" t="s">
        <v>6313</v>
      </c>
      <c r="J5622" s="140" t="s">
        <v>6314</v>
      </c>
      <c r="K5622" s="140" t="s">
        <v>8954</v>
      </c>
    </row>
    <row r="5623">
      <c r="A5623" s="140" t="s">
        <v>13406</v>
      </c>
      <c r="B5623" s="140" t="s">
        <v>13412</v>
      </c>
      <c r="C5623" s="140" t="s">
        <v>13413</v>
      </c>
      <c r="D5623" s="140" t="s">
        <v>6620</v>
      </c>
      <c r="E5623" s="140" t="s">
        <v>6621</v>
      </c>
      <c r="F5623" s="140" t="s">
        <v>13409</v>
      </c>
      <c r="G5623" s="141" t="s">
        <v>6401</v>
      </c>
      <c r="H5623" s="140" t="s">
        <v>6312</v>
      </c>
      <c r="I5623" s="140" t="s">
        <v>6313</v>
      </c>
      <c r="J5623" s="140" t="s">
        <v>6314</v>
      </c>
      <c r="K5623" s="140" t="s">
        <v>8954</v>
      </c>
    </row>
    <row r="5624">
      <c r="A5624" s="140" t="s">
        <v>13406</v>
      </c>
      <c r="B5624" s="140" t="s">
        <v>13414</v>
      </c>
      <c r="C5624" s="140" t="s">
        <v>13415</v>
      </c>
      <c r="D5624" s="140" t="s">
        <v>6620</v>
      </c>
      <c r="E5624" s="140" t="s">
        <v>6621</v>
      </c>
      <c r="F5624" s="140" t="s">
        <v>6777</v>
      </c>
      <c r="G5624" s="141" t="s">
        <v>6401</v>
      </c>
      <c r="H5624" s="140" t="s">
        <v>6312</v>
      </c>
      <c r="I5624" s="140" t="s">
        <v>6313</v>
      </c>
      <c r="J5624" s="140" t="s">
        <v>6314</v>
      </c>
      <c r="K5624" s="140" t="s">
        <v>8954</v>
      </c>
    </row>
    <row r="5625">
      <c r="A5625" s="140" t="s">
        <v>13416</v>
      </c>
      <c r="B5625" s="140" t="s">
        <v>4532</v>
      </c>
      <c r="C5625" s="140" t="s">
        <v>13417</v>
      </c>
      <c r="D5625" s="140" t="s">
        <v>6318</v>
      </c>
      <c r="E5625" s="140" t="s">
        <v>1219</v>
      </c>
      <c r="F5625" s="140" t="s">
        <v>9355</v>
      </c>
      <c r="G5625" s="141" t="s">
        <v>6311</v>
      </c>
      <c r="H5625" s="140" t="s">
        <v>6312</v>
      </c>
      <c r="I5625" s="140" t="s">
        <v>6313</v>
      </c>
      <c r="J5625" s="140" t="s">
        <v>6314</v>
      </c>
      <c r="K5625" s="140" t="s">
        <v>13416</v>
      </c>
    </row>
    <row r="5626">
      <c r="A5626" s="140" t="s">
        <v>13416</v>
      </c>
      <c r="B5626" s="140" t="s">
        <v>4524</v>
      </c>
      <c r="C5626" s="140" t="s">
        <v>13418</v>
      </c>
      <c r="D5626" s="140" t="s">
        <v>6318</v>
      </c>
      <c r="E5626" s="140" t="s">
        <v>1219</v>
      </c>
      <c r="F5626" s="140" t="s">
        <v>9355</v>
      </c>
      <c r="G5626" s="141" t="s">
        <v>6311</v>
      </c>
      <c r="H5626" s="140" t="s">
        <v>6312</v>
      </c>
      <c r="I5626" s="140" t="s">
        <v>6313</v>
      </c>
      <c r="J5626" s="140" t="s">
        <v>6314</v>
      </c>
      <c r="K5626" s="140" t="s">
        <v>13416</v>
      </c>
    </row>
    <row r="5627">
      <c r="A5627" s="140" t="s">
        <v>13416</v>
      </c>
      <c r="B5627" s="140" t="s">
        <v>5681</v>
      </c>
      <c r="C5627" s="140" t="s">
        <v>13419</v>
      </c>
      <c r="D5627" s="140" t="s">
        <v>6318</v>
      </c>
      <c r="E5627" s="140" t="s">
        <v>1219</v>
      </c>
      <c r="F5627" s="140" t="s">
        <v>9370</v>
      </c>
      <c r="G5627" s="141" t="s">
        <v>6311</v>
      </c>
      <c r="H5627" s="140" t="s">
        <v>6312</v>
      </c>
      <c r="I5627" s="140" t="s">
        <v>6313</v>
      </c>
      <c r="J5627" s="140" t="s">
        <v>6314</v>
      </c>
      <c r="K5627" s="140" t="s">
        <v>13416</v>
      </c>
    </row>
    <row r="5628">
      <c r="A5628" s="140" t="s">
        <v>13416</v>
      </c>
      <c r="B5628" s="140" t="s">
        <v>13420</v>
      </c>
      <c r="C5628" s="140" t="s">
        <v>13421</v>
      </c>
      <c r="D5628" s="140" t="s">
        <v>6318</v>
      </c>
      <c r="E5628" s="140" t="s">
        <v>1219</v>
      </c>
      <c r="F5628" s="140" t="s">
        <v>9370</v>
      </c>
      <c r="G5628" s="141" t="s">
        <v>6311</v>
      </c>
      <c r="H5628" s="140" t="s">
        <v>6312</v>
      </c>
      <c r="I5628" s="140" t="s">
        <v>6313</v>
      </c>
      <c r="J5628" s="140" t="s">
        <v>6314</v>
      </c>
      <c r="K5628" s="140" t="s">
        <v>13416</v>
      </c>
    </row>
    <row r="5629">
      <c r="A5629" s="140" t="s">
        <v>13422</v>
      </c>
      <c r="B5629" s="140">
        <v>70296.0</v>
      </c>
      <c r="C5629" s="140" t="s">
        <v>13423</v>
      </c>
      <c r="D5629" s="140" t="s">
        <v>6309</v>
      </c>
      <c r="E5629" s="140" t="s">
        <v>1223</v>
      </c>
      <c r="F5629" s="140" t="s">
        <v>1223</v>
      </c>
      <c r="G5629" s="141" t="s">
        <v>6401</v>
      </c>
      <c r="H5629" s="140" t="s">
        <v>6312</v>
      </c>
      <c r="I5629" s="140" t="s">
        <v>6313</v>
      </c>
      <c r="J5629" s="140" t="s">
        <v>6314</v>
      </c>
      <c r="K5629" s="140" t="s">
        <v>6402</v>
      </c>
    </row>
    <row r="5630">
      <c r="A5630" s="140" t="s">
        <v>13422</v>
      </c>
      <c r="B5630" s="140">
        <v>67784.0</v>
      </c>
      <c r="C5630" s="140" t="s">
        <v>13424</v>
      </c>
      <c r="D5630" s="140" t="s">
        <v>6309</v>
      </c>
      <c r="E5630" s="140" t="s">
        <v>1223</v>
      </c>
      <c r="F5630" s="140" t="s">
        <v>1223</v>
      </c>
      <c r="G5630" s="141" t="s">
        <v>6401</v>
      </c>
      <c r="H5630" s="140" t="s">
        <v>6312</v>
      </c>
      <c r="I5630" s="140" t="s">
        <v>6313</v>
      </c>
      <c r="J5630" s="140" t="s">
        <v>6314</v>
      </c>
      <c r="K5630" s="140" t="s">
        <v>6402</v>
      </c>
    </row>
    <row r="5631">
      <c r="A5631" s="140" t="s">
        <v>13422</v>
      </c>
      <c r="B5631" s="140">
        <v>70326.0</v>
      </c>
      <c r="C5631" s="140" t="s">
        <v>13425</v>
      </c>
      <c r="D5631" s="140" t="s">
        <v>6309</v>
      </c>
      <c r="E5631" s="140" t="s">
        <v>1223</v>
      </c>
      <c r="F5631" s="140" t="s">
        <v>1223</v>
      </c>
      <c r="G5631" s="141" t="s">
        <v>6401</v>
      </c>
      <c r="H5631" s="140" t="s">
        <v>6312</v>
      </c>
      <c r="I5631" s="140" t="s">
        <v>6313</v>
      </c>
      <c r="J5631" s="140" t="s">
        <v>6314</v>
      </c>
      <c r="K5631" s="140" t="s">
        <v>6402</v>
      </c>
    </row>
    <row r="5632">
      <c r="A5632" s="140" t="s">
        <v>13422</v>
      </c>
      <c r="B5632" s="140">
        <v>72191.0</v>
      </c>
      <c r="C5632" s="140" t="s">
        <v>13426</v>
      </c>
      <c r="D5632" s="140" t="s">
        <v>6309</v>
      </c>
      <c r="E5632" s="140" t="s">
        <v>1223</v>
      </c>
      <c r="F5632" s="140" t="s">
        <v>1223</v>
      </c>
      <c r="G5632" s="141" t="s">
        <v>6401</v>
      </c>
      <c r="H5632" s="140" t="s">
        <v>6312</v>
      </c>
      <c r="I5632" s="140" t="s">
        <v>6313</v>
      </c>
      <c r="J5632" s="140" t="s">
        <v>6314</v>
      </c>
      <c r="K5632" s="140" t="s">
        <v>6402</v>
      </c>
    </row>
    <row r="5633">
      <c r="A5633" s="140" t="s">
        <v>13422</v>
      </c>
      <c r="B5633" s="140">
        <v>70302.0</v>
      </c>
      <c r="C5633" s="140" t="s">
        <v>13427</v>
      </c>
      <c r="D5633" s="140" t="s">
        <v>6309</v>
      </c>
      <c r="E5633" s="140" t="s">
        <v>1223</v>
      </c>
      <c r="F5633" s="140" t="s">
        <v>1223</v>
      </c>
      <c r="G5633" s="141" t="s">
        <v>6401</v>
      </c>
      <c r="H5633" s="140" t="s">
        <v>6312</v>
      </c>
      <c r="I5633" s="140" t="s">
        <v>6313</v>
      </c>
      <c r="J5633" s="140" t="s">
        <v>6314</v>
      </c>
      <c r="K5633" s="140" t="s">
        <v>6402</v>
      </c>
    </row>
    <row r="5634">
      <c r="A5634" s="140" t="s">
        <v>13422</v>
      </c>
      <c r="B5634" s="140">
        <v>60136.0</v>
      </c>
      <c r="C5634" s="140" t="s">
        <v>13428</v>
      </c>
      <c r="D5634" s="140" t="s">
        <v>6309</v>
      </c>
      <c r="E5634" s="140" t="s">
        <v>47</v>
      </c>
      <c r="F5634" s="140" t="s">
        <v>7376</v>
      </c>
      <c r="G5634" s="141" t="s">
        <v>6401</v>
      </c>
      <c r="H5634" s="140" t="s">
        <v>6312</v>
      </c>
      <c r="I5634" s="140" t="s">
        <v>6313</v>
      </c>
      <c r="J5634" s="140" t="s">
        <v>6314</v>
      </c>
      <c r="K5634" s="140" t="s">
        <v>6402</v>
      </c>
    </row>
    <row r="5635">
      <c r="A5635" s="140" t="s">
        <v>13422</v>
      </c>
      <c r="B5635" s="140">
        <v>64080.0</v>
      </c>
      <c r="C5635" s="140" t="s">
        <v>13429</v>
      </c>
      <c r="D5635" s="140" t="s">
        <v>6309</v>
      </c>
      <c r="E5635" s="140" t="s">
        <v>47</v>
      </c>
      <c r="F5635" s="140" t="s">
        <v>7376</v>
      </c>
      <c r="G5635" s="141" t="s">
        <v>6401</v>
      </c>
      <c r="H5635" s="140" t="s">
        <v>6312</v>
      </c>
      <c r="I5635" s="140" t="s">
        <v>6313</v>
      </c>
      <c r="J5635" s="140" t="s">
        <v>6314</v>
      </c>
      <c r="K5635" s="140" t="s">
        <v>6402</v>
      </c>
    </row>
    <row r="5636">
      <c r="A5636" s="140" t="s">
        <v>13422</v>
      </c>
      <c r="B5636" s="140">
        <v>36860.0</v>
      </c>
      <c r="C5636" s="140" t="s">
        <v>13430</v>
      </c>
      <c r="D5636" s="140" t="s">
        <v>6309</v>
      </c>
      <c r="E5636" s="140" t="s">
        <v>47</v>
      </c>
      <c r="F5636" s="140" t="s">
        <v>7376</v>
      </c>
      <c r="G5636" s="141" t="s">
        <v>6401</v>
      </c>
      <c r="H5636" s="140" t="s">
        <v>6312</v>
      </c>
      <c r="I5636" s="140" t="s">
        <v>6313</v>
      </c>
      <c r="J5636" s="140" t="s">
        <v>6314</v>
      </c>
      <c r="K5636" s="140" t="s">
        <v>6402</v>
      </c>
    </row>
    <row r="5637">
      <c r="A5637" s="140" t="s">
        <v>13422</v>
      </c>
      <c r="B5637" s="140">
        <v>57501.0</v>
      </c>
      <c r="C5637" s="140" t="s">
        <v>13431</v>
      </c>
      <c r="D5637" s="140" t="s">
        <v>6309</v>
      </c>
      <c r="E5637" s="140" t="s">
        <v>47</v>
      </c>
      <c r="F5637" s="140" t="s">
        <v>7376</v>
      </c>
      <c r="G5637" s="141" t="s">
        <v>6401</v>
      </c>
      <c r="H5637" s="140" t="s">
        <v>6312</v>
      </c>
      <c r="I5637" s="140" t="s">
        <v>6313</v>
      </c>
      <c r="J5637" s="140" t="s">
        <v>6314</v>
      </c>
      <c r="K5637" s="140" t="s">
        <v>6402</v>
      </c>
    </row>
    <row r="5638">
      <c r="A5638" s="140" t="s">
        <v>13422</v>
      </c>
      <c r="B5638" s="140">
        <v>59611.0</v>
      </c>
      <c r="C5638" s="140" t="s">
        <v>13432</v>
      </c>
      <c r="D5638" s="140" t="s">
        <v>6309</v>
      </c>
      <c r="E5638" s="140" t="s">
        <v>47</v>
      </c>
      <c r="F5638" s="140" t="s">
        <v>7376</v>
      </c>
      <c r="G5638" s="141" t="s">
        <v>6401</v>
      </c>
      <c r="H5638" s="140" t="s">
        <v>6312</v>
      </c>
      <c r="I5638" s="140" t="s">
        <v>6313</v>
      </c>
      <c r="J5638" s="140" t="s">
        <v>6314</v>
      </c>
      <c r="K5638" s="140" t="s">
        <v>6402</v>
      </c>
    </row>
    <row r="5639">
      <c r="A5639" s="140" t="s">
        <v>13422</v>
      </c>
      <c r="B5639" s="140">
        <v>57518.0</v>
      </c>
      <c r="C5639" s="140" t="s">
        <v>13433</v>
      </c>
      <c r="D5639" s="140" t="s">
        <v>6309</v>
      </c>
      <c r="E5639" s="140" t="s">
        <v>47</v>
      </c>
      <c r="F5639" s="140" t="s">
        <v>7376</v>
      </c>
      <c r="G5639" s="141" t="s">
        <v>6401</v>
      </c>
      <c r="H5639" s="140" t="s">
        <v>6312</v>
      </c>
      <c r="I5639" s="140" t="s">
        <v>6313</v>
      </c>
      <c r="J5639" s="140" t="s">
        <v>6314</v>
      </c>
      <c r="K5639" s="140" t="s">
        <v>6402</v>
      </c>
    </row>
    <row r="5640">
      <c r="A5640" s="140" t="s">
        <v>13422</v>
      </c>
      <c r="B5640" s="140">
        <v>68460.0</v>
      </c>
      <c r="C5640" s="140" t="s">
        <v>13434</v>
      </c>
      <c r="D5640" s="140" t="s">
        <v>6309</v>
      </c>
      <c r="E5640" s="140" t="s">
        <v>47</v>
      </c>
      <c r="F5640" s="140" t="s">
        <v>7376</v>
      </c>
      <c r="G5640" s="141" t="s">
        <v>6401</v>
      </c>
      <c r="H5640" s="140" t="s">
        <v>6312</v>
      </c>
      <c r="I5640" s="140" t="s">
        <v>6313</v>
      </c>
      <c r="J5640" s="140" t="s">
        <v>6314</v>
      </c>
      <c r="K5640" s="140" t="s">
        <v>6402</v>
      </c>
    </row>
    <row r="5641">
      <c r="A5641" s="140" t="s">
        <v>13422</v>
      </c>
      <c r="B5641" s="140">
        <v>53251.0</v>
      </c>
      <c r="C5641" s="140" t="s">
        <v>13435</v>
      </c>
      <c r="D5641" s="140" t="s">
        <v>6309</v>
      </c>
      <c r="E5641" s="140" t="s">
        <v>47</v>
      </c>
      <c r="F5641" s="140" t="s">
        <v>7376</v>
      </c>
      <c r="G5641" s="141" t="s">
        <v>6401</v>
      </c>
      <c r="H5641" s="140" t="s">
        <v>6312</v>
      </c>
      <c r="I5641" s="140" t="s">
        <v>6313</v>
      </c>
      <c r="J5641" s="140" t="s">
        <v>6314</v>
      </c>
      <c r="K5641" s="140" t="s">
        <v>6402</v>
      </c>
    </row>
    <row r="5642">
      <c r="A5642" s="140" t="s">
        <v>13422</v>
      </c>
      <c r="B5642" s="140">
        <v>62512.0</v>
      </c>
      <c r="C5642" s="140" t="s">
        <v>13436</v>
      </c>
      <c r="D5642" s="140" t="s">
        <v>6309</v>
      </c>
      <c r="E5642" s="140" t="s">
        <v>47</v>
      </c>
      <c r="F5642" s="140" t="s">
        <v>7376</v>
      </c>
      <c r="G5642" s="141" t="s">
        <v>6401</v>
      </c>
      <c r="H5642" s="140" t="s">
        <v>6312</v>
      </c>
      <c r="I5642" s="140" t="s">
        <v>6313</v>
      </c>
      <c r="J5642" s="140" t="s">
        <v>6314</v>
      </c>
      <c r="K5642" s="140" t="s">
        <v>6402</v>
      </c>
    </row>
    <row r="5643">
      <c r="A5643" s="140" t="s">
        <v>13422</v>
      </c>
      <c r="B5643" s="140">
        <v>62352.0</v>
      </c>
      <c r="C5643" s="140" t="s">
        <v>13437</v>
      </c>
      <c r="D5643" s="140" t="s">
        <v>6309</v>
      </c>
      <c r="E5643" s="140" t="s">
        <v>47</v>
      </c>
      <c r="F5643" s="140" t="s">
        <v>7376</v>
      </c>
      <c r="G5643" s="141" t="s">
        <v>6401</v>
      </c>
      <c r="H5643" s="140" t="s">
        <v>6312</v>
      </c>
      <c r="I5643" s="140" t="s">
        <v>6313</v>
      </c>
      <c r="J5643" s="140" t="s">
        <v>6314</v>
      </c>
      <c r="K5643" s="140" t="s">
        <v>6402</v>
      </c>
    </row>
    <row r="5644">
      <c r="A5644" s="140" t="s">
        <v>13422</v>
      </c>
      <c r="B5644" s="140">
        <v>49063.0</v>
      </c>
      <c r="C5644" s="140" t="s">
        <v>13438</v>
      </c>
      <c r="D5644" s="140" t="s">
        <v>6309</v>
      </c>
      <c r="E5644" s="140" t="s">
        <v>47</v>
      </c>
      <c r="F5644" s="140" t="s">
        <v>7376</v>
      </c>
      <c r="G5644" s="141" t="s">
        <v>6401</v>
      </c>
      <c r="H5644" s="140" t="s">
        <v>6312</v>
      </c>
      <c r="I5644" s="140" t="s">
        <v>6313</v>
      </c>
      <c r="J5644" s="140" t="s">
        <v>6314</v>
      </c>
      <c r="K5644" s="140" t="s">
        <v>6402</v>
      </c>
    </row>
    <row r="5645">
      <c r="A5645" s="140" t="s">
        <v>13422</v>
      </c>
      <c r="B5645" s="140">
        <v>49070.0</v>
      </c>
      <c r="C5645" s="140" t="s">
        <v>13439</v>
      </c>
      <c r="D5645" s="140" t="s">
        <v>6309</v>
      </c>
      <c r="E5645" s="140" t="s">
        <v>47</v>
      </c>
      <c r="F5645" s="140" t="s">
        <v>7376</v>
      </c>
      <c r="G5645" s="141" t="s">
        <v>6401</v>
      </c>
      <c r="H5645" s="140" t="s">
        <v>6312</v>
      </c>
      <c r="I5645" s="140" t="s">
        <v>6313</v>
      </c>
      <c r="J5645" s="140" t="s">
        <v>6314</v>
      </c>
      <c r="K5645" s="140" t="s">
        <v>6402</v>
      </c>
    </row>
    <row r="5646">
      <c r="A5646" s="140" t="s">
        <v>13422</v>
      </c>
      <c r="B5646" s="140">
        <v>62628.0</v>
      </c>
      <c r="C5646" s="140" t="s">
        <v>13440</v>
      </c>
      <c r="D5646" s="140" t="s">
        <v>6309</v>
      </c>
      <c r="E5646" s="140" t="s">
        <v>47</v>
      </c>
      <c r="F5646" s="140" t="s">
        <v>7376</v>
      </c>
      <c r="G5646" s="141" t="s">
        <v>6401</v>
      </c>
      <c r="H5646" s="140" t="s">
        <v>6312</v>
      </c>
      <c r="I5646" s="140" t="s">
        <v>6313</v>
      </c>
      <c r="J5646" s="140" t="s">
        <v>6314</v>
      </c>
      <c r="K5646" s="140" t="s">
        <v>6402</v>
      </c>
    </row>
    <row r="5647">
      <c r="A5647" s="140" t="s">
        <v>13422</v>
      </c>
      <c r="B5647" s="140">
        <v>45744.0</v>
      </c>
      <c r="C5647" s="140" t="s">
        <v>13441</v>
      </c>
      <c r="D5647" s="140" t="s">
        <v>6309</v>
      </c>
      <c r="E5647" s="140" t="s">
        <v>47</v>
      </c>
      <c r="F5647" s="140" t="s">
        <v>7376</v>
      </c>
      <c r="G5647" s="141" t="s">
        <v>6401</v>
      </c>
      <c r="H5647" s="140" t="s">
        <v>6312</v>
      </c>
      <c r="I5647" s="140" t="s">
        <v>6313</v>
      </c>
      <c r="J5647" s="140" t="s">
        <v>6314</v>
      </c>
      <c r="K5647" s="140" t="s">
        <v>6402</v>
      </c>
    </row>
    <row r="5648">
      <c r="A5648" s="140" t="s">
        <v>13422</v>
      </c>
      <c r="B5648" s="140">
        <v>45720.0</v>
      </c>
      <c r="C5648" s="140" t="s">
        <v>13442</v>
      </c>
      <c r="D5648" s="140" t="s">
        <v>6309</v>
      </c>
      <c r="E5648" s="140" t="s">
        <v>47</v>
      </c>
      <c r="F5648" s="140" t="s">
        <v>7376</v>
      </c>
      <c r="G5648" s="141" t="s">
        <v>6401</v>
      </c>
      <c r="H5648" s="140" t="s">
        <v>6312</v>
      </c>
      <c r="I5648" s="140" t="s">
        <v>6313</v>
      </c>
      <c r="J5648" s="140" t="s">
        <v>6314</v>
      </c>
      <c r="K5648" s="140" t="s">
        <v>6402</v>
      </c>
    </row>
    <row r="5649">
      <c r="A5649" s="140" t="s">
        <v>13422</v>
      </c>
      <c r="B5649" s="140">
        <v>57303.0</v>
      </c>
      <c r="C5649" s="140" t="s">
        <v>13443</v>
      </c>
      <c r="D5649" s="140" t="s">
        <v>6309</v>
      </c>
      <c r="E5649" s="140" t="s">
        <v>47</v>
      </c>
      <c r="F5649" s="140" t="s">
        <v>7376</v>
      </c>
      <c r="G5649" s="141" t="s">
        <v>6401</v>
      </c>
      <c r="H5649" s="140" t="s">
        <v>6312</v>
      </c>
      <c r="I5649" s="140" t="s">
        <v>6313</v>
      </c>
      <c r="J5649" s="140" t="s">
        <v>6314</v>
      </c>
      <c r="K5649" s="140" t="s">
        <v>6402</v>
      </c>
    </row>
    <row r="5650">
      <c r="A5650" s="140" t="s">
        <v>13422</v>
      </c>
      <c r="B5650" s="140">
        <v>63731.0</v>
      </c>
      <c r="C5650" s="140" t="s">
        <v>13444</v>
      </c>
      <c r="D5650" s="140" t="s">
        <v>6309</v>
      </c>
      <c r="E5650" s="140" t="s">
        <v>47</v>
      </c>
      <c r="F5650" s="140" t="s">
        <v>7376</v>
      </c>
      <c r="G5650" s="141" t="s">
        <v>6401</v>
      </c>
      <c r="H5650" s="140" t="s">
        <v>6312</v>
      </c>
      <c r="I5650" s="140" t="s">
        <v>6313</v>
      </c>
      <c r="J5650" s="140" t="s">
        <v>6314</v>
      </c>
      <c r="K5650" s="140" t="s">
        <v>6402</v>
      </c>
    </row>
    <row r="5651">
      <c r="A5651" s="140" t="s">
        <v>13422</v>
      </c>
      <c r="B5651" s="140">
        <v>60464.0</v>
      </c>
      <c r="C5651" s="140" t="s">
        <v>13445</v>
      </c>
      <c r="D5651" s="140" t="s">
        <v>6309</v>
      </c>
      <c r="E5651" s="140" t="s">
        <v>47</v>
      </c>
      <c r="F5651" s="140" t="s">
        <v>7376</v>
      </c>
      <c r="G5651" s="141" t="s">
        <v>6401</v>
      </c>
      <c r="H5651" s="140" t="s">
        <v>6312</v>
      </c>
      <c r="I5651" s="140" t="s">
        <v>6313</v>
      </c>
      <c r="J5651" s="140" t="s">
        <v>6314</v>
      </c>
      <c r="K5651" s="140" t="s">
        <v>6402</v>
      </c>
    </row>
    <row r="5652">
      <c r="A5652" s="140" t="s">
        <v>13422</v>
      </c>
      <c r="B5652" s="140">
        <v>60730.0</v>
      </c>
      <c r="C5652" s="140" t="s">
        <v>13446</v>
      </c>
      <c r="D5652" s="140" t="s">
        <v>6309</v>
      </c>
      <c r="E5652" s="140" t="s">
        <v>47</v>
      </c>
      <c r="F5652" s="140" t="s">
        <v>7376</v>
      </c>
      <c r="G5652" s="141" t="s">
        <v>6401</v>
      </c>
      <c r="H5652" s="140" t="s">
        <v>6312</v>
      </c>
      <c r="I5652" s="140" t="s">
        <v>6313</v>
      </c>
      <c r="J5652" s="140" t="s">
        <v>6314</v>
      </c>
      <c r="K5652" s="140" t="s">
        <v>6402</v>
      </c>
    </row>
    <row r="5653">
      <c r="A5653" s="140" t="s">
        <v>13422</v>
      </c>
      <c r="B5653" s="140">
        <v>57297.0</v>
      </c>
      <c r="C5653" s="140" t="s">
        <v>13447</v>
      </c>
      <c r="D5653" s="140" t="s">
        <v>6309</v>
      </c>
      <c r="E5653" s="140" t="s">
        <v>47</v>
      </c>
      <c r="F5653" s="140" t="s">
        <v>7376</v>
      </c>
      <c r="G5653" s="141" t="s">
        <v>6401</v>
      </c>
      <c r="H5653" s="140" t="s">
        <v>6312</v>
      </c>
      <c r="I5653" s="140" t="s">
        <v>6313</v>
      </c>
      <c r="J5653" s="140" t="s">
        <v>6314</v>
      </c>
      <c r="K5653" s="140" t="s">
        <v>6402</v>
      </c>
    </row>
    <row r="5654">
      <c r="A5654" s="140" t="s">
        <v>13422</v>
      </c>
      <c r="B5654" s="140">
        <v>47465.0</v>
      </c>
      <c r="C5654" s="140" t="s">
        <v>13448</v>
      </c>
      <c r="D5654" s="140" t="s">
        <v>6309</v>
      </c>
      <c r="E5654" s="140" t="s">
        <v>47</v>
      </c>
      <c r="F5654" s="140" t="s">
        <v>7376</v>
      </c>
      <c r="G5654" s="141" t="s">
        <v>6401</v>
      </c>
      <c r="H5654" s="140" t="s">
        <v>6312</v>
      </c>
      <c r="I5654" s="140" t="s">
        <v>6313</v>
      </c>
      <c r="J5654" s="140" t="s">
        <v>6314</v>
      </c>
      <c r="K5654" s="140" t="s">
        <v>6402</v>
      </c>
    </row>
    <row r="5655">
      <c r="A5655" s="140" t="s">
        <v>13422</v>
      </c>
      <c r="B5655" s="140">
        <v>49360.0</v>
      </c>
      <c r="C5655" s="140" t="s">
        <v>13449</v>
      </c>
      <c r="D5655" s="140" t="s">
        <v>6309</v>
      </c>
      <c r="E5655" s="140" t="s">
        <v>47</v>
      </c>
      <c r="F5655" s="140" t="s">
        <v>7376</v>
      </c>
      <c r="G5655" s="141" t="s">
        <v>6401</v>
      </c>
      <c r="H5655" s="140" t="s">
        <v>6312</v>
      </c>
      <c r="I5655" s="140" t="s">
        <v>6313</v>
      </c>
      <c r="J5655" s="140" t="s">
        <v>6314</v>
      </c>
      <c r="K5655" s="140" t="s">
        <v>6402</v>
      </c>
    </row>
    <row r="5656">
      <c r="A5656" s="140" t="s">
        <v>13422</v>
      </c>
      <c r="B5656" s="140">
        <v>39279.0</v>
      </c>
      <c r="C5656" s="140" t="s">
        <v>13450</v>
      </c>
      <c r="D5656" s="140" t="s">
        <v>6309</v>
      </c>
      <c r="E5656" s="140" t="s">
        <v>47</v>
      </c>
      <c r="F5656" s="140" t="s">
        <v>7376</v>
      </c>
      <c r="G5656" s="141" t="s">
        <v>6401</v>
      </c>
      <c r="H5656" s="140" t="s">
        <v>6312</v>
      </c>
      <c r="I5656" s="140" t="s">
        <v>6313</v>
      </c>
      <c r="J5656" s="140" t="s">
        <v>6314</v>
      </c>
      <c r="K5656" s="140" t="s">
        <v>6402</v>
      </c>
    </row>
    <row r="5657">
      <c r="A5657" s="140" t="s">
        <v>13422</v>
      </c>
      <c r="B5657" s="140">
        <v>31129.0</v>
      </c>
      <c r="C5657" s="140" t="s">
        <v>13451</v>
      </c>
      <c r="D5657" s="140" t="s">
        <v>6309</v>
      </c>
      <c r="E5657" s="140" t="s">
        <v>47</v>
      </c>
      <c r="F5657" s="140" t="s">
        <v>7376</v>
      </c>
      <c r="G5657" s="141" t="s">
        <v>6401</v>
      </c>
      <c r="H5657" s="140" t="s">
        <v>6312</v>
      </c>
      <c r="I5657" s="140" t="s">
        <v>6313</v>
      </c>
      <c r="J5657" s="140" t="s">
        <v>6314</v>
      </c>
      <c r="K5657" s="140" t="s">
        <v>6402</v>
      </c>
    </row>
    <row r="5658">
      <c r="A5658" s="140" t="s">
        <v>13422</v>
      </c>
      <c r="B5658" s="140">
        <v>45935.0</v>
      </c>
      <c r="C5658" s="140" t="s">
        <v>13452</v>
      </c>
      <c r="D5658" s="140" t="s">
        <v>6309</v>
      </c>
      <c r="E5658" s="140" t="s">
        <v>47</v>
      </c>
      <c r="F5658" s="140" t="s">
        <v>7376</v>
      </c>
      <c r="G5658" s="141" t="s">
        <v>6401</v>
      </c>
      <c r="H5658" s="140" t="s">
        <v>6312</v>
      </c>
      <c r="I5658" s="140" t="s">
        <v>6313</v>
      </c>
      <c r="J5658" s="140" t="s">
        <v>6314</v>
      </c>
      <c r="K5658" s="140" t="s">
        <v>6402</v>
      </c>
    </row>
    <row r="5659">
      <c r="A5659" s="140" t="s">
        <v>13422</v>
      </c>
      <c r="B5659" s="140">
        <v>52063.0</v>
      </c>
      <c r="C5659" s="140" t="s">
        <v>13453</v>
      </c>
      <c r="D5659" s="140" t="s">
        <v>6309</v>
      </c>
      <c r="E5659" s="140" t="s">
        <v>47</v>
      </c>
      <c r="F5659" s="140" t="s">
        <v>7376</v>
      </c>
      <c r="G5659" s="141" t="s">
        <v>6401</v>
      </c>
      <c r="H5659" s="140" t="s">
        <v>6312</v>
      </c>
      <c r="I5659" s="140" t="s">
        <v>6313</v>
      </c>
      <c r="J5659" s="140" t="s">
        <v>6314</v>
      </c>
      <c r="K5659" s="140" t="s">
        <v>6402</v>
      </c>
    </row>
    <row r="5660">
      <c r="A5660" s="140" t="s">
        <v>13422</v>
      </c>
      <c r="B5660" s="140">
        <v>52056.0</v>
      </c>
      <c r="C5660" s="140" t="s">
        <v>13454</v>
      </c>
      <c r="D5660" s="140" t="s">
        <v>6309</v>
      </c>
      <c r="E5660" s="140" t="s">
        <v>47</v>
      </c>
      <c r="F5660" s="140" t="s">
        <v>7376</v>
      </c>
      <c r="G5660" s="141" t="s">
        <v>6401</v>
      </c>
      <c r="H5660" s="140" t="s">
        <v>6312</v>
      </c>
      <c r="I5660" s="140" t="s">
        <v>6313</v>
      </c>
      <c r="J5660" s="140" t="s">
        <v>6314</v>
      </c>
      <c r="K5660" s="140" t="s">
        <v>6402</v>
      </c>
    </row>
    <row r="5661">
      <c r="A5661" s="140" t="s">
        <v>13422</v>
      </c>
      <c r="B5661" s="140">
        <v>63724.0</v>
      </c>
      <c r="C5661" s="140" t="s">
        <v>13455</v>
      </c>
      <c r="D5661" s="140" t="s">
        <v>6309</v>
      </c>
      <c r="E5661" s="140" t="s">
        <v>47</v>
      </c>
      <c r="F5661" s="140" t="s">
        <v>7376</v>
      </c>
      <c r="G5661" s="141" t="s">
        <v>6401</v>
      </c>
      <c r="H5661" s="140" t="s">
        <v>6312</v>
      </c>
      <c r="I5661" s="140" t="s">
        <v>6313</v>
      </c>
      <c r="J5661" s="140" t="s">
        <v>6314</v>
      </c>
      <c r="K5661" s="140" t="s">
        <v>6402</v>
      </c>
    </row>
    <row r="5662">
      <c r="A5662" s="140" t="s">
        <v>13422</v>
      </c>
      <c r="B5662" s="140">
        <v>57280.0</v>
      </c>
      <c r="C5662" s="140" t="s">
        <v>13456</v>
      </c>
      <c r="D5662" s="140" t="s">
        <v>6309</v>
      </c>
      <c r="E5662" s="140" t="s">
        <v>47</v>
      </c>
      <c r="F5662" s="140" t="s">
        <v>7376</v>
      </c>
      <c r="G5662" s="141" t="s">
        <v>6401</v>
      </c>
      <c r="H5662" s="140" t="s">
        <v>6312</v>
      </c>
      <c r="I5662" s="140" t="s">
        <v>6313</v>
      </c>
      <c r="J5662" s="140" t="s">
        <v>6314</v>
      </c>
      <c r="K5662" s="140" t="s">
        <v>6402</v>
      </c>
    </row>
    <row r="5663">
      <c r="A5663" s="140" t="s">
        <v>13422</v>
      </c>
      <c r="B5663" s="140">
        <v>63717.0</v>
      </c>
      <c r="C5663" s="140" t="s">
        <v>13457</v>
      </c>
      <c r="D5663" s="140" t="s">
        <v>6309</v>
      </c>
      <c r="E5663" s="140" t="s">
        <v>47</v>
      </c>
      <c r="F5663" s="140" t="s">
        <v>7376</v>
      </c>
      <c r="G5663" s="141" t="s">
        <v>6401</v>
      </c>
      <c r="H5663" s="140" t="s">
        <v>6312</v>
      </c>
      <c r="I5663" s="140" t="s">
        <v>6313</v>
      </c>
      <c r="J5663" s="140" t="s">
        <v>6314</v>
      </c>
      <c r="K5663" s="140" t="s">
        <v>6402</v>
      </c>
    </row>
    <row r="5664">
      <c r="A5664" s="140" t="s">
        <v>13422</v>
      </c>
      <c r="B5664" s="140">
        <v>57273.0</v>
      </c>
      <c r="C5664" s="140" t="s">
        <v>13458</v>
      </c>
      <c r="D5664" s="140" t="s">
        <v>6309</v>
      </c>
      <c r="E5664" s="140" t="s">
        <v>47</v>
      </c>
      <c r="F5664" s="140" t="s">
        <v>7376</v>
      </c>
      <c r="G5664" s="141" t="s">
        <v>6401</v>
      </c>
      <c r="H5664" s="140" t="s">
        <v>6312</v>
      </c>
      <c r="I5664" s="140" t="s">
        <v>6313</v>
      </c>
      <c r="J5664" s="140" t="s">
        <v>6314</v>
      </c>
      <c r="K5664" s="140" t="s">
        <v>6402</v>
      </c>
    </row>
    <row r="5665">
      <c r="A5665" s="140" t="s">
        <v>13422</v>
      </c>
      <c r="B5665" s="140">
        <v>66633.0</v>
      </c>
      <c r="C5665" s="140" t="s">
        <v>13459</v>
      </c>
      <c r="D5665" s="140" t="s">
        <v>6309</v>
      </c>
      <c r="E5665" s="140" t="s">
        <v>47</v>
      </c>
      <c r="F5665" s="140" t="s">
        <v>7376</v>
      </c>
      <c r="G5665" s="141" t="s">
        <v>6401</v>
      </c>
      <c r="H5665" s="140" t="s">
        <v>6312</v>
      </c>
      <c r="I5665" s="140" t="s">
        <v>6313</v>
      </c>
      <c r="J5665" s="140" t="s">
        <v>6314</v>
      </c>
      <c r="K5665" s="140" t="s">
        <v>6402</v>
      </c>
    </row>
    <row r="5666">
      <c r="A5666" s="140" t="s">
        <v>13422</v>
      </c>
      <c r="B5666" s="140">
        <v>57266.0</v>
      </c>
      <c r="C5666" s="140" t="s">
        <v>13460</v>
      </c>
      <c r="D5666" s="140" t="s">
        <v>6309</v>
      </c>
      <c r="E5666" s="140" t="s">
        <v>47</v>
      </c>
      <c r="F5666" s="140" t="s">
        <v>7376</v>
      </c>
      <c r="G5666" s="141" t="s">
        <v>6401</v>
      </c>
      <c r="H5666" s="140" t="s">
        <v>6312</v>
      </c>
      <c r="I5666" s="140" t="s">
        <v>6313</v>
      </c>
      <c r="J5666" s="140" t="s">
        <v>6314</v>
      </c>
      <c r="K5666" s="140" t="s">
        <v>6402</v>
      </c>
    </row>
    <row r="5667">
      <c r="A5667" s="140" t="s">
        <v>13422</v>
      </c>
      <c r="B5667" s="140">
        <v>67142.0</v>
      </c>
      <c r="C5667" s="140" t="s">
        <v>13461</v>
      </c>
      <c r="D5667" s="140" t="s">
        <v>6309</v>
      </c>
      <c r="E5667" s="140" t="s">
        <v>47</v>
      </c>
      <c r="F5667" s="140" t="s">
        <v>7376</v>
      </c>
      <c r="G5667" s="141" t="s">
        <v>6401</v>
      </c>
      <c r="H5667" s="140" t="s">
        <v>6312</v>
      </c>
      <c r="I5667" s="140" t="s">
        <v>6313</v>
      </c>
      <c r="J5667" s="140" t="s">
        <v>6314</v>
      </c>
      <c r="K5667" s="140" t="s">
        <v>6402</v>
      </c>
    </row>
    <row r="5668">
      <c r="A5668" s="140" t="s">
        <v>13422</v>
      </c>
      <c r="B5668" s="140">
        <v>67135.0</v>
      </c>
      <c r="C5668" s="140" t="s">
        <v>13462</v>
      </c>
      <c r="D5668" s="140" t="s">
        <v>6309</v>
      </c>
      <c r="E5668" s="140" t="s">
        <v>47</v>
      </c>
      <c r="F5668" s="140" t="s">
        <v>7376</v>
      </c>
      <c r="G5668" s="141" t="s">
        <v>6401</v>
      </c>
      <c r="H5668" s="140" t="s">
        <v>6312</v>
      </c>
      <c r="I5668" s="140" t="s">
        <v>6313</v>
      </c>
      <c r="J5668" s="140" t="s">
        <v>6314</v>
      </c>
      <c r="K5668" s="140" t="s">
        <v>6402</v>
      </c>
    </row>
    <row r="5669">
      <c r="A5669" s="140" t="s">
        <v>13422</v>
      </c>
      <c r="B5669" s="140">
        <v>56948.0</v>
      </c>
      <c r="C5669" s="140" t="s">
        <v>13463</v>
      </c>
      <c r="D5669" s="140" t="s">
        <v>6309</v>
      </c>
      <c r="E5669" s="140" t="s">
        <v>47</v>
      </c>
      <c r="F5669" s="140" t="s">
        <v>7376</v>
      </c>
      <c r="G5669" s="141" t="s">
        <v>6401</v>
      </c>
      <c r="H5669" s="140" t="s">
        <v>6312</v>
      </c>
      <c r="I5669" s="140" t="s">
        <v>6313</v>
      </c>
      <c r="J5669" s="140" t="s">
        <v>6314</v>
      </c>
      <c r="K5669" s="140" t="s">
        <v>6402</v>
      </c>
    </row>
    <row r="5670">
      <c r="A5670" s="140" t="s">
        <v>13422</v>
      </c>
      <c r="B5670" s="140">
        <v>57556.0</v>
      </c>
      <c r="C5670" s="140" t="s">
        <v>13464</v>
      </c>
      <c r="D5670" s="140" t="s">
        <v>6309</v>
      </c>
      <c r="E5670" s="140" t="s">
        <v>47</v>
      </c>
      <c r="F5670" s="140" t="s">
        <v>7376</v>
      </c>
      <c r="G5670" s="141" t="s">
        <v>6401</v>
      </c>
      <c r="H5670" s="140" t="s">
        <v>6312</v>
      </c>
      <c r="I5670" s="140" t="s">
        <v>6313</v>
      </c>
      <c r="J5670" s="140" t="s">
        <v>6314</v>
      </c>
      <c r="K5670" s="140" t="s">
        <v>6402</v>
      </c>
    </row>
    <row r="5671">
      <c r="A5671" s="140" t="s">
        <v>13422</v>
      </c>
      <c r="B5671" s="140">
        <v>57563.0</v>
      </c>
      <c r="C5671" s="140" t="s">
        <v>13465</v>
      </c>
      <c r="D5671" s="140" t="s">
        <v>6309</v>
      </c>
      <c r="E5671" s="140" t="s">
        <v>47</v>
      </c>
      <c r="F5671" s="140" t="s">
        <v>7376</v>
      </c>
      <c r="G5671" s="141" t="s">
        <v>6401</v>
      </c>
      <c r="H5671" s="140" t="s">
        <v>6312</v>
      </c>
      <c r="I5671" s="140" t="s">
        <v>6313</v>
      </c>
      <c r="J5671" s="140" t="s">
        <v>6314</v>
      </c>
      <c r="K5671" s="140" t="s">
        <v>6402</v>
      </c>
    </row>
    <row r="5672">
      <c r="A5672" s="140" t="s">
        <v>13422</v>
      </c>
      <c r="B5672" s="140">
        <v>57792.0</v>
      </c>
      <c r="C5672" s="140" t="s">
        <v>13466</v>
      </c>
      <c r="D5672" s="140" t="s">
        <v>6309</v>
      </c>
      <c r="E5672" s="140" t="s">
        <v>47</v>
      </c>
      <c r="F5672" s="140" t="s">
        <v>7376</v>
      </c>
      <c r="G5672" s="141" t="s">
        <v>6401</v>
      </c>
      <c r="H5672" s="140" t="s">
        <v>6312</v>
      </c>
      <c r="I5672" s="140" t="s">
        <v>6313</v>
      </c>
      <c r="J5672" s="140" t="s">
        <v>6314</v>
      </c>
      <c r="K5672" s="140" t="s">
        <v>6402</v>
      </c>
    </row>
    <row r="5673">
      <c r="A5673" s="140" t="s">
        <v>13422</v>
      </c>
      <c r="B5673" s="140">
        <v>57631.0</v>
      </c>
      <c r="C5673" s="140" t="s">
        <v>13467</v>
      </c>
      <c r="D5673" s="140" t="s">
        <v>6309</v>
      </c>
      <c r="E5673" s="140" t="s">
        <v>47</v>
      </c>
      <c r="F5673" s="140" t="s">
        <v>7376</v>
      </c>
      <c r="G5673" s="141" t="s">
        <v>6401</v>
      </c>
      <c r="H5673" s="140" t="s">
        <v>6312</v>
      </c>
      <c r="I5673" s="140" t="s">
        <v>6313</v>
      </c>
      <c r="J5673" s="140" t="s">
        <v>6314</v>
      </c>
      <c r="K5673" s="140" t="s">
        <v>6402</v>
      </c>
    </row>
    <row r="5674">
      <c r="A5674" s="140" t="s">
        <v>13422</v>
      </c>
      <c r="B5674" s="140">
        <v>58133.0</v>
      </c>
      <c r="C5674" s="140" t="s">
        <v>13468</v>
      </c>
      <c r="D5674" s="140" t="s">
        <v>6309</v>
      </c>
      <c r="E5674" s="140" t="s">
        <v>47</v>
      </c>
      <c r="F5674" s="140" t="s">
        <v>7376</v>
      </c>
      <c r="G5674" s="141" t="s">
        <v>6401</v>
      </c>
      <c r="H5674" s="140" t="s">
        <v>6312</v>
      </c>
      <c r="I5674" s="140" t="s">
        <v>6313</v>
      </c>
      <c r="J5674" s="140" t="s">
        <v>6314</v>
      </c>
      <c r="K5674" s="140" t="s">
        <v>6402</v>
      </c>
    </row>
    <row r="5675">
      <c r="A5675" s="140" t="s">
        <v>13422</v>
      </c>
      <c r="B5675" s="140">
        <v>62338.0</v>
      </c>
      <c r="C5675" s="140" t="s">
        <v>13469</v>
      </c>
      <c r="D5675" s="140" t="s">
        <v>6309</v>
      </c>
      <c r="E5675" s="140" t="s">
        <v>47</v>
      </c>
      <c r="F5675" s="140" t="s">
        <v>7376</v>
      </c>
      <c r="G5675" s="141" t="s">
        <v>6401</v>
      </c>
      <c r="H5675" s="140" t="s">
        <v>6312</v>
      </c>
      <c r="I5675" s="140" t="s">
        <v>6313</v>
      </c>
      <c r="J5675" s="140" t="s">
        <v>6314</v>
      </c>
      <c r="K5675" s="140" t="s">
        <v>6402</v>
      </c>
    </row>
    <row r="5676">
      <c r="A5676" s="140" t="s">
        <v>13422</v>
      </c>
      <c r="B5676" s="140">
        <v>57839.0</v>
      </c>
      <c r="C5676" s="140" t="s">
        <v>13470</v>
      </c>
      <c r="D5676" s="140" t="s">
        <v>6309</v>
      </c>
      <c r="E5676" s="140" t="s">
        <v>47</v>
      </c>
      <c r="F5676" s="140" t="s">
        <v>7376</v>
      </c>
      <c r="G5676" s="141" t="s">
        <v>6401</v>
      </c>
      <c r="H5676" s="140" t="s">
        <v>6312</v>
      </c>
      <c r="I5676" s="140" t="s">
        <v>6313</v>
      </c>
      <c r="J5676" s="140" t="s">
        <v>6314</v>
      </c>
      <c r="K5676" s="140" t="s">
        <v>6402</v>
      </c>
    </row>
    <row r="5677">
      <c r="A5677" s="140" t="s">
        <v>13422</v>
      </c>
      <c r="B5677" s="140">
        <v>53824.0</v>
      </c>
      <c r="C5677" s="140" t="s">
        <v>13471</v>
      </c>
      <c r="D5677" s="140" t="s">
        <v>6309</v>
      </c>
      <c r="E5677" s="140" t="s">
        <v>47</v>
      </c>
      <c r="F5677" s="140" t="s">
        <v>7376</v>
      </c>
      <c r="G5677" s="141" t="s">
        <v>6401</v>
      </c>
      <c r="H5677" s="140" t="s">
        <v>6312</v>
      </c>
      <c r="I5677" s="140" t="s">
        <v>6313</v>
      </c>
      <c r="J5677" s="140" t="s">
        <v>6314</v>
      </c>
      <c r="K5677" s="140" t="s">
        <v>6402</v>
      </c>
    </row>
    <row r="5678">
      <c r="A5678" s="140" t="s">
        <v>13422</v>
      </c>
      <c r="B5678" s="140">
        <v>62345.0</v>
      </c>
      <c r="C5678" s="140" t="s">
        <v>13472</v>
      </c>
      <c r="D5678" s="140" t="s">
        <v>6309</v>
      </c>
      <c r="E5678" s="140" t="s">
        <v>47</v>
      </c>
      <c r="F5678" s="140" t="s">
        <v>7376</v>
      </c>
      <c r="G5678" s="141" t="s">
        <v>6401</v>
      </c>
      <c r="H5678" s="140" t="s">
        <v>6312</v>
      </c>
      <c r="I5678" s="140" t="s">
        <v>6313</v>
      </c>
      <c r="J5678" s="140" t="s">
        <v>6314</v>
      </c>
      <c r="K5678" s="140" t="s">
        <v>6402</v>
      </c>
    </row>
    <row r="5679">
      <c r="A5679" s="140" t="s">
        <v>13422</v>
      </c>
      <c r="B5679" s="140">
        <v>62598.0</v>
      </c>
      <c r="C5679" s="140" t="s">
        <v>13473</v>
      </c>
      <c r="D5679" s="140" t="s">
        <v>6309</v>
      </c>
      <c r="E5679" s="140" t="s">
        <v>47</v>
      </c>
      <c r="F5679" s="140" t="s">
        <v>7376</v>
      </c>
      <c r="G5679" s="141" t="s">
        <v>6401</v>
      </c>
      <c r="H5679" s="140" t="s">
        <v>6312</v>
      </c>
      <c r="I5679" s="140" t="s">
        <v>6313</v>
      </c>
      <c r="J5679" s="140" t="s">
        <v>6314</v>
      </c>
      <c r="K5679" s="140" t="s">
        <v>6402</v>
      </c>
    </row>
    <row r="5680">
      <c r="A5680" s="140" t="s">
        <v>13422</v>
      </c>
      <c r="B5680" s="140">
        <v>57648.0</v>
      </c>
      <c r="C5680" s="140" t="s">
        <v>13474</v>
      </c>
      <c r="D5680" s="140" t="s">
        <v>6309</v>
      </c>
      <c r="E5680" s="140" t="s">
        <v>47</v>
      </c>
      <c r="F5680" s="140" t="s">
        <v>7376</v>
      </c>
      <c r="G5680" s="141" t="s">
        <v>6401</v>
      </c>
      <c r="H5680" s="140" t="s">
        <v>6312</v>
      </c>
      <c r="I5680" s="140" t="s">
        <v>6313</v>
      </c>
      <c r="J5680" s="140" t="s">
        <v>6314</v>
      </c>
      <c r="K5680" s="140" t="s">
        <v>6402</v>
      </c>
    </row>
    <row r="5681">
      <c r="A5681" s="140" t="s">
        <v>13422</v>
      </c>
      <c r="B5681" s="140">
        <v>62611.0</v>
      </c>
      <c r="C5681" s="140" t="s">
        <v>13475</v>
      </c>
      <c r="D5681" s="140" t="s">
        <v>6309</v>
      </c>
      <c r="E5681" s="140" t="s">
        <v>47</v>
      </c>
      <c r="F5681" s="140" t="s">
        <v>7376</v>
      </c>
      <c r="G5681" s="141" t="s">
        <v>6401</v>
      </c>
      <c r="H5681" s="140" t="s">
        <v>6312</v>
      </c>
      <c r="I5681" s="140" t="s">
        <v>6313</v>
      </c>
      <c r="J5681" s="140" t="s">
        <v>6314</v>
      </c>
      <c r="K5681" s="140" t="s">
        <v>6402</v>
      </c>
    </row>
    <row r="5682">
      <c r="A5682" s="140" t="s">
        <v>13422</v>
      </c>
      <c r="B5682" s="140">
        <v>60754.0</v>
      </c>
      <c r="C5682" s="140" t="s">
        <v>13476</v>
      </c>
      <c r="D5682" s="140" t="s">
        <v>6309</v>
      </c>
      <c r="E5682" s="140" t="s">
        <v>47</v>
      </c>
      <c r="F5682" s="140" t="s">
        <v>7376</v>
      </c>
      <c r="G5682" s="141" t="s">
        <v>6401</v>
      </c>
      <c r="H5682" s="140" t="s">
        <v>6312</v>
      </c>
      <c r="I5682" s="140" t="s">
        <v>6313</v>
      </c>
      <c r="J5682" s="140" t="s">
        <v>6314</v>
      </c>
      <c r="K5682" s="140" t="s">
        <v>6402</v>
      </c>
    </row>
    <row r="5683">
      <c r="A5683" s="140" t="s">
        <v>13422</v>
      </c>
      <c r="B5683" s="140">
        <v>60761.0</v>
      </c>
      <c r="C5683" s="140" t="s">
        <v>13477</v>
      </c>
      <c r="D5683" s="140" t="s">
        <v>6309</v>
      </c>
      <c r="E5683" s="140" t="s">
        <v>47</v>
      </c>
      <c r="F5683" s="140" t="s">
        <v>7376</v>
      </c>
      <c r="G5683" s="141" t="s">
        <v>6401</v>
      </c>
      <c r="H5683" s="140" t="s">
        <v>6312</v>
      </c>
      <c r="I5683" s="140" t="s">
        <v>6313</v>
      </c>
      <c r="J5683" s="140" t="s">
        <v>6314</v>
      </c>
      <c r="K5683" s="140" t="s">
        <v>6402</v>
      </c>
    </row>
    <row r="5684">
      <c r="A5684" s="140" t="s">
        <v>13422</v>
      </c>
      <c r="B5684" s="140">
        <v>66671.0</v>
      </c>
      <c r="C5684" s="140" t="s">
        <v>13478</v>
      </c>
      <c r="D5684" s="140" t="s">
        <v>6309</v>
      </c>
      <c r="E5684" s="140" t="s">
        <v>47</v>
      </c>
      <c r="F5684" s="140" t="s">
        <v>7376</v>
      </c>
      <c r="G5684" s="141" t="s">
        <v>6401</v>
      </c>
      <c r="H5684" s="140" t="s">
        <v>6312</v>
      </c>
      <c r="I5684" s="140" t="s">
        <v>6313</v>
      </c>
      <c r="J5684" s="140" t="s">
        <v>6314</v>
      </c>
      <c r="K5684" s="140" t="s">
        <v>6402</v>
      </c>
    </row>
    <row r="5685">
      <c r="A5685" s="140" t="s">
        <v>13422</v>
      </c>
      <c r="B5685" s="140">
        <v>57914.0</v>
      </c>
      <c r="C5685" s="140" t="s">
        <v>13479</v>
      </c>
      <c r="D5685" s="140" t="s">
        <v>6309</v>
      </c>
      <c r="E5685" s="140" t="s">
        <v>47</v>
      </c>
      <c r="F5685" s="140" t="s">
        <v>7376</v>
      </c>
      <c r="G5685" s="141" t="s">
        <v>6401</v>
      </c>
      <c r="H5685" s="140" t="s">
        <v>6312</v>
      </c>
      <c r="I5685" s="140" t="s">
        <v>6313</v>
      </c>
      <c r="J5685" s="140" t="s">
        <v>6314</v>
      </c>
      <c r="K5685" s="140" t="s">
        <v>6402</v>
      </c>
    </row>
    <row r="5686">
      <c r="A5686" s="140" t="s">
        <v>13422</v>
      </c>
      <c r="B5686" s="140">
        <v>70135.0</v>
      </c>
      <c r="C5686" s="140" t="s">
        <v>13480</v>
      </c>
      <c r="D5686" s="140" t="s">
        <v>6309</v>
      </c>
      <c r="E5686" s="140" t="s">
        <v>47</v>
      </c>
      <c r="F5686" s="140" t="s">
        <v>7376</v>
      </c>
      <c r="G5686" s="141" t="s">
        <v>6401</v>
      </c>
      <c r="H5686" s="140" t="s">
        <v>6312</v>
      </c>
      <c r="I5686" s="140" t="s">
        <v>6313</v>
      </c>
      <c r="J5686" s="140" t="s">
        <v>6314</v>
      </c>
      <c r="K5686" s="140" t="s">
        <v>6402</v>
      </c>
    </row>
    <row r="5687">
      <c r="A5687" s="140" t="s">
        <v>13422</v>
      </c>
      <c r="B5687" s="140">
        <v>70128.0</v>
      </c>
      <c r="C5687" s="140" t="s">
        <v>13481</v>
      </c>
      <c r="D5687" s="140" t="s">
        <v>6309</v>
      </c>
      <c r="E5687" s="140" t="s">
        <v>47</v>
      </c>
      <c r="F5687" s="140" t="s">
        <v>7376</v>
      </c>
      <c r="G5687" s="141" t="s">
        <v>6401</v>
      </c>
      <c r="H5687" s="140" t="s">
        <v>6312</v>
      </c>
      <c r="I5687" s="140" t="s">
        <v>6313</v>
      </c>
      <c r="J5687" s="140" t="s">
        <v>6314</v>
      </c>
      <c r="K5687" s="140" t="s">
        <v>6402</v>
      </c>
    </row>
    <row r="5688">
      <c r="A5688" s="140" t="s">
        <v>13422</v>
      </c>
      <c r="B5688" s="140">
        <v>51950.0</v>
      </c>
      <c r="C5688" s="140" t="s">
        <v>13482</v>
      </c>
      <c r="D5688" s="140" t="s">
        <v>6309</v>
      </c>
      <c r="E5688" s="140" t="s">
        <v>47</v>
      </c>
      <c r="F5688" s="140" t="s">
        <v>7376</v>
      </c>
      <c r="G5688" s="141" t="s">
        <v>6401</v>
      </c>
      <c r="H5688" s="140" t="s">
        <v>6312</v>
      </c>
      <c r="I5688" s="140" t="s">
        <v>6313</v>
      </c>
      <c r="J5688" s="140" t="s">
        <v>6314</v>
      </c>
      <c r="K5688" s="140" t="s">
        <v>6402</v>
      </c>
    </row>
    <row r="5689">
      <c r="A5689" s="140" t="s">
        <v>13422</v>
      </c>
      <c r="B5689" s="140">
        <v>67739.0</v>
      </c>
      <c r="C5689" s="140" t="s">
        <v>13483</v>
      </c>
      <c r="D5689" s="140" t="s">
        <v>6309</v>
      </c>
      <c r="E5689" s="140" t="s">
        <v>47</v>
      </c>
      <c r="F5689" s="140" t="s">
        <v>7376</v>
      </c>
      <c r="G5689" s="141" t="s">
        <v>6401</v>
      </c>
      <c r="H5689" s="140" t="s">
        <v>6312</v>
      </c>
      <c r="I5689" s="140" t="s">
        <v>6313</v>
      </c>
      <c r="J5689" s="140" t="s">
        <v>6314</v>
      </c>
      <c r="K5689" s="140" t="s">
        <v>6402</v>
      </c>
    </row>
    <row r="5690">
      <c r="A5690" s="140" t="s">
        <v>13422</v>
      </c>
      <c r="B5690" s="140">
        <v>67722.0</v>
      </c>
      <c r="C5690" s="140" t="s">
        <v>13484</v>
      </c>
      <c r="D5690" s="140" t="s">
        <v>6309</v>
      </c>
      <c r="E5690" s="140" t="s">
        <v>47</v>
      </c>
      <c r="F5690" s="140" t="s">
        <v>7376</v>
      </c>
      <c r="G5690" s="141" t="s">
        <v>6401</v>
      </c>
      <c r="H5690" s="140" t="s">
        <v>6312</v>
      </c>
      <c r="I5690" s="140" t="s">
        <v>6313</v>
      </c>
      <c r="J5690" s="140" t="s">
        <v>6314</v>
      </c>
      <c r="K5690" s="140" t="s">
        <v>6402</v>
      </c>
    </row>
    <row r="5691">
      <c r="A5691" s="140" t="s">
        <v>13422</v>
      </c>
      <c r="B5691" s="140">
        <v>60846.0</v>
      </c>
      <c r="C5691" s="140" t="s">
        <v>13485</v>
      </c>
      <c r="D5691" s="140" t="s">
        <v>6309</v>
      </c>
      <c r="E5691" s="140" t="s">
        <v>47</v>
      </c>
      <c r="F5691" s="140" t="s">
        <v>7376</v>
      </c>
      <c r="G5691" s="141" t="s">
        <v>6401</v>
      </c>
      <c r="H5691" s="140" t="s">
        <v>6312</v>
      </c>
      <c r="I5691" s="140" t="s">
        <v>6313</v>
      </c>
      <c r="J5691" s="140" t="s">
        <v>6314</v>
      </c>
      <c r="K5691" s="140" t="s">
        <v>6402</v>
      </c>
    </row>
    <row r="5692">
      <c r="A5692" s="140" t="s">
        <v>13422</v>
      </c>
      <c r="B5692" s="140">
        <v>67906.0</v>
      </c>
      <c r="C5692" s="140" t="s">
        <v>13486</v>
      </c>
      <c r="D5692" s="140" t="s">
        <v>6309</v>
      </c>
      <c r="E5692" s="140" t="s">
        <v>47</v>
      </c>
      <c r="F5692" s="140" t="s">
        <v>7376</v>
      </c>
      <c r="G5692" s="141" t="s">
        <v>6401</v>
      </c>
      <c r="H5692" s="140" t="s">
        <v>6312</v>
      </c>
      <c r="I5692" s="140" t="s">
        <v>6313</v>
      </c>
      <c r="J5692" s="140" t="s">
        <v>6314</v>
      </c>
      <c r="K5692" s="140" t="s">
        <v>6402</v>
      </c>
    </row>
    <row r="5693">
      <c r="A5693" s="140" t="s">
        <v>13422</v>
      </c>
      <c r="B5693" s="140">
        <v>36712.0</v>
      </c>
      <c r="C5693" s="140" t="s">
        <v>13487</v>
      </c>
      <c r="D5693" s="140" t="s">
        <v>6309</v>
      </c>
      <c r="E5693" s="140" t="s">
        <v>47</v>
      </c>
      <c r="F5693" s="140" t="s">
        <v>7376</v>
      </c>
      <c r="G5693" s="141" t="s">
        <v>6401</v>
      </c>
      <c r="H5693" s="140" t="s">
        <v>6312</v>
      </c>
      <c r="I5693" s="140" t="s">
        <v>6313</v>
      </c>
      <c r="J5693" s="140" t="s">
        <v>6314</v>
      </c>
      <c r="K5693" s="140" t="s">
        <v>6402</v>
      </c>
    </row>
    <row r="5694">
      <c r="A5694" s="140" t="s">
        <v>13422</v>
      </c>
      <c r="B5694" s="140">
        <v>60204.0</v>
      </c>
      <c r="C5694" s="140" t="s">
        <v>13488</v>
      </c>
      <c r="D5694" s="140" t="s">
        <v>6309</v>
      </c>
      <c r="E5694" s="140" t="s">
        <v>56</v>
      </c>
      <c r="F5694" s="140" t="s">
        <v>64</v>
      </c>
      <c r="G5694" s="141" t="s">
        <v>6401</v>
      </c>
      <c r="H5694" s="140" t="s">
        <v>6312</v>
      </c>
      <c r="I5694" s="140" t="s">
        <v>6313</v>
      </c>
      <c r="J5694" s="140" t="s">
        <v>6314</v>
      </c>
      <c r="K5694" s="140" t="s">
        <v>6402</v>
      </c>
    </row>
    <row r="5695">
      <c r="A5695" s="140" t="s">
        <v>13422</v>
      </c>
      <c r="B5695" s="140">
        <v>53893.0</v>
      </c>
      <c r="C5695" s="140" t="s">
        <v>13489</v>
      </c>
      <c r="D5695" s="140" t="s">
        <v>6309</v>
      </c>
      <c r="E5695" s="140" t="s">
        <v>56</v>
      </c>
      <c r="F5695" s="140" t="s">
        <v>64</v>
      </c>
      <c r="G5695" s="141" t="s">
        <v>6401</v>
      </c>
      <c r="H5695" s="140" t="s">
        <v>6312</v>
      </c>
      <c r="I5695" s="140" t="s">
        <v>6313</v>
      </c>
      <c r="J5695" s="140" t="s">
        <v>6314</v>
      </c>
      <c r="K5695" s="140" t="s">
        <v>6402</v>
      </c>
    </row>
    <row r="5696">
      <c r="A5696" s="140" t="s">
        <v>9309</v>
      </c>
      <c r="B5696" s="143">
        <v>1.62974E12</v>
      </c>
      <c r="C5696" s="140" t="s">
        <v>13490</v>
      </c>
      <c r="D5696" s="140" t="s">
        <v>9307</v>
      </c>
      <c r="E5696" s="140" t="s">
        <v>13491</v>
      </c>
      <c r="F5696" s="140" t="s">
        <v>13491</v>
      </c>
      <c r="G5696" s="141" t="s">
        <v>6401</v>
      </c>
      <c r="H5696" s="140" t="s">
        <v>6312</v>
      </c>
      <c r="I5696" s="140" t="s">
        <v>6313</v>
      </c>
      <c r="J5696" s="140" t="s">
        <v>6314</v>
      </c>
      <c r="K5696" s="140" t="s">
        <v>9309</v>
      </c>
    </row>
    <row r="5697">
      <c r="A5697" s="140" t="s">
        <v>9309</v>
      </c>
      <c r="B5697" s="143">
        <v>1.62974E12</v>
      </c>
      <c r="C5697" s="140" t="s">
        <v>13492</v>
      </c>
      <c r="D5697" s="140" t="s">
        <v>9307</v>
      </c>
      <c r="E5697" s="140" t="s">
        <v>13491</v>
      </c>
      <c r="F5697" s="140" t="s">
        <v>13491</v>
      </c>
      <c r="G5697" s="141" t="s">
        <v>6401</v>
      </c>
      <c r="H5697" s="140" t="s">
        <v>6312</v>
      </c>
      <c r="I5697" s="140" t="s">
        <v>6313</v>
      </c>
      <c r="J5697" s="140" t="s">
        <v>6314</v>
      </c>
      <c r="K5697" s="140" t="s">
        <v>9309</v>
      </c>
    </row>
    <row r="5698">
      <c r="A5698" s="140" t="s">
        <v>9309</v>
      </c>
      <c r="B5698" s="143">
        <v>1.62974E12</v>
      </c>
      <c r="C5698" s="140" t="s">
        <v>13493</v>
      </c>
      <c r="D5698" s="140" t="s">
        <v>9307</v>
      </c>
      <c r="E5698" s="140" t="s">
        <v>9304</v>
      </c>
      <c r="F5698" s="140" t="s">
        <v>9304</v>
      </c>
      <c r="G5698" s="141" t="s">
        <v>6401</v>
      </c>
      <c r="H5698" s="140" t="s">
        <v>6312</v>
      </c>
      <c r="I5698" s="140" t="s">
        <v>6313</v>
      </c>
      <c r="J5698" s="140" t="s">
        <v>6314</v>
      </c>
      <c r="K5698" s="140" t="s">
        <v>9309</v>
      </c>
    </row>
    <row r="5699">
      <c r="A5699" s="140" t="s">
        <v>9309</v>
      </c>
      <c r="B5699" s="143">
        <v>1.62974E12</v>
      </c>
      <c r="C5699" s="140" t="s">
        <v>13494</v>
      </c>
      <c r="D5699" s="140" t="s">
        <v>9307</v>
      </c>
      <c r="E5699" s="140" t="s">
        <v>9304</v>
      </c>
      <c r="F5699" s="140" t="s">
        <v>9304</v>
      </c>
      <c r="G5699" s="141" t="s">
        <v>6401</v>
      </c>
      <c r="H5699" s="140" t="s">
        <v>6312</v>
      </c>
      <c r="I5699" s="140" t="s">
        <v>6313</v>
      </c>
      <c r="J5699" s="140" t="s">
        <v>6314</v>
      </c>
      <c r="K5699" s="140" t="s">
        <v>9309</v>
      </c>
    </row>
    <row r="5700">
      <c r="A5700" s="140" t="s">
        <v>13495</v>
      </c>
      <c r="B5700" s="140" t="s">
        <v>13496</v>
      </c>
      <c r="C5700" s="140" t="s">
        <v>13497</v>
      </c>
      <c r="D5700" s="140" t="s">
        <v>6786</v>
      </c>
      <c r="E5700" s="140" t="s">
        <v>6786</v>
      </c>
      <c r="F5700" s="140" t="s">
        <v>13498</v>
      </c>
      <c r="G5700" s="141" t="s">
        <v>6401</v>
      </c>
      <c r="H5700" s="140" t="s">
        <v>6312</v>
      </c>
      <c r="I5700" s="140" t="s">
        <v>6313</v>
      </c>
      <c r="J5700" s="140" t="s">
        <v>6314</v>
      </c>
      <c r="K5700" s="140" t="s">
        <v>8996</v>
      </c>
    </row>
    <row r="5701">
      <c r="A5701" s="140" t="s">
        <v>13495</v>
      </c>
      <c r="B5701" s="140" t="s">
        <v>13499</v>
      </c>
      <c r="C5701" s="140" t="s">
        <v>13500</v>
      </c>
      <c r="D5701" s="140" t="s">
        <v>6786</v>
      </c>
      <c r="E5701" s="140" t="s">
        <v>6786</v>
      </c>
      <c r="F5701" s="140" t="s">
        <v>13498</v>
      </c>
      <c r="G5701" s="141" t="s">
        <v>6401</v>
      </c>
      <c r="H5701" s="140" t="s">
        <v>6312</v>
      </c>
      <c r="I5701" s="140" t="s">
        <v>6313</v>
      </c>
      <c r="J5701" s="140" t="s">
        <v>6314</v>
      </c>
      <c r="K5701" s="140" t="s">
        <v>8996</v>
      </c>
    </row>
    <row r="5702">
      <c r="A5702" s="140" t="s">
        <v>13495</v>
      </c>
      <c r="B5702" s="140" t="s">
        <v>13501</v>
      </c>
      <c r="C5702" s="140" t="s">
        <v>13502</v>
      </c>
      <c r="D5702" s="140" t="s">
        <v>6786</v>
      </c>
      <c r="E5702" s="140" t="s">
        <v>6786</v>
      </c>
      <c r="F5702" s="140" t="s">
        <v>13498</v>
      </c>
      <c r="G5702" s="141" t="s">
        <v>6401</v>
      </c>
      <c r="H5702" s="140" t="s">
        <v>6312</v>
      </c>
      <c r="I5702" s="140" t="s">
        <v>6313</v>
      </c>
      <c r="J5702" s="140" t="s">
        <v>6314</v>
      </c>
      <c r="K5702" s="140" t="s">
        <v>8996</v>
      </c>
    </row>
    <row r="5703">
      <c r="A5703" s="140" t="s">
        <v>13495</v>
      </c>
      <c r="B5703" s="140" t="s">
        <v>13503</v>
      </c>
      <c r="C5703" s="140" t="s">
        <v>13504</v>
      </c>
      <c r="D5703" s="140" t="s">
        <v>6786</v>
      </c>
      <c r="E5703" s="140" t="s">
        <v>6786</v>
      </c>
      <c r="F5703" s="140" t="s">
        <v>13498</v>
      </c>
      <c r="G5703" s="141" t="s">
        <v>6401</v>
      </c>
      <c r="H5703" s="140" t="s">
        <v>6312</v>
      </c>
      <c r="I5703" s="140" t="s">
        <v>6313</v>
      </c>
      <c r="J5703" s="140" t="s">
        <v>6314</v>
      </c>
      <c r="K5703" s="140" t="s">
        <v>8996</v>
      </c>
    </row>
    <row r="5704">
      <c r="A5704" s="140" t="s">
        <v>13495</v>
      </c>
      <c r="B5704" s="140" t="s">
        <v>13505</v>
      </c>
      <c r="C5704" s="140" t="s">
        <v>13506</v>
      </c>
      <c r="D5704" s="140" t="s">
        <v>6786</v>
      </c>
      <c r="E5704" s="140" t="s">
        <v>6786</v>
      </c>
      <c r="F5704" s="140" t="s">
        <v>13498</v>
      </c>
      <c r="G5704" s="141" t="s">
        <v>6401</v>
      </c>
      <c r="H5704" s="140" t="s">
        <v>6312</v>
      </c>
      <c r="I5704" s="140" t="s">
        <v>6313</v>
      </c>
      <c r="J5704" s="140" t="s">
        <v>6314</v>
      </c>
      <c r="K5704" s="140" t="s">
        <v>8996</v>
      </c>
    </row>
    <row r="5705">
      <c r="A5705" s="140" t="s">
        <v>13495</v>
      </c>
      <c r="B5705" s="140" t="s">
        <v>13507</v>
      </c>
      <c r="C5705" s="140" t="s">
        <v>13508</v>
      </c>
      <c r="D5705" s="140" t="s">
        <v>6786</v>
      </c>
      <c r="E5705" s="140" t="s">
        <v>6786</v>
      </c>
      <c r="F5705" s="140" t="s">
        <v>13509</v>
      </c>
      <c r="G5705" s="141" t="s">
        <v>6401</v>
      </c>
      <c r="H5705" s="140" t="s">
        <v>6312</v>
      </c>
      <c r="I5705" s="140" t="s">
        <v>6313</v>
      </c>
      <c r="J5705" s="140" t="s">
        <v>6314</v>
      </c>
      <c r="K5705" s="140" t="s">
        <v>8996</v>
      </c>
    </row>
    <row r="5706">
      <c r="A5706" s="140" t="s">
        <v>13495</v>
      </c>
      <c r="B5706" s="140" t="s">
        <v>13510</v>
      </c>
      <c r="C5706" s="140" t="s">
        <v>13511</v>
      </c>
      <c r="D5706" s="140" t="s">
        <v>6786</v>
      </c>
      <c r="E5706" s="140" t="s">
        <v>6786</v>
      </c>
      <c r="F5706" s="140" t="s">
        <v>13509</v>
      </c>
      <c r="G5706" s="141" t="s">
        <v>6401</v>
      </c>
      <c r="H5706" s="140" t="s">
        <v>6312</v>
      </c>
      <c r="I5706" s="140" t="s">
        <v>6313</v>
      </c>
      <c r="J5706" s="140" t="s">
        <v>6314</v>
      </c>
      <c r="K5706" s="140" t="s">
        <v>8996</v>
      </c>
    </row>
    <row r="5707">
      <c r="A5707" s="140" t="s">
        <v>13495</v>
      </c>
      <c r="B5707" s="140" t="s">
        <v>13512</v>
      </c>
      <c r="C5707" s="140" t="s">
        <v>13513</v>
      </c>
      <c r="D5707" s="140" t="s">
        <v>6786</v>
      </c>
      <c r="E5707" s="140" t="s">
        <v>6786</v>
      </c>
      <c r="F5707" s="140" t="s">
        <v>13509</v>
      </c>
      <c r="G5707" s="141" t="s">
        <v>6401</v>
      </c>
      <c r="H5707" s="140" t="s">
        <v>6312</v>
      </c>
      <c r="I5707" s="140" t="s">
        <v>6313</v>
      </c>
      <c r="J5707" s="140" t="s">
        <v>6314</v>
      </c>
      <c r="K5707" s="140" t="s">
        <v>8996</v>
      </c>
    </row>
    <row r="5708">
      <c r="A5708" s="140" t="s">
        <v>13495</v>
      </c>
      <c r="B5708" s="140" t="s">
        <v>13514</v>
      </c>
      <c r="C5708" s="140" t="s">
        <v>13515</v>
      </c>
      <c r="D5708" s="140" t="s">
        <v>6786</v>
      </c>
      <c r="E5708" s="140" t="s">
        <v>6786</v>
      </c>
      <c r="F5708" s="140" t="s">
        <v>11716</v>
      </c>
      <c r="G5708" s="141" t="s">
        <v>6401</v>
      </c>
      <c r="H5708" s="140" t="s">
        <v>6312</v>
      </c>
      <c r="I5708" s="140" t="s">
        <v>6313</v>
      </c>
      <c r="J5708" s="140" t="s">
        <v>6314</v>
      </c>
      <c r="K5708" s="140" t="s">
        <v>8996</v>
      </c>
    </row>
    <row r="5709">
      <c r="A5709" s="140" t="s">
        <v>13495</v>
      </c>
      <c r="B5709" s="140" t="s">
        <v>13516</v>
      </c>
      <c r="C5709" s="140" t="s">
        <v>13517</v>
      </c>
      <c r="D5709" s="140" t="s">
        <v>6786</v>
      </c>
      <c r="E5709" s="140" t="s">
        <v>6786</v>
      </c>
      <c r="F5709" s="140" t="s">
        <v>11716</v>
      </c>
      <c r="G5709" s="141" t="s">
        <v>6401</v>
      </c>
      <c r="H5709" s="140" t="s">
        <v>6312</v>
      </c>
      <c r="I5709" s="140" t="s">
        <v>6313</v>
      </c>
      <c r="J5709" s="140" t="s">
        <v>6314</v>
      </c>
      <c r="K5709" s="140" t="s">
        <v>8996</v>
      </c>
    </row>
    <row r="5710">
      <c r="A5710" s="140" t="s">
        <v>13495</v>
      </c>
      <c r="B5710" s="140" t="s">
        <v>13518</v>
      </c>
      <c r="C5710" s="140" t="s">
        <v>13519</v>
      </c>
      <c r="D5710" s="140" t="s">
        <v>6786</v>
      </c>
      <c r="E5710" s="140" t="s">
        <v>6786</v>
      </c>
      <c r="F5710" s="140" t="s">
        <v>11716</v>
      </c>
      <c r="G5710" s="141" t="s">
        <v>6401</v>
      </c>
      <c r="H5710" s="140" t="s">
        <v>6312</v>
      </c>
      <c r="I5710" s="140" t="s">
        <v>6313</v>
      </c>
      <c r="J5710" s="140" t="s">
        <v>6314</v>
      </c>
      <c r="K5710" s="140" t="s">
        <v>8996</v>
      </c>
    </row>
    <row r="5711">
      <c r="A5711" s="140" t="s">
        <v>13495</v>
      </c>
      <c r="B5711" s="140" t="s">
        <v>13520</v>
      </c>
      <c r="C5711" s="140" t="s">
        <v>13521</v>
      </c>
      <c r="D5711" s="140" t="s">
        <v>6786</v>
      </c>
      <c r="E5711" s="140" t="s">
        <v>6786</v>
      </c>
      <c r="F5711" s="140" t="s">
        <v>11716</v>
      </c>
      <c r="G5711" s="141" t="s">
        <v>6401</v>
      </c>
      <c r="H5711" s="140" t="s">
        <v>6312</v>
      </c>
      <c r="I5711" s="140" t="s">
        <v>6313</v>
      </c>
      <c r="J5711" s="140" t="s">
        <v>6314</v>
      </c>
      <c r="K5711" s="140" t="s">
        <v>8996</v>
      </c>
    </row>
    <row r="5712">
      <c r="A5712" s="140" t="s">
        <v>13495</v>
      </c>
      <c r="B5712" s="140" t="s">
        <v>13522</v>
      </c>
      <c r="C5712" s="140" t="s">
        <v>13523</v>
      </c>
      <c r="D5712" s="140" t="s">
        <v>6786</v>
      </c>
      <c r="E5712" s="140" t="s">
        <v>6786</v>
      </c>
      <c r="F5712" s="140" t="s">
        <v>11716</v>
      </c>
      <c r="G5712" s="141" t="s">
        <v>6401</v>
      </c>
      <c r="H5712" s="140" t="s">
        <v>6312</v>
      </c>
      <c r="I5712" s="140" t="s">
        <v>6313</v>
      </c>
      <c r="J5712" s="140" t="s">
        <v>6314</v>
      </c>
      <c r="K5712" s="140" t="s">
        <v>8996</v>
      </c>
    </row>
    <row r="5713">
      <c r="A5713" s="140" t="s">
        <v>13495</v>
      </c>
      <c r="B5713" s="140" t="s">
        <v>13524</v>
      </c>
      <c r="C5713" s="140" t="s">
        <v>13525</v>
      </c>
      <c r="D5713" s="140" t="s">
        <v>6786</v>
      </c>
      <c r="E5713" s="140" t="s">
        <v>6786</v>
      </c>
      <c r="F5713" s="140" t="s">
        <v>11716</v>
      </c>
      <c r="G5713" s="141" t="s">
        <v>6401</v>
      </c>
      <c r="H5713" s="140" t="s">
        <v>6312</v>
      </c>
      <c r="I5713" s="140" t="s">
        <v>6313</v>
      </c>
      <c r="J5713" s="140" t="s">
        <v>6314</v>
      </c>
      <c r="K5713" s="140" t="s">
        <v>8996</v>
      </c>
    </row>
    <row r="5714">
      <c r="A5714" s="140" t="s">
        <v>13495</v>
      </c>
      <c r="B5714" s="140" t="s">
        <v>13526</v>
      </c>
      <c r="C5714" s="140" t="s">
        <v>13527</v>
      </c>
      <c r="D5714" s="140" t="s">
        <v>6786</v>
      </c>
      <c r="E5714" s="140" t="s">
        <v>6786</v>
      </c>
      <c r="F5714" s="140" t="s">
        <v>11716</v>
      </c>
      <c r="G5714" s="141" t="s">
        <v>6401</v>
      </c>
      <c r="H5714" s="140" t="s">
        <v>6312</v>
      </c>
      <c r="I5714" s="140" t="s">
        <v>6313</v>
      </c>
      <c r="J5714" s="140" t="s">
        <v>6314</v>
      </c>
      <c r="K5714" s="140" t="s">
        <v>8996</v>
      </c>
    </row>
    <row r="5715">
      <c r="A5715" s="140" t="s">
        <v>13495</v>
      </c>
      <c r="B5715" s="140" t="s">
        <v>13528</v>
      </c>
      <c r="C5715" s="140" t="s">
        <v>13529</v>
      </c>
      <c r="D5715" s="140" t="s">
        <v>6786</v>
      </c>
      <c r="E5715" s="140" t="s">
        <v>6786</v>
      </c>
      <c r="F5715" s="140" t="s">
        <v>11716</v>
      </c>
      <c r="G5715" s="141" t="s">
        <v>6401</v>
      </c>
      <c r="H5715" s="140" t="s">
        <v>6312</v>
      </c>
      <c r="I5715" s="140" t="s">
        <v>6313</v>
      </c>
      <c r="J5715" s="140" t="s">
        <v>6314</v>
      </c>
      <c r="K5715" s="140" t="s">
        <v>8996</v>
      </c>
    </row>
    <row r="5716">
      <c r="A5716" s="140" t="s">
        <v>13530</v>
      </c>
      <c r="B5716" s="140" t="s">
        <v>5138</v>
      </c>
      <c r="C5716" s="140" t="s">
        <v>13531</v>
      </c>
      <c r="D5716" s="140" t="s">
        <v>6601</v>
      </c>
      <c r="E5716" s="140" t="s">
        <v>526</v>
      </c>
      <c r="F5716" s="140" t="s">
        <v>527</v>
      </c>
      <c r="G5716" s="141" t="s">
        <v>6401</v>
      </c>
      <c r="H5716" s="140" t="s">
        <v>6312</v>
      </c>
      <c r="I5716" s="140" t="s">
        <v>6313</v>
      </c>
      <c r="J5716" s="140" t="s">
        <v>6314</v>
      </c>
      <c r="K5716" s="140" t="s">
        <v>6966</v>
      </c>
    </row>
    <row r="5717">
      <c r="A5717" s="140" t="s">
        <v>13530</v>
      </c>
      <c r="B5717" s="140" t="s">
        <v>5140</v>
      </c>
      <c r="C5717" s="140" t="s">
        <v>13532</v>
      </c>
      <c r="D5717" s="140" t="s">
        <v>6601</v>
      </c>
      <c r="E5717" s="140" t="s">
        <v>526</v>
      </c>
      <c r="F5717" s="140" t="s">
        <v>527</v>
      </c>
      <c r="G5717" s="141" t="s">
        <v>6401</v>
      </c>
      <c r="H5717" s="140" t="s">
        <v>6312</v>
      </c>
      <c r="I5717" s="140" t="s">
        <v>6313</v>
      </c>
      <c r="J5717" s="140" t="s">
        <v>6314</v>
      </c>
      <c r="K5717" s="140" t="s">
        <v>6966</v>
      </c>
    </row>
    <row r="5718">
      <c r="A5718" s="140" t="s">
        <v>13530</v>
      </c>
      <c r="B5718" s="140" t="s">
        <v>13533</v>
      </c>
      <c r="C5718" s="140" t="s">
        <v>13534</v>
      </c>
      <c r="D5718" s="140" t="s">
        <v>6601</v>
      </c>
      <c r="E5718" s="140" t="s">
        <v>526</v>
      </c>
      <c r="F5718" s="140" t="s">
        <v>553</v>
      </c>
      <c r="G5718" s="141" t="s">
        <v>6401</v>
      </c>
      <c r="H5718" s="140" t="s">
        <v>6312</v>
      </c>
      <c r="I5718" s="140" t="s">
        <v>6313</v>
      </c>
      <c r="J5718" s="140" t="s">
        <v>6314</v>
      </c>
      <c r="K5718" s="140" t="s">
        <v>6966</v>
      </c>
    </row>
    <row r="5719">
      <c r="A5719" s="140" t="s">
        <v>13530</v>
      </c>
      <c r="B5719" s="140" t="s">
        <v>5158</v>
      </c>
      <c r="C5719" s="140" t="s">
        <v>13535</v>
      </c>
      <c r="D5719" s="140" t="s">
        <v>6601</v>
      </c>
      <c r="E5719" s="140" t="s">
        <v>526</v>
      </c>
      <c r="F5719" s="140" t="s">
        <v>553</v>
      </c>
      <c r="G5719" s="141" t="s">
        <v>6311</v>
      </c>
      <c r="H5719" s="140" t="s">
        <v>6312</v>
      </c>
      <c r="I5719" s="140" t="s">
        <v>6313</v>
      </c>
      <c r="J5719" s="140" t="s">
        <v>6314</v>
      </c>
      <c r="K5719" s="140" t="s">
        <v>6966</v>
      </c>
    </row>
    <row r="5720">
      <c r="A5720" s="140" t="s">
        <v>13530</v>
      </c>
      <c r="B5720" s="140" t="s">
        <v>5156</v>
      </c>
      <c r="C5720" s="140" t="s">
        <v>13536</v>
      </c>
      <c r="D5720" s="140" t="s">
        <v>6601</v>
      </c>
      <c r="E5720" s="140" t="s">
        <v>526</v>
      </c>
      <c r="F5720" s="140" t="s">
        <v>553</v>
      </c>
      <c r="G5720" s="141" t="s">
        <v>6311</v>
      </c>
      <c r="H5720" s="140" t="s">
        <v>6312</v>
      </c>
      <c r="I5720" s="140" t="s">
        <v>6313</v>
      </c>
      <c r="J5720" s="140" t="s">
        <v>6314</v>
      </c>
      <c r="K5720" s="140" t="s">
        <v>6966</v>
      </c>
    </row>
    <row r="5721">
      <c r="A5721" s="140" t="s">
        <v>13530</v>
      </c>
      <c r="B5721" s="140" t="s">
        <v>5154</v>
      </c>
      <c r="C5721" s="140" t="s">
        <v>13537</v>
      </c>
      <c r="D5721" s="140" t="s">
        <v>6601</v>
      </c>
      <c r="E5721" s="140" t="s">
        <v>526</v>
      </c>
      <c r="F5721" s="140" t="s">
        <v>553</v>
      </c>
      <c r="G5721" s="141" t="s">
        <v>6311</v>
      </c>
      <c r="H5721" s="140" t="s">
        <v>6312</v>
      </c>
      <c r="I5721" s="140" t="s">
        <v>6313</v>
      </c>
      <c r="J5721" s="140" t="s">
        <v>6314</v>
      </c>
      <c r="K5721" s="140" t="s">
        <v>6966</v>
      </c>
    </row>
    <row r="5722">
      <c r="A5722" s="140" t="s">
        <v>13530</v>
      </c>
      <c r="B5722" s="140" t="s">
        <v>5160</v>
      </c>
      <c r="C5722" s="140" t="s">
        <v>13538</v>
      </c>
      <c r="D5722" s="140" t="s">
        <v>6601</v>
      </c>
      <c r="E5722" s="140" t="s">
        <v>526</v>
      </c>
      <c r="F5722" s="140" t="s">
        <v>553</v>
      </c>
      <c r="G5722" s="141" t="s">
        <v>6401</v>
      </c>
      <c r="H5722" s="140" t="s">
        <v>6312</v>
      </c>
      <c r="I5722" s="140" t="s">
        <v>6313</v>
      </c>
      <c r="J5722" s="140" t="s">
        <v>6314</v>
      </c>
      <c r="K5722" s="140" t="s">
        <v>6966</v>
      </c>
    </row>
    <row r="5723">
      <c r="A5723" s="140" t="s">
        <v>13530</v>
      </c>
      <c r="B5723" s="140" t="s">
        <v>13539</v>
      </c>
      <c r="C5723" s="140" t="s">
        <v>13540</v>
      </c>
      <c r="D5723" s="140" t="s">
        <v>6601</v>
      </c>
      <c r="E5723" s="140" t="s">
        <v>526</v>
      </c>
      <c r="F5723" s="140" t="s">
        <v>553</v>
      </c>
      <c r="G5723" s="141" t="s">
        <v>6401</v>
      </c>
      <c r="H5723" s="140" t="s">
        <v>6312</v>
      </c>
      <c r="I5723" s="140" t="s">
        <v>6313</v>
      </c>
      <c r="J5723" s="140" t="s">
        <v>6314</v>
      </c>
      <c r="K5723" s="140" t="s">
        <v>6966</v>
      </c>
    </row>
    <row r="5724">
      <c r="A5724" s="140" t="s">
        <v>13530</v>
      </c>
      <c r="B5724" s="140" t="s">
        <v>13541</v>
      </c>
      <c r="C5724" s="140" t="s">
        <v>13542</v>
      </c>
      <c r="D5724" s="140" t="s">
        <v>6601</v>
      </c>
      <c r="E5724" s="140" t="s">
        <v>526</v>
      </c>
      <c r="F5724" s="140" t="s">
        <v>553</v>
      </c>
      <c r="G5724" s="141" t="s">
        <v>6401</v>
      </c>
      <c r="H5724" s="140" t="s">
        <v>6312</v>
      </c>
      <c r="I5724" s="140" t="s">
        <v>6313</v>
      </c>
      <c r="J5724" s="140" t="s">
        <v>6314</v>
      </c>
      <c r="K5724" s="140" t="s">
        <v>6966</v>
      </c>
    </row>
    <row r="5725">
      <c r="A5725" s="140" t="s">
        <v>13530</v>
      </c>
      <c r="B5725" s="140" t="s">
        <v>5162</v>
      </c>
      <c r="C5725" s="140" t="s">
        <v>13543</v>
      </c>
      <c r="D5725" s="140" t="s">
        <v>6601</v>
      </c>
      <c r="E5725" s="140" t="s">
        <v>526</v>
      </c>
      <c r="F5725" s="140" t="s">
        <v>553</v>
      </c>
      <c r="G5725" s="141" t="s">
        <v>6401</v>
      </c>
      <c r="H5725" s="140" t="s">
        <v>6312</v>
      </c>
      <c r="I5725" s="140" t="s">
        <v>6313</v>
      </c>
      <c r="J5725" s="140" t="s">
        <v>6314</v>
      </c>
      <c r="K5725" s="140" t="s">
        <v>6966</v>
      </c>
    </row>
    <row r="5726">
      <c r="A5726" s="140" t="s">
        <v>13530</v>
      </c>
      <c r="B5726" s="140" t="s">
        <v>5148</v>
      </c>
      <c r="C5726" s="140" t="s">
        <v>13544</v>
      </c>
      <c r="D5726" s="140" t="s">
        <v>6601</v>
      </c>
      <c r="E5726" s="140" t="s">
        <v>526</v>
      </c>
      <c r="F5726" s="140" t="s">
        <v>553</v>
      </c>
      <c r="G5726" s="141" t="s">
        <v>6401</v>
      </c>
      <c r="H5726" s="140" t="s">
        <v>6312</v>
      </c>
      <c r="I5726" s="140" t="s">
        <v>6313</v>
      </c>
      <c r="J5726" s="140" t="s">
        <v>6314</v>
      </c>
      <c r="K5726" s="140" t="s">
        <v>6966</v>
      </c>
    </row>
    <row r="5727">
      <c r="A5727" s="140" t="s">
        <v>13530</v>
      </c>
      <c r="B5727" s="140" t="s">
        <v>5150</v>
      </c>
      <c r="C5727" s="140" t="s">
        <v>13545</v>
      </c>
      <c r="D5727" s="140" t="s">
        <v>6601</v>
      </c>
      <c r="E5727" s="140" t="s">
        <v>526</v>
      </c>
      <c r="F5727" s="140" t="s">
        <v>553</v>
      </c>
      <c r="G5727" s="141" t="s">
        <v>6401</v>
      </c>
      <c r="H5727" s="140" t="s">
        <v>6312</v>
      </c>
      <c r="I5727" s="140" t="s">
        <v>6313</v>
      </c>
      <c r="J5727" s="140" t="s">
        <v>6314</v>
      </c>
      <c r="K5727" s="140" t="s">
        <v>6966</v>
      </c>
    </row>
    <row r="5728">
      <c r="A5728" s="140" t="s">
        <v>13530</v>
      </c>
      <c r="B5728" s="140" t="s">
        <v>5152</v>
      </c>
      <c r="C5728" s="140" t="s">
        <v>13546</v>
      </c>
      <c r="D5728" s="140" t="s">
        <v>6601</v>
      </c>
      <c r="E5728" s="140" t="s">
        <v>526</v>
      </c>
      <c r="F5728" s="140" t="s">
        <v>553</v>
      </c>
      <c r="G5728" s="141" t="s">
        <v>6401</v>
      </c>
      <c r="H5728" s="140" t="s">
        <v>6312</v>
      </c>
      <c r="I5728" s="140" t="s">
        <v>6313</v>
      </c>
      <c r="J5728" s="140" t="s">
        <v>6314</v>
      </c>
      <c r="K5728" s="140" t="s">
        <v>6966</v>
      </c>
    </row>
    <row r="5729">
      <c r="A5729" s="140" t="s">
        <v>13530</v>
      </c>
      <c r="B5729" s="140" t="s">
        <v>13547</v>
      </c>
      <c r="C5729" s="140" t="s">
        <v>13548</v>
      </c>
      <c r="D5729" s="140" t="s">
        <v>6601</v>
      </c>
      <c r="E5729" s="140" t="s">
        <v>526</v>
      </c>
      <c r="F5729" s="140" t="s">
        <v>553</v>
      </c>
      <c r="G5729" s="141" t="s">
        <v>6401</v>
      </c>
      <c r="H5729" s="140" t="s">
        <v>6312</v>
      </c>
      <c r="I5729" s="140" t="s">
        <v>6313</v>
      </c>
      <c r="J5729" s="140" t="s">
        <v>6314</v>
      </c>
      <c r="K5729" s="140" t="s">
        <v>6966</v>
      </c>
    </row>
    <row r="5730">
      <c r="A5730" s="140" t="s">
        <v>13530</v>
      </c>
      <c r="B5730" s="140" t="s">
        <v>13549</v>
      </c>
      <c r="C5730" s="140" t="s">
        <v>13550</v>
      </c>
      <c r="D5730" s="140" t="s">
        <v>6601</v>
      </c>
      <c r="E5730" s="140" t="s">
        <v>526</v>
      </c>
      <c r="F5730" s="140" t="s">
        <v>553</v>
      </c>
      <c r="G5730" s="141" t="s">
        <v>6311</v>
      </c>
      <c r="H5730" s="140" t="s">
        <v>6312</v>
      </c>
      <c r="I5730" s="140" t="s">
        <v>6313</v>
      </c>
      <c r="J5730" s="140" t="s">
        <v>6314</v>
      </c>
      <c r="K5730" s="140" t="s">
        <v>6966</v>
      </c>
    </row>
    <row r="5731">
      <c r="A5731" s="140" t="s">
        <v>13530</v>
      </c>
      <c r="B5731" s="140" t="s">
        <v>13551</v>
      </c>
      <c r="C5731" s="140" t="s">
        <v>13552</v>
      </c>
      <c r="D5731" s="140" t="s">
        <v>6601</v>
      </c>
      <c r="E5731" s="140" t="s">
        <v>526</v>
      </c>
      <c r="F5731" s="140" t="s">
        <v>553</v>
      </c>
      <c r="G5731" s="141" t="s">
        <v>6311</v>
      </c>
      <c r="H5731" s="140" t="s">
        <v>6312</v>
      </c>
      <c r="I5731" s="140" t="s">
        <v>6313</v>
      </c>
      <c r="J5731" s="140" t="s">
        <v>6314</v>
      </c>
      <c r="K5731" s="140" t="s">
        <v>6966</v>
      </c>
    </row>
    <row r="5732">
      <c r="A5732" s="140" t="s">
        <v>13530</v>
      </c>
      <c r="B5732" s="140" t="s">
        <v>13553</v>
      </c>
      <c r="C5732" s="140" t="s">
        <v>13554</v>
      </c>
      <c r="D5732" s="140" t="s">
        <v>6601</v>
      </c>
      <c r="E5732" s="140" t="s">
        <v>526</v>
      </c>
      <c r="F5732" s="140" t="s">
        <v>553</v>
      </c>
      <c r="G5732" s="141" t="s">
        <v>6311</v>
      </c>
      <c r="H5732" s="140" t="s">
        <v>6312</v>
      </c>
      <c r="I5732" s="140" t="s">
        <v>6313</v>
      </c>
      <c r="J5732" s="140" t="s">
        <v>6314</v>
      </c>
      <c r="K5732" s="140" t="s">
        <v>6966</v>
      </c>
    </row>
    <row r="5733">
      <c r="A5733" s="140" t="s">
        <v>13530</v>
      </c>
      <c r="B5733" s="140" t="s">
        <v>5164</v>
      </c>
      <c r="C5733" s="140" t="s">
        <v>13555</v>
      </c>
      <c r="D5733" s="140" t="s">
        <v>6601</v>
      </c>
      <c r="E5733" s="140" t="s">
        <v>526</v>
      </c>
      <c r="F5733" s="140" t="s">
        <v>553</v>
      </c>
      <c r="G5733" s="141" t="s">
        <v>6401</v>
      </c>
      <c r="H5733" s="140" t="s">
        <v>6312</v>
      </c>
      <c r="I5733" s="140" t="s">
        <v>6313</v>
      </c>
      <c r="J5733" s="140" t="s">
        <v>6314</v>
      </c>
      <c r="K5733" s="140" t="s">
        <v>6966</v>
      </c>
    </row>
    <row r="5734">
      <c r="A5734" s="140" t="s">
        <v>13530</v>
      </c>
      <c r="B5734" s="140" t="s">
        <v>13556</v>
      </c>
      <c r="C5734" s="140" t="s">
        <v>13557</v>
      </c>
      <c r="D5734" s="140" t="s">
        <v>6601</v>
      </c>
      <c r="E5734" s="140" t="s">
        <v>526</v>
      </c>
      <c r="F5734" s="140" t="s">
        <v>553</v>
      </c>
      <c r="G5734" s="141" t="s">
        <v>6401</v>
      </c>
      <c r="H5734" s="140" t="s">
        <v>6312</v>
      </c>
      <c r="I5734" s="140" t="s">
        <v>6313</v>
      </c>
      <c r="J5734" s="140" t="s">
        <v>6314</v>
      </c>
      <c r="K5734" s="140" t="s">
        <v>6966</v>
      </c>
    </row>
    <row r="5735">
      <c r="A5735" s="140" t="s">
        <v>13530</v>
      </c>
      <c r="B5735" s="140" t="s">
        <v>5120</v>
      </c>
      <c r="C5735" s="140" t="s">
        <v>13558</v>
      </c>
      <c r="D5735" s="140" t="s">
        <v>6601</v>
      </c>
      <c r="E5735" s="140" t="s">
        <v>526</v>
      </c>
      <c r="F5735" s="140" t="s">
        <v>175</v>
      </c>
      <c r="G5735" s="141" t="s">
        <v>6401</v>
      </c>
      <c r="H5735" s="140" t="s">
        <v>6312</v>
      </c>
      <c r="I5735" s="140" t="s">
        <v>6313</v>
      </c>
      <c r="J5735" s="140" t="s">
        <v>6314</v>
      </c>
      <c r="K5735" s="140" t="s">
        <v>6966</v>
      </c>
    </row>
    <row r="5736">
      <c r="A5736" s="140" t="s">
        <v>13530</v>
      </c>
      <c r="B5736" s="140" t="s">
        <v>5146</v>
      </c>
      <c r="C5736" s="140" t="s">
        <v>13559</v>
      </c>
      <c r="D5736" s="140" t="s">
        <v>6601</v>
      </c>
      <c r="E5736" s="140" t="s">
        <v>526</v>
      </c>
      <c r="F5736" s="140" t="s">
        <v>175</v>
      </c>
      <c r="G5736" s="141" t="s">
        <v>6401</v>
      </c>
      <c r="H5736" s="140" t="s">
        <v>6312</v>
      </c>
      <c r="I5736" s="140" t="s">
        <v>6313</v>
      </c>
      <c r="J5736" s="140" t="s">
        <v>6314</v>
      </c>
      <c r="K5736" s="140" t="s">
        <v>6966</v>
      </c>
    </row>
    <row r="5737">
      <c r="A5737" s="140" t="s">
        <v>13530</v>
      </c>
      <c r="B5737" s="140" t="s">
        <v>13560</v>
      </c>
      <c r="C5737" s="140" t="s">
        <v>13561</v>
      </c>
      <c r="D5737" s="140" t="s">
        <v>6601</v>
      </c>
      <c r="E5737" s="140" t="s">
        <v>526</v>
      </c>
      <c r="F5737" s="140" t="s">
        <v>175</v>
      </c>
      <c r="G5737" s="141" t="s">
        <v>6401</v>
      </c>
      <c r="H5737" s="140" t="s">
        <v>6312</v>
      </c>
      <c r="I5737" s="140" t="s">
        <v>6313</v>
      </c>
      <c r="J5737" s="140" t="s">
        <v>6314</v>
      </c>
      <c r="K5737" s="140" t="s">
        <v>6966</v>
      </c>
    </row>
    <row r="5738">
      <c r="A5738" s="140" t="s">
        <v>13530</v>
      </c>
      <c r="B5738" s="140" t="s">
        <v>5136</v>
      </c>
      <c r="C5738" s="140" t="s">
        <v>13562</v>
      </c>
      <c r="D5738" s="140" t="s">
        <v>6601</v>
      </c>
      <c r="E5738" s="140" t="s">
        <v>526</v>
      </c>
      <c r="F5738" s="140" t="s">
        <v>175</v>
      </c>
      <c r="G5738" s="141" t="s">
        <v>6401</v>
      </c>
      <c r="H5738" s="140" t="s">
        <v>6312</v>
      </c>
      <c r="I5738" s="140" t="s">
        <v>6313</v>
      </c>
      <c r="J5738" s="140" t="s">
        <v>6314</v>
      </c>
      <c r="K5738" s="140" t="s">
        <v>6966</v>
      </c>
    </row>
    <row r="5739">
      <c r="A5739" s="140" t="s">
        <v>13530</v>
      </c>
      <c r="B5739" s="140" t="s">
        <v>5132</v>
      </c>
      <c r="C5739" s="140" t="s">
        <v>13563</v>
      </c>
      <c r="D5739" s="140" t="s">
        <v>6601</v>
      </c>
      <c r="E5739" s="140" t="s">
        <v>526</v>
      </c>
      <c r="F5739" s="140" t="s">
        <v>175</v>
      </c>
      <c r="G5739" s="141" t="s">
        <v>6401</v>
      </c>
      <c r="H5739" s="140" t="s">
        <v>6312</v>
      </c>
      <c r="I5739" s="140" t="s">
        <v>6313</v>
      </c>
      <c r="J5739" s="140" t="s">
        <v>6314</v>
      </c>
      <c r="K5739" s="140" t="s">
        <v>6966</v>
      </c>
    </row>
    <row r="5740">
      <c r="A5740" s="140" t="s">
        <v>13530</v>
      </c>
      <c r="B5740" s="140" t="s">
        <v>5134</v>
      </c>
      <c r="C5740" s="140" t="s">
        <v>13564</v>
      </c>
      <c r="D5740" s="140" t="s">
        <v>6601</v>
      </c>
      <c r="E5740" s="140" t="s">
        <v>526</v>
      </c>
      <c r="F5740" s="140" t="s">
        <v>175</v>
      </c>
      <c r="G5740" s="141" t="s">
        <v>6401</v>
      </c>
      <c r="H5740" s="140" t="s">
        <v>6312</v>
      </c>
      <c r="I5740" s="140" t="s">
        <v>6313</v>
      </c>
      <c r="J5740" s="140" t="s">
        <v>6314</v>
      </c>
      <c r="K5740" s="140" t="s">
        <v>6966</v>
      </c>
    </row>
    <row r="5741">
      <c r="A5741" s="140" t="s">
        <v>13530</v>
      </c>
      <c r="B5741" s="140" t="s">
        <v>5128</v>
      </c>
      <c r="C5741" s="140" t="s">
        <v>13565</v>
      </c>
      <c r="D5741" s="140" t="s">
        <v>6601</v>
      </c>
      <c r="E5741" s="140" t="s">
        <v>526</v>
      </c>
      <c r="F5741" s="140" t="s">
        <v>175</v>
      </c>
      <c r="G5741" s="141" t="s">
        <v>6401</v>
      </c>
      <c r="H5741" s="140" t="s">
        <v>6312</v>
      </c>
      <c r="I5741" s="140" t="s">
        <v>6313</v>
      </c>
      <c r="J5741" s="140" t="s">
        <v>6314</v>
      </c>
      <c r="K5741" s="140" t="s">
        <v>6966</v>
      </c>
    </row>
    <row r="5742">
      <c r="A5742" s="140" t="s">
        <v>13530</v>
      </c>
      <c r="B5742" s="140" t="s">
        <v>5130</v>
      </c>
      <c r="C5742" s="140" t="s">
        <v>13566</v>
      </c>
      <c r="D5742" s="140" t="s">
        <v>6601</v>
      </c>
      <c r="E5742" s="140" t="s">
        <v>526</v>
      </c>
      <c r="F5742" s="140" t="s">
        <v>175</v>
      </c>
      <c r="G5742" s="141" t="s">
        <v>6401</v>
      </c>
      <c r="H5742" s="140" t="s">
        <v>6312</v>
      </c>
      <c r="I5742" s="140" t="s">
        <v>6313</v>
      </c>
      <c r="J5742" s="140" t="s">
        <v>6314</v>
      </c>
      <c r="K5742" s="140" t="s">
        <v>6966</v>
      </c>
    </row>
    <row r="5743">
      <c r="A5743" s="140" t="s">
        <v>13530</v>
      </c>
      <c r="B5743" s="140" t="s">
        <v>5142</v>
      </c>
      <c r="C5743" s="140" t="s">
        <v>13567</v>
      </c>
      <c r="D5743" s="140" t="s">
        <v>6601</v>
      </c>
      <c r="E5743" s="140" t="s">
        <v>526</v>
      </c>
      <c r="F5743" s="140" t="s">
        <v>175</v>
      </c>
      <c r="G5743" s="141" t="s">
        <v>6401</v>
      </c>
      <c r="H5743" s="140" t="s">
        <v>6312</v>
      </c>
      <c r="I5743" s="140" t="s">
        <v>6313</v>
      </c>
      <c r="J5743" s="140" t="s">
        <v>6314</v>
      </c>
      <c r="K5743" s="140" t="s">
        <v>6966</v>
      </c>
    </row>
    <row r="5744">
      <c r="A5744" s="140" t="s">
        <v>13530</v>
      </c>
      <c r="B5744" s="140" t="s">
        <v>5144</v>
      </c>
      <c r="C5744" s="140" t="s">
        <v>13568</v>
      </c>
      <c r="D5744" s="140" t="s">
        <v>6601</v>
      </c>
      <c r="E5744" s="140" t="s">
        <v>526</v>
      </c>
      <c r="F5744" s="140" t="s">
        <v>175</v>
      </c>
      <c r="G5744" s="141" t="s">
        <v>6401</v>
      </c>
      <c r="H5744" s="140" t="s">
        <v>6312</v>
      </c>
      <c r="I5744" s="140" t="s">
        <v>6313</v>
      </c>
      <c r="J5744" s="140" t="s">
        <v>6314</v>
      </c>
      <c r="K5744" s="140" t="s">
        <v>6966</v>
      </c>
    </row>
    <row r="5745">
      <c r="A5745" s="140" t="s">
        <v>13530</v>
      </c>
      <c r="B5745" s="140" t="s">
        <v>13569</v>
      </c>
      <c r="C5745" s="140" t="s">
        <v>13570</v>
      </c>
      <c r="D5745" s="140" t="s">
        <v>6601</v>
      </c>
      <c r="E5745" s="140" t="s">
        <v>526</v>
      </c>
      <c r="F5745" s="140" t="s">
        <v>591</v>
      </c>
      <c r="G5745" s="141" t="s">
        <v>6401</v>
      </c>
      <c r="H5745" s="140" t="s">
        <v>6312</v>
      </c>
      <c r="I5745" s="140" t="s">
        <v>6313</v>
      </c>
      <c r="J5745" s="140" t="s">
        <v>6314</v>
      </c>
      <c r="K5745" s="140" t="s">
        <v>6966</v>
      </c>
    </row>
    <row r="5746">
      <c r="A5746" s="140" t="s">
        <v>13530</v>
      </c>
      <c r="B5746" s="140" t="s">
        <v>5122</v>
      </c>
      <c r="C5746" s="140" t="s">
        <v>13571</v>
      </c>
      <c r="D5746" s="140" t="s">
        <v>6601</v>
      </c>
      <c r="E5746" s="140" t="s">
        <v>526</v>
      </c>
      <c r="F5746" s="140" t="s">
        <v>591</v>
      </c>
      <c r="G5746" s="141" t="s">
        <v>6401</v>
      </c>
      <c r="H5746" s="140" t="s">
        <v>6312</v>
      </c>
      <c r="I5746" s="140" t="s">
        <v>6313</v>
      </c>
      <c r="J5746" s="140" t="s">
        <v>6314</v>
      </c>
      <c r="K5746" s="140" t="s">
        <v>6966</v>
      </c>
    </row>
    <row r="5747">
      <c r="A5747" s="140" t="s">
        <v>13530</v>
      </c>
      <c r="B5747" s="140" t="s">
        <v>5124</v>
      </c>
      <c r="C5747" s="140" t="s">
        <v>13572</v>
      </c>
      <c r="D5747" s="140" t="s">
        <v>6601</v>
      </c>
      <c r="E5747" s="140" t="s">
        <v>526</v>
      </c>
      <c r="F5747" s="140" t="s">
        <v>591</v>
      </c>
      <c r="G5747" s="141" t="s">
        <v>6401</v>
      </c>
      <c r="H5747" s="140" t="s">
        <v>6312</v>
      </c>
      <c r="I5747" s="140" t="s">
        <v>6313</v>
      </c>
      <c r="J5747" s="140" t="s">
        <v>6314</v>
      </c>
      <c r="K5747" s="140" t="s">
        <v>6966</v>
      </c>
    </row>
    <row r="5748">
      <c r="A5748" s="140" t="s">
        <v>13530</v>
      </c>
      <c r="B5748" s="140" t="s">
        <v>5126</v>
      </c>
      <c r="C5748" s="140" t="s">
        <v>13573</v>
      </c>
      <c r="D5748" s="140" t="s">
        <v>6601</v>
      </c>
      <c r="E5748" s="140" t="s">
        <v>526</v>
      </c>
      <c r="F5748" s="140" t="s">
        <v>591</v>
      </c>
      <c r="G5748" s="141" t="s">
        <v>6401</v>
      </c>
      <c r="H5748" s="140" t="s">
        <v>6312</v>
      </c>
      <c r="I5748" s="140" t="s">
        <v>6313</v>
      </c>
      <c r="J5748" s="140" t="s">
        <v>6314</v>
      </c>
      <c r="K5748" s="140" t="s">
        <v>6966</v>
      </c>
    </row>
    <row r="5749">
      <c r="A5749" s="140" t="s">
        <v>13574</v>
      </c>
      <c r="B5749" s="143">
        <v>5.05576E12</v>
      </c>
      <c r="C5749" s="140" t="s">
        <v>13575</v>
      </c>
      <c r="D5749" s="140" t="s">
        <v>6620</v>
      </c>
      <c r="E5749" s="140" t="s">
        <v>6621</v>
      </c>
      <c r="F5749" s="140" t="s">
        <v>13409</v>
      </c>
      <c r="G5749" s="141" t="s">
        <v>6401</v>
      </c>
      <c r="H5749" s="140" t="s">
        <v>6312</v>
      </c>
      <c r="I5749" s="140" t="s">
        <v>6313</v>
      </c>
      <c r="J5749" s="140" t="s">
        <v>6314</v>
      </c>
      <c r="K5749" s="140" t="s">
        <v>6751</v>
      </c>
    </row>
    <row r="5750">
      <c r="A5750" s="140" t="s">
        <v>13574</v>
      </c>
      <c r="B5750" s="143">
        <v>5.05576E12</v>
      </c>
      <c r="C5750" s="140" t="s">
        <v>13576</v>
      </c>
      <c r="D5750" s="140" t="s">
        <v>6620</v>
      </c>
      <c r="E5750" s="140" t="s">
        <v>6621</v>
      </c>
      <c r="F5750" s="140" t="s">
        <v>13409</v>
      </c>
      <c r="G5750" s="141" t="s">
        <v>6401</v>
      </c>
      <c r="H5750" s="140" t="s">
        <v>6312</v>
      </c>
      <c r="I5750" s="140" t="s">
        <v>6313</v>
      </c>
      <c r="J5750" s="140" t="s">
        <v>6314</v>
      </c>
      <c r="K5750" s="140" t="s">
        <v>6751</v>
      </c>
    </row>
    <row r="5751">
      <c r="A5751" s="140" t="s">
        <v>13574</v>
      </c>
      <c r="B5751" s="143">
        <v>5.05576E12</v>
      </c>
      <c r="C5751" s="140" t="s">
        <v>13577</v>
      </c>
      <c r="D5751" s="140" t="s">
        <v>6620</v>
      </c>
      <c r="E5751" s="140" t="s">
        <v>6621</v>
      </c>
      <c r="F5751" s="140" t="s">
        <v>13409</v>
      </c>
      <c r="G5751" s="141" t="s">
        <v>6401</v>
      </c>
      <c r="H5751" s="140" t="s">
        <v>6312</v>
      </c>
      <c r="I5751" s="140" t="s">
        <v>6313</v>
      </c>
      <c r="J5751" s="140" t="s">
        <v>6314</v>
      </c>
      <c r="K5751" s="140" t="s">
        <v>6751</v>
      </c>
    </row>
    <row r="5752">
      <c r="A5752" s="140" t="s">
        <v>13574</v>
      </c>
      <c r="B5752" s="143">
        <v>5.05576E12</v>
      </c>
      <c r="C5752" s="140" t="s">
        <v>13578</v>
      </c>
      <c r="D5752" s="140" t="s">
        <v>6620</v>
      </c>
      <c r="E5752" s="140" t="s">
        <v>6621</v>
      </c>
      <c r="F5752" s="140" t="s">
        <v>13409</v>
      </c>
      <c r="G5752" s="141" t="s">
        <v>6401</v>
      </c>
      <c r="H5752" s="140" t="s">
        <v>6312</v>
      </c>
      <c r="I5752" s="140" t="s">
        <v>6313</v>
      </c>
      <c r="J5752" s="140" t="s">
        <v>6314</v>
      </c>
      <c r="K5752" s="140" t="s">
        <v>6751</v>
      </c>
    </row>
    <row r="5753">
      <c r="A5753" s="140" t="s">
        <v>13574</v>
      </c>
      <c r="B5753" s="143">
        <v>5.05576E12</v>
      </c>
      <c r="C5753" s="140" t="s">
        <v>13579</v>
      </c>
      <c r="D5753" s="140" t="s">
        <v>6620</v>
      </c>
      <c r="E5753" s="140" t="s">
        <v>6621</v>
      </c>
      <c r="F5753" s="140" t="s">
        <v>13409</v>
      </c>
      <c r="G5753" s="141" t="s">
        <v>6401</v>
      </c>
      <c r="H5753" s="140" t="s">
        <v>6312</v>
      </c>
      <c r="I5753" s="140" t="s">
        <v>6313</v>
      </c>
      <c r="J5753" s="140" t="s">
        <v>6314</v>
      </c>
      <c r="K5753" s="140" t="s">
        <v>6751</v>
      </c>
    </row>
    <row r="5754">
      <c r="A5754" s="140" t="s">
        <v>13574</v>
      </c>
      <c r="B5754" s="143">
        <v>5.05576E12</v>
      </c>
      <c r="C5754" s="140" t="s">
        <v>13580</v>
      </c>
      <c r="D5754" s="140" t="s">
        <v>6620</v>
      </c>
      <c r="E5754" s="140" t="s">
        <v>6621</v>
      </c>
      <c r="F5754" s="140" t="s">
        <v>13409</v>
      </c>
      <c r="G5754" s="141" t="s">
        <v>6401</v>
      </c>
      <c r="H5754" s="140" t="s">
        <v>6312</v>
      </c>
      <c r="I5754" s="140" t="s">
        <v>6313</v>
      </c>
      <c r="J5754" s="140" t="s">
        <v>6314</v>
      </c>
      <c r="K5754" s="140" t="s">
        <v>6751</v>
      </c>
    </row>
    <row r="5755">
      <c r="A5755" s="140" t="s">
        <v>13574</v>
      </c>
      <c r="B5755" s="143">
        <v>5.05576E12</v>
      </c>
      <c r="C5755" s="140" t="s">
        <v>13581</v>
      </c>
      <c r="D5755" s="140" t="s">
        <v>6620</v>
      </c>
      <c r="E5755" s="140" t="s">
        <v>6621</v>
      </c>
      <c r="F5755" s="140" t="s">
        <v>13409</v>
      </c>
      <c r="G5755" s="141" t="s">
        <v>6401</v>
      </c>
      <c r="H5755" s="140" t="s">
        <v>6312</v>
      </c>
      <c r="I5755" s="140" t="s">
        <v>6313</v>
      </c>
      <c r="J5755" s="140" t="s">
        <v>6314</v>
      </c>
      <c r="K5755" s="140" t="s">
        <v>6751</v>
      </c>
    </row>
    <row r="5756">
      <c r="A5756" s="140" t="s">
        <v>13574</v>
      </c>
      <c r="B5756" s="143">
        <v>5.05576E12</v>
      </c>
      <c r="C5756" s="140" t="s">
        <v>13582</v>
      </c>
      <c r="D5756" s="140" t="s">
        <v>6620</v>
      </c>
      <c r="E5756" s="140" t="s">
        <v>6621</v>
      </c>
      <c r="F5756" s="140" t="s">
        <v>8910</v>
      </c>
      <c r="G5756" s="141" t="s">
        <v>6401</v>
      </c>
      <c r="H5756" s="140" t="s">
        <v>6312</v>
      </c>
      <c r="I5756" s="140" t="s">
        <v>6313</v>
      </c>
      <c r="J5756" s="140" t="s">
        <v>6314</v>
      </c>
      <c r="K5756" s="140" t="s">
        <v>6751</v>
      </c>
    </row>
    <row r="5757">
      <c r="A5757" s="140" t="s">
        <v>13574</v>
      </c>
      <c r="B5757" s="143">
        <v>5.05576E12</v>
      </c>
      <c r="C5757" s="140" t="s">
        <v>13583</v>
      </c>
      <c r="D5757" s="140" t="s">
        <v>6620</v>
      </c>
      <c r="E5757" s="140" t="s">
        <v>6621</v>
      </c>
      <c r="F5757" s="140" t="s">
        <v>8910</v>
      </c>
      <c r="G5757" s="141" t="s">
        <v>6401</v>
      </c>
      <c r="H5757" s="140" t="s">
        <v>6312</v>
      </c>
      <c r="I5757" s="140" t="s">
        <v>6313</v>
      </c>
      <c r="J5757" s="140" t="s">
        <v>6314</v>
      </c>
      <c r="K5757" s="140" t="s">
        <v>6751</v>
      </c>
    </row>
    <row r="5758">
      <c r="A5758" s="140" t="s">
        <v>13574</v>
      </c>
      <c r="B5758" s="143">
        <v>5.05576E12</v>
      </c>
      <c r="C5758" s="140" t="s">
        <v>13584</v>
      </c>
      <c r="D5758" s="140" t="s">
        <v>6620</v>
      </c>
      <c r="E5758" s="140" t="s">
        <v>6621</v>
      </c>
      <c r="F5758" s="140" t="s">
        <v>6777</v>
      </c>
      <c r="G5758" s="141" t="s">
        <v>6401</v>
      </c>
      <c r="H5758" s="140" t="s">
        <v>6312</v>
      </c>
      <c r="I5758" s="140" t="s">
        <v>6313</v>
      </c>
      <c r="J5758" s="140" t="s">
        <v>6314</v>
      </c>
      <c r="K5758" s="140" t="s">
        <v>6751</v>
      </c>
    </row>
    <row r="5759">
      <c r="A5759" s="140" t="s">
        <v>13574</v>
      </c>
      <c r="B5759" s="143">
        <v>5.05576E12</v>
      </c>
      <c r="C5759" s="140" t="s">
        <v>13585</v>
      </c>
      <c r="D5759" s="140" t="s">
        <v>6620</v>
      </c>
      <c r="E5759" s="140" t="s">
        <v>6621</v>
      </c>
      <c r="F5759" s="140" t="s">
        <v>6777</v>
      </c>
      <c r="G5759" s="141" t="s">
        <v>6401</v>
      </c>
      <c r="H5759" s="140" t="s">
        <v>6312</v>
      </c>
      <c r="I5759" s="140" t="s">
        <v>6313</v>
      </c>
      <c r="J5759" s="140" t="s">
        <v>6314</v>
      </c>
      <c r="K5759" s="140" t="s">
        <v>6751</v>
      </c>
    </row>
    <row r="5760">
      <c r="A5760" s="140" t="s">
        <v>13574</v>
      </c>
      <c r="B5760" s="143">
        <v>5.05576E12</v>
      </c>
      <c r="C5760" s="140" t="s">
        <v>13586</v>
      </c>
      <c r="D5760" s="140" t="s">
        <v>6620</v>
      </c>
      <c r="E5760" s="140" t="s">
        <v>6621</v>
      </c>
      <c r="F5760" s="140" t="s">
        <v>6777</v>
      </c>
      <c r="G5760" s="141" t="s">
        <v>6401</v>
      </c>
      <c r="H5760" s="140" t="s">
        <v>6312</v>
      </c>
      <c r="I5760" s="140" t="s">
        <v>6313</v>
      </c>
      <c r="J5760" s="140" t="s">
        <v>6314</v>
      </c>
      <c r="K5760" s="140" t="s">
        <v>6751</v>
      </c>
    </row>
    <row r="5761">
      <c r="A5761" s="140" t="s">
        <v>13574</v>
      </c>
      <c r="B5761" s="143">
        <v>5.05576E12</v>
      </c>
      <c r="C5761" s="140" t="s">
        <v>13587</v>
      </c>
      <c r="D5761" s="140" t="s">
        <v>6620</v>
      </c>
      <c r="E5761" s="140" t="s">
        <v>6621</v>
      </c>
      <c r="F5761" s="140" t="s">
        <v>8945</v>
      </c>
      <c r="G5761" s="141" t="s">
        <v>6401</v>
      </c>
      <c r="H5761" s="140" t="s">
        <v>6312</v>
      </c>
      <c r="I5761" s="140" t="s">
        <v>6313</v>
      </c>
      <c r="J5761" s="140" t="s">
        <v>6314</v>
      </c>
      <c r="K5761" s="140" t="s">
        <v>6751</v>
      </c>
    </row>
    <row r="5762">
      <c r="A5762" s="140" t="s">
        <v>13574</v>
      </c>
      <c r="B5762" s="143">
        <v>5.05576E12</v>
      </c>
      <c r="C5762" s="140" t="s">
        <v>13588</v>
      </c>
      <c r="D5762" s="140" t="s">
        <v>6620</v>
      </c>
      <c r="E5762" s="140" t="s">
        <v>6621</v>
      </c>
      <c r="F5762" s="140" t="s">
        <v>8945</v>
      </c>
      <c r="G5762" s="141" t="s">
        <v>6401</v>
      </c>
      <c r="H5762" s="140" t="s">
        <v>6312</v>
      </c>
      <c r="I5762" s="140" t="s">
        <v>6313</v>
      </c>
      <c r="J5762" s="140" t="s">
        <v>6314</v>
      </c>
      <c r="K5762" s="140" t="s">
        <v>6751</v>
      </c>
    </row>
    <row r="5763">
      <c r="A5763" s="140" t="s">
        <v>13574</v>
      </c>
      <c r="B5763" s="143">
        <v>5.05576E12</v>
      </c>
      <c r="C5763" s="140" t="s">
        <v>13589</v>
      </c>
      <c r="D5763" s="140" t="s">
        <v>6620</v>
      </c>
      <c r="E5763" s="140" t="s">
        <v>6621</v>
      </c>
      <c r="F5763" s="140" t="s">
        <v>8945</v>
      </c>
      <c r="G5763" s="141" t="s">
        <v>6401</v>
      </c>
      <c r="H5763" s="140" t="s">
        <v>6312</v>
      </c>
      <c r="I5763" s="140" t="s">
        <v>6313</v>
      </c>
      <c r="J5763" s="140" t="s">
        <v>6314</v>
      </c>
      <c r="K5763" s="140" t="s">
        <v>6751</v>
      </c>
    </row>
    <row r="5764">
      <c r="A5764" s="140" t="s">
        <v>13574</v>
      </c>
      <c r="B5764" s="143">
        <v>5.05576E12</v>
      </c>
      <c r="C5764" s="140" t="s">
        <v>13590</v>
      </c>
      <c r="D5764" s="140" t="s">
        <v>6620</v>
      </c>
      <c r="E5764" s="140" t="s">
        <v>6621</v>
      </c>
      <c r="F5764" s="140" t="s">
        <v>8945</v>
      </c>
      <c r="G5764" s="141" t="s">
        <v>6401</v>
      </c>
      <c r="H5764" s="140" t="s">
        <v>6312</v>
      </c>
      <c r="I5764" s="140" t="s">
        <v>6313</v>
      </c>
      <c r="J5764" s="140" t="s">
        <v>6314</v>
      </c>
      <c r="K5764" s="140" t="s">
        <v>6751</v>
      </c>
    </row>
    <row r="5765">
      <c r="A5765" s="140" t="s">
        <v>5990</v>
      </c>
      <c r="B5765" s="140">
        <v>163806.0</v>
      </c>
      <c r="C5765" s="140" t="s">
        <v>13591</v>
      </c>
      <c r="D5765" s="140" t="s">
        <v>6318</v>
      </c>
      <c r="E5765" s="140" t="s">
        <v>8000</v>
      </c>
      <c r="F5765" s="140" t="s">
        <v>8001</v>
      </c>
      <c r="G5765" s="141" t="s">
        <v>6311</v>
      </c>
      <c r="H5765" s="140" t="s">
        <v>6330</v>
      </c>
      <c r="I5765" s="140" t="s">
        <v>6313</v>
      </c>
      <c r="J5765" s="140" t="s">
        <v>6314</v>
      </c>
      <c r="K5765" s="140" t="s">
        <v>6320</v>
      </c>
    </row>
    <row r="5766">
      <c r="A5766" s="140" t="s">
        <v>5990</v>
      </c>
      <c r="B5766" s="140">
        <v>167967.0</v>
      </c>
      <c r="C5766" s="140" t="s">
        <v>13592</v>
      </c>
      <c r="D5766" s="140" t="s">
        <v>6318</v>
      </c>
      <c r="E5766" s="140" t="s">
        <v>8000</v>
      </c>
      <c r="F5766" s="140" t="s">
        <v>8001</v>
      </c>
      <c r="G5766" s="141" t="s">
        <v>6311</v>
      </c>
      <c r="H5766" s="140" t="s">
        <v>6330</v>
      </c>
      <c r="I5766" s="140" t="s">
        <v>6313</v>
      </c>
      <c r="J5766" s="140" t="s">
        <v>6314</v>
      </c>
      <c r="K5766" s="140" t="s">
        <v>6320</v>
      </c>
    </row>
    <row r="5767">
      <c r="A5767" s="140" t="s">
        <v>5990</v>
      </c>
      <c r="B5767" s="140">
        <v>6.73692043E8</v>
      </c>
      <c r="C5767" s="140" t="s">
        <v>13593</v>
      </c>
      <c r="D5767" s="140" t="s">
        <v>6318</v>
      </c>
      <c r="E5767" s="140" t="s">
        <v>8000</v>
      </c>
      <c r="F5767" s="140" t="s">
        <v>8001</v>
      </c>
      <c r="G5767" s="141" t="s">
        <v>6311</v>
      </c>
      <c r="H5767" s="140" t="s">
        <v>6330</v>
      </c>
      <c r="I5767" s="140" t="s">
        <v>6313</v>
      </c>
      <c r="J5767" s="140" t="s">
        <v>6314</v>
      </c>
      <c r="K5767" s="140" t="s">
        <v>6320</v>
      </c>
    </row>
    <row r="5768">
      <c r="A5768" s="140" t="s">
        <v>5990</v>
      </c>
      <c r="B5768" s="140">
        <v>6.73656103E8</v>
      </c>
      <c r="C5768" s="140" t="s">
        <v>13594</v>
      </c>
      <c r="D5768" s="140" t="s">
        <v>6318</v>
      </c>
      <c r="E5768" s="140" t="s">
        <v>8000</v>
      </c>
      <c r="F5768" s="140" t="s">
        <v>8001</v>
      </c>
      <c r="G5768" s="141" t="s">
        <v>6311</v>
      </c>
      <c r="H5768" s="140" t="s">
        <v>6330</v>
      </c>
      <c r="I5768" s="140" t="s">
        <v>6313</v>
      </c>
      <c r="J5768" s="140" t="s">
        <v>6314</v>
      </c>
      <c r="K5768" s="140" t="s">
        <v>6320</v>
      </c>
    </row>
    <row r="5769">
      <c r="A5769" s="140" t="s">
        <v>13595</v>
      </c>
      <c r="B5769" s="140" t="s">
        <v>13596</v>
      </c>
      <c r="C5769" s="140" t="s">
        <v>13597</v>
      </c>
      <c r="D5769" s="140" t="s">
        <v>6309</v>
      </c>
      <c r="E5769" s="140">
        <v>0.0</v>
      </c>
      <c r="F5769" s="140" t="s">
        <v>13598</v>
      </c>
      <c r="G5769" s="141" t="s">
        <v>6401</v>
      </c>
      <c r="H5769" s="140" t="s">
        <v>6312</v>
      </c>
      <c r="I5769" s="140" t="s">
        <v>6313</v>
      </c>
      <c r="J5769" s="140" t="s">
        <v>6314</v>
      </c>
      <c r="K5769" s="140" t="s">
        <v>7023</v>
      </c>
    </row>
    <row r="5770">
      <c r="A5770" s="140" t="s">
        <v>13595</v>
      </c>
      <c r="B5770" s="140" t="s">
        <v>13599</v>
      </c>
      <c r="C5770" s="140" t="s">
        <v>13600</v>
      </c>
      <c r="D5770" s="140" t="s">
        <v>6309</v>
      </c>
      <c r="E5770" s="140">
        <v>0.0</v>
      </c>
      <c r="F5770" s="140" t="s">
        <v>13598</v>
      </c>
      <c r="G5770" s="141" t="s">
        <v>6401</v>
      </c>
      <c r="H5770" s="140" t="s">
        <v>6312</v>
      </c>
      <c r="I5770" s="140" t="s">
        <v>6313</v>
      </c>
      <c r="J5770" s="140" t="s">
        <v>6314</v>
      </c>
      <c r="K5770" s="140" t="s">
        <v>7023</v>
      </c>
    </row>
    <row r="5771">
      <c r="A5771" s="140" t="s">
        <v>13595</v>
      </c>
      <c r="B5771" s="140" t="s">
        <v>13601</v>
      </c>
      <c r="C5771" s="140" t="s">
        <v>13602</v>
      </c>
      <c r="D5771" s="140" t="s">
        <v>6309</v>
      </c>
      <c r="E5771" s="140">
        <v>0.0</v>
      </c>
      <c r="F5771" s="140" t="s">
        <v>13598</v>
      </c>
      <c r="G5771" s="141" t="s">
        <v>6401</v>
      </c>
      <c r="H5771" s="140" t="s">
        <v>6312</v>
      </c>
      <c r="I5771" s="140" t="s">
        <v>6313</v>
      </c>
      <c r="J5771" s="140" t="s">
        <v>6314</v>
      </c>
      <c r="K5771" s="140" t="s">
        <v>7023</v>
      </c>
    </row>
    <row r="5772">
      <c r="A5772" s="140" t="s">
        <v>13595</v>
      </c>
      <c r="B5772" s="140" t="s">
        <v>13603</v>
      </c>
      <c r="C5772" s="140" t="s">
        <v>13604</v>
      </c>
      <c r="D5772" s="140" t="s">
        <v>6309</v>
      </c>
      <c r="E5772" s="140">
        <v>0.0</v>
      </c>
      <c r="F5772" s="140" t="s">
        <v>13598</v>
      </c>
      <c r="G5772" s="141" t="s">
        <v>6401</v>
      </c>
      <c r="H5772" s="140" t="s">
        <v>6312</v>
      </c>
      <c r="I5772" s="140" t="s">
        <v>6313</v>
      </c>
      <c r="J5772" s="140" t="s">
        <v>6314</v>
      </c>
      <c r="K5772" s="140" t="s">
        <v>7023</v>
      </c>
    </row>
    <row r="5773">
      <c r="A5773" s="140" t="s">
        <v>13595</v>
      </c>
      <c r="B5773" s="140" t="s">
        <v>13605</v>
      </c>
      <c r="C5773" s="140" t="s">
        <v>13606</v>
      </c>
      <c r="D5773" s="140" t="s">
        <v>6309</v>
      </c>
      <c r="E5773" s="140">
        <v>0.0</v>
      </c>
      <c r="F5773" s="140" t="s">
        <v>13598</v>
      </c>
      <c r="G5773" s="141" t="s">
        <v>6401</v>
      </c>
      <c r="H5773" s="140" t="s">
        <v>6312</v>
      </c>
      <c r="I5773" s="140" t="s">
        <v>6313</v>
      </c>
      <c r="J5773" s="140" t="s">
        <v>6314</v>
      </c>
      <c r="K5773" s="140" t="s">
        <v>7023</v>
      </c>
    </row>
    <row r="5774">
      <c r="A5774" s="140" t="s">
        <v>13595</v>
      </c>
      <c r="B5774" s="140" t="s">
        <v>13607</v>
      </c>
      <c r="C5774" s="140" t="s">
        <v>13608</v>
      </c>
      <c r="D5774" s="140" t="s">
        <v>6309</v>
      </c>
      <c r="E5774" s="140">
        <v>0.0</v>
      </c>
      <c r="F5774" s="140" t="s">
        <v>13598</v>
      </c>
      <c r="G5774" s="141" t="s">
        <v>6401</v>
      </c>
      <c r="H5774" s="140" t="s">
        <v>6312</v>
      </c>
      <c r="I5774" s="140" t="s">
        <v>6313</v>
      </c>
      <c r="J5774" s="140" t="s">
        <v>6314</v>
      </c>
      <c r="K5774" s="140" t="s">
        <v>7023</v>
      </c>
    </row>
    <row r="5775">
      <c r="A5775" s="140" t="s">
        <v>13595</v>
      </c>
      <c r="B5775" s="140" t="s">
        <v>13609</v>
      </c>
      <c r="C5775" s="140" t="s">
        <v>13610</v>
      </c>
      <c r="D5775" s="140" t="s">
        <v>6309</v>
      </c>
      <c r="E5775" s="140">
        <v>0.0</v>
      </c>
      <c r="F5775" s="140" t="s">
        <v>13598</v>
      </c>
      <c r="G5775" s="141" t="s">
        <v>6401</v>
      </c>
      <c r="H5775" s="140" t="s">
        <v>6312</v>
      </c>
      <c r="I5775" s="140" t="s">
        <v>6313</v>
      </c>
      <c r="J5775" s="140" t="s">
        <v>6314</v>
      </c>
      <c r="K5775" s="140" t="s">
        <v>7023</v>
      </c>
    </row>
    <row r="5776">
      <c r="A5776" s="140" t="s">
        <v>13595</v>
      </c>
      <c r="B5776" s="140" t="s">
        <v>13611</v>
      </c>
      <c r="C5776" s="140" t="s">
        <v>13612</v>
      </c>
      <c r="D5776" s="140" t="s">
        <v>6309</v>
      </c>
      <c r="E5776" s="140">
        <v>0.0</v>
      </c>
      <c r="F5776" s="140" t="s">
        <v>13598</v>
      </c>
      <c r="G5776" s="141" t="s">
        <v>6401</v>
      </c>
      <c r="H5776" s="140" t="s">
        <v>6312</v>
      </c>
      <c r="I5776" s="140" t="s">
        <v>6313</v>
      </c>
      <c r="J5776" s="140" t="s">
        <v>6314</v>
      </c>
      <c r="K5776" s="140" t="s">
        <v>7023</v>
      </c>
    </row>
    <row r="5777">
      <c r="A5777" s="140" t="s">
        <v>13595</v>
      </c>
      <c r="B5777" s="140" t="s">
        <v>13613</v>
      </c>
      <c r="C5777" s="140" t="s">
        <v>13614</v>
      </c>
      <c r="D5777" s="140" t="s">
        <v>6309</v>
      </c>
      <c r="E5777" s="140">
        <v>0.0</v>
      </c>
      <c r="F5777" s="140" t="s">
        <v>13598</v>
      </c>
      <c r="G5777" s="141" t="s">
        <v>6401</v>
      </c>
      <c r="H5777" s="140" t="s">
        <v>6312</v>
      </c>
      <c r="I5777" s="140" t="s">
        <v>6313</v>
      </c>
      <c r="J5777" s="140" t="s">
        <v>6314</v>
      </c>
      <c r="K5777" s="140" t="s">
        <v>7023</v>
      </c>
    </row>
    <row r="5778">
      <c r="A5778" s="140" t="s">
        <v>13595</v>
      </c>
      <c r="B5778" s="140" t="s">
        <v>13615</v>
      </c>
      <c r="C5778" s="140" t="s">
        <v>13616</v>
      </c>
      <c r="D5778" s="140" t="s">
        <v>6309</v>
      </c>
      <c r="E5778" s="140">
        <v>0.0</v>
      </c>
      <c r="F5778" s="140" t="s">
        <v>13598</v>
      </c>
      <c r="G5778" s="141" t="s">
        <v>6401</v>
      </c>
      <c r="H5778" s="140" t="s">
        <v>6312</v>
      </c>
      <c r="I5778" s="140" t="s">
        <v>6313</v>
      </c>
      <c r="J5778" s="140" t="s">
        <v>6314</v>
      </c>
      <c r="K5778" s="140" t="s">
        <v>7023</v>
      </c>
    </row>
    <row r="5779">
      <c r="A5779" s="140" t="s">
        <v>13595</v>
      </c>
      <c r="B5779" s="140" t="s">
        <v>13617</v>
      </c>
      <c r="C5779" s="140" t="s">
        <v>13618</v>
      </c>
      <c r="D5779" s="140" t="s">
        <v>6309</v>
      </c>
      <c r="E5779" s="140">
        <v>0.0</v>
      </c>
      <c r="F5779" s="140" t="s">
        <v>13598</v>
      </c>
      <c r="G5779" s="141" t="s">
        <v>6401</v>
      </c>
      <c r="H5779" s="140" t="s">
        <v>6312</v>
      </c>
      <c r="I5779" s="140" t="s">
        <v>6313</v>
      </c>
      <c r="J5779" s="140" t="s">
        <v>6314</v>
      </c>
      <c r="K5779" s="140" t="s">
        <v>7023</v>
      </c>
    </row>
    <row r="5780">
      <c r="A5780" s="140" t="s">
        <v>13595</v>
      </c>
      <c r="B5780" s="140" t="s">
        <v>13619</v>
      </c>
      <c r="C5780" s="140" t="s">
        <v>13620</v>
      </c>
      <c r="D5780" s="140" t="s">
        <v>6309</v>
      </c>
      <c r="E5780" s="140">
        <v>0.0</v>
      </c>
      <c r="F5780" s="140" t="s">
        <v>13598</v>
      </c>
      <c r="G5780" s="141" t="s">
        <v>6401</v>
      </c>
      <c r="H5780" s="140" t="s">
        <v>6312</v>
      </c>
      <c r="I5780" s="140" t="s">
        <v>6313</v>
      </c>
      <c r="J5780" s="140" t="s">
        <v>6314</v>
      </c>
      <c r="K5780" s="140" t="s">
        <v>7023</v>
      </c>
    </row>
    <row r="5781">
      <c r="A5781" s="140" t="s">
        <v>13595</v>
      </c>
      <c r="B5781" s="140" t="s">
        <v>13621</v>
      </c>
      <c r="C5781" s="140" t="s">
        <v>13622</v>
      </c>
      <c r="D5781" s="140" t="s">
        <v>6309</v>
      </c>
      <c r="E5781" s="140">
        <v>0.0</v>
      </c>
      <c r="F5781" s="140" t="s">
        <v>13598</v>
      </c>
      <c r="G5781" s="141" t="s">
        <v>6401</v>
      </c>
      <c r="H5781" s="140" t="s">
        <v>6312</v>
      </c>
      <c r="I5781" s="140" t="s">
        <v>6313</v>
      </c>
      <c r="J5781" s="140" t="s">
        <v>6314</v>
      </c>
      <c r="K5781" s="140" t="s">
        <v>7023</v>
      </c>
    </row>
    <row r="5782">
      <c r="A5782" s="140" t="s">
        <v>13595</v>
      </c>
      <c r="B5782" s="140" t="s">
        <v>13623</v>
      </c>
      <c r="C5782" s="140" t="s">
        <v>13624</v>
      </c>
      <c r="D5782" s="140" t="s">
        <v>6309</v>
      </c>
      <c r="E5782" s="140">
        <v>0.0</v>
      </c>
      <c r="F5782" s="140" t="s">
        <v>13598</v>
      </c>
      <c r="G5782" s="141" t="s">
        <v>6401</v>
      </c>
      <c r="H5782" s="140" t="s">
        <v>6312</v>
      </c>
      <c r="I5782" s="140" t="s">
        <v>6313</v>
      </c>
      <c r="J5782" s="140" t="s">
        <v>6314</v>
      </c>
      <c r="K5782" s="140" t="s">
        <v>7023</v>
      </c>
    </row>
    <row r="5783">
      <c r="A5783" s="140" t="s">
        <v>13595</v>
      </c>
      <c r="B5783" s="140" t="s">
        <v>13625</v>
      </c>
      <c r="C5783" s="140" t="s">
        <v>13626</v>
      </c>
      <c r="D5783" s="140" t="s">
        <v>6309</v>
      </c>
      <c r="E5783" s="140">
        <v>0.0</v>
      </c>
      <c r="F5783" s="140" t="s">
        <v>13598</v>
      </c>
      <c r="G5783" s="141" t="s">
        <v>6401</v>
      </c>
      <c r="H5783" s="140" t="s">
        <v>6312</v>
      </c>
      <c r="I5783" s="140" t="s">
        <v>6313</v>
      </c>
      <c r="J5783" s="140" t="s">
        <v>6314</v>
      </c>
      <c r="K5783" s="140" t="s">
        <v>7023</v>
      </c>
    </row>
    <row r="5784">
      <c r="A5784" s="140" t="s">
        <v>13595</v>
      </c>
      <c r="B5784" s="140" t="s">
        <v>13627</v>
      </c>
      <c r="C5784" s="140" t="s">
        <v>13628</v>
      </c>
      <c r="D5784" s="140" t="s">
        <v>6309</v>
      </c>
      <c r="E5784" s="140">
        <v>0.0</v>
      </c>
      <c r="F5784" s="140" t="s">
        <v>13598</v>
      </c>
      <c r="G5784" s="141" t="s">
        <v>6401</v>
      </c>
      <c r="H5784" s="140" t="s">
        <v>6312</v>
      </c>
      <c r="I5784" s="140" t="s">
        <v>6313</v>
      </c>
      <c r="J5784" s="140" t="s">
        <v>6314</v>
      </c>
      <c r="K5784" s="140" t="s">
        <v>7023</v>
      </c>
    </row>
    <row r="5785">
      <c r="A5785" s="140" t="s">
        <v>13595</v>
      </c>
      <c r="B5785" s="140" t="s">
        <v>13629</v>
      </c>
      <c r="C5785" s="140" t="s">
        <v>13630</v>
      </c>
      <c r="D5785" s="140" t="s">
        <v>6309</v>
      </c>
      <c r="E5785" s="140">
        <v>0.0</v>
      </c>
      <c r="F5785" s="140" t="s">
        <v>13598</v>
      </c>
      <c r="G5785" s="141" t="s">
        <v>6401</v>
      </c>
      <c r="H5785" s="140" t="s">
        <v>6312</v>
      </c>
      <c r="I5785" s="140" t="s">
        <v>6313</v>
      </c>
      <c r="J5785" s="140" t="s">
        <v>6314</v>
      </c>
      <c r="K5785" s="140" t="s">
        <v>7023</v>
      </c>
    </row>
    <row r="5786">
      <c r="A5786" s="140" t="s">
        <v>13595</v>
      </c>
      <c r="B5786" s="140" t="s">
        <v>13631</v>
      </c>
      <c r="C5786" s="140" t="s">
        <v>13632</v>
      </c>
      <c r="D5786" s="140" t="s">
        <v>6309</v>
      </c>
      <c r="E5786" s="140">
        <v>0.0</v>
      </c>
      <c r="F5786" s="140" t="s">
        <v>13598</v>
      </c>
      <c r="G5786" s="141" t="s">
        <v>6401</v>
      </c>
      <c r="H5786" s="140" t="s">
        <v>6312</v>
      </c>
      <c r="I5786" s="140" t="s">
        <v>6313</v>
      </c>
      <c r="J5786" s="140" t="s">
        <v>6314</v>
      </c>
      <c r="K5786" s="140" t="s">
        <v>7023</v>
      </c>
    </row>
    <row r="5787">
      <c r="A5787" s="140" t="s">
        <v>13595</v>
      </c>
      <c r="B5787" s="140" t="s">
        <v>13633</v>
      </c>
      <c r="C5787" s="140" t="s">
        <v>13634</v>
      </c>
      <c r="D5787" s="140" t="s">
        <v>6309</v>
      </c>
      <c r="E5787" s="140">
        <v>0.0</v>
      </c>
      <c r="F5787" s="140" t="s">
        <v>13635</v>
      </c>
      <c r="G5787" s="141" t="s">
        <v>6401</v>
      </c>
      <c r="H5787" s="140" t="s">
        <v>6312</v>
      </c>
      <c r="I5787" s="140" t="s">
        <v>6313</v>
      </c>
      <c r="J5787" s="140" t="s">
        <v>6314</v>
      </c>
      <c r="K5787" s="140" t="s">
        <v>7023</v>
      </c>
    </row>
    <row r="5788">
      <c r="A5788" s="140" t="s">
        <v>13595</v>
      </c>
      <c r="B5788" s="140" t="s">
        <v>13636</v>
      </c>
      <c r="C5788" s="140" t="s">
        <v>13637</v>
      </c>
      <c r="D5788" s="140" t="s">
        <v>6309</v>
      </c>
      <c r="E5788" s="140">
        <v>0.0</v>
      </c>
      <c r="F5788" s="140" t="s">
        <v>13635</v>
      </c>
      <c r="G5788" s="141" t="s">
        <v>6401</v>
      </c>
      <c r="H5788" s="140" t="s">
        <v>6312</v>
      </c>
      <c r="I5788" s="140" t="s">
        <v>6313</v>
      </c>
      <c r="J5788" s="140" t="s">
        <v>6314</v>
      </c>
      <c r="K5788" s="140" t="s">
        <v>7023</v>
      </c>
    </row>
    <row r="5789">
      <c r="A5789" s="140" t="s">
        <v>13595</v>
      </c>
      <c r="B5789" s="140" t="s">
        <v>13638</v>
      </c>
      <c r="C5789" s="140" t="s">
        <v>13639</v>
      </c>
      <c r="D5789" s="140" t="s">
        <v>6309</v>
      </c>
      <c r="E5789" s="140">
        <v>0.0</v>
      </c>
      <c r="F5789" s="140" t="s">
        <v>13635</v>
      </c>
      <c r="G5789" s="141" t="s">
        <v>6401</v>
      </c>
      <c r="H5789" s="140" t="s">
        <v>6312</v>
      </c>
      <c r="I5789" s="140" t="s">
        <v>6313</v>
      </c>
      <c r="J5789" s="140" t="s">
        <v>6314</v>
      </c>
      <c r="K5789" s="140" t="s">
        <v>7023</v>
      </c>
    </row>
    <row r="5790">
      <c r="A5790" s="140" t="s">
        <v>13595</v>
      </c>
      <c r="B5790" s="140" t="s">
        <v>13640</v>
      </c>
      <c r="C5790" s="140" t="s">
        <v>13641</v>
      </c>
      <c r="D5790" s="140" t="s">
        <v>6309</v>
      </c>
      <c r="E5790" s="140">
        <v>0.0</v>
      </c>
      <c r="F5790" s="140" t="s">
        <v>13635</v>
      </c>
      <c r="G5790" s="141" t="s">
        <v>6401</v>
      </c>
      <c r="H5790" s="140" t="s">
        <v>6312</v>
      </c>
      <c r="I5790" s="140" t="s">
        <v>6313</v>
      </c>
      <c r="J5790" s="140" t="s">
        <v>6314</v>
      </c>
      <c r="K5790" s="140" t="s">
        <v>7023</v>
      </c>
    </row>
    <row r="5791">
      <c r="A5791" s="140" t="s">
        <v>13595</v>
      </c>
      <c r="B5791" s="140" t="s">
        <v>13642</v>
      </c>
      <c r="C5791" s="140" t="s">
        <v>13643</v>
      </c>
      <c r="D5791" s="140" t="s">
        <v>6740</v>
      </c>
      <c r="E5791" s="140" t="s">
        <v>6741</v>
      </c>
      <c r="F5791" s="140" t="s">
        <v>7680</v>
      </c>
      <c r="G5791" s="141" t="s">
        <v>6401</v>
      </c>
      <c r="H5791" s="140" t="s">
        <v>6312</v>
      </c>
      <c r="I5791" s="140" t="s">
        <v>6313</v>
      </c>
      <c r="J5791" s="140" t="s">
        <v>6314</v>
      </c>
      <c r="K5791" s="140" t="s">
        <v>7023</v>
      </c>
    </row>
    <row r="5792">
      <c r="A5792" s="140" t="s">
        <v>13595</v>
      </c>
      <c r="B5792" s="140" t="s">
        <v>13644</v>
      </c>
      <c r="C5792" s="140" t="s">
        <v>13645</v>
      </c>
      <c r="D5792" s="140" t="s">
        <v>6740</v>
      </c>
      <c r="E5792" s="140" t="s">
        <v>6741</v>
      </c>
      <c r="F5792" s="140" t="s">
        <v>7680</v>
      </c>
      <c r="G5792" s="141" t="s">
        <v>6401</v>
      </c>
      <c r="H5792" s="140" t="s">
        <v>6312</v>
      </c>
      <c r="I5792" s="140" t="s">
        <v>6313</v>
      </c>
      <c r="J5792" s="140" t="s">
        <v>6314</v>
      </c>
      <c r="K5792" s="140" t="s">
        <v>7023</v>
      </c>
    </row>
    <row r="5793">
      <c r="A5793" s="140" t="s">
        <v>13595</v>
      </c>
      <c r="B5793" s="140" t="s">
        <v>13646</v>
      </c>
      <c r="C5793" s="140" t="s">
        <v>13647</v>
      </c>
      <c r="D5793" s="140" t="s">
        <v>6740</v>
      </c>
      <c r="E5793" s="140" t="s">
        <v>13648</v>
      </c>
      <c r="F5793" s="140" t="s">
        <v>13649</v>
      </c>
      <c r="G5793" s="141" t="s">
        <v>6401</v>
      </c>
      <c r="H5793" s="140" t="s">
        <v>6312</v>
      </c>
      <c r="I5793" s="140" t="s">
        <v>6313</v>
      </c>
      <c r="J5793" s="140" t="s">
        <v>6314</v>
      </c>
      <c r="K5793" s="140" t="s">
        <v>7023</v>
      </c>
    </row>
    <row r="5794">
      <c r="A5794" s="140" t="s">
        <v>13595</v>
      </c>
      <c r="B5794" s="140" t="s">
        <v>13650</v>
      </c>
      <c r="C5794" s="140" t="s">
        <v>13651</v>
      </c>
      <c r="D5794" s="140" t="s">
        <v>6740</v>
      </c>
      <c r="E5794" s="140" t="s">
        <v>13648</v>
      </c>
      <c r="F5794" s="140" t="s">
        <v>13649</v>
      </c>
      <c r="G5794" s="141" t="s">
        <v>6401</v>
      </c>
      <c r="H5794" s="140" t="s">
        <v>6312</v>
      </c>
      <c r="I5794" s="140" t="s">
        <v>6313</v>
      </c>
      <c r="J5794" s="140" t="s">
        <v>6314</v>
      </c>
      <c r="K5794" s="140" t="s">
        <v>7023</v>
      </c>
    </row>
    <row r="5795">
      <c r="A5795" s="140" t="s">
        <v>13652</v>
      </c>
      <c r="B5795" s="140">
        <v>26203.0</v>
      </c>
      <c r="C5795" s="140" t="s">
        <v>13653</v>
      </c>
      <c r="D5795" s="140" t="s">
        <v>6309</v>
      </c>
      <c r="E5795" s="140" t="s">
        <v>6310</v>
      </c>
      <c r="F5795" s="140" t="s">
        <v>6310</v>
      </c>
      <c r="G5795" s="141" t="s">
        <v>6311</v>
      </c>
      <c r="H5795" s="140" t="s">
        <v>6312</v>
      </c>
      <c r="I5795" s="140" t="s">
        <v>6313</v>
      </c>
      <c r="J5795" s="140" t="s">
        <v>6314</v>
      </c>
      <c r="K5795" s="140" t="s">
        <v>6315</v>
      </c>
    </row>
    <row r="5796">
      <c r="A5796" s="140" t="s">
        <v>13652</v>
      </c>
      <c r="B5796" s="140">
        <v>34036.0</v>
      </c>
      <c r="C5796" s="140" t="s">
        <v>13654</v>
      </c>
      <c r="D5796" s="140" t="s">
        <v>6309</v>
      </c>
      <c r="E5796" s="140" t="s">
        <v>6310</v>
      </c>
      <c r="F5796" s="140" t="s">
        <v>6310</v>
      </c>
      <c r="G5796" s="141" t="s">
        <v>6311</v>
      </c>
      <c r="H5796" s="140" t="s">
        <v>6312</v>
      </c>
      <c r="I5796" s="140" t="s">
        <v>6313</v>
      </c>
      <c r="J5796" s="140" t="s">
        <v>6314</v>
      </c>
      <c r="K5796" s="140" t="s">
        <v>6315</v>
      </c>
    </row>
    <row r="5797">
      <c r="A5797" s="140" t="s">
        <v>13652</v>
      </c>
      <c r="B5797" s="140">
        <v>34039.0</v>
      </c>
      <c r="C5797" s="140" t="s">
        <v>13655</v>
      </c>
      <c r="D5797" s="140" t="s">
        <v>6309</v>
      </c>
      <c r="E5797" s="140" t="s">
        <v>6310</v>
      </c>
      <c r="F5797" s="140" t="s">
        <v>6310</v>
      </c>
      <c r="G5797" s="141" t="s">
        <v>6311</v>
      </c>
      <c r="H5797" s="140" t="s">
        <v>6312</v>
      </c>
      <c r="I5797" s="140" t="s">
        <v>6313</v>
      </c>
      <c r="J5797" s="140" t="s">
        <v>6314</v>
      </c>
      <c r="K5797" s="140" t="s">
        <v>6315</v>
      </c>
    </row>
    <row r="5798">
      <c r="A5798" s="140" t="s">
        <v>13656</v>
      </c>
      <c r="B5798" s="140">
        <v>5639004.0</v>
      </c>
      <c r="C5798" s="140" t="s">
        <v>13657</v>
      </c>
      <c r="D5798" s="140" t="s">
        <v>10568</v>
      </c>
      <c r="E5798" s="140" t="s">
        <v>131</v>
      </c>
      <c r="F5798" s="140" t="s">
        <v>13658</v>
      </c>
      <c r="G5798" s="141" t="s">
        <v>6401</v>
      </c>
      <c r="H5798" s="140" t="s">
        <v>6312</v>
      </c>
      <c r="I5798" s="140" t="s">
        <v>6313</v>
      </c>
      <c r="J5798" s="140" t="s">
        <v>6314</v>
      </c>
      <c r="K5798" s="140" t="s">
        <v>13656</v>
      </c>
    </row>
    <row r="5799">
      <c r="A5799" s="140" t="s">
        <v>13656</v>
      </c>
      <c r="B5799" s="140">
        <v>5639002.0</v>
      </c>
      <c r="C5799" s="140" t="s">
        <v>13659</v>
      </c>
      <c r="D5799" s="140" t="s">
        <v>10568</v>
      </c>
      <c r="E5799" s="140" t="s">
        <v>131</v>
      </c>
      <c r="F5799" s="140" t="s">
        <v>13658</v>
      </c>
      <c r="G5799" s="141" t="s">
        <v>6401</v>
      </c>
      <c r="H5799" s="140" t="s">
        <v>6312</v>
      </c>
      <c r="I5799" s="140" t="s">
        <v>6313</v>
      </c>
      <c r="J5799" s="140" t="s">
        <v>6314</v>
      </c>
      <c r="K5799" s="140" t="s">
        <v>13656</v>
      </c>
    </row>
    <row r="5800">
      <c r="A5800" s="140" t="s">
        <v>13656</v>
      </c>
      <c r="B5800" s="140">
        <v>5639008.0</v>
      </c>
      <c r="C5800" s="140" t="s">
        <v>13660</v>
      </c>
      <c r="D5800" s="140" t="s">
        <v>10568</v>
      </c>
      <c r="E5800" s="140" t="s">
        <v>131</v>
      </c>
      <c r="F5800" s="140" t="s">
        <v>13658</v>
      </c>
      <c r="G5800" s="141" t="s">
        <v>6401</v>
      </c>
      <c r="H5800" s="140" t="s">
        <v>6312</v>
      </c>
      <c r="I5800" s="140" t="s">
        <v>6313</v>
      </c>
      <c r="J5800" s="140" t="s">
        <v>6314</v>
      </c>
      <c r="K5800" s="140" t="s">
        <v>13656</v>
      </c>
    </row>
    <row r="5801">
      <c r="A5801" s="140" t="s">
        <v>13656</v>
      </c>
      <c r="B5801" s="140">
        <v>5639006.0</v>
      </c>
      <c r="C5801" s="140" t="s">
        <v>13661</v>
      </c>
      <c r="D5801" s="140" t="s">
        <v>10568</v>
      </c>
      <c r="E5801" s="140" t="s">
        <v>131</v>
      </c>
      <c r="F5801" s="140" t="s">
        <v>13658</v>
      </c>
      <c r="G5801" s="141" t="s">
        <v>6401</v>
      </c>
      <c r="H5801" s="140" t="s">
        <v>6312</v>
      </c>
      <c r="I5801" s="140" t="s">
        <v>6313</v>
      </c>
      <c r="J5801" s="140" t="s">
        <v>6314</v>
      </c>
      <c r="K5801" s="140" t="s">
        <v>13656</v>
      </c>
    </row>
    <row r="5802">
      <c r="A5802" s="140" t="s">
        <v>13656</v>
      </c>
      <c r="B5802" s="140">
        <v>2785001.0</v>
      </c>
      <c r="C5802" s="140" t="s">
        <v>13662</v>
      </c>
      <c r="D5802" s="140" t="s">
        <v>10568</v>
      </c>
      <c r="E5802" s="140" t="s">
        <v>131</v>
      </c>
      <c r="F5802" s="140" t="s">
        <v>13663</v>
      </c>
      <c r="G5802" s="141" t="s">
        <v>6401</v>
      </c>
      <c r="H5802" s="140" t="s">
        <v>6312</v>
      </c>
      <c r="I5802" s="140" t="s">
        <v>6313</v>
      </c>
      <c r="J5802" s="140" t="s">
        <v>6314</v>
      </c>
      <c r="K5802" s="140" t="s">
        <v>13656</v>
      </c>
    </row>
    <row r="5803">
      <c r="A5803" s="140" t="s">
        <v>13656</v>
      </c>
      <c r="B5803" s="140">
        <v>2785004.0</v>
      </c>
      <c r="C5803" s="140" t="s">
        <v>13664</v>
      </c>
      <c r="D5803" s="140" t="s">
        <v>10568</v>
      </c>
      <c r="E5803" s="140" t="s">
        <v>131</v>
      </c>
      <c r="F5803" s="140" t="s">
        <v>13663</v>
      </c>
      <c r="G5803" s="141" t="s">
        <v>6401</v>
      </c>
      <c r="H5803" s="140" t="s">
        <v>6312</v>
      </c>
      <c r="I5803" s="140" t="s">
        <v>6313</v>
      </c>
      <c r="J5803" s="140" t="s">
        <v>6314</v>
      </c>
      <c r="K5803" s="140" t="s">
        <v>13656</v>
      </c>
    </row>
    <row r="5804">
      <c r="A5804" s="140" t="s">
        <v>13656</v>
      </c>
      <c r="B5804" s="140">
        <v>5751004.0</v>
      </c>
      <c r="C5804" s="140" t="s">
        <v>13665</v>
      </c>
      <c r="D5804" s="140" t="s">
        <v>10568</v>
      </c>
      <c r="E5804" s="140" t="s">
        <v>131</v>
      </c>
      <c r="F5804" s="140" t="s">
        <v>13666</v>
      </c>
      <c r="G5804" s="141" t="s">
        <v>6401</v>
      </c>
      <c r="H5804" s="140" t="s">
        <v>6312</v>
      </c>
      <c r="I5804" s="140" t="s">
        <v>6313</v>
      </c>
      <c r="J5804" s="140" t="s">
        <v>6314</v>
      </c>
      <c r="K5804" s="140" t="s">
        <v>13656</v>
      </c>
    </row>
    <row r="5805">
      <c r="A5805" s="140" t="s">
        <v>13656</v>
      </c>
      <c r="B5805" s="140">
        <v>5751001.0</v>
      </c>
      <c r="C5805" s="140" t="s">
        <v>13667</v>
      </c>
      <c r="D5805" s="140" t="s">
        <v>10568</v>
      </c>
      <c r="E5805" s="140" t="s">
        <v>131</v>
      </c>
      <c r="F5805" s="140" t="s">
        <v>13666</v>
      </c>
      <c r="G5805" s="141" t="s">
        <v>6401</v>
      </c>
      <c r="H5805" s="140" t="s">
        <v>6312</v>
      </c>
      <c r="I5805" s="140" t="s">
        <v>6313</v>
      </c>
      <c r="J5805" s="140" t="s">
        <v>6314</v>
      </c>
      <c r="K5805" s="140" t="s">
        <v>13656</v>
      </c>
    </row>
    <row r="5806">
      <c r="A5806" s="140" t="s">
        <v>13656</v>
      </c>
      <c r="B5806" s="140">
        <v>5751002.0</v>
      </c>
      <c r="C5806" s="140" t="s">
        <v>13668</v>
      </c>
      <c r="D5806" s="140" t="s">
        <v>10568</v>
      </c>
      <c r="E5806" s="140" t="s">
        <v>131</v>
      </c>
      <c r="F5806" s="140" t="s">
        <v>13666</v>
      </c>
      <c r="G5806" s="141" t="s">
        <v>6401</v>
      </c>
      <c r="H5806" s="140" t="s">
        <v>6312</v>
      </c>
      <c r="I5806" s="140" t="s">
        <v>6313</v>
      </c>
      <c r="J5806" s="140" t="s">
        <v>6314</v>
      </c>
      <c r="K5806" s="140" t="s">
        <v>13656</v>
      </c>
    </row>
    <row r="5807">
      <c r="A5807" s="140" t="s">
        <v>13656</v>
      </c>
      <c r="B5807" s="140">
        <v>5751009.0</v>
      </c>
      <c r="C5807" s="140" t="s">
        <v>13669</v>
      </c>
      <c r="D5807" s="140" t="s">
        <v>10568</v>
      </c>
      <c r="E5807" s="140" t="s">
        <v>131</v>
      </c>
      <c r="F5807" s="140" t="s">
        <v>13666</v>
      </c>
      <c r="G5807" s="141" t="s">
        <v>6401</v>
      </c>
      <c r="H5807" s="140" t="s">
        <v>6312</v>
      </c>
      <c r="I5807" s="140" t="s">
        <v>6313</v>
      </c>
      <c r="J5807" s="140" t="s">
        <v>6314</v>
      </c>
      <c r="K5807" s="140" t="s">
        <v>13656</v>
      </c>
    </row>
    <row r="5808">
      <c r="A5808" s="140" t="s">
        <v>13656</v>
      </c>
      <c r="B5808" s="140">
        <v>5751010.0</v>
      </c>
      <c r="C5808" s="140" t="s">
        <v>13670</v>
      </c>
      <c r="D5808" s="140" t="s">
        <v>10568</v>
      </c>
      <c r="E5808" s="140" t="s">
        <v>131</v>
      </c>
      <c r="F5808" s="140" t="s">
        <v>13666</v>
      </c>
      <c r="G5808" s="141" t="s">
        <v>6401</v>
      </c>
      <c r="H5808" s="140" t="s">
        <v>6312</v>
      </c>
      <c r="I5808" s="140" t="s">
        <v>6313</v>
      </c>
      <c r="J5808" s="140" t="s">
        <v>6314</v>
      </c>
      <c r="K5808" s="140" t="s">
        <v>13656</v>
      </c>
    </row>
    <row r="5809">
      <c r="A5809" s="140" t="s">
        <v>13656</v>
      </c>
      <c r="B5809" s="140">
        <v>5751013.0</v>
      </c>
      <c r="C5809" s="140" t="s">
        <v>13671</v>
      </c>
      <c r="D5809" s="140" t="s">
        <v>10568</v>
      </c>
      <c r="E5809" s="140" t="s">
        <v>131</v>
      </c>
      <c r="F5809" s="140" t="s">
        <v>13666</v>
      </c>
      <c r="G5809" s="141" t="s">
        <v>6401</v>
      </c>
      <c r="H5809" s="140" t="s">
        <v>6312</v>
      </c>
      <c r="I5809" s="140" t="s">
        <v>6313</v>
      </c>
      <c r="J5809" s="140" t="s">
        <v>6314</v>
      </c>
      <c r="K5809" s="140" t="s">
        <v>13656</v>
      </c>
    </row>
    <row r="5810">
      <c r="A5810" s="140" t="s">
        <v>13656</v>
      </c>
      <c r="B5810" s="140">
        <v>5751011.0</v>
      </c>
      <c r="C5810" s="140" t="s">
        <v>13672</v>
      </c>
      <c r="D5810" s="140" t="s">
        <v>10568</v>
      </c>
      <c r="E5810" s="140" t="s">
        <v>131</v>
      </c>
      <c r="F5810" s="140" t="s">
        <v>13666</v>
      </c>
      <c r="G5810" s="141" t="s">
        <v>6401</v>
      </c>
      <c r="H5810" s="140" t="s">
        <v>6312</v>
      </c>
      <c r="I5810" s="140" t="s">
        <v>6313</v>
      </c>
      <c r="J5810" s="140" t="s">
        <v>6314</v>
      </c>
      <c r="K5810" s="140" t="s">
        <v>13656</v>
      </c>
    </row>
    <row r="5811">
      <c r="A5811" s="140" t="s">
        <v>13656</v>
      </c>
      <c r="B5811" s="140">
        <v>5751012.0</v>
      </c>
      <c r="C5811" s="140" t="s">
        <v>13673</v>
      </c>
      <c r="D5811" s="140" t="s">
        <v>10568</v>
      </c>
      <c r="E5811" s="140" t="s">
        <v>131</v>
      </c>
      <c r="F5811" s="140" t="s">
        <v>13666</v>
      </c>
      <c r="G5811" s="141" t="s">
        <v>6401</v>
      </c>
      <c r="H5811" s="140" t="s">
        <v>6312</v>
      </c>
      <c r="I5811" s="140" t="s">
        <v>6313</v>
      </c>
      <c r="J5811" s="140" t="s">
        <v>6314</v>
      </c>
      <c r="K5811" s="140" t="s">
        <v>13656</v>
      </c>
    </row>
    <row r="5812">
      <c r="A5812" s="140" t="s">
        <v>13656</v>
      </c>
      <c r="B5812" s="140">
        <v>5751008.0</v>
      </c>
      <c r="C5812" s="140" t="s">
        <v>13674</v>
      </c>
      <c r="D5812" s="140" t="s">
        <v>10568</v>
      </c>
      <c r="E5812" s="140" t="s">
        <v>131</v>
      </c>
      <c r="F5812" s="140" t="s">
        <v>13666</v>
      </c>
      <c r="G5812" s="141" t="s">
        <v>6401</v>
      </c>
      <c r="H5812" s="140" t="s">
        <v>6312</v>
      </c>
      <c r="I5812" s="140" t="s">
        <v>6313</v>
      </c>
      <c r="J5812" s="140" t="s">
        <v>6314</v>
      </c>
      <c r="K5812" s="140" t="s">
        <v>13656</v>
      </c>
    </row>
    <row r="5813">
      <c r="A5813" s="140" t="s">
        <v>13656</v>
      </c>
      <c r="B5813" s="140">
        <v>5751015.0</v>
      </c>
      <c r="C5813" s="140" t="s">
        <v>13675</v>
      </c>
      <c r="D5813" s="140" t="s">
        <v>10568</v>
      </c>
      <c r="E5813" s="140" t="s">
        <v>131</v>
      </c>
      <c r="F5813" s="140" t="s">
        <v>13666</v>
      </c>
      <c r="G5813" s="141" t="s">
        <v>6401</v>
      </c>
      <c r="H5813" s="140" t="s">
        <v>6312</v>
      </c>
      <c r="I5813" s="140" t="s">
        <v>6313</v>
      </c>
      <c r="J5813" s="140" t="s">
        <v>6314</v>
      </c>
      <c r="K5813" s="140" t="s">
        <v>13656</v>
      </c>
    </row>
    <row r="5814">
      <c r="A5814" s="140" t="s">
        <v>13656</v>
      </c>
      <c r="B5814" s="140">
        <v>5751016.0</v>
      </c>
      <c r="C5814" s="140" t="s">
        <v>13676</v>
      </c>
      <c r="D5814" s="140" t="s">
        <v>10568</v>
      </c>
      <c r="E5814" s="140" t="s">
        <v>131</v>
      </c>
      <c r="F5814" s="140" t="s">
        <v>13666</v>
      </c>
      <c r="G5814" s="141" t="s">
        <v>6401</v>
      </c>
      <c r="H5814" s="140" t="s">
        <v>6312</v>
      </c>
      <c r="I5814" s="140" t="s">
        <v>6313</v>
      </c>
      <c r="J5814" s="140" t="s">
        <v>6314</v>
      </c>
      <c r="K5814" s="140" t="s">
        <v>13656</v>
      </c>
    </row>
    <row r="5815">
      <c r="A5815" s="140" t="s">
        <v>13656</v>
      </c>
      <c r="B5815" s="140">
        <v>5751017.0</v>
      </c>
      <c r="C5815" s="140" t="s">
        <v>13677</v>
      </c>
      <c r="D5815" s="140" t="s">
        <v>10568</v>
      </c>
      <c r="E5815" s="140" t="s">
        <v>131</v>
      </c>
      <c r="F5815" s="140" t="s">
        <v>13666</v>
      </c>
      <c r="G5815" s="141" t="s">
        <v>6401</v>
      </c>
      <c r="H5815" s="140" t="s">
        <v>6312</v>
      </c>
      <c r="I5815" s="140" t="s">
        <v>6313</v>
      </c>
      <c r="J5815" s="140" t="s">
        <v>6314</v>
      </c>
      <c r="K5815" s="140" t="s">
        <v>13656</v>
      </c>
    </row>
    <row r="5816">
      <c r="A5816" s="140" t="s">
        <v>13656</v>
      </c>
      <c r="B5816" s="140">
        <v>5751019.0</v>
      </c>
      <c r="C5816" s="140" t="s">
        <v>13678</v>
      </c>
      <c r="D5816" s="140" t="s">
        <v>10568</v>
      </c>
      <c r="E5816" s="140" t="s">
        <v>131</v>
      </c>
      <c r="F5816" s="140" t="s">
        <v>13679</v>
      </c>
      <c r="G5816" s="141" t="s">
        <v>6401</v>
      </c>
      <c r="H5816" s="140" t="s">
        <v>6312</v>
      </c>
      <c r="I5816" s="140" t="s">
        <v>6313</v>
      </c>
      <c r="J5816" s="140" t="s">
        <v>6314</v>
      </c>
      <c r="K5816" s="140" t="s">
        <v>13656</v>
      </c>
    </row>
    <row r="5817">
      <c r="A5817" s="140" t="s">
        <v>13656</v>
      </c>
      <c r="B5817" s="140">
        <v>5411018.0</v>
      </c>
      <c r="C5817" s="140" t="s">
        <v>13680</v>
      </c>
      <c r="D5817" s="140" t="s">
        <v>10568</v>
      </c>
      <c r="E5817" s="140" t="s">
        <v>131</v>
      </c>
      <c r="F5817" s="140" t="s">
        <v>13681</v>
      </c>
      <c r="G5817" s="141" t="s">
        <v>6401</v>
      </c>
      <c r="H5817" s="140" t="s">
        <v>6312</v>
      </c>
      <c r="I5817" s="140" t="s">
        <v>6313</v>
      </c>
      <c r="J5817" s="140" t="s">
        <v>6314</v>
      </c>
      <c r="K5817" s="140" t="s">
        <v>13656</v>
      </c>
    </row>
    <row r="5818">
      <c r="A5818" s="140" t="s">
        <v>13656</v>
      </c>
      <c r="B5818" s="140">
        <v>5411003.0</v>
      </c>
      <c r="C5818" s="140" t="s">
        <v>13682</v>
      </c>
      <c r="D5818" s="140" t="s">
        <v>10568</v>
      </c>
      <c r="E5818" s="140" t="s">
        <v>131</v>
      </c>
      <c r="F5818" s="140" t="s">
        <v>13681</v>
      </c>
      <c r="G5818" s="141" t="s">
        <v>6401</v>
      </c>
      <c r="H5818" s="140" t="s">
        <v>6312</v>
      </c>
      <c r="I5818" s="140" t="s">
        <v>6313</v>
      </c>
      <c r="J5818" s="140" t="s">
        <v>6314</v>
      </c>
      <c r="K5818" s="140" t="s">
        <v>13656</v>
      </c>
    </row>
    <row r="5819">
      <c r="A5819" s="140" t="s">
        <v>13656</v>
      </c>
      <c r="B5819" s="140">
        <v>5411010.0</v>
      </c>
      <c r="C5819" s="140" t="s">
        <v>13683</v>
      </c>
      <c r="D5819" s="140" t="s">
        <v>10568</v>
      </c>
      <c r="E5819" s="140" t="s">
        <v>131</v>
      </c>
      <c r="F5819" s="140" t="s">
        <v>13681</v>
      </c>
      <c r="G5819" s="141" t="s">
        <v>6401</v>
      </c>
      <c r="H5819" s="140" t="s">
        <v>6312</v>
      </c>
      <c r="I5819" s="140" t="s">
        <v>6313</v>
      </c>
      <c r="J5819" s="140" t="s">
        <v>6314</v>
      </c>
      <c r="K5819" s="140" t="s">
        <v>13656</v>
      </c>
    </row>
    <row r="5820">
      <c r="A5820" s="140" t="s">
        <v>13656</v>
      </c>
      <c r="B5820" s="140">
        <v>5411013.0</v>
      </c>
      <c r="C5820" s="140" t="s">
        <v>13684</v>
      </c>
      <c r="D5820" s="140" t="s">
        <v>10568</v>
      </c>
      <c r="E5820" s="140" t="s">
        <v>131</v>
      </c>
      <c r="F5820" s="140" t="s">
        <v>13681</v>
      </c>
      <c r="G5820" s="141" t="s">
        <v>6401</v>
      </c>
      <c r="H5820" s="140" t="s">
        <v>6312</v>
      </c>
      <c r="I5820" s="140" t="s">
        <v>6313</v>
      </c>
      <c r="J5820" s="140" t="s">
        <v>6314</v>
      </c>
      <c r="K5820" s="140" t="s">
        <v>13656</v>
      </c>
    </row>
    <row r="5821">
      <c r="A5821" s="140" t="s">
        <v>13656</v>
      </c>
      <c r="B5821" s="140">
        <v>5411006.0</v>
      </c>
      <c r="C5821" s="140" t="s">
        <v>13685</v>
      </c>
      <c r="D5821" s="140" t="s">
        <v>10568</v>
      </c>
      <c r="E5821" s="140" t="s">
        <v>131</v>
      </c>
      <c r="F5821" s="140" t="s">
        <v>13681</v>
      </c>
      <c r="G5821" s="141" t="s">
        <v>6401</v>
      </c>
      <c r="H5821" s="140" t="s">
        <v>6312</v>
      </c>
      <c r="I5821" s="140" t="s">
        <v>6313</v>
      </c>
      <c r="J5821" s="140" t="s">
        <v>6314</v>
      </c>
      <c r="K5821" s="140" t="s">
        <v>13656</v>
      </c>
    </row>
    <row r="5822">
      <c r="A5822" s="140" t="s">
        <v>13656</v>
      </c>
      <c r="B5822" s="140">
        <v>5411017.0</v>
      </c>
      <c r="C5822" s="140" t="s">
        <v>13686</v>
      </c>
      <c r="D5822" s="140" t="s">
        <v>10568</v>
      </c>
      <c r="E5822" s="140" t="s">
        <v>131</v>
      </c>
      <c r="F5822" s="140" t="s">
        <v>13681</v>
      </c>
      <c r="G5822" s="141" t="s">
        <v>6401</v>
      </c>
      <c r="H5822" s="140" t="s">
        <v>6312</v>
      </c>
      <c r="I5822" s="140" t="s">
        <v>6313</v>
      </c>
      <c r="J5822" s="140" t="s">
        <v>6314</v>
      </c>
      <c r="K5822" s="140" t="s">
        <v>13656</v>
      </c>
    </row>
    <row r="5823">
      <c r="A5823" s="140" t="s">
        <v>13656</v>
      </c>
      <c r="B5823" s="140">
        <v>2719009.0</v>
      </c>
      <c r="C5823" s="140" t="s">
        <v>13687</v>
      </c>
      <c r="D5823" s="140" t="s">
        <v>10568</v>
      </c>
      <c r="E5823" s="140" t="s">
        <v>131</v>
      </c>
      <c r="F5823" s="140" t="s">
        <v>13681</v>
      </c>
      <c r="G5823" s="141" t="s">
        <v>6401</v>
      </c>
      <c r="H5823" s="140" t="s">
        <v>6312</v>
      </c>
      <c r="I5823" s="140" t="s">
        <v>6313</v>
      </c>
      <c r="J5823" s="140" t="s">
        <v>6314</v>
      </c>
      <c r="K5823" s="140" t="s">
        <v>13656</v>
      </c>
    </row>
    <row r="5824">
      <c r="A5824" s="140" t="s">
        <v>13656</v>
      </c>
      <c r="B5824" s="140">
        <v>4783010.0</v>
      </c>
      <c r="C5824" s="140" t="s">
        <v>13688</v>
      </c>
      <c r="D5824" s="140" t="s">
        <v>10568</v>
      </c>
      <c r="E5824" s="140" t="s">
        <v>131</v>
      </c>
      <c r="F5824" s="140" t="s">
        <v>10569</v>
      </c>
      <c r="G5824" s="141" t="s">
        <v>6401</v>
      </c>
      <c r="H5824" s="140" t="s">
        <v>6312</v>
      </c>
      <c r="I5824" s="140" t="s">
        <v>6313</v>
      </c>
      <c r="J5824" s="140" t="s">
        <v>6314</v>
      </c>
      <c r="K5824" s="140" t="s">
        <v>13656</v>
      </c>
    </row>
    <row r="5825">
      <c r="A5825" s="140" t="s">
        <v>13656</v>
      </c>
      <c r="B5825" s="140">
        <v>4783011.0</v>
      </c>
      <c r="C5825" s="140" t="s">
        <v>13689</v>
      </c>
      <c r="D5825" s="140" t="s">
        <v>10568</v>
      </c>
      <c r="E5825" s="140" t="s">
        <v>131</v>
      </c>
      <c r="F5825" s="140" t="s">
        <v>10569</v>
      </c>
      <c r="G5825" s="141" t="s">
        <v>6401</v>
      </c>
      <c r="H5825" s="140" t="s">
        <v>6312</v>
      </c>
      <c r="I5825" s="140" t="s">
        <v>6313</v>
      </c>
      <c r="J5825" s="140" t="s">
        <v>6314</v>
      </c>
      <c r="K5825" s="140" t="s">
        <v>13656</v>
      </c>
    </row>
    <row r="5826">
      <c r="A5826" s="140" t="s">
        <v>13656</v>
      </c>
      <c r="B5826" s="140">
        <v>4783009.0</v>
      </c>
      <c r="C5826" s="140" t="s">
        <v>13690</v>
      </c>
      <c r="D5826" s="140" t="s">
        <v>10568</v>
      </c>
      <c r="E5826" s="140" t="s">
        <v>131</v>
      </c>
      <c r="F5826" s="140" t="s">
        <v>10569</v>
      </c>
      <c r="G5826" s="141" t="s">
        <v>6401</v>
      </c>
      <c r="H5826" s="140" t="s">
        <v>6312</v>
      </c>
      <c r="I5826" s="140" t="s">
        <v>6313</v>
      </c>
      <c r="J5826" s="140" t="s">
        <v>6314</v>
      </c>
      <c r="K5826" s="140" t="s">
        <v>13656</v>
      </c>
    </row>
    <row r="5827">
      <c r="A5827" s="140" t="s">
        <v>13656</v>
      </c>
      <c r="B5827" s="140">
        <v>4783008.0</v>
      </c>
      <c r="C5827" s="140" t="s">
        <v>13691</v>
      </c>
      <c r="D5827" s="140" t="s">
        <v>10568</v>
      </c>
      <c r="E5827" s="140" t="s">
        <v>131</v>
      </c>
      <c r="F5827" s="140" t="s">
        <v>10569</v>
      </c>
      <c r="G5827" s="141" t="s">
        <v>6401</v>
      </c>
      <c r="H5827" s="140" t="s">
        <v>6312</v>
      </c>
      <c r="I5827" s="140" t="s">
        <v>6313</v>
      </c>
      <c r="J5827" s="140" t="s">
        <v>6314</v>
      </c>
      <c r="K5827" s="140" t="s">
        <v>13656</v>
      </c>
    </row>
    <row r="5828">
      <c r="A5828" s="140" t="s">
        <v>13656</v>
      </c>
      <c r="B5828" s="140">
        <v>4783005.0</v>
      </c>
      <c r="C5828" s="140" t="s">
        <v>13692</v>
      </c>
      <c r="D5828" s="140" t="s">
        <v>10568</v>
      </c>
      <c r="E5828" s="140" t="s">
        <v>131</v>
      </c>
      <c r="F5828" s="140" t="s">
        <v>10569</v>
      </c>
      <c r="G5828" s="141" t="s">
        <v>6401</v>
      </c>
      <c r="H5828" s="140" t="s">
        <v>6312</v>
      </c>
      <c r="I5828" s="140" t="s">
        <v>6313</v>
      </c>
      <c r="J5828" s="140" t="s">
        <v>6314</v>
      </c>
      <c r="K5828" s="140" t="s">
        <v>13656</v>
      </c>
    </row>
    <row r="5829">
      <c r="A5829" s="140" t="s">
        <v>13656</v>
      </c>
      <c r="B5829" s="140">
        <v>4783006.0</v>
      </c>
      <c r="C5829" s="140" t="s">
        <v>13693</v>
      </c>
      <c r="D5829" s="140" t="s">
        <v>10568</v>
      </c>
      <c r="E5829" s="140" t="s">
        <v>131</v>
      </c>
      <c r="F5829" s="140" t="s">
        <v>10569</v>
      </c>
      <c r="G5829" s="141" t="s">
        <v>6401</v>
      </c>
      <c r="H5829" s="140" t="s">
        <v>6312</v>
      </c>
      <c r="I5829" s="140" t="s">
        <v>6313</v>
      </c>
      <c r="J5829" s="140" t="s">
        <v>6314</v>
      </c>
      <c r="K5829" s="140" t="s">
        <v>13656</v>
      </c>
    </row>
    <row r="5830">
      <c r="A5830" s="140" t="s">
        <v>13656</v>
      </c>
      <c r="B5830" s="140">
        <v>4783017.0</v>
      </c>
      <c r="C5830" s="140" t="s">
        <v>13694</v>
      </c>
      <c r="D5830" s="140" t="s">
        <v>10568</v>
      </c>
      <c r="E5830" s="140" t="s">
        <v>131</v>
      </c>
      <c r="F5830" s="140" t="s">
        <v>10569</v>
      </c>
      <c r="G5830" s="141" t="s">
        <v>6401</v>
      </c>
      <c r="H5830" s="140" t="s">
        <v>6312</v>
      </c>
      <c r="I5830" s="140" t="s">
        <v>6313</v>
      </c>
      <c r="J5830" s="140" t="s">
        <v>6314</v>
      </c>
      <c r="K5830" s="140" t="s">
        <v>13656</v>
      </c>
    </row>
    <row r="5831">
      <c r="A5831" s="140" t="s">
        <v>13656</v>
      </c>
      <c r="B5831" s="140">
        <v>4783020.0</v>
      </c>
      <c r="C5831" s="140" t="s">
        <v>13695</v>
      </c>
      <c r="D5831" s="140" t="s">
        <v>10568</v>
      </c>
      <c r="E5831" s="140" t="s">
        <v>131</v>
      </c>
      <c r="F5831" s="140" t="s">
        <v>10569</v>
      </c>
      <c r="G5831" s="141" t="s">
        <v>6401</v>
      </c>
      <c r="H5831" s="140" t="s">
        <v>6312</v>
      </c>
      <c r="I5831" s="140" t="s">
        <v>6313</v>
      </c>
      <c r="J5831" s="140" t="s">
        <v>6314</v>
      </c>
      <c r="K5831" s="140" t="s">
        <v>13656</v>
      </c>
    </row>
    <row r="5832">
      <c r="A5832" s="140" t="s">
        <v>13656</v>
      </c>
      <c r="B5832" s="140">
        <v>4783019.0</v>
      </c>
      <c r="C5832" s="140" t="s">
        <v>13696</v>
      </c>
      <c r="D5832" s="140" t="s">
        <v>10568</v>
      </c>
      <c r="E5832" s="140" t="s">
        <v>131</v>
      </c>
      <c r="F5832" s="140" t="s">
        <v>10569</v>
      </c>
      <c r="G5832" s="141" t="s">
        <v>6401</v>
      </c>
      <c r="H5832" s="140" t="s">
        <v>6312</v>
      </c>
      <c r="I5832" s="140" t="s">
        <v>6313</v>
      </c>
      <c r="J5832" s="140" t="s">
        <v>6314</v>
      </c>
      <c r="K5832" s="140" t="s">
        <v>13656</v>
      </c>
    </row>
    <row r="5833">
      <c r="A5833" s="140" t="s">
        <v>13656</v>
      </c>
      <c r="B5833" s="140">
        <v>4783021.0</v>
      </c>
      <c r="C5833" s="140" t="s">
        <v>13697</v>
      </c>
      <c r="D5833" s="140" t="s">
        <v>10568</v>
      </c>
      <c r="E5833" s="140" t="s">
        <v>131</v>
      </c>
      <c r="F5833" s="140" t="s">
        <v>10569</v>
      </c>
      <c r="G5833" s="141" t="s">
        <v>6401</v>
      </c>
      <c r="H5833" s="140" t="s">
        <v>6312</v>
      </c>
      <c r="I5833" s="140" t="s">
        <v>6313</v>
      </c>
      <c r="J5833" s="140" t="s">
        <v>6314</v>
      </c>
      <c r="K5833" s="140" t="s">
        <v>13656</v>
      </c>
    </row>
    <row r="5834">
      <c r="A5834" s="140" t="s">
        <v>13656</v>
      </c>
      <c r="B5834" s="140">
        <v>4783001.0</v>
      </c>
      <c r="C5834" s="140" t="s">
        <v>13698</v>
      </c>
      <c r="D5834" s="140" t="s">
        <v>10568</v>
      </c>
      <c r="E5834" s="140" t="s">
        <v>131</v>
      </c>
      <c r="F5834" s="140" t="s">
        <v>10569</v>
      </c>
      <c r="G5834" s="141" t="s">
        <v>6401</v>
      </c>
      <c r="H5834" s="140" t="s">
        <v>6312</v>
      </c>
      <c r="I5834" s="140" t="s">
        <v>6313</v>
      </c>
      <c r="J5834" s="140" t="s">
        <v>6314</v>
      </c>
      <c r="K5834" s="140" t="s">
        <v>13656</v>
      </c>
    </row>
    <row r="5835">
      <c r="A5835" s="140" t="s">
        <v>13656</v>
      </c>
      <c r="B5835" s="140">
        <v>4783016.0</v>
      </c>
      <c r="C5835" s="140" t="s">
        <v>13699</v>
      </c>
      <c r="D5835" s="140" t="s">
        <v>10568</v>
      </c>
      <c r="E5835" s="140" t="s">
        <v>131</v>
      </c>
      <c r="F5835" s="140" t="s">
        <v>10569</v>
      </c>
      <c r="G5835" s="141" t="s">
        <v>6401</v>
      </c>
      <c r="H5835" s="140" t="s">
        <v>6312</v>
      </c>
      <c r="I5835" s="140" t="s">
        <v>6313</v>
      </c>
      <c r="J5835" s="140" t="s">
        <v>6314</v>
      </c>
      <c r="K5835" s="140" t="s">
        <v>13656</v>
      </c>
    </row>
    <row r="5836">
      <c r="A5836" s="140" t="s">
        <v>13656</v>
      </c>
      <c r="B5836" s="140">
        <v>4783015.0</v>
      </c>
      <c r="C5836" s="140" t="s">
        <v>13700</v>
      </c>
      <c r="D5836" s="140" t="s">
        <v>10568</v>
      </c>
      <c r="E5836" s="140" t="s">
        <v>131</v>
      </c>
      <c r="F5836" s="140" t="s">
        <v>10569</v>
      </c>
      <c r="G5836" s="141" t="s">
        <v>6401</v>
      </c>
      <c r="H5836" s="140" t="s">
        <v>6312</v>
      </c>
      <c r="I5836" s="140" t="s">
        <v>6313</v>
      </c>
      <c r="J5836" s="140" t="s">
        <v>6314</v>
      </c>
      <c r="K5836" s="140" t="s">
        <v>13656</v>
      </c>
    </row>
    <row r="5837">
      <c r="A5837" s="140" t="s">
        <v>13656</v>
      </c>
      <c r="B5837" s="140">
        <v>4783013.0</v>
      </c>
      <c r="C5837" s="140" t="s">
        <v>13701</v>
      </c>
      <c r="D5837" s="140" t="s">
        <v>10568</v>
      </c>
      <c r="E5837" s="140" t="s">
        <v>131</v>
      </c>
      <c r="F5837" s="140" t="s">
        <v>10569</v>
      </c>
      <c r="G5837" s="141" t="s">
        <v>6401</v>
      </c>
      <c r="H5837" s="140" t="s">
        <v>6312</v>
      </c>
      <c r="I5837" s="140" t="s">
        <v>6313</v>
      </c>
      <c r="J5837" s="140" t="s">
        <v>6314</v>
      </c>
      <c r="K5837" s="140" t="s">
        <v>13656</v>
      </c>
    </row>
    <row r="5838">
      <c r="A5838" s="140" t="s">
        <v>13656</v>
      </c>
      <c r="B5838" s="140">
        <v>4783012.0</v>
      </c>
      <c r="C5838" s="140" t="s">
        <v>13702</v>
      </c>
      <c r="D5838" s="140" t="s">
        <v>10568</v>
      </c>
      <c r="E5838" s="140" t="s">
        <v>131</v>
      </c>
      <c r="F5838" s="140" t="s">
        <v>10569</v>
      </c>
      <c r="G5838" s="141" t="s">
        <v>6401</v>
      </c>
      <c r="H5838" s="140" t="s">
        <v>6312</v>
      </c>
      <c r="I5838" s="140" t="s">
        <v>6313</v>
      </c>
      <c r="J5838" s="140" t="s">
        <v>6314</v>
      </c>
      <c r="K5838" s="140" t="s">
        <v>13656</v>
      </c>
    </row>
    <row r="5839">
      <c r="A5839" s="140" t="s">
        <v>13656</v>
      </c>
      <c r="B5839" s="140">
        <v>4783014.0</v>
      </c>
      <c r="C5839" s="140" t="s">
        <v>13703</v>
      </c>
      <c r="D5839" s="140" t="s">
        <v>10568</v>
      </c>
      <c r="E5839" s="140" t="s">
        <v>131</v>
      </c>
      <c r="F5839" s="140" t="s">
        <v>10569</v>
      </c>
      <c r="G5839" s="141" t="s">
        <v>6401</v>
      </c>
      <c r="H5839" s="140" t="s">
        <v>6312</v>
      </c>
      <c r="I5839" s="140" t="s">
        <v>6313</v>
      </c>
      <c r="J5839" s="140" t="s">
        <v>6314</v>
      </c>
      <c r="K5839" s="140" t="s">
        <v>13656</v>
      </c>
    </row>
    <row r="5840">
      <c r="A5840" s="140" t="s">
        <v>13656</v>
      </c>
      <c r="B5840" s="140">
        <v>4783004.0</v>
      </c>
      <c r="C5840" s="140" t="s">
        <v>13704</v>
      </c>
      <c r="D5840" s="140" t="s">
        <v>10568</v>
      </c>
      <c r="E5840" s="140" t="s">
        <v>131</v>
      </c>
      <c r="F5840" s="140" t="s">
        <v>10569</v>
      </c>
      <c r="G5840" s="141" t="s">
        <v>6401</v>
      </c>
      <c r="H5840" s="140" t="s">
        <v>6312</v>
      </c>
      <c r="I5840" s="140" t="s">
        <v>6313</v>
      </c>
      <c r="J5840" s="140" t="s">
        <v>6314</v>
      </c>
      <c r="K5840" s="140" t="s">
        <v>13656</v>
      </c>
    </row>
    <row r="5841">
      <c r="A5841" s="140" t="s">
        <v>13656</v>
      </c>
      <c r="B5841" s="140">
        <v>4739002.0</v>
      </c>
      <c r="C5841" s="140" t="s">
        <v>13705</v>
      </c>
      <c r="D5841" s="140" t="s">
        <v>10568</v>
      </c>
      <c r="E5841" s="140" t="s">
        <v>131</v>
      </c>
      <c r="F5841" s="140" t="s">
        <v>13706</v>
      </c>
      <c r="G5841" s="141" t="s">
        <v>6401</v>
      </c>
      <c r="H5841" s="140" t="s">
        <v>6312</v>
      </c>
      <c r="I5841" s="140" t="s">
        <v>6313</v>
      </c>
      <c r="J5841" s="140" t="s">
        <v>6314</v>
      </c>
      <c r="K5841" s="140" t="s">
        <v>13656</v>
      </c>
    </row>
    <row r="5842">
      <c r="A5842" s="140" t="s">
        <v>13656</v>
      </c>
      <c r="B5842" s="140">
        <v>4739004.0</v>
      </c>
      <c r="C5842" s="140" t="s">
        <v>13707</v>
      </c>
      <c r="D5842" s="140" t="s">
        <v>10568</v>
      </c>
      <c r="E5842" s="140" t="s">
        <v>131</v>
      </c>
      <c r="F5842" s="140" t="s">
        <v>13706</v>
      </c>
      <c r="G5842" s="141" t="s">
        <v>6401</v>
      </c>
      <c r="H5842" s="140" t="s">
        <v>6312</v>
      </c>
      <c r="I5842" s="140" t="s">
        <v>6313</v>
      </c>
      <c r="J5842" s="140" t="s">
        <v>6314</v>
      </c>
      <c r="K5842" s="140" t="s">
        <v>13656</v>
      </c>
    </row>
    <row r="5843">
      <c r="A5843" s="140" t="s">
        <v>13656</v>
      </c>
      <c r="B5843" s="140">
        <v>4739005.0</v>
      </c>
      <c r="C5843" s="140" t="s">
        <v>13708</v>
      </c>
      <c r="D5843" s="140" t="s">
        <v>10568</v>
      </c>
      <c r="E5843" s="140" t="s">
        <v>131</v>
      </c>
      <c r="F5843" s="140" t="s">
        <v>13706</v>
      </c>
      <c r="G5843" s="141" t="s">
        <v>6401</v>
      </c>
      <c r="H5843" s="140" t="s">
        <v>6312</v>
      </c>
      <c r="I5843" s="140" t="s">
        <v>6313</v>
      </c>
      <c r="J5843" s="140" t="s">
        <v>6314</v>
      </c>
      <c r="K5843" s="140" t="s">
        <v>13656</v>
      </c>
    </row>
    <row r="5844">
      <c r="A5844" s="140" t="s">
        <v>13656</v>
      </c>
      <c r="B5844" s="140">
        <v>4739003.0</v>
      </c>
      <c r="C5844" s="140" t="s">
        <v>13709</v>
      </c>
      <c r="D5844" s="140" t="s">
        <v>10568</v>
      </c>
      <c r="E5844" s="140" t="s">
        <v>131</v>
      </c>
      <c r="F5844" s="140" t="s">
        <v>13706</v>
      </c>
      <c r="G5844" s="141" t="s">
        <v>6401</v>
      </c>
      <c r="H5844" s="140" t="s">
        <v>6312</v>
      </c>
      <c r="I5844" s="140" t="s">
        <v>6313</v>
      </c>
      <c r="J5844" s="140" t="s">
        <v>6314</v>
      </c>
      <c r="K5844" s="140" t="s">
        <v>13656</v>
      </c>
    </row>
    <row r="5845">
      <c r="A5845" s="140" t="s">
        <v>13656</v>
      </c>
      <c r="B5845" s="140">
        <v>4739001.0</v>
      </c>
      <c r="C5845" s="140" t="s">
        <v>13710</v>
      </c>
      <c r="D5845" s="140" t="s">
        <v>10568</v>
      </c>
      <c r="E5845" s="140" t="s">
        <v>131</v>
      </c>
      <c r="F5845" s="140" t="s">
        <v>13706</v>
      </c>
      <c r="G5845" s="141" t="s">
        <v>6401</v>
      </c>
      <c r="H5845" s="140" t="s">
        <v>6312</v>
      </c>
      <c r="I5845" s="140" t="s">
        <v>6313</v>
      </c>
      <c r="J5845" s="140" t="s">
        <v>6314</v>
      </c>
      <c r="K5845" s="140" t="s">
        <v>13656</v>
      </c>
    </row>
    <row r="5846">
      <c r="A5846" s="140" t="s">
        <v>13656</v>
      </c>
      <c r="B5846" s="140">
        <v>5751020.0</v>
      </c>
      <c r="C5846" s="140" t="s">
        <v>13711</v>
      </c>
      <c r="D5846" s="140" t="s">
        <v>10568</v>
      </c>
      <c r="E5846" s="140" t="s">
        <v>131</v>
      </c>
      <c r="F5846" s="140" t="s">
        <v>13706</v>
      </c>
      <c r="G5846" s="141" t="s">
        <v>6401</v>
      </c>
      <c r="H5846" s="140" t="s">
        <v>6312</v>
      </c>
      <c r="I5846" s="140" t="s">
        <v>6313</v>
      </c>
      <c r="J5846" s="140" t="s">
        <v>6314</v>
      </c>
      <c r="K5846" s="140" t="s">
        <v>13656</v>
      </c>
    </row>
    <row r="5847">
      <c r="A5847" s="140" t="s">
        <v>13656</v>
      </c>
      <c r="B5847" s="140">
        <v>5751018.0</v>
      </c>
      <c r="C5847" s="140" t="s">
        <v>13712</v>
      </c>
      <c r="D5847" s="140" t="s">
        <v>10568</v>
      </c>
      <c r="E5847" s="140" t="s">
        <v>131</v>
      </c>
      <c r="F5847" s="140" t="s">
        <v>13706</v>
      </c>
      <c r="G5847" s="141" t="s">
        <v>6401</v>
      </c>
      <c r="H5847" s="140" t="s">
        <v>6312</v>
      </c>
      <c r="I5847" s="140" t="s">
        <v>6313</v>
      </c>
      <c r="J5847" s="140" t="s">
        <v>6314</v>
      </c>
      <c r="K5847" s="140" t="s">
        <v>13656</v>
      </c>
    </row>
    <row r="5848">
      <c r="A5848" s="140" t="s">
        <v>13656</v>
      </c>
      <c r="B5848" s="140">
        <v>2763002.0</v>
      </c>
      <c r="C5848" s="140" t="s">
        <v>13713</v>
      </c>
      <c r="D5848" s="140" t="s">
        <v>10568</v>
      </c>
      <c r="E5848" s="140" t="s">
        <v>131</v>
      </c>
      <c r="F5848" s="140" t="s">
        <v>13714</v>
      </c>
      <c r="G5848" s="141" t="s">
        <v>6401</v>
      </c>
      <c r="H5848" s="140" t="s">
        <v>6312</v>
      </c>
      <c r="I5848" s="140" t="s">
        <v>6313</v>
      </c>
      <c r="J5848" s="140" t="s">
        <v>6314</v>
      </c>
      <c r="K5848" s="140" t="s">
        <v>13656</v>
      </c>
    </row>
    <row r="5849">
      <c r="A5849" s="140" t="s">
        <v>13656</v>
      </c>
      <c r="B5849" s="140">
        <v>2763003.0</v>
      </c>
      <c r="C5849" s="140" t="s">
        <v>13715</v>
      </c>
      <c r="D5849" s="140" t="s">
        <v>10568</v>
      </c>
      <c r="E5849" s="140" t="s">
        <v>131</v>
      </c>
      <c r="F5849" s="140" t="s">
        <v>13714</v>
      </c>
      <c r="G5849" s="141" t="s">
        <v>6401</v>
      </c>
      <c r="H5849" s="140" t="s">
        <v>6312</v>
      </c>
      <c r="I5849" s="140" t="s">
        <v>6313</v>
      </c>
      <c r="J5849" s="140" t="s">
        <v>6314</v>
      </c>
      <c r="K5849" s="140" t="s">
        <v>13656</v>
      </c>
    </row>
    <row r="5850">
      <c r="A5850" s="140" t="s">
        <v>13656</v>
      </c>
      <c r="B5850" s="140">
        <v>6463001.0</v>
      </c>
      <c r="C5850" s="140" t="s">
        <v>13716</v>
      </c>
      <c r="D5850" s="140" t="s">
        <v>10568</v>
      </c>
      <c r="E5850" s="140" t="s">
        <v>131</v>
      </c>
      <c r="F5850" s="140" t="s">
        <v>13717</v>
      </c>
      <c r="G5850" s="141" t="s">
        <v>6401</v>
      </c>
      <c r="H5850" s="140" t="s">
        <v>6312</v>
      </c>
      <c r="I5850" s="140" t="s">
        <v>6313</v>
      </c>
      <c r="J5850" s="140" t="s">
        <v>6314</v>
      </c>
      <c r="K5850" s="140" t="s">
        <v>13656</v>
      </c>
    </row>
    <row r="5851">
      <c r="A5851" s="140" t="s">
        <v>13656</v>
      </c>
      <c r="B5851" s="140">
        <v>6463002.0</v>
      </c>
      <c r="C5851" s="140" t="s">
        <v>13718</v>
      </c>
      <c r="D5851" s="140" t="s">
        <v>10568</v>
      </c>
      <c r="E5851" s="140" t="s">
        <v>131</v>
      </c>
      <c r="F5851" s="140" t="s">
        <v>13717</v>
      </c>
      <c r="G5851" s="141" t="s">
        <v>6401</v>
      </c>
      <c r="H5851" s="140" t="s">
        <v>6312</v>
      </c>
      <c r="I5851" s="140" t="s">
        <v>6313</v>
      </c>
      <c r="J5851" s="140" t="s">
        <v>6314</v>
      </c>
      <c r="K5851" s="140" t="s">
        <v>13656</v>
      </c>
    </row>
    <row r="5852">
      <c r="A5852" s="140" t="s">
        <v>13656</v>
      </c>
      <c r="B5852" s="140">
        <v>1124012.0</v>
      </c>
      <c r="C5852" s="140" t="s">
        <v>13719</v>
      </c>
      <c r="D5852" s="140" t="s">
        <v>10568</v>
      </c>
      <c r="E5852" s="140" t="s">
        <v>131</v>
      </c>
      <c r="F5852" s="140" t="s">
        <v>13720</v>
      </c>
      <c r="G5852" s="141" t="s">
        <v>6401</v>
      </c>
      <c r="H5852" s="140" t="s">
        <v>6312</v>
      </c>
      <c r="I5852" s="140" t="s">
        <v>6313</v>
      </c>
      <c r="J5852" s="140" t="s">
        <v>6314</v>
      </c>
      <c r="K5852" s="140" t="s">
        <v>13656</v>
      </c>
    </row>
    <row r="5853">
      <c r="A5853" s="140" t="s">
        <v>13656</v>
      </c>
      <c r="B5853" s="140">
        <v>1123018.0</v>
      </c>
      <c r="C5853" s="140" t="s">
        <v>13721</v>
      </c>
      <c r="D5853" s="140" t="s">
        <v>10568</v>
      </c>
      <c r="E5853" s="140" t="s">
        <v>131</v>
      </c>
      <c r="F5853" s="140" t="s">
        <v>13720</v>
      </c>
      <c r="G5853" s="141" t="s">
        <v>6401</v>
      </c>
      <c r="H5853" s="140" t="s">
        <v>6312</v>
      </c>
      <c r="I5853" s="140" t="s">
        <v>6313</v>
      </c>
      <c r="J5853" s="140" t="s">
        <v>6314</v>
      </c>
      <c r="K5853" s="140" t="s">
        <v>13656</v>
      </c>
    </row>
    <row r="5854">
      <c r="A5854" s="140" t="s">
        <v>13656</v>
      </c>
      <c r="B5854" s="140">
        <v>1124001.0</v>
      </c>
      <c r="C5854" s="140" t="s">
        <v>13722</v>
      </c>
      <c r="D5854" s="140" t="s">
        <v>10568</v>
      </c>
      <c r="E5854" s="140" t="s">
        <v>131</v>
      </c>
      <c r="F5854" s="140" t="s">
        <v>13720</v>
      </c>
      <c r="G5854" s="141" t="s">
        <v>6401</v>
      </c>
      <c r="H5854" s="140" t="s">
        <v>6312</v>
      </c>
      <c r="I5854" s="140" t="s">
        <v>6313</v>
      </c>
      <c r="J5854" s="140" t="s">
        <v>6314</v>
      </c>
      <c r="K5854" s="140" t="s">
        <v>13656</v>
      </c>
    </row>
    <row r="5855">
      <c r="A5855" s="140" t="s">
        <v>13656</v>
      </c>
      <c r="B5855" s="140">
        <v>5323008.0</v>
      </c>
      <c r="C5855" s="140" t="s">
        <v>13723</v>
      </c>
      <c r="D5855" s="140" t="s">
        <v>10568</v>
      </c>
      <c r="E5855" s="140" t="s">
        <v>131</v>
      </c>
      <c r="F5855" s="140" t="s">
        <v>13720</v>
      </c>
      <c r="G5855" s="141" t="s">
        <v>6401</v>
      </c>
      <c r="H5855" s="140" t="s">
        <v>6312</v>
      </c>
      <c r="I5855" s="140" t="s">
        <v>6313</v>
      </c>
      <c r="J5855" s="140" t="s">
        <v>6314</v>
      </c>
      <c r="K5855" s="140" t="s">
        <v>13656</v>
      </c>
    </row>
    <row r="5856">
      <c r="A5856" s="140" t="s">
        <v>13656</v>
      </c>
      <c r="B5856" s="140">
        <v>1123012.0</v>
      </c>
      <c r="C5856" s="140" t="s">
        <v>13724</v>
      </c>
      <c r="D5856" s="140" t="s">
        <v>10568</v>
      </c>
      <c r="E5856" s="140" t="s">
        <v>131</v>
      </c>
      <c r="F5856" s="140" t="s">
        <v>13720</v>
      </c>
      <c r="G5856" s="141" t="s">
        <v>6401</v>
      </c>
      <c r="H5856" s="140" t="s">
        <v>6312</v>
      </c>
      <c r="I5856" s="140" t="s">
        <v>6313</v>
      </c>
      <c r="J5856" s="140" t="s">
        <v>6314</v>
      </c>
      <c r="K5856" s="140" t="s">
        <v>13656</v>
      </c>
    </row>
    <row r="5857">
      <c r="A5857" s="140" t="s">
        <v>13656</v>
      </c>
      <c r="B5857" s="140">
        <v>1123084.0</v>
      </c>
      <c r="C5857" s="140" t="s">
        <v>13725</v>
      </c>
      <c r="D5857" s="140" t="s">
        <v>10568</v>
      </c>
      <c r="E5857" s="140" t="s">
        <v>131</v>
      </c>
      <c r="F5857" s="140" t="s">
        <v>13720</v>
      </c>
      <c r="G5857" s="141" t="s">
        <v>6401</v>
      </c>
      <c r="H5857" s="140" t="s">
        <v>6312</v>
      </c>
      <c r="I5857" s="140" t="s">
        <v>6313</v>
      </c>
      <c r="J5857" s="140" t="s">
        <v>6314</v>
      </c>
      <c r="K5857" s="140" t="s">
        <v>13656</v>
      </c>
    </row>
    <row r="5858">
      <c r="A5858" s="140" t="s">
        <v>13656</v>
      </c>
      <c r="B5858" s="140">
        <v>1123083.0</v>
      </c>
      <c r="C5858" s="140" t="s">
        <v>13726</v>
      </c>
      <c r="D5858" s="140" t="s">
        <v>10568</v>
      </c>
      <c r="E5858" s="140" t="s">
        <v>131</v>
      </c>
      <c r="F5858" s="140" t="s">
        <v>13720</v>
      </c>
      <c r="G5858" s="141" t="s">
        <v>6401</v>
      </c>
      <c r="H5858" s="140" t="s">
        <v>6312</v>
      </c>
      <c r="I5858" s="140" t="s">
        <v>6313</v>
      </c>
      <c r="J5858" s="140" t="s">
        <v>6314</v>
      </c>
      <c r="K5858" s="140" t="s">
        <v>13656</v>
      </c>
    </row>
    <row r="5859">
      <c r="A5859" s="140" t="s">
        <v>13656</v>
      </c>
      <c r="B5859" s="140">
        <v>1123001.0</v>
      </c>
      <c r="C5859" s="140" t="s">
        <v>13727</v>
      </c>
      <c r="D5859" s="140" t="s">
        <v>10568</v>
      </c>
      <c r="E5859" s="140" t="s">
        <v>131</v>
      </c>
      <c r="F5859" s="140" t="s">
        <v>13720</v>
      </c>
      <c r="G5859" s="141" t="s">
        <v>6401</v>
      </c>
      <c r="H5859" s="140" t="s">
        <v>6312</v>
      </c>
      <c r="I5859" s="140" t="s">
        <v>6313</v>
      </c>
      <c r="J5859" s="140" t="s">
        <v>6314</v>
      </c>
      <c r="K5859" s="140" t="s">
        <v>13656</v>
      </c>
    </row>
    <row r="5860">
      <c r="A5860" s="140" t="s">
        <v>13656</v>
      </c>
      <c r="B5860" s="140">
        <v>1123020.0</v>
      </c>
      <c r="C5860" s="140" t="s">
        <v>13728</v>
      </c>
      <c r="D5860" s="140" t="s">
        <v>10568</v>
      </c>
      <c r="E5860" s="140" t="s">
        <v>131</v>
      </c>
      <c r="F5860" s="140" t="s">
        <v>13720</v>
      </c>
      <c r="G5860" s="141" t="s">
        <v>6401</v>
      </c>
      <c r="H5860" s="140" t="s">
        <v>6312</v>
      </c>
      <c r="I5860" s="140" t="s">
        <v>6313</v>
      </c>
      <c r="J5860" s="140" t="s">
        <v>6314</v>
      </c>
      <c r="K5860" s="140" t="s">
        <v>13656</v>
      </c>
    </row>
    <row r="5861">
      <c r="A5861" s="140" t="s">
        <v>13656</v>
      </c>
      <c r="B5861" s="140">
        <v>1123075.0</v>
      </c>
      <c r="C5861" s="140" t="s">
        <v>13729</v>
      </c>
      <c r="D5861" s="140" t="s">
        <v>10568</v>
      </c>
      <c r="E5861" s="140" t="s">
        <v>131</v>
      </c>
      <c r="F5861" s="140" t="s">
        <v>13720</v>
      </c>
      <c r="G5861" s="141" t="s">
        <v>6401</v>
      </c>
      <c r="H5861" s="140" t="s">
        <v>6312</v>
      </c>
      <c r="I5861" s="140" t="s">
        <v>6313</v>
      </c>
      <c r="J5861" s="140" t="s">
        <v>6314</v>
      </c>
      <c r="K5861" s="140" t="s">
        <v>13656</v>
      </c>
    </row>
    <row r="5862">
      <c r="A5862" s="140" t="s">
        <v>13656</v>
      </c>
      <c r="B5862" s="140">
        <v>1123086.0</v>
      </c>
      <c r="C5862" s="140" t="s">
        <v>13730</v>
      </c>
      <c r="D5862" s="140" t="s">
        <v>10568</v>
      </c>
      <c r="E5862" s="140" t="s">
        <v>131</v>
      </c>
      <c r="F5862" s="140" t="s">
        <v>13720</v>
      </c>
      <c r="G5862" s="141" t="s">
        <v>6401</v>
      </c>
      <c r="H5862" s="140" t="s">
        <v>6312</v>
      </c>
      <c r="I5862" s="140" t="s">
        <v>6313</v>
      </c>
      <c r="J5862" s="140" t="s">
        <v>6314</v>
      </c>
      <c r="K5862" s="140" t="s">
        <v>13656</v>
      </c>
    </row>
    <row r="5863">
      <c r="A5863" s="140" t="s">
        <v>13656</v>
      </c>
      <c r="B5863" s="140">
        <v>1123035.0</v>
      </c>
      <c r="C5863" s="140" t="s">
        <v>13731</v>
      </c>
      <c r="D5863" s="140" t="s">
        <v>10568</v>
      </c>
      <c r="E5863" s="140" t="s">
        <v>131</v>
      </c>
      <c r="F5863" s="140" t="s">
        <v>13720</v>
      </c>
      <c r="G5863" s="141" t="s">
        <v>6401</v>
      </c>
      <c r="H5863" s="140" t="s">
        <v>6312</v>
      </c>
      <c r="I5863" s="140" t="s">
        <v>6313</v>
      </c>
      <c r="J5863" s="140" t="s">
        <v>6314</v>
      </c>
      <c r="K5863" s="140" t="s">
        <v>13656</v>
      </c>
    </row>
    <row r="5864">
      <c r="A5864" s="140" t="s">
        <v>13656</v>
      </c>
      <c r="B5864" s="140">
        <v>1123033.0</v>
      </c>
      <c r="C5864" s="140" t="s">
        <v>13732</v>
      </c>
      <c r="D5864" s="140" t="s">
        <v>10568</v>
      </c>
      <c r="E5864" s="140" t="s">
        <v>131</v>
      </c>
      <c r="F5864" s="140" t="s">
        <v>13720</v>
      </c>
      <c r="G5864" s="141" t="s">
        <v>6401</v>
      </c>
      <c r="H5864" s="140" t="s">
        <v>6312</v>
      </c>
      <c r="I5864" s="140" t="s">
        <v>6313</v>
      </c>
      <c r="J5864" s="140" t="s">
        <v>6314</v>
      </c>
      <c r="K5864" s="140" t="s">
        <v>13656</v>
      </c>
    </row>
    <row r="5865">
      <c r="A5865" s="140" t="s">
        <v>13656</v>
      </c>
      <c r="B5865" s="140">
        <v>1123082.0</v>
      </c>
      <c r="C5865" s="140" t="s">
        <v>13733</v>
      </c>
      <c r="D5865" s="140" t="s">
        <v>10568</v>
      </c>
      <c r="E5865" s="140" t="s">
        <v>131</v>
      </c>
      <c r="F5865" s="140" t="s">
        <v>13720</v>
      </c>
      <c r="G5865" s="141" t="s">
        <v>6401</v>
      </c>
      <c r="H5865" s="140" t="s">
        <v>6312</v>
      </c>
      <c r="I5865" s="140" t="s">
        <v>6313</v>
      </c>
      <c r="J5865" s="140" t="s">
        <v>6314</v>
      </c>
      <c r="K5865" s="140" t="s">
        <v>13656</v>
      </c>
    </row>
    <row r="5866">
      <c r="A5866" s="140" t="s">
        <v>13656</v>
      </c>
      <c r="B5866" s="140">
        <v>1123080.0</v>
      </c>
      <c r="C5866" s="140" t="s">
        <v>13734</v>
      </c>
      <c r="D5866" s="140" t="s">
        <v>10568</v>
      </c>
      <c r="E5866" s="140" t="s">
        <v>131</v>
      </c>
      <c r="F5866" s="140" t="s">
        <v>13720</v>
      </c>
      <c r="G5866" s="141" t="s">
        <v>6401</v>
      </c>
      <c r="H5866" s="140" t="s">
        <v>6312</v>
      </c>
      <c r="I5866" s="140" t="s">
        <v>6313</v>
      </c>
      <c r="J5866" s="140" t="s">
        <v>6314</v>
      </c>
      <c r="K5866" s="140" t="s">
        <v>13656</v>
      </c>
    </row>
    <row r="5867">
      <c r="A5867" s="140" t="s">
        <v>13656</v>
      </c>
      <c r="B5867" s="140">
        <v>1123081.0</v>
      </c>
      <c r="C5867" s="140" t="s">
        <v>13735</v>
      </c>
      <c r="D5867" s="140" t="s">
        <v>10568</v>
      </c>
      <c r="E5867" s="140" t="s">
        <v>131</v>
      </c>
      <c r="F5867" s="140" t="s">
        <v>13720</v>
      </c>
      <c r="G5867" s="141" t="s">
        <v>6401</v>
      </c>
      <c r="H5867" s="140" t="s">
        <v>6312</v>
      </c>
      <c r="I5867" s="140" t="s">
        <v>6313</v>
      </c>
      <c r="J5867" s="140" t="s">
        <v>6314</v>
      </c>
      <c r="K5867" s="140" t="s">
        <v>13656</v>
      </c>
    </row>
    <row r="5868">
      <c r="A5868" s="140" t="s">
        <v>13656</v>
      </c>
      <c r="B5868" s="140">
        <v>1123078.0</v>
      </c>
      <c r="C5868" s="140" t="s">
        <v>13736</v>
      </c>
      <c r="D5868" s="140" t="s">
        <v>10568</v>
      </c>
      <c r="E5868" s="140" t="s">
        <v>131</v>
      </c>
      <c r="F5868" s="140" t="s">
        <v>13720</v>
      </c>
      <c r="G5868" s="141" t="s">
        <v>6401</v>
      </c>
      <c r="H5868" s="140" t="s">
        <v>6312</v>
      </c>
      <c r="I5868" s="140" t="s">
        <v>6313</v>
      </c>
      <c r="J5868" s="140" t="s">
        <v>6314</v>
      </c>
      <c r="K5868" s="140" t="s">
        <v>13656</v>
      </c>
    </row>
    <row r="5869">
      <c r="A5869" s="140" t="s">
        <v>13656</v>
      </c>
      <c r="B5869" s="140">
        <v>1123051.0</v>
      </c>
      <c r="C5869" s="140" t="s">
        <v>13737</v>
      </c>
      <c r="D5869" s="140" t="s">
        <v>10568</v>
      </c>
      <c r="E5869" s="140" t="s">
        <v>131</v>
      </c>
      <c r="F5869" s="140" t="s">
        <v>13720</v>
      </c>
      <c r="G5869" s="141" t="s">
        <v>6401</v>
      </c>
      <c r="H5869" s="140" t="s">
        <v>6312</v>
      </c>
      <c r="I5869" s="140" t="s">
        <v>6313</v>
      </c>
      <c r="J5869" s="140" t="s">
        <v>6314</v>
      </c>
      <c r="K5869" s="140" t="s">
        <v>13656</v>
      </c>
    </row>
    <row r="5870">
      <c r="A5870" s="140" t="s">
        <v>13656</v>
      </c>
      <c r="B5870" s="140">
        <v>1123076.0</v>
      </c>
      <c r="C5870" s="140" t="s">
        <v>13738</v>
      </c>
      <c r="D5870" s="140" t="s">
        <v>10568</v>
      </c>
      <c r="E5870" s="140" t="s">
        <v>131</v>
      </c>
      <c r="F5870" s="140" t="s">
        <v>13720</v>
      </c>
      <c r="G5870" s="141" t="s">
        <v>6401</v>
      </c>
      <c r="H5870" s="140" t="s">
        <v>6312</v>
      </c>
      <c r="I5870" s="140" t="s">
        <v>6313</v>
      </c>
      <c r="J5870" s="140" t="s">
        <v>6314</v>
      </c>
      <c r="K5870" s="140" t="s">
        <v>13656</v>
      </c>
    </row>
    <row r="5871">
      <c r="A5871" s="140" t="s">
        <v>13656</v>
      </c>
      <c r="B5871" s="140">
        <v>1123079.0</v>
      </c>
      <c r="C5871" s="140" t="s">
        <v>13739</v>
      </c>
      <c r="D5871" s="140" t="s">
        <v>10568</v>
      </c>
      <c r="E5871" s="140" t="s">
        <v>131</v>
      </c>
      <c r="F5871" s="140" t="s">
        <v>13720</v>
      </c>
      <c r="G5871" s="141" t="s">
        <v>6401</v>
      </c>
      <c r="H5871" s="140" t="s">
        <v>6312</v>
      </c>
      <c r="I5871" s="140" t="s">
        <v>6313</v>
      </c>
      <c r="J5871" s="140" t="s">
        <v>6314</v>
      </c>
      <c r="K5871" s="140" t="s">
        <v>13656</v>
      </c>
    </row>
    <row r="5872">
      <c r="A5872" s="140" t="s">
        <v>13656</v>
      </c>
      <c r="B5872" s="140">
        <v>1123085.0</v>
      </c>
      <c r="C5872" s="140" t="s">
        <v>13740</v>
      </c>
      <c r="D5872" s="140" t="s">
        <v>10568</v>
      </c>
      <c r="E5872" s="140" t="s">
        <v>131</v>
      </c>
      <c r="F5872" s="140" t="s">
        <v>13720</v>
      </c>
      <c r="G5872" s="141" t="s">
        <v>6401</v>
      </c>
      <c r="H5872" s="140" t="s">
        <v>6312</v>
      </c>
      <c r="I5872" s="140" t="s">
        <v>6313</v>
      </c>
      <c r="J5872" s="140" t="s">
        <v>6314</v>
      </c>
      <c r="K5872" s="140" t="s">
        <v>13656</v>
      </c>
    </row>
    <row r="5873">
      <c r="A5873" s="140" t="s">
        <v>13656</v>
      </c>
      <c r="B5873" s="140">
        <v>1125004.0</v>
      </c>
      <c r="C5873" s="140" t="s">
        <v>13741</v>
      </c>
      <c r="D5873" s="140" t="s">
        <v>10568</v>
      </c>
      <c r="E5873" s="140" t="s">
        <v>131</v>
      </c>
      <c r="F5873" s="140" t="s">
        <v>13720</v>
      </c>
      <c r="G5873" s="141" t="s">
        <v>6401</v>
      </c>
      <c r="H5873" s="140" t="s">
        <v>6312</v>
      </c>
      <c r="I5873" s="140" t="s">
        <v>6313</v>
      </c>
      <c r="J5873" s="140" t="s">
        <v>6314</v>
      </c>
      <c r="K5873" s="140" t="s">
        <v>13656</v>
      </c>
    </row>
    <row r="5874">
      <c r="A5874" s="140" t="s">
        <v>13656</v>
      </c>
      <c r="B5874" s="140">
        <v>1123046.0</v>
      </c>
      <c r="C5874" s="140" t="s">
        <v>13742</v>
      </c>
      <c r="D5874" s="140" t="s">
        <v>10568</v>
      </c>
      <c r="E5874" s="140" t="s">
        <v>131</v>
      </c>
      <c r="F5874" s="140" t="s">
        <v>13720</v>
      </c>
      <c r="G5874" s="141" t="s">
        <v>6401</v>
      </c>
      <c r="H5874" s="140" t="s">
        <v>6312</v>
      </c>
      <c r="I5874" s="140" t="s">
        <v>6313</v>
      </c>
      <c r="J5874" s="140" t="s">
        <v>6314</v>
      </c>
      <c r="K5874" s="140" t="s">
        <v>13656</v>
      </c>
    </row>
    <row r="5875">
      <c r="A5875" s="140" t="s">
        <v>13656</v>
      </c>
      <c r="B5875" s="140">
        <v>1123026.0</v>
      </c>
      <c r="C5875" s="140" t="s">
        <v>13743</v>
      </c>
      <c r="D5875" s="140" t="s">
        <v>10568</v>
      </c>
      <c r="E5875" s="140" t="s">
        <v>131</v>
      </c>
      <c r="F5875" s="140" t="s">
        <v>13720</v>
      </c>
      <c r="G5875" s="141" t="s">
        <v>6401</v>
      </c>
      <c r="H5875" s="140" t="s">
        <v>6312</v>
      </c>
      <c r="I5875" s="140" t="s">
        <v>6313</v>
      </c>
      <c r="J5875" s="140" t="s">
        <v>6314</v>
      </c>
      <c r="K5875" s="140" t="s">
        <v>13656</v>
      </c>
    </row>
    <row r="5876">
      <c r="A5876" s="140" t="s">
        <v>13656</v>
      </c>
      <c r="B5876" s="140">
        <v>1123032.0</v>
      </c>
      <c r="C5876" s="140" t="s">
        <v>13744</v>
      </c>
      <c r="D5876" s="140" t="s">
        <v>10568</v>
      </c>
      <c r="E5876" s="140" t="s">
        <v>131</v>
      </c>
      <c r="F5876" s="140" t="s">
        <v>13720</v>
      </c>
      <c r="G5876" s="141" t="s">
        <v>6401</v>
      </c>
      <c r="H5876" s="140" t="s">
        <v>6312</v>
      </c>
      <c r="I5876" s="140" t="s">
        <v>6313</v>
      </c>
      <c r="J5876" s="140" t="s">
        <v>6314</v>
      </c>
      <c r="K5876" s="140" t="s">
        <v>13656</v>
      </c>
    </row>
    <row r="5877">
      <c r="A5877" s="140" t="s">
        <v>13656</v>
      </c>
      <c r="B5877" s="140">
        <v>1123031.0</v>
      </c>
      <c r="C5877" s="140" t="s">
        <v>13745</v>
      </c>
      <c r="D5877" s="140" t="s">
        <v>10568</v>
      </c>
      <c r="E5877" s="140" t="s">
        <v>131</v>
      </c>
      <c r="F5877" s="140" t="s">
        <v>13720</v>
      </c>
      <c r="G5877" s="141" t="s">
        <v>6401</v>
      </c>
      <c r="H5877" s="140" t="s">
        <v>6312</v>
      </c>
      <c r="I5877" s="140" t="s">
        <v>6313</v>
      </c>
      <c r="J5877" s="140" t="s">
        <v>6314</v>
      </c>
      <c r="K5877" s="140" t="s">
        <v>13656</v>
      </c>
    </row>
    <row r="5878">
      <c r="A5878" s="140" t="s">
        <v>13746</v>
      </c>
      <c r="B5878" s="140">
        <v>1.0001374E7</v>
      </c>
      <c r="C5878" s="140" t="s">
        <v>13747</v>
      </c>
      <c r="D5878" s="140" t="s">
        <v>6309</v>
      </c>
      <c r="E5878" s="140">
        <v>0.0</v>
      </c>
      <c r="F5878" s="140" t="s">
        <v>13748</v>
      </c>
      <c r="G5878" s="141" t="s">
        <v>6401</v>
      </c>
      <c r="H5878" s="140" t="s">
        <v>6312</v>
      </c>
      <c r="I5878" s="140" t="s">
        <v>6313</v>
      </c>
      <c r="J5878" s="140" t="s">
        <v>6314</v>
      </c>
      <c r="K5878" s="140" t="s">
        <v>8996</v>
      </c>
    </row>
    <row r="5879">
      <c r="A5879" s="140" t="s">
        <v>13746</v>
      </c>
      <c r="B5879" s="140">
        <v>1.0001377E7</v>
      </c>
      <c r="C5879" s="140" t="s">
        <v>13749</v>
      </c>
      <c r="D5879" s="140" t="s">
        <v>6309</v>
      </c>
      <c r="E5879" s="140">
        <v>0.0</v>
      </c>
      <c r="F5879" s="140" t="s">
        <v>13748</v>
      </c>
      <c r="G5879" s="141" t="s">
        <v>6401</v>
      </c>
      <c r="H5879" s="140" t="s">
        <v>6312</v>
      </c>
      <c r="I5879" s="140" t="s">
        <v>6313</v>
      </c>
      <c r="J5879" s="140" t="s">
        <v>6314</v>
      </c>
      <c r="K5879" s="140" t="s">
        <v>8996</v>
      </c>
    </row>
    <row r="5880">
      <c r="A5880" s="140" t="s">
        <v>13746</v>
      </c>
      <c r="B5880" s="140">
        <v>1.0001378E7</v>
      </c>
      <c r="C5880" s="140" t="s">
        <v>13750</v>
      </c>
      <c r="D5880" s="140" t="s">
        <v>6309</v>
      </c>
      <c r="E5880" s="140">
        <v>0.0</v>
      </c>
      <c r="F5880" s="140" t="s">
        <v>13748</v>
      </c>
      <c r="G5880" s="141" t="s">
        <v>6401</v>
      </c>
      <c r="H5880" s="140" t="s">
        <v>6312</v>
      </c>
      <c r="I5880" s="140" t="s">
        <v>6313</v>
      </c>
      <c r="J5880" s="140" t="s">
        <v>6314</v>
      </c>
      <c r="K5880" s="140" t="s">
        <v>8996</v>
      </c>
    </row>
    <row r="5881">
      <c r="A5881" s="140" t="s">
        <v>13746</v>
      </c>
      <c r="B5881" s="140">
        <v>1.0001379E7</v>
      </c>
      <c r="C5881" s="140" t="s">
        <v>13751</v>
      </c>
      <c r="D5881" s="140" t="s">
        <v>6309</v>
      </c>
      <c r="E5881" s="140">
        <v>0.0</v>
      </c>
      <c r="F5881" s="140" t="s">
        <v>13748</v>
      </c>
      <c r="G5881" s="141" t="s">
        <v>6401</v>
      </c>
      <c r="H5881" s="140" t="s">
        <v>6312</v>
      </c>
      <c r="I5881" s="140" t="s">
        <v>6313</v>
      </c>
      <c r="J5881" s="140" t="s">
        <v>6314</v>
      </c>
      <c r="K5881" s="140" t="s">
        <v>8996</v>
      </c>
    </row>
    <row r="5882">
      <c r="A5882" s="140" t="s">
        <v>13746</v>
      </c>
      <c r="B5882" s="140">
        <v>1.000138E7</v>
      </c>
      <c r="C5882" s="140" t="s">
        <v>13752</v>
      </c>
      <c r="D5882" s="140" t="s">
        <v>6309</v>
      </c>
      <c r="E5882" s="140">
        <v>0.0</v>
      </c>
      <c r="F5882" s="140" t="s">
        <v>13748</v>
      </c>
      <c r="G5882" s="141" t="s">
        <v>6401</v>
      </c>
      <c r="H5882" s="140" t="s">
        <v>6312</v>
      </c>
      <c r="I5882" s="140" t="s">
        <v>6313</v>
      </c>
      <c r="J5882" s="140" t="s">
        <v>6314</v>
      </c>
      <c r="K5882" s="140" t="s">
        <v>8996</v>
      </c>
    </row>
    <row r="5883">
      <c r="A5883" s="140" t="s">
        <v>13746</v>
      </c>
      <c r="B5883" s="140">
        <v>1.0001381E7</v>
      </c>
      <c r="C5883" s="140" t="s">
        <v>13753</v>
      </c>
      <c r="D5883" s="140" t="s">
        <v>6309</v>
      </c>
      <c r="E5883" s="140">
        <v>0.0</v>
      </c>
      <c r="F5883" s="140" t="s">
        <v>13748</v>
      </c>
      <c r="G5883" s="141" t="s">
        <v>6401</v>
      </c>
      <c r="H5883" s="140" t="s">
        <v>6312</v>
      </c>
      <c r="I5883" s="140" t="s">
        <v>6313</v>
      </c>
      <c r="J5883" s="140" t="s">
        <v>6314</v>
      </c>
      <c r="K5883" s="140" t="s">
        <v>8996</v>
      </c>
    </row>
    <row r="5884">
      <c r="A5884" s="140" t="s">
        <v>13746</v>
      </c>
      <c r="B5884" s="140">
        <v>1.0001382E7</v>
      </c>
      <c r="C5884" s="140" t="s">
        <v>13754</v>
      </c>
      <c r="D5884" s="140" t="s">
        <v>6309</v>
      </c>
      <c r="E5884" s="140">
        <v>0.0</v>
      </c>
      <c r="F5884" s="140" t="s">
        <v>13748</v>
      </c>
      <c r="G5884" s="141" t="s">
        <v>6401</v>
      </c>
      <c r="H5884" s="140" t="s">
        <v>6312</v>
      </c>
      <c r="I5884" s="140" t="s">
        <v>6313</v>
      </c>
      <c r="J5884" s="140" t="s">
        <v>6314</v>
      </c>
      <c r="K5884" s="140" t="s">
        <v>8996</v>
      </c>
    </row>
    <row r="5885">
      <c r="A5885" s="140" t="s">
        <v>13746</v>
      </c>
      <c r="B5885" s="140" t="s">
        <v>13755</v>
      </c>
      <c r="C5885" s="140" t="s">
        <v>13756</v>
      </c>
      <c r="D5885" s="140" t="s">
        <v>6309</v>
      </c>
      <c r="E5885" s="140">
        <v>0.0</v>
      </c>
      <c r="F5885" s="140" t="s">
        <v>13748</v>
      </c>
      <c r="G5885" s="141" t="s">
        <v>6401</v>
      </c>
      <c r="H5885" s="140" t="s">
        <v>6312</v>
      </c>
      <c r="I5885" s="140" t="s">
        <v>6313</v>
      </c>
      <c r="J5885" s="140" t="s">
        <v>6314</v>
      </c>
      <c r="K5885" s="140" t="s">
        <v>8996</v>
      </c>
    </row>
    <row r="5886">
      <c r="A5886" s="140" t="s">
        <v>13746</v>
      </c>
      <c r="B5886" s="140">
        <v>1.0001383E7</v>
      </c>
      <c r="C5886" s="140" t="s">
        <v>13757</v>
      </c>
      <c r="D5886" s="140" t="s">
        <v>6309</v>
      </c>
      <c r="E5886" s="140">
        <v>0.0</v>
      </c>
      <c r="F5886" s="140" t="s">
        <v>13748</v>
      </c>
      <c r="G5886" s="141" t="s">
        <v>6401</v>
      </c>
      <c r="H5886" s="140" t="s">
        <v>6312</v>
      </c>
      <c r="I5886" s="140" t="s">
        <v>6313</v>
      </c>
      <c r="J5886" s="140" t="s">
        <v>6314</v>
      </c>
      <c r="K5886" s="140" t="s">
        <v>8996</v>
      </c>
    </row>
    <row r="5887">
      <c r="A5887" s="140" t="s">
        <v>13746</v>
      </c>
      <c r="B5887" s="140">
        <v>1.0001384E7</v>
      </c>
      <c r="C5887" s="140" t="s">
        <v>13758</v>
      </c>
      <c r="D5887" s="140" t="s">
        <v>6309</v>
      </c>
      <c r="E5887" s="140">
        <v>0.0</v>
      </c>
      <c r="F5887" s="140" t="s">
        <v>13748</v>
      </c>
      <c r="G5887" s="141" t="s">
        <v>6401</v>
      </c>
      <c r="H5887" s="140" t="s">
        <v>6312</v>
      </c>
      <c r="I5887" s="140" t="s">
        <v>6313</v>
      </c>
      <c r="J5887" s="140" t="s">
        <v>6314</v>
      </c>
      <c r="K5887" s="140" t="s">
        <v>8996</v>
      </c>
    </row>
    <row r="5888">
      <c r="A5888" s="140" t="s">
        <v>13746</v>
      </c>
      <c r="B5888" s="140">
        <v>1.0001388E7</v>
      </c>
      <c r="C5888" s="140" t="s">
        <v>13759</v>
      </c>
      <c r="D5888" s="140" t="s">
        <v>6309</v>
      </c>
      <c r="E5888" s="140">
        <v>0.0</v>
      </c>
      <c r="F5888" s="140" t="s">
        <v>13748</v>
      </c>
      <c r="G5888" s="141" t="s">
        <v>6401</v>
      </c>
      <c r="H5888" s="140" t="s">
        <v>6312</v>
      </c>
      <c r="I5888" s="140" t="s">
        <v>6313</v>
      </c>
      <c r="J5888" s="140" t="s">
        <v>6314</v>
      </c>
      <c r="K5888" s="140" t="s">
        <v>8996</v>
      </c>
    </row>
    <row r="5889">
      <c r="A5889" s="140" t="s">
        <v>13746</v>
      </c>
      <c r="B5889" s="140">
        <v>1.0001376E7</v>
      </c>
      <c r="C5889" s="140" t="s">
        <v>13760</v>
      </c>
      <c r="D5889" s="140" t="s">
        <v>6309</v>
      </c>
      <c r="E5889" s="140">
        <v>0.0</v>
      </c>
      <c r="F5889" s="140" t="s">
        <v>13748</v>
      </c>
      <c r="G5889" s="141" t="s">
        <v>6401</v>
      </c>
      <c r="H5889" s="140" t="s">
        <v>6312</v>
      </c>
      <c r="I5889" s="140" t="s">
        <v>6313</v>
      </c>
      <c r="J5889" s="140" t="s">
        <v>6314</v>
      </c>
      <c r="K5889" s="140" t="s">
        <v>8996</v>
      </c>
    </row>
    <row r="5890">
      <c r="A5890" s="140" t="s">
        <v>13746</v>
      </c>
      <c r="B5890" s="140">
        <v>1.0001392E7</v>
      </c>
      <c r="C5890" s="140" t="s">
        <v>13761</v>
      </c>
      <c r="D5890" s="140" t="s">
        <v>6309</v>
      </c>
      <c r="E5890" s="140">
        <v>0.0</v>
      </c>
      <c r="F5890" s="140" t="s">
        <v>13748</v>
      </c>
      <c r="G5890" s="141" t="s">
        <v>6401</v>
      </c>
      <c r="H5890" s="140" t="s">
        <v>6312</v>
      </c>
      <c r="I5890" s="140" t="s">
        <v>6313</v>
      </c>
      <c r="J5890" s="140" t="s">
        <v>6314</v>
      </c>
      <c r="K5890" s="140" t="s">
        <v>8996</v>
      </c>
    </row>
    <row r="5891">
      <c r="A5891" s="140" t="s">
        <v>13746</v>
      </c>
      <c r="B5891" s="140">
        <v>1.000139E7</v>
      </c>
      <c r="C5891" s="140" t="s">
        <v>13762</v>
      </c>
      <c r="D5891" s="140" t="s">
        <v>6309</v>
      </c>
      <c r="E5891" s="140">
        <v>0.0</v>
      </c>
      <c r="F5891" s="140" t="s">
        <v>13748</v>
      </c>
      <c r="G5891" s="141" t="s">
        <v>6401</v>
      </c>
      <c r="H5891" s="140" t="s">
        <v>6312</v>
      </c>
      <c r="I5891" s="140" t="s">
        <v>6313</v>
      </c>
      <c r="J5891" s="140" t="s">
        <v>6314</v>
      </c>
      <c r="K5891" s="140" t="s">
        <v>8996</v>
      </c>
    </row>
    <row r="5892">
      <c r="A5892" s="140" t="s">
        <v>13746</v>
      </c>
      <c r="B5892" s="140">
        <v>1.0001391E7</v>
      </c>
      <c r="C5892" s="140" t="s">
        <v>13763</v>
      </c>
      <c r="D5892" s="140" t="s">
        <v>6309</v>
      </c>
      <c r="E5892" s="140">
        <v>0.0</v>
      </c>
      <c r="F5892" s="140" t="s">
        <v>13748</v>
      </c>
      <c r="G5892" s="141" t="s">
        <v>6401</v>
      </c>
      <c r="H5892" s="140" t="s">
        <v>6312</v>
      </c>
      <c r="I5892" s="140" t="s">
        <v>6313</v>
      </c>
      <c r="J5892" s="140" t="s">
        <v>6314</v>
      </c>
      <c r="K5892" s="140" t="s">
        <v>8996</v>
      </c>
    </row>
    <row r="5893">
      <c r="A5893" s="140" t="s">
        <v>13746</v>
      </c>
      <c r="B5893" s="140">
        <v>1.0001393E7</v>
      </c>
      <c r="C5893" s="140" t="s">
        <v>13764</v>
      </c>
      <c r="D5893" s="140" t="s">
        <v>6309</v>
      </c>
      <c r="E5893" s="140">
        <v>0.0</v>
      </c>
      <c r="F5893" s="140" t="s">
        <v>13748</v>
      </c>
      <c r="G5893" s="141" t="s">
        <v>6401</v>
      </c>
      <c r="H5893" s="140" t="s">
        <v>6312</v>
      </c>
      <c r="I5893" s="140" t="s">
        <v>6313</v>
      </c>
      <c r="J5893" s="140" t="s">
        <v>6314</v>
      </c>
      <c r="K5893" s="140" t="s">
        <v>8996</v>
      </c>
    </row>
    <row r="5894">
      <c r="A5894" s="140" t="s">
        <v>13746</v>
      </c>
      <c r="B5894" s="140">
        <v>1.0001394E7</v>
      </c>
      <c r="C5894" s="140" t="s">
        <v>13765</v>
      </c>
      <c r="D5894" s="140" t="s">
        <v>6309</v>
      </c>
      <c r="E5894" s="140">
        <v>0.0</v>
      </c>
      <c r="F5894" s="140" t="s">
        <v>13748</v>
      </c>
      <c r="G5894" s="141" t="s">
        <v>6401</v>
      </c>
      <c r="H5894" s="140" t="s">
        <v>6312</v>
      </c>
      <c r="I5894" s="140" t="s">
        <v>6313</v>
      </c>
      <c r="J5894" s="140" t="s">
        <v>6314</v>
      </c>
      <c r="K5894" s="140" t="s">
        <v>8996</v>
      </c>
    </row>
    <row r="5895">
      <c r="A5895" s="140" t="s">
        <v>13746</v>
      </c>
      <c r="B5895" s="140">
        <v>1.0001395E7</v>
      </c>
      <c r="C5895" s="140" t="s">
        <v>13766</v>
      </c>
      <c r="D5895" s="140" t="s">
        <v>6309</v>
      </c>
      <c r="E5895" s="140">
        <v>0.0</v>
      </c>
      <c r="F5895" s="140" t="s">
        <v>13748</v>
      </c>
      <c r="G5895" s="141" t="s">
        <v>6401</v>
      </c>
      <c r="H5895" s="140" t="s">
        <v>6312</v>
      </c>
      <c r="I5895" s="140" t="s">
        <v>6313</v>
      </c>
      <c r="J5895" s="140" t="s">
        <v>6314</v>
      </c>
      <c r="K5895" s="140" t="s">
        <v>8996</v>
      </c>
    </row>
    <row r="5896">
      <c r="A5896" s="140" t="s">
        <v>13746</v>
      </c>
      <c r="B5896" s="140">
        <v>1.0001387E7</v>
      </c>
      <c r="C5896" s="140" t="s">
        <v>13767</v>
      </c>
      <c r="D5896" s="140" t="s">
        <v>6309</v>
      </c>
      <c r="E5896" s="140">
        <v>0.0</v>
      </c>
      <c r="F5896" s="140" t="s">
        <v>13748</v>
      </c>
      <c r="G5896" s="141" t="s">
        <v>6401</v>
      </c>
      <c r="H5896" s="140" t="s">
        <v>6312</v>
      </c>
      <c r="I5896" s="140" t="s">
        <v>6313</v>
      </c>
      <c r="J5896" s="140" t="s">
        <v>6314</v>
      </c>
      <c r="K5896" s="140" t="s">
        <v>8996</v>
      </c>
    </row>
    <row r="5897">
      <c r="A5897" s="140" t="s">
        <v>13746</v>
      </c>
      <c r="B5897" s="140">
        <v>1.0001389E7</v>
      </c>
      <c r="C5897" s="140" t="s">
        <v>13768</v>
      </c>
      <c r="D5897" s="140" t="s">
        <v>6309</v>
      </c>
      <c r="E5897" s="140">
        <v>0.0</v>
      </c>
      <c r="F5897" s="140" t="s">
        <v>13748</v>
      </c>
      <c r="G5897" s="141" t="s">
        <v>6401</v>
      </c>
      <c r="H5897" s="140" t="s">
        <v>6312</v>
      </c>
      <c r="I5897" s="140" t="s">
        <v>6313</v>
      </c>
      <c r="J5897" s="140" t="s">
        <v>6314</v>
      </c>
      <c r="K5897" s="140" t="s">
        <v>8996</v>
      </c>
    </row>
    <row r="5898">
      <c r="A5898" s="140" t="s">
        <v>13746</v>
      </c>
      <c r="B5898" s="140">
        <v>1.0001056E7</v>
      </c>
      <c r="C5898" s="140" t="s">
        <v>13769</v>
      </c>
      <c r="D5898" s="140" t="s">
        <v>6309</v>
      </c>
      <c r="E5898" s="140">
        <v>0.0</v>
      </c>
      <c r="F5898" s="140" t="s">
        <v>13770</v>
      </c>
      <c r="G5898" s="141" t="s">
        <v>6401</v>
      </c>
      <c r="H5898" s="140" t="s">
        <v>6312</v>
      </c>
      <c r="I5898" s="140" t="s">
        <v>6313</v>
      </c>
      <c r="J5898" s="140" t="s">
        <v>6314</v>
      </c>
      <c r="K5898" s="140" t="s">
        <v>8996</v>
      </c>
    </row>
    <row r="5899">
      <c r="A5899" s="140" t="s">
        <v>13746</v>
      </c>
      <c r="B5899" s="140">
        <v>1.0001055E7</v>
      </c>
      <c r="C5899" s="140" t="s">
        <v>13771</v>
      </c>
      <c r="D5899" s="140" t="s">
        <v>6309</v>
      </c>
      <c r="E5899" s="140">
        <v>0.0</v>
      </c>
      <c r="F5899" s="140" t="s">
        <v>13770</v>
      </c>
      <c r="G5899" s="141" t="s">
        <v>6401</v>
      </c>
      <c r="H5899" s="140" t="s">
        <v>6312</v>
      </c>
      <c r="I5899" s="140" t="s">
        <v>6313</v>
      </c>
      <c r="J5899" s="140" t="s">
        <v>6314</v>
      </c>
      <c r="K5899" s="140" t="s">
        <v>8996</v>
      </c>
    </row>
    <row r="5900">
      <c r="A5900" s="140" t="s">
        <v>13746</v>
      </c>
      <c r="B5900" s="140">
        <v>1.0001089E7</v>
      </c>
      <c r="C5900" s="140" t="s">
        <v>13772</v>
      </c>
      <c r="D5900" s="140" t="s">
        <v>6309</v>
      </c>
      <c r="E5900" s="140">
        <v>0.0</v>
      </c>
      <c r="F5900" s="140" t="s">
        <v>13770</v>
      </c>
      <c r="G5900" s="141" t="s">
        <v>6401</v>
      </c>
      <c r="H5900" s="140" t="s">
        <v>6312</v>
      </c>
      <c r="I5900" s="140" t="s">
        <v>6313</v>
      </c>
      <c r="J5900" s="140" t="s">
        <v>6314</v>
      </c>
      <c r="K5900" s="140" t="s">
        <v>8996</v>
      </c>
    </row>
    <row r="5901">
      <c r="A5901" s="140" t="s">
        <v>13746</v>
      </c>
      <c r="B5901" s="140">
        <v>1.0001026E7</v>
      </c>
      <c r="C5901" s="140" t="s">
        <v>13773</v>
      </c>
      <c r="D5901" s="140" t="s">
        <v>6309</v>
      </c>
      <c r="E5901" s="140">
        <v>0.0</v>
      </c>
      <c r="F5901" s="140" t="s">
        <v>13770</v>
      </c>
      <c r="G5901" s="141" t="s">
        <v>6401</v>
      </c>
      <c r="H5901" s="140" t="s">
        <v>6312</v>
      </c>
      <c r="I5901" s="140" t="s">
        <v>6313</v>
      </c>
      <c r="J5901" s="140" t="s">
        <v>6314</v>
      </c>
      <c r="K5901" s="140" t="s">
        <v>8996</v>
      </c>
    </row>
    <row r="5902">
      <c r="A5902" s="140" t="s">
        <v>13746</v>
      </c>
      <c r="B5902" s="140">
        <v>1.0001032E7</v>
      </c>
      <c r="C5902" s="140" t="s">
        <v>13774</v>
      </c>
      <c r="D5902" s="140" t="s">
        <v>6309</v>
      </c>
      <c r="E5902" s="140">
        <v>0.0</v>
      </c>
      <c r="F5902" s="140" t="s">
        <v>13770</v>
      </c>
      <c r="G5902" s="141" t="s">
        <v>6401</v>
      </c>
      <c r="H5902" s="140" t="s">
        <v>6312</v>
      </c>
      <c r="I5902" s="140" t="s">
        <v>6313</v>
      </c>
      <c r="J5902" s="140" t="s">
        <v>6314</v>
      </c>
      <c r="K5902" s="140" t="s">
        <v>8996</v>
      </c>
    </row>
    <row r="5903">
      <c r="A5903" s="140" t="s">
        <v>13746</v>
      </c>
      <c r="B5903" s="140">
        <v>1.0001071E7</v>
      </c>
      <c r="C5903" s="140" t="s">
        <v>13775</v>
      </c>
      <c r="D5903" s="140" t="s">
        <v>6309</v>
      </c>
      <c r="E5903" s="140">
        <v>0.0</v>
      </c>
      <c r="F5903" s="140" t="s">
        <v>13770</v>
      </c>
      <c r="G5903" s="141" t="s">
        <v>6401</v>
      </c>
      <c r="H5903" s="140" t="s">
        <v>6312</v>
      </c>
      <c r="I5903" s="140" t="s">
        <v>6313</v>
      </c>
      <c r="J5903" s="140" t="s">
        <v>6314</v>
      </c>
      <c r="K5903" s="140" t="s">
        <v>8996</v>
      </c>
    </row>
    <row r="5904">
      <c r="A5904" s="140" t="s">
        <v>13746</v>
      </c>
      <c r="B5904" s="140">
        <v>1.0001041E7</v>
      </c>
      <c r="C5904" s="140" t="s">
        <v>13776</v>
      </c>
      <c r="D5904" s="140" t="s">
        <v>6309</v>
      </c>
      <c r="E5904" s="140">
        <v>0.0</v>
      </c>
      <c r="F5904" s="140" t="s">
        <v>13770</v>
      </c>
      <c r="G5904" s="141" t="s">
        <v>6401</v>
      </c>
      <c r="H5904" s="140" t="s">
        <v>6312</v>
      </c>
      <c r="I5904" s="140" t="s">
        <v>6313</v>
      </c>
      <c r="J5904" s="140" t="s">
        <v>6314</v>
      </c>
      <c r="K5904" s="140" t="s">
        <v>8996</v>
      </c>
    </row>
    <row r="5905">
      <c r="A5905" s="140" t="s">
        <v>13746</v>
      </c>
      <c r="B5905" s="140">
        <v>1.0001035E7</v>
      </c>
      <c r="C5905" s="140" t="s">
        <v>13777</v>
      </c>
      <c r="D5905" s="140" t="s">
        <v>6309</v>
      </c>
      <c r="E5905" s="140">
        <v>0.0</v>
      </c>
      <c r="F5905" s="140" t="s">
        <v>13770</v>
      </c>
      <c r="G5905" s="141" t="s">
        <v>6401</v>
      </c>
      <c r="H5905" s="140" t="s">
        <v>6312</v>
      </c>
      <c r="I5905" s="140" t="s">
        <v>6313</v>
      </c>
      <c r="J5905" s="140" t="s">
        <v>6314</v>
      </c>
      <c r="K5905" s="140" t="s">
        <v>8996</v>
      </c>
    </row>
    <row r="5906">
      <c r="A5906" s="140" t="s">
        <v>13746</v>
      </c>
      <c r="B5906" s="140">
        <v>1.000108E7</v>
      </c>
      <c r="C5906" s="140" t="s">
        <v>13778</v>
      </c>
      <c r="D5906" s="140" t="s">
        <v>6309</v>
      </c>
      <c r="E5906" s="140">
        <v>0.0</v>
      </c>
      <c r="F5906" s="140" t="s">
        <v>13770</v>
      </c>
      <c r="G5906" s="141" t="s">
        <v>6401</v>
      </c>
      <c r="H5906" s="140" t="s">
        <v>6312</v>
      </c>
      <c r="I5906" s="140" t="s">
        <v>6313</v>
      </c>
      <c r="J5906" s="140" t="s">
        <v>6314</v>
      </c>
      <c r="K5906" s="140" t="s">
        <v>8996</v>
      </c>
    </row>
    <row r="5907">
      <c r="A5907" s="140" t="s">
        <v>13746</v>
      </c>
      <c r="B5907" s="140">
        <v>1.0001081E7</v>
      </c>
      <c r="C5907" s="140" t="s">
        <v>13778</v>
      </c>
      <c r="D5907" s="140" t="s">
        <v>6309</v>
      </c>
      <c r="E5907" s="140">
        <v>0.0</v>
      </c>
      <c r="F5907" s="140" t="s">
        <v>13770</v>
      </c>
      <c r="G5907" s="141" t="s">
        <v>6401</v>
      </c>
      <c r="H5907" s="140" t="s">
        <v>6312</v>
      </c>
      <c r="I5907" s="140" t="s">
        <v>6313</v>
      </c>
      <c r="J5907" s="140" t="s">
        <v>6314</v>
      </c>
      <c r="K5907" s="140" t="s">
        <v>8996</v>
      </c>
    </row>
    <row r="5908">
      <c r="A5908" s="140" t="s">
        <v>13746</v>
      </c>
      <c r="B5908" s="140">
        <v>1.0001827E7</v>
      </c>
      <c r="C5908" s="140" t="s">
        <v>13778</v>
      </c>
      <c r="D5908" s="140" t="s">
        <v>6309</v>
      </c>
      <c r="E5908" s="140">
        <v>0.0</v>
      </c>
      <c r="F5908" s="140" t="s">
        <v>13770</v>
      </c>
      <c r="G5908" s="141" t="s">
        <v>6401</v>
      </c>
      <c r="H5908" s="140" t="s">
        <v>6312</v>
      </c>
      <c r="I5908" s="140" t="s">
        <v>6313</v>
      </c>
      <c r="J5908" s="140" t="s">
        <v>6314</v>
      </c>
      <c r="K5908" s="140" t="s">
        <v>8996</v>
      </c>
    </row>
    <row r="5909">
      <c r="A5909" s="140" t="s">
        <v>13746</v>
      </c>
      <c r="B5909" s="140">
        <v>1.0001069E7</v>
      </c>
      <c r="C5909" s="140" t="s">
        <v>13779</v>
      </c>
      <c r="D5909" s="140" t="s">
        <v>6309</v>
      </c>
      <c r="E5909" s="140">
        <v>0.0</v>
      </c>
      <c r="F5909" s="140" t="s">
        <v>13770</v>
      </c>
      <c r="G5909" s="141" t="s">
        <v>6401</v>
      </c>
      <c r="H5909" s="140" t="s">
        <v>6312</v>
      </c>
      <c r="I5909" s="140" t="s">
        <v>6313</v>
      </c>
      <c r="J5909" s="140" t="s">
        <v>6314</v>
      </c>
      <c r="K5909" s="140" t="s">
        <v>8996</v>
      </c>
    </row>
    <row r="5910">
      <c r="A5910" s="140" t="s">
        <v>13746</v>
      </c>
      <c r="B5910" s="140">
        <v>1.0001068E7</v>
      </c>
      <c r="C5910" s="140" t="s">
        <v>13780</v>
      </c>
      <c r="D5910" s="140" t="s">
        <v>6309</v>
      </c>
      <c r="E5910" s="140">
        <v>0.0</v>
      </c>
      <c r="F5910" s="140" t="s">
        <v>13770</v>
      </c>
      <c r="G5910" s="141" t="s">
        <v>6401</v>
      </c>
      <c r="H5910" s="140" t="s">
        <v>6312</v>
      </c>
      <c r="I5910" s="140" t="s">
        <v>6313</v>
      </c>
      <c r="J5910" s="140" t="s">
        <v>6314</v>
      </c>
      <c r="K5910" s="140" t="s">
        <v>8996</v>
      </c>
    </row>
    <row r="5911">
      <c r="A5911" s="140" t="s">
        <v>13746</v>
      </c>
      <c r="B5911" s="140">
        <v>1.0001067E7</v>
      </c>
      <c r="C5911" s="140" t="s">
        <v>13781</v>
      </c>
      <c r="D5911" s="140" t="s">
        <v>6309</v>
      </c>
      <c r="E5911" s="140">
        <v>0.0</v>
      </c>
      <c r="F5911" s="140" t="s">
        <v>13770</v>
      </c>
      <c r="G5911" s="141" t="s">
        <v>6401</v>
      </c>
      <c r="H5911" s="140" t="s">
        <v>6312</v>
      </c>
      <c r="I5911" s="140" t="s">
        <v>6313</v>
      </c>
      <c r="J5911" s="140" t="s">
        <v>6314</v>
      </c>
      <c r="K5911" s="140" t="s">
        <v>8996</v>
      </c>
    </row>
    <row r="5912">
      <c r="A5912" s="140" t="s">
        <v>13746</v>
      </c>
      <c r="B5912" s="140">
        <v>1.0001086E7</v>
      </c>
      <c r="C5912" s="140" t="s">
        <v>13782</v>
      </c>
      <c r="D5912" s="140" t="s">
        <v>6309</v>
      </c>
      <c r="E5912" s="140">
        <v>0.0</v>
      </c>
      <c r="F5912" s="140" t="s">
        <v>13770</v>
      </c>
      <c r="G5912" s="141" t="s">
        <v>6401</v>
      </c>
      <c r="H5912" s="140" t="s">
        <v>6312</v>
      </c>
      <c r="I5912" s="140" t="s">
        <v>6313</v>
      </c>
      <c r="J5912" s="140" t="s">
        <v>6314</v>
      </c>
      <c r="K5912" s="140" t="s">
        <v>8996</v>
      </c>
    </row>
    <row r="5913">
      <c r="A5913" s="140" t="s">
        <v>13746</v>
      </c>
      <c r="B5913" s="140">
        <v>1.0001003E7</v>
      </c>
      <c r="C5913" s="140" t="s">
        <v>13783</v>
      </c>
      <c r="D5913" s="140" t="s">
        <v>6309</v>
      </c>
      <c r="E5913" s="140">
        <v>0.0</v>
      </c>
      <c r="F5913" s="140" t="s">
        <v>13770</v>
      </c>
      <c r="G5913" s="141" t="s">
        <v>6401</v>
      </c>
      <c r="H5913" s="140" t="s">
        <v>6312</v>
      </c>
      <c r="I5913" s="140" t="s">
        <v>6313</v>
      </c>
      <c r="J5913" s="140" t="s">
        <v>6314</v>
      </c>
      <c r="K5913" s="140" t="s">
        <v>8996</v>
      </c>
    </row>
    <row r="5914">
      <c r="A5914" s="140" t="s">
        <v>13746</v>
      </c>
      <c r="B5914" s="140">
        <v>1.0001008E7</v>
      </c>
      <c r="C5914" s="140" t="s">
        <v>13784</v>
      </c>
      <c r="D5914" s="140" t="s">
        <v>6309</v>
      </c>
      <c r="E5914" s="140">
        <v>0.0</v>
      </c>
      <c r="F5914" s="140" t="s">
        <v>13770</v>
      </c>
      <c r="G5914" s="141" t="s">
        <v>6401</v>
      </c>
      <c r="H5914" s="140" t="s">
        <v>6312</v>
      </c>
      <c r="I5914" s="140" t="s">
        <v>6313</v>
      </c>
      <c r="J5914" s="140" t="s">
        <v>6314</v>
      </c>
      <c r="K5914" s="140" t="s">
        <v>8996</v>
      </c>
    </row>
    <row r="5915">
      <c r="A5915" s="140" t="s">
        <v>13746</v>
      </c>
      <c r="B5915" s="140">
        <v>1.0001007E7</v>
      </c>
      <c r="C5915" s="140" t="s">
        <v>13785</v>
      </c>
      <c r="D5915" s="140" t="s">
        <v>6309</v>
      </c>
      <c r="E5915" s="140">
        <v>0.0</v>
      </c>
      <c r="F5915" s="140" t="s">
        <v>13770</v>
      </c>
      <c r="G5915" s="141" t="s">
        <v>6401</v>
      </c>
      <c r="H5915" s="140" t="s">
        <v>6312</v>
      </c>
      <c r="I5915" s="140" t="s">
        <v>6313</v>
      </c>
      <c r="J5915" s="140" t="s">
        <v>6314</v>
      </c>
      <c r="K5915" s="140" t="s">
        <v>8996</v>
      </c>
    </row>
    <row r="5916">
      <c r="A5916" s="140" t="s">
        <v>13746</v>
      </c>
      <c r="B5916" s="140">
        <v>1.0001009E7</v>
      </c>
      <c r="C5916" s="140" t="s">
        <v>13786</v>
      </c>
      <c r="D5916" s="140" t="s">
        <v>6309</v>
      </c>
      <c r="E5916" s="140">
        <v>0.0</v>
      </c>
      <c r="F5916" s="140" t="s">
        <v>13770</v>
      </c>
      <c r="G5916" s="141" t="s">
        <v>6401</v>
      </c>
      <c r="H5916" s="140" t="s">
        <v>6312</v>
      </c>
      <c r="I5916" s="140" t="s">
        <v>6313</v>
      </c>
      <c r="J5916" s="140" t="s">
        <v>6314</v>
      </c>
      <c r="K5916" s="140" t="s">
        <v>8996</v>
      </c>
    </row>
    <row r="5917">
      <c r="A5917" s="140" t="s">
        <v>13787</v>
      </c>
      <c r="B5917" s="143">
        <v>1.50662E12</v>
      </c>
      <c r="C5917" s="140" t="s">
        <v>13788</v>
      </c>
      <c r="D5917" s="140" t="s">
        <v>6318</v>
      </c>
      <c r="E5917" s="140" t="s">
        <v>598</v>
      </c>
      <c r="F5917" s="140" t="s">
        <v>6338</v>
      </c>
      <c r="G5917" s="141" t="s">
        <v>6401</v>
      </c>
      <c r="H5917" s="140" t="s">
        <v>6312</v>
      </c>
      <c r="I5917" s="140" t="s">
        <v>6313</v>
      </c>
      <c r="J5917" s="140" t="s">
        <v>6314</v>
      </c>
      <c r="K5917" s="140" t="s">
        <v>1573</v>
      </c>
    </row>
    <row r="5918">
      <c r="A5918" s="140" t="s">
        <v>13787</v>
      </c>
      <c r="B5918" s="143">
        <v>1.51398E12</v>
      </c>
      <c r="C5918" s="140" t="s">
        <v>13789</v>
      </c>
      <c r="D5918" s="140" t="s">
        <v>7347</v>
      </c>
      <c r="E5918" s="140" t="s">
        <v>598</v>
      </c>
      <c r="F5918" s="140" t="s">
        <v>13790</v>
      </c>
      <c r="G5918" s="141" t="s">
        <v>6401</v>
      </c>
      <c r="H5918" s="140" t="s">
        <v>6312</v>
      </c>
      <c r="I5918" s="140" t="s">
        <v>6313</v>
      </c>
      <c r="J5918" s="140" t="s">
        <v>6314</v>
      </c>
      <c r="K5918" s="140" t="s">
        <v>1573</v>
      </c>
    </row>
    <row r="5919">
      <c r="A5919" s="140" t="s">
        <v>13787</v>
      </c>
      <c r="B5919" s="143">
        <v>1.49557E12</v>
      </c>
      <c r="C5919" s="140" t="s">
        <v>13791</v>
      </c>
      <c r="D5919" s="140" t="s">
        <v>7347</v>
      </c>
      <c r="E5919" s="140" t="s">
        <v>598</v>
      </c>
      <c r="F5919" s="140" t="s">
        <v>13790</v>
      </c>
      <c r="G5919" s="141" t="s">
        <v>6401</v>
      </c>
      <c r="H5919" s="140" t="s">
        <v>6312</v>
      </c>
      <c r="I5919" s="140" t="s">
        <v>6313</v>
      </c>
      <c r="J5919" s="140" t="s">
        <v>6314</v>
      </c>
      <c r="K5919" s="140" t="s">
        <v>1573</v>
      </c>
    </row>
    <row r="5920">
      <c r="A5920" s="140" t="s">
        <v>13787</v>
      </c>
      <c r="B5920" s="143">
        <v>1.49557E12</v>
      </c>
      <c r="C5920" s="140" t="s">
        <v>13792</v>
      </c>
      <c r="D5920" s="140" t="s">
        <v>7347</v>
      </c>
      <c r="E5920" s="140" t="s">
        <v>598</v>
      </c>
      <c r="F5920" s="140" t="s">
        <v>13790</v>
      </c>
      <c r="G5920" s="141" t="s">
        <v>6401</v>
      </c>
      <c r="H5920" s="140" t="s">
        <v>6312</v>
      </c>
      <c r="I5920" s="140" t="s">
        <v>6313</v>
      </c>
      <c r="J5920" s="140" t="s">
        <v>6314</v>
      </c>
      <c r="K5920" s="140" t="s">
        <v>1573</v>
      </c>
    </row>
    <row r="5921">
      <c r="A5921" s="140" t="s">
        <v>13787</v>
      </c>
      <c r="B5921" s="143">
        <v>1.49557E12</v>
      </c>
      <c r="C5921" s="140" t="s">
        <v>13793</v>
      </c>
      <c r="D5921" s="140" t="s">
        <v>7347</v>
      </c>
      <c r="E5921" s="140" t="s">
        <v>598</v>
      </c>
      <c r="F5921" s="140" t="s">
        <v>13790</v>
      </c>
      <c r="G5921" s="141" t="s">
        <v>6401</v>
      </c>
      <c r="H5921" s="140" t="s">
        <v>6312</v>
      </c>
      <c r="I5921" s="140" t="s">
        <v>6313</v>
      </c>
      <c r="J5921" s="140" t="s">
        <v>6314</v>
      </c>
      <c r="K5921" s="140" t="s">
        <v>1573</v>
      </c>
    </row>
    <row r="5922">
      <c r="A5922" s="140" t="s">
        <v>13787</v>
      </c>
      <c r="B5922" s="143">
        <v>1.49557E12</v>
      </c>
      <c r="C5922" s="140" t="s">
        <v>13794</v>
      </c>
      <c r="D5922" s="140" t="s">
        <v>7347</v>
      </c>
      <c r="E5922" s="140" t="s">
        <v>598</v>
      </c>
      <c r="F5922" s="140" t="s">
        <v>13790</v>
      </c>
      <c r="G5922" s="141" t="s">
        <v>6401</v>
      </c>
      <c r="H5922" s="140" t="s">
        <v>6312</v>
      </c>
      <c r="I5922" s="140" t="s">
        <v>6313</v>
      </c>
      <c r="J5922" s="140" t="s">
        <v>6314</v>
      </c>
      <c r="K5922" s="140" t="s">
        <v>1573</v>
      </c>
    </row>
    <row r="5923">
      <c r="A5923" s="140" t="s">
        <v>13787</v>
      </c>
      <c r="B5923" s="143">
        <v>1.49557E12</v>
      </c>
      <c r="C5923" s="140" t="s">
        <v>13795</v>
      </c>
      <c r="D5923" s="140" t="s">
        <v>7347</v>
      </c>
      <c r="E5923" s="140" t="s">
        <v>598</v>
      </c>
      <c r="F5923" s="140" t="s">
        <v>13790</v>
      </c>
      <c r="G5923" s="141" t="s">
        <v>6401</v>
      </c>
      <c r="H5923" s="140" t="s">
        <v>6312</v>
      </c>
      <c r="I5923" s="140" t="s">
        <v>6313</v>
      </c>
      <c r="J5923" s="140" t="s">
        <v>6314</v>
      </c>
      <c r="K5923" s="140" t="s">
        <v>1573</v>
      </c>
    </row>
    <row r="5924">
      <c r="A5924" s="140" t="s">
        <v>13796</v>
      </c>
      <c r="B5924" s="140" t="s">
        <v>13797</v>
      </c>
      <c r="C5924" s="140" t="s">
        <v>13798</v>
      </c>
      <c r="D5924" s="140" t="s">
        <v>6318</v>
      </c>
      <c r="E5924" s="140" t="s">
        <v>1219</v>
      </c>
      <c r="F5924" s="140" t="s">
        <v>9355</v>
      </c>
      <c r="G5924" s="141" t="s">
        <v>6401</v>
      </c>
      <c r="H5924" s="140" t="s">
        <v>6312</v>
      </c>
      <c r="I5924" s="140" t="s">
        <v>6313</v>
      </c>
      <c r="J5924" s="140" t="s">
        <v>6314</v>
      </c>
      <c r="K5924" s="140" t="s">
        <v>10439</v>
      </c>
    </row>
    <row r="5925">
      <c r="A5925" s="140" t="s">
        <v>13796</v>
      </c>
      <c r="B5925" s="140" t="s">
        <v>13799</v>
      </c>
      <c r="C5925" s="140" t="s">
        <v>13800</v>
      </c>
      <c r="D5925" s="140" t="s">
        <v>6318</v>
      </c>
      <c r="E5925" s="140" t="s">
        <v>1219</v>
      </c>
      <c r="F5925" s="140" t="s">
        <v>9355</v>
      </c>
      <c r="G5925" s="141" t="s">
        <v>6401</v>
      </c>
      <c r="H5925" s="140" t="s">
        <v>6312</v>
      </c>
      <c r="I5925" s="140" t="s">
        <v>6313</v>
      </c>
      <c r="J5925" s="140" t="s">
        <v>6314</v>
      </c>
      <c r="K5925" s="140" t="s">
        <v>10439</v>
      </c>
    </row>
    <row r="5926">
      <c r="A5926" s="140" t="s">
        <v>13796</v>
      </c>
      <c r="B5926" s="140" t="s">
        <v>13801</v>
      </c>
      <c r="C5926" s="140" t="s">
        <v>13802</v>
      </c>
      <c r="D5926" s="140" t="s">
        <v>6718</v>
      </c>
      <c r="E5926" s="140" t="s">
        <v>240</v>
      </c>
      <c r="F5926" s="140" t="s">
        <v>13803</v>
      </c>
      <c r="G5926" s="141" t="s">
        <v>6401</v>
      </c>
      <c r="H5926" s="140" t="s">
        <v>6312</v>
      </c>
      <c r="I5926" s="140" t="s">
        <v>6313</v>
      </c>
      <c r="J5926" s="140" t="s">
        <v>6314</v>
      </c>
      <c r="K5926" s="140" t="s">
        <v>10439</v>
      </c>
    </row>
    <row r="5927">
      <c r="A5927" s="140" t="s">
        <v>13796</v>
      </c>
      <c r="B5927" s="140" t="s">
        <v>13804</v>
      </c>
      <c r="C5927" s="140" t="s">
        <v>13805</v>
      </c>
      <c r="D5927" s="140" t="s">
        <v>6718</v>
      </c>
      <c r="E5927" s="140" t="s">
        <v>240</v>
      </c>
      <c r="F5927" s="140" t="s">
        <v>13803</v>
      </c>
      <c r="G5927" s="141" t="s">
        <v>6664</v>
      </c>
      <c r="H5927" s="140" t="s">
        <v>6312</v>
      </c>
      <c r="I5927" s="140" t="s">
        <v>6313</v>
      </c>
      <c r="J5927" s="140" t="s">
        <v>6314</v>
      </c>
      <c r="K5927" s="140" t="s">
        <v>10439</v>
      </c>
    </row>
    <row r="5928">
      <c r="A5928" s="140" t="s">
        <v>13806</v>
      </c>
      <c r="B5928" s="140" t="s">
        <v>13807</v>
      </c>
      <c r="C5928" s="140" t="s">
        <v>13808</v>
      </c>
      <c r="D5928" s="140" t="s">
        <v>7347</v>
      </c>
      <c r="E5928" s="140">
        <v>0.0</v>
      </c>
      <c r="F5928" s="140" t="s">
        <v>13809</v>
      </c>
      <c r="G5928" s="141" t="s">
        <v>6401</v>
      </c>
      <c r="H5928" s="140" t="s">
        <v>6312</v>
      </c>
      <c r="I5928" s="140" t="s">
        <v>6313</v>
      </c>
      <c r="J5928" s="140" t="s">
        <v>6314</v>
      </c>
      <c r="K5928" s="140" t="s">
        <v>8996</v>
      </c>
    </row>
    <row r="5929">
      <c r="A5929" s="140" t="s">
        <v>13806</v>
      </c>
      <c r="B5929" s="140" t="s">
        <v>13810</v>
      </c>
      <c r="C5929" s="140" t="s">
        <v>13811</v>
      </c>
      <c r="D5929" s="140" t="s">
        <v>7347</v>
      </c>
      <c r="E5929" s="140">
        <v>0.0</v>
      </c>
      <c r="F5929" s="140" t="s">
        <v>13809</v>
      </c>
      <c r="G5929" s="141" t="s">
        <v>6401</v>
      </c>
      <c r="H5929" s="140" t="s">
        <v>6312</v>
      </c>
      <c r="I5929" s="140" t="s">
        <v>6313</v>
      </c>
      <c r="J5929" s="140" t="s">
        <v>6314</v>
      </c>
      <c r="K5929" s="140" t="s">
        <v>8996</v>
      </c>
    </row>
    <row r="5930">
      <c r="A5930" s="140" t="s">
        <v>13806</v>
      </c>
      <c r="B5930" s="140" t="s">
        <v>13812</v>
      </c>
      <c r="C5930" s="140" t="s">
        <v>13813</v>
      </c>
      <c r="D5930" s="140" t="s">
        <v>7347</v>
      </c>
      <c r="E5930" s="140">
        <v>0.0</v>
      </c>
      <c r="F5930" s="140" t="s">
        <v>13809</v>
      </c>
      <c r="G5930" s="141" t="s">
        <v>6401</v>
      </c>
      <c r="H5930" s="140" t="s">
        <v>6312</v>
      </c>
      <c r="I5930" s="140" t="s">
        <v>6313</v>
      </c>
      <c r="J5930" s="140" t="s">
        <v>6314</v>
      </c>
      <c r="K5930" s="140" t="s">
        <v>8996</v>
      </c>
    </row>
    <row r="5931">
      <c r="A5931" s="140" t="s">
        <v>13806</v>
      </c>
      <c r="B5931" s="140" t="s">
        <v>13814</v>
      </c>
      <c r="C5931" s="140" t="s">
        <v>13815</v>
      </c>
      <c r="D5931" s="140" t="s">
        <v>7347</v>
      </c>
      <c r="E5931" s="140">
        <v>0.0</v>
      </c>
      <c r="F5931" s="140" t="s">
        <v>13809</v>
      </c>
      <c r="G5931" s="141" t="s">
        <v>6401</v>
      </c>
      <c r="H5931" s="140" t="s">
        <v>6312</v>
      </c>
      <c r="I5931" s="140" t="s">
        <v>6313</v>
      </c>
      <c r="J5931" s="140" t="s">
        <v>6314</v>
      </c>
      <c r="K5931" s="140" t="s">
        <v>8996</v>
      </c>
    </row>
    <row r="5932">
      <c r="A5932" s="140" t="s">
        <v>13806</v>
      </c>
      <c r="B5932" s="140" t="s">
        <v>13816</v>
      </c>
      <c r="C5932" s="140" t="s">
        <v>13817</v>
      </c>
      <c r="D5932" s="140" t="s">
        <v>7347</v>
      </c>
      <c r="E5932" s="140">
        <v>0.0</v>
      </c>
      <c r="F5932" s="140" t="s">
        <v>13818</v>
      </c>
      <c r="G5932" s="141" t="s">
        <v>6401</v>
      </c>
      <c r="H5932" s="140" t="s">
        <v>6312</v>
      </c>
      <c r="I5932" s="140" t="s">
        <v>6313</v>
      </c>
      <c r="J5932" s="140" t="s">
        <v>6314</v>
      </c>
      <c r="K5932" s="140" t="s">
        <v>8996</v>
      </c>
    </row>
    <row r="5933">
      <c r="A5933" s="140" t="s">
        <v>13806</v>
      </c>
      <c r="B5933" s="140" t="s">
        <v>13819</v>
      </c>
      <c r="C5933" s="140" t="s">
        <v>13820</v>
      </c>
      <c r="D5933" s="140" t="s">
        <v>7347</v>
      </c>
      <c r="E5933" s="140">
        <v>0.0</v>
      </c>
      <c r="F5933" s="140" t="s">
        <v>13818</v>
      </c>
      <c r="G5933" s="141" t="s">
        <v>6401</v>
      </c>
      <c r="H5933" s="140" t="s">
        <v>6312</v>
      </c>
      <c r="I5933" s="140" t="s">
        <v>6313</v>
      </c>
      <c r="J5933" s="140" t="s">
        <v>6314</v>
      </c>
      <c r="K5933" s="140" t="s">
        <v>8996</v>
      </c>
    </row>
    <row r="5934">
      <c r="A5934" s="140" t="s">
        <v>13806</v>
      </c>
      <c r="B5934" s="140" t="s">
        <v>13821</v>
      </c>
      <c r="C5934" s="140" t="s">
        <v>13822</v>
      </c>
      <c r="D5934" s="140" t="s">
        <v>7347</v>
      </c>
      <c r="E5934" s="140">
        <v>0.0</v>
      </c>
      <c r="F5934" s="140" t="s">
        <v>13818</v>
      </c>
      <c r="G5934" s="141" t="s">
        <v>6401</v>
      </c>
      <c r="H5934" s="140" t="s">
        <v>6312</v>
      </c>
      <c r="I5934" s="140" t="s">
        <v>6313</v>
      </c>
      <c r="J5934" s="140" t="s">
        <v>6314</v>
      </c>
      <c r="K5934" s="140" t="s">
        <v>8996</v>
      </c>
    </row>
    <row r="5935">
      <c r="A5935" s="140" t="s">
        <v>13806</v>
      </c>
      <c r="B5935" s="140" t="s">
        <v>13823</v>
      </c>
      <c r="C5935" s="140" t="s">
        <v>13824</v>
      </c>
      <c r="D5935" s="140" t="s">
        <v>6718</v>
      </c>
      <c r="E5935" s="140" t="s">
        <v>513</v>
      </c>
      <c r="F5935" s="140" t="s">
        <v>13825</v>
      </c>
      <c r="G5935" s="141" t="s">
        <v>6401</v>
      </c>
      <c r="H5935" s="140" t="s">
        <v>6312</v>
      </c>
      <c r="I5935" s="140" t="s">
        <v>6313</v>
      </c>
      <c r="J5935" s="140" t="s">
        <v>6314</v>
      </c>
      <c r="K5935" s="140" t="s">
        <v>8996</v>
      </c>
    </row>
    <row r="5936">
      <c r="A5936" s="140" t="s">
        <v>13806</v>
      </c>
      <c r="B5936" s="140" t="s">
        <v>13826</v>
      </c>
      <c r="C5936" s="140" t="s">
        <v>13827</v>
      </c>
      <c r="D5936" s="140" t="s">
        <v>6718</v>
      </c>
      <c r="E5936" s="140" t="s">
        <v>513</v>
      </c>
      <c r="F5936" s="140" t="s">
        <v>13825</v>
      </c>
      <c r="G5936" s="141" t="s">
        <v>6401</v>
      </c>
      <c r="H5936" s="140" t="s">
        <v>6312</v>
      </c>
      <c r="I5936" s="140" t="s">
        <v>6313</v>
      </c>
      <c r="J5936" s="140" t="s">
        <v>6314</v>
      </c>
      <c r="K5936" s="140" t="s">
        <v>8996</v>
      </c>
    </row>
    <row r="5937">
      <c r="A5937" s="140" t="s">
        <v>13806</v>
      </c>
      <c r="B5937" s="140" t="s">
        <v>13828</v>
      </c>
      <c r="C5937" s="140" t="s">
        <v>13829</v>
      </c>
      <c r="D5937" s="140" t="s">
        <v>7347</v>
      </c>
      <c r="E5937" s="140" t="s">
        <v>513</v>
      </c>
      <c r="F5937" s="140" t="s">
        <v>13825</v>
      </c>
      <c r="G5937" s="141" t="s">
        <v>6401</v>
      </c>
      <c r="H5937" s="140" t="s">
        <v>6312</v>
      </c>
      <c r="I5937" s="140" t="s">
        <v>6313</v>
      </c>
      <c r="J5937" s="140" t="s">
        <v>6314</v>
      </c>
      <c r="K5937" s="140" t="s">
        <v>8996</v>
      </c>
    </row>
    <row r="5938">
      <c r="A5938" s="140" t="s">
        <v>13806</v>
      </c>
      <c r="B5938" s="140" t="s">
        <v>13830</v>
      </c>
      <c r="C5938" s="140" t="s">
        <v>13831</v>
      </c>
      <c r="D5938" s="140" t="s">
        <v>7347</v>
      </c>
      <c r="E5938" s="140" t="s">
        <v>513</v>
      </c>
      <c r="F5938" s="140" t="s">
        <v>13825</v>
      </c>
      <c r="G5938" s="141" t="s">
        <v>6401</v>
      </c>
      <c r="H5938" s="140" t="s">
        <v>6312</v>
      </c>
      <c r="I5938" s="140" t="s">
        <v>6313</v>
      </c>
      <c r="J5938" s="140" t="s">
        <v>6314</v>
      </c>
      <c r="K5938" s="140" t="s">
        <v>8996</v>
      </c>
    </row>
    <row r="5939">
      <c r="A5939" s="140" t="s">
        <v>13806</v>
      </c>
      <c r="B5939" s="140" t="s">
        <v>13832</v>
      </c>
      <c r="C5939" s="140" t="s">
        <v>13833</v>
      </c>
      <c r="D5939" s="140" t="s">
        <v>9064</v>
      </c>
      <c r="E5939" s="140" t="s">
        <v>513</v>
      </c>
      <c r="F5939" s="140" t="s">
        <v>519</v>
      </c>
      <c r="G5939" s="141" t="s">
        <v>6401</v>
      </c>
      <c r="H5939" s="140" t="s">
        <v>6312</v>
      </c>
      <c r="I5939" s="140" t="s">
        <v>6313</v>
      </c>
      <c r="J5939" s="140" t="s">
        <v>6314</v>
      </c>
      <c r="K5939" s="140" t="s">
        <v>8996</v>
      </c>
    </row>
    <row r="5940">
      <c r="A5940" s="140" t="s">
        <v>13806</v>
      </c>
      <c r="B5940" s="140" t="s">
        <v>5166</v>
      </c>
      <c r="C5940" s="140" t="s">
        <v>13834</v>
      </c>
      <c r="D5940" s="140" t="s">
        <v>9064</v>
      </c>
      <c r="E5940" s="140" t="s">
        <v>513</v>
      </c>
      <c r="F5940" s="140" t="s">
        <v>519</v>
      </c>
      <c r="G5940" s="141" t="s">
        <v>6401</v>
      </c>
      <c r="H5940" s="140" t="s">
        <v>6312</v>
      </c>
      <c r="I5940" s="140" t="s">
        <v>6313</v>
      </c>
      <c r="J5940" s="140" t="s">
        <v>6314</v>
      </c>
      <c r="K5940" s="140" t="s">
        <v>8996</v>
      </c>
    </row>
    <row r="5941">
      <c r="A5941" s="140" t="s">
        <v>13806</v>
      </c>
      <c r="B5941" s="140" t="s">
        <v>3609</v>
      </c>
      <c r="C5941" s="140" t="s">
        <v>13835</v>
      </c>
      <c r="D5941" s="140" t="s">
        <v>7347</v>
      </c>
      <c r="E5941" s="140" t="s">
        <v>7770</v>
      </c>
      <c r="F5941" s="140" t="s">
        <v>13836</v>
      </c>
      <c r="G5941" s="141" t="s">
        <v>6401</v>
      </c>
      <c r="H5941" s="140" t="s">
        <v>6312</v>
      </c>
      <c r="I5941" s="140" t="s">
        <v>6313</v>
      </c>
      <c r="J5941" s="140" t="s">
        <v>6314</v>
      </c>
      <c r="K5941" s="140" t="s">
        <v>8996</v>
      </c>
    </row>
    <row r="5942">
      <c r="A5942" s="140" t="s">
        <v>13806</v>
      </c>
      <c r="B5942" s="140" t="s">
        <v>13837</v>
      </c>
      <c r="C5942" s="140" t="s">
        <v>13838</v>
      </c>
      <c r="D5942" s="140" t="s">
        <v>7347</v>
      </c>
      <c r="E5942" s="140" t="s">
        <v>7770</v>
      </c>
      <c r="F5942" s="140" t="s">
        <v>13836</v>
      </c>
      <c r="G5942" s="141" t="s">
        <v>6401</v>
      </c>
      <c r="H5942" s="140" t="s">
        <v>6312</v>
      </c>
      <c r="I5942" s="140" t="s">
        <v>6313</v>
      </c>
      <c r="J5942" s="140" t="s">
        <v>6314</v>
      </c>
      <c r="K5942" s="140" t="s">
        <v>8996</v>
      </c>
    </row>
    <row r="5943">
      <c r="A5943" s="140" t="s">
        <v>13806</v>
      </c>
      <c r="B5943" s="140" t="s">
        <v>13839</v>
      </c>
      <c r="C5943" s="140" t="s">
        <v>13840</v>
      </c>
      <c r="D5943" s="140" t="s">
        <v>7347</v>
      </c>
      <c r="E5943" s="140" t="s">
        <v>7770</v>
      </c>
      <c r="F5943" s="140" t="s">
        <v>13836</v>
      </c>
      <c r="G5943" s="141" t="s">
        <v>6401</v>
      </c>
      <c r="H5943" s="140" t="s">
        <v>6312</v>
      </c>
      <c r="I5943" s="140" t="s">
        <v>6313</v>
      </c>
      <c r="J5943" s="140" t="s">
        <v>6314</v>
      </c>
      <c r="K5943" s="140" t="s">
        <v>8996</v>
      </c>
    </row>
    <row r="5944">
      <c r="A5944" s="140" t="s">
        <v>13806</v>
      </c>
      <c r="B5944" s="140" t="s">
        <v>13841</v>
      </c>
      <c r="C5944" s="140" t="s">
        <v>13842</v>
      </c>
      <c r="D5944" s="140" t="s">
        <v>7347</v>
      </c>
      <c r="E5944" s="140" t="s">
        <v>7770</v>
      </c>
      <c r="F5944" s="140" t="s">
        <v>13836</v>
      </c>
      <c r="G5944" s="141" t="s">
        <v>6401</v>
      </c>
      <c r="H5944" s="140" t="s">
        <v>6312</v>
      </c>
      <c r="I5944" s="140" t="s">
        <v>6313</v>
      </c>
      <c r="J5944" s="140" t="s">
        <v>6314</v>
      </c>
      <c r="K5944" s="140" t="s">
        <v>8996</v>
      </c>
    </row>
    <row r="5945">
      <c r="A5945" s="140" t="s">
        <v>13806</v>
      </c>
      <c r="B5945" s="140" t="s">
        <v>13843</v>
      </c>
      <c r="C5945" s="140" t="s">
        <v>13844</v>
      </c>
      <c r="D5945" s="140" t="s">
        <v>7347</v>
      </c>
      <c r="E5945" s="140" t="s">
        <v>7770</v>
      </c>
      <c r="F5945" s="140" t="s">
        <v>13836</v>
      </c>
      <c r="G5945" s="141" t="s">
        <v>6401</v>
      </c>
      <c r="H5945" s="140" t="s">
        <v>6312</v>
      </c>
      <c r="I5945" s="140" t="s">
        <v>6313</v>
      </c>
      <c r="J5945" s="140" t="s">
        <v>6314</v>
      </c>
      <c r="K5945" s="140" t="s">
        <v>8996</v>
      </c>
    </row>
    <row r="5946">
      <c r="A5946" s="140" t="s">
        <v>13806</v>
      </c>
      <c r="B5946" s="140" t="s">
        <v>13845</v>
      </c>
      <c r="C5946" s="140" t="s">
        <v>13846</v>
      </c>
      <c r="D5946" s="140" t="s">
        <v>7347</v>
      </c>
      <c r="E5946" s="140" t="s">
        <v>7770</v>
      </c>
      <c r="F5946" s="140" t="s">
        <v>13836</v>
      </c>
      <c r="G5946" s="141" t="s">
        <v>6401</v>
      </c>
      <c r="H5946" s="140" t="s">
        <v>6312</v>
      </c>
      <c r="I5946" s="140" t="s">
        <v>6313</v>
      </c>
      <c r="J5946" s="140" t="s">
        <v>6314</v>
      </c>
      <c r="K5946" s="140" t="s">
        <v>8996</v>
      </c>
    </row>
    <row r="5947">
      <c r="A5947" s="140" t="s">
        <v>13806</v>
      </c>
      <c r="B5947" s="140" t="s">
        <v>13847</v>
      </c>
      <c r="C5947" s="140" t="s">
        <v>13848</v>
      </c>
      <c r="D5947" s="140" t="s">
        <v>7347</v>
      </c>
      <c r="E5947" s="140" t="s">
        <v>7770</v>
      </c>
      <c r="F5947" s="140" t="s">
        <v>13836</v>
      </c>
      <c r="G5947" s="141" t="s">
        <v>6401</v>
      </c>
      <c r="H5947" s="140" t="s">
        <v>6312</v>
      </c>
      <c r="I5947" s="140" t="s">
        <v>6313</v>
      </c>
      <c r="J5947" s="140" t="s">
        <v>6314</v>
      </c>
      <c r="K5947" s="140" t="s">
        <v>8996</v>
      </c>
    </row>
    <row r="5948">
      <c r="A5948" s="140" t="s">
        <v>13806</v>
      </c>
      <c r="B5948" s="140" t="s">
        <v>13849</v>
      </c>
      <c r="C5948" s="140" t="s">
        <v>13850</v>
      </c>
      <c r="D5948" s="140" t="s">
        <v>7347</v>
      </c>
      <c r="E5948" s="140" t="s">
        <v>7770</v>
      </c>
      <c r="F5948" s="140" t="s">
        <v>13836</v>
      </c>
      <c r="G5948" s="141" t="s">
        <v>6401</v>
      </c>
      <c r="H5948" s="140" t="s">
        <v>6312</v>
      </c>
      <c r="I5948" s="140" t="s">
        <v>6313</v>
      </c>
      <c r="J5948" s="140" t="s">
        <v>6314</v>
      </c>
      <c r="K5948" s="140" t="s">
        <v>8996</v>
      </c>
    </row>
    <row r="5949">
      <c r="A5949" s="140" t="s">
        <v>13806</v>
      </c>
      <c r="B5949" s="140" t="s">
        <v>13851</v>
      </c>
      <c r="C5949" s="140" t="s">
        <v>13852</v>
      </c>
      <c r="D5949" s="140" t="s">
        <v>7347</v>
      </c>
      <c r="E5949" s="140" t="s">
        <v>7770</v>
      </c>
      <c r="F5949" s="140" t="s">
        <v>13836</v>
      </c>
      <c r="G5949" s="141" t="s">
        <v>6401</v>
      </c>
      <c r="H5949" s="140" t="s">
        <v>6312</v>
      </c>
      <c r="I5949" s="140" t="s">
        <v>6313</v>
      </c>
      <c r="J5949" s="140" t="s">
        <v>6314</v>
      </c>
      <c r="K5949" s="140" t="s">
        <v>8996</v>
      </c>
    </row>
    <row r="5950">
      <c r="A5950" s="140" t="s">
        <v>13806</v>
      </c>
      <c r="B5950" s="140" t="s">
        <v>13853</v>
      </c>
      <c r="C5950" s="140" t="s">
        <v>13854</v>
      </c>
      <c r="D5950" s="140" t="s">
        <v>7347</v>
      </c>
      <c r="E5950" s="140" t="s">
        <v>7770</v>
      </c>
      <c r="F5950" s="140" t="s">
        <v>13836</v>
      </c>
      <c r="G5950" s="141" t="s">
        <v>6401</v>
      </c>
      <c r="H5950" s="140" t="s">
        <v>6312</v>
      </c>
      <c r="I5950" s="140" t="s">
        <v>6313</v>
      </c>
      <c r="J5950" s="140" t="s">
        <v>6314</v>
      </c>
      <c r="K5950" s="140" t="s">
        <v>8996</v>
      </c>
    </row>
    <row r="5951">
      <c r="A5951" s="140" t="s">
        <v>13806</v>
      </c>
      <c r="B5951" s="140" t="s">
        <v>13855</v>
      </c>
      <c r="C5951" s="140" t="s">
        <v>13856</v>
      </c>
      <c r="D5951" s="140" t="s">
        <v>7347</v>
      </c>
      <c r="E5951" s="140" t="s">
        <v>7770</v>
      </c>
      <c r="F5951" s="140" t="s">
        <v>13836</v>
      </c>
      <c r="G5951" s="141" t="s">
        <v>6401</v>
      </c>
      <c r="H5951" s="140" t="s">
        <v>6312</v>
      </c>
      <c r="I5951" s="140" t="s">
        <v>6313</v>
      </c>
      <c r="J5951" s="140" t="s">
        <v>6314</v>
      </c>
      <c r="K5951" s="140" t="s">
        <v>8996</v>
      </c>
    </row>
    <row r="5952">
      <c r="A5952" s="140" t="s">
        <v>13806</v>
      </c>
      <c r="B5952" s="140" t="s">
        <v>13857</v>
      </c>
      <c r="C5952" s="140" t="s">
        <v>13858</v>
      </c>
      <c r="D5952" s="140" t="s">
        <v>7347</v>
      </c>
      <c r="E5952" s="140" t="s">
        <v>7770</v>
      </c>
      <c r="F5952" s="140" t="s">
        <v>13859</v>
      </c>
      <c r="G5952" s="141" t="s">
        <v>6401</v>
      </c>
      <c r="H5952" s="140" t="s">
        <v>6312</v>
      </c>
      <c r="I5952" s="140" t="s">
        <v>6313</v>
      </c>
      <c r="J5952" s="140" t="s">
        <v>6314</v>
      </c>
      <c r="K5952" s="140" t="s">
        <v>8996</v>
      </c>
    </row>
    <row r="5953">
      <c r="A5953" s="140" t="s">
        <v>13806</v>
      </c>
      <c r="B5953" s="140" t="s">
        <v>13860</v>
      </c>
      <c r="C5953" s="140" t="s">
        <v>13861</v>
      </c>
      <c r="D5953" s="140" t="s">
        <v>7347</v>
      </c>
      <c r="E5953" s="140" t="s">
        <v>7770</v>
      </c>
      <c r="F5953" s="140" t="s">
        <v>13859</v>
      </c>
      <c r="G5953" s="141" t="s">
        <v>6401</v>
      </c>
      <c r="H5953" s="140" t="s">
        <v>6312</v>
      </c>
      <c r="I5953" s="140" t="s">
        <v>6313</v>
      </c>
      <c r="J5953" s="140" t="s">
        <v>6314</v>
      </c>
      <c r="K5953" s="140" t="s">
        <v>8996</v>
      </c>
    </row>
    <row r="5954">
      <c r="A5954" s="140" t="s">
        <v>13806</v>
      </c>
      <c r="B5954" s="140" t="s">
        <v>13862</v>
      </c>
      <c r="C5954" s="140" t="s">
        <v>13863</v>
      </c>
      <c r="D5954" s="140" t="s">
        <v>7347</v>
      </c>
      <c r="E5954" s="140" t="s">
        <v>7770</v>
      </c>
      <c r="F5954" s="140" t="s">
        <v>13859</v>
      </c>
      <c r="G5954" s="141" t="s">
        <v>6401</v>
      </c>
      <c r="H5954" s="140" t="s">
        <v>6312</v>
      </c>
      <c r="I5954" s="140" t="s">
        <v>6313</v>
      </c>
      <c r="J5954" s="140" t="s">
        <v>6314</v>
      </c>
      <c r="K5954" s="140" t="s">
        <v>8996</v>
      </c>
    </row>
    <row r="5955">
      <c r="A5955" s="140" t="s">
        <v>13806</v>
      </c>
      <c r="B5955" s="140" t="s">
        <v>13864</v>
      </c>
      <c r="C5955" s="140" t="s">
        <v>13865</v>
      </c>
      <c r="D5955" s="140" t="s">
        <v>7347</v>
      </c>
      <c r="E5955" s="140" t="s">
        <v>7770</v>
      </c>
      <c r="F5955" s="140" t="s">
        <v>13859</v>
      </c>
      <c r="G5955" s="141" t="s">
        <v>6401</v>
      </c>
      <c r="H5955" s="140" t="s">
        <v>6312</v>
      </c>
      <c r="I5955" s="140" t="s">
        <v>6313</v>
      </c>
      <c r="J5955" s="140" t="s">
        <v>6314</v>
      </c>
      <c r="K5955" s="140" t="s">
        <v>8996</v>
      </c>
    </row>
    <row r="5956">
      <c r="A5956" s="140" t="s">
        <v>13806</v>
      </c>
      <c r="B5956" s="140" t="s">
        <v>13866</v>
      </c>
      <c r="C5956" s="140" t="s">
        <v>13867</v>
      </c>
      <c r="D5956" s="140" t="s">
        <v>7347</v>
      </c>
      <c r="E5956" s="140" t="s">
        <v>7770</v>
      </c>
      <c r="F5956" s="140" t="s">
        <v>13859</v>
      </c>
      <c r="G5956" s="141" t="s">
        <v>6401</v>
      </c>
      <c r="H5956" s="140" t="s">
        <v>6312</v>
      </c>
      <c r="I5956" s="140" t="s">
        <v>6313</v>
      </c>
      <c r="J5956" s="140" t="s">
        <v>6314</v>
      </c>
      <c r="K5956" s="140" t="s">
        <v>8996</v>
      </c>
    </row>
    <row r="5957">
      <c r="A5957" s="140" t="s">
        <v>13806</v>
      </c>
      <c r="B5957" s="140" t="s">
        <v>13868</v>
      </c>
      <c r="C5957" s="140" t="s">
        <v>1873</v>
      </c>
      <c r="D5957" s="140" t="s">
        <v>6601</v>
      </c>
      <c r="E5957" s="140" t="s">
        <v>526</v>
      </c>
      <c r="F5957" s="140" t="s">
        <v>527</v>
      </c>
      <c r="G5957" s="141" t="s">
        <v>6401</v>
      </c>
      <c r="H5957" s="140" t="s">
        <v>6312</v>
      </c>
      <c r="I5957" s="140" t="s">
        <v>6313</v>
      </c>
      <c r="J5957" s="140" t="s">
        <v>6314</v>
      </c>
      <c r="K5957" s="140" t="s">
        <v>8996</v>
      </c>
    </row>
    <row r="5958">
      <c r="A5958" s="140" t="s">
        <v>13806</v>
      </c>
      <c r="B5958" s="140" t="s">
        <v>13869</v>
      </c>
      <c r="C5958" s="140" t="s">
        <v>13870</v>
      </c>
      <c r="D5958" s="140" t="s">
        <v>7347</v>
      </c>
      <c r="E5958" s="140" t="s">
        <v>526</v>
      </c>
      <c r="F5958" s="140" t="s">
        <v>12836</v>
      </c>
      <c r="G5958" s="141" t="s">
        <v>6401</v>
      </c>
      <c r="H5958" s="140" t="s">
        <v>6312</v>
      </c>
      <c r="I5958" s="140" t="s">
        <v>6313</v>
      </c>
      <c r="J5958" s="140" t="s">
        <v>6314</v>
      </c>
      <c r="K5958" s="140" t="s">
        <v>8996</v>
      </c>
    </row>
    <row r="5959">
      <c r="A5959" s="140" t="s">
        <v>13806</v>
      </c>
      <c r="B5959" s="140" t="s">
        <v>13871</v>
      </c>
      <c r="C5959" s="140" t="s">
        <v>13872</v>
      </c>
      <c r="D5959" s="140" t="s">
        <v>7347</v>
      </c>
      <c r="E5959" s="140" t="s">
        <v>9997</v>
      </c>
      <c r="F5959" s="140" t="s">
        <v>13873</v>
      </c>
      <c r="G5959" s="141" t="s">
        <v>6401</v>
      </c>
      <c r="H5959" s="140" t="s">
        <v>6312</v>
      </c>
      <c r="I5959" s="140" t="s">
        <v>6313</v>
      </c>
      <c r="J5959" s="140" t="s">
        <v>6314</v>
      </c>
      <c r="K5959" s="140" t="s">
        <v>8996</v>
      </c>
    </row>
    <row r="5960">
      <c r="A5960" s="140" t="s">
        <v>13806</v>
      </c>
      <c r="B5960" s="140" t="s">
        <v>13874</v>
      </c>
      <c r="C5960" s="140" t="s">
        <v>13875</v>
      </c>
      <c r="D5960" s="140" t="s">
        <v>7347</v>
      </c>
      <c r="E5960" s="140" t="s">
        <v>9997</v>
      </c>
      <c r="F5960" s="140" t="s">
        <v>13873</v>
      </c>
      <c r="G5960" s="141" t="s">
        <v>6401</v>
      </c>
      <c r="H5960" s="140" t="s">
        <v>6312</v>
      </c>
      <c r="I5960" s="140" t="s">
        <v>6313</v>
      </c>
      <c r="J5960" s="140" t="s">
        <v>6314</v>
      </c>
      <c r="K5960" s="140" t="s">
        <v>8996</v>
      </c>
    </row>
    <row r="5961">
      <c r="A5961" s="140" t="s">
        <v>13806</v>
      </c>
      <c r="B5961" s="140" t="s">
        <v>13876</v>
      </c>
      <c r="C5961" s="140" t="s">
        <v>13877</v>
      </c>
      <c r="D5961" s="140" t="s">
        <v>7347</v>
      </c>
      <c r="E5961" s="140" t="s">
        <v>9997</v>
      </c>
      <c r="F5961" s="140" t="s">
        <v>13878</v>
      </c>
      <c r="G5961" s="141" t="s">
        <v>6401</v>
      </c>
      <c r="H5961" s="140" t="s">
        <v>6312</v>
      </c>
      <c r="I5961" s="140" t="s">
        <v>6313</v>
      </c>
      <c r="J5961" s="140" t="s">
        <v>6314</v>
      </c>
      <c r="K5961" s="140" t="s">
        <v>8996</v>
      </c>
    </row>
    <row r="5962">
      <c r="A5962" s="140" t="s">
        <v>13806</v>
      </c>
      <c r="B5962" s="140" t="s">
        <v>13879</v>
      </c>
      <c r="C5962" s="140" t="s">
        <v>13880</v>
      </c>
      <c r="D5962" s="140" t="s">
        <v>7347</v>
      </c>
      <c r="E5962" s="140" t="s">
        <v>9997</v>
      </c>
      <c r="F5962" s="140" t="s">
        <v>13878</v>
      </c>
      <c r="G5962" s="141" t="s">
        <v>6401</v>
      </c>
      <c r="H5962" s="140" t="s">
        <v>6312</v>
      </c>
      <c r="I5962" s="140" t="s">
        <v>6313</v>
      </c>
      <c r="J5962" s="140" t="s">
        <v>6314</v>
      </c>
      <c r="K5962" s="140" t="s">
        <v>8996</v>
      </c>
    </row>
    <row r="5963">
      <c r="A5963" s="140" t="s">
        <v>13806</v>
      </c>
      <c r="B5963" s="140" t="s">
        <v>13881</v>
      </c>
      <c r="C5963" s="140" t="s">
        <v>13882</v>
      </c>
      <c r="D5963" s="140" t="s">
        <v>7347</v>
      </c>
      <c r="E5963" s="140" t="s">
        <v>9522</v>
      </c>
      <c r="F5963" s="140" t="s">
        <v>9523</v>
      </c>
      <c r="G5963" s="141" t="s">
        <v>6401</v>
      </c>
      <c r="H5963" s="140" t="s">
        <v>6312</v>
      </c>
      <c r="I5963" s="140" t="s">
        <v>6313</v>
      </c>
      <c r="J5963" s="140" t="s">
        <v>6314</v>
      </c>
      <c r="K5963" s="140" t="s">
        <v>8996</v>
      </c>
    </row>
    <row r="5964">
      <c r="A5964" s="140" t="s">
        <v>13806</v>
      </c>
      <c r="B5964" s="140" t="s">
        <v>13883</v>
      </c>
      <c r="C5964" s="140" t="s">
        <v>13884</v>
      </c>
      <c r="D5964" s="140" t="s">
        <v>7347</v>
      </c>
      <c r="E5964" s="140" t="s">
        <v>9522</v>
      </c>
      <c r="F5964" s="140" t="s">
        <v>9523</v>
      </c>
      <c r="G5964" s="141" t="s">
        <v>6401</v>
      </c>
      <c r="H5964" s="140" t="s">
        <v>6312</v>
      </c>
      <c r="I5964" s="140" t="s">
        <v>6313</v>
      </c>
      <c r="J5964" s="140" t="s">
        <v>6314</v>
      </c>
      <c r="K5964" s="140" t="s">
        <v>8996</v>
      </c>
    </row>
    <row r="5965">
      <c r="A5965" s="140" t="s">
        <v>13806</v>
      </c>
      <c r="B5965" s="140" t="s">
        <v>13885</v>
      </c>
      <c r="C5965" s="140" t="s">
        <v>13886</v>
      </c>
      <c r="D5965" s="140" t="s">
        <v>7347</v>
      </c>
      <c r="E5965" s="140" t="s">
        <v>9522</v>
      </c>
      <c r="F5965" s="140" t="s">
        <v>9523</v>
      </c>
      <c r="G5965" s="141" t="s">
        <v>6401</v>
      </c>
      <c r="H5965" s="140" t="s">
        <v>6312</v>
      </c>
      <c r="I5965" s="140" t="s">
        <v>6313</v>
      </c>
      <c r="J5965" s="140" t="s">
        <v>6314</v>
      </c>
      <c r="K5965" s="140" t="s">
        <v>8996</v>
      </c>
    </row>
    <row r="5966">
      <c r="A5966" s="140" t="s">
        <v>13806</v>
      </c>
      <c r="B5966" s="140" t="s">
        <v>13887</v>
      </c>
      <c r="C5966" s="140" t="s">
        <v>13888</v>
      </c>
      <c r="D5966" s="140" t="s">
        <v>7347</v>
      </c>
      <c r="E5966" s="140" t="s">
        <v>9522</v>
      </c>
      <c r="F5966" s="140" t="s">
        <v>9523</v>
      </c>
      <c r="G5966" s="141" t="s">
        <v>6401</v>
      </c>
      <c r="H5966" s="140" t="s">
        <v>6312</v>
      </c>
      <c r="I5966" s="140" t="s">
        <v>6313</v>
      </c>
      <c r="J5966" s="140" t="s">
        <v>6314</v>
      </c>
      <c r="K5966" s="140" t="s">
        <v>8996</v>
      </c>
    </row>
    <row r="5967">
      <c r="A5967" s="140" t="s">
        <v>13806</v>
      </c>
      <c r="B5967" s="140" t="s">
        <v>13889</v>
      </c>
      <c r="C5967" s="140" t="s">
        <v>13890</v>
      </c>
      <c r="D5967" s="140" t="s">
        <v>7347</v>
      </c>
      <c r="E5967" s="140" t="s">
        <v>9522</v>
      </c>
      <c r="F5967" s="140" t="s">
        <v>9523</v>
      </c>
      <c r="G5967" s="141" t="s">
        <v>6401</v>
      </c>
      <c r="H5967" s="140" t="s">
        <v>6312</v>
      </c>
      <c r="I5967" s="140" t="s">
        <v>6313</v>
      </c>
      <c r="J5967" s="140" t="s">
        <v>6314</v>
      </c>
      <c r="K5967" s="140" t="s">
        <v>8996</v>
      </c>
    </row>
    <row r="5968">
      <c r="A5968" s="140" t="s">
        <v>13806</v>
      </c>
      <c r="B5968" s="140" t="s">
        <v>13891</v>
      </c>
      <c r="C5968" s="140" t="s">
        <v>13892</v>
      </c>
      <c r="D5968" s="140" t="s">
        <v>7347</v>
      </c>
      <c r="E5968" s="140" t="s">
        <v>9522</v>
      </c>
      <c r="F5968" s="140" t="s">
        <v>9523</v>
      </c>
      <c r="G5968" s="141" t="s">
        <v>6401</v>
      </c>
      <c r="H5968" s="140" t="s">
        <v>6312</v>
      </c>
      <c r="I5968" s="140" t="s">
        <v>6313</v>
      </c>
      <c r="J5968" s="140" t="s">
        <v>6314</v>
      </c>
      <c r="K5968" s="140" t="s">
        <v>8996</v>
      </c>
    </row>
    <row r="5969">
      <c r="A5969" s="140" t="s">
        <v>13806</v>
      </c>
      <c r="B5969" s="140" t="s">
        <v>3611</v>
      </c>
      <c r="C5969" s="140" t="s">
        <v>13893</v>
      </c>
      <c r="D5969" s="140" t="s">
        <v>7347</v>
      </c>
      <c r="E5969" s="140" t="s">
        <v>9522</v>
      </c>
      <c r="F5969" s="140" t="s">
        <v>9523</v>
      </c>
      <c r="G5969" s="141" t="s">
        <v>6401</v>
      </c>
      <c r="H5969" s="140" t="s">
        <v>6312</v>
      </c>
      <c r="I5969" s="140" t="s">
        <v>6313</v>
      </c>
      <c r="J5969" s="140" t="s">
        <v>6314</v>
      </c>
      <c r="K5969" s="140" t="s">
        <v>8996</v>
      </c>
    </row>
    <row r="5970">
      <c r="A5970" s="140" t="s">
        <v>13806</v>
      </c>
      <c r="B5970" s="140" t="s">
        <v>13894</v>
      </c>
      <c r="C5970" s="140" t="s">
        <v>13895</v>
      </c>
      <c r="D5970" s="140" t="s">
        <v>7347</v>
      </c>
      <c r="E5970" s="140" t="s">
        <v>9522</v>
      </c>
      <c r="F5970" s="140" t="s">
        <v>9523</v>
      </c>
      <c r="G5970" s="141" t="s">
        <v>6401</v>
      </c>
      <c r="H5970" s="140" t="s">
        <v>6312</v>
      </c>
      <c r="I5970" s="140" t="s">
        <v>6313</v>
      </c>
      <c r="J5970" s="140" t="s">
        <v>6314</v>
      </c>
      <c r="K5970" s="140" t="s">
        <v>8996</v>
      </c>
    </row>
    <row r="5971">
      <c r="A5971" s="140" t="s">
        <v>13806</v>
      </c>
      <c r="B5971" s="140" t="s">
        <v>13896</v>
      </c>
      <c r="C5971" s="140" t="s">
        <v>13897</v>
      </c>
      <c r="D5971" s="140" t="s">
        <v>7347</v>
      </c>
      <c r="E5971" s="140" t="s">
        <v>9522</v>
      </c>
      <c r="F5971" s="140" t="s">
        <v>9523</v>
      </c>
      <c r="G5971" s="141" t="s">
        <v>6401</v>
      </c>
      <c r="H5971" s="140" t="s">
        <v>6312</v>
      </c>
      <c r="I5971" s="140" t="s">
        <v>6313</v>
      </c>
      <c r="J5971" s="140" t="s">
        <v>6314</v>
      </c>
      <c r="K5971" s="140" t="s">
        <v>8996</v>
      </c>
    </row>
    <row r="5972">
      <c r="A5972" s="140" t="s">
        <v>13806</v>
      </c>
      <c r="B5972" s="140" t="s">
        <v>13898</v>
      </c>
      <c r="C5972" s="140" t="s">
        <v>13899</v>
      </c>
      <c r="D5972" s="140" t="s">
        <v>7347</v>
      </c>
      <c r="E5972" s="140" t="s">
        <v>9522</v>
      </c>
      <c r="F5972" s="140" t="s">
        <v>9523</v>
      </c>
      <c r="G5972" s="141" t="s">
        <v>6401</v>
      </c>
      <c r="H5972" s="140" t="s">
        <v>6312</v>
      </c>
      <c r="I5972" s="140" t="s">
        <v>6313</v>
      </c>
      <c r="J5972" s="140" t="s">
        <v>6314</v>
      </c>
      <c r="K5972" s="140" t="s">
        <v>8996</v>
      </c>
    </row>
    <row r="5973">
      <c r="A5973" s="140" t="s">
        <v>13806</v>
      </c>
      <c r="B5973" s="140" t="s">
        <v>13900</v>
      </c>
      <c r="C5973" s="140" t="s">
        <v>13901</v>
      </c>
      <c r="D5973" s="140" t="s">
        <v>7347</v>
      </c>
      <c r="E5973" s="140" t="s">
        <v>9522</v>
      </c>
      <c r="F5973" s="140" t="s">
        <v>9523</v>
      </c>
      <c r="G5973" s="141" t="s">
        <v>6401</v>
      </c>
      <c r="H5973" s="140" t="s">
        <v>6312</v>
      </c>
      <c r="I5973" s="140" t="s">
        <v>6313</v>
      </c>
      <c r="J5973" s="140" t="s">
        <v>6314</v>
      </c>
      <c r="K5973" s="140" t="s">
        <v>8996</v>
      </c>
    </row>
    <row r="5974">
      <c r="A5974" s="140" t="s">
        <v>13806</v>
      </c>
      <c r="B5974" s="140" t="s">
        <v>5168</v>
      </c>
      <c r="C5974" s="140" t="s">
        <v>13902</v>
      </c>
      <c r="D5974" s="140" t="s">
        <v>7347</v>
      </c>
      <c r="E5974" s="140" t="s">
        <v>9522</v>
      </c>
      <c r="F5974" s="140" t="s">
        <v>9523</v>
      </c>
      <c r="G5974" s="141" t="s">
        <v>6401</v>
      </c>
      <c r="H5974" s="140" t="s">
        <v>6312</v>
      </c>
      <c r="I5974" s="140" t="s">
        <v>6313</v>
      </c>
      <c r="J5974" s="140" t="s">
        <v>6314</v>
      </c>
      <c r="K5974" s="140" t="s">
        <v>8996</v>
      </c>
    </row>
    <row r="5975">
      <c r="A5975" s="140" t="s">
        <v>13806</v>
      </c>
      <c r="B5975" s="140" t="s">
        <v>13903</v>
      </c>
      <c r="C5975" s="140" t="s">
        <v>13902</v>
      </c>
      <c r="D5975" s="140" t="s">
        <v>7347</v>
      </c>
      <c r="E5975" s="140" t="s">
        <v>9522</v>
      </c>
      <c r="F5975" s="140" t="s">
        <v>9523</v>
      </c>
      <c r="G5975" s="141" t="s">
        <v>6401</v>
      </c>
      <c r="H5975" s="140" t="s">
        <v>6312</v>
      </c>
      <c r="I5975" s="140" t="s">
        <v>6313</v>
      </c>
      <c r="J5975" s="140" t="s">
        <v>6314</v>
      </c>
      <c r="K5975" s="140" t="s">
        <v>8996</v>
      </c>
    </row>
    <row r="5976">
      <c r="A5976" s="140" t="s">
        <v>13806</v>
      </c>
      <c r="B5976" s="140" t="s">
        <v>13904</v>
      </c>
      <c r="C5976" s="140" t="s">
        <v>13905</v>
      </c>
      <c r="D5976" s="140" t="s">
        <v>7347</v>
      </c>
      <c r="E5976" s="140" t="s">
        <v>9522</v>
      </c>
      <c r="F5976" s="140" t="s">
        <v>9523</v>
      </c>
      <c r="G5976" s="141" t="s">
        <v>6401</v>
      </c>
      <c r="H5976" s="140" t="s">
        <v>6312</v>
      </c>
      <c r="I5976" s="140" t="s">
        <v>6313</v>
      </c>
      <c r="J5976" s="140" t="s">
        <v>6314</v>
      </c>
      <c r="K5976" s="140" t="s">
        <v>8996</v>
      </c>
    </row>
    <row r="5977">
      <c r="A5977" s="140" t="s">
        <v>13806</v>
      </c>
      <c r="B5977" s="140" t="s">
        <v>13906</v>
      </c>
      <c r="C5977" s="140" t="s">
        <v>13907</v>
      </c>
      <c r="D5977" s="140" t="s">
        <v>7347</v>
      </c>
      <c r="E5977" s="140" t="s">
        <v>9522</v>
      </c>
      <c r="F5977" s="140" t="s">
        <v>9523</v>
      </c>
      <c r="G5977" s="141" t="s">
        <v>6401</v>
      </c>
      <c r="H5977" s="140" t="s">
        <v>6312</v>
      </c>
      <c r="I5977" s="140" t="s">
        <v>6313</v>
      </c>
      <c r="J5977" s="140" t="s">
        <v>6314</v>
      </c>
      <c r="K5977" s="140" t="s">
        <v>8996</v>
      </c>
    </row>
    <row r="5978">
      <c r="A5978" s="140" t="s">
        <v>13806</v>
      </c>
      <c r="B5978" s="140" t="s">
        <v>13908</v>
      </c>
      <c r="C5978" s="140" t="s">
        <v>13909</v>
      </c>
      <c r="D5978" s="140" t="s">
        <v>7347</v>
      </c>
      <c r="E5978" s="140" t="s">
        <v>9522</v>
      </c>
      <c r="F5978" s="140" t="s">
        <v>9523</v>
      </c>
      <c r="G5978" s="141" t="s">
        <v>6401</v>
      </c>
      <c r="H5978" s="140" t="s">
        <v>6312</v>
      </c>
      <c r="I5978" s="140" t="s">
        <v>6313</v>
      </c>
      <c r="J5978" s="140" t="s">
        <v>6314</v>
      </c>
      <c r="K5978" s="140" t="s">
        <v>8996</v>
      </c>
    </row>
    <row r="5979">
      <c r="A5979" s="140" t="s">
        <v>13806</v>
      </c>
      <c r="B5979" s="140" t="s">
        <v>13910</v>
      </c>
      <c r="C5979" s="140" t="s">
        <v>13911</v>
      </c>
      <c r="D5979" s="140" t="s">
        <v>7347</v>
      </c>
      <c r="E5979" s="140" t="s">
        <v>9522</v>
      </c>
      <c r="F5979" s="140" t="s">
        <v>9523</v>
      </c>
      <c r="G5979" s="141" t="s">
        <v>6401</v>
      </c>
      <c r="H5979" s="140" t="s">
        <v>6312</v>
      </c>
      <c r="I5979" s="140" t="s">
        <v>6313</v>
      </c>
      <c r="J5979" s="140" t="s">
        <v>6314</v>
      </c>
      <c r="K5979" s="140" t="s">
        <v>8996</v>
      </c>
    </row>
    <row r="5980">
      <c r="A5980" s="140" t="s">
        <v>13806</v>
      </c>
      <c r="B5980" s="140" t="s">
        <v>13912</v>
      </c>
      <c r="C5980" s="140" t="s">
        <v>13911</v>
      </c>
      <c r="D5980" s="140" t="s">
        <v>7347</v>
      </c>
      <c r="E5980" s="140" t="s">
        <v>9522</v>
      </c>
      <c r="F5980" s="140" t="s">
        <v>9523</v>
      </c>
      <c r="G5980" s="141" t="s">
        <v>6401</v>
      </c>
      <c r="H5980" s="140" t="s">
        <v>6312</v>
      </c>
      <c r="I5980" s="140" t="s">
        <v>6313</v>
      </c>
      <c r="J5980" s="140" t="s">
        <v>6314</v>
      </c>
      <c r="K5980" s="140" t="s">
        <v>8996</v>
      </c>
    </row>
    <row r="5981">
      <c r="A5981" s="140" t="s">
        <v>13806</v>
      </c>
      <c r="B5981" s="140" t="s">
        <v>13913</v>
      </c>
      <c r="C5981" s="140" t="s">
        <v>13914</v>
      </c>
      <c r="D5981" s="140" t="s">
        <v>7347</v>
      </c>
      <c r="E5981" s="140" t="s">
        <v>9522</v>
      </c>
      <c r="F5981" s="140" t="s">
        <v>9523</v>
      </c>
      <c r="G5981" s="141" t="s">
        <v>6401</v>
      </c>
      <c r="H5981" s="140" t="s">
        <v>6312</v>
      </c>
      <c r="I5981" s="140" t="s">
        <v>6313</v>
      </c>
      <c r="J5981" s="140" t="s">
        <v>6314</v>
      </c>
      <c r="K5981" s="140" t="s">
        <v>8996</v>
      </c>
    </row>
    <row r="5982">
      <c r="A5982" s="140" t="s">
        <v>13806</v>
      </c>
      <c r="B5982" s="140" t="s">
        <v>13915</v>
      </c>
      <c r="C5982" s="140" t="s">
        <v>13916</v>
      </c>
      <c r="D5982" s="140" t="s">
        <v>7347</v>
      </c>
      <c r="E5982" s="140" t="s">
        <v>9522</v>
      </c>
      <c r="F5982" s="140" t="s">
        <v>9523</v>
      </c>
      <c r="G5982" s="141" t="s">
        <v>6401</v>
      </c>
      <c r="H5982" s="140" t="s">
        <v>6312</v>
      </c>
      <c r="I5982" s="140" t="s">
        <v>6313</v>
      </c>
      <c r="J5982" s="140" t="s">
        <v>6314</v>
      </c>
      <c r="K5982" s="140" t="s">
        <v>8996</v>
      </c>
    </row>
    <row r="5983">
      <c r="A5983" s="140" t="s">
        <v>13806</v>
      </c>
      <c r="B5983" s="140" t="s">
        <v>13917</v>
      </c>
      <c r="C5983" s="140" t="s">
        <v>13918</v>
      </c>
      <c r="D5983" s="140" t="s">
        <v>7347</v>
      </c>
      <c r="E5983" s="140" t="s">
        <v>9522</v>
      </c>
      <c r="F5983" s="140" t="s">
        <v>9523</v>
      </c>
      <c r="G5983" s="141" t="s">
        <v>6401</v>
      </c>
      <c r="H5983" s="140" t="s">
        <v>6312</v>
      </c>
      <c r="I5983" s="140" t="s">
        <v>6313</v>
      </c>
      <c r="J5983" s="140" t="s">
        <v>6314</v>
      </c>
      <c r="K5983" s="140" t="s">
        <v>8996</v>
      </c>
    </row>
    <row r="5984">
      <c r="A5984" s="140" t="s">
        <v>13919</v>
      </c>
      <c r="B5984" s="140" t="s">
        <v>13920</v>
      </c>
      <c r="C5984" s="140" t="s">
        <v>13921</v>
      </c>
      <c r="D5984" s="140" t="s">
        <v>6318</v>
      </c>
      <c r="E5984" s="140" t="s">
        <v>6323</v>
      </c>
      <c r="F5984" s="140" t="s">
        <v>5774</v>
      </c>
      <c r="G5984" s="141" t="s">
        <v>6401</v>
      </c>
      <c r="H5984" s="140" t="s">
        <v>6312</v>
      </c>
      <c r="I5984" s="140" t="s">
        <v>6313</v>
      </c>
      <c r="J5984" s="140" t="s">
        <v>6314</v>
      </c>
      <c r="K5984" s="140" t="s">
        <v>6603</v>
      </c>
    </row>
    <row r="5985">
      <c r="A5985" s="140" t="s">
        <v>13919</v>
      </c>
      <c r="B5985" s="140" t="s">
        <v>13922</v>
      </c>
      <c r="C5985" s="140" t="s">
        <v>13923</v>
      </c>
      <c r="D5985" s="140" t="s">
        <v>6318</v>
      </c>
      <c r="E5985" s="140" t="s">
        <v>1225</v>
      </c>
      <c r="F5985" s="140" t="s">
        <v>1243</v>
      </c>
      <c r="G5985" s="141" t="s">
        <v>6401</v>
      </c>
      <c r="H5985" s="140" t="s">
        <v>6312</v>
      </c>
      <c r="I5985" s="140" t="s">
        <v>6313</v>
      </c>
      <c r="J5985" s="140" t="s">
        <v>6314</v>
      </c>
      <c r="K5985" s="140" t="s">
        <v>6603</v>
      </c>
    </row>
    <row r="5986">
      <c r="A5986" s="140" t="s">
        <v>13919</v>
      </c>
      <c r="B5986" s="140" t="s">
        <v>13924</v>
      </c>
      <c r="C5986" s="140" t="s">
        <v>13925</v>
      </c>
      <c r="D5986" s="140" t="s">
        <v>6318</v>
      </c>
      <c r="E5986" s="140" t="s">
        <v>1225</v>
      </c>
      <c r="F5986" s="140" t="s">
        <v>1243</v>
      </c>
      <c r="G5986" s="141" t="s">
        <v>6668</v>
      </c>
      <c r="H5986" s="140" t="s">
        <v>6312</v>
      </c>
      <c r="I5986" s="140" t="s">
        <v>6313</v>
      </c>
      <c r="J5986" s="140" t="s">
        <v>6314</v>
      </c>
      <c r="K5986" s="140" t="s">
        <v>6603</v>
      </c>
    </row>
    <row r="5987">
      <c r="A5987" s="140" t="s">
        <v>13919</v>
      </c>
      <c r="B5987" s="140" t="s">
        <v>13926</v>
      </c>
      <c r="C5987" s="140" t="s">
        <v>13927</v>
      </c>
      <c r="D5987" s="140" t="s">
        <v>6318</v>
      </c>
      <c r="E5987" s="140" t="s">
        <v>1225</v>
      </c>
      <c r="F5987" s="140" t="s">
        <v>1293</v>
      </c>
      <c r="G5987" s="141" t="s">
        <v>6401</v>
      </c>
      <c r="H5987" s="140" t="s">
        <v>6312</v>
      </c>
      <c r="I5987" s="140" t="s">
        <v>6313</v>
      </c>
      <c r="J5987" s="140" t="s">
        <v>6314</v>
      </c>
      <c r="K5987" s="140" t="s">
        <v>6603</v>
      </c>
    </row>
    <row r="5988">
      <c r="A5988" s="140" t="s">
        <v>13928</v>
      </c>
      <c r="B5988" s="140" t="s">
        <v>13929</v>
      </c>
      <c r="C5988" s="140" t="s">
        <v>13930</v>
      </c>
      <c r="D5988" s="140" t="s">
        <v>6601</v>
      </c>
      <c r="E5988" s="140" t="s">
        <v>526</v>
      </c>
      <c r="F5988" s="140" t="s">
        <v>7105</v>
      </c>
      <c r="G5988" s="141" t="s">
        <v>6401</v>
      </c>
      <c r="H5988" s="140" t="s">
        <v>6312</v>
      </c>
      <c r="I5988" s="140" t="s">
        <v>6313</v>
      </c>
      <c r="J5988" s="140" t="s">
        <v>6314</v>
      </c>
      <c r="K5988" s="140" t="s">
        <v>8954</v>
      </c>
    </row>
    <row r="5989">
      <c r="A5989" s="140" t="s">
        <v>13931</v>
      </c>
      <c r="B5989" s="140" t="s">
        <v>13932</v>
      </c>
      <c r="C5989" s="140" t="s">
        <v>13933</v>
      </c>
      <c r="D5989" s="140" t="s">
        <v>7347</v>
      </c>
      <c r="E5989" s="140">
        <v>0.0</v>
      </c>
      <c r="F5989" s="140" t="s">
        <v>13934</v>
      </c>
      <c r="G5989" s="141" t="s">
        <v>6401</v>
      </c>
      <c r="H5989" s="140" t="s">
        <v>6312</v>
      </c>
      <c r="I5989" s="140" t="s">
        <v>6313</v>
      </c>
      <c r="J5989" s="140" t="s">
        <v>6314</v>
      </c>
      <c r="K5989" s="140" t="s">
        <v>12831</v>
      </c>
    </row>
    <row r="5990">
      <c r="A5990" s="140" t="s">
        <v>13931</v>
      </c>
      <c r="B5990" s="140" t="s">
        <v>13935</v>
      </c>
      <c r="C5990" s="140" t="s">
        <v>13936</v>
      </c>
      <c r="D5990" s="140" t="s">
        <v>7347</v>
      </c>
      <c r="E5990" s="140" t="s">
        <v>526</v>
      </c>
      <c r="F5990" s="140" t="s">
        <v>12836</v>
      </c>
      <c r="G5990" s="141" t="s">
        <v>6401</v>
      </c>
      <c r="H5990" s="140" t="s">
        <v>6312</v>
      </c>
      <c r="I5990" s="140" t="s">
        <v>6313</v>
      </c>
      <c r="J5990" s="140" t="s">
        <v>6314</v>
      </c>
      <c r="K5990" s="140" t="s">
        <v>12831</v>
      </c>
    </row>
    <row r="5991">
      <c r="A5991" s="140" t="s">
        <v>5964</v>
      </c>
      <c r="B5991" s="140">
        <v>49240.0</v>
      </c>
      <c r="C5991" s="140" t="s">
        <v>13937</v>
      </c>
      <c r="D5991" s="140" t="s">
        <v>6318</v>
      </c>
      <c r="E5991" s="140" t="s">
        <v>6323</v>
      </c>
      <c r="F5991" s="140" t="s">
        <v>6531</v>
      </c>
      <c r="G5991" s="141" t="s">
        <v>6311</v>
      </c>
      <c r="H5991" s="140" t="s">
        <v>6312</v>
      </c>
      <c r="I5991" s="140" t="s">
        <v>6313</v>
      </c>
      <c r="J5991" s="140" t="s">
        <v>6314</v>
      </c>
      <c r="K5991" s="140" t="s">
        <v>6320</v>
      </c>
    </row>
    <row r="5992">
      <c r="A5992" s="140" t="s">
        <v>5964</v>
      </c>
      <c r="B5992" s="140">
        <v>629017.0</v>
      </c>
      <c r="C5992" s="140" t="s">
        <v>13938</v>
      </c>
      <c r="D5992" s="140" t="s">
        <v>6318</v>
      </c>
      <c r="E5992" s="140" t="s">
        <v>5721</v>
      </c>
      <c r="F5992" s="140" t="s">
        <v>5792</v>
      </c>
      <c r="G5992" s="141" t="s">
        <v>6311</v>
      </c>
      <c r="H5992" s="140" t="s">
        <v>6312</v>
      </c>
      <c r="I5992" s="140" t="s">
        <v>6313</v>
      </c>
      <c r="J5992" s="140" t="s">
        <v>6314</v>
      </c>
      <c r="K5992" s="140" t="s">
        <v>6320</v>
      </c>
    </row>
    <row r="5993">
      <c r="A5993" s="140" t="s">
        <v>5964</v>
      </c>
      <c r="B5993" s="140">
        <v>621247.0</v>
      </c>
      <c r="C5993" s="140" t="s">
        <v>13939</v>
      </c>
      <c r="D5993" s="140" t="s">
        <v>6318</v>
      </c>
      <c r="E5993" s="140" t="s">
        <v>5721</v>
      </c>
      <c r="F5993" s="140" t="s">
        <v>5792</v>
      </c>
      <c r="G5993" s="141" t="s">
        <v>6311</v>
      </c>
      <c r="H5993" s="140" t="s">
        <v>6312</v>
      </c>
      <c r="I5993" s="140" t="s">
        <v>6313</v>
      </c>
      <c r="J5993" s="140" t="s">
        <v>6314</v>
      </c>
      <c r="K5993" s="140" t="s">
        <v>6320</v>
      </c>
    </row>
    <row r="5994">
      <c r="A5994" s="140" t="s">
        <v>5964</v>
      </c>
      <c r="B5994" s="140">
        <v>47805.0</v>
      </c>
      <c r="C5994" s="140" t="s">
        <v>13940</v>
      </c>
      <c r="D5994" s="140" t="s">
        <v>6318</v>
      </c>
      <c r="E5994" s="140" t="s">
        <v>5721</v>
      </c>
      <c r="F5994" s="140" t="s">
        <v>5792</v>
      </c>
      <c r="G5994" s="141" t="s">
        <v>6311</v>
      </c>
      <c r="H5994" s="140" t="s">
        <v>6312</v>
      </c>
      <c r="I5994" s="140" t="s">
        <v>6313</v>
      </c>
      <c r="J5994" s="140" t="s">
        <v>6314</v>
      </c>
      <c r="K5994" s="140" t="s">
        <v>6320</v>
      </c>
    </row>
    <row r="5995">
      <c r="A5995" s="140" t="s">
        <v>13941</v>
      </c>
      <c r="B5995" s="143">
        <v>1.63215E12</v>
      </c>
      <c r="C5995" s="140" t="s">
        <v>13942</v>
      </c>
      <c r="D5995" s="140" t="s">
        <v>6318</v>
      </c>
      <c r="E5995" s="140">
        <v>0.0</v>
      </c>
      <c r="F5995" s="140" t="s">
        <v>7575</v>
      </c>
      <c r="G5995" s="141" t="s">
        <v>6401</v>
      </c>
      <c r="H5995" s="140" t="s">
        <v>6312</v>
      </c>
      <c r="I5995" s="140" t="s">
        <v>6313</v>
      </c>
      <c r="J5995" s="140" t="s">
        <v>6314</v>
      </c>
      <c r="K5995" s="140" t="s">
        <v>8954</v>
      </c>
    </row>
    <row r="5996">
      <c r="A5996" s="140" t="s">
        <v>13941</v>
      </c>
      <c r="B5996" s="143">
        <v>1.63215E12</v>
      </c>
      <c r="C5996" s="140" t="s">
        <v>13943</v>
      </c>
      <c r="D5996" s="140" t="s">
        <v>6601</v>
      </c>
      <c r="E5996" s="140">
        <v>0.0</v>
      </c>
      <c r="F5996" s="140" t="s">
        <v>6609</v>
      </c>
      <c r="G5996" s="141" t="s">
        <v>6401</v>
      </c>
      <c r="H5996" s="140" t="s">
        <v>6312</v>
      </c>
      <c r="I5996" s="140" t="s">
        <v>6313</v>
      </c>
      <c r="J5996" s="140" t="s">
        <v>6314</v>
      </c>
      <c r="K5996" s="140" t="s">
        <v>8954</v>
      </c>
    </row>
    <row r="5997">
      <c r="A5997" s="140" t="s">
        <v>13941</v>
      </c>
      <c r="B5997" s="143">
        <v>1.63215E12</v>
      </c>
      <c r="C5997" s="140" t="s">
        <v>13944</v>
      </c>
      <c r="D5997" s="140" t="s">
        <v>6601</v>
      </c>
      <c r="E5997" s="140">
        <v>0.0</v>
      </c>
      <c r="F5997" s="140" t="s">
        <v>6609</v>
      </c>
      <c r="G5997" s="141" t="s">
        <v>6401</v>
      </c>
      <c r="H5997" s="140" t="s">
        <v>6312</v>
      </c>
      <c r="I5997" s="140" t="s">
        <v>6313</v>
      </c>
      <c r="J5997" s="140" t="s">
        <v>6314</v>
      </c>
      <c r="K5997" s="140" t="s">
        <v>8954</v>
      </c>
    </row>
    <row r="5998">
      <c r="A5998" s="140" t="s">
        <v>13941</v>
      </c>
      <c r="B5998" s="143">
        <v>1.63215E12</v>
      </c>
      <c r="C5998" s="140" t="s">
        <v>13945</v>
      </c>
      <c r="D5998" s="140" t="s">
        <v>6601</v>
      </c>
      <c r="E5998" s="140">
        <v>0.0</v>
      </c>
      <c r="F5998" s="140" t="s">
        <v>6609</v>
      </c>
      <c r="G5998" s="141" t="s">
        <v>6401</v>
      </c>
      <c r="H5998" s="140" t="s">
        <v>6312</v>
      </c>
      <c r="I5998" s="140" t="s">
        <v>6313</v>
      </c>
      <c r="J5998" s="140" t="s">
        <v>6314</v>
      </c>
      <c r="K5998" s="140" t="s">
        <v>8954</v>
      </c>
    </row>
    <row r="5999">
      <c r="A5999" s="140" t="s">
        <v>13941</v>
      </c>
      <c r="B5999" s="143">
        <v>1.63215E12</v>
      </c>
      <c r="C5999" s="140" t="s">
        <v>13946</v>
      </c>
      <c r="D5999" s="140" t="s">
        <v>6601</v>
      </c>
      <c r="E5999" s="140">
        <v>0.0</v>
      </c>
      <c r="F5999" s="140" t="s">
        <v>6609</v>
      </c>
      <c r="G5999" s="141" t="s">
        <v>6401</v>
      </c>
      <c r="H5999" s="140" t="s">
        <v>6312</v>
      </c>
      <c r="I5999" s="140" t="s">
        <v>6313</v>
      </c>
      <c r="J5999" s="140" t="s">
        <v>6314</v>
      </c>
      <c r="K5999" s="140" t="s">
        <v>8954</v>
      </c>
    </row>
    <row r="6000">
      <c r="A6000" s="140" t="s">
        <v>13941</v>
      </c>
      <c r="B6000" s="143">
        <v>1.63215E12</v>
      </c>
      <c r="C6000" s="140" t="s">
        <v>13947</v>
      </c>
      <c r="D6000" s="140" t="s">
        <v>6601</v>
      </c>
      <c r="E6000" s="140">
        <v>0.0</v>
      </c>
      <c r="F6000" s="140" t="s">
        <v>6609</v>
      </c>
      <c r="G6000" s="141" t="s">
        <v>6401</v>
      </c>
      <c r="H6000" s="140" t="s">
        <v>6312</v>
      </c>
      <c r="I6000" s="140" t="s">
        <v>6313</v>
      </c>
      <c r="J6000" s="140" t="s">
        <v>6314</v>
      </c>
      <c r="K6000" s="140" t="s">
        <v>8954</v>
      </c>
    </row>
    <row r="6001">
      <c r="A6001" s="140" t="s">
        <v>13941</v>
      </c>
      <c r="B6001" s="143">
        <v>1.63215E12</v>
      </c>
      <c r="C6001" s="140" t="s">
        <v>13948</v>
      </c>
      <c r="D6001" s="140" t="s">
        <v>6309</v>
      </c>
      <c r="E6001" s="140">
        <v>0.0</v>
      </c>
      <c r="F6001" s="140" t="s">
        <v>7613</v>
      </c>
      <c r="G6001" s="141" t="s">
        <v>6401</v>
      </c>
      <c r="H6001" s="140" t="s">
        <v>6312</v>
      </c>
      <c r="I6001" s="140" t="s">
        <v>6313</v>
      </c>
      <c r="J6001" s="140" t="s">
        <v>6314</v>
      </c>
      <c r="K6001" s="140" t="s">
        <v>8954</v>
      </c>
    </row>
    <row r="6002">
      <c r="A6002" s="140" t="s">
        <v>13941</v>
      </c>
      <c r="B6002" s="143">
        <v>1.63215E12</v>
      </c>
      <c r="C6002" s="140" t="s">
        <v>13949</v>
      </c>
      <c r="D6002" s="140" t="s">
        <v>6309</v>
      </c>
      <c r="E6002" s="140">
        <v>0.0</v>
      </c>
      <c r="F6002" s="140" t="s">
        <v>7613</v>
      </c>
      <c r="G6002" s="141" t="s">
        <v>6401</v>
      </c>
      <c r="H6002" s="140" t="s">
        <v>6312</v>
      </c>
      <c r="I6002" s="140" t="s">
        <v>6313</v>
      </c>
      <c r="J6002" s="140" t="s">
        <v>6314</v>
      </c>
      <c r="K6002" s="140" t="s">
        <v>8954</v>
      </c>
    </row>
    <row r="6003">
      <c r="A6003" s="140" t="s">
        <v>13941</v>
      </c>
      <c r="B6003" s="143">
        <v>1.63215E12</v>
      </c>
      <c r="C6003" s="140" t="s">
        <v>13950</v>
      </c>
      <c r="D6003" s="140" t="s">
        <v>6309</v>
      </c>
      <c r="E6003" s="140">
        <v>0.0</v>
      </c>
      <c r="F6003" s="140" t="s">
        <v>7613</v>
      </c>
      <c r="G6003" s="141" t="s">
        <v>6401</v>
      </c>
      <c r="H6003" s="140" t="s">
        <v>6312</v>
      </c>
      <c r="I6003" s="140" t="s">
        <v>6313</v>
      </c>
      <c r="J6003" s="140" t="s">
        <v>6314</v>
      </c>
      <c r="K6003" s="140" t="s">
        <v>8954</v>
      </c>
    </row>
    <row r="6004">
      <c r="A6004" s="140" t="s">
        <v>13941</v>
      </c>
      <c r="B6004" s="143">
        <v>1.63215E12</v>
      </c>
      <c r="C6004" s="140" t="s">
        <v>13951</v>
      </c>
      <c r="D6004" s="140" t="s">
        <v>6309</v>
      </c>
      <c r="E6004" s="140">
        <v>0.0</v>
      </c>
      <c r="F6004" s="140" t="s">
        <v>7613</v>
      </c>
      <c r="G6004" s="141" t="s">
        <v>6401</v>
      </c>
      <c r="H6004" s="140" t="s">
        <v>6312</v>
      </c>
      <c r="I6004" s="140" t="s">
        <v>6313</v>
      </c>
      <c r="J6004" s="140" t="s">
        <v>6314</v>
      </c>
      <c r="K6004" s="140" t="s">
        <v>8954</v>
      </c>
    </row>
    <row r="6005">
      <c r="A6005" s="140" t="s">
        <v>13941</v>
      </c>
      <c r="B6005" s="143">
        <v>1.63215E12</v>
      </c>
      <c r="C6005" s="140" t="s">
        <v>13952</v>
      </c>
      <c r="D6005" s="140" t="s">
        <v>6309</v>
      </c>
      <c r="E6005" s="140">
        <v>0.0</v>
      </c>
      <c r="F6005" s="140" t="s">
        <v>7613</v>
      </c>
      <c r="G6005" s="141" t="s">
        <v>6401</v>
      </c>
      <c r="H6005" s="140" t="s">
        <v>6312</v>
      </c>
      <c r="I6005" s="140" t="s">
        <v>6313</v>
      </c>
      <c r="J6005" s="140" t="s">
        <v>6314</v>
      </c>
      <c r="K6005" s="140" t="s">
        <v>8954</v>
      </c>
    </row>
    <row r="6006">
      <c r="A6006" s="140" t="s">
        <v>13941</v>
      </c>
      <c r="B6006" s="143">
        <v>1.63709E12</v>
      </c>
      <c r="C6006" s="140" t="s">
        <v>13953</v>
      </c>
      <c r="D6006" s="140" t="s">
        <v>224</v>
      </c>
      <c r="E6006" s="140" t="s">
        <v>7685</v>
      </c>
      <c r="F6006" s="140" t="s">
        <v>7741</v>
      </c>
      <c r="G6006" s="141" t="s">
        <v>6401</v>
      </c>
      <c r="H6006" s="140" t="s">
        <v>6312</v>
      </c>
      <c r="I6006" s="140" t="s">
        <v>6313</v>
      </c>
      <c r="J6006" s="140" t="s">
        <v>6314</v>
      </c>
      <c r="K6006" s="140" t="s">
        <v>8954</v>
      </c>
    </row>
    <row r="6007">
      <c r="A6007" s="140" t="s">
        <v>13941</v>
      </c>
      <c r="B6007" s="143">
        <v>1.63215E12</v>
      </c>
      <c r="C6007" s="140" t="s">
        <v>13954</v>
      </c>
      <c r="D6007" s="140" t="s">
        <v>6309</v>
      </c>
      <c r="E6007" s="140" t="s">
        <v>1223</v>
      </c>
      <c r="F6007" s="140" t="s">
        <v>1223</v>
      </c>
      <c r="G6007" s="141" t="s">
        <v>6401</v>
      </c>
      <c r="H6007" s="140" t="s">
        <v>6312</v>
      </c>
      <c r="I6007" s="140" t="s">
        <v>6313</v>
      </c>
      <c r="J6007" s="140" t="s">
        <v>6314</v>
      </c>
      <c r="K6007" s="140" t="s">
        <v>8954</v>
      </c>
    </row>
    <row r="6008">
      <c r="A6008" s="140" t="s">
        <v>13941</v>
      </c>
      <c r="B6008" s="143">
        <v>1.63215E12</v>
      </c>
      <c r="C6008" s="140" t="s">
        <v>13955</v>
      </c>
      <c r="D6008" s="140" t="s">
        <v>6309</v>
      </c>
      <c r="E6008" s="140" t="s">
        <v>47</v>
      </c>
      <c r="F6008" s="140" t="s">
        <v>7376</v>
      </c>
      <c r="G6008" s="141" t="s">
        <v>6401</v>
      </c>
      <c r="H6008" s="140" t="s">
        <v>6312</v>
      </c>
      <c r="I6008" s="140" t="s">
        <v>6313</v>
      </c>
      <c r="J6008" s="140" t="s">
        <v>6314</v>
      </c>
      <c r="K6008" s="140" t="s">
        <v>8954</v>
      </c>
    </row>
    <row r="6009">
      <c r="A6009" s="140" t="s">
        <v>13941</v>
      </c>
      <c r="B6009" s="143">
        <v>1.63215E12</v>
      </c>
      <c r="C6009" s="140" t="s">
        <v>13956</v>
      </c>
      <c r="D6009" s="140" t="s">
        <v>6309</v>
      </c>
      <c r="E6009" s="140" t="s">
        <v>56</v>
      </c>
      <c r="F6009" s="140" t="s">
        <v>64</v>
      </c>
      <c r="G6009" s="141" t="s">
        <v>6401</v>
      </c>
      <c r="H6009" s="140" t="s">
        <v>6312</v>
      </c>
      <c r="I6009" s="140" t="s">
        <v>6313</v>
      </c>
      <c r="J6009" s="140" t="s">
        <v>6314</v>
      </c>
      <c r="K6009" s="140" t="s">
        <v>8954</v>
      </c>
    </row>
    <row r="6010">
      <c r="A6010" s="140" t="s">
        <v>13941</v>
      </c>
      <c r="B6010" s="143">
        <v>1.63215E12</v>
      </c>
      <c r="C6010" s="140" t="s">
        <v>13957</v>
      </c>
      <c r="D6010" s="140" t="s">
        <v>6309</v>
      </c>
      <c r="E6010" s="140" t="s">
        <v>56</v>
      </c>
      <c r="F6010" s="140" t="s">
        <v>64</v>
      </c>
      <c r="G6010" s="141" t="s">
        <v>6401</v>
      </c>
      <c r="H6010" s="140" t="s">
        <v>6312</v>
      </c>
      <c r="I6010" s="140" t="s">
        <v>6313</v>
      </c>
      <c r="J6010" s="140" t="s">
        <v>6314</v>
      </c>
      <c r="K6010" s="140" t="s">
        <v>8954</v>
      </c>
    </row>
    <row r="6011">
      <c r="A6011" s="140" t="s">
        <v>13941</v>
      </c>
      <c r="B6011" s="143">
        <v>1.63215E12</v>
      </c>
      <c r="C6011" s="140" t="s">
        <v>13958</v>
      </c>
      <c r="D6011" s="140" t="s">
        <v>6309</v>
      </c>
      <c r="E6011" s="140" t="s">
        <v>56</v>
      </c>
      <c r="F6011" s="140" t="s">
        <v>64</v>
      </c>
      <c r="G6011" s="141" t="s">
        <v>6401</v>
      </c>
      <c r="H6011" s="140" t="s">
        <v>6312</v>
      </c>
      <c r="I6011" s="140" t="s">
        <v>6313</v>
      </c>
      <c r="J6011" s="140" t="s">
        <v>6314</v>
      </c>
      <c r="K6011" s="140" t="s">
        <v>8954</v>
      </c>
    </row>
    <row r="6012">
      <c r="A6012" s="140" t="s">
        <v>13941</v>
      </c>
      <c r="B6012" s="143">
        <v>1.63215E12</v>
      </c>
      <c r="C6012" s="140" t="s">
        <v>13959</v>
      </c>
      <c r="D6012" s="140" t="s">
        <v>6309</v>
      </c>
      <c r="E6012" s="140" t="s">
        <v>56</v>
      </c>
      <c r="F6012" s="140" t="s">
        <v>64</v>
      </c>
      <c r="G6012" s="141" t="s">
        <v>6401</v>
      </c>
      <c r="H6012" s="140" t="s">
        <v>6312</v>
      </c>
      <c r="I6012" s="140" t="s">
        <v>6313</v>
      </c>
      <c r="J6012" s="140" t="s">
        <v>6314</v>
      </c>
      <c r="K6012" s="140" t="s">
        <v>8954</v>
      </c>
    </row>
    <row r="6013">
      <c r="A6013" s="140" t="s">
        <v>13941</v>
      </c>
      <c r="B6013" s="143">
        <v>1.63215E12</v>
      </c>
      <c r="C6013" s="140" t="s">
        <v>13960</v>
      </c>
      <c r="D6013" s="140" t="s">
        <v>6309</v>
      </c>
      <c r="E6013" s="140" t="s">
        <v>56</v>
      </c>
      <c r="F6013" s="140" t="s">
        <v>64</v>
      </c>
      <c r="G6013" s="141" t="s">
        <v>6401</v>
      </c>
      <c r="H6013" s="140" t="s">
        <v>6312</v>
      </c>
      <c r="I6013" s="140" t="s">
        <v>6313</v>
      </c>
      <c r="J6013" s="140" t="s">
        <v>6314</v>
      </c>
      <c r="K6013" s="140" t="s">
        <v>8954</v>
      </c>
    </row>
    <row r="6014">
      <c r="A6014" s="140" t="s">
        <v>13941</v>
      </c>
      <c r="B6014" s="143">
        <v>1.63215E12</v>
      </c>
      <c r="C6014" s="140" t="s">
        <v>13961</v>
      </c>
      <c r="D6014" s="140" t="s">
        <v>6309</v>
      </c>
      <c r="E6014" s="140" t="s">
        <v>56</v>
      </c>
      <c r="F6014" s="140" t="s">
        <v>64</v>
      </c>
      <c r="G6014" s="141" t="s">
        <v>6401</v>
      </c>
      <c r="H6014" s="140" t="s">
        <v>6312</v>
      </c>
      <c r="I6014" s="140" t="s">
        <v>6313</v>
      </c>
      <c r="J6014" s="140" t="s">
        <v>6314</v>
      </c>
      <c r="K6014" s="140" t="s">
        <v>8954</v>
      </c>
    </row>
    <row r="6015">
      <c r="A6015" s="140" t="s">
        <v>13941</v>
      </c>
      <c r="B6015" s="143">
        <v>1.63709E12</v>
      </c>
      <c r="C6015" s="140" t="s">
        <v>13962</v>
      </c>
      <c r="D6015" s="140" t="s">
        <v>6740</v>
      </c>
      <c r="E6015" s="140" t="s">
        <v>13963</v>
      </c>
      <c r="F6015" s="140" t="s">
        <v>13963</v>
      </c>
      <c r="G6015" s="141" t="s">
        <v>6401</v>
      </c>
      <c r="H6015" s="140" t="s">
        <v>6312</v>
      </c>
      <c r="I6015" s="140" t="s">
        <v>6313</v>
      </c>
      <c r="J6015" s="140" t="s">
        <v>6314</v>
      </c>
      <c r="K6015" s="140" t="s">
        <v>8954</v>
      </c>
    </row>
    <row r="6016">
      <c r="A6016" s="140" t="s">
        <v>13964</v>
      </c>
      <c r="B6016" s="143">
        <v>9.78845E12</v>
      </c>
      <c r="C6016" s="140" t="s">
        <v>13965</v>
      </c>
      <c r="D6016" s="140" t="s">
        <v>6309</v>
      </c>
      <c r="E6016" s="140">
        <v>0.0</v>
      </c>
      <c r="F6016" s="140" t="s">
        <v>13966</v>
      </c>
      <c r="G6016" s="141" t="s">
        <v>6401</v>
      </c>
      <c r="H6016" s="140" t="s">
        <v>6312</v>
      </c>
      <c r="I6016" s="140" t="s">
        <v>6313</v>
      </c>
      <c r="J6016" s="140" t="s">
        <v>6314</v>
      </c>
      <c r="K6016" s="140" t="s">
        <v>8954</v>
      </c>
    </row>
    <row r="6017">
      <c r="A6017" s="140" t="s">
        <v>13967</v>
      </c>
      <c r="B6017" s="140">
        <v>26955.0</v>
      </c>
      <c r="C6017" s="140" t="s">
        <v>13968</v>
      </c>
      <c r="D6017" s="140" t="s">
        <v>6309</v>
      </c>
      <c r="E6017" s="140" t="s">
        <v>6310</v>
      </c>
      <c r="F6017" s="140" t="s">
        <v>6310</v>
      </c>
      <c r="G6017" s="141" t="s">
        <v>6311</v>
      </c>
      <c r="H6017" s="140" t="s">
        <v>6312</v>
      </c>
      <c r="I6017" s="140" t="s">
        <v>6313</v>
      </c>
      <c r="J6017" s="140" t="s">
        <v>6314</v>
      </c>
      <c r="K6017" s="140" t="s">
        <v>6315</v>
      </c>
    </row>
    <row r="6018">
      <c r="A6018" s="140" t="s">
        <v>13967</v>
      </c>
      <c r="B6018" s="140">
        <v>35695.0</v>
      </c>
      <c r="C6018" s="140" t="s">
        <v>13969</v>
      </c>
      <c r="D6018" s="140" t="s">
        <v>6309</v>
      </c>
      <c r="E6018" s="140" t="s">
        <v>6310</v>
      </c>
      <c r="F6018" s="140" t="s">
        <v>6310</v>
      </c>
      <c r="G6018" s="141" t="s">
        <v>6311</v>
      </c>
      <c r="H6018" s="140" t="s">
        <v>6312</v>
      </c>
      <c r="I6018" s="140" t="s">
        <v>6313</v>
      </c>
      <c r="J6018" s="140" t="s">
        <v>6314</v>
      </c>
      <c r="K6018" s="140" t="s">
        <v>6315</v>
      </c>
    </row>
    <row r="6019">
      <c r="A6019" s="140" t="s">
        <v>13967</v>
      </c>
      <c r="B6019" s="140">
        <v>30288.0</v>
      </c>
      <c r="C6019" s="140" t="s">
        <v>13970</v>
      </c>
      <c r="D6019" s="140" t="s">
        <v>6309</v>
      </c>
      <c r="E6019" s="140" t="s">
        <v>6310</v>
      </c>
      <c r="F6019" s="140" t="s">
        <v>6310</v>
      </c>
      <c r="G6019" s="141" t="s">
        <v>6311</v>
      </c>
      <c r="H6019" s="140" t="s">
        <v>6312</v>
      </c>
      <c r="I6019" s="140" t="s">
        <v>6313</v>
      </c>
      <c r="J6019" s="140" t="s">
        <v>6314</v>
      </c>
      <c r="K6019" s="140" t="s">
        <v>6315</v>
      </c>
    </row>
    <row r="6020">
      <c r="A6020" s="140" t="s">
        <v>13967</v>
      </c>
      <c r="B6020" s="140">
        <v>26956.0</v>
      </c>
      <c r="C6020" s="140" t="s">
        <v>13971</v>
      </c>
      <c r="D6020" s="140" t="s">
        <v>6309</v>
      </c>
      <c r="E6020" s="140" t="s">
        <v>6310</v>
      </c>
      <c r="F6020" s="140" t="s">
        <v>6310</v>
      </c>
      <c r="G6020" s="141" t="s">
        <v>6311</v>
      </c>
      <c r="H6020" s="140" t="s">
        <v>6312</v>
      </c>
      <c r="I6020" s="140" t="s">
        <v>6313</v>
      </c>
      <c r="J6020" s="140" t="s">
        <v>6314</v>
      </c>
      <c r="K6020" s="140" t="s">
        <v>6315</v>
      </c>
    </row>
    <row r="6021">
      <c r="A6021" s="140" t="s">
        <v>13972</v>
      </c>
      <c r="B6021" s="140">
        <v>33211.0</v>
      </c>
      <c r="C6021" s="140" t="s">
        <v>13973</v>
      </c>
      <c r="D6021" s="140" t="s">
        <v>6309</v>
      </c>
      <c r="E6021" s="140" t="s">
        <v>6310</v>
      </c>
      <c r="F6021" s="140" t="s">
        <v>6310</v>
      </c>
      <c r="G6021" s="141" t="s">
        <v>6311</v>
      </c>
      <c r="H6021" s="140" t="s">
        <v>6312</v>
      </c>
      <c r="I6021" s="140" t="s">
        <v>6313</v>
      </c>
      <c r="J6021" s="140" t="s">
        <v>6314</v>
      </c>
      <c r="K6021" s="140" t="s">
        <v>6315</v>
      </c>
    </row>
    <row r="6022">
      <c r="A6022" s="140" t="s">
        <v>13972</v>
      </c>
      <c r="B6022" s="140">
        <v>33212.0</v>
      </c>
      <c r="C6022" s="140" t="s">
        <v>13974</v>
      </c>
      <c r="D6022" s="140" t="s">
        <v>6309</v>
      </c>
      <c r="E6022" s="140" t="s">
        <v>6310</v>
      </c>
      <c r="F6022" s="140" t="s">
        <v>6310</v>
      </c>
      <c r="G6022" s="141" t="s">
        <v>6311</v>
      </c>
      <c r="H6022" s="140" t="s">
        <v>6312</v>
      </c>
      <c r="I6022" s="140" t="s">
        <v>6313</v>
      </c>
      <c r="J6022" s="140" t="s">
        <v>6314</v>
      </c>
      <c r="K6022" s="140" t="s">
        <v>6315</v>
      </c>
    </row>
    <row r="6023">
      <c r="A6023" s="140" t="s">
        <v>13972</v>
      </c>
      <c r="B6023" s="140">
        <v>33219.0</v>
      </c>
      <c r="C6023" s="140" t="s">
        <v>13975</v>
      </c>
      <c r="D6023" s="140" t="s">
        <v>6309</v>
      </c>
      <c r="E6023" s="140" t="s">
        <v>6310</v>
      </c>
      <c r="F6023" s="140" t="s">
        <v>6310</v>
      </c>
      <c r="G6023" s="141" t="s">
        <v>6311</v>
      </c>
      <c r="H6023" s="140" t="s">
        <v>6312</v>
      </c>
      <c r="I6023" s="140" t="s">
        <v>6313</v>
      </c>
      <c r="J6023" s="140" t="s">
        <v>6314</v>
      </c>
      <c r="K6023" s="140" t="s">
        <v>6315</v>
      </c>
    </row>
    <row r="6024">
      <c r="A6024" s="140" t="s">
        <v>13972</v>
      </c>
      <c r="B6024" s="140">
        <v>34540.0</v>
      </c>
      <c r="C6024" s="140" t="s">
        <v>13976</v>
      </c>
      <c r="D6024" s="140" t="s">
        <v>6309</v>
      </c>
      <c r="E6024" s="140" t="s">
        <v>6310</v>
      </c>
      <c r="F6024" s="140" t="s">
        <v>6310</v>
      </c>
      <c r="G6024" s="141" t="s">
        <v>6311</v>
      </c>
      <c r="H6024" s="140" t="s">
        <v>6312</v>
      </c>
      <c r="I6024" s="140" t="s">
        <v>6313</v>
      </c>
      <c r="J6024" s="140" t="s">
        <v>6314</v>
      </c>
      <c r="K6024" s="140" t="s">
        <v>6315</v>
      </c>
    </row>
    <row r="6025">
      <c r="A6025" s="140" t="s">
        <v>13972</v>
      </c>
      <c r="B6025" s="140">
        <v>33208.0</v>
      </c>
      <c r="C6025" s="140" t="s">
        <v>13977</v>
      </c>
      <c r="D6025" s="140" t="s">
        <v>6309</v>
      </c>
      <c r="E6025" s="140" t="s">
        <v>6310</v>
      </c>
      <c r="F6025" s="140" t="s">
        <v>6310</v>
      </c>
      <c r="G6025" s="141" t="s">
        <v>6311</v>
      </c>
      <c r="H6025" s="140" t="s">
        <v>6312</v>
      </c>
      <c r="I6025" s="140" t="s">
        <v>6313</v>
      </c>
      <c r="J6025" s="140" t="s">
        <v>6314</v>
      </c>
      <c r="K6025" s="140" t="s">
        <v>6315</v>
      </c>
    </row>
    <row r="6026">
      <c r="A6026" s="140" t="s">
        <v>13972</v>
      </c>
      <c r="B6026" s="140">
        <v>33209.0</v>
      </c>
      <c r="C6026" s="140" t="s">
        <v>13978</v>
      </c>
      <c r="D6026" s="140" t="s">
        <v>6309</v>
      </c>
      <c r="E6026" s="140" t="s">
        <v>6310</v>
      </c>
      <c r="F6026" s="140" t="s">
        <v>6310</v>
      </c>
      <c r="G6026" s="141" t="s">
        <v>6311</v>
      </c>
      <c r="H6026" s="140" t="s">
        <v>6312</v>
      </c>
      <c r="I6026" s="140" t="s">
        <v>6313</v>
      </c>
      <c r="J6026" s="140" t="s">
        <v>6314</v>
      </c>
      <c r="K6026" s="140" t="s">
        <v>6315</v>
      </c>
    </row>
    <row r="6027">
      <c r="A6027" s="140" t="s">
        <v>13972</v>
      </c>
      <c r="B6027" s="140">
        <v>33210.0</v>
      </c>
      <c r="C6027" s="140" t="s">
        <v>13979</v>
      </c>
      <c r="D6027" s="140" t="s">
        <v>6309</v>
      </c>
      <c r="E6027" s="140" t="s">
        <v>6310</v>
      </c>
      <c r="F6027" s="140" t="s">
        <v>6310</v>
      </c>
      <c r="G6027" s="141" t="s">
        <v>6311</v>
      </c>
      <c r="H6027" s="140" t="s">
        <v>6312</v>
      </c>
      <c r="I6027" s="140" t="s">
        <v>6313</v>
      </c>
      <c r="J6027" s="140" t="s">
        <v>6314</v>
      </c>
      <c r="K6027" s="140" t="s">
        <v>6315</v>
      </c>
    </row>
    <row r="6028">
      <c r="A6028" s="140" t="s">
        <v>13980</v>
      </c>
      <c r="B6028" s="140">
        <v>23856.0</v>
      </c>
      <c r="C6028" s="140" t="s">
        <v>13981</v>
      </c>
      <c r="D6028" s="140" t="s">
        <v>6309</v>
      </c>
      <c r="E6028" s="140" t="s">
        <v>1223</v>
      </c>
      <c r="F6028" s="140" t="s">
        <v>6414</v>
      </c>
      <c r="G6028" s="141" t="s">
        <v>6311</v>
      </c>
      <c r="H6028" s="140" t="s">
        <v>6312</v>
      </c>
      <c r="I6028" s="140" t="s">
        <v>6313</v>
      </c>
      <c r="J6028" s="140" t="s">
        <v>6314</v>
      </c>
      <c r="K6028" s="140" t="s">
        <v>6315</v>
      </c>
    </row>
    <row r="6029">
      <c r="A6029" s="140" t="s">
        <v>13982</v>
      </c>
      <c r="B6029" s="140" t="s">
        <v>13983</v>
      </c>
      <c r="C6029" s="140" t="s">
        <v>13984</v>
      </c>
      <c r="D6029" s="140" t="s">
        <v>6309</v>
      </c>
      <c r="E6029" s="140" t="s">
        <v>1223</v>
      </c>
      <c r="F6029" s="140" t="s">
        <v>6414</v>
      </c>
      <c r="G6029" s="141" t="s">
        <v>6311</v>
      </c>
      <c r="H6029" s="140" t="s">
        <v>6312</v>
      </c>
      <c r="I6029" s="140" t="s">
        <v>6313</v>
      </c>
      <c r="J6029" s="140" t="s">
        <v>6314</v>
      </c>
      <c r="K6029" s="140" t="s">
        <v>8979</v>
      </c>
    </row>
    <row r="6030">
      <c r="A6030" s="140" t="s">
        <v>13982</v>
      </c>
      <c r="B6030" s="140">
        <v>14015.0</v>
      </c>
      <c r="C6030" s="140" t="s">
        <v>13985</v>
      </c>
      <c r="D6030" s="140" t="s">
        <v>6309</v>
      </c>
      <c r="E6030" s="140" t="s">
        <v>1223</v>
      </c>
      <c r="F6030" s="140" t="s">
        <v>6414</v>
      </c>
      <c r="G6030" s="141" t="s">
        <v>6311</v>
      </c>
      <c r="H6030" s="140" t="s">
        <v>6312</v>
      </c>
      <c r="I6030" s="140" t="s">
        <v>6313</v>
      </c>
      <c r="J6030" s="140" t="s">
        <v>6314</v>
      </c>
      <c r="K6030" s="140" t="s">
        <v>8979</v>
      </c>
    </row>
    <row r="6031">
      <c r="A6031" s="140" t="s">
        <v>13982</v>
      </c>
      <c r="B6031" s="140" t="s">
        <v>13986</v>
      </c>
      <c r="C6031" s="140" t="s">
        <v>13987</v>
      </c>
      <c r="D6031" s="140" t="s">
        <v>6309</v>
      </c>
      <c r="E6031" s="140" t="s">
        <v>1223</v>
      </c>
      <c r="F6031" s="140" t="s">
        <v>6414</v>
      </c>
      <c r="G6031" s="141" t="s">
        <v>6311</v>
      </c>
      <c r="H6031" s="140" t="s">
        <v>6312</v>
      </c>
      <c r="I6031" s="140" t="s">
        <v>6313</v>
      </c>
      <c r="J6031" s="140" t="s">
        <v>6314</v>
      </c>
      <c r="K6031" s="140" t="s">
        <v>8979</v>
      </c>
    </row>
    <row r="6032">
      <c r="A6032" s="140" t="s">
        <v>13982</v>
      </c>
      <c r="B6032" s="140" t="s">
        <v>13988</v>
      </c>
      <c r="C6032" s="140" t="s">
        <v>13989</v>
      </c>
      <c r="D6032" s="140" t="s">
        <v>6309</v>
      </c>
      <c r="E6032" s="140" t="s">
        <v>1223</v>
      </c>
      <c r="F6032" s="140" t="s">
        <v>6416</v>
      </c>
      <c r="G6032" s="141" t="s">
        <v>6311</v>
      </c>
      <c r="H6032" s="140" t="s">
        <v>6312</v>
      </c>
      <c r="I6032" s="140" t="s">
        <v>6313</v>
      </c>
      <c r="J6032" s="140" t="s">
        <v>6314</v>
      </c>
      <c r="K6032" s="140" t="s">
        <v>8979</v>
      </c>
    </row>
    <row r="6033">
      <c r="A6033" s="140" t="s">
        <v>13982</v>
      </c>
      <c r="B6033" s="140" t="s">
        <v>13990</v>
      </c>
      <c r="C6033" s="140" t="s">
        <v>13991</v>
      </c>
      <c r="D6033" s="140" t="s">
        <v>6309</v>
      </c>
      <c r="E6033" s="140" t="s">
        <v>1223</v>
      </c>
      <c r="F6033" s="140" t="s">
        <v>6416</v>
      </c>
      <c r="G6033" s="141" t="s">
        <v>6311</v>
      </c>
      <c r="H6033" s="140" t="s">
        <v>6312</v>
      </c>
      <c r="I6033" s="140" t="s">
        <v>6313</v>
      </c>
      <c r="J6033" s="140" t="s">
        <v>6314</v>
      </c>
      <c r="K6033" s="140" t="s">
        <v>8979</v>
      </c>
    </row>
    <row r="6034">
      <c r="A6034" s="140" t="s">
        <v>13982</v>
      </c>
      <c r="B6034" s="140" t="s">
        <v>13992</v>
      </c>
      <c r="C6034" s="140" t="s">
        <v>13993</v>
      </c>
      <c r="D6034" s="140" t="s">
        <v>6309</v>
      </c>
      <c r="E6034" s="140" t="s">
        <v>1223</v>
      </c>
      <c r="F6034" s="140" t="s">
        <v>6416</v>
      </c>
      <c r="G6034" s="141" t="s">
        <v>6311</v>
      </c>
      <c r="H6034" s="140" t="s">
        <v>6312</v>
      </c>
      <c r="I6034" s="140" t="s">
        <v>6313</v>
      </c>
      <c r="J6034" s="140" t="s">
        <v>6314</v>
      </c>
      <c r="K6034" s="140" t="s">
        <v>8979</v>
      </c>
    </row>
    <row r="6035">
      <c r="A6035" s="140" t="s">
        <v>13994</v>
      </c>
      <c r="B6035" s="140">
        <v>27973.0</v>
      </c>
      <c r="C6035" s="140" t="s">
        <v>13995</v>
      </c>
      <c r="D6035" s="140" t="s">
        <v>6309</v>
      </c>
      <c r="E6035" s="140" t="s">
        <v>6310</v>
      </c>
      <c r="F6035" s="140" t="s">
        <v>6310</v>
      </c>
      <c r="G6035" s="141" t="s">
        <v>6311</v>
      </c>
      <c r="H6035" s="140" t="s">
        <v>6312</v>
      </c>
      <c r="I6035" s="140" t="s">
        <v>6313</v>
      </c>
      <c r="J6035" s="140" t="s">
        <v>6314</v>
      </c>
      <c r="K6035" s="140" t="s">
        <v>6315</v>
      </c>
    </row>
    <row r="6036">
      <c r="A6036" s="140" t="s">
        <v>13996</v>
      </c>
      <c r="B6036" s="140" t="s">
        <v>13997</v>
      </c>
      <c r="C6036" s="140" t="s">
        <v>13998</v>
      </c>
      <c r="D6036" s="140" t="s">
        <v>6309</v>
      </c>
      <c r="E6036" s="140">
        <v>0.0</v>
      </c>
      <c r="F6036" s="140" t="s">
        <v>13999</v>
      </c>
      <c r="G6036" s="141" t="s">
        <v>6401</v>
      </c>
      <c r="H6036" s="140" t="s">
        <v>6312</v>
      </c>
      <c r="I6036" s="140" t="s">
        <v>6313</v>
      </c>
      <c r="J6036" s="140" t="s">
        <v>6314</v>
      </c>
      <c r="K6036" s="140" t="s">
        <v>13996</v>
      </c>
    </row>
    <row r="6037">
      <c r="A6037" s="140" t="s">
        <v>13996</v>
      </c>
      <c r="B6037" s="140" t="s">
        <v>14000</v>
      </c>
      <c r="C6037" s="140" t="s">
        <v>14001</v>
      </c>
      <c r="D6037" s="140" t="s">
        <v>6309</v>
      </c>
      <c r="E6037" s="140">
        <v>0.0</v>
      </c>
      <c r="F6037" s="140" t="s">
        <v>13999</v>
      </c>
      <c r="G6037" s="141" t="s">
        <v>6401</v>
      </c>
      <c r="H6037" s="140" t="s">
        <v>6312</v>
      </c>
      <c r="I6037" s="140" t="s">
        <v>6313</v>
      </c>
      <c r="J6037" s="140" t="s">
        <v>6314</v>
      </c>
      <c r="K6037" s="140" t="s">
        <v>13996</v>
      </c>
    </row>
    <row r="6038">
      <c r="A6038" s="140" t="s">
        <v>13996</v>
      </c>
      <c r="B6038" s="140" t="s">
        <v>14002</v>
      </c>
      <c r="C6038" s="140" t="s">
        <v>14003</v>
      </c>
      <c r="D6038" s="140" t="s">
        <v>6309</v>
      </c>
      <c r="E6038" s="140">
        <v>0.0</v>
      </c>
      <c r="F6038" s="140" t="s">
        <v>13999</v>
      </c>
      <c r="G6038" s="141" t="s">
        <v>6401</v>
      </c>
      <c r="H6038" s="140" t="s">
        <v>6312</v>
      </c>
      <c r="I6038" s="140" t="s">
        <v>6313</v>
      </c>
      <c r="J6038" s="140" t="s">
        <v>6314</v>
      </c>
      <c r="K6038" s="140" t="s">
        <v>13996</v>
      </c>
    </row>
    <row r="6039">
      <c r="A6039" s="140" t="s">
        <v>13996</v>
      </c>
      <c r="B6039" s="140" t="s">
        <v>14004</v>
      </c>
      <c r="C6039" s="140" t="s">
        <v>14005</v>
      </c>
      <c r="D6039" s="140" t="s">
        <v>6309</v>
      </c>
      <c r="E6039" s="140">
        <v>0.0</v>
      </c>
      <c r="F6039" s="140" t="s">
        <v>13999</v>
      </c>
      <c r="G6039" s="141" t="s">
        <v>6401</v>
      </c>
      <c r="H6039" s="140" t="s">
        <v>6312</v>
      </c>
      <c r="I6039" s="140" t="s">
        <v>6313</v>
      </c>
      <c r="J6039" s="140" t="s">
        <v>6314</v>
      </c>
      <c r="K6039" s="140" t="s">
        <v>13996</v>
      </c>
    </row>
    <row r="6040">
      <c r="A6040" s="140" t="s">
        <v>13996</v>
      </c>
      <c r="B6040" s="140" t="s">
        <v>14006</v>
      </c>
      <c r="C6040" s="140" t="s">
        <v>14007</v>
      </c>
      <c r="D6040" s="140" t="s">
        <v>9064</v>
      </c>
      <c r="E6040" s="140" t="s">
        <v>513</v>
      </c>
      <c r="F6040" s="140" t="s">
        <v>13999</v>
      </c>
      <c r="G6040" s="141" t="s">
        <v>6401</v>
      </c>
      <c r="H6040" s="140" t="s">
        <v>6312</v>
      </c>
      <c r="I6040" s="140" t="s">
        <v>6313</v>
      </c>
      <c r="J6040" s="140" t="s">
        <v>6314</v>
      </c>
      <c r="K6040" s="140" t="s">
        <v>13996</v>
      </c>
    </row>
    <row r="6041">
      <c r="A6041" s="140" t="s">
        <v>14008</v>
      </c>
      <c r="B6041" s="143">
        <v>7.33003E12</v>
      </c>
      <c r="C6041" s="140" t="s">
        <v>14009</v>
      </c>
      <c r="D6041" s="140" t="s">
        <v>7347</v>
      </c>
      <c r="E6041" s="140" t="s">
        <v>513</v>
      </c>
      <c r="F6041" s="140" t="s">
        <v>514</v>
      </c>
      <c r="G6041" s="141" t="s">
        <v>6401</v>
      </c>
      <c r="H6041" s="140" t="s">
        <v>6312</v>
      </c>
      <c r="I6041" s="140" t="s">
        <v>6313</v>
      </c>
      <c r="J6041" s="140" t="s">
        <v>6314</v>
      </c>
      <c r="K6041" s="140" t="s">
        <v>9648</v>
      </c>
    </row>
    <row r="6042">
      <c r="A6042" s="140" t="s">
        <v>14008</v>
      </c>
      <c r="B6042" s="143">
        <v>7.33003E12</v>
      </c>
      <c r="C6042" s="140" t="s">
        <v>14010</v>
      </c>
      <c r="D6042" s="140" t="s">
        <v>7347</v>
      </c>
      <c r="E6042" s="140" t="s">
        <v>513</v>
      </c>
      <c r="F6042" s="140" t="s">
        <v>514</v>
      </c>
      <c r="G6042" s="141" t="s">
        <v>6401</v>
      </c>
      <c r="H6042" s="140" t="s">
        <v>6312</v>
      </c>
      <c r="I6042" s="140" t="s">
        <v>6313</v>
      </c>
      <c r="J6042" s="140" t="s">
        <v>6314</v>
      </c>
      <c r="K6042" s="140" t="s">
        <v>9648</v>
      </c>
    </row>
    <row r="6043">
      <c r="A6043" s="140" t="s">
        <v>14008</v>
      </c>
      <c r="B6043" s="143">
        <v>7.33003E12</v>
      </c>
      <c r="C6043" s="140" t="s">
        <v>14011</v>
      </c>
      <c r="D6043" s="140" t="s">
        <v>7347</v>
      </c>
      <c r="E6043" s="140" t="s">
        <v>513</v>
      </c>
      <c r="F6043" s="140" t="s">
        <v>514</v>
      </c>
      <c r="G6043" s="141" t="s">
        <v>6401</v>
      </c>
      <c r="H6043" s="140" t="s">
        <v>6312</v>
      </c>
      <c r="I6043" s="140" t="s">
        <v>6313</v>
      </c>
      <c r="J6043" s="140" t="s">
        <v>6314</v>
      </c>
      <c r="K6043" s="140" t="s">
        <v>9648</v>
      </c>
    </row>
    <row r="6044">
      <c r="A6044" s="140" t="s">
        <v>14008</v>
      </c>
      <c r="B6044" s="143">
        <v>7.33003E12</v>
      </c>
      <c r="C6044" s="140" t="s">
        <v>14012</v>
      </c>
      <c r="D6044" s="140" t="s">
        <v>7347</v>
      </c>
      <c r="E6044" s="140" t="s">
        <v>513</v>
      </c>
      <c r="F6044" s="140" t="s">
        <v>514</v>
      </c>
      <c r="G6044" s="141" t="s">
        <v>6401</v>
      </c>
      <c r="H6044" s="140" t="s">
        <v>6312</v>
      </c>
      <c r="I6044" s="140" t="s">
        <v>6313</v>
      </c>
      <c r="J6044" s="140" t="s">
        <v>6314</v>
      </c>
      <c r="K6044" s="140" t="s">
        <v>9648</v>
      </c>
    </row>
    <row r="6045">
      <c r="A6045" s="140" t="s">
        <v>14008</v>
      </c>
      <c r="B6045" s="143">
        <v>7.33003E12</v>
      </c>
      <c r="C6045" s="140" t="s">
        <v>14013</v>
      </c>
      <c r="D6045" s="140" t="s">
        <v>6318</v>
      </c>
      <c r="E6045" s="140" t="s">
        <v>598</v>
      </c>
      <c r="F6045" s="140" t="s">
        <v>599</v>
      </c>
      <c r="G6045" s="141" t="s">
        <v>6401</v>
      </c>
      <c r="H6045" s="140" t="s">
        <v>6312</v>
      </c>
      <c r="I6045" s="140" t="s">
        <v>6313</v>
      </c>
      <c r="J6045" s="140" t="s">
        <v>6314</v>
      </c>
      <c r="K6045" s="140" t="s">
        <v>9648</v>
      </c>
    </row>
    <row r="6046">
      <c r="A6046" s="140" t="s">
        <v>14014</v>
      </c>
      <c r="B6046" s="140">
        <v>26961.0</v>
      </c>
      <c r="C6046" s="140" t="s">
        <v>14015</v>
      </c>
      <c r="D6046" s="140" t="s">
        <v>6309</v>
      </c>
      <c r="E6046" s="140" t="s">
        <v>1223</v>
      </c>
      <c r="F6046" s="140" t="s">
        <v>6414</v>
      </c>
      <c r="G6046" s="141" t="s">
        <v>6311</v>
      </c>
      <c r="H6046" s="140" t="s">
        <v>6312</v>
      </c>
      <c r="I6046" s="140" t="s">
        <v>6313</v>
      </c>
      <c r="J6046" s="140" t="s">
        <v>6314</v>
      </c>
      <c r="K6046" s="140" t="s">
        <v>6315</v>
      </c>
    </row>
    <row r="6047">
      <c r="A6047" s="140" t="s">
        <v>14016</v>
      </c>
      <c r="B6047" s="140">
        <v>36398.0</v>
      </c>
      <c r="C6047" s="140" t="s">
        <v>14017</v>
      </c>
      <c r="D6047" s="140" t="s">
        <v>6309</v>
      </c>
      <c r="E6047" s="140" t="s">
        <v>6310</v>
      </c>
      <c r="F6047" s="140" t="s">
        <v>6310</v>
      </c>
      <c r="G6047" s="141" t="s">
        <v>6311</v>
      </c>
      <c r="H6047" s="140" t="s">
        <v>6312</v>
      </c>
      <c r="I6047" s="140" t="s">
        <v>6313</v>
      </c>
      <c r="J6047" s="140" t="s">
        <v>6314</v>
      </c>
      <c r="K6047" s="140" t="s">
        <v>6315</v>
      </c>
    </row>
    <row r="6048">
      <c r="A6048" s="140" t="s">
        <v>14016</v>
      </c>
      <c r="B6048" s="140">
        <v>27957.0</v>
      </c>
      <c r="C6048" s="140" t="s">
        <v>14018</v>
      </c>
      <c r="D6048" s="140" t="s">
        <v>6309</v>
      </c>
      <c r="E6048" s="140" t="s">
        <v>6310</v>
      </c>
      <c r="F6048" s="140" t="s">
        <v>6310</v>
      </c>
      <c r="G6048" s="141" t="s">
        <v>6311</v>
      </c>
      <c r="H6048" s="140" t="s">
        <v>6312</v>
      </c>
      <c r="I6048" s="140" t="s">
        <v>6313</v>
      </c>
      <c r="J6048" s="140" t="s">
        <v>6314</v>
      </c>
      <c r="K6048" s="140" t="s">
        <v>6315</v>
      </c>
    </row>
    <row r="6049">
      <c r="A6049" s="140" t="s">
        <v>14016</v>
      </c>
      <c r="B6049" s="140">
        <v>27958.0</v>
      </c>
      <c r="C6049" s="140" t="s">
        <v>14019</v>
      </c>
      <c r="D6049" s="140" t="s">
        <v>6309</v>
      </c>
      <c r="E6049" s="140" t="s">
        <v>6310</v>
      </c>
      <c r="F6049" s="140" t="s">
        <v>6310</v>
      </c>
      <c r="G6049" s="141" t="s">
        <v>6311</v>
      </c>
      <c r="H6049" s="140" t="s">
        <v>6312</v>
      </c>
      <c r="I6049" s="140" t="s">
        <v>6313</v>
      </c>
      <c r="J6049" s="140" t="s">
        <v>6314</v>
      </c>
      <c r="K6049" s="140" t="s">
        <v>6315</v>
      </c>
    </row>
    <row r="6050">
      <c r="A6050" s="140" t="s">
        <v>14016</v>
      </c>
      <c r="B6050" s="140">
        <v>27959.0</v>
      </c>
      <c r="C6050" s="140" t="s">
        <v>14020</v>
      </c>
      <c r="D6050" s="140" t="s">
        <v>6309</v>
      </c>
      <c r="E6050" s="140" t="s">
        <v>6310</v>
      </c>
      <c r="F6050" s="140" t="s">
        <v>6310</v>
      </c>
      <c r="G6050" s="141" t="s">
        <v>6311</v>
      </c>
      <c r="H6050" s="140" t="s">
        <v>6312</v>
      </c>
      <c r="I6050" s="140" t="s">
        <v>6313</v>
      </c>
      <c r="J6050" s="140" t="s">
        <v>6314</v>
      </c>
      <c r="K6050" s="140" t="s">
        <v>6315</v>
      </c>
    </row>
    <row r="6051">
      <c r="A6051" s="140" t="s">
        <v>14021</v>
      </c>
      <c r="B6051" s="140" t="s">
        <v>14022</v>
      </c>
      <c r="C6051" s="140" t="s">
        <v>14023</v>
      </c>
      <c r="D6051" s="140" t="s">
        <v>6601</v>
      </c>
      <c r="E6051" s="140" t="s">
        <v>303</v>
      </c>
      <c r="F6051" s="140" t="s">
        <v>7087</v>
      </c>
      <c r="G6051" s="141" t="s">
        <v>6401</v>
      </c>
      <c r="H6051" s="140" t="s">
        <v>6312</v>
      </c>
      <c r="I6051" s="140" t="s">
        <v>6313</v>
      </c>
      <c r="J6051" s="140" t="s">
        <v>6314</v>
      </c>
      <c r="K6051" s="140" t="s">
        <v>14021</v>
      </c>
    </row>
    <row r="6052">
      <c r="A6052" s="140" t="s">
        <v>14021</v>
      </c>
      <c r="B6052" s="140" t="s">
        <v>5196</v>
      </c>
      <c r="C6052" s="140" t="s">
        <v>14024</v>
      </c>
      <c r="D6052" s="140" t="s">
        <v>6601</v>
      </c>
      <c r="E6052" s="140" t="s">
        <v>303</v>
      </c>
      <c r="F6052" s="140" t="s">
        <v>7087</v>
      </c>
      <c r="G6052" s="141" t="s">
        <v>6401</v>
      </c>
      <c r="H6052" s="140" t="s">
        <v>6312</v>
      </c>
      <c r="I6052" s="140" t="s">
        <v>6313</v>
      </c>
      <c r="J6052" s="140" t="s">
        <v>6314</v>
      </c>
      <c r="K6052" s="140" t="s">
        <v>14021</v>
      </c>
    </row>
    <row r="6053">
      <c r="A6053" s="140" t="s">
        <v>14021</v>
      </c>
      <c r="B6053" s="140" t="s">
        <v>5200</v>
      </c>
      <c r="C6053" s="140" t="s">
        <v>14025</v>
      </c>
      <c r="D6053" s="140" t="s">
        <v>6601</v>
      </c>
      <c r="E6053" s="140" t="s">
        <v>303</v>
      </c>
      <c r="F6053" s="140" t="s">
        <v>8303</v>
      </c>
      <c r="G6053" s="141" t="s">
        <v>6401</v>
      </c>
      <c r="H6053" s="140" t="s">
        <v>6312</v>
      </c>
      <c r="I6053" s="140" t="s">
        <v>6313</v>
      </c>
      <c r="J6053" s="140" t="s">
        <v>6314</v>
      </c>
      <c r="K6053" s="140" t="s">
        <v>14021</v>
      </c>
    </row>
    <row r="6054">
      <c r="A6054" s="140" t="s">
        <v>14021</v>
      </c>
      <c r="B6054" s="140" t="s">
        <v>5206</v>
      </c>
      <c r="C6054" s="140" t="s">
        <v>14026</v>
      </c>
      <c r="D6054" s="140" t="s">
        <v>6601</v>
      </c>
      <c r="E6054" s="140" t="s">
        <v>303</v>
      </c>
      <c r="F6054" s="140" t="s">
        <v>8303</v>
      </c>
      <c r="G6054" s="141" t="s">
        <v>6401</v>
      </c>
      <c r="H6054" s="140" t="s">
        <v>6312</v>
      </c>
      <c r="I6054" s="140" t="s">
        <v>6313</v>
      </c>
      <c r="J6054" s="140" t="s">
        <v>6314</v>
      </c>
      <c r="K6054" s="140" t="s">
        <v>14021</v>
      </c>
    </row>
    <row r="6055">
      <c r="A6055" s="140" t="s">
        <v>14021</v>
      </c>
      <c r="B6055" s="140" t="s">
        <v>3619</v>
      </c>
      <c r="C6055" s="140" t="s">
        <v>14027</v>
      </c>
      <c r="D6055" s="140" t="s">
        <v>6601</v>
      </c>
      <c r="E6055" s="140" t="s">
        <v>303</v>
      </c>
      <c r="F6055" s="140" t="s">
        <v>8303</v>
      </c>
      <c r="G6055" s="141" t="s">
        <v>6401</v>
      </c>
      <c r="H6055" s="140" t="s">
        <v>6312</v>
      </c>
      <c r="I6055" s="140" t="s">
        <v>6313</v>
      </c>
      <c r="J6055" s="140" t="s">
        <v>6314</v>
      </c>
      <c r="K6055" s="140" t="s">
        <v>14021</v>
      </c>
    </row>
    <row r="6056">
      <c r="A6056" s="140" t="s">
        <v>14021</v>
      </c>
      <c r="B6056" s="140" t="s">
        <v>5198</v>
      </c>
      <c r="C6056" s="140" t="s">
        <v>14028</v>
      </c>
      <c r="D6056" s="140" t="s">
        <v>6601</v>
      </c>
      <c r="E6056" s="140" t="s">
        <v>303</v>
      </c>
      <c r="F6056" s="140" t="s">
        <v>8303</v>
      </c>
      <c r="G6056" s="141" t="s">
        <v>6401</v>
      </c>
      <c r="H6056" s="140" t="s">
        <v>6312</v>
      </c>
      <c r="I6056" s="140" t="s">
        <v>6313</v>
      </c>
      <c r="J6056" s="140" t="s">
        <v>6314</v>
      </c>
      <c r="K6056" s="140" t="s">
        <v>14021</v>
      </c>
    </row>
    <row r="6057">
      <c r="A6057" s="140" t="s">
        <v>14021</v>
      </c>
      <c r="B6057" s="140" t="s">
        <v>5202</v>
      </c>
      <c r="C6057" s="140" t="s">
        <v>14029</v>
      </c>
      <c r="D6057" s="140" t="s">
        <v>6601</v>
      </c>
      <c r="E6057" s="140" t="s">
        <v>303</v>
      </c>
      <c r="F6057" s="140" t="s">
        <v>8303</v>
      </c>
      <c r="G6057" s="141" t="s">
        <v>6401</v>
      </c>
      <c r="H6057" s="140" t="s">
        <v>6312</v>
      </c>
      <c r="I6057" s="140" t="s">
        <v>6313</v>
      </c>
      <c r="J6057" s="140" t="s">
        <v>6314</v>
      </c>
      <c r="K6057" s="140" t="s">
        <v>14021</v>
      </c>
    </row>
    <row r="6058">
      <c r="A6058" s="140" t="s">
        <v>14021</v>
      </c>
      <c r="B6058" s="140" t="s">
        <v>5204</v>
      </c>
      <c r="C6058" s="140" t="s">
        <v>14030</v>
      </c>
      <c r="D6058" s="140" t="s">
        <v>6601</v>
      </c>
      <c r="E6058" s="140" t="s">
        <v>303</v>
      </c>
      <c r="F6058" s="140" t="s">
        <v>8303</v>
      </c>
      <c r="G6058" s="141" t="s">
        <v>6401</v>
      </c>
      <c r="H6058" s="140" t="s">
        <v>6312</v>
      </c>
      <c r="I6058" s="140" t="s">
        <v>6313</v>
      </c>
      <c r="J6058" s="140" t="s">
        <v>6314</v>
      </c>
      <c r="K6058" s="140" t="s">
        <v>14021</v>
      </c>
    </row>
    <row r="6059">
      <c r="A6059" s="140" t="s">
        <v>14021</v>
      </c>
      <c r="B6059" s="140" t="s">
        <v>5208</v>
      </c>
      <c r="C6059" s="140" t="s">
        <v>14031</v>
      </c>
      <c r="D6059" s="140" t="s">
        <v>6601</v>
      </c>
      <c r="E6059" s="140" t="s">
        <v>303</v>
      </c>
      <c r="F6059" s="140" t="s">
        <v>8303</v>
      </c>
      <c r="G6059" s="141" t="s">
        <v>6401</v>
      </c>
      <c r="H6059" s="140" t="s">
        <v>6312</v>
      </c>
      <c r="I6059" s="140" t="s">
        <v>6313</v>
      </c>
      <c r="J6059" s="140" t="s">
        <v>6314</v>
      </c>
      <c r="K6059" s="140" t="s">
        <v>14021</v>
      </c>
    </row>
    <row r="6060">
      <c r="A6060" s="140" t="s">
        <v>14021</v>
      </c>
      <c r="B6060" s="140" t="s">
        <v>5210</v>
      </c>
      <c r="C6060" s="140" t="s">
        <v>14032</v>
      </c>
      <c r="D6060" s="140" t="s">
        <v>6601</v>
      </c>
      <c r="E6060" s="140" t="s">
        <v>303</v>
      </c>
      <c r="F6060" s="140" t="s">
        <v>8303</v>
      </c>
      <c r="G6060" s="141" t="s">
        <v>6401</v>
      </c>
      <c r="H6060" s="140" t="s">
        <v>6312</v>
      </c>
      <c r="I6060" s="140" t="s">
        <v>6313</v>
      </c>
      <c r="J6060" s="140" t="s">
        <v>6314</v>
      </c>
      <c r="K6060" s="140" t="s">
        <v>14021</v>
      </c>
    </row>
    <row r="6061">
      <c r="A6061" s="140" t="s">
        <v>14021</v>
      </c>
      <c r="B6061" s="140" t="s">
        <v>3621</v>
      </c>
      <c r="C6061" s="140" t="s">
        <v>14033</v>
      </c>
      <c r="D6061" s="140" t="s">
        <v>6601</v>
      </c>
      <c r="E6061" s="140" t="s">
        <v>303</v>
      </c>
      <c r="F6061" s="140" t="s">
        <v>8303</v>
      </c>
      <c r="G6061" s="141" t="s">
        <v>6401</v>
      </c>
      <c r="H6061" s="140" t="s">
        <v>6312</v>
      </c>
      <c r="I6061" s="140" t="s">
        <v>6313</v>
      </c>
      <c r="J6061" s="140" t="s">
        <v>6314</v>
      </c>
      <c r="K6061" s="140" t="s">
        <v>14021</v>
      </c>
    </row>
    <row r="6062">
      <c r="A6062" s="140" t="s">
        <v>14021</v>
      </c>
      <c r="B6062" s="140" t="s">
        <v>3623</v>
      </c>
      <c r="C6062" s="140" t="s">
        <v>14034</v>
      </c>
      <c r="D6062" s="140" t="s">
        <v>6601</v>
      </c>
      <c r="E6062" s="140" t="s">
        <v>303</v>
      </c>
      <c r="F6062" s="140" t="s">
        <v>8303</v>
      </c>
      <c r="G6062" s="141" t="s">
        <v>6401</v>
      </c>
      <c r="H6062" s="140" t="s">
        <v>6312</v>
      </c>
      <c r="I6062" s="140" t="s">
        <v>6313</v>
      </c>
      <c r="J6062" s="140" t="s">
        <v>6314</v>
      </c>
      <c r="K6062" s="140" t="s">
        <v>14021</v>
      </c>
    </row>
    <row r="6063">
      <c r="A6063" s="140" t="s">
        <v>14021</v>
      </c>
      <c r="B6063" s="140" t="s">
        <v>5212</v>
      </c>
      <c r="C6063" s="140" t="s">
        <v>14035</v>
      </c>
      <c r="D6063" s="140" t="s">
        <v>6601</v>
      </c>
      <c r="E6063" s="140" t="s">
        <v>303</v>
      </c>
      <c r="F6063" s="140" t="s">
        <v>8303</v>
      </c>
      <c r="G6063" s="141" t="s">
        <v>6401</v>
      </c>
      <c r="H6063" s="140" t="s">
        <v>6312</v>
      </c>
      <c r="I6063" s="140" t="s">
        <v>6313</v>
      </c>
      <c r="J6063" s="140" t="s">
        <v>6314</v>
      </c>
      <c r="K6063" s="140" t="s">
        <v>14021</v>
      </c>
    </row>
    <row r="6064">
      <c r="A6064" s="140" t="s">
        <v>14021</v>
      </c>
      <c r="B6064" s="140" t="s">
        <v>5214</v>
      </c>
      <c r="C6064" s="140" t="s">
        <v>14036</v>
      </c>
      <c r="D6064" s="140" t="s">
        <v>6601</v>
      </c>
      <c r="E6064" s="140" t="s">
        <v>303</v>
      </c>
      <c r="F6064" s="140" t="s">
        <v>8303</v>
      </c>
      <c r="G6064" s="141" t="s">
        <v>6401</v>
      </c>
      <c r="H6064" s="140" t="s">
        <v>6312</v>
      </c>
      <c r="I6064" s="140" t="s">
        <v>6313</v>
      </c>
      <c r="J6064" s="140" t="s">
        <v>6314</v>
      </c>
      <c r="K6064" s="140" t="s">
        <v>14021</v>
      </c>
    </row>
    <row r="6065">
      <c r="A6065" s="140" t="s">
        <v>14021</v>
      </c>
      <c r="B6065" s="140" t="s">
        <v>5217</v>
      </c>
      <c r="C6065" s="140" t="s">
        <v>14037</v>
      </c>
      <c r="D6065" s="140" t="s">
        <v>6601</v>
      </c>
      <c r="E6065" s="140" t="s">
        <v>303</v>
      </c>
      <c r="F6065" s="140" t="s">
        <v>8303</v>
      </c>
      <c r="G6065" s="141" t="s">
        <v>6401</v>
      </c>
      <c r="H6065" s="140" t="s">
        <v>6312</v>
      </c>
      <c r="I6065" s="140" t="s">
        <v>6313</v>
      </c>
      <c r="J6065" s="140" t="s">
        <v>6314</v>
      </c>
      <c r="K6065" s="140" t="s">
        <v>14021</v>
      </c>
    </row>
    <row r="6066">
      <c r="A6066" s="140" t="s">
        <v>14021</v>
      </c>
      <c r="B6066" s="140" t="s">
        <v>5219</v>
      </c>
      <c r="C6066" s="140" t="s">
        <v>14038</v>
      </c>
      <c r="D6066" s="140" t="s">
        <v>6601</v>
      </c>
      <c r="E6066" s="140" t="s">
        <v>303</v>
      </c>
      <c r="F6066" s="140" t="s">
        <v>8303</v>
      </c>
      <c r="G6066" s="141" t="s">
        <v>6401</v>
      </c>
      <c r="H6066" s="140" t="s">
        <v>6312</v>
      </c>
      <c r="I6066" s="140" t="s">
        <v>6313</v>
      </c>
      <c r="J6066" s="140" t="s">
        <v>6314</v>
      </c>
      <c r="K6066" s="140" t="s">
        <v>14021</v>
      </c>
    </row>
    <row r="6067">
      <c r="A6067" s="140" t="s">
        <v>14021</v>
      </c>
      <c r="B6067" s="140" t="s">
        <v>3625</v>
      </c>
      <c r="C6067" s="140" t="s">
        <v>14039</v>
      </c>
      <c r="D6067" s="140" t="s">
        <v>6601</v>
      </c>
      <c r="E6067" s="140" t="s">
        <v>303</v>
      </c>
      <c r="F6067" s="140" t="s">
        <v>8303</v>
      </c>
      <c r="G6067" s="141" t="s">
        <v>6401</v>
      </c>
      <c r="H6067" s="140" t="s">
        <v>6312</v>
      </c>
      <c r="I6067" s="140" t="s">
        <v>6313</v>
      </c>
      <c r="J6067" s="140" t="s">
        <v>6314</v>
      </c>
      <c r="K6067" s="140" t="s">
        <v>14021</v>
      </c>
    </row>
    <row r="6068">
      <c r="A6068" s="140" t="s">
        <v>14021</v>
      </c>
      <c r="B6068" s="140" t="s">
        <v>5221</v>
      </c>
      <c r="C6068" s="140" t="s">
        <v>14040</v>
      </c>
      <c r="D6068" s="140" t="s">
        <v>6601</v>
      </c>
      <c r="E6068" s="140" t="s">
        <v>303</v>
      </c>
      <c r="F6068" s="140" t="s">
        <v>8303</v>
      </c>
      <c r="G6068" s="141" t="s">
        <v>6401</v>
      </c>
      <c r="H6068" s="140" t="s">
        <v>6312</v>
      </c>
      <c r="I6068" s="140" t="s">
        <v>6313</v>
      </c>
      <c r="J6068" s="140" t="s">
        <v>6314</v>
      </c>
      <c r="K6068" s="140" t="s">
        <v>14021</v>
      </c>
    </row>
    <row r="6069">
      <c r="A6069" s="140" t="s">
        <v>14021</v>
      </c>
      <c r="B6069" s="140" t="s">
        <v>14041</v>
      </c>
      <c r="C6069" s="140" t="s">
        <v>14042</v>
      </c>
      <c r="D6069" s="140" t="s">
        <v>6601</v>
      </c>
      <c r="E6069" s="140" t="s">
        <v>303</v>
      </c>
      <c r="F6069" s="140" t="s">
        <v>8303</v>
      </c>
      <c r="G6069" s="141" t="s">
        <v>6304</v>
      </c>
      <c r="H6069" s="140" t="s">
        <v>6312</v>
      </c>
      <c r="I6069" s="140" t="s">
        <v>6527</v>
      </c>
      <c r="J6069" s="140" t="s">
        <v>6314</v>
      </c>
      <c r="K6069" s="140" t="s">
        <v>14021</v>
      </c>
    </row>
    <row r="6070">
      <c r="A6070" s="140" t="s">
        <v>14021</v>
      </c>
      <c r="B6070" s="140" t="s">
        <v>14043</v>
      </c>
      <c r="C6070" s="140" t="s">
        <v>14044</v>
      </c>
      <c r="D6070" s="140" t="s">
        <v>6601</v>
      </c>
      <c r="E6070" s="140" t="s">
        <v>303</v>
      </c>
      <c r="F6070" s="140" t="s">
        <v>8317</v>
      </c>
      <c r="G6070" s="141" t="s">
        <v>6668</v>
      </c>
      <c r="H6070" s="140" t="s">
        <v>6312</v>
      </c>
      <c r="I6070" s="140" t="s">
        <v>6313</v>
      </c>
      <c r="J6070" s="140" t="s">
        <v>6314</v>
      </c>
      <c r="K6070" s="140" t="s">
        <v>14021</v>
      </c>
    </row>
    <row r="6071">
      <c r="A6071" s="140" t="s">
        <v>14021</v>
      </c>
      <c r="B6071" s="140" t="s">
        <v>14045</v>
      </c>
      <c r="C6071" s="140" t="s">
        <v>14046</v>
      </c>
      <c r="D6071" s="140" t="s">
        <v>6601</v>
      </c>
      <c r="E6071" s="140" t="s">
        <v>303</v>
      </c>
      <c r="F6071" s="140" t="s">
        <v>8317</v>
      </c>
      <c r="G6071" s="141" t="s">
        <v>6401</v>
      </c>
      <c r="H6071" s="140" t="s">
        <v>6312</v>
      </c>
      <c r="I6071" s="140" t="s">
        <v>6313</v>
      </c>
      <c r="J6071" s="140" t="s">
        <v>6314</v>
      </c>
      <c r="K6071" s="140" t="s">
        <v>14021</v>
      </c>
    </row>
    <row r="6072">
      <c r="A6072" s="140" t="s">
        <v>14021</v>
      </c>
      <c r="B6072" s="140" t="s">
        <v>14047</v>
      </c>
      <c r="C6072" s="140" t="s">
        <v>14048</v>
      </c>
      <c r="D6072" s="140" t="s">
        <v>6601</v>
      </c>
      <c r="E6072" s="140" t="s">
        <v>303</v>
      </c>
      <c r="F6072" s="140" t="s">
        <v>8317</v>
      </c>
      <c r="G6072" s="141" t="s">
        <v>6401</v>
      </c>
      <c r="H6072" s="140" t="s">
        <v>6312</v>
      </c>
      <c r="I6072" s="140" t="s">
        <v>6313</v>
      </c>
      <c r="J6072" s="140" t="s">
        <v>6314</v>
      </c>
      <c r="K6072" s="140" t="s">
        <v>14021</v>
      </c>
    </row>
    <row r="6073">
      <c r="A6073" s="140" t="s">
        <v>14021</v>
      </c>
      <c r="B6073" s="140" t="s">
        <v>5685</v>
      </c>
      <c r="C6073" s="140" t="s">
        <v>14049</v>
      </c>
      <c r="D6073" s="140" t="s">
        <v>6601</v>
      </c>
      <c r="E6073" s="140" t="s">
        <v>303</v>
      </c>
      <c r="F6073" s="140" t="s">
        <v>8317</v>
      </c>
      <c r="G6073" s="141" t="s">
        <v>6401</v>
      </c>
      <c r="H6073" s="140" t="s">
        <v>6312</v>
      </c>
      <c r="I6073" s="140" t="s">
        <v>6313</v>
      </c>
      <c r="J6073" s="140" t="s">
        <v>6314</v>
      </c>
      <c r="K6073" s="140" t="s">
        <v>14021</v>
      </c>
    </row>
    <row r="6074">
      <c r="A6074" s="140" t="s">
        <v>14021</v>
      </c>
      <c r="B6074" s="140" t="s">
        <v>5255</v>
      </c>
      <c r="C6074" s="140" t="s">
        <v>14050</v>
      </c>
      <c r="D6074" s="140" t="s">
        <v>6601</v>
      </c>
      <c r="E6074" s="140" t="s">
        <v>303</v>
      </c>
      <c r="F6074" s="140" t="s">
        <v>9668</v>
      </c>
      <c r="G6074" s="141" t="s">
        <v>6401</v>
      </c>
      <c r="H6074" s="140" t="s">
        <v>6312</v>
      </c>
      <c r="I6074" s="140" t="s">
        <v>6313</v>
      </c>
      <c r="J6074" s="140" t="s">
        <v>6314</v>
      </c>
      <c r="K6074" s="140" t="s">
        <v>14021</v>
      </c>
    </row>
    <row r="6075">
      <c r="A6075" s="140" t="s">
        <v>14021</v>
      </c>
      <c r="B6075" s="140" t="s">
        <v>14051</v>
      </c>
      <c r="C6075" s="140" t="s">
        <v>14052</v>
      </c>
      <c r="D6075" s="140" t="s">
        <v>6601</v>
      </c>
      <c r="E6075" s="140" t="s">
        <v>303</v>
      </c>
      <c r="F6075" s="140" t="s">
        <v>9668</v>
      </c>
      <c r="G6075" s="141" t="s">
        <v>6401</v>
      </c>
      <c r="H6075" s="140" t="s">
        <v>6312</v>
      </c>
      <c r="I6075" s="140" t="s">
        <v>6313</v>
      </c>
      <c r="J6075" s="140" t="s">
        <v>6314</v>
      </c>
      <c r="K6075" s="140" t="s">
        <v>14021</v>
      </c>
    </row>
    <row r="6076">
      <c r="A6076" s="140" t="s">
        <v>14021</v>
      </c>
      <c r="B6076" s="140" t="s">
        <v>14053</v>
      </c>
      <c r="C6076" s="140" t="s">
        <v>14054</v>
      </c>
      <c r="D6076" s="140" t="s">
        <v>6318</v>
      </c>
      <c r="E6076" s="140" t="s">
        <v>6323</v>
      </c>
      <c r="F6076" s="140" t="s">
        <v>5774</v>
      </c>
      <c r="G6076" s="141" t="s">
        <v>6304</v>
      </c>
      <c r="H6076" s="140" t="s">
        <v>6312</v>
      </c>
      <c r="I6076" s="140" t="s">
        <v>6527</v>
      </c>
      <c r="J6076" s="140" t="s">
        <v>6314</v>
      </c>
      <c r="K6076" s="140" t="s">
        <v>14021</v>
      </c>
    </row>
    <row r="6077">
      <c r="A6077" s="140" t="s">
        <v>14021</v>
      </c>
      <c r="B6077" s="140" t="s">
        <v>14055</v>
      </c>
      <c r="C6077" s="140" t="s">
        <v>14056</v>
      </c>
      <c r="D6077" s="140" t="s">
        <v>6318</v>
      </c>
      <c r="E6077" s="140" t="s">
        <v>6323</v>
      </c>
      <c r="F6077" s="140" t="s">
        <v>5774</v>
      </c>
      <c r="G6077" s="141" t="s">
        <v>6304</v>
      </c>
      <c r="H6077" s="140" t="s">
        <v>6312</v>
      </c>
      <c r="I6077" s="140" t="s">
        <v>6527</v>
      </c>
      <c r="J6077" s="140" t="s">
        <v>6314</v>
      </c>
      <c r="K6077" s="140" t="s">
        <v>14021</v>
      </c>
    </row>
    <row r="6078">
      <c r="A6078" s="140" t="s">
        <v>14021</v>
      </c>
      <c r="B6078" s="140" t="s">
        <v>14057</v>
      </c>
      <c r="C6078" s="140" t="s">
        <v>14058</v>
      </c>
      <c r="D6078" s="140" t="s">
        <v>6318</v>
      </c>
      <c r="E6078" s="140" t="s">
        <v>6323</v>
      </c>
      <c r="F6078" s="140" t="s">
        <v>5774</v>
      </c>
      <c r="G6078" s="141" t="s">
        <v>6401</v>
      </c>
      <c r="H6078" s="140" t="s">
        <v>6312</v>
      </c>
      <c r="I6078" s="140" t="s">
        <v>6313</v>
      </c>
      <c r="J6078" s="140" t="s">
        <v>6314</v>
      </c>
      <c r="K6078" s="140" t="s">
        <v>14021</v>
      </c>
    </row>
    <row r="6079">
      <c r="A6079" s="140" t="s">
        <v>14021</v>
      </c>
      <c r="B6079" s="140" t="s">
        <v>3366</v>
      </c>
      <c r="C6079" s="140" t="s">
        <v>14059</v>
      </c>
      <c r="D6079" s="140" t="s">
        <v>6318</v>
      </c>
      <c r="E6079" s="140" t="s">
        <v>6323</v>
      </c>
      <c r="F6079" s="140" t="s">
        <v>5774</v>
      </c>
      <c r="G6079" s="141" t="s">
        <v>6401</v>
      </c>
      <c r="H6079" s="140" t="s">
        <v>6312</v>
      </c>
      <c r="I6079" s="140" t="s">
        <v>6313</v>
      </c>
      <c r="J6079" s="140" t="s">
        <v>6314</v>
      </c>
      <c r="K6079" s="140" t="s">
        <v>14021</v>
      </c>
    </row>
    <row r="6080">
      <c r="A6080" s="140" t="s">
        <v>14021</v>
      </c>
      <c r="B6080" s="140" t="s">
        <v>14060</v>
      </c>
      <c r="C6080" s="140" t="s">
        <v>14061</v>
      </c>
      <c r="D6080" s="140" t="s">
        <v>6318</v>
      </c>
      <c r="E6080" s="140" t="s">
        <v>6323</v>
      </c>
      <c r="F6080" s="140" t="s">
        <v>5774</v>
      </c>
      <c r="G6080" s="141" t="s">
        <v>6401</v>
      </c>
      <c r="H6080" s="140" t="s">
        <v>6312</v>
      </c>
      <c r="I6080" s="140" t="s">
        <v>6313</v>
      </c>
      <c r="J6080" s="140" t="s">
        <v>6314</v>
      </c>
      <c r="K6080" s="140" t="s">
        <v>14021</v>
      </c>
    </row>
    <row r="6081">
      <c r="A6081" s="140" t="s">
        <v>14021</v>
      </c>
      <c r="B6081" s="140" t="s">
        <v>3629</v>
      </c>
      <c r="C6081" s="140" t="s">
        <v>14062</v>
      </c>
      <c r="D6081" s="140" t="s">
        <v>6318</v>
      </c>
      <c r="E6081" s="140" t="s">
        <v>6323</v>
      </c>
      <c r="F6081" s="140" t="s">
        <v>5774</v>
      </c>
      <c r="G6081" s="141" t="s">
        <v>6401</v>
      </c>
      <c r="H6081" s="140" t="s">
        <v>6312</v>
      </c>
      <c r="I6081" s="140" t="s">
        <v>6313</v>
      </c>
      <c r="J6081" s="140" t="s">
        <v>6314</v>
      </c>
      <c r="K6081" s="140" t="s">
        <v>14021</v>
      </c>
    </row>
    <row r="6082">
      <c r="A6082" s="140" t="s">
        <v>14021</v>
      </c>
      <c r="B6082" s="140" t="s">
        <v>14063</v>
      </c>
      <c r="C6082" s="140" t="s">
        <v>14064</v>
      </c>
      <c r="D6082" s="140" t="s">
        <v>6318</v>
      </c>
      <c r="E6082" s="140" t="s">
        <v>6323</v>
      </c>
      <c r="F6082" s="140" t="s">
        <v>5774</v>
      </c>
      <c r="G6082" s="141" t="s">
        <v>6401</v>
      </c>
      <c r="H6082" s="140" t="s">
        <v>6312</v>
      </c>
      <c r="I6082" s="140" t="s">
        <v>6313</v>
      </c>
      <c r="J6082" s="140" t="s">
        <v>6314</v>
      </c>
      <c r="K6082" s="140" t="s">
        <v>14021</v>
      </c>
    </row>
    <row r="6083">
      <c r="A6083" s="140" t="s">
        <v>14021</v>
      </c>
      <c r="B6083" s="140" t="s">
        <v>5231</v>
      </c>
      <c r="C6083" s="140" t="s">
        <v>14065</v>
      </c>
      <c r="D6083" s="140" t="s">
        <v>6601</v>
      </c>
      <c r="E6083" s="140" t="s">
        <v>526</v>
      </c>
      <c r="F6083" s="140" t="s">
        <v>7099</v>
      </c>
      <c r="G6083" s="141" t="s">
        <v>6401</v>
      </c>
      <c r="H6083" s="140" t="s">
        <v>6312</v>
      </c>
      <c r="I6083" s="140" t="s">
        <v>6313</v>
      </c>
      <c r="J6083" s="140" t="s">
        <v>6314</v>
      </c>
      <c r="K6083" s="140" t="s">
        <v>14021</v>
      </c>
    </row>
    <row r="6084">
      <c r="A6084" s="140" t="s">
        <v>14021</v>
      </c>
      <c r="B6084" s="140" t="s">
        <v>2706</v>
      </c>
      <c r="C6084" s="140" t="s">
        <v>14066</v>
      </c>
      <c r="D6084" s="140" t="s">
        <v>6601</v>
      </c>
      <c r="E6084" s="140" t="s">
        <v>526</v>
      </c>
      <c r="F6084" s="140" t="s">
        <v>7099</v>
      </c>
      <c r="G6084" s="141" t="s">
        <v>6401</v>
      </c>
      <c r="H6084" s="147" t="s">
        <v>6312</v>
      </c>
      <c r="I6084" s="140" t="s">
        <v>6313</v>
      </c>
      <c r="J6084" s="140" t="s">
        <v>6314</v>
      </c>
      <c r="K6084" s="140" t="s">
        <v>14021</v>
      </c>
    </row>
    <row r="6085">
      <c r="A6085" s="140" t="s">
        <v>14021</v>
      </c>
      <c r="B6085" s="140" t="s">
        <v>14067</v>
      </c>
      <c r="C6085" s="140" t="s">
        <v>14068</v>
      </c>
      <c r="D6085" s="140" t="s">
        <v>6601</v>
      </c>
      <c r="E6085" s="140" t="s">
        <v>526</v>
      </c>
      <c r="F6085" s="140" t="s">
        <v>7099</v>
      </c>
      <c r="G6085" s="141" t="s">
        <v>6304</v>
      </c>
      <c r="H6085" s="140" t="s">
        <v>6312</v>
      </c>
      <c r="I6085" s="140" t="s">
        <v>6527</v>
      </c>
      <c r="J6085" s="140" t="s">
        <v>6314</v>
      </c>
      <c r="K6085" s="140" t="s">
        <v>14021</v>
      </c>
    </row>
    <row r="6086">
      <c r="A6086" s="140" t="s">
        <v>14021</v>
      </c>
      <c r="B6086" s="140" t="s">
        <v>5249</v>
      </c>
      <c r="C6086" s="140" t="s">
        <v>14069</v>
      </c>
      <c r="D6086" s="140" t="s">
        <v>6601</v>
      </c>
      <c r="E6086" s="140" t="s">
        <v>526</v>
      </c>
      <c r="F6086" s="140" t="s">
        <v>7099</v>
      </c>
      <c r="G6086" s="141" t="s">
        <v>6401</v>
      </c>
      <c r="H6086" s="140" t="s">
        <v>6312</v>
      </c>
      <c r="I6086" s="140" t="s">
        <v>6313</v>
      </c>
      <c r="J6086" s="140" t="s">
        <v>6314</v>
      </c>
      <c r="K6086" s="140" t="s">
        <v>14021</v>
      </c>
    </row>
    <row r="6087">
      <c r="A6087" s="140" t="s">
        <v>14021</v>
      </c>
      <c r="B6087" s="140" t="s">
        <v>5233</v>
      </c>
      <c r="C6087" s="140" t="s">
        <v>14070</v>
      </c>
      <c r="D6087" s="140" t="s">
        <v>7347</v>
      </c>
      <c r="E6087" s="140" t="s">
        <v>526</v>
      </c>
      <c r="F6087" s="140" t="s">
        <v>14071</v>
      </c>
      <c r="G6087" s="141" t="s">
        <v>6401</v>
      </c>
      <c r="H6087" s="140" t="s">
        <v>6312</v>
      </c>
      <c r="I6087" s="140" t="s">
        <v>6313</v>
      </c>
      <c r="J6087" s="140" t="s">
        <v>6314</v>
      </c>
      <c r="K6087" s="140" t="s">
        <v>14021</v>
      </c>
    </row>
    <row r="6088">
      <c r="A6088" s="140" t="s">
        <v>14021</v>
      </c>
      <c r="B6088" s="140" t="s">
        <v>3360</v>
      </c>
      <c r="C6088" s="140" t="s">
        <v>14072</v>
      </c>
      <c r="D6088" s="140" t="s">
        <v>6601</v>
      </c>
      <c r="E6088" s="140" t="s">
        <v>526</v>
      </c>
      <c r="F6088" s="140" t="s">
        <v>7105</v>
      </c>
      <c r="G6088" s="141" t="s">
        <v>6668</v>
      </c>
      <c r="H6088" s="140" t="s">
        <v>6312</v>
      </c>
      <c r="I6088" s="140" t="s">
        <v>6313</v>
      </c>
      <c r="J6088" s="140" t="s">
        <v>6314</v>
      </c>
      <c r="K6088" s="140" t="s">
        <v>14021</v>
      </c>
    </row>
    <row r="6089">
      <c r="A6089" s="140" t="s">
        <v>14021</v>
      </c>
      <c r="B6089" s="140" t="s">
        <v>5190</v>
      </c>
      <c r="C6089" s="140" t="s">
        <v>14073</v>
      </c>
      <c r="D6089" s="140" t="s">
        <v>6601</v>
      </c>
      <c r="E6089" s="140" t="s">
        <v>526</v>
      </c>
      <c r="F6089" s="140" t="s">
        <v>7105</v>
      </c>
      <c r="G6089" s="141" t="s">
        <v>6401</v>
      </c>
      <c r="H6089" s="140" t="s">
        <v>6312</v>
      </c>
      <c r="I6089" s="140" t="s">
        <v>6313</v>
      </c>
      <c r="J6089" s="140" t="s">
        <v>6314</v>
      </c>
      <c r="K6089" s="140" t="s">
        <v>14021</v>
      </c>
    </row>
    <row r="6090">
      <c r="A6090" s="140" t="s">
        <v>14021</v>
      </c>
      <c r="B6090" s="140" t="s">
        <v>2991</v>
      </c>
      <c r="C6090" s="140" t="s">
        <v>14074</v>
      </c>
      <c r="D6090" s="140" t="s">
        <v>6601</v>
      </c>
      <c r="E6090" s="140" t="s">
        <v>526</v>
      </c>
      <c r="F6090" s="140" t="s">
        <v>7105</v>
      </c>
      <c r="G6090" s="141" t="s">
        <v>6401</v>
      </c>
      <c r="H6090" s="140" t="s">
        <v>6312</v>
      </c>
      <c r="I6090" s="140" t="s">
        <v>6313</v>
      </c>
      <c r="J6090" s="140" t="s">
        <v>6314</v>
      </c>
      <c r="K6090" s="140" t="s">
        <v>14021</v>
      </c>
    </row>
    <row r="6091">
      <c r="A6091" s="140" t="s">
        <v>14021</v>
      </c>
      <c r="B6091" s="140" t="s">
        <v>14075</v>
      </c>
      <c r="C6091" s="140" t="s">
        <v>14076</v>
      </c>
      <c r="D6091" s="140" t="s">
        <v>6601</v>
      </c>
      <c r="E6091" s="140" t="s">
        <v>526</v>
      </c>
      <c r="F6091" s="140" t="s">
        <v>7105</v>
      </c>
      <c r="G6091" s="141" t="s">
        <v>6742</v>
      </c>
      <c r="H6091" s="140" t="s">
        <v>6312</v>
      </c>
      <c r="I6091" s="140" t="s">
        <v>6313</v>
      </c>
      <c r="J6091" s="140" t="s">
        <v>6314</v>
      </c>
      <c r="K6091" s="140" t="s">
        <v>14021</v>
      </c>
    </row>
    <row r="6092">
      <c r="A6092" s="140" t="s">
        <v>14021</v>
      </c>
      <c r="B6092" s="140" t="s">
        <v>3617</v>
      </c>
      <c r="C6092" s="140" t="s">
        <v>14077</v>
      </c>
      <c r="D6092" s="140" t="s">
        <v>6601</v>
      </c>
      <c r="E6092" s="140" t="s">
        <v>526</v>
      </c>
      <c r="F6092" s="140" t="s">
        <v>7105</v>
      </c>
      <c r="G6092" s="141" t="s">
        <v>6668</v>
      </c>
      <c r="H6092" s="140" t="s">
        <v>6312</v>
      </c>
      <c r="I6092" s="140" t="s">
        <v>6313</v>
      </c>
      <c r="J6092" s="140" t="s">
        <v>6314</v>
      </c>
      <c r="K6092" s="140" t="s">
        <v>14021</v>
      </c>
    </row>
    <row r="6093">
      <c r="A6093" s="140" t="s">
        <v>14021</v>
      </c>
      <c r="B6093" s="140" t="s">
        <v>14078</v>
      </c>
      <c r="C6093" s="140" t="s">
        <v>14079</v>
      </c>
      <c r="D6093" s="140" t="s">
        <v>6601</v>
      </c>
      <c r="E6093" s="140" t="s">
        <v>526</v>
      </c>
      <c r="F6093" s="140" t="s">
        <v>7105</v>
      </c>
      <c r="G6093" s="141" t="s">
        <v>6401</v>
      </c>
      <c r="H6093" s="140" t="s">
        <v>6312</v>
      </c>
      <c r="I6093" s="140" t="s">
        <v>6313</v>
      </c>
      <c r="J6093" s="140" t="s">
        <v>6314</v>
      </c>
      <c r="K6093" s="140" t="s">
        <v>14021</v>
      </c>
    </row>
    <row r="6094">
      <c r="A6094" s="140" t="s">
        <v>14021</v>
      </c>
      <c r="B6094" s="140" t="s">
        <v>5192</v>
      </c>
      <c r="C6094" s="140" t="s">
        <v>14080</v>
      </c>
      <c r="D6094" s="140" t="s">
        <v>6601</v>
      </c>
      <c r="E6094" s="140" t="s">
        <v>526</v>
      </c>
      <c r="F6094" s="140" t="s">
        <v>7105</v>
      </c>
      <c r="G6094" s="141" t="s">
        <v>6401</v>
      </c>
      <c r="H6094" s="140" t="s">
        <v>6312</v>
      </c>
      <c r="I6094" s="140" t="s">
        <v>6313</v>
      </c>
      <c r="J6094" s="140" t="s">
        <v>6314</v>
      </c>
      <c r="K6094" s="140" t="s">
        <v>14021</v>
      </c>
    </row>
    <row r="6095">
      <c r="A6095" s="140" t="s">
        <v>14021</v>
      </c>
      <c r="B6095" s="140" t="s">
        <v>5247</v>
      </c>
      <c r="C6095" s="140" t="s">
        <v>14081</v>
      </c>
      <c r="D6095" s="140" t="s">
        <v>6601</v>
      </c>
      <c r="E6095" s="140" t="s">
        <v>526</v>
      </c>
      <c r="F6095" s="140" t="s">
        <v>7105</v>
      </c>
      <c r="G6095" s="141" t="s">
        <v>6401</v>
      </c>
      <c r="H6095" s="140" t="s">
        <v>6312</v>
      </c>
      <c r="I6095" s="140" t="s">
        <v>6313</v>
      </c>
      <c r="J6095" s="140" t="s">
        <v>6314</v>
      </c>
      <c r="K6095" s="140" t="s">
        <v>14021</v>
      </c>
    </row>
    <row r="6096">
      <c r="A6096" s="140" t="s">
        <v>14021</v>
      </c>
      <c r="B6096" s="140" t="s">
        <v>5227</v>
      </c>
      <c r="C6096" s="140" t="s">
        <v>14082</v>
      </c>
      <c r="D6096" s="140" t="s">
        <v>6601</v>
      </c>
      <c r="E6096" s="140" t="s">
        <v>526</v>
      </c>
      <c r="F6096" s="140" t="s">
        <v>6609</v>
      </c>
      <c r="G6096" s="141" t="s">
        <v>6668</v>
      </c>
      <c r="H6096" s="140" t="s">
        <v>6312</v>
      </c>
      <c r="I6096" s="140" t="s">
        <v>6313</v>
      </c>
      <c r="J6096" s="140" t="s">
        <v>6314</v>
      </c>
      <c r="K6096" s="140" t="s">
        <v>14021</v>
      </c>
    </row>
    <row r="6097">
      <c r="A6097" s="140" t="s">
        <v>14021</v>
      </c>
      <c r="B6097" s="140" t="s">
        <v>5229</v>
      </c>
      <c r="C6097" s="140" t="s">
        <v>14083</v>
      </c>
      <c r="D6097" s="140" t="s">
        <v>6601</v>
      </c>
      <c r="E6097" s="140" t="s">
        <v>526</v>
      </c>
      <c r="F6097" s="140" t="s">
        <v>591</v>
      </c>
      <c r="G6097" s="141" t="s">
        <v>6401</v>
      </c>
      <c r="H6097" s="140" t="s">
        <v>6312</v>
      </c>
      <c r="I6097" s="140" t="s">
        <v>6313</v>
      </c>
      <c r="J6097" s="140" t="s">
        <v>6314</v>
      </c>
      <c r="K6097" s="140" t="s">
        <v>14021</v>
      </c>
    </row>
    <row r="6098">
      <c r="A6098" s="140" t="s">
        <v>14021</v>
      </c>
      <c r="B6098" s="140" t="s">
        <v>5243</v>
      </c>
      <c r="C6098" s="140" t="s">
        <v>14084</v>
      </c>
      <c r="D6098" s="140" t="s">
        <v>6601</v>
      </c>
      <c r="E6098" s="140" t="s">
        <v>526</v>
      </c>
      <c r="F6098" s="140" t="s">
        <v>591</v>
      </c>
      <c r="G6098" s="141" t="s">
        <v>6401</v>
      </c>
      <c r="H6098" s="140" t="s">
        <v>6312</v>
      </c>
      <c r="I6098" s="140" t="s">
        <v>6313</v>
      </c>
      <c r="J6098" s="140" t="s">
        <v>6314</v>
      </c>
      <c r="K6098" s="140" t="s">
        <v>14021</v>
      </c>
    </row>
    <row r="6099">
      <c r="A6099" s="140" t="s">
        <v>14021</v>
      </c>
      <c r="B6099" s="140" t="s">
        <v>5237</v>
      </c>
      <c r="C6099" s="140" t="s">
        <v>14085</v>
      </c>
      <c r="D6099" s="140" t="s">
        <v>6601</v>
      </c>
      <c r="E6099" s="140" t="s">
        <v>526</v>
      </c>
      <c r="F6099" s="140" t="s">
        <v>591</v>
      </c>
      <c r="G6099" s="141" t="s">
        <v>6401</v>
      </c>
      <c r="H6099" s="140" t="s">
        <v>6312</v>
      </c>
      <c r="I6099" s="140" t="s">
        <v>6313</v>
      </c>
      <c r="J6099" s="140" t="s">
        <v>6314</v>
      </c>
      <c r="K6099" s="140" t="s">
        <v>14021</v>
      </c>
    </row>
    <row r="6100">
      <c r="A6100" s="140" t="s">
        <v>14021</v>
      </c>
      <c r="B6100" s="140" t="s">
        <v>14086</v>
      </c>
      <c r="C6100" s="140" t="s">
        <v>14087</v>
      </c>
      <c r="D6100" s="140" t="s">
        <v>6601</v>
      </c>
      <c r="E6100" s="140" t="s">
        <v>526</v>
      </c>
      <c r="F6100" s="140" t="s">
        <v>591</v>
      </c>
      <c r="G6100" s="141" t="s">
        <v>6401</v>
      </c>
      <c r="H6100" s="140" t="s">
        <v>6312</v>
      </c>
      <c r="I6100" s="140" t="s">
        <v>6313</v>
      </c>
      <c r="J6100" s="140" t="s">
        <v>6314</v>
      </c>
      <c r="K6100" s="140" t="s">
        <v>14021</v>
      </c>
    </row>
    <row r="6101">
      <c r="A6101" s="140" t="s">
        <v>14021</v>
      </c>
      <c r="B6101" s="140" t="s">
        <v>5239</v>
      </c>
      <c r="C6101" s="140" t="s">
        <v>14088</v>
      </c>
      <c r="D6101" s="140" t="s">
        <v>6601</v>
      </c>
      <c r="E6101" s="140" t="s">
        <v>526</v>
      </c>
      <c r="F6101" s="140" t="s">
        <v>591</v>
      </c>
      <c r="G6101" s="141" t="s">
        <v>6401</v>
      </c>
      <c r="H6101" s="140" t="s">
        <v>6312</v>
      </c>
      <c r="I6101" s="140" t="s">
        <v>6313</v>
      </c>
      <c r="J6101" s="140" t="s">
        <v>6314</v>
      </c>
      <c r="K6101" s="140" t="s">
        <v>14021</v>
      </c>
    </row>
    <row r="6102">
      <c r="A6102" s="140" t="s">
        <v>14021</v>
      </c>
      <c r="B6102" s="140" t="s">
        <v>5241</v>
      </c>
      <c r="C6102" s="140" t="s">
        <v>14089</v>
      </c>
      <c r="D6102" s="140" t="s">
        <v>6601</v>
      </c>
      <c r="E6102" s="140" t="s">
        <v>526</v>
      </c>
      <c r="F6102" s="140" t="s">
        <v>591</v>
      </c>
      <c r="G6102" s="141" t="s">
        <v>6401</v>
      </c>
      <c r="H6102" s="140" t="s">
        <v>6312</v>
      </c>
      <c r="I6102" s="140" t="s">
        <v>6313</v>
      </c>
      <c r="J6102" s="140" t="s">
        <v>6314</v>
      </c>
      <c r="K6102" s="140" t="s">
        <v>14021</v>
      </c>
    </row>
    <row r="6103">
      <c r="A6103" s="140" t="s">
        <v>14021</v>
      </c>
      <c r="B6103" s="140" t="s">
        <v>3364</v>
      </c>
      <c r="C6103" s="140" t="s">
        <v>14090</v>
      </c>
      <c r="D6103" s="140" t="s">
        <v>6601</v>
      </c>
      <c r="E6103" s="140" t="s">
        <v>526</v>
      </c>
      <c r="F6103" s="140" t="s">
        <v>7139</v>
      </c>
      <c r="G6103" s="141" t="s">
        <v>6668</v>
      </c>
      <c r="H6103" s="140" t="s">
        <v>6312</v>
      </c>
      <c r="I6103" s="140" t="s">
        <v>6313</v>
      </c>
      <c r="J6103" s="140" t="s">
        <v>6314</v>
      </c>
      <c r="K6103" s="140" t="s">
        <v>14021</v>
      </c>
    </row>
    <row r="6104">
      <c r="A6104" s="140" t="s">
        <v>14021</v>
      </c>
      <c r="B6104" s="140" t="s">
        <v>5223</v>
      </c>
      <c r="C6104" s="140" t="s">
        <v>14091</v>
      </c>
      <c r="D6104" s="140" t="s">
        <v>6601</v>
      </c>
      <c r="E6104" s="140" t="s">
        <v>526</v>
      </c>
      <c r="F6104" s="140" t="s">
        <v>7139</v>
      </c>
      <c r="G6104" s="141" t="s">
        <v>6401</v>
      </c>
      <c r="H6104" s="140" t="s">
        <v>6312</v>
      </c>
      <c r="I6104" s="140" t="s">
        <v>6313</v>
      </c>
      <c r="J6104" s="140" t="s">
        <v>6314</v>
      </c>
      <c r="K6104" s="140" t="s">
        <v>14021</v>
      </c>
    </row>
    <row r="6105">
      <c r="A6105" s="140" t="s">
        <v>14021</v>
      </c>
      <c r="B6105" s="140" t="s">
        <v>5225</v>
      </c>
      <c r="C6105" s="140" t="s">
        <v>14092</v>
      </c>
      <c r="D6105" s="140" t="s">
        <v>6601</v>
      </c>
      <c r="E6105" s="140" t="s">
        <v>526</v>
      </c>
      <c r="F6105" s="140" t="s">
        <v>7139</v>
      </c>
      <c r="G6105" s="141" t="s">
        <v>6401</v>
      </c>
      <c r="H6105" s="140" t="s">
        <v>6312</v>
      </c>
      <c r="I6105" s="140" t="s">
        <v>6313</v>
      </c>
      <c r="J6105" s="140" t="s">
        <v>6314</v>
      </c>
      <c r="K6105" s="140" t="s">
        <v>14021</v>
      </c>
    </row>
    <row r="6106">
      <c r="A6106" s="140" t="s">
        <v>14021</v>
      </c>
      <c r="B6106" s="140" t="s">
        <v>3627</v>
      </c>
      <c r="C6106" s="140" t="s">
        <v>14093</v>
      </c>
      <c r="D6106" s="140" t="s">
        <v>6601</v>
      </c>
      <c r="E6106" s="140" t="s">
        <v>526</v>
      </c>
      <c r="F6106" s="140" t="s">
        <v>7139</v>
      </c>
      <c r="G6106" s="141" t="s">
        <v>6668</v>
      </c>
      <c r="H6106" s="140" t="s">
        <v>6312</v>
      </c>
      <c r="I6106" s="140" t="s">
        <v>6313</v>
      </c>
      <c r="J6106" s="140" t="s">
        <v>6314</v>
      </c>
      <c r="K6106" s="140" t="s">
        <v>14021</v>
      </c>
    </row>
    <row r="6107">
      <c r="A6107" s="140" t="s">
        <v>14021</v>
      </c>
      <c r="B6107" s="140" t="s">
        <v>3362</v>
      </c>
      <c r="C6107" s="140" t="s">
        <v>14094</v>
      </c>
      <c r="D6107" s="140" t="s">
        <v>6309</v>
      </c>
      <c r="E6107" s="140" t="s">
        <v>1223</v>
      </c>
      <c r="F6107" s="140" t="s">
        <v>1223</v>
      </c>
      <c r="G6107" s="141" t="s">
        <v>6668</v>
      </c>
      <c r="H6107" s="140" t="s">
        <v>6312</v>
      </c>
      <c r="I6107" s="140" t="s">
        <v>6313</v>
      </c>
      <c r="J6107" s="140" t="s">
        <v>6314</v>
      </c>
      <c r="K6107" s="140" t="s">
        <v>14021</v>
      </c>
    </row>
    <row r="6108">
      <c r="A6108" s="140" t="s">
        <v>14021</v>
      </c>
      <c r="B6108" s="140" t="s">
        <v>5194</v>
      </c>
      <c r="C6108" s="140" t="s">
        <v>14095</v>
      </c>
      <c r="D6108" s="140" t="s">
        <v>6309</v>
      </c>
      <c r="E6108" s="140" t="s">
        <v>1223</v>
      </c>
      <c r="F6108" s="140" t="s">
        <v>1223</v>
      </c>
      <c r="G6108" s="141" t="s">
        <v>6668</v>
      </c>
      <c r="H6108" s="140" t="s">
        <v>6312</v>
      </c>
      <c r="I6108" s="140" t="s">
        <v>6313</v>
      </c>
      <c r="J6108" s="140" t="s">
        <v>6314</v>
      </c>
      <c r="K6108" s="140" t="s">
        <v>14021</v>
      </c>
    </row>
    <row r="6109">
      <c r="A6109" s="140" t="s">
        <v>14021</v>
      </c>
      <c r="B6109" s="140" t="s">
        <v>5235</v>
      </c>
      <c r="C6109" s="140" t="s">
        <v>14096</v>
      </c>
      <c r="D6109" s="140" t="s">
        <v>6309</v>
      </c>
      <c r="E6109" s="140" t="s">
        <v>1223</v>
      </c>
      <c r="F6109" s="140" t="s">
        <v>1223</v>
      </c>
      <c r="G6109" s="141" t="s">
        <v>6401</v>
      </c>
      <c r="H6109" s="140" t="s">
        <v>6312</v>
      </c>
      <c r="I6109" s="140" t="s">
        <v>6313</v>
      </c>
      <c r="J6109" s="140" t="s">
        <v>6314</v>
      </c>
      <c r="K6109" s="140" t="s">
        <v>14021</v>
      </c>
    </row>
    <row r="6110">
      <c r="A6110" s="140" t="s">
        <v>14021</v>
      </c>
      <c r="B6110" s="140" t="s">
        <v>2704</v>
      </c>
      <c r="C6110" s="140" t="s">
        <v>14097</v>
      </c>
      <c r="D6110" s="140" t="s">
        <v>6318</v>
      </c>
      <c r="E6110" s="140" t="s">
        <v>8000</v>
      </c>
      <c r="F6110" s="140" t="s">
        <v>8001</v>
      </c>
      <c r="G6110" s="141" t="s">
        <v>6401</v>
      </c>
      <c r="H6110" s="140" t="s">
        <v>6312</v>
      </c>
      <c r="I6110" s="140" t="s">
        <v>6313</v>
      </c>
      <c r="J6110" s="140" t="s">
        <v>6314</v>
      </c>
      <c r="K6110" s="140" t="s">
        <v>14021</v>
      </c>
    </row>
    <row r="6111">
      <c r="A6111" s="140" t="s">
        <v>14021</v>
      </c>
      <c r="B6111" s="140" t="s">
        <v>14098</v>
      </c>
      <c r="C6111" s="140" t="s">
        <v>14099</v>
      </c>
      <c r="D6111" s="140" t="s">
        <v>6318</v>
      </c>
      <c r="E6111" s="140" t="s">
        <v>8000</v>
      </c>
      <c r="F6111" s="140" t="s">
        <v>8001</v>
      </c>
      <c r="G6111" s="141" t="s">
        <v>6401</v>
      </c>
      <c r="H6111" s="140" t="s">
        <v>6312</v>
      </c>
      <c r="I6111" s="140" t="s">
        <v>6313</v>
      </c>
      <c r="J6111" s="140" t="s">
        <v>6314</v>
      </c>
      <c r="K6111" s="140" t="s">
        <v>14021</v>
      </c>
    </row>
    <row r="6112">
      <c r="A6112" s="140" t="s">
        <v>14021</v>
      </c>
      <c r="B6112" s="140" t="s">
        <v>14100</v>
      </c>
      <c r="C6112" s="140" t="s">
        <v>14101</v>
      </c>
      <c r="D6112" s="140" t="s">
        <v>6318</v>
      </c>
      <c r="E6112" s="140" t="s">
        <v>8000</v>
      </c>
      <c r="F6112" s="140" t="s">
        <v>8001</v>
      </c>
      <c r="G6112" s="141" t="s">
        <v>6401</v>
      </c>
      <c r="H6112" s="140" t="s">
        <v>6312</v>
      </c>
      <c r="I6112" s="140" t="s">
        <v>6313</v>
      </c>
      <c r="J6112" s="140" t="s">
        <v>6314</v>
      </c>
      <c r="K6112" s="140" t="s">
        <v>14021</v>
      </c>
    </row>
    <row r="6113">
      <c r="A6113" s="140" t="s">
        <v>14021</v>
      </c>
      <c r="B6113" s="140" t="s">
        <v>14102</v>
      </c>
      <c r="C6113" s="140" t="s">
        <v>14103</v>
      </c>
      <c r="D6113" s="140" t="s">
        <v>6318</v>
      </c>
      <c r="E6113" s="140" t="s">
        <v>8000</v>
      </c>
      <c r="F6113" s="140" t="s">
        <v>8001</v>
      </c>
      <c r="G6113" s="141" t="s">
        <v>6401</v>
      </c>
      <c r="H6113" s="140" t="s">
        <v>6312</v>
      </c>
      <c r="I6113" s="140" t="s">
        <v>6313</v>
      </c>
      <c r="J6113" s="140" t="s">
        <v>6314</v>
      </c>
      <c r="K6113" s="140" t="s">
        <v>14021</v>
      </c>
    </row>
    <row r="6114">
      <c r="A6114" s="140" t="s">
        <v>14021</v>
      </c>
      <c r="B6114" s="140" t="s">
        <v>14104</v>
      </c>
      <c r="C6114" s="140" t="s">
        <v>14105</v>
      </c>
      <c r="D6114" s="140" t="s">
        <v>6318</v>
      </c>
      <c r="E6114" s="140" t="s">
        <v>8000</v>
      </c>
      <c r="F6114" s="140" t="s">
        <v>8001</v>
      </c>
      <c r="G6114" s="141" t="s">
        <v>6304</v>
      </c>
      <c r="H6114" s="140" t="s">
        <v>6312</v>
      </c>
      <c r="I6114" s="140" t="s">
        <v>6527</v>
      </c>
      <c r="J6114" s="140" t="s">
        <v>6314</v>
      </c>
      <c r="K6114" s="140" t="s">
        <v>14021</v>
      </c>
    </row>
    <row r="6115">
      <c r="A6115" s="140" t="s">
        <v>14021</v>
      </c>
      <c r="B6115" s="140" t="s">
        <v>5251</v>
      </c>
      <c r="C6115" s="140" t="s">
        <v>14106</v>
      </c>
      <c r="D6115" s="140" t="s">
        <v>6318</v>
      </c>
      <c r="E6115" s="140" t="s">
        <v>8000</v>
      </c>
      <c r="F6115" s="140" t="s">
        <v>8001</v>
      </c>
      <c r="G6115" s="141" t="s">
        <v>6668</v>
      </c>
      <c r="H6115" s="140" t="s">
        <v>6312</v>
      </c>
      <c r="I6115" s="140" t="s">
        <v>6313</v>
      </c>
      <c r="J6115" s="140" t="s">
        <v>6314</v>
      </c>
      <c r="K6115" s="140" t="s">
        <v>14021</v>
      </c>
    </row>
    <row r="6116">
      <c r="A6116" s="140" t="s">
        <v>14021</v>
      </c>
      <c r="B6116" s="140" t="s">
        <v>2993</v>
      </c>
      <c r="C6116" s="140" t="s">
        <v>14107</v>
      </c>
      <c r="D6116" s="140" t="s">
        <v>6318</v>
      </c>
      <c r="E6116" s="140" t="s">
        <v>8000</v>
      </c>
      <c r="F6116" s="140" t="s">
        <v>8001</v>
      </c>
      <c r="G6116" s="141" t="s">
        <v>6668</v>
      </c>
      <c r="H6116" s="140" t="s">
        <v>6312</v>
      </c>
      <c r="I6116" s="140" t="s">
        <v>6313</v>
      </c>
      <c r="J6116" s="140" t="s">
        <v>6314</v>
      </c>
      <c r="K6116" s="140" t="s">
        <v>14021</v>
      </c>
    </row>
    <row r="6117">
      <c r="A6117" s="140" t="s">
        <v>14021</v>
      </c>
      <c r="B6117" s="140" t="s">
        <v>14108</v>
      </c>
      <c r="C6117" s="140" t="s">
        <v>14109</v>
      </c>
      <c r="D6117" s="140" t="s">
        <v>6318</v>
      </c>
      <c r="E6117" s="140" t="s">
        <v>8000</v>
      </c>
      <c r="F6117" s="140" t="s">
        <v>8001</v>
      </c>
      <c r="G6117" s="141" t="s">
        <v>6401</v>
      </c>
      <c r="H6117" s="140" t="s">
        <v>6312</v>
      </c>
      <c r="I6117" s="140" t="s">
        <v>6313</v>
      </c>
      <c r="J6117" s="140" t="s">
        <v>6314</v>
      </c>
      <c r="K6117" s="140" t="s">
        <v>14021</v>
      </c>
    </row>
    <row r="6118">
      <c r="A6118" s="140" t="s">
        <v>14021</v>
      </c>
      <c r="B6118" s="140" t="s">
        <v>14110</v>
      </c>
      <c r="C6118" s="140" t="s">
        <v>14111</v>
      </c>
      <c r="D6118" s="140" t="s">
        <v>6318</v>
      </c>
      <c r="E6118" s="140" t="s">
        <v>1225</v>
      </c>
      <c r="F6118" s="140" t="s">
        <v>14112</v>
      </c>
      <c r="G6118" s="141" t="s">
        <v>6401</v>
      </c>
      <c r="H6118" s="140" t="s">
        <v>6312</v>
      </c>
      <c r="I6118" s="140" t="s">
        <v>6313</v>
      </c>
      <c r="J6118" s="140" t="s">
        <v>6314</v>
      </c>
      <c r="K6118" s="140" t="s">
        <v>14021</v>
      </c>
    </row>
    <row r="6119">
      <c r="A6119" s="140" t="s">
        <v>14021</v>
      </c>
      <c r="B6119" s="140" t="s">
        <v>14113</v>
      </c>
      <c r="C6119" s="140" t="s">
        <v>14114</v>
      </c>
      <c r="D6119" s="140" t="s">
        <v>6318</v>
      </c>
      <c r="E6119" s="140" t="s">
        <v>1225</v>
      </c>
      <c r="F6119" s="140" t="s">
        <v>14112</v>
      </c>
      <c r="G6119" s="141" t="s">
        <v>6401</v>
      </c>
      <c r="H6119" s="140" t="s">
        <v>6312</v>
      </c>
      <c r="I6119" s="140" t="s">
        <v>6313</v>
      </c>
      <c r="J6119" s="140" t="s">
        <v>6314</v>
      </c>
      <c r="K6119" s="140" t="s">
        <v>14021</v>
      </c>
    </row>
    <row r="6120">
      <c r="A6120" s="140" t="s">
        <v>14021</v>
      </c>
      <c r="B6120" s="140" t="s">
        <v>14115</v>
      </c>
      <c r="C6120" s="140" t="s">
        <v>14116</v>
      </c>
      <c r="D6120" s="140" t="s">
        <v>6318</v>
      </c>
      <c r="E6120" s="140" t="s">
        <v>1225</v>
      </c>
      <c r="F6120" s="140" t="s">
        <v>14112</v>
      </c>
      <c r="G6120" s="141" t="s">
        <v>6401</v>
      </c>
      <c r="H6120" s="147" t="s">
        <v>6312</v>
      </c>
      <c r="I6120" s="140" t="s">
        <v>6313</v>
      </c>
      <c r="J6120" s="140" t="s">
        <v>6314</v>
      </c>
      <c r="K6120" s="140" t="s">
        <v>14021</v>
      </c>
    </row>
    <row r="6121">
      <c r="A6121" s="140" t="s">
        <v>14021</v>
      </c>
      <c r="B6121" s="140" t="s">
        <v>14117</v>
      </c>
      <c r="C6121" s="140" t="s">
        <v>14118</v>
      </c>
      <c r="D6121" s="140" t="s">
        <v>6318</v>
      </c>
      <c r="E6121" s="140" t="s">
        <v>1225</v>
      </c>
      <c r="F6121" s="140" t="s">
        <v>14112</v>
      </c>
      <c r="G6121" s="141" t="s">
        <v>6401</v>
      </c>
      <c r="H6121" s="147" t="s">
        <v>6312</v>
      </c>
      <c r="I6121" s="140" t="s">
        <v>6313</v>
      </c>
      <c r="J6121" s="140" t="s">
        <v>6314</v>
      </c>
      <c r="K6121" s="140" t="s">
        <v>14021</v>
      </c>
    </row>
    <row r="6122">
      <c r="A6122" s="140" t="s">
        <v>14021</v>
      </c>
      <c r="B6122" s="140" t="s">
        <v>14119</v>
      </c>
      <c r="C6122" s="140" t="s">
        <v>14120</v>
      </c>
      <c r="D6122" s="140" t="s">
        <v>6318</v>
      </c>
      <c r="E6122" s="140" t="s">
        <v>1225</v>
      </c>
      <c r="F6122" s="140" t="s">
        <v>14112</v>
      </c>
      <c r="G6122" s="141" t="s">
        <v>6401</v>
      </c>
      <c r="H6122" s="147" t="s">
        <v>6312</v>
      </c>
      <c r="I6122" s="140" t="s">
        <v>6313</v>
      </c>
      <c r="J6122" s="140" t="s">
        <v>6314</v>
      </c>
      <c r="K6122" s="140" t="s">
        <v>14021</v>
      </c>
    </row>
    <row r="6123">
      <c r="A6123" s="140" t="s">
        <v>14021</v>
      </c>
      <c r="B6123" s="140" t="s">
        <v>14121</v>
      </c>
      <c r="C6123" s="140" t="s">
        <v>14122</v>
      </c>
      <c r="D6123" s="140" t="s">
        <v>6318</v>
      </c>
      <c r="E6123" s="140" t="s">
        <v>1225</v>
      </c>
      <c r="F6123" s="140" t="s">
        <v>14112</v>
      </c>
      <c r="G6123" s="141" t="s">
        <v>6401</v>
      </c>
      <c r="H6123" s="140" t="s">
        <v>6312</v>
      </c>
      <c r="I6123" s="140" t="s">
        <v>6313</v>
      </c>
      <c r="J6123" s="140" t="s">
        <v>6314</v>
      </c>
      <c r="K6123" s="140" t="s">
        <v>14021</v>
      </c>
    </row>
    <row r="6124">
      <c r="A6124" s="140" t="s">
        <v>14021</v>
      </c>
      <c r="B6124" s="140" t="s">
        <v>14123</v>
      </c>
      <c r="C6124" s="140" t="s">
        <v>14124</v>
      </c>
      <c r="D6124" s="140" t="s">
        <v>6318</v>
      </c>
      <c r="E6124" s="140" t="s">
        <v>1225</v>
      </c>
      <c r="F6124" s="140" t="s">
        <v>14112</v>
      </c>
      <c r="G6124" s="141" t="s">
        <v>6401</v>
      </c>
      <c r="H6124" s="140" t="s">
        <v>6312</v>
      </c>
      <c r="I6124" s="140" t="s">
        <v>6313</v>
      </c>
      <c r="J6124" s="140" t="s">
        <v>6314</v>
      </c>
      <c r="K6124" s="140" t="s">
        <v>14021</v>
      </c>
    </row>
    <row r="6125">
      <c r="A6125" s="140" t="s">
        <v>14021</v>
      </c>
      <c r="B6125" s="140" t="s">
        <v>14125</v>
      </c>
      <c r="C6125" s="140" t="s">
        <v>14126</v>
      </c>
      <c r="D6125" s="140" t="s">
        <v>6318</v>
      </c>
      <c r="E6125" s="140" t="s">
        <v>1225</v>
      </c>
      <c r="F6125" s="140" t="s">
        <v>14112</v>
      </c>
      <c r="G6125" s="141" t="s">
        <v>6401</v>
      </c>
      <c r="H6125" s="140" t="s">
        <v>6312</v>
      </c>
      <c r="I6125" s="140" t="s">
        <v>6313</v>
      </c>
      <c r="J6125" s="140" t="s">
        <v>6314</v>
      </c>
      <c r="K6125" s="140" t="s">
        <v>14021</v>
      </c>
    </row>
    <row r="6126">
      <c r="A6126" s="140" t="s">
        <v>14021</v>
      </c>
      <c r="B6126" s="140" t="s">
        <v>5253</v>
      </c>
      <c r="C6126" s="140" t="s">
        <v>14127</v>
      </c>
      <c r="D6126" s="140" t="s">
        <v>6318</v>
      </c>
      <c r="E6126" s="140" t="s">
        <v>1225</v>
      </c>
      <c r="F6126" s="140" t="s">
        <v>14112</v>
      </c>
      <c r="G6126" s="141" t="s">
        <v>6401</v>
      </c>
      <c r="H6126" s="147" t="s">
        <v>6312</v>
      </c>
      <c r="I6126" s="140" t="s">
        <v>6313</v>
      </c>
      <c r="J6126" s="140" t="s">
        <v>6314</v>
      </c>
      <c r="K6126" s="140" t="s">
        <v>14021</v>
      </c>
    </row>
    <row r="6127">
      <c r="A6127" s="140" t="s">
        <v>14021</v>
      </c>
      <c r="B6127" s="140" t="s">
        <v>14128</v>
      </c>
      <c r="C6127" s="140" t="s">
        <v>14129</v>
      </c>
      <c r="D6127" s="140" t="s">
        <v>6318</v>
      </c>
      <c r="E6127" s="140" t="s">
        <v>1225</v>
      </c>
      <c r="F6127" s="140" t="s">
        <v>14112</v>
      </c>
      <c r="G6127" s="141" t="s">
        <v>6401</v>
      </c>
      <c r="H6127" s="147" t="s">
        <v>6312</v>
      </c>
      <c r="I6127" s="140" t="s">
        <v>6313</v>
      </c>
      <c r="J6127" s="140" t="s">
        <v>6314</v>
      </c>
      <c r="K6127" s="140" t="s">
        <v>14021</v>
      </c>
    </row>
    <row r="6128">
      <c r="A6128" s="140" t="s">
        <v>14021</v>
      </c>
      <c r="B6128" s="140" t="s">
        <v>5245</v>
      </c>
      <c r="C6128" s="140" t="s">
        <v>14130</v>
      </c>
      <c r="D6128" s="140" t="s">
        <v>6718</v>
      </c>
      <c r="E6128" s="140" t="s">
        <v>199</v>
      </c>
      <c r="F6128" s="140" t="s">
        <v>10414</v>
      </c>
      <c r="G6128" s="141" t="s">
        <v>6401</v>
      </c>
      <c r="H6128" s="147" t="s">
        <v>6312</v>
      </c>
      <c r="I6128" s="140" t="s">
        <v>6313</v>
      </c>
      <c r="J6128" s="140" t="s">
        <v>6314</v>
      </c>
      <c r="K6128" s="140" t="s">
        <v>14021</v>
      </c>
    </row>
    <row r="6129">
      <c r="A6129" s="140" t="s">
        <v>14131</v>
      </c>
      <c r="B6129" s="140">
        <v>26037.0</v>
      </c>
      <c r="C6129" s="140" t="s">
        <v>14132</v>
      </c>
      <c r="D6129" s="140" t="s">
        <v>6309</v>
      </c>
      <c r="E6129" s="140" t="s">
        <v>6310</v>
      </c>
      <c r="F6129" s="140" t="s">
        <v>6310</v>
      </c>
      <c r="G6129" s="141" t="s">
        <v>6311</v>
      </c>
      <c r="H6129" s="147" t="s">
        <v>6312</v>
      </c>
      <c r="I6129" s="140" t="s">
        <v>6313</v>
      </c>
      <c r="J6129" s="140" t="s">
        <v>6314</v>
      </c>
      <c r="K6129" s="140" t="s">
        <v>6315</v>
      </c>
    </row>
    <row r="6130">
      <c r="A6130" s="140" t="s">
        <v>14131</v>
      </c>
      <c r="B6130" s="140">
        <v>34199.0</v>
      </c>
      <c r="C6130" s="140" t="s">
        <v>14133</v>
      </c>
      <c r="D6130" s="140" t="s">
        <v>6309</v>
      </c>
      <c r="E6130" s="140" t="s">
        <v>6310</v>
      </c>
      <c r="F6130" s="140" t="s">
        <v>6310</v>
      </c>
      <c r="G6130" s="141" t="s">
        <v>6311</v>
      </c>
      <c r="H6130" s="147" t="s">
        <v>6312</v>
      </c>
      <c r="I6130" s="140" t="s">
        <v>6313</v>
      </c>
      <c r="J6130" s="140" t="s">
        <v>6314</v>
      </c>
      <c r="K6130" s="140" t="s">
        <v>6315</v>
      </c>
    </row>
    <row r="6131">
      <c r="A6131" s="140" t="s">
        <v>14134</v>
      </c>
      <c r="B6131" s="140">
        <v>1342.0</v>
      </c>
      <c r="C6131" s="140" t="s">
        <v>14135</v>
      </c>
      <c r="D6131" s="140" t="s">
        <v>6309</v>
      </c>
      <c r="E6131" s="140">
        <v>0.0</v>
      </c>
      <c r="F6131" s="140" t="s">
        <v>13770</v>
      </c>
      <c r="G6131" s="141" t="s">
        <v>6401</v>
      </c>
      <c r="H6131" s="147" t="s">
        <v>6312</v>
      </c>
      <c r="I6131" s="140" t="s">
        <v>6313</v>
      </c>
      <c r="J6131" s="140" t="s">
        <v>6314</v>
      </c>
      <c r="K6131" s="140" t="s">
        <v>7023</v>
      </c>
    </row>
    <row r="6132">
      <c r="A6132" s="140" t="s">
        <v>14134</v>
      </c>
      <c r="B6132" s="140">
        <v>1344.0</v>
      </c>
      <c r="C6132" s="140" t="s">
        <v>14136</v>
      </c>
      <c r="D6132" s="140" t="s">
        <v>6309</v>
      </c>
      <c r="E6132" s="140">
        <v>0.0</v>
      </c>
      <c r="F6132" s="140" t="s">
        <v>13770</v>
      </c>
      <c r="G6132" s="141" t="s">
        <v>6401</v>
      </c>
      <c r="H6132" s="140" t="s">
        <v>6312</v>
      </c>
      <c r="I6132" s="140" t="s">
        <v>6313</v>
      </c>
      <c r="J6132" s="140" t="s">
        <v>6314</v>
      </c>
      <c r="K6132" s="140" t="s">
        <v>7023</v>
      </c>
    </row>
    <row r="6133">
      <c r="A6133" s="140" t="s">
        <v>14134</v>
      </c>
      <c r="B6133" s="140">
        <v>1340.0</v>
      </c>
      <c r="C6133" s="140" t="s">
        <v>14137</v>
      </c>
      <c r="D6133" s="140" t="s">
        <v>6309</v>
      </c>
      <c r="E6133" s="140">
        <v>0.0</v>
      </c>
      <c r="F6133" s="140" t="s">
        <v>13770</v>
      </c>
      <c r="G6133" s="141" t="s">
        <v>6401</v>
      </c>
      <c r="H6133" s="140" t="s">
        <v>6312</v>
      </c>
      <c r="I6133" s="140" t="s">
        <v>6313</v>
      </c>
      <c r="J6133" s="140" t="s">
        <v>6314</v>
      </c>
      <c r="K6133" s="140" t="s">
        <v>7023</v>
      </c>
    </row>
    <row r="6134">
      <c r="A6134" s="140" t="s">
        <v>14134</v>
      </c>
      <c r="B6134" s="140">
        <v>1343.0</v>
      </c>
      <c r="C6134" s="140" t="s">
        <v>14138</v>
      </c>
      <c r="D6134" s="140" t="s">
        <v>6309</v>
      </c>
      <c r="E6134" s="140">
        <v>0.0</v>
      </c>
      <c r="F6134" s="140" t="s">
        <v>13770</v>
      </c>
      <c r="G6134" s="141" t="s">
        <v>6401</v>
      </c>
      <c r="H6134" s="140" t="s">
        <v>6312</v>
      </c>
      <c r="I6134" s="140" t="s">
        <v>6313</v>
      </c>
      <c r="J6134" s="140" t="s">
        <v>6314</v>
      </c>
      <c r="K6134" s="140" t="s">
        <v>7023</v>
      </c>
    </row>
    <row r="6135">
      <c r="A6135" s="140" t="s">
        <v>14134</v>
      </c>
      <c r="B6135" s="140">
        <v>1341.0</v>
      </c>
      <c r="C6135" s="140" t="s">
        <v>14139</v>
      </c>
      <c r="D6135" s="140" t="s">
        <v>6309</v>
      </c>
      <c r="E6135" s="140">
        <v>0.0</v>
      </c>
      <c r="F6135" s="140" t="s">
        <v>13770</v>
      </c>
      <c r="G6135" s="141" t="s">
        <v>6401</v>
      </c>
      <c r="H6135" s="140" t="s">
        <v>6312</v>
      </c>
      <c r="I6135" s="140" t="s">
        <v>6313</v>
      </c>
      <c r="J6135" s="140" t="s">
        <v>6314</v>
      </c>
      <c r="K6135" s="140" t="s">
        <v>7023</v>
      </c>
    </row>
    <row r="6136">
      <c r="A6136" s="140" t="s">
        <v>14134</v>
      </c>
      <c r="B6136" s="140">
        <v>1329.0</v>
      </c>
      <c r="C6136" s="140" t="s">
        <v>14140</v>
      </c>
      <c r="D6136" s="140" t="s">
        <v>6309</v>
      </c>
      <c r="E6136" s="140">
        <v>0.0</v>
      </c>
      <c r="F6136" s="140" t="s">
        <v>13770</v>
      </c>
      <c r="G6136" s="141" t="s">
        <v>6401</v>
      </c>
      <c r="H6136" s="147" t="s">
        <v>6312</v>
      </c>
      <c r="I6136" s="140" t="s">
        <v>6313</v>
      </c>
      <c r="J6136" s="140" t="s">
        <v>6314</v>
      </c>
      <c r="K6136" s="140" t="s">
        <v>7023</v>
      </c>
    </row>
    <row r="6137">
      <c r="A6137" s="140" t="s">
        <v>14134</v>
      </c>
      <c r="B6137" s="140">
        <v>1333.0</v>
      </c>
      <c r="C6137" s="140" t="s">
        <v>14141</v>
      </c>
      <c r="D6137" s="140" t="s">
        <v>6309</v>
      </c>
      <c r="E6137" s="140">
        <v>0.0</v>
      </c>
      <c r="F6137" s="140" t="s">
        <v>13770</v>
      </c>
      <c r="G6137" s="141" t="s">
        <v>6401</v>
      </c>
      <c r="H6137" s="140" t="s">
        <v>6312</v>
      </c>
      <c r="I6137" s="140" t="s">
        <v>6313</v>
      </c>
      <c r="J6137" s="140" t="s">
        <v>6314</v>
      </c>
      <c r="K6137" s="140" t="s">
        <v>7023</v>
      </c>
    </row>
    <row r="6138">
      <c r="A6138" s="140" t="s">
        <v>14134</v>
      </c>
      <c r="B6138" s="140">
        <v>1331.0</v>
      </c>
      <c r="C6138" s="140" t="s">
        <v>14142</v>
      </c>
      <c r="D6138" s="140" t="s">
        <v>6309</v>
      </c>
      <c r="E6138" s="140">
        <v>0.0</v>
      </c>
      <c r="F6138" s="140" t="s">
        <v>13770</v>
      </c>
      <c r="G6138" s="141" t="s">
        <v>6401</v>
      </c>
      <c r="H6138" s="140" t="s">
        <v>6312</v>
      </c>
      <c r="I6138" s="140" t="s">
        <v>6313</v>
      </c>
      <c r="J6138" s="140" t="s">
        <v>6314</v>
      </c>
      <c r="K6138" s="140" t="s">
        <v>7023</v>
      </c>
    </row>
    <row r="6139">
      <c r="A6139" s="140" t="s">
        <v>14134</v>
      </c>
      <c r="B6139" s="140">
        <v>1332.0</v>
      </c>
      <c r="C6139" s="140" t="s">
        <v>14143</v>
      </c>
      <c r="D6139" s="140" t="s">
        <v>6309</v>
      </c>
      <c r="E6139" s="140">
        <v>0.0</v>
      </c>
      <c r="F6139" s="140" t="s">
        <v>13770</v>
      </c>
      <c r="G6139" s="141" t="s">
        <v>6401</v>
      </c>
      <c r="H6139" s="140" t="s">
        <v>6312</v>
      </c>
      <c r="I6139" s="140" t="s">
        <v>6313</v>
      </c>
      <c r="J6139" s="140" t="s">
        <v>6314</v>
      </c>
      <c r="K6139" s="140" t="s">
        <v>7023</v>
      </c>
    </row>
    <row r="6140">
      <c r="A6140" s="140" t="s">
        <v>14134</v>
      </c>
      <c r="B6140" s="140">
        <v>1330.0</v>
      </c>
      <c r="C6140" s="140" t="s">
        <v>14144</v>
      </c>
      <c r="D6140" s="140" t="s">
        <v>6309</v>
      </c>
      <c r="E6140" s="140">
        <v>0.0</v>
      </c>
      <c r="F6140" s="140" t="s">
        <v>13770</v>
      </c>
      <c r="G6140" s="141" t="s">
        <v>6401</v>
      </c>
      <c r="H6140" s="140" t="s">
        <v>6312</v>
      </c>
      <c r="I6140" s="140" t="s">
        <v>6313</v>
      </c>
      <c r="J6140" s="140" t="s">
        <v>6314</v>
      </c>
      <c r="K6140" s="140" t="s">
        <v>7023</v>
      </c>
    </row>
    <row r="6141">
      <c r="A6141" s="140" t="s">
        <v>14134</v>
      </c>
      <c r="B6141" s="140">
        <v>1328.0</v>
      </c>
      <c r="C6141" s="140" t="s">
        <v>14145</v>
      </c>
      <c r="D6141" s="140" t="s">
        <v>6309</v>
      </c>
      <c r="E6141" s="140">
        <v>0.0</v>
      </c>
      <c r="F6141" s="140" t="s">
        <v>13770</v>
      </c>
      <c r="G6141" s="141" t="s">
        <v>6401</v>
      </c>
      <c r="H6141" s="140" t="s">
        <v>6312</v>
      </c>
      <c r="I6141" s="140" t="s">
        <v>6313</v>
      </c>
      <c r="J6141" s="140" t="s">
        <v>6314</v>
      </c>
      <c r="K6141" s="140" t="s">
        <v>7023</v>
      </c>
    </row>
    <row r="6142">
      <c r="A6142" s="140" t="s">
        <v>14134</v>
      </c>
      <c r="B6142" s="140">
        <v>1326.0</v>
      </c>
      <c r="C6142" s="140" t="s">
        <v>14146</v>
      </c>
      <c r="D6142" s="140" t="s">
        <v>6309</v>
      </c>
      <c r="E6142" s="140">
        <v>0.0</v>
      </c>
      <c r="F6142" s="140" t="s">
        <v>13770</v>
      </c>
      <c r="G6142" s="141" t="s">
        <v>6401</v>
      </c>
      <c r="H6142" s="140" t="s">
        <v>6312</v>
      </c>
      <c r="I6142" s="140" t="s">
        <v>6313</v>
      </c>
      <c r="J6142" s="140" t="s">
        <v>6314</v>
      </c>
      <c r="K6142" s="140" t="s">
        <v>7023</v>
      </c>
    </row>
    <row r="6143">
      <c r="A6143" s="140" t="s">
        <v>14134</v>
      </c>
      <c r="B6143" s="140">
        <v>1325.0</v>
      </c>
      <c r="C6143" s="140" t="s">
        <v>14147</v>
      </c>
      <c r="D6143" s="140" t="s">
        <v>6309</v>
      </c>
      <c r="E6143" s="140">
        <v>0.0</v>
      </c>
      <c r="F6143" s="140" t="s">
        <v>13770</v>
      </c>
      <c r="G6143" s="141" t="s">
        <v>6401</v>
      </c>
      <c r="H6143" s="140" t="s">
        <v>6312</v>
      </c>
      <c r="I6143" s="140" t="s">
        <v>6313</v>
      </c>
      <c r="J6143" s="140" t="s">
        <v>6314</v>
      </c>
      <c r="K6143" s="140" t="s">
        <v>7023</v>
      </c>
    </row>
    <row r="6144">
      <c r="A6144" s="140" t="s">
        <v>14134</v>
      </c>
      <c r="B6144" s="140">
        <v>1324.0</v>
      </c>
      <c r="C6144" s="140" t="s">
        <v>14148</v>
      </c>
      <c r="D6144" s="140" t="s">
        <v>6309</v>
      </c>
      <c r="E6144" s="140">
        <v>0.0</v>
      </c>
      <c r="F6144" s="140" t="s">
        <v>13770</v>
      </c>
      <c r="G6144" s="141" t="s">
        <v>6401</v>
      </c>
      <c r="H6144" s="140" t="s">
        <v>6312</v>
      </c>
      <c r="I6144" s="140" t="s">
        <v>6313</v>
      </c>
      <c r="J6144" s="140" t="s">
        <v>6314</v>
      </c>
      <c r="K6144" s="140" t="s">
        <v>7023</v>
      </c>
    </row>
    <row r="6145">
      <c r="A6145" s="140" t="s">
        <v>14134</v>
      </c>
      <c r="B6145" s="140">
        <v>1327.0</v>
      </c>
      <c r="C6145" s="140" t="s">
        <v>14149</v>
      </c>
      <c r="D6145" s="140" t="s">
        <v>6309</v>
      </c>
      <c r="E6145" s="140">
        <v>0.0</v>
      </c>
      <c r="F6145" s="140" t="s">
        <v>13770</v>
      </c>
      <c r="G6145" s="141" t="s">
        <v>6401</v>
      </c>
      <c r="H6145" s="140" t="s">
        <v>6312</v>
      </c>
      <c r="I6145" s="140" t="s">
        <v>6313</v>
      </c>
      <c r="J6145" s="140" t="s">
        <v>6314</v>
      </c>
      <c r="K6145" s="140" t="s">
        <v>7023</v>
      </c>
    </row>
    <row r="6146">
      <c r="A6146" s="140" t="s">
        <v>14134</v>
      </c>
      <c r="B6146" s="140">
        <v>7000.0</v>
      </c>
      <c r="C6146" s="140" t="s">
        <v>14150</v>
      </c>
      <c r="D6146" s="140" t="s">
        <v>6318</v>
      </c>
      <c r="E6146" s="140">
        <v>0.0</v>
      </c>
      <c r="F6146" s="140" t="s">
        <v>14151</v>
      </c>
      <c r="G6146" s="141" t="s">
        <v>6401</v>
      </c>
      <c r="H6146" s="140" t="s">
        <v>6312</v>
      </c>
      <c r="I6146" s="140" t="s">
        <v>6313</v>
      </c>
      <c r="J6146" s="140" t="s">
        <v>6314</v>
      </c>
      <c r="K6146" s="140" t="s">
        <v>7023</v>
      </c>
    </row>
    <row r="6147">
      <c r="A6147" s="140" t="s">
        <v>14134</v>
      </c>
      <c r="B6147" s="140">
        <v>2117.0</v>
      </c>
      <c r="C6147" s="140" t="s">
        <v>14152</v>
      </c>
      <c r="D6147" s="140" t="s">
        <v>6309</v>
      </c>
      <c r="E6147" s="140" t="s">
        <v>56</v>
      </c>
      <c r="F6147" s="140" t="s">
        <v>57</v>
      </c>
      <c r="G6147" s="141" t="s">
        <v>6401</v>
      </c>
      <c r="H6147" s="140" t="s">
        <v>6312</v>
      </c>
      <c r="I6147" s="140" t="s">
        <v>6313</v>
      </c>
      <c r="J6147" s="140" t="s">
        <v>6314</v>
      </c>
      <c r="K6147" s="140" t="s">
        <v>7023</v>
      </c>
    </row>
    <row r="6148">
      <c r="A6148" s="140" t="s">
        <v>14134</v>
      </c>
      <c r="B6148" s="140">
        <v>2115.0</v>
      </c>
      <c r="C6148" s="140" t="s">
        <v>14153</v>
      </c>
      <c r="D6148" s="140" t="s">
        <v>6309</v>
      </c>
      <c r="E6148" s="140" t="s">
        <v>56</v>
      </c>
      <c r="F6148" s="140" t="s">
        <v>57</v>
      </c>
      <c r="G6148" s="141" t="s">
        <v>6401</v>
      </c>
      <c r="H6148" s="140" t="s">
        <v>6312</v>
      </c>
      <c r="I6148" s="140" t="s">
        <v>6313</v>
      </c>
      <c r="J6148" s="140" t="s">
        <v>6314</v>
      </c>
      <c r="K6148" s="140" t="s">
        <v>7023</v>
      </c>
    </row>
    <row r="6149">
      <c r="A6149" s="140" t="s">
        <v>14134</v>
      </c>
      <c r="B6149" s="140">
        <v>2118.0</v>
      </c>
      <c r="C6149" s="140" t="s">
        <v>14154</v>
      </c>
      <c r="D6149" s="140" t="s">
        <v>6309</v>
      </c>
      <c r="E6149" s="140" t="s">
        <v>56</v>
      </c>
      <c r="F6149" s="140" t="s">
        <v>57</v>
      </c>
      <c r="G6149" s="141" t="s">
        <v>6401</v>
      </c>
      <c r="H6149" s="140" t="s">
        <v>6312</v>
      </c>
      <c r="I6149" s="140" t="s">
        <v>6313</v>
      </c>
      <c r="J6149" s="140" t="s">
        <v>6314</v>
      </c>
      <c r="K6149" s="140" t="s">
        <v>7023</v>
      </c>
    </row>
    <row r="6150">
      <c r="A6150" s="140" t="s">
        <v>14134</v>
      </c>
      <c r="B6150" s="140">
        <v>2119.0</v>
      </c>
      <c r="C6150" s="140" t="s">
        <v>14155</v>
      </c>
      <c r="D6150" s="140" t="s">
        <v>6309</v>
      </c>
      <c r="E6150" s="140" t="s">
        <v>56</v>
      </c>
      <c r="F6150" s="140" t="s">
        <v>57</v>
      </c>
      <c r="G6150" s="141" t="s">
        <v>6401</v>
      </c>
      <c r="H6150" s="140" t="s">
        <v>6312</v>
      </c>
      <c r="I6150" s="140" t="s">
        <v>6313</v>
      </c>
      <c r="J6150" s="140" t="s">
        <v>6314</v>
      </c>
      <c r="K6150" s="140" t="s">
        <v>7023</v>
      </c>
    </row>
    <row r="6151">
      <c r="A6151" s="140" t="s">
        <v>14134</v>
      </c>
      <c r="B6151" s="140">
        <v>2105.0</v>
      </c>
      <c r="C6151" s="140" t="s">
        <v>14156</v>
      </c>
      <c r="D6151" s="140" t="s">
        <v>6309</v>
      </c>
      <c r="E6151" s="140" t="s">
        <v>56</v>
      </c>
      <c r="F6151" s="140" t="s">
        <v>57</v>
      </c>
      <c r="G6151" s="141" t="s">
        <v>6401</v>
      </c>
      <c r="H6151" s="140" t="s">
        <v>6312</v>
      </c>
      <c r="I6151" s="140" t="s">
        <v>6313</v>
      </c>
      <c r="J6151" s="140" t="s">
        <v>6314</v>
      </c>
      <c r="K6151" s="140" t="s">
        <v>7023</v>
      </c>
    </row>
    <row r="6152">
      <c r="A6152" s="140" t="s">
        <v>14134</v>
      </c>
      <c r="B6152" s="140">
        <v>2110.0</v>
      </c>
      <c r="C6152" s="140" t="s">
        <v>14157</v>
      </c>
      <c r="D6152" s="140" t="s">
        <v>6309</v>
      </c>
      <c r="E6152" s="140" t="s">
        <v>56</v>
      </c>
      <c r="F6152" s="140" t="s">
        <v>57</v>
      </c>
      <c r="G6152" s="141" t="s">
        <v>6401</v>
      </c>
      <c r="H6152" s="140" t="s">
        <v>6312</v>
      </c>
      <c r="I6152" s="140" t="s">
        <v>6313</v>
      </c>
      <c r="J6152" s="140" t="s">
        <v>6314</v>
      </c>
      <c r="K6152" s="140" t="s">
        <v>7023</v>
      </c>
    </row>
    <row r="6153">
      <c r="A6153" s="140" t="s">
        <v>14134</v>
      </c>
      <c r="B6153" s="140">
        <v>2111.0</v>
      </c>
      <c r="C6153" s="140" t="s">
        <v>14158</v>
      </c>
      <c r="D6153" s="140" t="s">
        <v>6309</v>
      </c>
      <c r="E6153" s="140" t="s">
        <v>56</v>
      </c>
      <c r="F6153" s="140" t="s">
        <v>57</v>
      </c>
      <c r="G6153" s="141" t="s">
        <v>6401</v>
      </c>
      <c r="H6153" s="140" t="s">
        <v>6312</v>
      </c>
      <c r="I6153" s="140" t="s">
        <v>6313</v>
      </c>
      <c r="J6153" s="140" t="s">
        <v>6314</v>
      </c>
      <c r="K6153" s="140" t="s">
        <v>7023</v>
      </c>
    </row>
    <row r="6154">
      <c r="A6154" s="140" t="s">
        <v>14134</v>
      </c>
      <c r="B6154" s="140">
        <v>1114.0</v>
      </c>
      <c r="C6154" s="140" t="s">
        <v>14159</v>
      </c>
      <c r="D6154" s="140" t="s">
        <v>6309</v>
      </c>
      <c r="E6154" s="140" t="s">
        <v>56</v>
      </c>
      <c r="F6154" s="140" t="s">
        <v>9019</v>
      </c>
      <c r="G6154" s="141" t="s">
        <v>6401</v>
      </c>
      <c r="H6154" s="140" t="s">
        <v>6312</v>
      </c>
      <c r="I6154" s="140" t="s">
        <v>6313</v>
      </c>
      <c r="J6154" s="140" t="s">
        <v>6314</v>
      </c>
      <c r="K6154" s="140" t="s">
        <v>7023</v>
      </c>
    </row>
    <row r="6155">
      <c r="A6155" s="140" t="s">
        <v>14134</v>
      </c>
      <c r="B6155" s="140">
        <v>1102.0</v>
      </c>
      <c r="C6155" s="140" t="s">
        <v>14160</v>
      </c>
      <c r="D6155" s="140" t="s">
        <v>6309</v>
      </c>
      <c r="E6155" s="140" t="s">
        <v>56</v>
      </c>
      <c r="F6155" s="140" t="s">
        <v>9019</v>
      </c>
      <c r="G6155" s="141" t="s">
        <v>6401</v>
      </c>
      <c r="H6155" s="140" t="s">
        <v>6312</v>
      </c>
      <c r="I6155" s="140" t="s">
        <v>6313</v>
      </c>
      <c r="J6155" s="140" t="s">
        <v>6314</v>
      </c>
      <c r="K6155" s="140" t="s">
        <v>7023</v>
      </c>
    </row>
    <row r="6156">
      <c r="A6156" s="140" t="s">
        <v>14134</v>
      </c>
      <c r="B6156" s="140">
        <v>1105.0</v>
      </c>
      <c r="C6156" s="140" t="s">
        <v>14161</v>
      </c>
      <c r="D6156" s="140" t="s">
        <v>6309</v>
      </c>
      <c r="E6156" s="140" t="s">
        <v>56</v>
      </c>
      <c r="F6156" s="140" t="s">
        <v>9019</v>
      </c>
      <c r="G6156" s="141" t="s">
        <v>6401</v>
      </c>
      <c r="H6156" s="140" t="s">
        <v>6312</v>
      </c>
      <c r="I6156" s="140" t="s">
        <v>6313</v>
      </c>
      <c r="J6156" s="140" t="s">
        <v>6314</v>
      </c>
      <c r="K6156" s="140" t="s">
        <v>7023</v>
      </c>
    </row>
    <row r="6157">
      <c r="A6157" s="140" t="s">
        <v>14134</v>
      </c>
      <c r="B6157" s="140">
        <v>1106.0</v>
      </c>
      <c r="C6157" s="140" t="s">
        <v>14162</v>
      </c>
      <c r="D6157" s="140" t="s">
        <v>6309</v>
      </c>
      <c r="E6157" s="140" t="s">
        <v>56</v>
      </c>
      <c r="F6157" s="140" t="s">
        <v>9019</v>
      </c>
      <c r="G6157" s="141" t="s">
        <v>6401</v>
      </c>
      <c r="H6157" s="140" t="s">
        <v>6312</v>
      </c>
      <c r="I6157" s="140" t="s">
        <v>6313</v>
      </c>
      <c r="J6157" s="140" t="s">
        <v>6314</v>
      </c>
      <c r="K6157" s="140" t="s">
        <v>7023</v>
      </c>
    </row>
    <row r="6158">
      <c r="A6158" s="140" t="s">
        <v>14134</v>
      </c>
      <c r="B6158" s="140">
        <v>1107.0</v>
      </c>
      <c r="C6158" s="140" t="s">
        <v>14163</v>
      </c>
      <c r="D6158" s="140" t="s">
        <v>6309</v>
      </c>
      <c r="E6158" s="140" t="s">
        <v>56</v>
      </c>
      <c r="F6158" s="140" t="s">
        <v>9019</v>
      </c>
      <c r="G6158" s="141" t="s">
        <v>6401</v>
      </c>
      <c r="H6158" s="140" t="s">
        <v>6312</v>
      </c>
      <c r="I6158" s="140" t="s">
        <v>6313</v>
      </c>
      <c r="J6158" s="140" t="s">
        <v>6314</v>
      </c>
      <c r="K6158" s="140" t="s">
        <v>7023</v>
      </c>
    </row>
    <row r="6159">
      <c r="A6159" s="140" t="s">
        <v>14134</v>
      </c>
      <c r="B6159" s="140">
        <v>1210.0</v>
      </c>
      <c r="C6159" s="140" t="s">
        <v>14164</v>
      </c>
      <c r="D6159" s="140" t="s">
        <v>6309</v>
      </c>
      <c r="E6159" s="140" t="s">
        <v>56</v>
      </c>
      <c r="F6159" s="140" t="s">
        <v>9019</v>
      </c>
      <c r="G6159" s="141" t="s">
        <v>6401</v>
      </c>
      <c r="H6159" s="140" t="s">
        <v>6312</v>
      </c>
      <c r="I6159" s="140" t="s">
        <v>6313</v>
      </c>
      <c r="J6159" s="140" t="s">
        <v>6314</v>
      </c>
      <c r="K6159" s="140" t="s">
        <v>7023</v>
      </c>
    </row>
    <row r="6160">
      <c r="A6160" s="140" t="s">
        <v>14134</v>
      </c>
      <c r="B6160" s="140">
        <v>1208.0</v>
      </c>
      <c r="C6160" s="140" t="s">
        <v>14165</v>
      </c>
      <c r="D6160" s="140" t="s">
        <v>6309</v>
      </c>
      <c r="E6160" s="140" t="s">
        <v>56</v>
      </c>
      <c r="F6160" s="140" t="s">
        <v>9019</v>
      </c>
      <c r="G6160" s="141" t="s">
        <v>6401</v>
      </c>
      <c r="H6160" s="140" t="s">
        <v>6312</v>
      </c>
      <c r="I6160" s="140" t="s">
        <v>6313</v>
      </c>
      <c r="J6160" s="140" t="s">
        <v>6314</v>
      </c>
      <c r="K6160" s="140" t="s">
        <v>7023</v>
      </c>
    </row>
    <row r="6161">
      <c r="A6161" s="140" t="s">
        <v>14134</v>
      </c>
      <c r="B6161" s="140">
        <v>1212.0</v>
      </c>
      <c r="C6161" s="140" t="s">
        <v>14166</v>
      </c>
      <c r="D6161" s="140" t="s">
        <v>6309</v>
      </c>
      <c r="E6161" s="140" t="s">
        <v>56</v>
      </c>
      <c r="F6161" s="140" t="s">
        <v>9019</v>
      </c>
      <c r="G6161" s="141" t="s">
        <v>6401</v>
      </c>
      <c r="H6161" s="140" t="s">
        <v>6312</v>
      </c>
      <c r="I6161" s="140" t="s">
        <v>6313</v>
      </c>
      <c r="J6161" s="140" t="s">
        <v>6314</v>
      </c>
      <c r="K6161" s="140" t="s">
        <v>7023</v>
      </c>
    </row>
    <row r="6162">
      <c r="A6162" s="140" t="s">
        <v>14134</v>
      </c>
      <c r="B6162" s="140">
        <v>1211.0</v>
      </c>
      <c r="C6162" s="140" t="s">
        <v>14167</v>
      </c>
      <c r="D6162" s="140" t="s">
        <v>6309</v>
      </c>
      <c r="E6162" s="140" t="s">
        <v>56</v>
      </c>
      <c r="F6162" s="140" t="s">
        <v>9019</v>
      </c>
      <c r="G6162" s="141" t="s">
        <v>6401</v>
      </c>
      <c r="H6162" s="140" t="s">
        <v>6312</v>
      </c>
      <c r="I6162" s="140" t="s">
        <v>6313</v>
      </c>
      <c r="J6162" s="140" t="s">
        <v>6314</v>
      </c>
      <c r="K6162" s="140" t="s">
        <v>7023</v>
      </c>
    </row>
    <row r="6163">
      <c r="A6163" s="140" t="s">
        <v>14134</v>
      </c>
      <c r="B6163" s="140">
        <v>1309.0</v>
      </c>
      <c r="C6163" s="140" t="s">
        <v>14168</v>
      </c>
      <c r="D6163" s="140" t="s">
        <v>6309</v>
      </c>
      <c r="E6163" s="140" t="s">
        <v>56</v>
      </c>
      <c r="F6163" s="140" t="s">
        <v>9019</v>
      </c>
      <c r="G6163" s="141" t="s">
        <v>6401</v>
      </c>
      <c r="H6163" s="140" t="s">
        <v>6312</v>
      </c>
      <c r="I6163" s="140" t="s">
        <v>6313</v>
      </c>
      <c r="J6163" s="140" t="s">
        <v>6314</v>
      </c>
      <c r="K6163" s="140" t="s">
        <v>7023</v>
      </c>
    </row>
    <row r="6164">
      <c r="A6164" s="140" t="s">
        <v>14134</v>
      </c>
      <c r="B6164" s="140" t="s">
        <v>14169</v>
      </c>
      <c r="C6164" s="140" t="s">
        <v>14170</v>
      </c>
      <c r="D6164" s="140" t="s">
        <v>6309</v>
      </c>
      <c r="E6164" s="140" t="s">
        <v>6410</v>
      </c>
      <c r="F6164" s="140" t="s">
        <v>6411</v>
      </c>
      <c r="G6164" s="141" t="s">
        <v>6401</v>
      </c>
      <c r="H6164" s="140" t="s">
        <v>6312</v>
      </c>
      <c r="I6164" s="140" t="s">
        <v>6313</v>
      </c>
      <c r="J6164" s="140" t="s">
        <v>6314</v>
      </c>
      <c r="K6164" s="140" t="s">
        <v>7023</v>
      </c>
    </row>
    <row r="6165">
      <c r="A6165" s="140" t="s">
        <v>14134</v>
      </c>
      <c r="B6165" s="140">
        <v>2106.0</v>
      </c>
      <c r="C6165" s="140" t="s">
        <v>14171</v>
      </c>
      <c r="D6165" s="140" t="s">
        <v>6309</v>
      </c>
      <c r="E6165" s="140" t="s">
        <v>14172</v>
      </c>
      <c r="F6165" s="140" t="s">
        <v>14173</v>
      </c>
      <c r="G6165" s="141" t="s">
        <v>6401</v>
      </c>
      <c r="H6165" s="140" t="s">
        <v>6312</v>
      </c>
      <c r="I6165" s="140" t="s">
        <v>6313</v>
      </c>
      <c r="J6165" s="140" t="s">
        <v>6314</v>
      </c>
      <c r="K6165" s="140" t="s">
        <v>7023</v>
      </c>
    </row>
    <row r="6166">
      <c r="A6166" s="140" t="s">
        <v>14134</v>
      </c>
      <c r="B6166" s="140">
        <v>2116.0</v>
      </c>
      <c r="C6166" s="140" t="s">
        <v>14174</v>
      </c>
      <c r="D6166" s="140" t="s">
        <v>6309</v>
      </c>
      <c r="E6166" s="140" t="s">
        <v>14172</v>
      </c>
      <c r="F6166" s="140" t="s">
        <v>14173</v>
      </c>
      <c r="G6166" s="141" t="s">
        <v>6401</v>
      </c>
      <c r="H6166" s="140" t="s">
        <v>6312</v>
      </c>
      <c r="I6166" s="140" t="s">
        <v>6313</v>
      </c>
      <c r="J6166" s="140" t="s">
        <v>6314</v>
      </c>
      <c r="K6166" s="140" t="s">
        <v>7023</v>
      </c>
    </row>
    <row r="6167">
      <c r="A6167" s="140" t="s">
        <v>14134</v>
      </c>
      <c r="B6167" s="140">
        <v>2107.0</v>
      </c>
      <c r="C6167" s="140" t="s">
        <v>14175</v>
      </c>
      <c r="D6167" s="140" t="s">
        <v>6309</v>
      </c>
      <c r="E6167" s="140" t="s">
        <v>14172</v>
      </c>
      <c r="F6167" s="140" t="s">
        <v>14173</v>
      </c>
      <c r="G6167" s="141" t="s">
        <v>6401</v>
      </c>
      <c r="H6167" s="140" t="s">
        <v>6312</v>
      </c>
      <c r="I6167" s="140" t="s">
        <v>6313</v>
      </c>
      <c r="J6167" s="140" t="s">
        <v>6314</v>
      </c>
      <c r="K6167" s="140" t="s">
        <v>7023</v>
      </c>
    </row>
    <row r="6168">
      <c r="A6168" s="140" t="s">
        <v>14134</v>
      </c>
      <c r="B6168" s="140">
        <v>1334.0</v>
      </c>
      <c r="C6168" s="140" t="s">
        <v>14176</v>
      </c>
      <c r="D6168" s="140" t="s">
        <v>6309</v>
      </c>
      <c r="E6168" s="140" t="s">
        <v>14172</v>
      </c>
      <c r="F6168" s="140" t="s">
        <v>14177</v>
      </c>
      <c r="G6168" s="141" t="s">
        <v>6401</v>
      </c>
      <c r="H6168" s="140" t="s">
        <v>6312</v>
      </c>
      <c r="I6168" s="140" t="s">
        <v>6313</v>
      </c>
      <c r="J6168" s="140" t="s">
        <v>6314</v>
      </c>
      <c r="K6168" s="140" t="s">
        <v>7023</v>
      </c>
    </row>
    <row r="6169">
      <c r="A6169" s="140" t="s">
        <v>14134</v>
      </c>
      <c r="B6169" s="140">
        <v>1335.0</v>
      </c>
      <c r="C6169" s="140" t="s">
        <v>14178</v>
      </c>
      <c r="D6169" s="140" t="s">
        <v>6309</v>
      </c>
      <c r="E6169" s="140" t="s">
        <v>14172</v>
      </c>
      <c r="F6169" s="140" t="s">
        <v>14177</v>
      </c>
      <c r="G6169" s="141" t="s">
        <v>6401</v>
      </c>
      <c r="H6169" s="140" t="s">
        <v>6312</v>
      </c>
      <c r="I6169" s="140" t="s">
        <v>6313</v>
      </c>
      <c r="J6169" s="140" t="s">
        <v>6314</v>
      </c>
      <c r="K6169" s="140" t="s">
        <v>7023</v>
      </c>
    </row>
    <row r="6170">
      <c r="A6170" s="140" t="s">
        <v>14134</v>
      </c>
      <c r="B6170" s="140">
        <v>1319.0</v>
      </c>
      <c r="C6170" s="140" t="s">
        <v>14179</v>
      </c>
      <c r="D6170" s="140" t="s">
        <v>6309</v>
      </c>
      <c r="E6170" s="140" t="s">
        <v>14172</v>
      </c>
      <c r="F6170" s="140" t="s">
        <v>14177</v>
      </c>
      <c r="G6170" s="141" t="s">
        <v>6401</v>
      </c>
      <c r="H6170" s="140" t="s">
        <v>6312</v>
      </c>
      <c r="I6170" s="140" t="s">
        <v>6313</v>
      </c>
      <c r="J6170" s="140" t="s">
        <v>6314</v>
      </c>
      <c r="K6170" s="140" t="s">
        <v>7023</v>
      </c>
    </row>
    <row r="6171">
      <c r="A6171" s="140" t="s">
        <v>14134</v>
      </c>
      <c r="B6171" s="140">
        <v>1320.0</v>
      </c>
      <c r="C6171" s="140" t="s">
        <v>14180</v>
      </c>
      <c r="D6171" s="140" t="s">
        <v>6309</v>
      </c>
      <c r="E6171" s="140" t="s">
        <v>14172</v>
      </c>
      <c r="F6171" s="140" t="s">
        <v>14177</v>
      </c>
      <c r="G6171" s="141" t="s">
        <v>6401</v>
      </c>
      <c r="H6171" s="140" t="s">
        <v>6312</v>
      </c>
      <c r="I6171" s="140" t="s">
        <v>6313</v>
      </c>
      <c r="J6171" s="140" t="s">
        <v>6314</v>
      </c>
      <c r="K6171" s="140" t="s">
        <v>7023</v>
      </c>
    </row>
    <row r="6172">
      <c r="A6172" s="140" t="s">
        <v>14134</v>
      </c>
      <c r="B6172" s="140">
        <v>1336.0</v>
      </c>
      <c r="C6172" s="140" t="s">
        <v>14181</v>
      </c>
      <c r="D6172" s="140" t="s">
        <v>6309</v>
      </c>
      <c r="E6172" s="140" t="s">
        <v>14172</v>
      </c>
      <c r="F6172" s="140" t="s">
        <v>14182</v>
      </c>
      <c r="G6172" s="141" t="s">
        <v>6401</v>
      </c>
      <c r="H6172" s="140" t="s">
        <v>6312</v>
      </c>
      <c r="I6172" s="140" t="s">
        <v>6313</v>
      </c>
      <c r="J6172" s="140" t="s">
        <v>6314</v>
      </c>
      <c r="K6172" s="140" t="s">
        <v>7023</v>
      </c>
    </row>
    <row r="6173">
      <c r="A6173" s="140" t="s">
        <v>14134</v>
      </c>
      <c r="B6173" s="140">
        <v>1337.0</v>
      </c>
      <c r="C6173" s="140" t="s">
        <v>14183</v>
      </c>
      <c r="D6173" s="140" t="s">
        <v>6309</v>
      </c>
      <c r="E6173" s="140" t="s">
        <v>14172</v>
      </c>
      <c r="F6173" s="140" t="s">
        <v>14182</v>
      </c>
      <c r="G6173" s="141" t="s">
        <v>6401</v>
      </c>
      <c r="H6173" s="140" t="s">
        <v>6312</v>
      </c>
      <c r="I6173" s="140" t="s">
        <v>6313</v>
      </c>
      <c r="J6173" s="140" t="s">
        <v>6314</v>
      </c>
      <c r="K6173" s="140" t="s">
        <v>7023</v>
      </c>
    </row>
    <row r="6174">
      <c r="A6174" s="140" t="s">
        <v>14134</v>
      </c>
      <c r="B6174" s="140">
        <v>1317.0</v>
      </c>
      <c r="C6174" s="140" t="s">
        <v>14184</v>
      </c>
      <c r="D6174" s="140" t="s">
        <v>6309</v>
      </c>
      <c r="E6174" s="140" t="s">
        <v>14172</v>
      </c>
      <c r="F6174" s="140" t="s">
        <v>14182</v>
      </c>
      <c r="G6174" s="141" t="s">
        <v>6401</v>
      </c>
      <c r="H6174" s="140" t="s">
        <v>6312</v>
      </c>
      <c r="I6174" s="140" t="s">
        <v>6313</v>
      </c>
      <c r="J6174" s="140" t="s">
        <v>6314</v>
      </c>
      <c r="K6174" s="140" t="s">
        <v>7023</v>
      </c>
    </row>
    <row r="6175">
      <c r="A6175" s="140" t="s">
        <v>14134</v>
      </c>
      <c r="B6175" s="140">
        <v>1318.0</v>
      </c>
      <c r="C6175" s="140" t="s">
        <v>14185</v>
      </c>
      <c r="D6175" s="140" t="s">
        <v>6309</v>
      </c>
      <c r="E6175" s="140" t="s">
        <v>14172</v>
      </c>
      <c r="F6175" s="140" t="s">
        <v>14182</v>
      </c>
      <c r="G6175" s="141" t="s">
        <v>6401</v>
      </c>
      <c r="H6175" s="140" t="s">
        <v>6312</v>
      </c>
      <c r="I6175" s="140" t="s">
        <v>6313</v>
      </c>
      <c r="J6175" s="140" t="s">
        <v>6314</v>
      </c>
      <c r="K6175" s="140" t="s">
        <v>7023</v>
      </c>
    </row>
    <row r="6176">
      <c r="A6176" s="140" t="s">
        <v>14134</v>
      </c>
      <c r="B6176" s="140">
        <v>1213.0</v>
      </c>
      <c r="C6176" s="140" t="s">
        <v>14186</v>
      </c>
      <c r="D6176" s="140" t="s">
        <v>6309</v>
      </c>
      <c r="E6176" s="140" t="s">
        <v>14172</v>
      </c>
      <c r="F6176" s="140" t="s">
        <v>8995</v>
      </c>
      <c r="G6176" s="141" t="s">
        <v>6401</v>
      </c>
      <c r="H6176" s="140" t="s">
        <v>6312</v>
      </c>
      <c r="I6176" s="140" t="s">
        <v>6313</v>
      </c>
      <c r="J6176" s="140" t="s">
        <v>6314</v>
      </c>
      <c r="K6176" s="140" t="s">
        <v>7023</v>
      </c>
    </row>
    <row r="6177">
      <c r="A6177" s="140" t="s">
        <v>14134</v>
      </c>
      <c r="B6177" s="140">
        <v>1215.0</v>
      </c>
      <c r="C6177" s="140" t="s">
        <v>14187</v>
      </c>
      <c r="D6177" s="140" t="s">
        <v>6309</v>
      </c>
      <c r="E6177" s="140" t="s">
        <v>14172</v>
      </c>
      <c r="F6177" s="140" t="s">
        <v>8995</v>
      </c>
      <c r="G6177" s="141" t="s">
        <v>6401</v>
      </c>
      <c r="H6177" s="140" t="s">
        <v>6312</v>
      </c>
      <c r="I6177" s="140" t="s">
        <v>6313</v>
      </c>
      <c r="J6177" s="140" t="s">
        <v>6314</v>
      </c>
      <c r="K6177" s="140" t="s">
        <v>7023</v>
      </c>
    </row>
    <row r="6178">
      <c r="A6178" s="140" t="s">
        <v>14134</v>
      </c>
      <c r="B6178" s="140">
        <v>1214.0</v>
      </c>
      <c r="C6178" s="140" t="s">
        <v>14188</v>
      </c>
      <c r="D6178" s="140" t="s">
        <v>6309</v>
      </c>
      <c r="E6178" s="140" t="s">
        <v>14172</v>
      </c>
      <c r="F6178" s="140" t="s">
        <v>8995</v>
      </c>
      <c r="G6178" s="141" t="s">
        <v>6401</v>
      </c>
      <c r="H6178" s="140" t="s">
        <v>6312</v>
      </c>
      <c r="I6178" s="140" t="s">
        <v>6313</v>
      </c>
      <c r="J6178" s="140" t="s">
        <v>6314</v>
      </c>
      <c r="K6178" s="140" t="s">
        <v>7023</v>
      </c>
    </row>
    <row r="6179">
      <c r="A6179" s="140" t="s">
        <v>14134</v>
      </c>
      <c r="B6179" s="140">
        <v>6172.0</v>
      </c>
      <c r="C6179" s="140" t="s">
        <v>14189</v>
      </c>
      <c r="D6179" s="140" t="s">
        <v>6309</v>
      </c>
      <c r="E6179" s="140" t="s">
        <v>796</v>
      </c>
      <c r="F6179" s="140" t="s">
        <v>14190</v>
      </c>
      <c r="G6179" s="141" t="s">
        <v>6401</v>
      </c>
      <c r="H6179" s="140" t="s">
        <v>6312</v>
      </c>
      <c r="I6179" s="140" t="s">
        <v>6313</v>
      </c>
      <c r="J6179" s="140" t="s">
        <v>6314</v>
      </c>
      <c r="K6179" s="140" t="s">
        <v>7023</v>
      </c>
    </row>
    <row r="6180">
      <c r="A6180" s="140" t="s">
        <v>14134</v>
      </c>
      <c r="B6180" s="140">
        <v>6173.0</v>
      </c>
      <c r="C6180" s="140" t="s">
        <v>14191</v>
      </c>
      <c r="D6180" s="140" t="s">
        <v>6309</v>
      </c>
      <c r="E6180" s="140" t="s">
        <v>796</v>
      </c>
      <c r="F6180" s="140" t="s">
        <v>14190</v>
      </c>
      <c r="G6180" s="141" t="s">
        <v>6401</v>
      </c>
      <c r="H6180" s="140" t="s">
        <v>6312</v>
      </c>
      <c r="I6180" s="140" t="s">
        <v>6313</v>
      </c>
      <c r="J6180" s="140" t="s">
        <v>6314</v>
      </c>
      <c r="K6180" s="140" t="s">
        <v>7023</v>
      </c>
    </row>
    <row r="6181">
      <c r="A6181" s="140" t="s">
        <v>14134</v>
      </c>
      <c r="B6181" s="140">
        <v>6174.0</v>
      </c>
      <c r="C6181" s="140" t="s">
        <v>14192</v>
      </c>
      <c r="D6181" s="140" t="s">
        <v>6309</v>
      </c>
      <c r="E6181" s="140" t="s">
        <v>796</v>
      </c>
      <c r="F6181" s="140" t="s">
        <v>14190</v>
      </c>
      <c r="G6181" s="141" t="s">
        <v>6401</v>
      </c>
      <c r="H6181" s="140" t="s">
        <v>6312</v>
      </c>
      <c r="I6181" s="140" t="s">
        <v>6313</v>
      </c>
      <c r="J6181" s="140" t="s">
        <v>6314</v>
      </c>
      <c r="K6181" s="140" t="s">
        <v>7023</v>
      </c>
    </row>
    <row r="6182">
      <c r="A6182" s="140" t="s">
        <v>14134</v>
      </c>
      <c r="B6182" s="140">
        <v>6175.0</v>
      </c>
      <c r="C6182" s="140" t="s">
        <v>14193</v>
      </c>
      <c r="D6182" s="140" t="s">
        <v>6309</v>
      </c>
      <c r="E6182" s="140" t="s">
        <v>796</v>
      </c>
      <c r="F6182" s="140" t="s">
        <v>14190</v>
      </c>
      <c r="G6182" s="141" t="s">
        <v>6401</v>
      </c>
      <c r="H6182" s="140" t="s">
        <v>6312</v>
      </c>
      <c r="I6182" s="140" t="s">
        <v>6313</v>
      </c>
      <c r="J6182" s="140" t="s">
        <v>6314</v>
      </c>
      <c r="K6182" s="140" t="s">
        <v>7023</v>
      </c>
    </row>
    <row r="6183">
      <c r="A6183" s="140" t="s">
        <v>14134</v>
      </c>
      <c r="B6183" s="140">
        <v>6176.0</v>
      </c>
      <c r="C6183" s="140" t="s">
        <v>14194</v>
      </c>
      <c r="D6183" s="140" t="s">
        <v>6309</v>
      </c>
      <c r="E6183" s="140" t="s">
        <v>796</v>
      </c>
      <c r="F6183" s="140" t="s">
        <v>14190</v>
      </c>
      <c r="G6183" s="141" t="s">
        <v>6401</v>
      </c>
      <c r="H6183" s="140" t="s">
        <v>6312</v>
      </c>
      <c r="I6183" s="140" t="s">
        <v>6313</v>
      </c>
      <c r="J6183" s="140" t="s">
        <v>6314</v>
      </c>
      <c r="K6183" s="140" t="s">
        <v>7023</v>
      </c>
    </row>
    <row r="6184">
      <c r="A6184" s="140" t="s">
        <v>14134</v>
      </c>
      <c r="B6184" s="140">
        <v>6197.0</v>
      </c>
      <c r="C6184" s="140" t="s">
        <v>14195</v>
      </c>
      <c r="D6184" s="140" t="s">
        <v>6309</v>
      </c>
      <c r="E6184" s="140" t="s">
        <v>796</v>
      </c>
      <c r="F6184" s="140" t="s">
        <v>14190</v>
      </c>
      <c r="G6184" s="141" t="s">
        <v>6401</v>
      </c>
      <c r="H6184" s="140" t="s">
        <v>6312</v>
      </c>
      <c r="I6184" s="140" t="s">
        <v>6313</v>
      </c>
      <c r="J6184" s="140" t="s">
        <v>6314</v>
      </c>
      <c r="K6184" s="140" t="s">
        <v>7023</v>
      </c>
    </row>
    <row r="6185">
      <c r="A6185" s="140" t="s">
        <v>14134</v>
      </c>
      <c r="B6185" s="140">
        <v>6198.0</v>
      </c>
      <c r="C6185" s="140" t="s">
        <v>14196</v>
      </c>
      <c r="D6185" s="140" t="s">
        <v>6309</v>
      </c>
      <c r="E6185" s="140" t="s">
        <v>796</v>
      </c>
      <c r="F6185" s="140" t="s">
        <v>14190</v>
      </c>
      <c r="G6185" s="141" t="s">
        <v>6401</v>
      </c>
      <c r="H6185" s="140" t="s">
        <v>6312</v>
      </c>
      <c r="I6185" s="140" t="s">
        <v>6313</v>
      </c>
      <c r="J6185" s="140" t="s">
        <v>6314</v>
      </c>
      <c r="K6185" s="140" t="s">
        <v>7023</v>
      </c>
    </row>
    <row r="6186">
      <c r="A6186" s="140" t="s">
        <v>14134</v>
      </c>
      <c r="B6186" s="140">
        <v>6199.0</v>
      </c>
      <c r="C6186" s="140" t="s">
        <v>14197</v>
      </c>
      <c r="D6186" s="140" t="s">
        <v>6309</v>
      </c>
      <c r="E6186" s="140" t="s">
        <v>796</v>
      </c>
      <c r="F6186" s="140" t="s">
        <v>14190</v>
      </c>
      <c r="G6186" s="141" t="s">
        <v>6401</v>
      </c>
      <c r="H6186" s="140" t="s">
        <v>6312</v>
      </c>
      <c r="I6186" s="140" t="s">
        <v>6313</v>
      </c>
      <c r="J6186" s="140" t="s">
        <v>6314</v>
      </c>
      <c r="K6186" s="140" t="s">
        <v>7023</v>
      </c>
    </row>
    <row r="6187">
      <c r="A6187" s="140" t="s">
        <v>14134</v>
      </c>
      <c r="B6187" s="140">
        <v>6200.0</v>
      </c>
      <c r="C6187" s="140" t="s">
        <v>14198</v>
      </c>
      <c r="D6187" s="140" t="s">
        <v>6309</v>
      </c>
      <c r="E6187" s="140" t="s">
        <v>796</v>
      </c>
      <c r="F6187" s="140" t="s">
        <v>14190</v>
      </c>
      <c r="G6187" s="141" t="s">
        <v>6401</v>
      </c>
      <c r="H6187" s="140" t="s">
        <v>6312</v>
      </c>
      <c r="I6187" s="140" t="s">
        <v>6313</v>
      </c>
      <c r="J6187" s="140" t="s">
        <v>6314</v>
      </c>
      <c r="K6187" s="140" t="s">
        <v>7023</v>
      </c>
    </row>
    <row r="6188">
      <c r="A6188" s="140" t="s">
        <v>14134</v>
      </c>
      <c r="B6188" s="140">
        <v>6201.0</v>
      </c>
      <c r="C6188" s="140" t="s">
        <v>14199</v>
      </c>
      <c r="D6188" s="140" t="s">
        <v>6309</v>
      </c>
      <c r="E6188" s="140" t="s">
        <v>796</v>
      </c>
      <c r="F6188" s="140" t="s">
        <v>14190</v>
      </c>
      <c r="G6188" s="141" t="s">
        <v>6401</v>
      </c>
      <c r="H6188" s="140" t="s">
        <v>6312</v>
      </c>
      <c r="I6188" s="140" t="s">
        <v>6313</v>
      </c>
      <c r="J6188" s="140" t="s">
        <v>6314</v>
      </c>
      <c r="K6188" s="140" t="s">
        <v>7023</v>
      </c>
    </row>
    <row r="6189">
      <c r="A6189" s="140" t="s">
        <v>14134</v>
      </c>
      <c r="B6189" s="140">
        <v>6202.0</v>
      </c>
      <c r="C6189" s="140" t="s">
        <v>14200</v>
      </c>
      <c r="D6189" s="140" t="s">
        <v>6309</v>
      </c>
      <c r="E6189" s="140" t="s">
        <v>796</v>
      </c>
      <c r="F6189" s="140" t="s">
        <v>14190</v>
      </c>
      <c r="G6189" s="141" t="s">
        <v>6401</v>
      </c>
      <c r="H6189" s="140" t="s">
        <v>6312</v>
      </c>
      <c r="I6189" s="140" t="s">
        <v>6313</v>
      </c>
      <c r="J6189" s="140" t="s">
        <v>6314</v>
      </c>
      <c r="K6189" s="140" t="s">
        <v>7023</v>
      </c>
    </row>
    <row r="6190">
      <c r="A6190" s="140" t="s">
        <v>14134</v>
      </c>
      <c r="B6190" s="140">
        <v>6203.0</v>
      </c>
      <c r="C6190" s="140" t="s">
        <v>14201</v>
      </c>
      <c r="D6190" s="140" t="s">
        <v>6309</v>
      </c>
      <c r="E6190" s="140" t="s">
        <v>796</v>
      </c>
      <c r="F6190" s="140" t="s">
        <v>14190</v>
      </c>
      <c r="G6190" s="141" t="s">
        <v>6401</v>
      </c>
      <c r="H6190" s="140" t="s">
        <v>6312</v>
      </c>
      <c r="I6190" s="140" t="s">
        <v>6313</v>
      </c>
      <c r="J6190" s="140" t="s">
        <v>6314</v>
      </c>
      <c r="K6190" s="140" t="s">
        <v>7023</v>
      </c>
    </row>
    <row r="6191">
      <c r="A6191" s="140" t="s">
        <v>14134</v>
      </c>
      <c r="B6191" s="140">
        <v>6204.0</v>
      </c>
      <c r="C6191" s="140" t="s">
        <v>14202</v>
      </c>
      <c r="D6191" s="140" t="s">
        <v>6309</v>
      </c>
      <c r="E6191" s="140" t="s">
        <v>796</v>
      </c>
      <c r="F6191" s="140" t="s">
        <v>14190</v>
      </c>
      <c r="G6191" s="141" t="s">
        <v>6401</v>
      </c>
      <c r="H6191" s="140" t="s">
        <v>6312</v>
      </c>
      <c r="I6191" s="140" t="s">
        <v>6313</v>
      </c>
      <c r="J6191" s="140" t="s">
        <v>6314</v>
      </c>
      <c r="K6191" s="140" t="s">
        <v>7023</v>
      </c>
    </row>
    <row r="6192">
      <c r="A6192" s="140" t="s">
        <v>14134</v>
      </c>
      <c r="B6192" s="140">
        <v>6206.0</v>
      </c>
      <c r="C6192" s="140" t="s">
        <v>14203</v>
      </c>
      <c r="D6192" s="140" t="s">
        <v>6309</v>
      </c>
      <c r="E6192" s="140" t="s">
        <v>796</v>
      </c>
      <c r="F6192" s="140" t="s">
        <v>14190</v>
      </c>
      <c r="G6192" s="141" t="s">
        <v>6401</v>
      </c>
      <c r="H6192" s="140" t="s">
        <v>6312</v>
      </c>
      <c r="I6192" s="140" t="s">
        <v>6313</v>
      </c>
      <c r="J6192" s="140" t="s">
        <v>6314</v>
      </c>
      <c r="K6192" s="140" t="s">
        <v>7023</v>
      </c>
    </row>
    <row r="6193">
      <c r="A6193" s="140" t="s">
        <v>14134</v>
      </c>
      <c r="B6193" s="140">
        <v>6207.0</v>
      </c>
      <c r="C6193" s="140" t="s">
        <v>14204</v>
      </c>
      <c r="D6193" s="140" t="s">
        <v>6309</v>
      </c>
      <c r="E6193" s="140" t="s">
        <v>796</v>
      </c>
      <c r="F6193" s="140" t="s">
        <v>14190</v>
      </c>
      <c r="G6193" s="141" t="s">
        <v>6401</v>
      </c>
      <c r="H6193" s="140" t="s">
        <v>6312</v>
      </c>
      <c r="I6193" s="140" t="s">
        <v>6313</v>
      </c>
      <c r="J6193" s="140" t="s">
        <v>6314</v>
      </c>
      <c r="K6193" s="140" t="s">
        <v>7023</v>
      </c>
    </row>
    <row r="6194">
      <c r="A6194" s="140" t="s">
        <v>14134</v>
      </c>
      <c r="B6194" s="140">
        <v>6159.0</v>
      </c>
      <c r="C6194" s="140" t="s">
        <v>14205</v>
      </c>
      <c r="D6194" s="140" t="s">
        <v>6309</v>
      </c>
      <c r="E6194" s="140" t="s">
        <v>796</v>
      </c>
      <c r="F6194" s="140" t="s">
        <v>14190</v>
      </c>
      <c r="G6194" s="141" t="s">
        <v>6401</v>
      </c>
      <c r="H6194" s="140" t="s">
        <v>6312</v>
      </c>
      <c r="I6194" s="140" t="s">
        <v>6313</v>
      </c>
      <c r="J6194" s="140" t="s">
        <v>6314</v>
      </c>
      <c r="K6194" s="140" t="s">
        <v>7023</v>
      </c>
    </row>
    <row r="6195">
      <c r="A6195" s="140" t="s">
        <v>14134</v>
      </c>
      <c r="B6195" s="140">
        <v>6160.0</v>
      </c>
      <c r="C6195" s="140" t="s">
        <v>14206</v>
      </c>
      <c r="D6195" s="140" t="s">
        <v>6309</v>
      </c>
      <c r="E6195" s="140" t="s">
        <v>796</v>
      </c>
      <c r="F6195" s="140" t="s">
        <v>14190</v>
      </c>
      <c r="G6195" s="141" t="s">
        <v>6401</v>
      </c>
      <c r="H6195" s="140" t="s">
        <v>6312</v>
      </c>
      <c r="I6195" s="140" t="s">
        <v>6313</v>
      </c>
      <c r="J6195" s="140" t="s">
        <v>6314</v>
      </c>
      <c r="K6195" s="140" t="s">
        <v>7023</v>
      </c>
    </row>
    <row r="6196">
      <c r="A6196" s="140" t="s">
        <v>14134</v>
      </c>
      <c r="B6196" s="140">
        <v>6161.0</v>
      </c>
      <c r="C6196" s="140" t="s">
        <v>14207</v>
      </c>
      <c r="D6196" s="140" t="s">
        <v>6309</v>
      </c>
      <c r="E6196" s="140" t="s">
        <v>796</v>
      </c>
      <c r="F6196" s="140" t="s">
        <v>14190</v>
      </c>
      <c r="G6196" s="141" t="s">
        <v>6401</v>
      </c>
      <c r="H6196" s="140" t="s">
        <v>6312</v>
      </c>
      <c r="I6196" s="140" t="s">
        <v>6313</v>
      </c>
      <c r="J6196" s="140" t="s">
        <v>6314</v>
      </c>
      <c r="K6196" s="140" t="s">
        <v>7023</v>
      </c>
    </row>
    <row r="6197">
      <c r="A6197" s="140" t="s">
        <v>14134</v>
      </c>
      <c r="B6197" s="140">
        <v>6162.0</v>
      </c>
      <c r="C6197" s="140" t="s">
        <v>14208</v>
      </c>
      <c r="D6197" s="140" t="s">
        <v>6309</v>
      </c>
      <c r="E6197" s="140" t="s">
        <v>796</v>
      </c>
      <c r="F6197" s="140" t="s">
        <v>14190</v>
      </c>
      <c r="G6197" s="141" t="s">
        <v>6401</v>
      </c>
      <c r="H6197" s="140" t="s">
        <v>6312</v>
      </c>
      <c r="I6197" s="140" t="s">
        <v>6313</v>
      </c>
      <c r="J6197" s="140" t="s">
        <v>6314</v>
      </c>
      <c r="K6197" s="140" t="s">
        <v>7023</v>
      </c>
    </row>
    <row r="6198">
      <c r="A6198" s="140" t="s">
        <v>14134</v>
      </c>
      <c r="B6198" s="140">
        <v>6163.0</v>
      </c>
      <c r="C6198" s="140" t="s">
        <v>14209</v>
      </c>
      <c r="D6198" s="140" t="s">
        <v>6309</v>
      </c>
      <c r="E6198" s="140" t="s">
        <v>796</v>
      </c>
      <c r="F6198" s="140" t="s">
        <v>14190</v>
      </c>
      <c r="G6198" s="141" t="s">
        <v>6401</v>
      </c>
      <c r="H6198" s="140" t="s">
        <v>6312</v>
      </c>
      <c r="I6198" s="140" t="s">
        <v>6313</v>
      </c>
      <c r="J6198" s="140" t="s">
        <v>6314</v>
      </c>
      <c r="K6198" s="140" t="s">
        <v>7023</v>
      </c>
    </row>
    <row r="6199">
      <c r="A6199" s="140" t="s">
        <v>14134</v>
      </c>
      <c r="B6199" s="140">
        <v>6164.0</v>
      </c>
      <c r="C6199" s="140" t="s">
        <v>14210</v>
      </c>
      <c r="D6199" s="140" t="s">
        <v>6309</v>
      </c>
      <c r="E6199" s="140" t="s">
        <v>796</v>
      </c>
      <c r="F6199" s="140" t="s">
        <v>14190</v>
      </c>
      <c r="G6199" s="141" t="s">
        <v>6401</v>
      </c>
      <c r="H6199" s="140" t="s">
        <v>6312</v>
      </c>
      <c r="I6199" s="140" t="s">
        <v>6313</v>
      </c>
      <c r="J6199" s="140" t="s">
        <v>6314</v>
      </c>
      <c r="K6199" s="140" t="s">
        <v>7023</v>
      </c>
    </row>
    <row r="6200">
      <c r="A6200" s="140" t="s">
        <v>14134</v>
      </c>
      <c r="B6200" s="140">
        <v>6165.0</v>
      </c>
      <c r="C6200" s="140" t="s">
        <v>14211</v>
      </c>
      <c r="D6200" s="140" t="s">
        <v>6309</v>
      </c>
      <c r="E6200" s="140" t="s">
        <v>796</v>
      </c>
      <c r="F6200" s="140" t="s">
        <v>14190</v>
      </c>
      <c r="G6200" s="141" t="s">
        <v>6401</v>
      </c>
      <c r="H6200" s="140" t="s">
        <v>6312</v>
      </c>
      <c r="I6200" s="140" t="s">
        <v>6313</v>
      </c>
      <c r="J6200" s="140" t="s">
        <v>6314</v>
      </c>
      <c r="K6200" s="140" t="s">
        <v>7023</v>
      </c>
    </row>
    <row r="6201">
      <c r="A6201" s="140" t="s">
        <v>14134</v>
      </c>
      <c r="B6201" s="140">
        <v>6166.0</v>
      </c>
      <c r="C6201" s="140" t="s">
        <v>14212</v>
      </c>
      <c r="D6201" s="140" t="s">
        <v>6309</v>
      </c>
      <c r="E6201" s="140" t="s">
        <v>796</v>
      </c>
      <c r="F6201" s="140" t="s">
        <v>14190</v>
      </c>
      <c r="G6201" s="141" t="s">
        <v>6401</v>
      </c>
      <c r="H6201" s="140" t="s">
        <v>6312</v>
      </c>
      <c r="I6201" s="140" t="s">
        <v>6313</v>
      </c>
      <c r="J6201" s="140" t="s">
        <v>6314</v>
      </c>
      <c r="K6201" s="140" t="s">
        <v>7023</v>
      </c>
    </row>
    <row r="6202">
      <c r="A6202" s="140" t="s">
        <v>14134</v>
      </c>
      <c r="B6202" s="140">
        <v>6185.0</v>
      </c>
      <c r="C6202" s="140" t="s">
        <v>14213</v>
      </c>
      <c r="D6202" s="140" t="s">
        <v>6309</v>
      </c>
      <c r="E6202" s="140" t="s">
        <v>796</v>
      </c>
      <c r="F6202" s="140" t="s">
        <v>14190</v>
      </c>
      <c r="G6202" s="141" t="s">
        <v>6401</v>
      </c>
      <c r="H6202" s="140" t="s">
        <v>6312</v>
      </c>
      <c r="I6202" s="140" t="s">
        <v>6313</v>
      </c>
      <c r="J6202" s="140" t="s">
        <v>6314</v>
      </c>
      <c r="K6202" s="140" t="s">
        <v>7023</v>
      </c>
    </row>
    <row r="6203">
      <c r="A6203" s="140" t="s">
        <v>14134</v>
      </c>
      <c r="B6203" s="140">
        <v>6186.0</v>
      </c>
      <c r="C6203" s="140" t="s">
        <v>14214</v>
      </c>
      <c r="D6203" s="140" t="s">
        <v>6309</v>
      </c>
      <c r="E6203" s="140" t="s">
        <v>796</v>
      </c>
      <c r="F6203" s="140" t="s">
        <v>14190</v>
      </c>
      <c r="G6203" s="141" t="s">
        <v>6401</v>
      </c>
      <c r="H6203" s="140" t="s">
        <v>6312</v>
      </c>
      <c r="I6203" s="140" t="s">
        <v>6313</v>
      </c>
      <c r="J6203" s="140" t="s">
        <v>6314</v>
      </c>
      <c r="K6203" s="140" t="s">
        <v>7023</v>
      </c>
    </row>
    <row r="6204">
      <c r="A6204" s="140" t="s">
        <v>14134</v>
      </c>
      <c r="B6204" s="140">
        <v>6187.0</v>
      </c>
      <c r="C6204" s="140" t="s">
        <v>14215</v>
      </c>
      <c r="D6204" s="140" t="s">
        <v>6309</v>
      </c>
      <c r="E6204" s="140" t="s">
        <v>796</v>
      </c>
      <c r="F6204" s="140" t="s">
        <v>14190</v>
      </c>
      <c r="G6204" s="141" t="s">
        <v>6401</v>
      </c>
      <c r="H6204" s="140" t="s">
        <v>6312</v>
      </c>
      <c r="I6204" s="140" t="s">
        <v>6313</v>
      </c>
      <c r="J6204" s="140" t="s">
        <v>6314</v>
      </c>
      <c r="K6204" s="140" t="s">
        <v>7023</v>
      </c>
    </row>
    <row r="6205">
      <c r="A6205" s="140" t="s">
        <v>14134</v>
      </c>
      <c r="B6205" s="140">
        <v>6188.0</v>
      </c>
      <c r="C6205" s="140" t="s">
        <v>14216</v>
      </c>
      <c r="D6205" s="140" t="s">
        <v>6309</v>
      </c>
      <c r="E6205" s="140" t="s">
        <v>796</v>
      </c>
      <c r="F6205" s="140" t="s">
        <v>14190</v>
      </c>
      <c r="G6205" s="141" t="s">
        <v>6401</v>
      </c>
      <c r="H6205" s="140" t="s">
        <v>6312</v>
      </c>
      <c r="I6205" s="140" t="s">
        <v>6313</v>
      </c>
      <c r="J6205" s="140" t="s">
        <v>6314</v>
      </c>
      <c r="K6205" s="140" t="s">
        <v>7023</v>
      </c>
    </row>
    <row r="6206">
      <c r="A6206" s="140" t="s">
        <v>14134</v>
      </c>
      <c r="B6206" s="140">
        <v>6189.0</v>
      </c>
      <c r="C6206" s="140" t="s">
        <v>14217</v>
      </c>
      <c r="D6206" s="140" t="s">
        <v>6309</v>
      </c>
      <c r="E6206" s="140" t="s">
        <v>796</v>
      </c>
      <c r="F6206" s="140" t="s">
        <v>14190</v>
      </c>
      <c r="G6206" s="141" t="s">
        <v>6401</v>
      </c>
      <c r="H6206" s="140" t="s">
        <v>6312</v>
      </c>
      <c r="I6206" s="140" t="s">
        <v>6313</v>
      </c>
      <c r="J6206" s="140" t="s">
        <v>6314</v>
      </c>
      <c r="K6206" s="140" t="s">
        <v>7023</v>
      </c>
    </row>
    <row r="6207">
      <c r="A6207" s="140" t="s">
        <v>14134</v>
      </c>
      <c r="B6207" s="140">
        <v>6190.0</v>
      </c>
      <c r="C6207" s="140" t="s">
        <v>14218</v>
      </c>
      <c r="D6207" s="140" t="s">
        <v>6309</v>
      </c>
      <c r="E6207" s="140" t="s">
        <v>796</v>
      </c>
      <c r="F6207" s="140" t="s">
        <v>14190</v>
      </c>
      <c r="G6207" s="141" t="s">
        <v>6401</v>
      </c>
      <c r="H6207" s="140" t="s">
        <v>6312</v>
      </c>
      <c r="I6207" s="140" t="s">
        <v>6313</v>
      </c>
      <c r="J6207" s="140" t="s">
        <v>6314</v>
      </c>
      <c r="K6207" s="140" t="s">
        <v>7023</v>
      </c>
    </row>
    <row r="6208">
      <c r="A6208" s="140" t="s">
        <v>14134</v>
      </c>
      <c r="B6208" s="140">
        <v>6191.0</v>
      </c>
      <c r="C6208" s="140" t="s">
        <v>14219</v>
      </c>
      <c r="D6208" s="140" t="s">
        <v>6309</v>
      </c>
      <c r="E6208" s="140" t="s">
        <v>796</v>
      </c>
      <c r="F6208" s="140" t="s">
        <v>14190</v>
      </c>
      <c r="G6208" s="141" t="s">
        <v>6401</v>
      </c>
      <c r="H6208" s="140" t="s">
        <v>6312</v>
      </c>
      <c r="I6208" s="140" t="s">
        <v>6313</v>
      </c>
      <c r="J6208" s="140" t="s">
        <v>6314</v>
      </c>
      <c r="K6208" s="140" t="s">
        <v>7023</v>
      </c>
    </row>
    <row r="6209">
      <c r="A6209" s="140" t="s">
        <v>14134</v>
      </c>
      <c r="B6209" s="140">
        <v>3222.0</v>
      </c>
      <c r="C6209" s="140" t="s">
        <v>14220</v>
      </c>
      <c r="D6209" s="140" t="s">
        <v>6309</v>
      </c>
      <c r="E6209" s="140" t="s">
        <v>796</v>
      </c>
      <c r="F6209" s="140" t="s">
        <v>14221</v>
      </c>
      <c r="G6209" s="141" t="s">
        <v>6401</v>
      </c>
      <c r="H6209" s="140" t="s">
        <v>6312</v>
      </c>
      <c r="I6209" s="140" t="s">
        <v>6313</v>
      </c>
      <c r="J6209" s="140" t="s">
        <v>6314</v>
      </c>
      <c r="K6209" s="140" t="s">
        <v>7023</v>
      </c>
    </row>
    <row r="6210">
      <c r="A6210" s="140" t="s">
        <v>14134</v>
      </c>
      <c r="B6210" s="140">
        <v>3221.0</v>
      </c>
      <c r="C6210" s="140" t="s">
        <v>14222</v>
      </c>
      <c r="D6210" s="140" t="s">
        <v>6309</v>
      </c>
      <c r="E6210" s="140" t="s">
        <v>796</v>
      </c>
      <c r="F6210" s="140" t="s">
        <v>14221</v>
      </c>
      <c r="G6210" s="141" t="s">
        <v>6401</v>
      </c>
      <c r="H6210" s="140" t="s">
        <v>6312</v>
      </c>
      <c r="I6210" s="140" t="s">
        <v>6313</v>
      </c>
      <c r="J6210" s="140" t="s">
        <v>6314</v>
      </c>
      <c r="K6210" s="140" t="s">
        <v>7023</v>
      </c>
    </row>
    <row r="6211">
      <c r="A6211" s="140" t="s">
        <v>14134</v>
      </c>
      <c r="B6211" s="140">
        <v>3220.0</v>
      </c>
      <c r="C6211" s="140" t="s">
        <v>14223</v>
      </c>
      <c r="D6211" s="140" t="s">
        <v>6309</v>
      </c>
      <c r="E6211" s="140" t="s">
        <v>796</v>
      </c>
      <c r="F6211" s="140" t="s">
        <v>14221</v>
      </c>
      <c r="G6211" s="141" t="s">
        <v>6401</v>
      </c>
      <c r="H6211" s="140" t="s">
        <v>6312</v>
      </c>
      <c r="I6211" s="140" t="s">
        <v>6313</v>
      </c>
      <c r="J6211" s="140" t="s">
        <v>6314</v>
      </c>
      <c r="K6211" s="140" t="s">
        <v>7023</v>
      </c>
    </row>
    <row r="6212">
      <c r="A6212" s="140" t="s">
        <v>14134</v>
      </c>
      <c r="B6212" s="140">
        <v>3219.0</v>
      </c>
      <c r="C6212" s="140" t="s">
        <v>14224</v>
      </c>
      <c r="D6212" s="140" t="s">
        <v>6309</v>
      </c>
      <c r="E6212" s="140" t="s">
        <v>796</v>
      </c>
      <c r="F6212" s="140" t="s">
        <v>14221</v>
      </c>
      <c r="G6212" s="141" t="s">
        <v>6401</v>
      </c>
      <c r="H6212" s="140" t="s">
        <v>6312</v>
      </c>
      <c r="I6212" s="140" t="s">
        <v>6313</v>
      </c>
      <c r="J6212" s="140" t="s">
        <v>6314</v>
      </c>
      <c r="K6212" s="140" t="s">
        <v>7023</v>
      </c>
    </row>
    <row r="6213">
      <c r="A6213" s="140" t="s">
        <v>14134</v>
      </c>
      <c r="B6213" s="140">
        <v>3218.0</v>
      </c>
      <c r="C6213" s="140" t="s">
        <v>14225</v>
      </c>
      <c r="D6213" s="140" t="s">
        <v>6309</v>
      </c>
      <c r="E6213" s="140" t="s">
        <v>796</v>
      </c>
      <c r="F6213" s="140" t="s">
        <v>14221</v>
      </c>
      <c r="G6213" s="141" t="s">
        <v>6401</v>
      </c>
      <c r="H6213" s="140" t="s">
        <v>6312</v>
      </c>
      <c r="I6213" s="140" t="s">
        <v>6313</v>
      </c>
      <c r="J6213" s="140" t="s">
        <v>6314</v>
      </c>
      <c r="K6213" s="140" t="s">
        <v>7023</v>
      </c>
    </row>
    <row r="6214">
      <c r="A6214" s="140" t="s">
        <v>14134</v>
      </c>
      <c r="B6214" s="140">
        <v>3217.0</v>
      </c>
      <c r="C6214" s="140" t="s">
        <v>14226</v>
      </c>
      <c r="D6214" s="140" t="s">
        <v>6309</v>
      </c>
      <c r="E6214" s="140" t="s">
        <v>796</v>
      </c>
      <c r="F6214" s="140" t="s">
        <v>14221</v>
      </c>
      <c r="G6214" s="141" t="s">
        <v>6401</v>
      </c>
      <c r="H6214" s="140" t="s">
        <v>6312</v>
      </c>
      <c r="I6214" s="140" t="s">
        <v>6313</v>
      </c>
      <c r="J6214" s="140" t="s">
        <v>6314</v>
      </c>
      <c r="K6214" s="140" t="s">
        <v>7023</v>
      </c>
    </row>
    <row r="6215">
      <c r="A6215" s="140" t="s">
        <v>14134</v>
      </c>
      <c r="B6215" s="140">
        <v>6247.0</v>
      </c>
      <c r="C6215" s="140" t="s">
        <v>14227</v>
      </c>
      <c r="D6215" s="140" t="s">
        <v>6309</v>
      </c>
      <c r="E6215" s="140" t="s">
        <v>796</v>
      </c>
      <c r="F6215" s="140" t="s">
        <v>14221</v>
      </c>
      <c r="G6215" s="141" t="s">
        <v>6401</v>
      </c>
      <c r="H6215" s="140" t="s">
        <v>6312</v>
      </c>
      <c r="I6215" s="140" t="s">
        <v>6313</v>
      </c>
      <c r="J6215" s="140" t="s">
        <v>6314</v>
      </c>
      <c r="K6215" s="140" t="s">
        <v>7023</v>
      </c>
    </row>
    <row r="6216">
      <c r="A6216" s="140" t="s">
        <v>14134</v>
      </c>
      <c r="B6216" s="140">
        <v>6248.0</v>
      </c>
      <c r="C6216" s="140" t="s">
        <v>14228</v>
      </c>
      <c r="D6216" s="140" t="s">
        <v>6309</v>
      </c>
      <c r="E6216" s="140" t="s">
        <v>796</v>
      </c>
      <c r="F6216" s="140" t="s">
        <v>14221</v>
      </c>
      <c r="G6216" s="141" t="s">
        <v>6401</v>
      </c>
      <c r="H6216" s="140" t="s">
        <v>6312</v>
      </c>
      <c r="I6216" s="140" t="s">
        <v>6313</v>
      </c>
      <c r="J6216" s="140" t="s">
        <v>6314</v>
      </c>
      <c r="K6216" s="140" t="s">
        <v>7023</v>
      </c>
    </row>
    <row r="6217">
      <c r="A6217" s="140" t="s">
        <v>14134</v>
      </c>
      <c r="B6217" s="140">
        <v>6246.0</v>
      </c>
      <c r="C6217" s="140" t="s">
        <v>14229</v>
      </c>
      <c r="D6217" s="140" t="s">
        <v>6309</v>
      </c>
      <c r="E6217" s="140" t="s">
        <v>796</v>
      </c>
      <c r="F6217" s="140" t="s">
        <v>14221</v>
      </c>
      <c r="G6217" s="141" t="s">
        <v>6401</v>
      </c>
      <c r="H6217" s="140" t="s">
        <v>6312</v>
      </c>
      <c r="I6217" s="140" t="s">
        <v>6313</v>
      </c>
      <c r="J6217" s="140" t="s">
        <v>6314</v>
      </c>
      <c r="K6217" s="140" t="s">
        <v>7023</v>
      </c>
    </row>
    <row r="6218">
      <c r="A6218" s="140" t="s">
        <v>14134</v>
      </c>
      <c r="B6218" s="140">
        <v>6240.0</v>
      </c>
      <c r="C6218" s="140" t="s">
        <v>14230</v>
      </c>
      <c r="D6218" s="140" t="s">
        <v>6309</v>
      </c>
      <c r="E6218" s="140" t="s">
        <v>796</v>
      </c>
      <c r="F6218" s="140" t="s">
        <v>14221</v>
      </c>
      <c r="G6218" s="141" t="s">
        <v>6401</v>
      </c>
      <c r="H6218" s="140" t="s">
        <v>6312</v>
      </c>
      <c r="I6218" s="140" t="s">
        <v>6313</v>
      </c>
      <c r="J6218" s="140" t="s">
        <v>6314</v>
      </c>
      <c r="K6218" s="140" t="s">
        <v>7023</v>
      </c>
    </row>
    <row r="6219">
      <c r="A6219" s="140" t="s">
        <v>14134</v>
      </c>
      <c r="B6219" s="140">
        <v>6243.0</v>
      </c>
      <c r="C6219" s="140" t="s">
        <v>14231</v>
      </c>
      <c r="D6219" s="140" t="s">
        <v>6309</v>
      </c>
      <c r="E6219" s="140" t="s">
        <v>796</v>
      </c>
      <c r="F6219" s="140" t="s">
        <v>14221</v>
      </c>
      <c r="G6219" s="141" t="s">
        <v>6401</v>
      </c>
      <c r="H6219" s="140" t="s">
        <v>6312</v>
      </c>
      <c r="I6219" s="140" t="s">
        <v>6313</v>
      </c>
      <c r="J6219" s="140" t="s">
        <v>6314</v>
      </c>
      <c r="K6219" s="140" t="s">
        <v>7023</v>
      </c>
    </row>
    <row r="6220">
      <c r="A6220" s="140" t="s">
        <v>14134</v>
      </c>
      <c r="B6220" s="140">
        <v>6241.0</v>
      </c>
      <c r="C6220" s="140" t="s">
        <v>14232</v>
      </c>
      <c r="D6220" s="140" t="s">
        <v>6309</v>
      </c>
      <c r="E6220" s="140" t="s">
        <v>796</v>
      </c>
      <c r="F6220" s="140" t="s">
        <v>14221</v>
      </c>
      <c r="G6220" s="141" t="s">
        <v>6401</v>
      </c>
      <c r="H6220" s="140" t="s">
        <v>6312</v>
      </c>
      <c r="I6220" s="140" t="s">
        <v>6313</v>
      </c>
      <c r="J6220" s="140" t="s">
        <v>6314</v>
      </c>
      <c r="K6220" s="140" t="s">
        <v>7023</v>
      </c>
    </row>
    <row r="6221">
      <c r="A6221" s="140" t="s">
        <v>14134</v>
      </c>
      <c r="B6221" s="140">
        <v>6242.0</v>
      </c>
      <c r="C6221" s="140" t="s">
        <v>14233</v>
      </c>
      <c r="D6221" s="140" t="s">
        <v>6309</v>
      </c>
      <c r="E6221" s="140" t="s">
        <v>796</v>
      </c>
      <c r="F6221" s="140" t="s">
        <v>14221</v>
      </c>
      <c r="G6221" s="141" t="s">
        <v>6401</v>
      </c>
      <c r="H6221" s="140" t="s">
        <v>6312</v>
      </c>
      <c r="I6221" s="140" t="s">
        <v>6313</v>
      </c>
      <c r="J6221" s="140" t="s">
        <v>6314</v>
      </c>
      <c r="K6221" s="140" t="s">
        <v>7023</v>
      </c>
    </row>
    <row r="6222">
      <c r="A6222" s="140" t="s">
        <v>14134</v>
      </c>
      <c r="B6222" s="140">
        <v>6244.0</v>
      </c>
      <c r="C6222" s="140" t="s">
        <v>14234</v>
      </c>
      <c r="D6222" s="140" t="s">
        <v>6309</v>
      </c>
      <c r="E6222" s="140" t="s">
        <v>796</v>
      </c>
      <c r="F6222" s="140" t="s">
        <v>14221</v>
      </c>
      <c r="G6222" s="141" t="s">
        <v>6401</v>
      </c>
      <c r="H6222" s="140" t="s">
        <v>6312</v>
      </c>
      <c r="I6222" s="140" t="s">
        <v>6313</v>
      </c>
      <c r="J6222" s="140" t="s">
        <v>6314</v>
      </c>
      <c r="K6222" s="140" t="s">
        <v>7023</v>
      </c>
    </row>
    <row r="6223">
      <c r="A6223" s="140" t="s">
        <v>14134</v>
      </c>
      <c r="B6223" s="140">
        <v>6245.0</v>
      </c>
      <c r="C6223" s="140" t="s">
        <v>14235</v>
      </c>
      <c r="D6223" s="140" t="s">
        <v>6309</v>
      </c>
      <c r="E6223" s="140" t="s">
        <v>796</v>
      </c>
      <c r="F6223" s="140" t="s">
        <v>14221</v>
      </c>
      <c r="G6223" s="141" t="s">
        <v>6401</v>
      </c>
      <c r="H6223" s="140" t="s">
        <v>6312</v>
      </c>
      <c r="I6223" s="140" t="s">
        <v>6313</v>
      </c>
      <c r="J6223" s="140" t="s">
        <v>6314</v>
      </c>
      <c r="K6223" s="140" t="s">
        <v>7023</v>
      </c>
    </row>
    <row r="6224">
      <c r="A6224" s="140" t="s">
        <v>14134</v>
      </c>
      <c r="B6224" s="140">
        <v>6255.0</v>
      </c>
      <c r="C6224" s="140" t="s">
        <v>14236</v>
      </c>
      <c r="D6224" s="140" t="s">
        <v>6309</v>
      </c>
      <c r="E6224" s="140" t="s">
        <v>796</v>
      </c>
      <c r="F6224" s="140" t="s">
        <v>14221</v>
      </c>
      <c r="G6224" s="141" t="s">
        <v>6401</v>
      </c>
      <c r="H6224" s="140" t="s">
        <v>6312</v>
      </c>
      <c r="I6224" s="140" t="s">
        <v>6313</v>
      </c>
      <c r="J6224" s="140" t="s">
        <v>6314</v>
      </c>
      <c r="K6224" s="140" t="s">
        <v>7023</v>
      </c>
    </row>
    <row r="6225">
      <c r="A6225" s="140" t="s">
        <v>14134</v>
      </c>
      <c r="B6225" s="140">
        <v>6249.0</v>
      </c>
      <c r="C6225" s="140" t="s">
        <v>14237</v>
      </c>
      <c r="D6225" s="140" t="s">
        <v>6309</v>
      </c>
      <c r="E6225" s="140" t="s">
        <v>796</v>
      </c>
      <c r="F6225" s="140" t="s">
        <v>14221</v>
      </c>
      <c r="G6225" s="141" t="s">
        <v>6401</v>
      </c>
      <c r="H6225" s="140" t="s">
        <v>6312</v>
      </c>
      <c r="I6225" s="140" t="s">
        <v>6313</v>
      </c>
      <c r="J6225" s="140" t="s">
        <v>6314</v>
      </c>
      <c r="K6225" s="140" t="s">
        <v>7023</v>
      </c>
    </row>
    <row r="6226">
      <c r="A6226" s="140" t="s">
        <v>14134</v>
      </c>
      <c r="B6226" s="140">
        <v>6252.0</v>
      </c>
      <c r="C6226" s="140" t="s">
        <v>14238</v>
      </c>
      <c r="D6226" s="140" t="s">
        <v>6309</v>
      </c>
      <c r="E6226" s="140" t="s">
        <v>796</v>
      </c>
      <c r="F6226" s="140" t="s">
        <v>14221</v>
      </c>
      <c r="G6226" s="141" t="s">
        <v>6401</v>
      </c>
      <c r="H6226" s="140" t="s">
        <v>6312</v>
      </c>
      <c r="I6226" s="140" t="s">
        <v>6313</v>
      </c>
      <c r="J6226" s="140" t="s">
        <v>6314</v>
      </c>
      <c r="K6226" s="140" t="s">
        <v>7023</v>
      </c>
    </row>
    <row r="6227">
      <c r="A6227" s="140" t="s">
        <v>14134</v>
      </c>
      <c r="B6227" s="140">
        <v>6250.0</v>
      </c>
      <c r="C6227" s="140" t="s">
        <v>14239</v>
      </c>
      <c r="D6227" s="140" t="s">
        <v>6309</v>
      </c>
      <c r="E6227" s="140" t="s">
        <v>796</v>
      </c>
      <c r="F6227" s="140" t="s">
        <v>14221</v>
      </c>
      <c r="G6227" s="141" t="s">
        <v>6401</v>
      </c>
      <c r="H6227" s="140" t="s">
        <v>6312</v>
      </c>
      <c r="I6227" s="140" t="s">
        <v>6313</v>
      </c>
      <c r="J6227" s="140" t="s">
        <v>6314</v>
      </c>
      <c r="K6227" s="140" t="s">
        <v>7023</v>
      </c>
    </row>
    <row r="6228">
      <c r="A6228" s="140" t="s">
        <v>14134</v>
      </c>
      <c r="B6228" s="140">
        <v>6251.0</v>
      </c>
      <c r="C6228" s="140" t="s">
        <v>14240</v>
      </c>
      <c r="D6228" s="140" t="s">
        <v>6309</v>
      </c>
      <c r="E6228" s="140" t="s">
        <v>796</v>
      </c>
      <c r="F6228" s="140" t="s">
        <v>14221</v>
      </c>
      <c r="G6228" s="141" t="s">
        <v>6401</v>
      </c>
      <c r="H6228" s="140" t="s">
        <v>6312</v>
      </c>
      <c r="I6228" s="140" t="s">
        <v>6313</v>
      </c>
      <c r="J6228" s="140" t="s">
        <v>6314</v>
      </c>
      <c r="K6228" s="140" t="s">
        <v>7023</v>
      </c>
    </row>
    <row r="6229">
      <c r="A6229" s="140" t="s">
        <v>14134</v>
      </c>
      <c r="B6229" s="140">
        <v>6253.0</v>
      </c>
      <c r="C6229" s="140" t="s">
        <v>14241</v>
      </c>
      <c r="D6229" s="140" t="s">
        <v>6309</v>
      </c>
      <c r="E6229" s="140" t="s">
        <v>796</v>
      </c>
      <c r="F6229" s="140" t="s">
        <v>14221</v>
      </c>
      <c r="G6229" s="141" t="s">
        <v>6401</v>
      </c>
      <c r="H6229" s="140" t="s">
        <v>6312</v>
      </c>
      <c r="I6229" s="140" t="s">
        <v>6313</v>
      </c>
      <c r="J6229" s="140" t="s">
        <v>6314</v>
      </c>
      <c r="K6229" s="140" t="s">
        <v>7023</v>
      </c>
    </row>
    <row r="6230">
      <c r="A6230" s="140" t="s">
        <v>14134</v>
      </c>
      <c r="B6230" s="140">
        <v>6254.0</v>
      </c>
      <c r="C6230" s="140" t="s">
        <v>14242</v>
      </c>
      <c r="D6230" s="140" t="s">
        <v>6309</v>
      </c>
      <c r="E6230" s="140" t="s">
        <v>796</v>
      </c>
      <c r="F6230" s="140" t="s">
        <v>14221</v>
      </c>
      <c r="G6230" s="141" t="s">
        <v>6401</v>
      </c>
      <c r="H6230" s="140" t="s">
        <v>6312</v>
      </c>
      <c r="I6230" s="140" t="s">
        <v>6313</v>
      </c>
      <c r="J6230" s="140" t="s">
        <v>6314</v>
      </c>
      <c r="K6230" s="140" t="s">
        <v>7023</v>
      </c>
    </row>
    <row r="6231">
      <c r="A6231" s="140" t="s">
        <v>14243</v>
      </c>
      <c r="B6231" s="140" t="s">
        <v>14244</v>
      </c>
      <c r="C6231" s="140" t="s">
        <v>14245</v>
      </c>
      <c r="D6231" s="140" t="s">
        <v>6309</v>
      </c>
      <c r="E6231" s="140" t="s">
        <v>56</v>
      </c>
      <c r="F6231" s="140" t="s">
        <v>57</v>
      </c>
      <c r="G6231" s="141" t="s">
        <v>6401</v>
      </c>
      <c r="H6231" s="140" t="s">
        <v>6312</v>
      </c>
      <c r="I6231" s="140" t="s">
        <v>6313</v>
      </c>
      <c r="J6231" s="140" t="s">
        <v>6314</v>
      </c>
      <c r="K6231" s="140" t="s">
        <v>9070</v>
      </c>
    </row>
    <row r="6232">
      <c r="A6232" s="140" t="s">
        <v>14246</v>
      </c>
      <c r="B6232" s="143">
        <v>1.63415E12</v>
      </c>
      <c r="C6232" s="140" t="s">
        <v>14247</v>
      </c>
      <c r="D6232" s="140" t="s">
        <v>224</v>
      </c>
      <c r="E6232" s="140" t="s">
        <v>7685</v>
      </c>
      <c r="F6232" s="140" t="s">
        <v>7733</v>
      </c>
      <c r="G6232" s="141" t="s">
        <v>6401</v>
      </c>
      <c r="H6232" s="140" t="s">
        <v>6312</v>
      </c>
      <c r="I6232" s="140" t="s">
        <v>6313</v>
      </c>
      <c r="J6232" s="140" t="s">
        <v>6314</v>
      </c>
      <c r="K6232" s="140" t="s">
        <v>8954</v>
      </c>
    </row>
    <row r="6233">
      <c r="A6233" s="140" t="s">
        <v>14246</v>
      </c>
      <c r="B6233" s="143">
        <v>1.63415E12</v>
      </c>
      <c r="C6233" s="140" t="s">
        <v>14248</v>
      </c>
      <c r="D6233" s="140" t="s">
        <v>224</v>
      </c>
      <c r="E6233" s="140" t="s">
        <v>7685</v>
      </c>
      <c r="F6233" s="140" t="s">
        <v>7733</v>
      </c>
      <c r="G6233" s="141" t="s">
        <v>6401</v>
      </c>
      <c r="H6233" s="140" t="s">
        <v>6312</v>
      </c>
      <c r="I6233" s="140" t="s">
        <v>6313</v>
      </c>
      <c r="J6233" s="140" t="s">
        <v>6314</v>
      </c>
      <c r="K6233" s="140" t="s">
        <v>8954</v>
      </c>
    </row>
    <row r="6234">
      <c r="A6234" s="140" t="s">
        <v>14246</v>
      </c>
      <c r="B6234" s="143">
        <v>1.63415E12</v>
      </c>
      <c r="C6234" s="140" t="s">
        <v>14249</v>
      </c>
      <c r="D6234" s="140" t="s">
        <v>224</v>
      </c>
      <c r="E6234" s="140" t="s">
        <v>7685</v>
      </c>
      <c r="F6234" s="140" t="s">
        <v>7733</v>
      </c>
      <c r="G6234" s="141" t="s">
        <v>6401</v>
      </c>
      <c r="H6234" s="140" t="s">
        <v>6312</v>
      </c>
      <c r="I6234" s="140" t="s">
        <v>6313</v>
      </c>
      <c r="J6234" s="140" t="s">
        <v>6314</v>
      </c>
      <c r="K6234" s="140" t="s">
        <v>8954</v>
      </c>
    </row>
    <row r="6235">
      <c r="A6235" s="140" t="s">
        <v>14246</v>
      </c>
      <c r="B6235" s="143">
        <v>1.63415E12</v>
      </c>
      <c r="C6235" s="140" t="s">
        <v>14250</v>
      </c>
      <c r="D6235" s="140" t="s">
        <v>224</v>
      </c>
      <c r="E6235" s="140" t="s">
        <v>7685</v>
      </c>
      <c r="F6235" s="140" t="s">
        <v>7733</v>
      </c>
      <c r="G6235" s="141" t="s">
        <v>6401</v>
      </c>
      <c r="H6235" s="140" t="s">
        <v>6312</v>
      </c>
      <c r="I6235" s="140" t="s">
        <v>6313</v>
      </c>
      <c r="J6235" s="140" t="s">
        <v>6314</v>
      </c>
      <c r="K6235" s="140" t="s">
        <v>8954</v>
      </c>
    </row>
    <row r="6236">
      <c r="A6236" s="140" t="s">
        <v>14246</v>
      </c>
      <c r="B6236" s="143">
        <v>1.63415E12</v>
      </c>
      <c r="C6236" s="140" t="s">
        <v>14251</v>
      </c>
      <c r="D6236" s="140" t="s">
        <v>224</v>
      </c>
      <c r="E6236" s="140" t="s">
        <v>7685</v>
      </c>
      <c r="F6236" s="140" t="s">
        <v>7733</v>
      </c>
      <c r="G6236" s="141" t="s">
        <v>6401</v>
      </c>
      <c r="H6236" s="140" t="s">
        <v>6312</v>
      </c>
      <c r="I6236" s="140" t="s">
        <v>6313</v>
      </c>
      <c r="J6236" s="140" t="s">
        <v>6314</v>
      </c>
      <c r="K6236" s="140" t="s">
        <v>8954</v>
      </c>
    </row>
    <row r="6237">
      <c r="A6237" s="140" t="s">
        <v>14246</v>
      </c>
      <c r="B6237" s="143">
        <v>1.63415E12</v>
      </c>
      <c r="C6237" s="140" t="s">
        <v>14252</v>
      </c>
      <c r="D6237" s="140" t="s">
        <v>224</v>
      </c>
      <c r="E6237" s="140" t="s">
        <v>7685</v>
      </c>
      <c r="F6237" s="140" t="s">
        <v>7733</v>
      </c>
      <c r="G6237" s="141" t="s">
        <v>6401</v>
      </c>
      <c r="H6237" s="140" t="s">
        <v>6312</v>
      </c>
      <c r="I6237" s="140" t="s">
        <v>6313</v>
      </c>
      <c r="J6237" s="140" t="s">
        <v>6314</v>
      </c>
      <c r="K6237" s="140" t="s">
        <v>8954</v>
      </c>
    </row>
    <row r="6238">
      <c r="A6238" s="140" t="s">
        <v>14246</v>
      </c>
      <c r="B6238" s="143">
        <v>1.63415E12</v>
      </c>
      <c r="C6238" s="140" t="s">
        <v>14253</v>
      </c>
      <c r="D6238" s="140" t="s">
        <v>224</v>
      </c>
      <c r="E6238" s="140" t="s">
        <v>7685</v>
      </c>
      <c r="F6238" s="140" t="s">
        <v>7733</v>
      </c>
      <c r="G6238" s="141" t="s">
        <v>6401</v>
      </c>
      <c r="H6238" s="140" t="s">
        <v>6312</v>
      </c>
      <c r="I6238" s="140" t="s">
        <v>6313</v>
      </c>
      <c r="J6238" s="140" t="s">
        <v>6314</v>
      </c>
      <c r="K6238" s="140" t="s">
        <v>8954</v>
      </c>
    </row>
    <row r="6239">
      <c r="A6239" s="140" t="s">
        <v>14254</v>
      </c>
      <c r="B6239" s="140">
        <v>6181097.0</v>
      </c>
      <c r="C6239" s="140" t="s">
        <v>14255</v>
      </c>
      <c r="D6239" s="140" t="s">
        <v>6309</v>
      </c>
      <c r="E6239" s="140">
        <v>0.0</v>
      </c>
      <c r="F6239" s="140" t="s">
        <v>9294</v>
      </c>
      <c r="G6239" s="141" t="s">
        <v>6401</v>
      </c>
      <c r="H6239" s="140" t="s">
        <v>6312</v>
      </c>
      <c r="I6239" s="140" t="s">
        <v>6313</v>
      </c>
      <c r="J6239" s="140" t="s">
        <v>6314</v>
      </c>
      <c r="K6239" s="140" t="s">
        <v>6402</v>
      </c>
    </row>
    <row r="6240">
      <c r="A6240" s="140" t="s">
        <v>14254</v>
      </c>
      <c r="B6240" s="140">
        <v>6182205.0</v>
      </c>
      <c r="C6240" s="140" t="s">
        <v>14256</v>
      </c>
      <c r="D6240" s="140" t="s">
        <v>6309</v>
      </c>
      <c r="E6240" s="140" t="s">
        <v>1223</v>
      </c>
      <c r="F6240" s="140" t="s">
        <v>1223</v>
      </c>
      <c r="G6240" s="141" t="s">
        <v>6401</v>
      </c>
      <c r="H6240" s="140" t="s">
        <v>6312</v>
      </c>
      <c r="I6240" s="140" t="s">
        <v>6313</v>
      </c>
      <c r="J6240" s="140" t="s">
        <v>6314</v>
      </c>
      <c r="K6240" s="140" t="s">
        <v>6402</v>
      </c>
    </row>
    <row r="6241">
      <c r="A6241" s="140" t="s">
        <v>14254</v>
      </c>
      <c r="B6241" s="140">
        <v>6182204.0</v>
      </c>
      <c r="C6241" s="140" t="s">
        <v>14257</v>
      </c>
      <c r="D6241" s="140" t="s">
        <v>6309</v>
      </c>
      <c r="E6241" s="140" t="s">
        <v>1223</v>
      </c>
      <c r="F6241" s="140" t="s">
        <v>1223</v>
      </c>
      <c r="G6241" s="141" t="s">
        <v>6401</v>
      </c>
      <c r="H6241" s="140" t="s">
        <v>6312</v>
      </c>
      <c r="I6241" s="140" t="s">
        <v>6313</v>
      </c>
      <c r="J6241" s="140" t="s">
        <v>6314</v>
      </c>
      <c r="K6241" s="140" t="s">
        <v>6402</v>
      </c>
    </row>
    <row r="6242">
      <c r="A6242" s="140" t="s">
        <v>14254</v>
      </c>
      <c r="B6242" s="140">
        <v>6181109.0</v>
      </c>
      <c r="C6242" s="140" t="s">
        <v>14258</v>
      </c>
      <c r="D6242" s="140" t="s">
        <v>6309</v>
      </c>
      <c r="E6242" s="140" t="s">
        <v>47</v>
      </c>
      <c r="F6242" s="140" t="s">
        <v>7376</v>
      </c>
      <c r="G6242" s="141" t="s">
        <v>6401</v>
      </c>
      <c r="H6242" s="140" t="s">
        <v>6312</v>
      </c>
      <c r="I6242" s="140" t="s">
        <v>6313</v>
      </c>
      <c r="J6242" s="140" t="s">
        <v>6314</v>
      </c>
      <c r="K6242" s="140" t="s">
        <v>6402</v>
      </c>
    </row>
    <row r="6243">
      <c r="A6243" s="140" t="s">
        <v>14254</v>
      </c>
      <c r="B6243" s="140">
        <v>6181076.0</v>
      </c>
      <c r="C6243" s="140" t="s">
        <v>14259</v>
      </c>
      <c r="D6243" s="140" t="s">
        <v>6309</v>
      </c>
      <c r="E6243" s="140" t="s">
        <v>47</v>
      </c>
      <c r="F6243" s="140" t="s">
        <v>7376</v>
      </c>
      <c r="G6243" s="141" t="s">
        <v>6401</v>
      </c>
      <c r="H6243" s="140" t="s">
        <v>6312</v>
      </c>
      <c r="I6243" s="140" t="s">
        <v>6313</v>
      </c>
      <c r="J6243" s="140" t="s">
        <v>6314</v>
      </c>
      <c r="K6243" s="140" t="s">
        <v>6402</v>
      </c>
    </row>
    <row r="6244">
      <c r="A6244" s="140" t="s">
        <v>14254</v>
      </c>
      <c r="B6244" s="140">
        <v>6181094.0</v>
      </c>
      <c r="C6244" s="140" t="s">
        <v>14260</v>
      </c>
      <c r="D6244" s="140" t="s">
        <v>6309</v>
      </c>
      <c r="E6244" s="140" t="s">
        <v>47</v>
      </c>
      <c r="F6244" s="140" t="s">
        <v>7376</v>
      </c>
      <c r="G6244" s="141" t="s">
        <v>6401</v>
      </c>
      <c r="H6244" s="140" t="s">
        <v>6312</v>
      </c>
      <c r="I6244" s="140" t="s">
        <v>6313</v>
      </c>
      <c r="J6244" s="140" t="s">
        <v>6314</v>
      </c>
      <c r="K6244" s="140" t="s">
        <v>6402</v>
      </c>
    </row>
    <row r="6245">
      <c r="A6245" s="140" t="s">
        <v>14254</v>
      </c>
      <c r="B6245" s="140">
        <v>6181095.0</v>
      </c>
      <c r="C6245" s="140" t="s">
        <v>14261</v>
      </c>
      <c r="D6245" s="140" t="s">
        <v>6309</v>
      </c>
      <c r="E6245" s="140" t="s">
        <v>47</v>
      </c>
      <c r="F6245" s="140" t="s">
        <v>7376</v>
      </c>
      <c r="G6245" s="141" t="s">
        <v>6401</v>
      </c>
      <c r="H6245" s="140" t="s">
        <v>6312</v>
      </c>
      <c r="I6245" s="140" t="s">
        <v>6313</v>
      </c>
      <c r="J6245" s="140" t="s">
        <v>6314</v>
      </c>
      <c r="K6245" s="140" t="s">
        <v>6402</v>
      </c>
    </row>
    <row r="6246">
      <c r="A6246" s="140" t="s">
        <v>14254</v>
      </c>
      <c r="B6246" s="140">
        <v>6181195.0</v>
      </c>
      <c r="C6246" s="140" t="s">
        <v>14262</v>
      </c>
      <c r="D6246" s="140" t="s">
        <v>6309</v>
      </c>
      <c r="E6246" s="140" t="s">
        <v>47</v>
      </c>
      <c r="F6246" s="140" t="s">
        <v>7376</v>
      </c>
      <c r="G6246" s="141" t="s">
        <v>6401</v>
      </c>
      <c r="H6246" s="140" t="s">
        <v>6312</v>
      </c>
      <c r="I6246" s="140" t="s">
        <v>6313</v>
      </c>
      <c r="J6246" s="140" t="s">
        <v>6314</v>
      </c>
      <c r="K6246" s="140" t="s">
        <v>6402</v>
      </c>
    </row>
    <row r="6247">
      <c r="A6247" s="140" t="s">
        <v>14254</v>
      </c>
      <c r="B6247" s="140">
        <v>6181194.0</v>
      </c>
      <c r="C6247" s="140" t="s">
        <v>14263</v>
      </c>
      <c r="D6247" s="140" t="s">
        <v>6309</v>
      </c>
      <c r="E6247" s="140" t="s">
        <v>47</v>
      </c>
      <c r="F6247" s="140" t="s">
        <v>7376</v>
      </c>
      <c r="G6247" s="141" t="s">
        <v>6401</v>
      </c>
      <c r="H6247" s="140" t="s">
        <v>6312</v>
      </c>
      <c r="I6247" s="140" t="s">
        <v>6313</v>
      </c>
      <c r="J6247" s="140" t="s">
        <v>6314</v>
      </c>
      <c r="K6247" s="140" t="s">
        <v>6402</v>
      </c>
    </row>
    <row r="6248">
      <c r="A6248" s="140" t="s">
        <v>14254</v>
      </c>
      <c r="B6248" s="140">
        <v>6181111.0</v>
      </c>
      <c r="C6248" s="140" t="s">
        <v>14264</v>
      </c>
      <c r="D6248" s="140" t="s">
        <v>6309</v>
      </c>
      <c r="E6248" s="140" t="s">
        <v>47</v>
      </c>
      <c r="F6248" s="140" t="s">
        <v>7376</v>
      </c>
      <c r="G6248" s="141" t="s">
        <v>6401</v>
      </c>
      <c r="H6248" s="140" t="s">
        <v>6312</v>
      </c>
      <c r="I6248" s="140" t="s">
        <v>6313</v>
      </c>
      <c r="J6248" s="140" t="s">
        <v>6314</v>
      </c>
      <c r="K6248" s="140" t="s">
        <v>6402</v>
      </c>
    </row>
    <row r="6249">
      <c r="A6249" s="140" t="s">
        <v>14254</v>
      </c>
      <c r="B6249" s="140">
        <v>6181110.0</v>
      </c>
      <c r="C6249" s="140" t="s">
        <v>14265</v>
      </c>
      <c r="D6249" s="140" t="s">
        <v>6309</v>
      </c>
      <c r="E6249" s="140" t="s">
        <v>47</v>
      </c>
      <c r="F6249" s="140" t="s">
        <v>7376</v>
      </c>
      <c r="G6249" s="141" t="s">
        <v>6401</v>
      </c>
      <c r="H6249" s="140" t="s">
        <v>6312</v>
      </c>
      <c r="I6249" s="140" t="s">
        <v>6313</v>
      </c>
      <c r="J6249" s="140" t="s">
        <v>6314</v>
      </c>
      <c r="K6249" s="140" t="s">
        <v>6402</v>
      </c>
    </row>
    <row r="6250">
      <c r="A6250" s="140" t="s">
        <v>14254</v>
      </c>
      <c r="B6250" s="140">
        <v>6181140.0</v>
      </c>
      <c r="C6250" s="140" t="s">
        <v>14266</v>
      </c>
      <c r="D6250" s="140" t="s">
        <v>6309</v>
      </c>
      <c r="E6250" s="140" t="s">
        <v>47</v>
      </c>
      <c r="F6250" s="140" t="s">
        <v>7376</v>
      </c>
      <c r="G6250" s="141" t="s">
        <v>6401</v>
      </c>
      <c r="H6250" s="140" t="s">
        <v>6312</v>
      </c>
      <c r="I6250" s="140" t="s">
        <v>6313</v>
      </c>
      <c r="J6250" s="140" t="s">
        <v>6314</v>
      </c>
      <c r="K6250" s="140" t="s">
        <v>6402</v>
      </c>
    </row>
    <row r="6251">
      <c r="A6251" s="140" t="s">
        <v>14254</v>
      </c>
      <c r="B6251" s="140">
        <v>6181135.0</v>
      </c>
      <c r="C6251" s="140" t="s">
        <v>14267</v>
      </c>
      <c r="D6251" s="140" t="s">
        <v>6309</v>
      </c>
      <c r="E6251" s="140" t="s">
        <v>47</v>
      </c>
      <c r="F6251" s="140" t="s">
        <v>7376</v>
      </c>
      <c r="G6251" s="141" t="s">
        <v>6401</v>
      </c>
      <c r="H6251" s="140" t="s">
        <v>6312</v>
      </c>
      <c r="I6251" s="140" t="s">
        <v>6313</v>
      </c>
      <c r="J6251" s="140" t="s">
        <v>6314</v>
      </c>
      <c r="K6251" s="140" t="s">
        <v>6402</v>
      </c>
    </row>
    <row r="6252">
      <c r="A6252" s="140" t="s">
        <v>14254</v>
      </c>
      <c r="B6252" s="140">
        <v>6181091.0</v>
      </c>
      <c r="C6252" s="140" t="s">
        <v>14268</v>
      </c>
      <c r="D6252" s="140" t="s">
        <v>6309</v>
      </c>
      <c r="E6252" s="140" t="s">
        <v>47</v>
      </c>
      <c r="F6252" s="140" t="s">
        <v>7376</v>
      </c>
      <c r="G6252" s="141" t="s">
        <v>6401</v>
      </c>
      <c r="H6252" s="140" t="s">
        <v>6312</v>
      </c>
      <c r="I6252" s="140" t="s">
        <v>6313</v>
      </c>
      <c r="J6252" s="140" t="s">
        <v>6314</v>
      </c>
      <c r="K6252" s="140" t="s">
        <v>6402</v>
      </c>
    </row>
    <row r="6253">
      <c r="A6253" s="140" t="s">
        <v>14254</v>
      </c>
      <c r="B6253" s="140">
        <v>6181196.0</v>
      </c>
      <c r="C6253" s="140" t="s">
        <v>14269</v>
      </c>
      <c r="D6253" s="140" t="s">
        <v>6309</v>
      </c>
      <c r="E6253" s="140" t="s">
        <v>47</v>
      </c>
      <c r="F6253" s="140" t="s">
        <v>7376</v>
      </c>
      <c r="G6253" s="141" t="s">
        <v>6401</v>
      </c>
      <c r="H6253" s="140" t="s">
        <v>6312</v>
      </c>
      <c r="I6253" s="140" t="s">
        <v>6313</v>
      </c>
      <c r="J6253" s="140" t="s">
        <v>6314</v>
      </c>
      <c r="K6253" s="140" t="s">
        <v>6402</v>
      </c>
    </row>
    <row r="6254">
      <c r="A6254" s="140" t="s">
        <v>14254</v>
      </c>
      <c r="B6254" s="140">
        <v>6181136.0</v>
      </c>
      <c r="C6254" s="140" t="s">
        <v>14270</v>
      </c>
      <c r="D6254" s="140" t="s">
        <v>6309</v>
      </c>
      <c r="E6254" s="140" t="s">
        <v>47</v>
      </c>
      <c r="F6254" s="140" t="s">
        <v>7376</v>
      </c>
      <c r="G6254" s="141" t="s">
        <v>6401</v>
      </c>
      <c r="H6254" s="140" t="s">
        <v>6312</v>
      </c>
      <c r="I6254" s="140" t="s">
        <v>6313</v>
      </c>
      <c r="J6254" s="140" t="s">
        <v>6314</v>
      </c>
      <c r="K6254" s="140" t="s">
        <v>6402</v>
      </c>
    </row>
    <row r="6255">
      <c r="A6255" s="140" t="s">
        <v>14254</v>
      </c>
      <c r="B6255" s="140">
        <v>6181075.0</v>
      </c>
      <c r="C6255" s="140" t="s">
        <v>14271</v>
      </c>
      <c r="D6255" s="140" t="s">
        <v>6309</v>
      </c>
      <c r="E6255" s="140" t="s">
        <v>47</v>
      </c>
      <c r="F6255" s="140" t="s">
        <v>7376</v>
      </c>
      <c r="G6255" s="141" t="s">
        <v>6401</v>
      </c>
      <c r="H6255" s="140" t="s">
        <v>6312</v>
      </c>
      <c r="I6255" s="140" t="s">
        <v>6313</v>
      </c>
      <c r="J6255" s="140" t="s">
        <v>6314</v>
      </c>
      <c r="K6255" s="140" t="s">
        <v>6402</v>
      </c>
    </row>
    <row r="6256">
      <c r="A6256" s="140" t="s">
        <v>14254</v>
      </c>
      <c r="B6256" s="140">
        <v>6181130.0</v>
      </c>
      <c r="C6256" s="140" t="s">
        <v>14272</v>
      </c>
      <c r="D6256" s="140" t="s">
        <v>6309</v>
      </c>
      <c r="E6256" s="140" t="s">
        <v>47</v>
      </c>
      <c r="F6256" s="140" t="s">
        <v>7376</v>
      </c>
      <c r="G6256" s="141" t="s">
        <v>6401</v>
      </c>
      <c r="H6256" s="140" t="s">
        <v>6312</v>
      </c>
      <c r="I6256" s="140" t="s">
        <v>6313</v>
      </c>
      <c r="J6256" s="140" t="s">
        <v>6314</v>
      </c>
      <c r="K6256" s="140" t="s">
        <v>6402</v>
      </c>
    </row>
    <row r="6257">
      <c r="A6257" s="140" t="s">
        <v>14254</v>
      </c>
      <c r="B6257" s="140">
        <v>6181090.0</v>
      </c>
      <c r="C6257" s="140" t="s">
        <v>14273</v>
      </c>
      <c r="D6257" s="140" t="s">
        <v>6309</v>
      </c>
      <c r="E6257" s="140" t="s">
        <v>47</v>
      </c>
      <c r="F6257" s="140" t="s">
        <v>7376</v>
      </c>
      <c r="G6257" s="141" t="s">
        <v>6401</v>
      </c>
      <c r="H6257" s="140" t="s">
        <v>6312</v>
      </c>
      <c r="I6257" s="140" t="s">
        <v>6313</v>
      </c>
      <c r="J6257" s="140" t="s">
        <v>6314</v>
      </c>
      <c r="K6257" s="140" t="s">
        <v>6402</v>
      </c>
    </row>
    <row r="6258">
      <c r="A6258" s="140" t="s">
        <v>14254</v>
      </c>
      <c r="B6258" s="140">
        <v>6181222.0</v>
      </c>
      <c r="C6258" s="140" t="s">
        <v>14274</v>
      </c>
      <c r="D6258" s="140" t="s">
        <v>6309</v>
      </c>
      <c r="E6258" s="140" t="s">
        <v>47</v>
      </c>
      <c r="F6258" s="140" t="s">
        <v>7376</v>
      </c>
      <c r="G6258" s="141" t="s">
        <v>6401</v>
      </c>
      <c r="H6258" s="140" t="s">
        <v>6312</v>
      </c>
      <c r="I6258" s="140" t="s">
        <v>6313</v>
      </c>
      <c r="J6258" s="140" t="s">
        <v>6314</v>
      </c>
      <c r="K6258" s="140" t="s">
        <v>6402</v>
      </c>
    </row>
    <row r="6259">
      <c r="A6259" s="140" t="s">
        <v>14254</v>
      </c>
      <c r="B6259" s="140">
        <v>6181220.0</v>
      </c>
      <c r="C6259" s="140" t="s">
        <v>14275</v>
      </c>
      <c r="D6259" s="140" t="s">
        <v>6309</v>
      </c>
      <c r="E6259" s="140" t="s">
        <v>47</v>
      </c>
      <c r="F6259" s="140" t="s">
        <v>7376</v>
      </c>
      <c r="G6259" s="141" t="s">
        <v>6401</v>
      </c>
      <c r="H6259" s="140" t="s">
        <v>6312</v>
      </c>
      <c r="I6259" s="140" t="s">
        <v>6313</v>
      </c>
      <c r="J6259" s="140" t="s">
        <v>6314</v>
      </c>
      <c r="K6259" s="140" t="s">
        <v>6402</v>
      </c>
    </row>
    <row r="6260">
      <c r="A6260" s="140" t="s">
        <v>14254</v>
      </c>
      <c r="B6260" s="140">
        <v>6182252.0</v>
      </c>
      <c r="C6260" s="140" t="s">
        <v>14276</v>
      </c>
      <c r="D6260" s="140" t="s">
        <v>6309</v>
      </c>
      <c r="E6260" s="140" t="s">
        <v>56</v>
      </c>
      <c r="F6260" s="140" t="s">
        <v>64</v>
      </c>
      <c r="G6260" s="141" t="s">
        <v>6401</v>
      </c>
      <c r="H6260" s="140" t="s">
        <v>6312</v>
      </c>
      <c r="I6260" s="140" t="s">
        <v>6313</v>
      </c>
      <c r="J6260" s="140" t="s">
        <v>6314</v>
      </c>
      <c r="K6260" s="140" t="s">
        <v>6402</v>
      </c>
    </row>
    <row r="6261">
      <c r="A6261" s="140" t="s">
        <v>14254</v>
      </c>
      <c r="B6261" s="140">
        <v>6181104.0</v>
      </c>
      <c r="C6261" s="140" t="s">
        <v>14277</v>
      </c>
      <c r="D6261" s="140" t="s">
        <v>6309</v>
      </c>
      <c r="E6261" s="140" t="s">
        <v>56</v>
      </c>
      <c r="F6261" s="140" t="s">
        <v>64</v>
      </c>
      <c r="G6261" s="141" t="s">
        <v>6401</v>
      </c>
      <c r="H6261" s="140" t="s">
        <v>6312</v>
      </c>
      <c r="I6261" s="140" t="s">
        <v>6313</v>
      </c>
      <c r="J6261" s="140" t="s">
        <v>6314</v>
      </c>
      <c r="K6261" s="140" t="s">
        <v>6402</v>
      </c>
    </row>
    <row r="6262">
      <c r="A6262" s="140" t="s">
        <v>14254</v>
      </c>
      <c r="B6262" s="140">
        <v>6181105.0</v>
      </c>
      <c r="C6262" s="140" t="s">
        <v>14278</v>
      </c>
      <c r="D6262" s="140" t="s">
        <v>6309</v>
      </c>
      <c r="E6262" s="140" t="s">
        <v>56</v>
      </c>
      <c r="F6262" s="140" t="s">
        <v>64</v>
      </c>
      <c r="G6262" s="141" t="s">
        <v>6401</v>
      </c>
      <c r="H6262" s="140" t="s">
        <v>6312</v>
      </c>
      <c r="I6262" s="140" t="s">
        <v>6313</v>
      </c>
      <c r="J6262" s="140" t="s">
        <v>6314</v>
      </c>
      <c r="K6262" s="140" t="s">
        <v>6402</v>
      </c>
    </row>
    <row r="6263">
      <c r="A6263" s="140" t="s">
        <v>14254</v>
      </c>
      <c r="B6263" s="140">
        <v>6181103.0</v>
      </c>
      <c r="C6263" s="140" t="s">
        <v>14279</v>
      </c>
      <c r="D6263" s="140" t="s">
        <v>6309</v>
      </c>
      <c r="E6263" s="140" t="s">
        <v>56</v>
      </c>
      <c r="F6263" s="140" t="s">
        <v>64</v>
      </c>
      <c r="G6263" s="141" t="s">
        <v>6401</v>
      </c>
      <c r="H6263" s="140" t="s">
        <v>6312</v>
      </c>
      <c r="I6263" s="140" t="s">
        <v>6313</v>
      </c>
      <c r="J6263" s="140" t="s">
        <v>6314</v>
      </c>
      <c r="K6263" s="140" t="s">
        <v>6402</v>
      </c>
    </row>
    <row r="6264">
      <c r="A6264" s="140" t="s">
        <v>14254</v>
      </c>
      <c r="B6264" s="140">
        <v>6182251.0</v>
      </c>
      <c r="C6264" s="140" t="s">
        <v>14280</v>
      </c>
      <c r="D6264" s="140" t="s">
        <v>6309</v>
      </c>
      <c r="E6264" s="140" t="s">
        <v>56</v>
      </c>
      <c r="F6264" s="140" t="s">
        <v>64</v>
      </c>
      <c r="G6264" s="141" t="s">
        <v>6401</v>
      </c>
      <c r="H6264" s="140" t="s">
        <v>6312</v>
      </c>
      <c r="I6264" s="140" t="s">
        <v>6313</v>
      </c>
      <c r="J6264" s="140" t="s">
        <v>6314</v>
      </c>
      <c r="K6264" s="140" t="s">
        <v>6402</v>
      </c>
    </row>
    <row r="6265">
      <c r="A6265" s="140" t="s">
        <v>14254</v>
      </c>
      <c r="B6265" s="140">
        <v>6182254.0</v>
      </c>
      <c r="C6265" s="140" t="s">
        <v>14281</v>
      </c>
      <c r="D6265" s="140" t="s">
        <v>6309</v>
      </c>
      <c r="E6265" s="140" t="s">
        <v>56</v>
      </c>
      <c r="F6265" s="140" t="s">
        <v>64</v>
      </c>
      <c r="G6265" s="141" t="s">
        <v>6401</v>
      </c>
      <c r="H6265" s="140" t="s">
        <v>6312</v>
      </c>
      <c r="I6265" s="140" t="s">
        <v>6313</v>
      </c>
      <c r="J6265" s="140" t="s">
        <v>6314</v>
      </c>
      <c r="K6265" s="140" t="s">
        <v>6402</v>
      </c>
    </row>
    <row r="6266">
      <c r="A6266" s="140" t="s">
        <v>14254</v>
      </c>
      <c r="B6266" s="140">
        <v>6181088.0</v>
      </c>
      <c r="C6266" s="140" t="s">
        <v>14282</v>
      </c>
      <c r="D6266" s="140" t="s">
        <v>6309</v>
      </c>
      <c r="E6266" s="140" t="s">
        <v>56</v>
      </c>
      <c r="F6266" s="140" t="s">
        <v>9294</v>
      </c>
      <c r="G6266" s="141" t="s">
        <v>6401</v>
      </c>
      <c r="H6266" s="140" t="s">
        <v>6312</v>
      </c>
      <c r="I6266" s="140" t="s">
        <v>6313</v>
      </c>
      <c r="J6266" s="140" t="s">
        <v>6314</v>
      </c>
      <c r="K6266" s="140" t="s">
        <v>6402</v>
      </c>
    </row>
    <row r="6267">
      <c r="A6267" s="140" t="s">
        <v>14254</v>
      </c>
      <c r="B6267" s="140">
        <v>6181096.0</v>
      </c>
      <c r="C6267" s="140" t="s">
        <v>14283</v>
      </c>
      <c r="D6267" s="140" t="s">
        <v>6309</v>
      </c>
      <c r="E6267" s="140" t="s">
        <v>9294</v>
      </c>
      <c r="F6267" s="140" t="s">
        <v>9294</v>
      </c>
      <c r="G6267" s="141" t="s">
        <v>6401</v>
      </c>
      <c r="H6267" s="140" t="s">
        <v>6312</v>
      </c>
      <c r="I6267" s="140" t="s">
        <v>6313</v>
      </c>
      <c r="J6267" s="140" t="s">
        <v>6314</v>
      </c>
      <c r="K6267" s="140" t="s">
        <v>6402</v>
      </c>
    </row>
    <row r="6268">
      <c r="A6268" s="140" t="s">
        <v>14254</v>
      </c>
      <c r="B6268" s="140">
        <v>6181072.0</v>
      </c>
      <c r="C6268" s="140" t="s">
        <v>14284</v>
      </c>
      <c r="D6268" s="140" t="s">
        <v>6309</v>
      </c>
      <c r="E6268" s="140" t="s">
        <v>9294</v>
      </c>
      <c r="F6268" s="140" t="s">
        <v>9294</v>
      </c>
      <c r="G6268" s="141" t="s">
        <v>6401</v>
      </c>
      <c r="H6268" s="140" t="s">
        <v>6312</v>
      </c>
      <c r="I6268" s="140" t="s">
        <v>6313</v>
      </c>
      <c r="J6268" s="140" t="s">
        <v>6314</v>
      </c>
      <c r="K6268" s="140" t="s">
        <v>6402</v>
      </c>
    </row>
    <row r="6269">
      <c r="A6269" s="140" t="s">
        <v>5821</v>
      </c>
      <c r="B6269" s="140">
        <v>194905.0</v>
      </c>
      <c r="C6269" s="140" t="s">
        <v>14285</v>
      </c>
      <c r="D6269" s="140" t="s">
        <v>6318</v>
      </c>
      <c r="E6269" s="140" t="s">
        <v>1180</v>
      </c>
      <c r="F6269" s="140" t="s">
        <v>1181</v>
      </c>
      <c r="G6269" s="141" t="s">
        <v>6311</v>
      </c>
      <c r="H6269" s="140" t="s">
        <v>6312</v>
      </c>
      <c r="I6269" s="140" t="s">
        <v>6313</v>
      </c>
      <c r="J6269" s="140" t="s">
        <v>6314</v>
      </c>
      <c r="K6269" s="140" t="s">
        <v>6320</v>
      </c>
    </row>
    <row r="6270">
      <c r="A6270" s="140" t="s">
        <v>5821</v>
      </c>
      <c r="B6270" s="140">
        <v>150287.0</v>
      </c>
      <c r="C6270" s="140" t="s">
        <v>5813</v>
      </c>
      <c r="D6270" s="140" t="s">
        <v>6318</v>
      </c>
      <c r="E6270" s="140" t="s">
        <v>1180</v>
      </c>
      <c r="F6270" s="140" t="s">
        <v>1181</v>
      </c>
      <c r="G6270" s="141" t="s">
        <v>6311</v>
      </c>
      <c r="H6270" s="140" t="s">
        <v>6312</v>
      </c>
      <c r="I6270" s="140" t="s">
        <v>6313</v>
      </c>
      <c r="J6270" s="140" t="s">
        <v>6314</v>
      </c>
      <c r="K6270" s="140" t="s">
        <v>6320</v>
      </c>
    </row>
    <row r="6271">
      <c r="A6271" s="140" t="s">
        <v>5821</v>
      </c>
      <c r="B6271" s="140">
        <v>150285.0</v>
      </c>
      <c r="C6271" s="140" t="s">
        <v>14286</v>
      </c>
      <c r="D6271" s="140" t="s">
        <v>6318</v>
      </c>
      <c r="E6271" s="140" t="s">
        <v>1180</v>
      </c>
      <c r="F6271" s="140" t="s">
        <v>1181</v>
      </c>
      <c r="G6271" s="141" t="s">
        <v>6311</v>
      </c>
      <c r="H6271" s="140" t="s">
        <v>6312</v>
      </c>
      <c r="I6271" s="140" t="s">
        <v>6313</v>
      </c>
      <c r="J6271" s="140" t="s">
        <v>6314</v>
      </c>
      <c r="K6271" s="140" t="s">
        <v>6320</v>
      </c>
    </row>
    <row r="6272">
      <c r="A6272" s="140" t="s">
        <v>5821</v>
      </c>
      <c r="B6272" s="140">
        <v>160753.0</v>
      </c>
      <c r="C6272" s="140" t="s">
        <v>5809</v>
      </c>
      <c r="D6272" s="140" t="s">
        <v>6318</v>
      </c>
      <c r="E6272" s="140" t="s">
        <v>1180</v>
      </c>
      <c r="F6272" s="140" t="s">
        <v>1181</v>
      </c>
      <c r="G6272" s="141" t="s">
        <v>6311</v>
      </c>
      <c r="H6272" s="140" t="s">
        <v>6312</v>
      </c>
      <c r="I6272" s="140" t="s">
        <v>6313</v>
      </c>
      <c r="J6272" s="140" t="s">
        <v>6314</v>
      </c>
      <c r="K6272" s="140" t="s">
        <v>6320</v>
      </c>
    </row>
    <row r="6273">
      <c r="A6273" s="140" t="s">
        <v>5821</v>
      </c>
      <c r="B6273" s="140">
        <v>188942.0</v>
      </c>
      <c r="C6273" s="140" t="s">
        <v>14287</v>
      </c>
      <c r="D6273" s="140" t="s">
        <v>6318</v>
      </c>
      <c r="E6273" s="140" t="s">
        <v>1180</v>
      </c>
      <c r="F6273" s="140" t="s">
        <v>1181</v>
      </c>
      <c r="G6273" s="141" t="s">
        <v>6311</v>
      </c>
      <c r="H6273" s="140" t="s">
        <v>6312</v>
      </c>
      <c r="I6273" s="140" t="s">
        <v>6313</v>
      </c>
      <c r="J6273" s="140" t="s">
        <v>6314</v>
      </c>
      <c r="K6273" s="140" t="s">
        <v>6320</v>
      </c>
    </row>
    <row r="6274">
      <c r="A6274" s="140" t="s">
        <v>5821</v>
      </c>
      <c r="B6274" s="140">
        <v>134522.0</v>
      </c>
      <c r="C6274" s="140" t="s">
        <v>14288</v>
      </c>
      <c r="D6274" s="140" t="s">
        <v>6318</v>
      </c>
      <c r="E6274" s="140" t="s">
        <v>1180</v>
      </c>
      <c r="F6274" s="140" t="s">
        <v>1181</v>
      </c>
      <c r="G6274" s="141" t="s">
        <v>6311</v>
      </c>
      <c r="H6274" s="140" t="s">
        <v>6312</v>
      </c>
      <c r="I6274" s="140" t="s">
        <v>6313</v>
      </c>
      <c r="J6274" s="140" t="s">
        <v>6314</v>
      </c>
      <c r="K6274" s="140" t="s">
        <v>6320</v>
      </c>
    </row>
    <row r="6275">
      <c r="A6275" s="140" t="s">
        <v>5821</v>
      </c>
      <c r="B6275" s="140">
        <v>176976.0</v>
      </c>
      <c r="C6275" s="140" t="s">
        <v>14289</v>
      </c>
      <c r="D6275" s="140" t="s">
        <v>6318</v>
      </c>
      <c r="E6275" s="140" t="s">
        <v>1180</v>
      </c>
      <c r="F6275" s="140" t="s">
        <v>1181</v>
      </c>
      <c r="G6275" s="141" t="s">
        <v>6311</v>
      </c>
      <c r="H6275" s="140" t="s">
        <v>6312</v>
      </c>
      <c r="I6275" s="140" t="s">
        <v>6313</v>
      </c>
      <c r="J6275" s="140" t="s">
        <v>6314</v>
      </c>
      <c r="K6275" s="140" t="s">
        <v>6320</v>
      </c>
    </row>
    <row r="6276">
      <c r="A6276" s="140" t="s">
        <v>5821</v>
      </c>
      <c r="B6276" s="140" t="s">
        <v>14290</v>
      </c>
      <c r="C6276" s="140" t="s">
        <v>14291</v>
      </c>
      <c r="D6276" s="140" t="s">
        <v>6318</v>
      </c>
      <c r="E6276" s="140" t="s">
        <v>1180</v>
      </c>
      <c r="F6276" s="140" t="s">
        <v>1181</v>
      </c>
      <c r="G6276" s="141" t="s">
        <v>6311</v>
      </c>
      <c r="H6276" s="140" t="s">
        <v>6312</v>
      </c>
      <c r="I6276" s="140" t="s">
        <v>6313</v>
      </c>
      <c r="J6276" s="140" t="s">
        <v>6314</v>
      </c>
      <c r="K6276" s="140" t="s">
        <v>6320</v>
      </c>
    </row>
    <row r="6277">
      <c r="A6277" s="140" t="s">
        <v>5821</v>
      </c>
      <c r="B6277" s="140">
        <v>160616.0</v>
      </c>
      <c r="C6277" s="140" t="s">
        <v>5811</v>
      </c>
      <c r="D6277" s="140" t="s">
        <v>6318</v>
      </c>
      <c r="E6277" s="140" t="s">
        <v>1180</v>
      </c>
      <c r="F6277" s="140" t="s">
        <v>5810</v>
      </c>
      <c r="G6277" s="141" t="s">
        <v>6311</v>
      </c>
      <c r="H6277" s="140" t="s">
        <v>6312</v>
      </c>
      <c r="I6277" s="140" t="s">
        <v>6313</v>
      </c>
      <c r="J6277" s="140" t="s">
        <v>6314</v>
      </c>
      <c r="K6277" s="140" t="s">
        <v>6320</v>
      </c>
    </row>
    <row r="6278">
      <c r="A6278" s="140" t="s">
        <v>5821</v>
      </c>
      <c r="B6278" s="140">
        <v>154707.0</v>
      </c>
      <c r="C6278" s="140" t="s">
        <v>14292</v>
      </c>
      <c r="D6278" s="140" t="s">
        <v>6318</v>
      </c>
      <c r="E6278" s="140" t="s">
        <v>1180</v>
      </c>
      <c r="F6278" s="140" t="s">
        <v>5810</v>
      </c>
      <c r="G6278" s="141" t="s">
        <v>6311</v>
      </c>
      <c r="H6278" s="140" t="s">
        <v>6312</v>
      </c>
      <c r="I6278" s="140" t="s">
        <v>6313</v>
      </c>
      <c r="J6278" s="140" t="s">
        <v>6314</v>
      </c>
      <c r="K6278" s="140" t="s">
        <v>6320</v>
      </c>
    </row>
    <row r="6279">
      <c r="A6279" s="140" t="s">
        <v>5821</v>
      </c>
      <c r="B6279" s="140">
        <v>134801.0</v>
      </c>
      <c r="C6279" s="140" t="s">
        <v>14293</v>
      </c>
      <c r="D6279" s="140" t="s">
        <v>6318</v>
      </c>
      <c r="E6279" s="140" t="s">
        <v>1180</v>
      </c>
      <c r="F6279" s="140" t="s">
        <v>5810</v>
      </c>
      <c r="G6279" s="141" t="s">
        <v>6311</v>
      </c>
      <c r="H6279" s="140" t="s">
        <v>6312</v>
      </c>
      <c r="I6279" s="140" t="s">
        <v>6313</v>
      </c>
      <c r="J6279" s="140" t="s">
        <v>6314</v>
      </c>
      <c r="K6279" s="140" t="s">
        <v>6320</v>
      </c>
    </row>
    <row r="6280">
      <c r="A6280" s="140" t="s">
        <v>5821</v>
      </c>
      <c r="B6280" s="140" t="s">
        <v>6081</v>
      </c>
      <c r="C6280" s="140" t="s">
        <v>14294</v>
      </c>
      <c r="D6280" s="140" t="s">
        <v>6318</v>
      </c>
      <c r="E6280" s="140" t="s">
        <v>1180</v>
      </c>
      <c r="F6280" s="140" t="s">
        <v>5810</v>
      </c>
      <c r="G6280" s="141" t="s">
        <v>6311</v>
      </c>
      <c r="H6280" s="140" t="s">
        <v>6312</v>
      </c>
      <c r="I6280" s="140" t="s">
        <v>6313</v>
      </c>
      <c r="J6280" s="140" t="s">
        <v>6314</v>
      </c>
      <c r="K6280" s="140" t="s">
        <v>6320</v>
      </c>
    </row>
    <row r="6281">
      <c r="A6281" s="140" t="s">
        <v>5821</v>
      </c>
      <c r="B6281" s="140">
        <v>134802.0</v>
      </c>
      <c r="C6281" s="140" t="s">
        <v>14295</v>
      </c>
      <c r="D6281" s="140" t="s">
        <v>6318</v>
      </c>
      <c r="E6281" s="140" t="s">
        <v>1180</v>
      </c>
      <c r="F6281" s="140" t="s">
        <v>1195</v>
      </c>
      <c r="G6281" s="141" t="s">
        <v>6311</v>
      </c>
      <c r="H6281" s="140" t="s">
        <v>6312</v>
      </c>
      <c r="I6281" s="140" t="s">
        <v>6313</v>
      </c>
      <c r="J6281" s="140" t="s">
        <v>6314</v>
      </c>
      <c r="K6281" s="140" t="s">
        <v>6320</v>
      </c>
    </row>
    <row r="6282">
      <c r="A6282" s="140" t="s">
        <v>5821</v>
      </c>
      <c r="B6282" s="140">
        <v>188914.0</v>
      </c>
      <c r="C6282" s="140" t="s">
        <v>5822</v>
      </c>
      <c r="D6282" s="140" t="s">
        <v>6318</v>
      </c>
      <c r="E6282" s="140" t="s">
        <v>1180</v>
      </c>
      <c r="F6282" s="140" t="s">
        <v>1195</v>
      </c>
      <c r="G6282" s="141" t="s">
        <v>6311</v>
      </c>
      <c r="H6282" s="140" t="s">
        <v>6312</v>
      </c>
      <c r="I6282" s="140" t="s">
        <v>6313</v>
      </c>
      <c r="J6282" s="140" t="s">
        <v>6314</v>
      </c>
      <c r="K6282" s="140" t="s">
        <v>6320</v>
      </c>
    </row>
    <row r="6283">
      <c r="A6283" s="140" t="s">
        <v>5821</v>
      </c>
      <c r="B6283" s="140">
        <v>136194.0</v>
      </c>
      <c r="C6283" s="140" t="s">
        <v>14296</v>
      </c>
      <c r="D6283" s="140" t="s">
        <v>6318</v>
      </c>
      <c r="E6283" s="140" t="s">
        <v>6323</v>
      </c>
      <c r="F6283" s="140" t="s">
        <v>5774</v>
      </c>
      <c r="G6283" s="141" t="s">
        <v>6311</v>
      </c>
      <c r="H6283" s="140" t="s">
        <v>6312</v>
      </c>
      <c r="I6283" s="140" t="s">
        <v>6313</v>
      </c>
      <c r="J6283" s="140" t="s">
        <v>6314</v>
      </c>
      <c r="K6283" s="140" t="s">
        <v>6320</v>
      </c>
    </row>
    <row r="6284">
      <c r="A6284" s="140" t="s">
        <v>5821</v>
      </c>
      <c r="B6284" s="140">
        <v>176926.0</v>
      </c>
      <c r="C6284" s="140" t="s">
        <v>5814</v>
      </c>
      <c r="D6284" s="140" t="s">
        <v>6318</v>
      </c>
      <c r="E6284" s="140" t="s">
        <v>6323</v>
      </c>
      <c r="F6284" s="140" t="s">
        <v>5774</v>
      </c>
      <c r="G6284" s="141" t="s">
        <v>6311</v>
      </c>
      <c r="H6284" s="140" t="s">
        <v>6312</v>
      </c>
      <c r="I6284" s="140" t="s">
        <v>6313</v>
      </c>
      <c r="J6284" s="140" t="s">
        <v>6314</v>
      </c>
      <c r="K6284" s="140" t="s">
        <v>6320</v>
      </c>
    </row>
    <row r="6285">
      <c r="A6285" s="140" t="s">
        <v>5821</v>
      </c>
      <c r="B6285" s="140">
        <v>188455.0</v>
      </c>
      <c r="C6285" s="140" t="s">
        <v>5815</v>
      </c>
      <c r="D6285" s="140" t="s">
        <v>6318</v>
      </c>
      <c r="E6285" s="140" t="s">
        <v>6323</v>
      </c>
      <c r="F6285" s="140" t="s">
        <v>5774</v>
      </c>
      <c r="G6285" s="141" t="s">
        <v>6311</v>
      </c>
      <c r="H6285" s="140" t="s">
        <v>6312</v>
      </c>
      <c r="I6285" s="140" t="s">
        <v>6313</v>
      </c>
      <c r="J6285" s="140" t="s">
        <v>6314</v>
      </c>
      <c r="K6285" s="140" t="s">
        <v>6320</v>
      </c>
    </row>
    <row r="6286">
      <c r="A6286" s="140" t="s">
        <v>5821</v>
      </c>
      <c r="B6286" s="140">
        <v>145763.0</v>
      </c>
      <c r="C6286" s="140" t="s">
        <v>14297</v>
      </c>
      <c r="D6286" s="140" t="s">
        <v>6318</v>
      </c>
      <c r="E6286" s="140" t="s">
        <v>6323</v>
      </c>
      <c r="F6286" s="140" t="s">
        <v>5774</v>
      </c>
      <c r="G6286" s="141" t="s">
        <v>6311</v>
      </c>
      <c r="H6286" s="140" t="s">
        <v>6312</v>
      </c>
      <c r="I6286" s="140" t="s">
        <v>6313</v>
      </c>
      <c r="J6286" s="140" t="s">
        <v>6314</v>
      </c>
      <c r="K6286" s="140" t="s">
        <v>6320</v>
      </c>
    </row>
    <row r="6287">
      <c r="A6287" s="140" t="s">
        <v>5821</v>
      </c>
      <c r="B6287" s="140">
        <v>150083.0</v>
      </c>
      <c r="C6287" s="140" t="s">
        <v>14298</v>
      </c>
      <c r="D6287" s="140" t="s">
        <v>6318</v>
      </c>
      <c r="E6287" s="140" t="s">
        <v>6323</v>
      </c>
      <c r="F6287" s="140" t="s">
        <v>5774</v>
      </c>
      <c r="G6287" s="141" t="s">
        <v>6311</v>
      </c>
      <c r="H6287" s="140" t="s">
        <v>6312</v>
      </c>
      <c r="I6287" s="140" t="s">
        <v>6313</v>
      </c>
      <c r="J6287" s="140" t="s">
        <v>6314</v>
      </c>
      <c r="K6287" s="140" t="s">
        <v>6320</v>
      </c>
    </row>
    <row r="6288">
      <c r="A6288" s="140" t="s">
        <v>5821</v>
      </c>
      <c r="B6288" s="140">
        <v>176927.0</v>
      </c>
      <c r="C6288" s="140" t="s">
        <v>14299</v>
      </c>
      <c r="D6288" s="140" t="s">
        <v>6318</v>
      </c>
      <c r="E6288" s="140" t="s">
        <v>6323</v>
      </c>
      <c r="F6288" s="140" t="s">
        <v>5774</v>
      </c>
      <c r="G6288" s="141" t="s">
        <v>6311</v>
      </c>
      <c r="H6288" s="140" t="s">
        <v>6312</v>
      </c>
      <c r="I6288" s="140" t="s">
        <v>6313</v>
      </c>
      <c r="J6288" s="140" t="s">
        <v>6314</v>
      </c>
      <c r="K6288" s="140" t="s">
        <v>6320</v>
      </c>
    </row>
    <row r="6289">
      <c r="A6289" s="140" t="s">
        <v>5821</v>
      </c>
      <c r="B6289" s="140">
        <v>146605.0</v>
      </c>
      <c r="C6289" s="140" t="s">
        <v>14300</v>
      </c>
      <c r="D6289" s="140" t="s">
        <v>6318</v>
      </c>
      <c r="E6289" s="140" t="s">
        <v>1225</v>
      </c>
      <c r="F6289" s="140" t="s">
        <v>1243</v>
      </c>
      <c r="G6289" s="141" t="s">
        <v>6311</v>
      </c>
      <c r="H6289" s="140" t="s">
        <v>6312</v>
      </c>
      <c r="I6289" s="140" t="s">
        <v>6313</v>
      </c>
      <c r="J6289" s="140" t="s">
        <v>6314</v>
      </c>
      <c r="K6289" s="140" t="s">
        <v>6320</v>
      </c>
    </row>
    <row r="6290">
      <c r="A6290" s="140" t="s">
        <v>5821</v>
      </c>
      <c r="B6290" s="140" t="s">
        <v>6050</v>
      </c>
      <c r="C6290" s="140" t="s">
        <v>14301</v>
      </c>
      <c r="D6290" s="140" t="s">
        <v>6318</v>
      </c>
      <c r="E6290" s="140" t="s">
        <v>1225</v>
      </c>
      <c r="F6290" s="140" t="s">
        <v>1275</v>
      </c>
      <c r="G6290" s="141" t="s">
        <v>6311</v>
      </c>
      <c r="H6290" s="140" t="s">
        <v>6312</v>
      </c>
      <c r="I6290" s="140" t="s">
        <v>6313</v>
      </c>
      <c r="J6290" s="140" t="s">
        <v>6314</v>
      </c>
      <c r="K6290" s="140" t="s">
        <v>6320</v>
      </c>
    </row>
    <row r="6291">
      <c r="A6291" s="140" t="s">
        <v>5821</v>
      </c>
      <c r="B6291" s="140" t="s">
        <v>6042</v>
      </c>
      <c r="C6291" s="140" t="s">
        <v>14302</v>
      </c>
      <c r="D6291" s="140" t="s">
        <v>6318</v>
      </c>
      <c r="E6291" s="140" t="s">
        <v>1225</v>
      </c>
      <c r="F6291" s="140" t="s">
        <v>1275</v>
      </c>
      <c r="G6291" s="141" t="s">
        <v>6311</v>
      </c>
      <c r="H6291" s="140" t="s">
        <v>6312</v>
      </c>
      <c r="I6291" s="140" t="s">
        <v>6313</v>
      </c>
      <c r="J6291" s="140" t="s">
        <v>6314</v>
      </c>
      <c r="K6291" s="140" t="s">
        <v>6320</v>
      </c>
    </row>
    <row r="6292">
      <c r="A6292" s="140" t="s">
        <v>5821</v>
      </c>
      <c r="B6292" s="140">
        <v>134511.0</v>
      </c>
      <c r="C6292" s="140" t="s">
        <v>14303</v>
      </c>
      <c r="D6292" s="140" t="s">
        <v>6318</v>
      </c>
      <c r="E6292" s="140" t="s">
        <v>1225</v>
      </c>
      <c r="F6292" s="140" t="s">
        <v>1293</v>
      </c>
      <c r="G6292" s="141" t="s">
        <v>6311</v>
      </c>
      <c r="H6292" s="140" t="s">
        <v>6312</v>
      </c>
      <c r="I6292" s="140" t="s">
        <v>6313</v>
      </c>
      <c r="J6292" s="140" t="s">
        <v>6314</v>
      </c>
      <c r="K6292" s="140" t="s">
        <v>6320</v>
      </c>
    </row>
    <row r="6293">
      <c r="A6293" s="140" t="s">
        <v>5821</v>
      </c>
      <c r="B6293" s="140">
        <v>196488.0</v>
      </c>
      <c r="C6293" s="140" t="s">
        <v>14304</v>
      </c>
      <c r="D6293" s="140" t="s">
        <v>6318</v>
      </c>
      <c r="E6293" s="140" t="s">
        <v>1301</v>
      </c>
      <c r="F6293" s="140" t="s">
        <v>1302</v>
      </c>
      <c r="G6293" s="141" t="s">
        <v>6311</v>
      </c>
      <c r="H6293" s="140" t="s">
        <v>6312</v>
      </c>
      <c r="I6293" s="140" t="s">
        <v>6313</v>
      </c>
      <c r="J6293" s="140" t="s">
        <v>6314</v>
      </c>
      <c r="K6293" s="140" t="s">
        <v>6320</v>
      </c>
    </row>
    <row r="6294">
      <c r="A6294" s="140" t="s">
        <v>5821</v>
      </c>
      <c r="B6294" s="140">
        <v>150170.0</v>
      </c>
      <c r="C6294" s="140" t="s">
        <v>14305</v>
      </c>
      <c r="D6294" s="140" t="s">
        <v>6318</v>
      </c>
      <c r="E6294" s="140" t="s">
        <v>1301</v>
      </c>
      <c r="F6294" s="140" t="s">
        <v>1302</v>
      </c>
      <c r="G6294" s="141" t="s">
        <v>6311</v>
      </c>
      <c r="H6294" s="140" t="s">
        <v>6312</v>
      </c>
      <c r="I6294" s="140" t="s">
        <v>6313</v>
      </c>
      <c r="J6294" s="140" t="s">
        <v>6314</v>
      </c>
      <c r="K6294" s="140" t="s">
        <v>6320</v>
      </c>
    </row>
    <row r="6295">
      <c r="A6295" s="140" t="s">
        <v>5821</v>
      </c>
      <c r="B6295" s="140">
        <v>194153.0</v>
      </c>
      <c r="C6295" s="140" t="s">
        <v>14306</v>
      </c>
      <c r="D6295" s="140" t="s">
        <v>6318</v>
      </c>
      <c r="E6295" s="140" t="s">
        <v>1301</v>
      </c>
      <c r="F6295" s="140" t="s">
        <v>1302</v>
      </c>
      <c r="G6295" s="141" t="s">
        <v>6311</v>
      </c>
      <c r="H6295" s="140" t="s">
        <v>6312</v>
      </c>
      <c r="I6295" s="140" t="s">
        <v>6313</v>
      </c>
      <c r="J6295" s="140" t="s">
        <v>6314</v>
      </c>
      <c r="K6295" s="140" t="s">
        <v>6320</v>
      </c>
    </row>
    <row r="6296">
      <c r="A6296" s="140" t="s">
        <v>5821</v>
      </c>
      <c r="B6296" s="140">
        <v>134993.0</v>
      </c>
      <c r="C6296" s="140" t="s">
        <v>14307</v>
      </c>
      <c r="D6296" s="140" t="s">
        <v>6318</v>
      </c>
      <c r="E6296" s="140" t="s">
        <v>1301</v>
      </c>
      <c r="F6296" s="140" t="s">
        <v>1308</v>
      </c>
      <c r="G6296" s="141" t="s">
        <v>6311</v>
      </c>
      <c r="H6296" s="140" t="s">
        <v>6312</v>
      </c>
      <c r="I6296" s="140" t="s">
        <v>6313</v>
      </c>
      <c r="J6296" s="140" t="s">
        <v>6314</v>
      </c>
      <c r="K6296" s="140" t="s">
        <v>6320</v>
      </c>
    </row>
    <row r="6297">
      <c r="A6297" s="140" t="s">
        <v>5821</v>
      </c>
      <c r="B6297" s="140">
        <v>135986.0</v>
      </c>
      <c r="C6297" s="140" t="s">
        <v>14308</v>
      </c>
      <c r="D6297" s="140" t="s">
        <v>6318</v>
      </c>
      <c r="E6297" s="140" t="s">
        <v>1301</v>
      </c>
      <c r="F6297" s="140" t="s">
        <v>1308</v>
      </c>
      <c r="G6297" s="141" t="s">
        <v>6311</v>
      </c>
      <c r="H6297" s="140" t="s">
        <v>6312</v>
      </c>
      <c r="I6297" s="140" t="s">
        <v>6313</v>
      </c>
      <c r="J6297" s="140" t="s">
        <v>6314</v>
      </c>
      <c r="K6297" s="140" t="s">
        <v>6320</v>
      </c>
    </row>
    <row r="6298">
      <c r="A6298" s="140" t="s">
        <v>5821</v>
      </c>
      <c r="B6298" s="140">
        <v>4.6172218E8</v>
      </c>
      <c r="C6298" s="140" t="s">
        <v>14309</v>
      </c>
      <c r="D6298" s="140" t="s">
        <v>6318</v>
      </c>
      <c r="E6298" s="140" t="s">
        <v>1301</v>
      </c>
      <c r="F6298" s="140" t="s">
        <v>6863</v>
      </c>
      <c r="G6298" s="141" t="s">
        <v>6311</v>
      </c>
      <c r="H6298" s="140" t="s">
        <v>6312</v>
      </c>
      <c r="I6298" s="140" t="s">
        <v>6313</v>
      </c>
      <c r="J6298" s="140" t="s">
        <v>6314</v>
      </c>
      <c r="K6298" s="140" t="s">
        <v>6320</v>
      </c>
    </row>
    <row r="6299">
      <c r="A6299" s="140" t="s">
        <v>5821</v>
      </c>
      <c r="B6299" s="140" t="s">
        <v>14310</v>
      </c>
      <c r="C6299" s="140" t="s">
        <v>14311</v>
      </c>
      <c r="D6299" s="140" t="s">
        <v>6318</v>
      </c>
      <c r="E6299" s="140" t="s">
        <v>1301</v>
      </c>
      <c r="F6299" s="140" t="s">
        <v>6863</v>
      </c>
      <c r="G6299" s="141" t="s">
        <v>6311</v>
      </c>
      <c r="H6299" s="140" t="s">
        <v>6330</v>
      </c>
      <c r="I6299" s="140" t="s">
        <v>6313</v>
      </c>
      <c r="J6299" s="140" t="s">
        <v>6314</v>
      </c>
      <c r="K6299" s="140" t="s">
        <v>6320</v>
      </c>
    </row>
    <row r="6300">
      <c r="A6300" s="140" t="s">
        <v>5821</v>
      </c>
      <c r="B6300" s="140" t="s">
        <v>14312</v>
      </c>
      <c r="C6300" s="140" t="s">
        <v>14311</v>
      </c>
      <c r="D6300" s="140" t="s">
        <v>6318</v>
      </c>
      <c r="E6300" s="140" t="s">
        <v>1301</v>
      </c>
      <c r="F6300" s="140" t="s">
        <v>6863</v>
      </c>
      <c r="G6300" s="141" t="s">
        <v>6311</v>
      </c>
      <c r="H6300" s="140" t="s">
        <v>6330</v>
      </c>
      <c r="I6300" s="140" t="s">
        <v>6313</v>
      </c>
      <c r="J6300" s="140" t="s">
        <v>6314</v>
      </c>
      <c r="K6300" s="140" t="s">
        <v>6320</v>
      </c>
    </row>
    <row r="6301">
      <c r="A6301" s="140" t="s">
        <v>5821</v>
      </c>
      <c r="B6301" s="140" t="s">
        <v>14313</v>
      </c>
      <c r="C6301" s="140" t="s">
        <v>14314</v>
      </c>
      <c r="D6301" s="140" t="s">
        <v>6318</v>
      </c>
      <c r="E6301" s="140" t="s">
        <v>1301</v>
      </c>
      <c r="F6301" s="140" t="s">
        <v>6863</v>
      </c>
      <c r="G6301" s="141" t="s">
        <v>6311</v>
      </c>
      <c r="H6301" s="140" t="s">
        <v>6312</v>
      </c>
      <c r="I6301" s="140" t="s">
        <v>6313</v>
      </c>
      <c r="J6301" s="140" t="s">
        <v>6314</v>
      </c>
      <c r="K6301" s="140" t="s">
        <v>6320</v>
      </c>
    </row>
    <row r="6302">
      <c r="A6302" s="140" t="s">
        <v>5821</v>
      </c>
      <c r="B6302" s="140">
        <v>160519.0</v>
      </c>
      <c r="C6302" s="140" t="s">
        <v>14315</v>
      </c>
      <c r="D6302" s="140" t="s">
        <v>6318</v>
      </c>
      <c r="E6302" s="140" t="s">
        <v>1301</v>
      </c>
      <c r="F6302" s="140" t="s">
        <v>6863</v>
      </c>
      <c r="G6302" s="141" t="s">
        <v>6311</v>
      </c>
      <c r="H6302" s="140" t="s">
        <v>6312</v>
      </c>
      <c r="I6302" s="140" t="s">
        <v>6313</v>
      </c>
      <c r="J6302" s="140" t="s">
        <v>6314</v>
      </c>
      <c r="K6302" s="140" t="s">
        <v>6320</v>
      </c>
    </row>
    <row r="6303">
      <c r="A6303" s="140" t="s">
        <v>5821</v>
      </c>
      <c r="B6303" s="140">
        <v>181823.0</v>
      </c>
      <c r="C6303" s="140" t="s">
        <v>14316</v>
      </c>
      <c r="D6303" s="140" t="s">
        <v>6318</v>
      </c>
      <c r="E6303" s="140" t="s">
        <v>1395</v>
      </c>
      <c r="F6303" s="140" t="s">
        <v>1396</v>
      </c>
      <c r="G6303" s="141" t="s">
        <v>6311</v>
      </c>
      <c r="H6303" s="140" t="s">
        <v>6312</v>
      </c>
      <c r="I6303" s="140" t="s">
        <v>6313</v>
      </c>
      <c r="J6303" s="140" t="s">
        <v>6314</v>
      </c>
      <c r="K6303" s="140" t="s">
        <v>6320</v>
      </c>
    </row>
    <row r="6304">
      <c r="A6304" s="140" t="s">
        <v>5821</v>
      </c>
      <c r="B6304" s="140" t="s">
        <v>5823</v>
      </c>
      <c r="C6304" s="140" t="s">
        <v>5824</v>
      </c>
      <c r="D6304" s="140" t="s">
        <v>6318</v>
      </c>
      <c r="E6304" s="140" t="s">
        <v>1395</v>
      </c>
      <c r="F6304" s="140" t="s">
        <v>1421</v>
      </c>
      <c r="G6304" s="141" t="s">
        <v>6311</v>
      </c>
      <c r="H6304" s="140" t="s">
        <v>6312</v>
      </c>
      <c r="I6304" s="140" t="s">
        <v>6313</v>
      </c>
      <c r="J6304" s="140" t="s">
        <v>6314</v>
      </c>
      <c r="K6304" s="140" t="s">
        <v>6320</v>
      </c>
    </row>
    <row r="6305">
      <c r="A6305" s="140" t="s">
        <v>5821</v>
      </c>
      <c r="B6305" s="140">
        <v>160638.0</v>
      </c>
      <c r="C6305" s="140" t="s">
        <v>14317</v>
      </c>
      <c r="D6305" s="140" t="s">
        <v>6318</v>
      </c>
      <c r="E6305" s="140" t="s">
        <v>1395</v>
      </c>
      <c r="F6305" s="140" t="s">
        <v>1421</v>
      </c>
      <c r="G6305" s="141" t="s">
        <v>6311</v>
      </c>
      <c r="H6305" s="140" t="s">
        <v>6312</v>
      </c>
      <c r="I6305" s="140" t="s">
        <v>6313</v>
      </c>
      <c r="J6305" s="140" t="s">
        <v>6314</v>
      </c>
      <c r="K6305" s="140" t="s">
        <v>6320</v>
      </c>
    </row>
    <row r="6306">
      <c r="A6306" s="140" t="s">
        <v>5821</v>
      </c>
      <c r="B6306" s="140">
        <v>196306.0</v>
      </c>
      <c r="C6306" s="140" t="s">
        <v>14318</v>
      </c>
      <c r="D6306" s="140" t="s">
        <v>6318</v>
      </c>
      <c r="E6306" s="140" t="s">
        <v>1395</v>
      </c>
      <c r="F6306" s="140" t="s">
        <v>1421</v>
      </c>
      <c r="G6306" s="141" t="s">
        <v>6311</v>
      </c>
      <c r="H6306" s="140" t="s">
        <v>6312</v>
      </c>
      <c r="I6306" s="140" t="s">
        <v>6313</v>
      </c>
      <c r="J6306" s="140" t="s">
        <v>6314</v>
      </c>
      <c r="K6306" s="140" t="s">
        <v>6320</v>
      </c>
    </row>
    <row r="6307">
      <c r="A6307" s="140" t="s">
        <v>5821</v>
      </c>
      <c r="B6307" s="140">
        <v>188451.0</v>
      </c>
      <c r="C6307" s="140" t="s">
        <v>14319</v>
      </c>
      <c r="D6307" s="140" t="s">
        <v>6318</v>
      </c>
      <c r="E6307" s="140" t="s">
        <v>1395</v>
      </c>
      <c r="F6307" s="140" t="s">
        <v>1421</v>
      </c>
      <c r="G6307" s="141" t="s">
        <v>6311</v>
      </c>
      <c r="H6307" s="140" t="s">
        <v>6312</v>
      </c>
      <c r="I6307" s="140" t="s">
        <v>6313</v>
      </c>
      <c r="J6307" s="140" t="s">
        <v>6314</v>
      </c>
      <c r="K6307" s="140" t="s">
        <v>6320</v>
      </c>
    </row>
    <row r="6308">
      <c r="A6308" s="140" t="s">
        <v>5821</v>
      </c>
      <c r="B6308" s="140">
        <v>194195.0</v>
      </c>
      <c r="C6308" s="140" t="s">
        <v>14320</v>
      </c>
      <c r="D6308" s="140" t="s">
        <v>6318</v>
      </c>
      <c r="E6308" s="140" t="s">
        <v>1395</v>
      </c>
      <c r="F6308" s="140" t="s">
        <v>1421</v>
      </c>
      <c r="G6308" s="141" t="s">
        <v>6311</v>
      </c>
      <c r="H6308" s="140" t="s">
        <v>6312</v>
      </c>
      <c r="I6308" s="140" t="s">
        <v>6313</v>
      </c>
      <c r="J6308" s="140" t="s">
        <v>6314</v>
      </c>
      <c r="K6308" s="140" t="s">
        <v>6320</v>
      </c>
    </row>
    <row r="6309">
      <c r="A6309" s="140" t="s">
        <v>5821</v>
      </c>
      <c r="B6309" s="140">
        <v>160726.0</v>
      </c>
      <c r="C6309" s="140" t="s">
        <v>5832</v>
      </c>
      <c r="D6309" s="140" t="s">
        <v>6318</v>
      </c>
      <c r="E6309" s="140" t="s">
        <v>1395</v>
      </c>
      <c r="F6309" s="140" t="s">
        <v>1421</v>
      </c>
      <c r="G6309" s="141" t="s">
        <v>6311</v>
      </c>
      <c r="H6309" s="140" t="s">
        <v>6312</v>
      </c>
      <c r="I6309" s="140" t="s">
        <v>6313</v>
      </c>
      <c r="J6309" s="140" t="s">
        <v>6314</v>
      </c>
      <c r="K6309" s="140" t="s">
        <v>6320</v>
      </c>
    </row>
    <row r="6310">
      <c r="A6310" s="140" t="s">
        <v>5821</v>
      </c>
      <c r="B6310" s="140">
        <v>188453.0</v>
      </c>
      <c r="C6310" s="140" t="s">
        <v>14321</v>
      </c>
      <c r="D6310" s="140" t="s">
        <v>6318</v>
      </c>
      <c r="E6310" s="140" t="s">
        <v>1395</v>
      </c>
      <c r="F6310" s="140" t="s">
        <v>1421</v>
      </c>
      <c r="G6310" s="141" t="s">
        <v>6311</v>
      </c>
      <c r="H6310" s="140" t="s">
        <v>6312</v>
      </c>
      <c r="I6310" s="140" t="s">
        <v>6313</v>
      </c>
      <c r="J6310" s="140" t="s">
        <v>6314</v>
      </c>
      <c r="K6310" s="140" t="s">
        <v>6320</v>
      </c>
    </row>
    <row r="6311">
      <c r="A6311" s="140" t="s">
        <v>5821</v>
      </c>
      <c r="B6311" s="140">
        <v>125354.0</v>
      </c>
      <c r="C6311" s="140" t="s">
        <v>14322</v>
      </c>
      <c r="D6311" s="140" t="s">
        <v>6318</v>
      </c>
      <c r="E6311" s="140" t="s">
        <v>1395</v>
      </c>
      <c r="F6311" s="140" t="s">
        <v>1421</v>
      </c>
      <c r="G6311" s="141" t="s">
        <v>6311</v>
      </c>
      <c r="H6311" s="140" t="s">
        <v>6312</v>
      </c>
      <c r="I6311" s="140" t="s">
        <v>6313</v>
      </c>
      <c r="J6311" s="140" t="s">
        <v>6314</v>
      </c>
      <c r="K6311" s="140" t="s">
        <v>6320</v>
      </c>
    </row>
    <row r="6312">
      <c r="A6312" s="140" t="s">
        <v>5821</v>
      </c>
      <c r="B6312" s="140">
        <v>108051.0</v>
      </c>
      <c r="C6312" s="140" t="s">
        <v>14323</v>
      </c>
      <c r="D6312" s="140" t="s">
        <v>6318</v>
      </c>
      <c r="E6312" s="140" t="s">
        <v>1395</v>
      </c>
      <c r="F6312" s="140" t="s">
        <v>1421</v>
      </c>
      <c r="G6312" s="141" t="s">
        <v>6311</v>
      </c>
      <c r="H6312" s="140" t="s">
        <v>6312</v>
      </c>
      <c r="I6312" s="140" t="s">
        <v>6313</v>
      </c>
      <c r="J6312" s="140" t="s">
        <v>6314</v>
      </c>
      <c r="K6312" s="140" t="s">
        <v>6320</v>
      </c>
    </row>
    <row r="6313">
      <c r="A6313" s="140" t="s">
        <v>5821</v>
      </c>
      <c r="B6313" s="140">
        <v>125364.0</v>
      </c>
      <c r="C6313" s="140" t="s">
        <v>14324</v>
      </c>
      <c r="D6313" s="140" t="s">
        <v>6318</v>
      </c>
      <c r="E6313" s="140" t="s">
        <v>1395</v>
      </c>
      <c r="F6313" s="140" t="s">
        <v>1421</v>
      </c>
      <c r="G6313" s="141" t="s">
        <v>6311</v>
      </c>
      <c r="H6313" s="140" t="s">
        <v>6312</v>
      </c>
      <c r="I6313" s="140" t="s">
        <v>6313</v>
      </c>
      <c r="J6313" s="140" t="s">
        <v>6314</v>
      </c>
      <c r="K6313" s="140" t="s">
        <v>6320</v>
      </c>
    </row>
    <row r="6314">
      <c r="A6314" s="140" t="s">
        <v>5821</v>
      </c>
      <c r="B6314" s="140">
        <v>125366.0</v>
      </c>
      <c r="C6314" s="140" t="s">
        <v>14325</v>
      </c>
      <c r="D6314" s="140" t="s">
        <v>6318</v>
      </c>
      <c r="E6314" s="140" t="s">
        <v>1395</v>
      </c>
      <c r="F6314" s="140" t="s">
        <v>1421</v>
      </c>
      <c r="G6314" s="141" t="s">
        <v>6311</v>
      </c>
      <c r="H6314" s="140" t="s">
        <v>6312</v>
      </c>
      <c r="I6314" s="140" t="s">
        <v>6313</v>
      </c>
      <c r="J6314" s="140" t="s">
        <v>6314</v>
      </c>
      <c r="K6314" s="140" t="s">
        <v>6320</v>
      </c>
    </row>
    <row r="6315">
      <c r="A6315" s="140" t="s">
        <v>14326</v>
      </c>
      <c r="B6315" s="143">
        <v>1.21313E11</v>
      </c>
      <c r="C6315" s="140" t="s">
        <v>14327</v>
      </c>
      <c r="D6315" s="140" t="s">
        <v>6601</v>
      </c>
      <c r="E6315" s="140">
        <v>0.0</v>
      </c>
      <c r="F6315" s="140" t="s">
        <v>7087</v>
      </c>
      <c r="G6315" s="141" t="s">
        <v>6401</v>
      </c>
      <c r="H6315" s="140" t="s">
        <v>6312</v>
      </c>
      <c r="I6315" s="140" t="s">
        <v>6313</v>
      </c>
      <c r="J6315" s="140" t="s">
        <v>6314</v>
      </c>
      <c r="K6315" s="140" t="s">
        <v>14328</v>
      </c>
    </row>
    <row r="6316">
      <c r="A6316" s="140" t="s">
        <v>14326</v>
      </c>
      <c r="B6316" s="143">
        <v>1.21313E11</v>
      </c>
      <c r="C6316" s="140" t="s">
        <v>14329</v>
      </c>
      <c r="D6316" s="140" t="s">
        <v>6601</v>
      </c>
      <c r="E6316" s="140">
        <v>0.0</v>
      </c>
      <c r="F6316" s="140" t="s">
        <v>7087</v>
      </c>
      <c r="G6316" s="141" t="s">
        <v>6401</v>
      </c>
      <c r="H6316" s="140" t="s">
        <v>6312</v>
      </c>
      <c r="I6316" s="140" t="s">
        <v>6313</v>
      </c>
      <c r="J6316" s="140" t="s">
        <v>6314</v>
      </c>
      <c r="K6316" s="140" t="s">
        <v>14328</v>
      </c>
    </row>
    <row r="6317">
      <c r="A6317" s="140" t="s">
        <v>14326</v>
      </c>
      <c r="B6317" s="143">
        <v>1.21313E11</v>
      </c>
      <c r="C6317" s="140" t="s">
        <v>14330</v>
      </c>
      <c r="D6317" s="140" t="s">
        <v>6601</v>
      </c>
      <c r="E6317" s="140">
        <v>0.0</v>
      </c>
      <c r="F6317" s="140" t="s">
        <v>7087</v>
      </c>
      <c r="G6317" s="141" t="s">
        <v>6401</v>
      </c>
      <c r="H6317" s="140" t="s">
        <v>6312</v>
      </c>
      <c r="I6317" s="140" t="s">
        <v>6313</v>
      </c>
      <c r="J6317" s="140" t="s">
        <v>6314</v>
      </c>
      <c r="K6317" s="140" t="s">
        <v>14328</v>
      </c>
    </row>
    <row r="6318">
      <c r="A6318" s="140" t="s">
        <v>14326</v>
      </c>
      <c r="B6318" s="143">
        <v>1.21313E11</v>
      </c>
      <c r="C6318" s="140" t="s">
        <v>14331</v>
      </c>
      <c r="D6318" s="140" t="s">
        <v>6601</v>
      </c>
      <c r="E6318" s="140">
        <v>0.0</v>
      </c>
      <c r="F6318" s="140" t="s">
        <v>7087</v>
      </c>
      <c r="G6318" s="141" t="s">
        <v>6401</v>
      </c>
      <c r="H6318" s="140" t="s">
        <v>6312</v>
      </c>
      <c r="I6318" s="140" t="s">
        <v>6313</v>
      </c>
      <c r="J6318" s="140" t="s">
        <v>6314</v>
      </c>
      <c r="K6318" s="140" t="s">
        <v>14328</v>
      </c>
    </row>
    <row r="6319">
      <c r="A6319" s="140" t="s">
        <v>14326</v>
      </c>
      <c r="B6319" s="143">
        <v>1.21313E11</v>
      </c>
      <c r="C6319" s="140" t="s">
        <v>14332</v>
      </c>
      <c r="D6319" s="140" t="s">
        <v>6601</v>
      </c>
      <c r="E6319" s="140">
        <v>0.0</v>
      </c>
      <c r="F6319" s="140" t="s">
        <v>7087</v>
      </c>
      <c r="G6319" s="141" t="s">
        <v>6401</v>
      </c>
      <c r="H6319" s="140" t="s">
        <v>6312</v>
      </c>
      <c r="I6319" s="140" t="s">
        <v>6313</v>
      </c>
      <c r="J6319" s="140" t="s">
        <v>6314</v>
      </c>
      <c r="K6319" s="140" t="s">
        <v>14328</v>
      </c>
    </row>
    <row r="6320">
      <c r="A6320" s="140" t="s">
        <v>14326</v>
      </c>
      <c r="B6320" s="143">
        <v>1.21313E11</v>
      </c>
      <c r="C6320" s="140" t="s">
        <v>14333</v>
      </c>
      <c r="D6320" s="140" t="s">
        <v>6601</v>
      </c>
      <c r="E6320" s="140">
        <v>0.0</v>
      </c>
      <c r="F6320" s="140" t="s">
        <v>7087</v>
      </c>
      <c r="G6320" s="141" t="s">
        <v>6401</v>
      </c>
      <c r="H6320" s="140" t="s">
        <v>6312</v>
      </c>
      <c r="I6320" s="140" t="s">
        <v>6313</v>
      </c>
      <c r="J6320" s="140" t="s">
        <v>6314</v>
      </c>
      <c r="K6320" s="140" t="s">
        <v>14328</v>
      </c>
    </row>
    <row r="6321">
      <c r="A6321" s="140" t="s">
        <v>14326</v>
      </c>
      <c r="B6321" s="143">
        <v>1.21313E11</v>
      </c>
      <c r="C6321" s="140" t="s">
        <v>14334</v>
      </c>
      <c r="D6321" s="140" t="s">
        <v>6601</v>
      </c>
      <c r="E6321" s="140">
        <v>0.0</v>
      </c>
      <c r="F6321" s="140" t="s">
        <v>7087</v>
      </c>
      <c r="G6321" s="141" t="s">
        <v>6401</v>
      </c>
      <c r="H6321" s="140" t="s">
        <v>6312</v>
      </c>
      <c r="I6321" s="140" t="s">
        <v>6313</v>
      </c>
      <c r="J6321" s="140" t="s">
        <v>6314</v>
      </c>
      <c r="K6321" s="140" t="s">
        <v>14328</v>
      </c>
    </row>
    <row r="6322">
      <c r="A6322" s="140" t="s">
        <v>14326</v>
      </c>
      <c r="B6322" s="143">
        <v>1.21313E11</v>
      </c>
      <c r="C6322" s="140" t="s">
        <v>14335</v>
      </c>
      <c r="D6322" s="140" t="s">
        <v>6601</v>
      </c>
      <c r="E6322" s="140">
        <v>0.0</v>
      </c>
      <c r="F6322" s="140" t="s">
        <v>7087</v>
      </c>
      <c r="G6322" s="141" t="s">
        <v>6401</v>
      </c>
      <c r="H6322" s="140" t="s">
        <v>6312</v>
      </c>
      <c r="I6322" s="140" t="s">
        <v>6313</v>
      </c>
      <c r="J6322" s="140" t="s">
        <v>6314</v>
      </c>
      <c r="K6322" s="140" t="s">
        <v>14328</v>
      </c>
    </row>
    <row r="6323">
      <c r="A6323" s="140" t="s">
        <v>14326</v>
      </c>
      <c r="B6323" s="143">
        <v>1.21313E11</v>
      </c>
      <c r="C6323" s="140" t="s">
        <v>14336</v>
      </c>
      <c r="D6323" s="140" t="s">
        <v>6601</v>
      </c>
      <c r="E6323" s="140">
        <v>0.0</v>
      </c>
      <c r="F6323" s="140" t="s">
        <v>7087</v>
      </c>
      <c r="G6323" s="141" t="s">
        <v>6401</v>
      </c>
      <c r="H6323" s="140" t="s">
        <v>6312</v>
      </c>
      <c r="I6323" s="140" t="s">
        <v>6313</v>
      </c>
      <c r="J6323" s="140" t="s">
        <v>6314</v>
      </c>
      <c r="K6323" s="140" t="s">
        <v>14328</v>
      </c>
    </row>
    <row r="6324">
      <c r="A6324" s="140" t="s">
        <v>14326</v>
      </c>
      <c r="B6324" s="143">
        <v>1.21313E11</v>
      </c>
      <c r="C6324" s="140" t="s">
        <v>14337</v>
      </c>
      <c r="D6324" s="140" t="s">
        <v>6601</v>
      </c>
      <c r="E6324" s="140">
        <v>0.0</v>
      </c>
      <c r="F6324" s="140" t="s">
        <v>7087</v>
      </c>
      <c r="G6324" s="141" t="s">
        <v>6401</v>
      </c>
      <c r="H6324" s="140" t="s">
        <v>6312</v>
      </c>
      <c r="I6324" s="140" t="s">
        <v>6313</v>
      </c>
      <c r="J6324" s="140" t="s">
        <v>6314</v>
      </c>
      <c r="K6324" s="140" t="s">
        <v>14328</v>
      </c>
    </row>
    <row r="6325">
      <c r="A6325" s="140" t="s">
        <v>14326</v>
      </c>
      <c r="B6325" s="143">
        <v>1.21313E11</v>
      </c>
      <c r="C6325" s="140" t="s">
        <v>14338</v>
      </c>
      <c r="D6325" s="140" t="s">
        <v>6601</v>
      </c>
      <c r="E6325" s="140">
        <v>0.0</v>
      </c>
      <c r="F6325" s="140" t="s">
        <v>7087</v>
      </c>
      <c r="G6325" s="141" t="s">
        <v>6401</v>
      </c>
      <c r="H6325" s="140" t="s">
        <v>6312</v>
      </c>
      <c r="I6325" s="140" t="s">
        <v>6313</v>
      </c>
      <c r="J6325" s="140" t="s">
        <v>6314</v>
      </c>
      <c r="K6325" s="140" t="s">
        <v>14328</v>
      </c>
    </row>
    <row r="6326">
      <c r="A6326" s="140" t="s">
        <v>14326</v>
      </c>
      <c r="B6326" s="143">
        <v>1.21313E11</v>
      </c>
      <c r="C6326" s="140" t="s">
        <v>14339</v>
      </c>
      <c r="D6326" s="140" t="s">
        <v>6601</v>
      </c>
      <c r="E6326" s="140">
        <v>0.0</v>
      </c>
      <c r="F6326" s="140" t="s">
        <v>7087</v>
      </c>
      <c r="G6326" s="141" t="s">
        <v>6401</v>
      </c>
      <c r="H6326" s="140" t="s">
        <v>6312</v>
      </c>
      <c r="I6326" s="140" t="s">
        <v>6313</v>
      </c>
      <c r="J6326" s="140" t="s">
        <v>6314</v>
      </c>
      <c r="K6326" s="140" t="s">
        <v>14328</v>
      </c>
    </row>
    <row r="6327">
      <c r="A6327" s="140" t="s">
        <v>14326</v>
      </c>
      <c r="B6327" s="143">
        <v>1.21313E11</v>
      </c>
      <c r="C6327" s="140" t="s">
        <v>14340</v>
      </c>
      <c r="D6327" s="140" t="s">
        <v>6601</v>
      </c>
      <c r="E6327" s="140">
        <v>0.0</v>
      </c>
      <c r="F6327" s="140" t="s">
        <v>7087</v>
      </c>
      <c r="G6327" s="141" t="s">
        <v>6401</v>
      </c>
      <c r="H6327" s="140" t="s">
        <v>6312</v>
      </c>
      <c r="I6327" s="140" t="s">
        <v>6313</v>
      </c>
      <c r="J6327" s="140" t="s">
        <v>6314</v>
      </c>
      <c r="K6327" s="140" t="s">
        <v>14328</v>
      </c>
    </row>
    <row r="6328">
      <c r="A6328" s="140" t="s">
        <v>14326</v>
      </c>
      <c r="B6328" s="143">
        <v>1.21313E11</v>
      </c>
      <c r="C6328" s="140" t="s">
        <v>14341</v>
      </c>
      <c r="D6328" s="140" t="s">
        <v>6601</v>
      </c>
      <c r="E6328" s="140">
        <v>0.0</v>
      </c>
      <c r="F6328" s="140" t="s">
        <v>7087</v>
      </c>
      <c r="G6328" s="141" t="s">
        <v>6401</v>
      </c>
      <c r="H6328" s="140" t="s">
        <v>6312</v>
      </c>
      <c r="I6328" s="140" t="s">
        <v>6313</v>
      </c>
      <c r="J6328" s="140" t="s">
        <v>6314</v>
      </c>
      <c r="K6328" s="140" t="s">
        <v>14328</v>
      </c>
    </row>
    <row r="6329">
      <c r="A6329" s="140" t="s">
        <v>14326</v>
      </c>
      <c r="B6329" s="143">
        <v>1.21313E11</v>
      </c>
      <c r="C6329" s="140" t="s">
        <v>14342</v>
      </c>
      <c r="D6329" s="140" t="s">
        <v>6601</v>
      </c>
      <c r="E6329" s="140">
        <v>0.0</v>
      </c>
      <c r="F6329" s="140" t="s">
        <v>7087</v>
      </c>
      <c r="G6329" s="141" t="s">
        <v>6401</v>
      </c>
      <c r="H6329" s="140" t="s">
        <v>6312</v>
      </c>
      <c r="I6329" s="140" t="s">
        <v>6313</v>
      </c>
      <c r="J6329" s="140" t="s">
        <v>6314</v>
      </c>
      <c r="K6329" s="140" t="s">
        <v>14328</v>
      </c>
    </row>
    <row r="6330">
      <c r="A6330" s="140" t="s">
        <v>14326</v>
      </c>
      <c r="B6330" s="143">
        <v>1.21313E11</v>
      </c>
      <c r="C6330" s="140" t="s">
        <v>14343</v>
      </c>
      <c r="D6330" s="140" t="s">
        <v>6601</v>
      </c>
      <c r="E6330" s="140">
        <v>0.0</v>
      </c>
      <c r="F6330" s="140" t="s">
        <v>7087</v>
      </c>
      <c r="G6330" s="141" t="s">
        <v>6401</v>
      </c>
      <c r="H6330" s="140" t="s">
        <v>6312</v>
      </c>
      <c r="I6330" s="140" t="s">
        <v>6313</v>
      </c>
      <c r="J6330" s="140" t="s">
        <v>6314</v>
      </c>
      <c r="K6330" s="140" t="s">
        <v>14328</v>
      </c>
    </row>
    <row r="6331">
      <c r="A6331" s="140" t="s">
        <v>14326</v>
      </c>
      <c r="B6331" s="143">
        <v>1.21313E11</v>
      </c>
      <c r="C6331" s="140" t="s">
        <v>14344</v>
      </c>
      <c r="D6331" s="140" t="s">
        <v>6601</v>
      </c>
      <c r="E6331" s="140">
        <v>0.0</v>
      </c>
      <c r="F6331" s="140" t="s">
        <v>7087</v>
      </c>
      <c r="G6331" s="141" t="s">
        <v>6401</v>
      </c>
      <c r="H6331" s="140" t="s">
        <v>6312</v>
      </c>
      <c r="I6331" s="140" t="s">
        <v>6313</v>
      </c>
      <c r="J6331" s="140" t="s">
        <v>6314</v>
      </c>
      <c r="K6331" s="140" t="s">
        <v>14328</v>
      </c>
    </row>
    <row r="6332">
      <c r="A6332" s="140" t="s">
        <v>14326</v>
      </c>
      <c r="B6332" s="143">
        <v>1.21313E11</v>
      </c>
      <c r="C6332" s="140" t="s">
        <v>14345</v>
      </c>
      <c r="D6332" s="140" t="s">
        <v>6601</v>
      </c>
      <c r="E6332" s="140">
        <v>0.0</v>
      </c>
      <c r="F6332" s="140" t="s">
        <v>7087</v>
      </c>
      <c r="G6332" s="141" t="s">
        <v>6401</v>
      </c>
      <c r="H6332" s="140" t="s">
        <v>6312</v>
      </c>
      <c r="I6332" s="140" t="s">
        <v>6313</v>
      </c>
      <c r="J6332" s="140" t="s">
        <v>6314</v>
      </c>
      <c r="K6332" s="140" t="s">
        <v>14328</v>
      </c>
    </row>
    <row r="6333">
      <c r="A6333" s="140" t="s">
        <v>14326</v>
      </c>
      <c r="B6333" s="143">
        <v>1.21313E11</v>
      </c>
      <c r="C6333" s="140" t="s">
        <v>14346</v>
      </c>
      <c r="D6333" s="140" t="s">
        <v>6601</v>
      </c>
      <c r="E6333" s="140">
        <v>0.0</v>
      </c>
      <c r="F6333" s="140" t="s">
        <v>7087</v>
      </c>
      <c r="G6333" s="141" t="s">
        <v>6401</v>
      </c>
      <c r="H6333" s="140" t="s">
        <v>6312</v>
      </c>
      <c r="I6333" s="140" t="s">
        <v>6313</v>
      </c>
      <c r="J6333" s="140" t="s">
        <v>6314</v>
      </c>
      <c r="K6333" s="140" t="s">
        <v>14328</v>
      </c>
    </row>
    <row r="6334">
      <c r="A6334" s="140" t="s">
        <v>14326</v>
      </c>
      <c r="B6334" s="143">
        <v>1.21313E11</v>
      </c>
      <c r="C6334" s="140" t="s">
        <v>14347</v>
      </c>
      <c r="D6334" s="140" t="s">
        <v>6601</v>
      </c>
      <c r="E6334" s="140">
        <v>0.0</v>
      </c>
      <c r="F6334" s="140" t="s">
        <v>7087</v>
      </c>
      <c r="G6334" s="141" t="s">
        <v>6401</v>
      </c>
      <c r="H6334" s="140" t="s">
        <v>6312</v>
      </c>
      <c r="I6334" s="140" t="s">
        <v>6313</v>
      </c>
      <c r="J6334" s="140" t="s">
        <v>6314</v>
      </c>
      <c r="K6334" s="140" t="s">
        <v>14328</v>
      </c>
    </row>
    <row r="6335">
      <c r="A6335" s="140" t="s">
        <v>14326</v>
      </c>
      <c r="B6335" s="143">
        <v>1.22113E11</v>
      </c>
      <c r="C6335" s="140" t="s">
        <v>14348</v>
      </c>
      <c r="D6335" s="140" t="s">
        <v>6601</v>
      </c>
      <c r="E6335" s="140">
        <v>0.0</v>
      </c>
      <c r="F6335" s="140" t="s">
        <v>7087</v>
      </c>
      <c r="G6335" s="141" t="s">
        <v>6401</v>
      </c>
      <c r="H6335" s="140" t="s">
        <v>6312</v>
      </c>
      <c r="I6335" s="140" t="s">
        <v>6313</v>
      </c>
      <c r="J6335" s="140" t="s">
        <v>6314</v>
      </c>
      <c r="K6335" s="140" t="s">
        <v>14328</v>
      </c>
    </row>
    <row r="6336">
      <c r="A6336" s="140" t="s">
        <v>14326</v>
      </c>
      <c r="B6336" s="143">
        <v>1.22113E11</v>
      </c>
      <c r="C6336" s="140" t="s">
        <v>14349</v>
      </c>
      <c r="D6336" s="140" t="s">
        <v>6601</v>
      </c>
      <c r="E6336" s="140">
        <v>0.0</v>
      </c>
      <c r="F6336" s="140" t="s">
        <v>7087</v>
      </c>
      <c r="G6336" s="141" t="s">
        <v>6401</v>
      </c>
      <c r="H6336" s="140" t="s">
        <v>6312</v>
      </c>
      <c r="I6336" s="140" t="s">
        <v>6313</v>
      </c>
      <c r="J6336" s="140" t="s">
        <v>6314</v>
      </c>
      <c r="K6336" s="140" t="s">
        <v>14328</v>
      </c>
    </row>
    <row r="6337">
      <c r="A6337" s="140" t="s">
        <v>14326</v>
      </c>
      <c r="B6337" s="143">
        <v>1.22113E11</v>
      </c>
      <c r="C6337" s="140" t="s">
        <v>14350</v>
      </c>
      <c r="D6337" s="140" t="s">
        <v>6601</v>
      </c>
      <c r="E6337" s="140">
        <v>0.0</v>
      </c>
      <c r="F6337" s="140" t="s">
        <v>7087</v>
      </c>
      <c r="G6337" s="141" t="s">
        <v>6401</v>
      </c>
      <c r="H6337" s="140" t="s">
        <v>6312</v>
      </c>
      <c r="I6337" s="140" t="s">
        <v>6313</v>
      </c>
      <c r="J6337" s="140" t="s">
        <v>6314</v>
      </c>
      <c r="K6337" s="140" t="s">
        <v>14328</v>
      </c>
    </row>
    <row r="6338">
      <c r="A6338" s="140" t="s">
        <v>14326</v>
      </c>
      <c r="B6338" s="143">
        <v>1.22113E11</v>
      </c>
      <c r="C6338" s="140" t="s">
        <v>14351</v>
      </c>
      <c r="D6338" s="140" t="s">
        <v>6601</v>
      </c>
      <c r="E6338" s="140">
        <v>0.0</v>
      </c>
      <c r="F6338" s="140" t="s">
        <v>7087</v>
      </c>
      <c r="G6338" s="141" t="s">
        <v>6401</v>
      </c>
      <c r="H6338" s="140" t="s">
        <v>6312</v>
      </c>
      <c r="I6338" s="140" t="s">
        <v>6313</v>
      </c>
      <c r="J6338" s="140" t="s">
        <v>6314</v>
      </c>
      <c r="K6338" s="140" t="s">
        <v>14328</v>
      </c>
    </row>
    <row r="6339">
      <c r="A6339" s="140" t="s">
        <v>14326</v>
      </c>
      <c r="B6339" s="143">
        <v>1.22113E11</v>
      </c>
      <c r="C6339" s="140" t="s">
        <v>14352</v>
      </c>
      <c r="D6339" s="140" t="s">
        <v>6601</v>
      </c>
      <c r="E6339" s="140">
        <v>0.0</v>
      </c>
      <c r="F6339" s="140" t="s">
        <v>7087</v>
      </c>
      <c r="G6339" s="141" t="s">
        <v>6401</v>
      </c>
      <c r="H6339" s="140" t="s">
        <v>6312</v>
      </c>
      <c r="I6339" s="140" t="s">
        <v>6313</v>
      </c>
      <c r="J6339" s="140" t="s">
        <v>6314</v>
      </c>
      <c r="K6339" s="140" t="s">
        <v>14328</v>
      </c>
    </row>
    <row r="6340">
      <c r="A6340" s="140" t="s">
        <v>14326</v>
      </c>
      <c r="B6340" s="143">
        <v>1.22113E11</v>
      </c>
      <c r="C6340" s="140" t="s">
        <v>14353</v>
      </c>
      <c r="D6340" s="140" t="s">
        <v>6601</v>
      </c>
      <c r="E6340" s="140">
        <v>0.0</v>
      </c>
      <c r="F6340" s="140" t="s">
        <v>7087</v>
      </c>
      <c r="G6340" s="141" t="s">
        <v>6401</v>
      </c>
      <c r="H6340" s="140" t="s">
        <v>6312</v>
      </c>
      <c r="I6340" s="140" t="s">
        <v>6313</v>
      </c>
      <c r="J6340" s="140" t="s">
        <v>6314</v>
      </c>
      <c r="K6340" s="140" t="s">
        <v>14328</v>
      </c>
    </row>
    <row r="6341">
      <c r="A6341" s="140" t="s">
        <v>14326</v>
      </c>
      <c r="B6341" s="143">
        <v>1.22113E11</v>
      </c>
      <c r="C6341" s="140" t="s">
        <v>14354</v>
      </c>
      <c r="D6341" s="140" t="s">
        <v>6601</v>
      </c>
      <c r="E6341" s="140">
        <v>0.0</v>
      </c>
      <c r="F6341" s="140" t="s">
        <v>7087</v>
      </c>
      <c r="G6341" s="141" t="s">
        <v>6401</v>
      </c>
      <c r="H6341" s="140" t="s">
        <v>6312</v>
      </c>
      <c r="I6341" s="140" t="s">
        <v>6313</v>
      </c>
      <c r="J6341" s="140" t="s">
        <v>6314</v>
      </c>
      <c r="K6341" s="140" t="s">
        <v>14328</v>
      </c>
    </row>
    <row r="6342">
      <c r="A6342" s="140" t="s">
        <v>14326</v>
      </c>
      <c r="B6342" s="143">
        <v>1.20313E11</v>
      </c>
      <c r="C6342" s="140" t="s">
        <v>14355</v>
      </c>
      <c r="D6342" s="140" t="s">
        <v>6601</v>
      </c>
      <c r="E6342" s="140">
        <v>0.0</v>
      </c>
      <c r="F6342" s="140" t="s">
        <v>7087</v>
      </c>
      <c r="G6342" s="141" t="s">
        <v>6401</v>
      </c>
      <c r="H6342" s="140" t="s">
        <v>6312</v>
      </c>
      <c r="I6342" s="140" t="s">
        <v>6313</v>
      </c>
      <c r="J6342" s="140" t="s">
        <v>6314</v>
      </c>
      <c r="K6342" s="140" t="s">
        <v>14328</v>
      </c>
    </row>
    <row r="6343">
      <c r="A6343" s="140" t="s">
        <v>14326</v>
      </c>
      <c r="B6343" s="143">
        <v>1.20313E11</v>
      </c>
      <c r="C6343" s="140" t="s">
        <v>14356</v>
      </c>
      <c r="D6343" s="140" t="s">
        <v>6601</v>
      </c>
      <c r="E6343" s="140">
        <v>0.0</v>
      </c>
      <c r="F6343" s="140" t="s">
        <v>7087</v>
      </c>
      <c r="G6343" s="141" t="s">
        <v>6401</v>
      </c>
      <c r="H6343" s="140" t="s">
        <v>6312</v>
      </c>
      <c r="I6343" s="140" t="s">
        <v>6313</v>
      </c>
      <c r="J6343" s="140" t="s">
        <v>6314</v>
      </c>
      <c r="K6343" s="140" t="s">
        <v>14328</v>
      </c>
    </row>
    <row r="6344">
      <c r="A6344" s="140" t="s">
        <v>14326</v>
      </c>
      <c r="B6344" s="143">
        <v>1.20313E11</v>
      </c>
      <c r="C6344" s="140" t="s">
        <v>14357</v>
      </c>
      <c r="D6344" s="140" t="s">
        <v>6601</v>
      </c>
      <c r="E6344" s="140">
        <v>0.0</v>
      </c>
      <c r="F6344" s="140" t="s">
        <v>7087</v>
      </c>
      <c r="G6344" s="141" t="s">
        <v>6401</v>
      </c>
      <c r="H6344" s="140" t="s">
        <v>6312</v>
      </c>
      <c r="I6344" s="140" t="s">
        <v>6313</v>
      </c>
      <c r="J6344" s="140" t="s">
        <v>6314</v>
      </c>
      <c r="K6344" s="140" t="s">
        <v>14328</v>
      </c>
    </row>
    <row r="6345">
      <c r="A6345" s="140" t="s">
        <v>14326</v>
      </c>
      <c r="B6345" s="143">
        <v>1.20313E11</v>
      </c>
      <c r="C6345" s="140" t="s">
        <v>14358</v>
      </c>
      <c r="D6345" s="140" t="s">
        <v>6601</v>
      </c>
      <c r="E6345" s="140">
        <v>0.0</v>
      </c>
      <c r="F6345" s="140" t="s">
        <v>7087</v>
      </c>
      <c r="G6345" s="141" t="s">
        <v>6401</v>
      </c>
      <c r="H6345" s="140" t="s">
        <v>6312</v>
      </c>
      <c r="I6345" s="140" t="s">
        <v>6313</v>
      </c>
      <c r="J6345" s="140" t="s">
        <v>6314</v>
      </c>
      <c r="K6345" s="140" t="s">
        <v>14328</v>
      </c>
    </row>
    <row r="6346">
      <c r="A6346" s="140" t="s">
        <v>14326</v>
      </c>
      <c r="B6346" s="143">
        <v>1.20313E11</v>
      </c>
      <c r="C6346" s="140" t="s">
        <v>14359</v>
      </c>
      <c r="D6346" s="140" t="s">
        <v>6601</v>
      </c>
      <c r="E6346" s="140">
        <v>0.0</v>
      </c>
      <c r="F6346" s="140" t="s">
        <v>7087</v>
      </c>
      <c r="G6346" s="141" t="s">
        <v>6401</v>
      </c>
      <c r="H6346" s="140" t="s">
        <v>6312</v>
      </c>
      <c r="I6346" s="140" t="s">
        <v>6313</v>
      </c>
      <c r="J6346" s="140" t="s">
        <v>6314</v>
      </c>
      <c r="K6346" s="140" t="s">
        <v>14328</v>
      </c>
    </row>
    <row r="6347">
      <c r="A6347" s="140" t="s">
        <v>14326</v>
      </c>
      <c r="B6347" s="143">
        <v>1.20313E11</v>
      </c>
      <c r="C6347" s="140" t="s">
        <v>14360</v>
      </c>
      <c r="D6347" s="140" t="s">
        <v>6601</v>
      </c>
      <c r="E6347" s="140">
        <v>0.0</v>
      </c>
      <c r="F6347" s="140" t="s">
        <v>7087</v>
      </c>
      <c r="G6347" s="141" t="s">
        <v>6401</v>
      </c>
      <c r="H6347" s="140" t="s">
        <v>6312</v>
      </c>
      <c r="I6347" s="140" t="s">
        <v>6313</v>
      </c>
      <c r="J6347" s="140" t="s">
        <v>6314</v>
      </c>
      <c r="K6347" s="140" t="s">
        <v>14328</v>
      </c>
    </row>
    <row r="6348">
      <c r="A6348" s="140" t="s">
        <v>14326</v>
      </c>
      <c r="B6348" s="143">
        <v>1.21313E11</v>
      </c>
      <c r="C6348" s="140" t="s">
        <v>14361</v>
      </c>
      <c r="D6348" s="140" t="s">
        <v>6601</v>
      </c>
      <c r="E6348" s="140">
        <v>0.0</v>
      </c>
      <c r="F6348" s="140" t="s">
        <v>7087</v>
      </c>
      <c r="G6348" s="141" t="s">
        <v>6401</v>
      </c>
      <c r="H6348" s="140" t="s">
        <v>6312</v>
      </c>
      <c r="I6348" s="140" t="s">
        <v>6313</v>
      </c>
      <c r="J6348" s="140" t="s">
        <v>6314</v>
      </c>
      <c r="K6348" s="140" t="s">
        <v>14328</v>
      </c>
    </row>
    <row r="6349">
      <c r="A6349" s="140" t="s">
        <v>14326</v>
      </c>
      <c r="B6349" s="143">
        <v>1.21313E11</v>
      </c>
      <c r="C6349" s="140" t="s">
        <v>14362</v>
      </c>
      <c r="D6349" s="140" t="s">
        <v>6601</v>
      </c>
      <c r="E6349" s="140">
        <v>0.0</v>
      </c>
      <c r="F6349" s="140" t="s">
        <v>7087</v>
      </c>
      <c r="G6349" s="141" t="s">
        <v>6401</v>
      </c>
      <c r="H6349" s="140" t="s">
        <v>6312</v>
      </c>
      <c r="I6349" s="140" t="s">
        <v>6313</v>
      </c>
      <c r="J6349" s="140" t="s">
        <v>6314</v>
      </c>
      <c r="K6349" s="140" t="s">
        <v>14328</v>
      </c>
    </row>
    <row r="6350">
      <c r="A6350" s="140" t="s">
        <v>14326</v>
      </c>
      <c r="B6350" s="143">
        <v>1.20313E11</v>
      </c>
      <c r="C6350" s="140" t="s">
        <v>14363</v>
      </c>
      <c r="D6350" s="140" t="s">
        <v>6601</v>
      </c>
      <c r="E6350" s="140">
        <v>0.0</v>
      </c>
      <c r="F6350" s="140" t="s">
        <v>7087</v>
      </c>
      <c r="G6350" s="141" t="s">
        <v>6401</v>
      </c>
      <c r="H6350" s="140" t="s">
        <v>6312</v>
      </c>
      <c r="I6350" s="140" t="s">
        <v>6313</v>
      </c>
      <c r="J6350" s="140" t="s">
        <v>6314</v>
      </c>
      <c r="K6350" s="140" t="s">
        <v>14328</v>
      </c>
    </row>
    <row r="6351">
      <c r="A6351" s="140" t="s">
        <v>14326</v>
      </c>
      <c r="B6351" s="143">
        <v>1.20313E11</v>
      </c>
      <c r="C6351" s="140" t="s">
        <v>14364</v>
      </c>
      <c r="D6351" s="140" t="s">
        <v>6601</v>
      </c>
      <c r="E6351" s="140">
        <v>0.0</v>
      </c>
      <c r="F6351" s="140" t="s">
        <v>7087</v>
      </c>
      <c r="G6351" s="141" t="s">
        <v>6401</v>
      </c>
      <c r="H6351" s="140" t="s">
        <v>6312</v>
      </c>
      <c r="I6351" s="140" t="s">
        <v>6313</v>
      </c>
      <c r="J6351" s="140" t="s">
        <v>6314</v>
      </c>
      <c r="K6351" s="140" t="s">
        <v>14328</v>
      </c>
    </row>
    <row r="6352">
      <c r="A6352" s="140" t="s">
        <v>14326</v>
      </c>
      <c r="B6352" s="143">
        <v>1.20313E11</v>
      </c>
      <c r="C6352" s="140" t="s">
        <v>14365</v>
      </c>
      <c r="D6352" s="140" t="s">
        <v>6601</v>
      </c>
      <c r="E6352" s="140">
        <v>0.0</v>
      </c>
      <c r="F6352" s="140" t="s">
        <v>7087</v>
      </c>
      <c r="G6352" s="141" t="s">
        <v>6401</v>
      </c>
      <c r="H6352" s="140" t="s">
        <v>6312</v>
      </c>
      <c r="I6352" s="140" t="s">
        <v>6313</v>
      </c>
      <c r="J6352" s="140" t="s">
        <v>6314</v>
      </c>
      <c r="K6352" s="140" t="s">
        <v>14328</v>
      </c>
    </row>
    <row r="6353">
      <c r="A6353" s="140" t="s">
        <v>14326</v>
      </c>
      <c r="B6353" s="143">
        <v>1.20313E11</v>
      </c>
      <c r="C6353" s="140" t="s">
        <v>14366</v>
      </c>
      <c r="D6353" s="140" t="s">
        <v>6601</v>
      </c>
      <c r="E6353" s="140">
        <v>0.0</v>
      </c>
      <c r="F6353" s="140" t="s">
        <v>7087</v>
      </c>
      <c r="G6353" s="141" t="s">
        <v>6401</v>
      </c>
      <c r="H6353" s="140" t="s">
        <v>6312</v>
      </c>
      <c r="I6353" s="140" t="s">
        <v>6313</v>
      </c>
      <c r="J6353" s="140" t="s">
        <v>6314</v>
      </c>
      <c r="K6353" s="140" t="s">
        <v>14328</v>
      </c>
    </row>
    <row r="6354">
      <c r="A6354" s="140" t="s">
        <v>14326</v>
      </c>
      <c r="B6354" s="143">
        <v>1.20313E11</v>
      </c>
      <c r="C6354" s="140" t="s">
        <v>14367</v>
      </c>
      <c r="D6354" s="140" t="s">
        <v>6601</v>
      </c>
      <c r="E6354" s="140">
        <v>0.0</v>
      </c>
      <c r="F6354" s="140" t="s">
        <v>7087</v>
      </c>
      <c r="G6354" s="141" t="s">
        <v>6401</v>
      </c>
      <c r="H6354" s="140" t="s">
        <v>6312</v>
      </c>
      <c r="I6354" s="140" t="s">
        <v>6313</v>
      </c>
      <c r="J6354" s="140" t="s">
        <v>6314</v>
      </c>
      <c r="K6354" s="140" t="s">
        <v>14328</v>
      </c>
    </row>
    <row r="6355">
      <c r="A6355" s="140" t="s">
        <v>14326</v>
      </c>
      <c r="B6355" s="143">
        <v>1.20313E11</v>
      </c>
      <c r="C6355" s="140" t="s">
        <v>14368</v>
      </c>
      <c r="D6355" s="140" t="s">
        <v>6601</v>
      </c>
      <c r="E6355" s="140">
        <v>0.0</v>
      </c>
      <c r="F6355" s="140" t="s">
        <v>7087</v>
      </c>
      <c r="G6355" s="141" t="s">
        <v>6401</v>
      </c>
      <c r="H6355" s="140" t="s">
        <v>6312</v>
      </c>
      <c r="I6355" s="140" t="s">
        <v>6313</v>
      </c>
      <c r="J6355" s="140" t="s">
        <v>6314</v>
      </c>
      <c r="K6355" s="140" t="s">
        <v>14328</v>
      </c>
    </row>
    <row r="6356">
      <c r="A6356" s="140" t="s">
        <v>14326</v>
      </c>
      <c r="B6356" s="143">
        <v>1.20313E11</v>
      </c>
      <c r="C6356" s="140" t="s">
        <v>14369</v>
      </c>
      <c r="D6356" s="140" t="s">
        <v>6601</v>
      </c>
      <c r="E6356" s="140">
        <v>0.0</v>
      </c>
      <c r="F6356" s="140" t="s">
        <v>7087</v>
      </c>
      <c r="G6356" s="141" t="s">
        <v>6401</v>
      </c>
      <c r="H6356" s="140" t="s">
        <v>6312</v>
      </c>
      <c r="I6356" s="140" t="s">
        <v>6313</v>
      </c>
      <c r="J6356" s="140" t="s">
        <v>6314</v>
      </c>
      <c r="K6356" s="140" t="s">
        <v>14328</v>
      </c>
    </row>
    <row r="6357">
      <c r="A6357" s="140" t="s">
        <v>14326</v>
      </c>
      <c r="B6357" s="140">
        <v>7.2112996657E10</v>
      </c>
      <c r="C6357" s="140" t="s">
        <v>14370</v>
      </c>
      <c r="D6357" s="140" t="s">
        <v>6601</v>
      </c>
      <c r="E6357" s="140">
        <v>0.0</v>
      </c>
      <c r="F6357" s="140" t="s">
        <v>7087</v>
      </c>
      <c r="G6357" s="141" t="s">
        <v>6401</v>
      </c>
      <c r="H6357" s="140" t="s">
        <v>6312</v>
      </c>
      <c r="I6357" s="140" t="s">
        <v>6313</v>
      </c>
      <c r="J6357" s="140" t="s">
        <v>6314</v>
      </c>
      <c r="K6357" s="140" t="s">
        <v>14328</v>
      </c>
    </row>
    <row r="6358">
      <c r="A6358" s="140" t="s">
        <v>14326</v>
      </c>
      <c r="B6358" s="140">
        <v>7.2112996698E10</v>
      </c>
      <c r="C6358" s="140" t="s">
        <v>14371</v>
      </c>
      <c r="D6358" s="140" t="s">
        <v>6601</v>
      </c>
      <c r="E6358" s="140">
        <v>0.0</v>
      </c>
      <c r="F6358" s="140" t="s">
        <v>7087</v>
      </c>
      <c r="G6358" s="141" t="s">
        <v>6401</v>
      </c>
      <c r="H6358" s="140" t="s">
        <v>6312</v>
      </c>
      <c r="I6358" s="140" t="s">
        <v>6313</v>
      </c>
      <c r="J6358" s="140" t="s">
        <v>6314</v>
      </c>
      <c r="K6358" s="140" t="s">
        <v>14328</v>
      </c>
    </row>
    <row r="6359">
      <c r="A6359" s="140" t="s">
        <v>14326</v>
      </c>
      <c r="B6359" s="140">
        <v>7.2112996705E10</v>
      </c>
      <c r="C6359" s="140" t="s">
        <v>14372</v>
      </c>
      <c r="D6359" s="140" t="s">
        <v>6601</v>
      </c>
      <c r="E6359" s="140">
        <v>0.0</v>
      </c>
      <c r="F6359" s="140" t="s">
        <v>7087</v>
      </c>
      <c r="G6359" s="141" t="s">
        <v>6401</v>
      </c>
      <c r="H6359" s="140" t="s">
        <v>6312</v>
      </c>
      <c r="I6359" s="140" t="s">
        <v>6313</v>
      </c>
      <c r="J6359" s="140" t="s">
        <v>6314</v>
      </c>
      <c r="K6359" s="140" t="s">
        <v>14328</v>
      </c>
    </row>
    <row r="6360">
      <c r="A6360" s="140" t="s">
        <v>14326</v>
      </c>
      <c r="B6360" s="140">
        <v>7.2112996797E10</v>
      </c>
      <c r="C6360" s="140" t="s">
        <v>14373</v>
      </c>
      <c r="D6360" s="140" t="s">
        <v>6601</v>
      </c>
      <c r="E6360" s="140">
        <v>0.0</v>
      </c>
      <c r="F6360" s="140" t="s">
        <v>7087</v>
      </c>
      <c r="G6360" s="141" t="s">
        <v>6401</v>
      </c>
      <c r="H6360" s="140" t="s">
        <v>6312</v>
      </c>
      <c r="I6360" s="140" t="s">
        <v>6313</v>
      </c>
      <c r="J6360" s="140" t="s">
        <v>6314</v>
      </c>
      <c r="K6360" s="140" t="s">
        <v>14328</v>
      </c>
    </row>
    <row r="6361">
      <c r="A6361" s="140" t="s">
        <v>14326</v>
      </c>
      <c r="B6361" s="140">
        <v>7.2112996719E10</v>
      </c>
      <c r="C6361" s="140" t="s">
        <v>14374</v>
      </c>
      <c r="D6361" s="140" t="s">
        <v>6601</v>
      </c>
      <c r="E6361" s="140">
        <v>0.0</v>
      </c>
      <c r="F6361" s="140" t="s">
        <v>7087</v>
      </c>
      <c r="G6361" s="141" t="s">
        <v>6401</v>
      </c>
      <c r="H6361" s="140" t="s">
        <v>6312</v>
      </c>
      <c r="I6361" s="140" t="s">
        <v>6313</v>
      </c>
      <c r="J6361" s="140" t="s">
        <v>6314</v>
      </c>
      <c r="K6361" s="140" t="s">
        <v>14328</v>
      </c>
    </row>
    <row r="6362">
      <c r="A6362" s="140" t="s">
        <v>14326</v>
      </c>
      <c r="B6362" s="140">
        <v>7.0312764107E10</v>
      </c>
      <c r="C6362" s="140" t="s">
        <v>14375</v>
      </c>
      <c r="D6362" s="140" t="s">
        <v>6601</v>
      </c>
      <c r="E6362" s="140">
        <v>0.0</v>
      </c>
      <c r="F6362" s="140" t="s">
        <v>7087</v>
      </c>
      <c r="G6362" s="141" t="s">
        <v>6401</v>
      </c>
      <c r="H6362" s="140" t="s">
        <v>6312</v>
      </c>
      <c r="I6362" s="140" t="s">
        <v>6313</v>
      </c>
      <c r="J6362" s="140" t="s">
        <v>6314</v>
      </c>
      <c r="K6362" s="140" t="s">
        <v>14328</v>
      </c>
    </row>
    <row r="6363">
      <c r="A6363" s="140" t="s">
        <v>14326</v>
      </c>
      <c r="B6363" s="140">
        <v>7.0312764119E10</v>
      </c>
      <c r="C6363" s="140" t="s">
        <v>14376</v>
      </c>
      <c r="D6363" s="140" t="s">
        <v>6601</v>
      </c>
      <c r="E6363" s="140">
        <v>0.0</v>
      </c>
      <c r="F6363" s="140" t="s">
        <v>7087</v>
      </c>
      <c r="G6363" s="141" t="s">
        <v>6401</v>
      </c>
      <c r="H6363" s="140" t="s">
        <v>6312</v>
      </c>
      <c r="I6363" s="140" t="s">
        <v>6313</v>
      </c>
      <c r="J6363" s="140" t="s">
        <v>6314</v>
      </c>
      <c r="K6363" s="140" t="s">
        <v>14328</v>
      </c>
    </row>
    <row r="6364">
      <c r="A6364" s="140" t="s">
        <v>14326</v>
      </c>
      <c r="B6364" s="140">
        <v>7.0312764121E10</v>
      </c>
      <c r="C6364" s="140" t="s">
        <v>14377</v>
      </c>
      <c r="D6364" s="140" t="s">
        <v>6601</v>
      </c>
      <c r="E6364" s="140">
        <v>0.0</v>
      </c>
      <c r="F6364" s="140" t="s">
        <v>7087</v>
      </c>
      <c r="G6364" s="141" t="s">
        <v>6401</v>
      </c>
      <c r="H6364" s="140" t="s">
        <v>6312</v>
      </c>
      <c r="I6364" s="140" t="s">
        <v>6313</v>
      </c>
      <c r="J6364" s="140" t="s">
        <v>6314</v>
      </c>
      <c r="K6364" s="140" t="s">
        <v>14328</v>
      </c>
    </row>
    <row r="6365">
      <c r="A6365" s="140" t="s">
        <v>14326</v>
      </c>
      <c r="B6365" s="140">
        <v>7.0312764219E10</v>
      </c>
      <c r="C6365" s="140" t="s">
        <v>14378</v>
      </c>
      <c r="D6365" s="140" t="s">
        <v>6601</v>
      </c>
      <c r="E6365" s="140">
        <v>0.0</v>
      </c>
      <c r="F6365" s="140" t="s">
        <v>7087</v>
      </c>
      <c r="G6365" s="141" t="s">
        <v>6401</v>
      </c>
      <c r="H6365" s="140" t="s">
        <v>6312</v>
      </c>
      <c r="I6365" s="140" t="s">
        <v>6313</v>
      </c>
      <c r="J6365" s="140" t="s">
        <v>6314</v>
      </c>
      <c r="K6365" s="140" t="s">
        <v>14328</v>
      </c>
    </row>
    <row r="6366">
      <c r="A6366" s="140" t="s">
        <v>14326</v>
      </c>
      <c r="B6366" s="140">
        <v>7.0312764221E10</v>
      </c>
      <c r="C6366" s="140" t="s">
        <v>14379</v>
      </c>
      <c r="D6366" s="140" t="s">
        <v>6601</v>
      </c>
      <c r="E6366" s="140">
        <v>0.0</v>
      </c>
      <c r="F6366" s="140" t="s">
        <v>7087</v>
      </c>
      <c r="G6366" s="141" t="s">
        <v>6401</v>
      </c>
      <c r="H6366" s="140" t="s">
        <v>6312</v>
      </c>
      <c r="I6366" s="140" t="s">
        <v>6313</v>
      </c>
      <c r="J6366" s="140" t="s">
        <v>6314</v>
      </c>
      <c r="K6366" s="140" t="s">
        <v>14328</v>
      </c>
    </row>
    <row r="6367">
      <c r="A6367" s="140" t="s">
        <v>14326</v>
      </c>
      <c r="B6367" s="140">
        <v>7.1112859821E10</v>
      </c>
      <c r="C6367" s="140" t="s">
        <v>14380</v>
      </c>
      <c r="D6367" s="140" t="s">
        <v>6601</v>
      </c>
      <c r="E6367" s="140">
        <v>0.0</v>
      </c>
      <c r="F6367" s="140" t="s">
        <v>7087</v>
      </c>
      <c r="G6367" s="141" t="s">
        <v>6401</v>
      </c>
      <c r="H6367" s="140" t="s">
        <v>6312</v>
      </c>
      <c r="I6367" s="140" t="s">
        <v>6313</v>
      </c>
      <c r="J6367" s="140" t="s">
        <v>6314</v>
      </c>
      <c r="K6367" s="140" t="s">
        <v>14328</v>
      </c>
    </row>
    <row r="6368">
      <c r="A6368" s="140" t="s">
        <v>14326</v>
      </c>
      <c r="B6368" s="140">
        <v>7.1112861221E10</v>
      </c>
      <c r="C6368" s="140" t="s">
        <v>14381</v>
      </c>
      <c r="D6368" s="140" t="s">
        <v>6601</v>
      </c>
      <c r="E6368" s="140">
        <v>0.0</v>
      </c>
      <c r="F6368" s="140" t="s">
        <v>7087</v>
      </c>
      <c r="G6368" s="141" t="s">
        <v>6401</v>
      </c>
      <c r="H6368" s="140" t="s">
        <v>6312</v>
      </c>
      <c r="I6368" s="140" t="s">
        <v>6313</v>
      </c>
      <c r="J6368" s="140" t="s">
        <v>6314</v>
      </c>
      <c r="K6368" s="140" t="s">
        <v>14328</v>
      </c>
    </row>
    <row r="6369">
      <c r="A6369" s="140" t="s">
        <v>14326</v>
      </c>
      <c r="B6369" s="140">
        <v>7.111286136E10</v>
      </c>
      <c r="C6369" s="140" t="s">
        <v>14382</v>
      </c>
      <c r="D6369" s="140" t="s">
        <v>6601</v>
      </c>
      <c r="E6369" s="140">
        <v>0.0</v>
      </c>
      <c r="F6369" s="140" t="s">
        <v>7087</v>
      </c>
      <c r="G6369" s="141" t="s">
        <v>6401</v>
      </c>
      <c r="H6369" s="140" t="s">
        <v>6312</v>
      </c>
      <c r="I6369" s="140" t="s">
        <v>6313</v>
      </c>
      <c r="J6369" s="140" t="s">
        <v>6314</v>
      </c>
      <c r="K6369" s="140" t="s">
        <v>14328</v>
      </c>
    </row>
    <row r="6370">
      <c r="A6370" s="140" t="s">
        <v>14326</v>
      </c>
      <c r="B6370" s="140">
        <v>7.1112861362E10</v>
      </c>
      <c r="C6370" s="140" t="s">
        <v>14383</v>
      </c>
      <c r="D6370" s="140" t="s">
        <v>6601</v>
      </c>
      <c r="E6370" s="140">
        <v>0.0</v>
      </c>
      <c r="F6370" s="140" t="s">
        <v>7087</v>
      </c>
      <c r="G6370" s="141" t="s">
        <v>6401</v>
      </c>
      <c r="H6370" s="140" t="s">
        <v>6312</v>
      </c>
      <c r="I6370" s="140" t="s">
        <v>6313</v>
      </c>
      <c r="J6370" s="140" t="s">
        <v>6314</v>
      </c>
      <c r="K6370" s="140" t="s">
        <v>14328</v>
      </c>
    </row>
    <row r="6371">
      <c r="A6371" s="140" t="s">
        <v>14326</v>
      </c>
      <c r="B6371" s="143">
        <v>1.21313E11</v>
      </c>
      <c r="C6371" s="140" t="s">
        <v>14384</v>
      </c>
      <c r="D6371" s="140" t="s">
        <v>6601</v>
      </c>
      <c r="E6371" s="140" t="s">
        <v>303</v>
      </c>
      <c r="F6371" s="140" t="s">
        <v>7087</v>
      </c>
      <c r="G6371" s="141" t="s">
        <v>6401</v>
      </c>
      <c r="H6371" s="140" t="s">
        <v>6312</v>
      </c>
      <c r="I6371" s="140" t="s">
        <v>6313</v>
      </c>
      <c r="J6371" s="140" t="s">
        <v>6314</v>
      </c>
      <c r="K6371" s="140" t="s">
        <v>14328</v>
      </c>
    </row>
    <row r="6372">
      <c r="A6372" s="140" t="s">
        <v>14326</v>
      </c>
      <c r="B6372" s="143">
        <v>1.21313E11</v>
      </c>
      <c r="C6372" s="140" t="s">
        <v>14385</v>
      </c>
      <c r="D6372" s="140" t="s">
        <v>6601</v>
      </c>
      <c r="E6372" s="140" t="s">
        <v>303</v>
      </c>
      <c r="F6372" s="140" t="s">
        <v>7087</v>
      </c>
      <c r="G6372" s="141" t="s">
        <v>6401</v>
      </c>
      <c r="H6372" s="140" t="s">
        <v>6312</v>
      </c>
      <c r="I6372" s="140" t="s">
        <v>6313</v>
      </c>
      <c r="J6372" s="140" t="s">
        <v>6314</v>
      </c>
      <c r="K6372" s="140" t="s">
        <v>14328</v>
      </c>
    </row>
    <row r="6373">
      <c r="A6373" s="140" t="s">
        <v>14326</v>
      </c>
      <c r="B6373" s="143">
        <v>1.21313E11</v>
      </c>
      <c r="C6373" s="140" t="s">
        <v>14386</v>
      </c>
      <c r="D6373" s="140" t="s">
        <v>6601</v>
      </c>
      <c r="E6373" s="140" t="s">
        <v>303</v>
      </c>
      <c r="F6373" s="140" t="s">
        <v>7087</v>
      </c>
      <c r="G6373" s="141" t="s">
        <v>6401</v>
      </c>
      <c r="H6373" s="140" t="s">
        <v>6312</v>
      </c>
      <c r="I6373" s="140" t="s">
        <v>6313</v>
      </c>
      <c r="J6373" s="140" t="s">
        <v>6314</v>
      </c>
      <c r="K6373" s="140" t="s">
        <v>14328</v>
      </c>
    </row>
    <row r="6374">
      <c r="A6374" s="140" t="s">
        <v>14326</v>
      </c>
      <c r="B6374" s="143">
        <v>1.20313E11</v>
      </c>
      <c r="C6374" s="140" t="s">
        <v>14387</v>
      </c>
      <c r="D6374" s="140" t="s">
        <v>6601</v>
      </c>
      <c r="E6374" s="140" t="s">
        <v>303</v>
      </c>
      <c r="F6374" s="140" t="s">
        <v>7087</v>
      </c>
      <c r="G6374" s="141" t="s">
        <v>6401</v>
      </c>
      <c r="H6374" s="140" t="s">
        <v>6312</v>
      </c>
      <c r="I6374" s="140" t="s">
        <v>6313</v>
      </c>
      <c r="J6374" s="140" t="s">
        <v>6314</v>
      </c>
      <c r="K6374" s="140" t="s">
        <v>14328</v>
      </c>
    </row>
    <row r="6375">
      <c r="A6375" s="140" t="s">
        <v>14326</v>
      </c>
      <c r="B6375" s="143">
        <v>2.11313E11</v>
      </c>
      <c r="C6375" s="140" t="s">
        <v>14388</v>
      </c>
      <c r="D6375" s="140" t="s">
        <v>6601</v>
      </c>
      <c r="E6375" s="140" t="s">
        <v>526</v>
      </c>
      <c r="F6375" s="140" t="s">
        <v>7105</v>
      </c>
      <c r="G6375" s="141" t="s">
        <v>6401</v>
      </c>
      <c r="H6375" s="140" t="s">
        <v>6312</v>
      </c>
      <c r="I6375" s="140" t="s">
        <v>6313</v>
      </c>
      <c r="J6375" s="140" t="s">
        <v>6314</v>
      </c>
      <c r="K6375" s="140" t="s">
        <v>14328</v>
      </c>
    </row>
    <row r="6376">
      <c r="A6376" s="140" t="s">
        <v>14326</v>
      </c>
      <c r="B6376" s="143">
        <v>2.11313E11</v>
      </c>
      <c r="C6376" s="140" t="s">
        <v>14389</v>
      </c>
      <c r="D6376" s="140" t="s">
        <v>6601</v>
      </c>
      <c r="E6376" s="140" t="s">
        <v>526</v>
      </c>
      <c r="F6376" s="140" t="s">
        <v>7105</v>
      </c>
      <c r="G6376" s="141" t="s">
        <v>6401</v>
      </c>
      <c r="H6376" s="140" t="s">
        <v>6312</v>
      </c>
      <c r="I6376" s="140" t="s">
        <v>6313</v>
      </c>
      <c r="J6376" s="140" t="s">
        <v>6314</v>
      </c>
      <c r="K6376" s="140" t="s">
        <v>14328</v>
      </c>
    </row>
    <row r="6377">
      <c r="A6377" s="140" t="s">
        <v>14326</v>
      </c>
      <c r="B6377" s="143">
        <v>2.11313E11</v>
      </c>
      <c r="C6377" s="140" t="s">
        <v>14390</v>
      </c>
      <c r="D6377" s="140" t="s">
        <v>6601</v>
      </c>
      <c r="E6377" s="140" t="s">
        <v>526</v>
      </c>
      <c r="F6377" s="140" t="s">
        <v>7105</v>
      </c>
      <c r="G6377" s="141" t="s">
        <v>6401</v>
      </c>
      <c r="H6377" s="140" t="s">
        <v>6312</v>
      </c>
      <c r="I6377" s="140" t="s">
        <v>6313</v>
      </c>
      <c r="J6377" s="140" t="s">
        <v>6314</v>
      </c>
      <c r="K6377" s="140" t="s">
        <v>14328</v>
      </c>
    </row>
    <row r="6378">
      <c r="A6378" s="140" t="s">
        <v>14326</v>
      </c>
      <c r="B6378" s="143">
        <v>2.11313E11</v>
      </c>
      <c r="C6378" s="140" t="s">
        <v>14391</v>
      </c>
      <c r="D6378" s="140" t="s">
        <v>6601</v>
      </c>
      <c r="E6378" s="140" t="s">
        <v>526</v>
      </c>
      <c r="F6378" s="140" t="s">
        <v>7105</v>
      </c>
      <c r="G6378" s="141" t="s">
        <v>6401</v>
      </c>
      <c r="H6378" s="140" t="s">
        <v>6312</v>
      </c>
      <c r="I6378" s="140" t="s">
        <v>6313</v>
      </c>
      <c r="J6378" s="140" t="s">
        <v>6314</v>
      </c>
      <c r="K6378" s="140" t="s">
        <v>14328</v>
      </c>
    </row>
    <row r="6379">
      <c r="A6379" s="140" t="s">
        <v>14326</v>
      </c>
      <c r="B6379" s="143">
        <v>2.11313E11</v>
      </c>
      <c r="C6379" s="140" t="s">
        <v>14392</v>
      </c>
      <c r="D6379" s="140" t="s">
        <v>6601</v>
      </c>
      <c r="E6379" s="140" t="s">
        <v>526</v>
      </c>
      <c r="F6379" s="140" t="s">
        <v>7105</v>
      </c>
      <c r="G6379" s="141" t="s">
        <v>6401</v>
      </c>
      <c r="H6379" s="140" t="s">
        <v>6312</v>
      </c>
      <c r="I6379" s="140" t="s">
        <v>6313</v>
      </c>
      <c r="J6379" s="140" t="s">
        <v>6314</v>
      </c>
      <c r="K6379" s="140" t="s">
        <v>14328</v>
      </c>
    </row>
    <row r="6380">
      <c r="A6380" s="140" t="s">
        <v>14326</v>
      </c>
      <c r="B6380" s="143">
        <v>2.11313E11</v>
      </c>
      <c r="C6380" s="140" t="s">
        <v>14393</v>
      </c>
      <c r="D6380" s="140" t="s">
        <v>6601</v>
      </c>
      <c r="E6380" s="140" t="s">
        <v>526</v>
      </c>
      <c r="F6380" s="140" t="s">
        <v>7105</v>
      </c>
      <c r="G6380" s="141" t="s">
        <v>6401</v>
      </c>
      <c r="H6380" s="140" t="s">
        <v>6312</v>
      </c>
      <c r="I6380" s="140" t="s">
        <v>6313</v>
      </c>
      <c r="J6380" s="140" t="s">
        <v>6314</v>
      </c>
      <c r="K6380" s="140" t="s">
        <v>14328</v>
      </c>
    </row>
    <row r="6381">
      <c r="A6381" s="140" t="s">
        <v>14326</v>
      </c>
      <c r="B6381" s="143">
        <v>2.11313E11</v>
      </c>
      <c r="C6381" s="140" t="s">
        <v>14394</v>
      </c>
      <c r="D6381" s="140" t="s">
        <v>6601</v>
      </c>
      <c r="E6381" s="140" t="s">
        <v>526</v>
      </c>
      <c r="F6381" s="140" t="s">
        <v>7105</v>
      </c>
      <c r="G6381" s="141" t="s">
        <v>6401</v>
      </c>
      <c r="H6381" s="140" t="s">
        <v>6312</v>
      </c>
      <c r="I6381" s="140" t="s">
        <v>6313</v>
      </c>
      <c r="J6381" s="140" t="s">
        <v>6314</v>
      </c>
      <c r="K6381" s="140" t="s">
        <v>14328</v>
      </c>
    </row>
    <row r="6382">
      <c r="A6382" s="140" t="s">
        <v>14326</v>
      </c>
      <c r="B6382" s="143">
        <v>2.11313E11</v>
      </c>
      <c r="C6382" s="140" t="s">
        <v>14395</v>
      </c>
      <c r="D6382" s="140" t="s">
        <v>6601</v>
      </c>
      <c r="E6382" s="140" t="s">
        <v>526</v>
      </c>
      <c r="F6382" s="140" t="s">
        <v>7105</v>
      </c>
      <c r="G6382" s="141" t="s">
        <v>6401</v>
      </c>
      <c r="H6382" s="140" t="s">
        <v>6312</v>
      </c>
      <c r="I6382" s="140" t="s">
        <v>6313</v>
      </c>
      <c r="J6382" s="140" t="s">
        <v>6314</v>
      </c>
      <c r="K6382" s="140" t="s">
        <v>14328</v>
      </c>
    </row>
    <row r="6383">
      <c r="A6383" s="140" t="s">
        <v>14326</v>
      </c>
      <c r="B6383" s="143">
        <v>2.11313E11</v>
      </c>
      <c r="C6383" s="140" t="s">
        <v>14396</v>
      </c>
      <c r="D6383" s="140" t="s">
        <v>6601</v>
      </c>
      <c r="E6383" s="140" t="s">
        <v>526</v>
      </c>
      <c r="F6383" s="140" t="s">
        <v>7105</v>
      </c>
      <c r="G6383" s="141" t="s">
        <v>6401</v>
      </c>
      <c r="H6383" s="140" t="s">
        <v>6312</v>
      </c>
      <c r="I6383" s="140" t="s">
        <v>6313</v>
      </c>
      <c r="J6383" s="140" t="s">
        <v>6314</v>
      </c>
      <c r="K6383" s="140" t="s">
        <v>14328</v>
      </c>
    </row>
    <row r="6384">
      <c r="A6384" s="140" t="s">
        <v>14326</v>
      </c>
      <c r="B6384" s="143">
        <v>2.11313E11</v>
      </c>
      <c r="C6384" s="140" t="s">
        <v>14397</v>
      </c>
      <c r="D6384" s="140" t="s">
        <v>6601</v>
      </c>
      <c r="E6384" s="140" t="s">
        <v>526</v>
      </c>
      <c r="F6384" s="140" t="s">
        <v>7105</v>
      </c>
      <c r="G6384" s="141" t="s">
        <v>6401</v>
      </c>
      <c r="H6384" s="140" t="s">
        <v>6312</v>
      </c>
      <c r="I6384" s="140" t="s">
        <v>6313</v>
      </c>
      <c r="J6384" s="140" t="s">
        <v>6314</v>
      </c>
      <c r="K6384" s="140" t="s">
        <v>14328</v>
      </c>
    </row>
    <row r="6385">
      <c r="A6385" s="140" t="s">
        <v>14326</v>
      </c>
      <c r="B6385" s="143">
        <v>2.11313E11</v>
      </c>
      <c r="C6385" s="140" t="s">
        <v>14398</v>
      </c>
      <c r="D6385" s="140" t="s">
        <v>6601</v>
      </c>
      <c r="E6385" s="140" t="s">
        <v>526</v>
      </c>
      <c r="F6385" s="140" t="s">
        <v>7105</v>
      </c>
      <c r="G6385" s="141" t="s">
        <v>6401</v>
      </c>
      <c r="H6385" s="140" t="s">
        <v>6312</v>
      </c>
      <c r="I6385" s="140" t="s">
        <v>6313</v>
      </c>
      <c r="J6385" s="140" t="s">
        <v>6314</v>
      </c>
      <c r="K6385" s="140" t="s">
        <v>14328</v>
      </c>
    </row>
    <row r="6386">
      <c r="A6386" s="140" t="s">
        <v>14326</v>
      </c>
      <c r="B6386" s="143">
        <v>2.11313E11</v>
      </c>
      <c r="C6386" s="140" t="s">
        <v>14399</v>
      </c>
      <c r="D6386" s="140" t="s">
        <v>6601</v>
      </c>
      <c r="E6386" s="140" t="s">
        <v>526</v>
      </c>
      <c r="F6386" s="140" t="s">
        <v>7105</v>
      </c>
      <c r="G6386" s="141" t="s">
        <v>6401</v>
      </c>
      <c r="H6386" s="140" t="s">
        <v>6312</v>
      </c>
      <c r="I6386" s="140" t="s">
        <v>6313</v>
      </c>
      <c r="J6386" s="140" t="s">
        <v>6314</v>
      </c>
      <c r="K6386" s="140" t="s">
        <v>14328</v>
      </c>
    </row>
    <row r="6387">
      <c r="A6387" s="140" t="s">
        <v>14326</v>
      </c>
      <c r="B6387" s="143">
        <v>2.11313E11</v>
      </c>
      <c r="C6387" s="140" t="s">
        <v>14400</v>
      </c>
      <c r="D6387" s="140" t="s">
        <v>6601</v>
      </c>
      <c r="E6387" s="140" t="s">
        <v>526</v>
      </c>
      <c r="F6387" s="140" t="s">
        <v>7105</v>
      </c>
      <c r="G6387" s="141" t="s">
        <v>6401</v>
      </c>
      <c r="H6387" s="140" t="s">
        <v>6312</v>
      </c>
      <c r="I6387" s="140" t="s">
        <v>6313</v>
      </c>
      <c r="J6387" s="140" t="s">
        <v>6314</v>
      </c>
      <c r="K6387" s="140" t="s">
        <v>14328</v>
      </c>
    </row>
    <row r="6388">
      <c r="A6388" s="140" t="s">
        <v>14326</v>
      </c>
      <c r="B6388" s="143">
        <v>2.11313E11</v>
      </c>
      <c r="C6388" s="140" t="s">
        <v>14401</v>
      </c>
      <c r="D6388" s="140" t="s">
        <v>6601</v>
      </c>
      <c r="E6388" s="140" t="s">
        <v>526</v>
      </c>
      <c r="F6388" s="140" t="s">
        <v>7105</v>
      </c>
      <c r="G6388" s="141" t="s">
        <v>6401</v>
      </c>
      <c r="H6388" s="140" t="s">
        <v>6312</v>
      </c>
      <c r="I6388" s="140" t="s">
        <v>6313</v>
      </c>
      <c r="J6388" s="140" t="s">
        <v>6314</v>
      </c>
      <c r="K6388" s="140" t="s">
        <v>14328</v>
      </c>
    </row>
    <row r="6389">
      <c r="A6389" s="140" t="s">
        <v>14326</v>
      </c>
      <c r="B6389" s="143">
        <v>1.22113E11</v>
      </c>
      <c r="C6389" s="140" t="s">
        <v>14402</v>
      </c>
      <c r="D6389" s="140" t="s">
        <v>6601</v>
      </c>
      <c r="E6389" s="140" t="s">
        <v>526</v>
      </c>
      <c r="F6389" s="140" t="s">
        <v>175</v>
      </c>
      <c r="G6389" s="141" t="s">
        <v>6401</v>
      </c>
      <c r="H6389" s="140" t="s">
        <v>6312</v>
      </c>
      <c r="I6389" s="140" t="s">
        <v>6313</v>
      </c>
      <c r="J6389" s="140" t="s">
        <v>6314</v>
      </c>
      <c r="K6389" s="140" t="s">
        <v>14328</v>
      </c>
    </row>
    <row r="6390">
      <c r="A6390" s="140" t="s">
        <v>14326</v>
      </c>
      <c r="B6390" s="143">
        <v>1.22113E11</v>
      </c>
      <c r="C6390" s="140" t="s">
        <v>14403</v>
      </c>
      <c r="D6390" s="140" t="s">
        <v>6601</v>
      </c>
      <c r="E6390" s="140" t="s">
        <v>526</v>
      </c>
      <c r="F6390" s="140" t="s">
        <v>175</v>
      </c>
      <c r="G6390" s="141" t="s">
        <v>6401</v>
      </c>
      <c r="H6390" s="140" t="s">
        <v>6312</v>
      </c>
      <c r="I6390" s="140" t="s">
        <v>6313</v>
      </c>
      <c r="J6390" s="140" t="s">
        <v>6314</v>
      </c>
      <c r="K6390" s="140" t="s">
        <v>14328</v>
      </c>
    </row>
    <row r="6391">
      <c r="A6391" s="140" t="s">
        <v>14326</v>
      </c>
      <c r="B6391" s="143">
        <v>1.22113E11</v>
      </c>
      <c r="C6391" s="140" t="s">
        <v>14404</v>
      </c>
      <c r="D6391" s="140" t="s">
        <v>6601</v>
      </c>
      <c r="E6391" s="140" t="s">
        <v>526</v>
      </c>
      <c r="F6391" s="140" t="s">
        <v>175</v>
      </c>
      <c r="G6391" s="141" t="s">
        <v>6401</v>
      </c>
      <c r="H6391" s="140" t="s">
        <v>6312</v>
      </c>
      <c r="I6391" s="140" t="s">
        <v>6313</v>
      </c>
      <c r="J6391" s="140" t="s">
        <v>6314</v>
      </c>
      <c r="K6391" s="140" t="s">
        <v>14328</v>
      </c>
    </row>
    <row r="6392">
      <c r="A6392" s="140" t="s">
        <v>14326</v>
      </c>
      <c r="B6392" s="143">
        <v>1.22113E11</v>
      </c>
      <c r="C6392" s="140" t="s">
        <v>14405</v>
      </c>
      <c r="D6392" s="140" t="s">
        <v>6601</v>
      </c>
      <c r="E6392" s="140" t="s">
        <v>526</v>
      </c>
      <c r="F6392" s="140" t="s">
        <v>175</v>
      </c>
      <c r="G6392" s="141" t="s">
        <v>6401</v>
      </c>
      <c r="H6392" s="140" t="s">
        <v>6312</v>
      </c>
      <c r="I6392" s="140" t="s">
        <v>6313</v>
      </c>
      <c r="J6392" s="140" t="s">
        <v>6314</v>
      </c>
      <c r="K6392" s="140" t="s">
        <v>14328</v>
      </c>
    </row>
    <row r="6393">
      <c r="A6393" s="140" t="s">
        <v>14326</v>
      </c>
      <c r="B6393" s="143">
        <v>1.22113E11</v>
      </c>
      <c r="C6393" s="140" t="s">
        <v>14406</v>
      </c>
      <c r="D6393" s="140" t="s">
        <v>6601</v>
      </c>
      <c r="E6393" s="140" t="s">
        <v>526</v>
      </c>
      <c r="F6393" s="140" t="s">
        <v>175</v>
      </c>
      <c r="G6393" s="141" t="s">
        <v>6401</v>
      </c>
      <c r="H6393" s="140" t="s">
        <v>6312</v>
      </c>
      <c r="I6393" s="140" t="s">
        <v>6313</v>
      </c>
      <c r="J6393" s="140" t="s">
        <v>6314</v>
      </c>
      <c r="K6393" s="140" t="s">
        <v>14328</v>
      </c>
    </row>
    <row r="6394">
      <c r="A6394" s="140" t="s">
        <v>14326</v>
      </c>
      <c r="B6394" s="143">
        <v>1.22113E11</v>
      </c>
      <c r="C6394" s="140" t="s">
        <v>14407</v>
      </c>
      <c r="D6394" s="140" t="s">
        <v>6601</v>
      </c>
      <c r="E6394" s="140" t="s">
        <v>526</v>
      </c>
      <c r="F6394" s="140" t="s">
        <v>175</v>
      </c>
      <c r="G6394" s="141" t="s">
        <v>6401</v>
      </c>
      <c r="H6394" s="140" t="s">
        <v>6312</v>
      </c>
      <c r="I6394" s="140" t="s">
        <v>6313</v>
      </c>
      <c r="J6394" s="140" t="s">
        <v>6314</v>
      </c>
      <c r="K6394" s="140" t="s">
        <v>14328</v>
      </c>
    </row>
    <row r="6395">
      <c r="A6395" s="140" t="s">
        <v>14326</v>
      </c>
      <c r="B6395" s="143">
        <v>1.21313E11</v>
      </c>
      <c r="C6395" s="140" t="s">
        <v>14408</v>
      </c>
      <c r="D6395" s="140" t="s">
        <v>6601</v>
      </c>
      <c r="E6395" s="140" t="s">
        <v>526</v>
      </c>
      <c r="F6395" s="140" t="s">
        <v>175</v>
      </c>
      <c r="G6395" s="141" t="s">
        <v>6401</v>
      </c>
      <c r="H6395" s="140" t="s">
        <v>6312</v>
      </c>
      <c r="I6395" s="140" t="s">
        <v>6313</v>
      </c>
      <c r="J6395" s="140" t="s">
        <v>6314</v>
      </c>
      <c r="K6395" s="140" t="s">
        <v>14328</v>
      </c>
    </row>
    <row r="6396">
      <c r="A6396" s="140" t="s">
        <v>14326</v>
      </c>
      <c r="B6396" s="143">
        <v>1.21313E11</v>
      </c>
      <c r="C6396" s="140" t="s">
        <v>14409</v>
      </c>
      <c r="D6396" s="140" t="s">
        <v>6601</v>
      </c>
      <c r="E6396" s="140" t="s">
        <v>526</v>
      </c>
      <c r="F6396" s="140" t="s">
        <v>175</v>
      </c>
      <c r="G6396" s="141" t="s">
        <v>6401</v>
      </c>
      <c r="H6396" s="140" t="s">
        <v>6312</v>
      </c>
      <c r="I6396" s="140" t="s">
        <v>6313</v>
      </c>
      <c r="J6396" s="140" t="s">
        <v>6314</v>
      </c>
      <c r="K6396" s="140" t="s">
        <v>14328</v>
      </c>
    </row>
    <row r="6397">
      <c r="A6397" s="140" t="s">
        <v>14326</v>
      </c>
      <c r="B6397" s="143">
        <v>1.21313E11</v>
      </c>
      <c r="C6397" s="140" t="s">
        <v>14410</v>
      </c>
      <c r="D6397" s="140" t="s">
        <v>6601</v>
      </c>
      <c r="E6397" s="140" t="s">
        <v>526</v>
      </c>
      <c r="F6397" s="140" t="s">
        <v>175</v>
      </c>
      <c r="G6397" s="141" t="s">
        <v>6401</v>
      </c>
      <c r="H6397" s="140" t="s">
        <v>6312</v>
      </c>
      <c r="I6397" s="140" t="s">
        <v>6313</v>
      </c>
      <c r="J6397" s="140" t="s">
        <v>6314</v>
      </c>
      <c r="K6397" s="140" t="s">
        <v>14328</v>
      </c>
    </row>
    <row r="6398">
      <c r="A6398" s="140" t="s">
        <v>14326</v>
      </c>
      <c r="B6398" s="143">
        <v>1.21313E11</v>
      </c>
      <c r="C6398" s="140" t="s">
        <v>14411</v>
      </c>
      <c r="D6398" s="140" t="s">
        <v>6601</v>
      </c>
      <c r="E6398" s="140" t="s">
        <v>526</v>
      </c>
      <c r="F6398" s="140" t="s">
        <v>175</v>
      </c>
      <c r="G6398" s="141" t="s">
        <v>6401</v>
      </c>
      <c r="H6398" s="140" t="s">
        <v>6312</v>
      </c>
      <c r="I6398" s="140" t="s">
        <v>6313</v>
      </c>
      <c r="J6398" s="140" t="s">
        <v>6314</v>
      </c>
      <c r="K6398" s="140" t="s">
        <v>14328</v>
      </c>
    </row>
    <row r="6399">
      <c r="A6399" s="140" t="s">
        <v>14326</v>
      </c>
      <c r="B6399" s="143">
        <v>1.21313E11</v>
      </c>
      <c r="C6399" s="140" t="s">
        <v>14412</v>
      </c>
      <c r="D6399" s="140" t="s">
        <v>6601</v>
      </c>
      <c r="E6399" s="140" t="s">
        <v>526</v>
      </c>
      <c r="F6399" s="140" t="s">
        <v>175</v>
      </c>
      <c r="G6399" s="141" t="s">
        <v>6401</v>
      </c>
      <c r="H6399" s="140" t="s">
        <v>6312</v>
      </c>
      <c r="I6399" s="140" t="s">
        <v>6313</v>
      </c>
      <c r="J6399" s="140" t="s">
        <v>6314</v>
      </c>
      <c r="K6399" s="140" t="s">
        <v>14328</v>
      </c>
    </row>
    <row r="6400">
      <c r="A6400" s="140" t="s">
        <v>14326</v>
      </c>
      <c r="B6400" s="143">
        <v>1.21313E11</v>
      </c>
      <c r="C6400" s="140" t="s">
        <v>14413</v>
      </c>
      <c r="D6400" s="140" t="s">
        <v>6601</v>
      </c>
      <c r="E6400" s="140" t="s">
        <v>526</v>
      </c>
      <c r="F6400" s="140" t="s">
        <v>175</v>
      </c>
      <c r="G6400" s="141" t="s">
        <v>6401</v>
      </c>
      <c r="H6400" s="140" t="s">
        <v>6312</v>
      </c>
      <c r="I6400" s="140" t="s">
        <v>6313</v>
      </c>
      <c r="J6400" s="140" t="s">
        <v>6314</v>
      </c>
      <c r="K6400" s="140" t="s">
        <v>14328</v>
      </c>
    </row>
    <row r="6401">
      <c r="A6401" s="140" t="s">
        <v>14326</v>
      </c>
      <c r="B6401" s="143">
        <v>1.21313E11</v>
      </c>
      <c r="C6401" s="140" t="s">
        <v>14414</v>
      </c>
      <c r="D6401" s="140" t="s">
        <v>6601</v>
      </c>
      <c r="E6401" s="140" t="s">
        <v>526</v>
      </c>
      <c r="F6401" s="140" t="s">
        <v>175</v>
      </c>
      <c r="G6401" s="141" t="s">
        <v>6401</v>
      </c>
      <c r="H6401" s="140" t="s">
        <v>6312</v>
      </c>
      <c r="I6401" s="140" t="s">
        <v>6313</v>
      </c>
      <c r="J6401" s="140" t="s">
        <v>6314</v>
      </c>
      <c r="K6401" s="140" t="s">
        <v>14328</v>
      </c>
    </row>
    <row r="6402">
      <c r="A6402" s="140" t="s">
        <v>14326</v>
      </c>
      <c r="B6402" s="143">
        <v>1.21313E11</v>
      </c>
      <c r="C6402" s="140" t="s">
        <v>14415</v>
      </c>
      <c r="D6402" s="140" t="s">
        <v>6601</v>
      </c>
      <c r="E6402" s="140" t="s">
        <v>526</v>
      </c>
      <c r="F6402" s="140" t="s">
        <v>175</v>
      </c>
      <c r="G6402" s="141" t="s">
        <v>6401</v>
      </c>
      <c r="H6402" s="140" t="s">
        <v>6312</v>
      </c>
      <c r="I6402" s="140" t="s">
        <v>6313</v>
      </c>
      <c r="J6402" s="140" t="s">
        <v>6314</v>
      </c>
      <c r="K6402" s="140" t="s">
        <v>14328</v>
      </c>
    </row>
    <row r="6403">
      <c r="A6403" s="140" t="s">
        <v>14326</v>
      </c>
      <c r="B6403" s="143">
        <v>1.21313E11</v>
      </c>
      <c r="C6403" s="140" t="s">
        <v>14416</v>
      </c>
      <c r="D6403" s="140" t="s">
        <v>6601</v>
      </c>
      <c r="E6403" s="140" t="s">
        <v>526</v>
      </c>
      <c r="F6403" s="140" t="s">
        <v>175</v>
      </c>
      <c r="G6403" s="141" t="s">
        <v>6401</v>
      </c>
      <c r="H6403" s="140" t="s">
        <v>6312</v>
      </c>
      <c r="I6403" s="140" t="s">
        <v>6313</v>
      </c>
      <c r="J6403" s="140" t="s">
        <v>6314</v>
      </c>
      <c r="K6403" s="140" t="s">
        <v>14328</v>
      </c>
    </row>
    <row r="6404">
      <c r="A6404" s="140" t="s">
        <v>14326</v>
      </c>
      <c r="B6404" s="143">
        <v>1.21313E11</v>
      </c>
      <c r="C6404" s="140" t="s">
        <v>14417</v>
      </c>
      <c r="D6404" s="140" t="s">
        <v>6601</v>
      </c>
      <c r="E6404" s="140" t="s">
        <v>526</v>
      </c>
      <c r="F6404" s="140" t="s">
        <v>175</v>
      </c>
      <c r="G6404" s="141" t="s">
        <v>6401</v>
      </c>
      <c r="H6404" s="140" t="s">
        <v>6312</v>
      </c>
      <c r="I6404" s="140" t="s">
        <v>6313</v>
      </c>
      <c r="J6404" s="140" t="s">
        <v>6314</v>
      </c>
      <c r="K6404" s="140" t="s">
        <v>14328</v>
      </c>
    </row>
    <row r="6405">
      <c r="A6405" s="140" t="s">
        <v>14326</v>
      </c>
      <c r="B6405" s="143">
        <v>1.21313E11</v>
      </c>
      <c r="C6405" s="140" t="s">
        <v>14418</v>
      </c>
      <c r="D6405" s="140" t="s">
        <v>6601</v>
      </c>
      <c r="E6405" s="140" t="s">
        <v>526</v>
      </c>
      <c r="F6405" s="140" t="s">
        <v>175</v>
      </c>
      <c r="G6405" s="141" t="s">
        <v>6401</v>
      </c>
      <c r="H6405" s="140" t="s">
        <v>6312</v>
      </c>
      <c r="I6405" s="140" t="s">
        <v>6313</v>
      </c>
      <c r="J6405" s="140" t="s">
        <v>6314</v>
      </c>
      <c r="K6405" s="140" t="s">
        <v>14328</v>
      </c>
    </row>
    <row r="6406">
      <c r="A6406" s="140" t="s">
        <v>14326</v>
      </c>
      <c r="B6406" s="143">
        <v>1.21313E11</v>
      </c>
      <c r="C6406" s="140" t="s">
        <v>14419</v>
      </c>
      <c r="D6406" s="140" t="s">
        <v>6601</v>
      </c>
      <c r="E6406" s="140" t="s">
        <v>526</v>
      </c>
      <c r="F6406" s="140" t="s">
        <v>175</v>
      </c>
      <c r="G6406" s="141" t="s">
        <v>6401</v>
      </c>
      <c r="H6406" s="140" t="s">
        <v>6312</v>
      </c>
      <c r="I6406" s="140" t="s">
        <v>6313</v>
      </c>
      <c r="J6406" s="140" t="s">
        <v>6314</v>
      </c>
      <c r="K6406" s="140" t="s">
        <v>14328</v>
      </c>
    </row>
    <row r="6407">
      <c r="A6407" s="140" t="s">
        <v>14326</v>
      </c>
      <c r="B6407" s="143">
        <v>1.21313E11</v>
      </c>
      <c r="C6407" s="140" t="s">
        <v>14420</v>
      </c>
      <c r="D6407" s="140" t="s">
        <v>6601</v>
      </c>
      <c r="E6407" s="140" t="s">
        <v>526</v>
      </c>
      <c r="F6407" s="140" t="s">
        <v>175</v>
      </c>
      <c r="G6407" s="141" t="s">
        <v>6401</v>
      </c>
      <c r="H6407" s="140" t="s">
        <v>6312</v>
      </c>
      <c r="I6407" s="140" t="s">
        <v>6313</v>
      </c>
      <c r="J6407" s="140" t="s">
        <v>6314</v>
      </c>
      <c r="K6407" s="140" t="s">
        <v>14328</v>
      </c>
    </row>
    <row r="6408">
      <c r="A6408" s="140" t="s">
        <v>14326</v>
      </c>
      <c r="B6408" s="143">
        <v>1.21313E11</v>
      </c>
      <c r="C6408" s="140" t="s">
        <v>14421</v>
      </c>
      <c r="D6408" s="140" t="s">
        <v>6601</v>
      </c>
      <c r="E6408" s="140" t="s">
        <v>526</v>
      </c>
      <c r="F6408" s="140" t="s">
        <v>175</v>
      </c>
      <c r="G6408" s="141" t="s">
        <v>6401</v>
      </c>
      <c r="H6408" s="140" t="s">
        <v>6312</v>
      </c>
      <c r="I6408" s="140" t="s">
        <v>6313</v>
      </c>
      <c r="J6408" s="140" t="s">
        <v>6314</v>
      </c>
      <c r="K6408" s="140" t="s">
        <v>14328</v>
      </c>
    </row>
    <row r="6409">
      <c r="A6409" s="140" t="s">
        <v>14422</v>
      </c>
      <c r="B6409" s="143">
        <v>7.57451E11</v>
      </c>
      <c r="C6409" s="140" t="s">
        <v>14423</v>
      </c>
      <c r="D6409" s="140" t="s">
        <v>6620</v>
      </c>
      <c r="E6409" s="140" t="s">
        <v>6749</v>
      </c>
      <c r="F6409" s="140" t="s">
        <v>6750</v>
      </c>
      <c r="G6409" s="141" t="s">
        <v>6401</v>
      </c>
      <c r="H6409" s="140" t="s">
        <v>6312</v>
      </c>
      <c r="I6409" s="140" t="s">
        <v>6313</v>
      </c>
      <c r="J6409" s="140" t="s">
        <v>6314</v>
      </c>
      <c r="K6409" s="140" t="s">
        <v>14422</v>
      </c>
    </row>
    <row r="6410">
      <c r="A6410" s="140" t="s">
        <v>14422</v>
      </c>
      <c r="B6410" s="143">
        <v>7.57451E11</v>
      </c>
      <c r="C6410" s="140" t="s">
        <v>14424</v>
      </c>
      <c r="D6410" s="140" t="s">
        <v>6620</v>
      </c>
      <c r="E6410" s="140" t="s">
        <v>6749</v>
      </c>
      <c r="F6410" s="140" t="s">
        <v>6750</v>
      </c>
      <c r="G6410" s="141" t="s">
        <v>6401</v>
      </c>
      <c r="H6410" s="140" t="s">
        <v>6312</v>
      </c>
      <c r="I6410" s="140" t="s">
        <v>6313</v>
      </c>
      <c r="J6410" s="140" t="s">
        <v>6314</v>
      </c>
      <c r="K6410" s="140" t="s">
        <v>14422</v>
      </c>
    </row>
    <row r="6411">
      <c r="A6411" s="140" t="s">
        <v>14422</v>
      </c>
      <c r="B6411" s="143">
        <v>7.57451E11</v>
      </c>
      <c r="C6411" s="140" t="s">
        <v>14425</v>
      </c>
      <c r="D6411" s="140" t="s">
        <v>6620</v>
      </c>
      <c r="E6411" s="140" t="s">
        <v>6749</v>
      </c>
      <c r="F6411" s="140" t="s">
        <v>6750</v>
      </c>
      <c r="G6411" s="141" t="s">
        <v>6401</v>
      </c>
      <c r="H6411" s="140" t="s">
        <v>6312</v>
      </c>
      <c r="I6411" s="140" t="s">
        <v>6313</v>
      </c>
      <c r="J6411" s="140" t="s">
        <v>6314</v>
      </c>
      <c r="K6411" s="140" t="s">
        <v>14422</v>
      </c>
    </row>
    <row r="6412">
      <c r="A6412" s="140" t="s">
        <v>14422</v>
      </c>
      <c r="B6412" s="140" t="s">
        <v>6757</v>
      </c>
      <c r="C6412" s="140" t="s">
        <v>14426</v>
      </c>
      <c r="D6412" s="140" t="s">
        <v>6620</v>
      </c>
      <c r="E6412" s="140" t="s">
        <v>6749</v>
      </c>
      <c r="F6412" s="140" t="s">
        <v>6750</v>
      </c>
      <c r="G6412" s="141" t="s">
        <v>6304</v>
      </c>
      <c r="H6412" s="140" t="s">
        <v>6312</v>
      </c>
      <c r="I6412" s="140" t="s">
        <v>6527</v>
      </c>
      <c r="J6412" s="140" t="s">
        <v>6314</v>
      </c>
      <c r="K6412" s="140" t="s">
        <v>14422</v>
      </c>
    </row>
    <row r="6413">
      <c r="A6413" s="140" t="s">
        <v>14422</v>
      </c>
      <c r="B6413" s="143">
        <v>6.77075E13</v>
      </c>
      <c r="C6413" s="140" t="s">
        <v>14427</v>
      </c>
      <c r="D6413" s="140" t="s">
        <v>6620</v>
      </c>
      <c r="E6413" s="140" t="s">
        <v>6749</v>
      </c>
      <c r="F6413" s="140" t="s">
        <v>6750</v>
      </c>
      <c r="G6413" s="141" t="s">
        <v>6304</v>
      </c>
      <c r="H6413" s="140" t="s">
        <v>6312</v>
      </c>
      <c r="I6413" s="140" t="s">
        <v>6527</v>
      </c>
      <c r="J6413" s="140" t="s">
        <v>6314</v>
      </c>
      <c r="K6413" s="140" t="s">
        <v>14422</v>
      </c>
    </row>
    <row r="6414">
      <c r="A6414" s="140" t="s">
        <v>14422</v>
      </c>
      <c r="B6414" s="143">
        <v>6.77085E13</v>
      </c>
      <c r="C6414" s="140" t="s">
        <v>14428</v>
      </c>
      <c r="D6414" s="140" t="s">
        <v>6620</v>
      </c>
      <c r="E6414" s="140" t="s">
        <v>6749</v>
      </c>
      <c r="F6414" s="140" t="s">
        <v>6750</v>
      </c>
      <c r="G6414" s="141" t="s">
        <v>6304</v>
      </c>
      <c r="H6414" s="140" t="s">
        <v>6312</v>
      </c>
      <c r="I6414" s="140" t="s">
        <v>6527</v>
      </c>
      <c r="J6414" s="140" t="s">
        <v>6314</v>
      </c>
      <c r="K6414" s="140" t="s">
        <v>14422</v>
      </c>
    </row>
    <row r="6415">
      <c r="A6415" s="140" t="s">
        <v>14422</v>
      </c>
      <c r="B6415" s="143">
        <v>6.77091E13</v>
      </c>
      <c r="C6415" s="140" t="s">
        <v>14429</v>
      </c>
      <c r="D6415" s="140" t="s">
        <v>6620</v>
      </c>
      <c r="E6415" s="140" t="s">
        <v>6749</v>
      </c>
      <c r="F6415" s="140" t="s">
        <v>6750</v>
      </c>
      <c r="G6415" s="141" t="s">
        <v>6304</v>
      </c>
      <c r="H6415" s="140" t="s">
        <v>6312</v>
      </c>
      <c r="I6415" s="140" t="s">
        <v>6527</v>
      </c>
      <c r="J6415" s="140" t="s">
        <v>6314</v>
      </c>
      <c r="K6415" s="140" t="s">
        <v>14422</v>
      </c>
    </row>
    <row r="6416">
      <c r="A6416" s="140" t="s">
        <v>14422</v>
      </c>
      <c r="B6416" s="143">
        <v>6.77092E13</v>
      </c>
      <c r="C6416" s="140" t="s">
        <v>14430</v>
      </c>
      <c r="D6416" s="140" t="s">
        <v>6620</v>
      </c>
      <c r="E6416" s="140" t="s">
        <v>6749</v>
      </c>
      <c r="F6416" s="140" t="s">
        <v>6750</v>
      </c>
      <c r="G6416" s="141" t="s">
        <v>6304</v>
      </c>
      <c r="H6416" s="140" t="s">
        <v>6312</v>
      </c>
      <c r="I6416" s="140" t="s">
        <v>6527</v>
      </c>
      <c r="J6416" s="140" t="s">
        <v>6314</v>
      </c>
      <c r="K6416" s="140" t="s">
        <v>14422</v>
      </c>
    </row>
    <row r="6417">
      <c r="A6417" s="140" t="s">
        <v>14422</v>
      </c>
      <c r="B6417" s="143">
        <v>6.7709E13</v>
      </c>
      <c r="C6417" s="140" t="s">
        <v>14431</v>
      </c>
      <c r="D6417" s="140" t="s">
        <v>6620</v>
      </c>
      <c r="E6417" s="140" t="s">
        <v>6749</v>
      </c>
      <c r="F6417" s="140" t="s">
        <v>6750</v>
      </c>
      <c r="G6417" s="141" t="s">
        <v>6304</v>
      </c>
      <c r="H6417" s="140" t="s">
        <v>6312</v>
      </c>
      <c r="I6417" s="140" t="s">
        <v>6527</v>
      </c>
      <c r="J6417" s="140" t="s">
        <v>6314</v>
      </c>
      <c r="K6417" s="140" t="s">
        <v>14422</v>
      </c>
    </row>
    <row r="6418">
      <c r="A6418" s="140" t="s">
        <v>14422</v>
      </c>
      <c r="B6418" s="143">
        <v>6.77092E13</v>
      </c>
      <c r="C6418" s="140" t="s">
        <v>14432</v>
      </c>
      <c r="D6418" s="140" t="s">
        <v>6620</v>
      </c>
      <c r="E6418" s="140" t="s">
        <v>6749</v>
      </c>
      <c r="F6418" s="140" t="s">
        <v>6750</v>
      </c>
      <c r="G6418" s="141" t="s">
        <v>6304</v>
      </c>
      <c r="H6418" s="140" t="s">
        <v>6312</v>
      </c>
      <c r="I6418" s="140" t="s">
        <v>6527</v>
      </c>
      <c r="J6418" s="140" t="s">
        <v>6314</v>
      </c>
      <c r="K6418" s="140" t="s">
        <v>14422</v>
      </c>
    </row>
    <row r="6419">
      <c r="A6419" s="140" t="s">
        <v>14422</v>
      </c>
      <c r="B6419" s="143">
        <v>6.77092E13</v>
      </c>
      <c r="C6419" s="140" t="s">
        <v>14433</v>
      </c>
      <c r="D6419" s="140" t="s">
        <v>6620</v>
      </c>
      <c r="E6419" s="140" t="s">
        <v>6749</v>
      </c>
      <c r="F6419" s="140" t="s">
        <v>6750</v>
      </c>
      <c r="G6419" s="141" t="s">
        <v>6304</v>
      </c>
      <c r="H6419" s="140" t="s">
        <v>6312</v>
      </c>
      <c r="I6419" s="140" t="s">
        <v>6527</v>
      </c>
      <c r="J6419" s="140" t="s">
        <v>6314</v>
      </c>
      <c r="K6419" s="140" t="s">
        <v>14422</v>
      </c>
    </row>
    <row r="6420">
      <c r="A6420" s="140" t="s">
        <v>14422</v>
      </c>
      <c r="B6420" s="143">
        <v>7.57451E11</v>
      </c>
      <c r="C6420" s="140" t="s">
        <v>14434</v>
      </c>
      <c r="D6420" s="140" t="s">
        <v>6620</v>
      </c>
      <c r="E6420" s="140" t="s">
        <v>6749</v>
      </c>
      <c r="F6420" s="140" t="s">
        <v>6750</v>
      </c>
      <c r="G6420" s="141" t="s">
        <v>6668</v>
      </c>
      <c r="H6420" s="140" t="s">
        <v>6312</v>
      </c>
      <c r="I6420" s="140" t="s">
        <v>6313</v>
      </c>
      <c r="J6420" s="140" t="s">
        <v>6314</v>
      </c>
      <c r="K6420" s="140" t="s">
        <v>14422</v>
      </c>
    </row>
    <row r="6421">
      <c r="A6421" s="140" t="s">
        <v>14422</v>
      </c>
      <c r="B6421" s="152">
        <v>6.77091E13</v>
      </c>
      <c r="C6421" s="140" t="s">
        <v>14435</v>
      </c>
      <c r="D6421" s="140" t="s">
        <v>6620</v>
      </c>
      <c r="E6421" s="140" t="s">
        <v>6749</v>
      </c>
      <c r="F6421" s="140" t="s">
        <v>6750</v>
      </c>
      <c r="G6421" s="141" t="s">
        <v>6304</v>
      </c>
      <c r="H6421" s="140" t="s">
        <v>6312</v>
      </c>
      <c r="I6421" s="140" t="s">
        <v>6527</v>
      </c>
      <c r="J6421" s="140" t="s">
        <v>6314</v>
      </c>
      <c r="K6421" s="140" t="s">
        <v>14422</v>
      </c>
    </row>
    <row r="6422">
      <c r="A6422" s="140" t="s">
        <v>14422</v>
      </c>
      <c r="B6422" s="143">
        <v>7.57451E11</v>
      </c>
      <c r="C6422" s="140" t="s">
        <v>14436</v>
      </c>
      <c r="D6422" s="140" t="s">
        <v>6620</v>
      </c>
      <c r="E6422" s="140" t="s">
        <v>6749</v>
      </c>
      <c r="F6422" s="140" t="s">
        <v>6750</v>
      </c>
      <c r="G6422" s="141" t="s">
        <v>6742</v>
      </c>
      <c r="H6422" s="140" t="s">
        <v>6312</v>
      </c>
      <c r="I6422" s="140" t="s">
        <v>6313</v>
      </c>
      <c r="J6422" s="140" t="s">
        <v>6314</v>
      </c>
      <c r="K6422" s="140" t="s">
        <v>14422</v>
      </c>
    </row>
    <row r="6423">
      <c r="A6423" s="140" t="s">
        <v>14422</v>
      </c>
      <c r="B6423" s="143">
        <v>7.57451E11</v>
      </c>
      <c r="C6423" s="140" t="s">
        <v>14437</v>
      </c>
      <c r="D6423" s="140" t="s">
        <v>6620</v>
      </c>
      <c r="E6423" s="140" t="s">
        <v>6749</v>
      </c>
      <c r="F6423" s="140" t="s">
        <v>6750</v>
      </c>
      <c r="G6423" s="141" t="s">
        <v>6742</v>
      </c>
      <c r="H6423" s="140" t="s">
        <v>6312</v>
      </c>
      <c r="I6423" s="140" t="s">
        <v>6313</v>
      </c>
      <c r="J6423" s="140" t="s">
        <v>6314</v>
      </c>
      <c r="K6423" s="140" t="s">
        <v>14422</v>
      </c>
    </row>
    <row r="6424">
      <c r="A6424" s="140" t="s">
        <v>14422</v>
      </c>
      <c r="B6424" s="143">
        <v>6.77086E13</v>
      </c>
      <c r="C6424" s="140" t="s">
        <v>14438</v>
      </c>
      <c r="D6424" s="140" t="s">
        <v>6620</v>
      </c>
      <c r="E6424" s="140" t="s">
        <v>6749</v>
      </c>
      <c r="F6424" s="140" t="s">
        <v>6750</v>
      </c>
      <c r="G6424" s="141" t="s">
        <v>6304</v>
      </c>
      <c r="H6424" s="140" t="s">
        <v>6312</v>
      </c>
      <c r="I6424" s="140" t="s">
        <v>6527</v>
      </c>
      <c r="J6424" s="140" t="s">
        <v>6314</v>
      </c>
      <c r="K6424" s="140" t="s">
        <v>14422</v>
      </c>
    </row>
    <row r="6425">
      <c r="A6425" s="140" t="s">
        <v>14422</v>
      </c>
      <c r="B6425" s="143">
        <v>6.77092E13</v>
      </c>
      <c r="C6425" s="140" t="s">
        <v>14439</v>
      </c>
      <c r="D6425" s="140" t="s">
        <v>6620</v>
      </c>
      <c r="E6425" s="140" t="s">
        <v>6749</v>
      </c>
      <c r="F6425" s="140" t="s">
        <v>6750</v>
      </c>
      <c r="G6425" s="141" t="s">
        <v>6304</v>
      </c>
      <c r="H6425" s="140" t="s">
        <v>6312</v>
      </c>
      <c r="I6425" s="140" t="s">
        <v>6527</v>
      </c>
      <c r="J6425" s="140" t="s">
        <v>6314</v>
      </c>
      <c r="K6425" s="140" t="s">
        <v>14422</v>
      </c>
    </row>
    <row r="6426">
      <c r="A6426" s="140" t="s">
        <v>14422</v>
      </c>
      <c r="B6426" s="143">
        <v>6.77092E13</v>
      </c>
      <c r="C6426" s="140" t="s">
        <v>14440</v>
      </c>
      <c r="D6426" s="140" t="s">
        <v>6620</v>
      </c>
      <c r="E6426" s="140" t="s">
        <v>6749</v>
      </c>
      <c r="F6426" s="140" t="s">
        <v>6750</v>
      </c>
      <c r="G6426" s="141" t="s">
        <v>6304</v>
      </c>
      <c r="H6426" s="140" t="s">
        <v>6312</v>
      </c>
      <c r="I6426" s="140" t="s">
        <v>6527</v>
      </c>
      <c r="J6426" s="140" t="s">
        <v>6314</v>
      </c>
      <c r="K6426" s="140" t="s">
        <v>14422</v>
      </c>
    </row>
    <row r="6427">
      <c r="A6427" s="140" t="s">
        <v>14422</v>
      </c>
      <c r="B6427" s="143">
        <v>7.57451E11</v>
      </c>
      <c r="C6427" s="140" t="s">
        <v>14441</v>
      </c>
      <c r="D6427" s="140" t="s">
        <v>6620</v>
      </c>
      <c r="E6427" s="140" t="s">
        <v>6749</v>
      </c>
      <c r="F6427" s="140" t="s">
        <v>14442</v>
      </c>
      <c r="G6427" s="141" t="s">
        <v>6668</v>
      </c>
      <c r="H6427" s="140" t="s">
        <v>6312</v>
      </c>
      <c r="I6427" s="140" t="s">
        <v>6313</v>
      </c>
      <c r="J6427" s="140" t="s">
        <v>6314</v>
      </c>
      <c r="K6427" s="140" t="s">
        <v>14422</v>
      </c>
    </row>
    <row r="6428">
      <c r="A6428" s="140" t="s">
        <v>14422</v>
      </c>
      <c r="B6428" s="143">
        <v>6.77086E13</v>
      </c>
      <c r="C6428" s="140" t="s">
        <v>14443</v>
      </c>
      <c r="D6428" s="140" t="s">
        <v>6620</v>
      </c>
      <c r="E6428" s="140" t="s">
        <v>6749</v>
      </c>
      <c r="F6428" s="140" t="s">
        <v>14442</v>
      </c>
      <c r="G6428" s="141" t="s">
        <v>6304</v>
      </c>
      <c r="H6428" s="140" t="s">
        <v>6312</v>
      </c>
      <c r="I6428" s="140" t="s">
        <v>6527</v>
      </c>
      <c r="J6428" s="140" t="s">
        <v>6314</v>
      </c>
      <c r="K6428" s="140" t="s">
        <v>14422</v>
      </c>
    </row>
    <row r="6429">
      <c r="A6429" s="140" t="s">
        <v>14422</v>
      </c>
      <c r="B6429" s="143">
        <v>7.57451E11</v>
      </c>
      <c r="C6429" s="140" t="s">
        <v>14444</v>
      </c>
      <c r="D6429" s="140" t="s">
        <v>6620</v>
      </c>
      <c r="E6429" s="140" t="s">
        <v>6749</v>
      </c>
      <c r="F6429" s="140" t="s">
        <v>14442</v>
      </c>
      <c r="G6429" s="141" t="s">
        <v>6668</v>
      </c>
      <c r="H6429" s="140" t="s">
        <v>6312</v>
      </c>
      <c r="I6429" s="140" t="s">
        <v>6313</v>
      </c>
      <c r="J6429" s="140" t="s">
        <v>6314</v>
      </c>
      <c r="K6429" s="140" t="s">
        <v>14422</v>
      </c>
    </row>
    <row r="6430">
      <c r="A6430" s="140" t="s">
        <v>14422</v>
      </c>
      <c r="B6430" s="143">
        <v>7.57451E11</v>
      </c>
      <c r="C6430" s="140" t="s">
        <v>14445</v>
      </c>
      <c r="D6430" s="140" t="s">
        <v>6620</v>
      </c>
      <c r="E6430" s="140" t="s">
        <v>6749</v>
      </c>
      <c r="F6430" s="140" t="s">
        <v>6756</v>
      </c>
      <c r="G6430" s="141" t="s">
        <v>6401</v>
      </c>
      <c r="H6430" s="140" t="s">
        <v>6312</v>
      </c>
      <c r="I6430" s="140" t="s">
        <v>6313</v>
      </c>
      <c r="J6430" s="140" t="s">
        <v>6314</v>
      </c>
      <c r="K6430" s="140" t="s">
        <v>14422</v>
      </c>
    </row>
    <row r="6431">
      <c r="A6431" s="140" t="s">
        <v>14422</v>
      </c>
      <c r="B6431" s="143">
        <v>7.57451E11</v>
      </c>
      <c r="C6431" s="140" t="s">
        <v>14446</v>
      </c>
      <c r="D6431" s="140" t="s">
        <v>6620</v>
      </c>
      <c r="E6431" s="140" t="s">
        <v>6749</v>
      </c>
      <c r="F6431" s="140" t="s">
        <v>6756</v>
      </c>
      <c r="G6431" s="141" t="s">
        <v>6401</v>
      </c>
      <c r="H6431" s="140" t="s">
        <v>6312</v>
      </c>
      <c r="I6431" s="140" t="s">
        <v>6313</v>
      </c>
      <c r="J6431" s="140" t="s">
        <v>6314</v>
      </c>
      <c r="K6431" s="140" t="s">
        <v>14422</v>
      </c>
    </row>
    <row r="6432">
      <c r="A6432" s="140" t="s">
        <v>14422</v>
      </c>
      <c r="B6432" s="143">
        <v>6.77087E13</v>
      </c>
      <c r="C6432" s="140" t="s">
        <v>14447</v>
      </c>
      <c r="D6432" s="140" t="s">
        <v>6620</v>
      </c>
      <c r="E6432" s="140" t="s">
        <v>6749</v>
      </c>
      <c r="F6432" s="140" t="s">
        <v>6756</v>
      </c>
      <c r="G6432" s="141" t="s">
        <v>6304</v>
      </c>
      <c r="H6432" s="140" t="s">
        <v>6312</v>
      </c>
      <c r="I6432" s="140" t="s">
        <v>6527</v>
      </c>
      <c r="J6432" s="140" t="s">
        <v>6314</v>
      </c>
      <c r="K6432" s="140" t="s">
        <v>14422</v>
      </c>
    </row>
    <row r="6433">
      <c r="A6433" s="140" t="s">
        <v>14422</v>
      </c>
      <c r="B6433" s="143">
        <v>6.77086E13</v>
      </c>
      <c r="C6433" s="140" t="s">
        <v>14448</v>
      </c>
      <c r="D6433" s="140" t="s">
        <v>6620</v>
      </c>
      <c r="E6433" s="140" t="s">
        <v>6749</v>
      </c>
      <c r="F6433" s="140" t="s">
        <v>6756</v>
      </c>
      <c r="G6433" s="141" t="s">
        <v>6304</v>
      </c>
      <c r="H6433" s="140" t="s">
        <v>6312</v>
      </c>
      <c r="I6433" s="140" t="s">
        <v>6527</v>
      </c>
      <c r="J6433" s="140" t="s">
        <v>6314</v>
      </c>
      <c r="K6433" s="140" t="s">
        <v>14422</v>
      </c>
    </row>
    <row r="6434">
      <c r="A6434" s="140" t="s">
        <v>14422</v>
      </c>
      <c r="B6434" s="143">
        <v>6.77086E13</v>
      </c>
      <c r="C6434" s="140" t="s">
        <v>14449</v>
      </c>
      <c r="D6434" s="140" t="s">
        <v>6620</v>
      </c>
      <c r="E6434" s="140" t="s">
        <v>6749</v>
      </c>
      <c r="F6434" s="140" t="s">
        <v>6756</v>
      </c>
      <c r="G6434" s="141" t="s">
        <v>6304</v>
      </c>
      <c r="H6434" s="140" t="s">
        <v>6312</v>
      </c>
      <c r="I6434" s="140" t="s">
        <v>6527</v>
      </c>
      <c r="J6434" s="140" t="s">
        <v>6314</v>
      </c>
      <c r="K6434" s="140" t="s">
        <v>14422</v>
      </c>
    </row>
    <row r="6435">
      <c r="A6435" s="140" t="s">
        <v>14422</v>
      </c>
      <c r="B6435" s="143">
        <v>6.77091E13</v>
      </c>
      <c r="C6435" s="140" t="s">
        <v>14450</v>
      </c>
      <c r="D6435" s="140" t="s">
        <v>6620</v>
      </c>
      <c r="E6435" s="140" t="s">
        <v>6749</v>
      </c>
      <c r="F6435" s="140" t="s">
        <v>6756</v>
      </c>
      <c r="G6435" s="141" t="s">
        <v>6304</v>
      </c>
      <c r="H6435" s="140" t="s">
        <v>6312</v>
      </c>
      <c r="I6435" s="140" t="s">
        <v>6527</v>
      </c>
      <c r="J6435" s="140" t="s">
        <v>6314</v>
      </c>
      <c r="K6435" s="140" t="s">
        <v>14422</v>
      </c>
    </row>
    <row r="6436">
      <c r="A6436" s="140" t="s">
        <v>14422</v>
      </c>
      <c r="B6436" s="143">
        <v>6.7709E13</v>
      </c>
      <c r="C6436" s="140" t="s">
        <v>14451</v>
      </c>
      <c r="D6436" s="140" t="s">
        <v>6620</v>
      </c>
      <c r="E6436" s="140" t="s">
        <v>6749</v>
      </c>
      <c r="F6436" s="140" t="s">
        <v>6756</v>
      </c>
      <c r="G6436" s="141" t="s">
        <v>6304</v>
      </c>
      <c r="H6436" s="140" t="s">
        <v>6312</v>
      </c>
      <c r="I6436" s="140" t="s">
        <v>6527</v>
      </c>
      <c r="J6436" s="140" t="s">
        <v>6314</v>
      </c>
      <c r="K6436" s="140" t="s">
        <v>14422</v>
      </c>
    </row>
    <row r="6437">
      <c r="A6437" s="140" t="s">
        <v>14422</v>
      </c>
      <c r="B6437" s="143">
        <v>7.57451E12</v>
      </c>
      <c r="C6437" s="140" t="s">
        <v>14452</v>
      </c>
      <c r="D6437" s="140" t="s">
        <v>6620</v>
      </c>
      <c r="E6437" s="140" t="s">
        <v>6749</v>
      </c>
      <c r="F6437" s="140" t="s">
        <v>6756</v>
      </c>
      <c r="G6437" s="141" t="s">
        <v>6311</v>
      </c>
      <c r="H6437" s="140" t="s">
        <v>6312</v>
      </c>
      <c r="I6437" s="140" t="s">
        <v>6313</v>
      </c>
      <c r="J6437" s="140" t="s">
        <v>6314</v>
      </c>
      <c r="K6437" s="140" t="s">
        <v>14422</v>
      </c>
    </row>
    <row r="6438">
      <c r="A6438" s="140" t="s">
        <v>14422</v>
      </c>
      <c r="B6438" s="143">
        <v>7.57451E11</v>
      </c>
      <c r="C6438" s="140" t="s">
        <v>14453</v>
      </c>
      <c r="D6438" s="140" t="s">
        <v>6620</v>
      </c>
      <c r="E6438" s="140" t="s">
        <v>6749</v>
      </c>
      <c r="F6438" s="140" t="s">
        <v>6756</v>
      </c>
      <c r="G6438" s="141" t="s">
        <v>6401</v>
      </c>
      <c r="H6438" s="140" t="s">
        <v>6312</v>
      </c>
      <c r="I6438" s="140" t="s">
        <v>6313</v>
      </c>
      <c r="J6438" s="140" t="s">
        <v>6314</v>
      </c>
      <c r="K6438" s="140" t="s">
        <v>14422</v>
      </c>
    </row>
    <row r="6439">
      <c r="A6439" s="140" t="s">
        <v>14422</v>
      </c>
      <c r="B6439" s="143">
        <v>7.57451E11</v>
      </c>
      <c r="C6439" s="140" t="s">
        <v>14454</v>
      </c>
      <c r="D6439" s="140" t="s">
        <v>6620</v>
      </c>
      <c r="E6439" s="140" t="s">
        <v>6749</v>
      </c>
      <c r="F6439" s="140" t="s">
        <v>6756</v>
      </c>
      <c r="G6439" s="141" t="s">
        <v>6664</v>
      </c>
      <c r="H6439" s="140" t="s">
        <v>6312</v>
      </c>
      <c r="I6439" s="140" t="s">
        <v>6313</v>
      </c>
      <c r="J6439" s="140" t="s">
        <v>6314</v>
      </c>
      <c r="K6439" s="140" t="s">
        <v>14422</v>
      </c>
    </row>
    <row r="6440">
      <c r="A6440" s="140" t="s">
        <v>14422</v>
      </c>
      <c r="B6440" s="140" t="s">
        <v>14455</v>
      </c>
      <c r="C6440" s="140" t="s">
        <v>14454</v>
      </c>
      <c r="D6440" s="140" t="s">
        <v>6620</v>
      </c>
      <c r="E6440" s="140" t="s">
        <v>6749</v>
      </c>
      <c r="F6440" s="140" t="s">
        <v>6756</v>
      </c>
      <c r="G6440" s="141" t="s">
        <v>6304</v>
      </c>
      <c r="H6440" s="140" t="s">
        <v>6312</v>
      </c>
      <c r="I6440" s="140" t="s">
        <v>6527</v>
      </c>
      <c r="J6440" s="140" t="s">
        <v>6314</v>
      </c>
      <c r="K6440" s="140" t="s">
        <v>14422</v>
      </c>
    </row>
    <row r="6441">
      <c r="A6441" s="140" t="s">
        <v>14422</v>
      </c>
      <c r="B6441" s="143">
        <v>7.57451E11</v>
      </c>
      <c r="C6441" s="140" t="s">
        <v>14456</v>
      </c>
      <c r="D6441" s="140" t="s">
        <v>6620</v>
      </c>
      <c r="E6441" s="140" t="s">
        <v>6749</v>
      </c>
      <c r="F6441" s="140" t="s">
        <v>6756</v>
      </c>
      <c r="G6441" s="141" t="s">
        <v>6401</v>
      </c>
      <c r="H6441" s="140" t="s">
        <v>6312</v>
      </c>
      <c r="I6441" s="140" t="s">
        <v>6313</v>
      </c>
      <c r="J6441" s="140" t="s">
        <v>6314</v>
      </c>
      <c r="K6441" s="140" t="s">
        <v>14422</v>
      </c>
    </row>
    <row r="6442">
      <c r="A6442" s="140" t="s">
        <v>14422</v>
      </c>
      <c r="B6442" s="143">
        <v>7.57451E11</v>
      </c>
      <c r="C6442" s="140" t="s">
        <v>14457</v>
      </c>
      <c r="D6442" s="140" t="s">
        <v>6620</v>
      </c>
      <c r="E6442" s="140" t="s">
        <v>6749</v>
      </c>
      <c r="F6442" s="140" t="s">
        <v>6756</v>
      </c>
      <c r="G6442" s="141" t="s">
        <v>6401</v>
      </c>
      <c r="H6442" s="140" t="s">
        <v>6312</v>
      </c>
      <c r="I6442" s="140" t="s">
        <v>6313</v>
      </c>
      <c r="J6442" s="140" t="s">
        <v>6314</v>
      </c>
      <c r="K6442" s="140" t="s">
        <v>14422</v>
      </c>
    </row>
    <row r="6443">
      <c r="A6443" s="140" t="s">
        <v>14422</v>
      </c>
      <c r="B6443" s="143">
        <v>7.57451E11</v>
      </c>
      <c r="C6443" s="140" t="s">
        <v>14458</v>
      </c>
      <c r="D6443" s="140" t="s">
        <v>6620</v>
      </c>
      <c r="E6443" s="140" t="s">
        <v>6749</v>
      </c>
      <c r="F6443" s="140" t="s">
        <v>6756</v>
      </c>
      <c r="G6443" s="141" t="s">
        <v>6668</v>
      </c>
      <c r="H6443" s="140" t="s">
        <v>6312</v>
      </c>
      <c r="I6443" s="140" t="s">
        <v>6313</v>
      </c>
      <c r="J6443" s="140" t="s">
        <v>6314</v>
      </c>
      <c r="K6443" s="140" t="s">
        <v>14422</v>
      </c>
    </row>
    <row r="6444">
      <c r="A6444" s="140" t="s">
        <v>14422</v>
      </c>
      <c r="B6444" s="143">
        <v>6.77091E13</v>
      </c>
      <c r="C6444" s="140" t="s">
        <v>14459</v>
      </c>
      <c r="D6444" s="140" t="s">
        <v>6620</v>
      </c>
      <c r="E6444" s="140" t="s">
        <v>6749</v>
      </c>
      <c r="F6444" s="140" t="s">
        <v>6756</v>
      </c>
      <c r="G6444" s="141" t="s">
        <v>6304</v>
      </c>
      <c r="H6444" s="140" t="s">
        <v>6312</v>
      </c>
      <c r="I6444" s="140" t="s">
        <v>6527</v>
      </c>
      <c r="J6444" s="140" t="s">
        <v>6314</v>
      </c>
      <c r="K6444" s="140" t="s">
        <v>14422</v>
      </c>
    </row>
    <row r="6445">
      <c r="A6445" s="140" t="s">
        <v>14422</v>
      </c>
      <c r="B6445" s="143">
        <v>6.77091E13</v>
      </c>
      <c r="C6445" s="140" t="s">
        <v>14460</v>
      </c>
      <c r="D6445" s="140" t="s">
        <v>6620</v>
      </c>
      <c r="E6445" s="140" t="s">
        <v>6749</v>
      </c>
      <c r="F6445" s="140" t="s">
        <v>6756</v>
      </c>
      <c r="G6445" s="141" t="s">
        <v>6304</v>
      </c>
      <c r="H6445" s="140" t="s">
        <v>6312</v>
      </c>
      <c r="I6445" s="140" t="s">
        <v>6527</v>
      </c>
      <c r="J6445" s="140" t="s">
        <v>6314</v>
      </c>
      <c r="K6445" s="140" t="s">
        <v>14422</v>
      </c>
    </row>
    <row r="6446">
      <c r="A6446" s="140" t="s">
        <v>14422</v>
      </c>
      <c r="B6446" s="143">
        <v>6.77087E13</v>
      </c>
      <c r="C6446" s="140" t="s">
        <v>14461</v>
      </c>
      <c r="D6446" s="140" t="s">
        <v>6620</v>
      </c>
      <c r="E6446" s="140" t="s">
        <v>6621</v>
      </c>
      <c r="F6446" s="140" t="s">
        <v>6777</v>
      </c>
      <c r="G6446" s="141" t="s">
        <v>6304</v>
      </c>
      <c r="H6446" s="140" t="s">
        <v>6312</v>
      </c>
      <c r="I6446" s="140" t="s">
        <v>6527</v>
      </c>
      <c r="J6446" s="140" t="s">
        <v>6314</v>
      </c>
      <c r="K6446" s="140" t="s">
        <v>14422</v>
      </c>
    </row>
    <row r="6447">
      <c r="A6447" s="140" t="s">
        <v>14422</v>
      </c>
      <c r="B6447" s="143">
        <v>7.57451E11</v>
      </c>
      <c r="C6447" s="140" t="s">
        <v>14462</v>
      </c>
      <c r="D6447" s="140" t="s">
        <v>6620</v>
      </c>
      <c r="E6447" s="140" t="s">
        <v>6621</v>
      </c>
      <c r="F6447" s="140" t="s">
        <v>6777</v>
      </c>
      <c r="G6447" s="141" t="s">
        <v>6401</v>
      </c>
      <c r="H6447" s="140" t="s">
        <v>6312</v>
      </c>
      <c r="I6447" s="140" t="s">
        <v>6313</v>
      </c>
      <c r="J6447" s="140" t="s">
        <v>6314</v>
      </c>
      <c r="K6447" s="140" t="s">
        <v>14422</v>
      </c>
    </row>
    <row r="6448">
      <c r="A6448" s="140" t="s">
        <v>14422</v>
      </c>
      <c r="B6448" s="143">
        <v>7.57451E11</v>
      </c>
      <c r="C6448" s="140" t="s">
        <v>14463</v>
      </c>
      <c r="D6448" s="140" t="s">
        <v>6620</v>
      </c>
      <c r="E6448" s="140" t="s">
        <v>6621</v>
      </c>
      <c r="F6448" s="140" t="s">
        <v>6777</v>
      </c>
      <c r="G6448" s="141" t="s">
        <v>6401</v>
      </c>
      <c r="H6448" s="140" t="s">
        <v>6312</v>
      </c>
      <c r="I6448" s="140" t="s">
        <v>6313</v>
      </c>
      <c r="J6448" s="140" t="s">
        <v>6314</v>
      </c>
      <c r="K6448" s="140" t="s">
        <v>14422</v>
      </c>
    </row>
    <row r="6449">
      <c r="A6449" s="140" t="s">
        <v>14422</v>
      </c>
      <c r="B6449" s="143">
        <v>7.57451E11</v>
      </c>
      <c r="C6449" s="140" t="s">
        <v>14464</v>
      </c>
      <c r="D6449" s="140" t="s">
        <v>6620</v>
      </c>
      <c r="E6449" s="140" t="s">
        <v>6621</v>
      </c>
      <c r="F6449" s="140" t="s">
        <v>6777</v>
      </c>
      <c r="G6449" s="141" t="s">
        <v>6401</v>
      </c>
      <c r="H6449" s="140" t="s">
        <v>6312</v>
      </c>
      <c r="I6449" s="140" t="s">
        <v>6313</v>
      </c>
      <c r="J6449" s="140" t="s">
        <v>6314</v>
      </c>
      <c r="K6449" s="140" t="s">
        <v>14422</v>
      </c>
    </row>
    <row r="6450">
      <c r="A6450" s="140" t="s">
        <v>14422</v>
      </c>
      <c r="B6450" s="143">
        <v>6.7709E13</v>
      </c>
      <c r="C6450" s="140" t="s">
        <v>14465</v>
      </c>
      <c r="D6450" s="140" t="s">
        <v>6620</v>
      </c>
      <c r="E6450" s="140" t="s">
        <v>6621</v>
      </c>
      <c r="F6450" s="140" t="s">
        <v>6777</v>
      </c>
      <c r="G6450" s="141" t="s">
        <v>6304</v>
      </c>
      <c r="H6450" s="140" t="s">
        <v>6312</v>
      </c>
      <c r="I6450" s="140" t="s">
        <v>6527</v>
      </c>
      <c r="J6450" s="140" t="s">
        <v>6314</v>
      </c>
      <c r="K6450" s="140" t="s">
        <v>14422</v>
      </c>
    </row>
    <row r="6451">
      <c r="A6451" s="140" t="s">
        <v>14422</v>
      </c>
      <c r="B6451" s="143">
        <v>6.7709E13</v>
      </c>
      <c r="C6451" s="140" t="s">
        <v>14466</v>
      </c>
      <c r="D6451" s="140" t="s">
        <v>6620</v>
      </c>
      <c r="E6451" s="140" t="s">
        <v>6621</v>
      </c>
      <c r="F6451" s="140" t="s">
        <v>6777</v>
      </c>
      <c r="G6451" s="141" t="s">
        <v>6304</v>
      </c>
      <c r="H6451" s="140" t="s">
        <v>6312</v>
      </c>
      <c r="I6451" s="140" t="s">
        <v>6527</v>
      </c>
      <c r="J6451" s="140" t="s">
        <v>6314</v>
      </c>
      <c r="K6451" s="140" t="s">
        <v>14422</v>
      </c>
    </row>
    <row r="6452">
      <c r="A6452" s="140" t="s">
        <v>14422</v>
      </c>
      <c r="B6452" s="143">
        <v>6.7709E13</v>
      </c>
      <c r="C6452" s="140" t="s">
        <v>14467</v>
      </c>
      <c r="D6452" s="140" t="s">
        <v>6620</v>
      </c>
      <c r="E6452" s="140" t="s">
        <v>6621</v>
      </c>
      <c r="F6452" s="140" t="s">
        <v>6777</v>
      </c>
      <c r="G6452" s="141" t="s">
        <v>6304</v>
      </c>
      <c r="H6452" s="140" t="s">
        <v>6312</v>
      </c>
      <c r="I6452" s="140" t="s">
        <v>6527</v>
      </c>
      <c r="J6452" s="140" t="s">
        <v>6314</v>
      </c>
      <c r="K6452" s="140" t="s">
        <v>14422</v>
      </c>
    </row>
    <row r="6453">
      <c r="A6453" s="140" t="s">
        <v>14422</v>
      </c>
      <c r="B6453" s="143">
        <v>6.77092E13</v>
      </c>
      <c r="C6453" s="140" t="s">
        <v>14468</v>
      </c>
      <c r="D6453" s="140" t="s">
        <v>6620</v>
      </c>
      <c r="E6453" s="140" t="s">
        <v>6621</v>
      </c>
      <c r="F6453" s="140" t="s">
        <v>6777</v>
      </c>
      <c r="G6453" s="141" t="s">
        <v>6304</v>
      </c>
      <c r="H6453" s="140" t="s">
        <v>6312</v>
      </c>
      <c r="I6453" s="145" t="s">
        <v>6527</v>
      </c>
      <c r="J6453" s="140" t="s">
        <v>6314</v>
      </c>
      <c r="K6453" s="140" t="s">
        <v>14422</v>
      </c>
    </row>
    <row r="6454">
      <c r="A6454" s="140" t="s">
        <v>14422</v>
      </c>
      <c r="B6454" s="143">
        <v>6.77092E13</v>
      </c>
      <c r="C6454" s="140" t="s">
        <v>14469</v>
      </c>
      <c r="D6454" s="140" t="s">
        <v>6620</v>
      </c>
      <c r="E6454" s="140" t="s">
        <v>6621</v>
      </c>
      <c r="F6454" s="140" t="s">
        <v>6777</v>
      </c>
      <c r="G6454" s="141" t="s">
        <v>6304</v>
      </c>
      <c r="H6454" s="140" t="s">
        <v>6312</v>
      </c>
      <c r="I6454" s="145" t="s">
        <v>6527</v>
      </c>
      <c r="J6454" s="140" t="s">
        <v>6314</v>
      </c>
      <c r="K6454" s="140" t="s">
        <v>14422</v>
      </c>
    </row>
    <row r="6455">
      <c r="A6455" s="140" t="s">
        <v>14422</v>
      </c>
      <c r="B6455" s="143">
        <v>6.77092E13</v>
      </c>
      <c r="C6455" s="140" t="s">
        <v>14470</v>
      </c>
      <c r="D6455" s="140" t="s">
        <v>6620</v>
      </c>
      <c r="E6455" s="140" t="s">
        <v>6621</v>
      </c>
      <c r="F6455" s="140" t="s">
        <v>6777</v>
      </c>
      <c r="G6455" s="141" t="s">
        <v>6304</v>
      </c>
      <c r="H6455" s="140" t="s">
        <v>6312</v>
      </c>
      <c r="I6455" s="140" t="s">
        <v>6527</v>
      </c>
      <c r="J6455" s="140" t="s">
        <v>6314</v>
      </c>
      <c r="K6455" s="140" t="s">
        <v>14422</v>
      </c>
    </row>
    <row r="6456">
      <c r="A6456" s="140" t="s">
        <v>14422</v>
      </c>
      <c r="B6456" s="143">
        <v>7.57451E11</v>
      </c>
      <c r="C6456" s="140" t="s">
        <v>14471</v>
      </c>
      <c r="D6456" s="140" t="s">
        <v>6620</v>
      </c>
      <c r="E6456" s="140" t="s">
        <v>6766</v>
      </c>
      <c r="F6456" s="140" t="s">
        <v>14442</v>
      </c>
      <c r="G6456" s="141" t="s">
        <v>6401</v>
      </c>
      <c r="H6456" s="140" t="s">
        <v>6312</v>
      </c>
      <c r="I6456" s="140" t="s">
        <v>6313</v>
      </c>
      <c r="J6456" s="140" t="s">
        <v>6314</v>
      </c>
      <c r="K6456" s="140" t="s">
        <v>14422</v>
      </c>
    </row>
    <row r="6457">
      <c r="A6457" s="140" t="s">
        <v>14422</v>
      </c>
      <c r="B6457" s="143">
        <v>7.57451E11</v>
      </c>
      <c r="C6457" s="140" t="s">
        <v>14472</v>
      </c>
      <c r="D6457" s="140" t="s">
        <v>6620</v>
      </c>
      <c r="E6457" s="140" t="s">
        <v>7268</v>
      </c>
      <c r="F6457" s="140" t="s">
        <v>7269</v>
      </c>
      <c r="G6457" s="141" t="s">
        <v>6401</v>
      </c>
      <c r="H6457" s="140" t="s">
        <v>6312</v>
      </c>
      <c r="I6457" s="140" t="s">
        <v>6313</v>
      </c>
      <c r="J6457" s="140" t="s">
        <v>6314</v>
      </c>
      <c r="K6457" s="140" t="s">
        <v>14422</v>
      </c>
    </row>
    <row r="6458">
      <c r="A6458" s="140" t="s">
        <v>14422</v>
      </c>
      <c r="B6458" s="143">
        <v>7.57451E11</v>
      </c>
      <c r="C6458" s="140" t="s">
        <v>14473</v>
      </c>
      <c r="D6458" s="140" t="s">
        <v>6620</v>
      </c>
      <c r="E6458" s="140" t="s">
        <v>7268</v>
      </c>
      <c r="F6458" s="140" t="s">
        <v>7269</v>
      </c>
      <c r="G6458" s="141" t="s">
        <v>6401</v>
      </c>
      <c r="H6458" s="140" t="s">
        <v>6312</v>
      </c>
      <c r="I6458" s="140" t="s">
        <v>6313</v>
      </c>
      <c r="J6458" s="140" t="s">
        <v>6314</v>
      </c>
      <c r="K6458" s="140" t="s">
        <v>14422</v>
      </c>
    </row>
    <row r="6459">
      <c r="A6459" s="140" t="s">
        <v>1179</v>
      </c>
      <c r="B6459" s="140">
        <v>1.676378232E9</v>
      </c>
      <c r="C6459" s="140" t="s">
        <v>14474</v>
      </c>
      <c r="D6459" s="140" t="s">
        <v>6318</v>
      </c>
      <c r="E6459" s="140" t="s">
        <v>1180</v>
      </c>
      <c r="F6459" s="140" t="s">
        <v>1190</v>
      </c>
      <c r="G6459" s="141" t="s">
        <v>6401</v>
      </c>
      <c r="H6459" s="140" t="s">
        <v>6312</v>
      </c>
      <c r="I6459" s="140" t="s">
        <v>6313</v>
      </c>
      <c r="J6459" s="140" t="s">
        <v>6319</v>
      </c>
      <c r="K6459" s="140" t="s">
        <v>1573</v>
      </c>
    </row>
    <row r="6460">
      <c r="A6460" s="140" t="s">
        <v>1179</v>
      </c>
      <c r="B6460" s="140" t="s">
        <v>14475</v>
      </c>
      <c r="C6460" s="140" t="s">
        <v>14476</v>
      </c>
      <c r="D6460" s="140" t="s">
        <v>6318</v>
      </c>
      <c r="E6460" s="140" t="s">
        <v>1180</v>
      </c>
      <c r="F6460" s="140" t="s">
        <v>1190</v>
      </c>
      <c r="G6460" s="141" t="s">
        <v>6304</v>
      </c>
      <c r="H6460" s="140" t="s">
        <v>6312</v>
      </c>
      <c r="I6460" s="140" t="s">
        <v>6527</v>
      </c>
      <c r="J6460" s="140" t="s">
        <v>6319</v>
      </c>
      <c r="K6460" s="140" t="s">
        <v>1573</v>
      </c>
    </row>
    <row r="6461">
      <c r="A6461" s="140" t="s">
        <v>1179</v>
      </c>
      <c r="B6461" s="140" t="s">
        <v>14477</v>
      </c>
      <c r="C6461" s="140" t="s">
        <v>14478</v>
      </c>
      <c r="D6461" s="140" t="s">
        <v>6318</v>
      </c>
      <c r="E6461" s="140" t="s">
        <v>1180</v>
      </c>
      <c r="F6461" s="140" t="s">
        <v>1190</v>
      </c>
      <c r="G6461" s="141" t="s">
        <v>6304</v>
      </c>
      <c r="H6461" s="140" t="s">
        <v>6312</v>
      </c>
      <c r="I6461" s="140" t="s">
        <v>6527</v>
      </c>
      <c r="J6461" s="140" t="s">
        <v>6319</v>
      </c>
      <c r="K6461" s="140" t="s">
        <v>1573</v>
      </c>
    </row>
    <row r="6462">
      <c r="A6462" s="140" t="s">
        <v>1179</v>
      </c>
      <c r="B6462" s="143">
        <v>1.62742E12</v>
      </c>
      <c r="C6462" s="140" t="s">
        <v>14479</v>
      </c>
      <c r="D6462" s="140" t="s">
        <v>6318</v>
      </c>
      <c r="E6462" s="140" t="s">
        <v>1323</v>
      </c>
      <c r="F6462" s="140" t="s">
        <v>1371</v>
      </c>
      <c r="G6462" s="141" t="s">
        <v>6401</v>
      </c>
      <c r="H6462" s="140" t="s">
        <v>6312</v>
      </c>
      <c r="I6462" s="140" t="s">
        <v>6313</v>
      </c>
      <c r="J6462" s="140" t="s">
        <v>6319</v>
      </c>
      <c r="K6462" s="140" t="s">
        <v>1573</v>
      </c>
    </row>
    <row r="6463">
      <c r="A6463" s="140" t="s">
        <v>1179</v>
      </c>
      <c r="B6463" s="140" t="s">
        <v>14480</v>
      </c>
      <c r="C6463" s="140" t="s">
        <v>14481</v>
      </c>
      <c r="D6463" s="140" t="s">
        <v>6318</v>
      </c>
      <c r="E6463" s="140" t="s">
        <v>1323</v>
      </c>
      <c r="F6463" s="140" t="s">
        <v>1371</v>
      </c>
      <c r="G6463" s="141" t="s">
        <v>6401</v>
      </c>
      <c r="H6463" s="140" t="s">
        <v>6312</v>
      </c>
      <c r="I6463" s="140" t="s">
        <v>6313</v>
      </c>
      <c r="J6463" s="140" t="s">
        <v>6319</v>
      </c>
      <c r="K6463" s="140" t="s">
        <v>1573</v>
      </c>
    </row>
    <row r="6464">
      <c r="A6464" s="140" t="s">
        <v>1179</v>
      </c>
      <c r="B6464" s="140">
        <v>1.680053808E9</v>
      </c>
      <c r="C6464" s="140" t="s">
        <v>14482</v>
      </c>
      <c r="D6464" s="140" t="s">
        <v>6318</v>
      </c>
      <c r="E6464" s="140" t="s">
        <v>1225</v>
      </c>
      <c r="F6464" s="140" t="s">
        <v>1270</v>
      </c>
      <c r="G6464" s="141" t="s">
        <v>6401</v>
      </c>
      <c r="H6464" s="140" t="s">
        <v>6312</v>
      </c>
      <c r="I6464" s="140" t="s">
        <v>6313</v>
      </c>
      <c r="J6464" s="140" t="s">
        <v>6319</v>
      </c>
      <c r="K6464" s="140" t="s">
        <v>1573</v>
      </c>
    </row>
    <row r="6465">
      <c r="A6465" s="140" t="s">
        <v>1179</v>
      </c>
      <c r="B6465" s="140" t="s">
        <v>14483</v>
      </c>
      <c r="C6465" s="140" t="s">
        <v>14484</v>
      </c>
      <c r="D6465" s="140" t="s">
        <v>6318</v>
      </c>
      <c r="E6465" s="140" t="s">
        <v>1225</v>
      </c>
      <c r="F6465" s="140" t="s">
        <v>1275</v>
      </c>
      <c r="G6465" s="141" t="s">
        <v>6401</v>
      </c>
      <c r="H6465" s="140" t="s">
        <v>6312</v>
      </c>
      <c r="I6465" s="140" t="s">
        <v>6313</v>
      </c>
      <c r="J6465" s="140" t="s">
        <v>6319</v>
      </c>
      <c r="K6465" s="140" t="s">
        <v>1573</v>
      </c>
    </row>
    <row r="6466">
      <c r="A6466" s="140" t="s">
        <v>1179</v>
      </c>
      <c r="B6466" s="143">
        <v>1.63484E12</v>
      </c>
      <c r="C6466" s="140" t="s">
        <v>14485</v>
      </c>
      <c r="D6466" s="140" t="s">
        <v>6318</v>
      </c>
      <c r="E6466" s="140" t="s">
        <v>1225</v>
      </c>
      <c r="F6466" s="140" t="s">
        <v>1275</v>
      </c>
      <c r="G6466" s="141" t="s">
        <v>6401</v>
      </c>
      <c r="H6466" s="140" t="s">
        <v>6312</v>
      </c>
      <c r="I6466" s="140" t="s">
        <v>6313</v>
      </c>
      <c r="J6466" s="140" t="s">
        <v>6319</v>
      </c>
      <c r="K6466" s="140" t="s">
        <v>1573</v>
      </c>
    </row>
    <row r="6467">
      <c r="A6467" s="140" t="s">
        <v>1179</v>
      </c>
      <c r="B6467" s="140" t="s">
        <v>6757</v>
      </c>
      <c r="C6467" s="140" t="s">
        <v>14486</v>
      </c>
      <c r="D6467" s="140" t="s">
        <v>6318</v>
      </c>
      <c r="E6467" s="140" t="s">
        <v>1225</v>
      </c>
      <c r="F6467" s="140" t="s">
        <v>1275</v>
      </c>
      <c r="G6467" s="141" t="s">
        <v>6401</v>
      </c>
      <c r="H6467" s="140" t="s">
        <v>6312</v>
      </c>
      <c r="I6467" s="140" t="s">
        <v>6313</v>
      </c>
      <c r="J6467" s="140" t="s">
        <v>6319</v>
      </c>
      <c r="K6467" s="140" t="s">
        <v>1573</v>
      </c>
    </row>
    <row r="6468">
      <c r="A6468" s="140" t="s">
        <v>1179</v>
      </c>
      <c r="B6468" s="140" t="s">
        <v>6757</v>
      </c>
      <c r="C6468" s="140" t="s">
        <v>14487</v>
      </c>
      <c r="D6468" s="140" t="s">
        <v>6318</v>
      </c>
      <c r="E6468" s="140" t="s">
        <v>1225</v>
      </c>
      <c r="F6468" s="140" t="s">
        <v>1275</v>
      </c>
      <c r="G6468" s="141" t="s">
        <v>6401</v>
      </c>
      <c r="H6468" s="140" t="s">
        <v>6312</v>
      </c>
      <c r="I6468" s="140" t="s">
        <v>6313</v>
      </c>
      <c r="J6468" s="140" t="s">
        <v>6319</v>
      </c>
      <c r="K6468" s="140" t="s">
        <v>1573</v>
      </c>
    </row>
    <row r="6469">
      <c r="A6469" s="140" t="s">
        <v>1179</v>
      </c>
      <c r="B6469" s="143">
        <v>1.63596E12</v>
      </c>
      <c r="C6469" s="140" t="s">
        <v>14488</v>
      </c>
      <c r="D6469" s="140" t="s">
        <v>6318</v>
      </c>
      <c r="E6469" s="140" t="s">
        <v>1225</v>
      </c>
      <c r="F6469" s="140" t="s">
        <v>1275</v>
      </c>
      <c r="G6469" s="141" t="s">
        <v>6401</v>
      </c>
      <c r="H6469" s="140" t="s">
        <v>6312</v>
      </c>
      <c r="I6469" s="140" t="s">
        <v>6313</v>
      </c>
      <c r="J6469" s="140" t="s">
        <v>6319</v>
      </c>
      <c r="K6469" s="140" t="s">
        <v>1573</v>
      </c>
    </row>
    <row r="6470">
      <c r="A6470" s="140" t="s">
        <v>1179</v>
      </c>
      <c r="B6470" s="140" t="s">
        <v>14489</v>
      </c>
      <c r="C6470" s="140" t="s">
        <v>14490</v>
      </c>
      <c r="D6470" s="140" t="s">
        <v>6318</v>
      </c>
      <c r="E6470" s="140" t="s">
        <v>1391</v>
      </c>
      <c r="F6470" s="140" t="s">
        <v>1391</v>
      </c>
      <c r="G6470" s="141" t="s">
        <v>6401</v>
      </c>
      <c r="H6470" s="140" t="s">
        <v>6312</v>
      </c>
      <c r="I6470" s="140" t="s">
        <v>6313</v>
      </c>
      <c r="J6470" s="140" t="s">
        <v>6319</v>
      </c>
      <c r="K6470" s="140" t="s">
        <v>1573</v>
      </c>
    </row>
    <row r="6471">
      <c r="A6471" s="140" t="s">
        <v>1179</v>
      </c>
      <c r="B6471" s="140" t="s">
        <v>14491</v>
      </c>
      <c r="C6471" s="140" t="s">
        <v>14492</v>
      </c>
      <c r="D6471" s="140" t="s">
        <v>6318</v>
      </c>
      <c r="E6471" s="140" t="s">
        <v>1391</v>
      </c>
      <c r="F6471" s="140" t="s">
        <v>1391</v>
      </c>
      <c r="G6471" s="141" t="s">
        <v>6401</v>
      </c>
      <c r="H6471" s="140" t="s">
        <v>6312</v>
      </c>
      <c r="I6471" s="140" t="s">
        <v>6313</v>
      </c>
      <c r="J6471" s="140" t="s">
        <v>6319</v>
      </c>
      <c r="K6471" s="140" t="s">
        <v>1573</v>
      </c>
    </row>
    <row r="6472">
      <c r="A6472" s="140" t="s">
        <v>1179</v>
      </c>
      <c r="B6472" s="140" t="s">
        <v>14493</v>
      </c>
      <c r="C6472" s="140" t="s">
        <v>14494</v>
      </c>
      <c r="D6472" s="140" t="s">
        <v>6318</v>
      </c>
      <c r="E6472" s="140" t="s">
        <v>1391</v>
      </c>
      <c r="F6472" s="140" t="s">
        <v>1391</v>
      </c>
      <c r="G6472" s="141" t="s">
        <v>6401</v>
      </c>
      <c r="H6472" s="140" t="s">
        <v>6312</v>
      </c>
      <c r="I6472" s="140" t="s">
        <v>6313</v>
      </c>
      <c r="J6472" s="140" t="s">
        <v>6319</v>
      </c>
      <c r="K6472" s="140" t="s">
        <v>1573</v>
      </c>
    </row>
    <row r="6473">
      <c r="A6473" s="140" t="s">
        <v>1179</v>
      </c>
      <c r="B6473" s="140" t="s">
        <v>14495</v>
      </c>
      <c r="C6473" s="140" t="s">
        <v>14494</v>
      </c>
      <c r="D6473" s="140" t="s">
        <v>6318</v>
      </c>
      <c r="E6473" s="140" t="s">
        <v>1391</v>
      </c>
      <c r="F6473" s="140" t="s">
        <v>1391</v>
      </c>
      <c r="G6473" s="141" t="s">
        <v>6401</v>
      </c>
      <c r="H6473" s="140" t="s">
        <v>6312</v>
      </c>
      <c r="I6473" s="140" t="s">
        <v>6313</v>
      </c>
      <c r="J6473" s="140" t="s">
        <v>6319</v>
      </c>
      <c r="K6473" s="140" t="s">
        <v>1573</v>
      </c>
    </row>
    <row r="6474">
      <c r="A6474" s="140" t="s">
        <v>1179</v>
      </c>
      <c r="B6474" s="143">
        <v>1.66189E12</v>
      </c>
      <c r="C6474" s="140" t="s">
        <v>1393</v>
      </c>
      <c r="D6474" s="140" t="s">
        <v>6318</v>
      </c>
      <c r="E6474" s="140" t="s">
        <v>1391</v>
      </c>
      <c r="F6474" s="140" t="s">
        <v>1391</v>
      </c>
      <c r="G6474" s="141" t="s">
        <v>6304</v>
      </c>
      <c r="H6474" s="140" t="s">
        <v>6312</v>
      </c>
      <c r="I6474" s="140" t="s">
        <v>6527</v>
      </c>
      <c r="J6474" s="140" t="s">
        <v>6319</v>
      </c>
      <c r="K6474" s="140" t="s">
        <v>1573</v>
      </c>
    </row>
    <row r="6475">
      <c r="A6475" s="140" t="s">
        <v>1179</v>
      </c>
      <c r="B6475" s="143">
        <v>1.66189E12</v>
      </c>
      <c r="C6475" s="140" t="s">
        <v>1394</v>
      </c>
      <c r="D6475" s="140" t="s">
        <v>6318</v>
      </c>
      <c r="E6475" s="140" t="s">
        <v>1391</v>
      </c>
      <c r="F6475" s="140" t="s">
        <v>1391</v>
      </c>
      <c r="G6475" s="141" t="s">
        <v>6304</v>
      </c>
      <c r="H6475" s="140" t="s">
        <v>6312</v>
      </c>
      <c r="I6475" s="140" t="s">
        <v>6527</v>
      </c>
      <c r="J6475" s="140" t="s">
        <v>6319</v>
      </c>
      <c r="K6475" s="140" t="s">
        <v>1573</v>
      </c>
    </row>
    <row r="6476">
      <c r="A6476" s="140" t="s">
        <v>1179</v>
      </c>
      <c r="B6476" s="152">
        <v>1.63484E12</v>
      </c>
      <c r="C6476" s="140" t="s">
        <v>14496</v>
      </c>
      <c r="D6476" s="140" t="s">
        <v>6318</v>
      </c>
      <c r="E6476" s="140" t="s">
        <v>1225</v>
      </c>
      <c r="F6476" s="140" t="s">
        <v>1275</v>
      </c>
      <c r="G6476" s="141" t="s">
        <v>6401</v>
      </c>
      <c r="H6476" s="140" t="s">
        <v>6312</v>
      </c>
      <c r="I6476" s="140" t="s">
        <v>6313</v>
      </c>
      <c r="J6476" s="140" t="s">
        <v>6319</v>
      </c>
      <c r="K6476" s="140" t="s">
        <v>1573</v>
      </c>
    </row>
    <row r="6477">
      <c r="A6477" s="140" t="s">
        <v>1179</v>
      </c>
      <c r="B6477" s="144" t="s">
        <v>6757</v>
      </c>
      <c r="C6477" s="140" t="s">
        <v>14497</v>
      </c>
      <c r="D6477" s="140" t="s">
        <v>6318</v>
      </c>
      <c r="E6477" s="140" t="s">
        <v>1225</v>
      </c>
      <c r="F6477" s="140" t="s">
        <v>1275</v>
      </c>
      <c r="G6477" s="141" t="s">
        <v>6401</v>
      </c>
      <c r="H6477" s="140" t="s">
        <v>6312</v>
      </c>
      <c r="I6477" s="140" t="s">
        <v>6313</v>
      </c>
      <c r="J6477" s="140" t="s">
        <v>6319</v>
      </c>
      <c r="K6477" s="140" t="s">
        <v>1573</v>
      </c>
    </row>
    <row r="6478">
      <c r="A6478" s="140" t="s">
        <v>1179</v>
      </c>
      <c r="B6478" s="140" t="s">
        <v>14498</v>
      </c>
      <c r="C6478" s="140" t="s">
        <v>14499</v>
      </c>
      <c r="D6478" s="140" t="s">
        <v>6318</v>
      </c>
      <c r="E6478" s="140" t="s">
        <v>1225</v>
      </c>
      <c r="F6478" s="140" t="s">
        <v>1275</v>
      </c>
      <c r="G6478" s="141" t="s">
        <v>6304</v>
      </c>
      <c r="H6478" s="140" t="s">
        <v>6312</v>
      </c>
      <c r="I6478" s="140" t="s">
        <v>6527</v>
      </c>
      <c r="J6478" s="140" t="s">
        <v>6319</v>
      </c>
      <c r="K6478" s="140" t="s">
        <v>1573</v>
      </c>
    </row>
    <row r="6479">
      <c r="A6479" s="140" t="s">
        <v>1179</v>
      </c>
      <c r="B6479" s="140" t="s">
        <v>14500</v>
      </c>
      <c r="C6479" s="140" t="s">
        <v>14501</v>
      </c>
      <c r="D6479" s="140" t="s">
        <v>6318</v>
      </c>
      <c r="E6479" s="140" t="s">
        <v>1323</v>
      </c>
      <c r="F6479" s="140" t="s">
        <v>1377</v>
      </c>
      <c r="G6479" s="141" t="s">
        <v>6304</v>
      </c>
      <c r="H6479" s="140" t="s">
        <v>6312</v>
      </c>
      <c r="I6479" s="140" t="s">
        <v>6527</v>
      </c>
      <c r="J6479" s="140" t="s">
        <v>6319</v>
      </c>
      <c r="K6479" s="140" t="s">
        <v>1573</v>
      </c>
    </row>
    <row r="6480">
      <c r="A6480" s="140" t="s">
        <v>1179</v>
      </c>
      <c r="B6480" s="140" t="s">
        <v>14502</v>
      </c>
      <c r="C6480" s="140" t="s">
        <v>14503</v>
      </c>
      <c r="D6480" s="140" t="s">
        <v>6318</v>
      </c>
      <c r="E6480" s="140" t="s">
        <v>1323</v>
      </c>
      <c r="F6480" s="140" t="s">
        <v>1377</v>
      </c>
      <c r="G6480" s="141" t="s">
        <v>6304</v>
      </c>
      <c r="H6480" s="140" t="s">
        <v>6312</v>
      </c>
      <c r="I6480" s="140" t="s">
        <v>6527</v>
      </c>
      <c r="J6480" s="140" t="s">
        <v>6319</v>
      </c>
      <c r="K6480" s="140" t="s">
        <v>1573</v>
      </c>
    </row>
    <row r="6481">
      <c r="A6481" s="140" t="s">
        <v>1179</v>
      </c>
      <c r="B6481" s="140" t="s">
        <v>1183</v>
      </c>
      <c r="C6481" s="140" t="s">
        <v>14504</v>
      </c>
      <c r="D6481" s="140" t="s">
        <v>6318</v>
      </c>
      <c r="E6481" s="140" t="s">
        <v>1180</v>
      </c>
      <c r="F6481" s="140" t="s">
        <v>1181</v>
      </c>
      <c r="G6481" s="141" t="s">
        <v>6401</v>
      </c>
      <c r="H6481" s="140" t="s">
        <v>6330</v>
      </c>
      <c r="I6481" s="140" t="s">
        <v>6313</v>
      </c>
      <c r="J6481" s="140" t="s">
        <v>6319</v>
      </c>
      <c r="K6481" s="140" t="s">
        <v>1573</v>
      </c>
    </row>
    <row r="6482">
      <c r="A6482" s="140" t="s">
        <v>1179</v>
      </c>
      <c r="B6482" s="140" t="s">
        <v>1185</v>
      </c>
      <c r="C6482" s="140" t="s">
        <v>14505</v>
      </c>
      <c r="D6482" s="140" t="s">
        <v>6318</v>
      </c>
      <c r="E6482" s="140" t="s">
        <v>1180</v>
      </c>
      <c r="F6482" s="140" t="s">
        <v>1181</v>
      </c>
      <c r="G6482" s="141" t="s">
        <v>6401</v>
      </c>
      <c r="H6482" s="140" t="s">
        <v>6330</v>
      </c>
      <c r="I6482" s="140" t="s">
        <v>6313</v>
      </c>
      <c r="J6482" s="140" t="s">
        <v>6319</v>
      </c>
      <c r="K6482" s="140" t="s">
        <v>1573</v>
      </c>
    </row>
    <row r="6483">
      <c r="A6483" s="140" t="s">
        <v>1179</v>
      </c>
      <c r="B6483" s="140" t="s">
        <v>1187</v>
      </c>
      <c r="C6483" s="140" t="s">
        <v>2034</v>
      </c>
      <c r="D6483" s="140" t="s">
        <v>6318</v>
      </c>
      <c r="E6483" s="140" t="s">
        <v>1180</v>
      </c>
      <c r="F6483" s="140" t="s">
        <v>1181</v>
      </c>
      <c r="G6483" s="141" t="s">
        <v>6401</v>
      </c>
      <c r="H6483" s="140" t="s">
        <v>6330</v>
      </c>
      <c r="I6483" s="140" t="s">
        <v>6313</v>
      </c>
      <c r="J6483" s="140" t="s">
        <v>6319</v>
      </c>
      <c r="K6483" s="140" t="s">
        <v>1573</v>
      </c>
    </row>
    <row r="6484">
      <c r="A6484" s="140" t="s">
        <v>1179</v>
      </c>
      <c r="B6484" s="140" t="s">
        <v>1189</v>
      </c>
      <c r="C6484" s="140" t="s">
        <v>1188</v>
      </c>
      <c r="D6484" s="140" t="s">
        <v>6318</v>
      </c>
      <c r="E6484" s="140" t="s">
        <v>1180</v>
      </c>
      <c r="F6484" s="140" t="s">
        <v>1181</v>
      </c>
      <c r="G6484" s="141" t="s">
        <v>6664</v>
      </c>
      <c r="H6484" s="140" t="s">
        <v>6330</v>
      </c>
      <c r="I6484" s="140" t="s">
        <v>6313</v>
      </c>
      <c r="J6484" s="140" t="s">
        <v>6319</v>
      </c>
      <c r="K6484" s="140" t="s">
        <v>1573</v>
      </c>
    </row>
    <row r="6485">
      <c r="A6485" s="140" t="s">
        <v>1179</v>
      </c>
      <c r="B6485" s="140" t="s">
        <v>14506</v>
      </c>
      <c r="C6485" s="140" t="s">
        <v>14507</v>
      </c>
      <c r="D6485" s="140" t="s">
        <v>6318</v>
      </c>
      <c r="E6485" s="140" t="s">
        <v>1180</v>
      </c>
      <c r="F6485" s="140" t="s">
        <v>1181</v>
      </c>
      <c r="G6485" s="141" t="s">
        <v>6304</v>
      </c>
      <c r="H6485" s="140" t="s">
        <v>6312</v>
      </c>
      <c r="I6485" s="140" t="s">
        <v>6527</v>
      </c>
      <c r="J6485" s="140" t="s">
        <v>6319</v>
      </c>
      <c r="K6485" s="140" t="s">
        <v>1573</v>
      </c>
    </row>
    <row r="6486">
      <c r="A6486" s="140" t="s">
        <v>1179</v>
      </c>
      <c r="B6486" s="152">
        <v>6.68005E13</v>
      </c>
      <c r="C6486" s="140" t="s">
        <v>2040</v>
      </c>
      <c r="D6486" s="140" t="s">
        <v>6318</v>
      </c>
      <c r="E6486" s="140" t="s">
        <v>1180</v>
      </c>
      <c r="F6486" s="140" t="s">
        <v>1190</v>
      </c>
      <c r="G6486" s="141" t="s">
        <v>6664</v>
      </c>
      <c r="H6486" s="140" t="s">
        <v>6319</v>
      </c>
      <c r="I6486" s="140" t="s">
        <v>6313</v>
      </c>
      <c r="J6486" s="140" t="s">
        <v>6319</v>
      </c>
      <c r="K6486" s="140" t="s">
        <v>1573</v>
      </c>
    </row>
    <row r="6487">
      <c r="A6487" s="140" t="s">
        <v>1179</v>
      </c>
      <c r="B6487" s="143">
        <v>6.68005E13</v>
      </c>
      <c r="C6487" s="140" t="s">
        <v>2037</v>
      </c>
      <c r="D6487" s="140" t="s">
        <v>6318</v>
      </c>
      <c r="E6487" s="140" t="s">
        <v>1180</v>
      </c>
      <c r="F6487" s="140" t="s">
        <v>1190</v>
      </c>
      <c r="G6487" s="141" t="s">
        <v>6742</v>
      </c>
      <c r="H6487" s="140" t="s">
        <v>6319</v>
      </c>
      <c r="I6487" s="140" t="s">
        <v>6313</v>
      </c>
      <c r="J6487" s="140" t="s">
        <v>6319</v>
      </c>
      <c r="K6487" s="140" t="s">
        <v>1573</v>
      </c>
    </row>
    <row r="6488">
      <c r="A6488" s="140" t="s">
        <v>1179</v>
      </c>
      <c r="B6488" s="143">
        <v>6.68005E13</v>
      </c>
      <c r="C6488" s="140" t="s">
        <v>2035</v>
      </c>
      <c r="D6488" s="140" t="s">
        <v>6318</v>
      </c>
      <c r="E6488" s="140" t="s">
        <v>1180</v>
      </c>
      <c r="F6488" s="140" t="s">
        <v>1190</v>
      </c>
      <c r="G6488" s="141" t="s">
        <v>6664</v>
      </c>
      <c r="H6488" s="140" t="s">
        <v>6319</v>
      </c>
      <c r="I6488" s="140" t="s">
        <v>6313</v>
      </c>
      <c r="J6488" s="140" t="s">
        <v>6319</v>
      </c>
      <c r="K6488" s="140" t="s">
        <v>1573</v>
      </c>
    </row>
    <row r="6489">
      <c r="A6489" s="140" t="s">
        <v>1179</v>
      </c>
      <c r="B6489" s="143">
        <v>6.68005E13</v>
      </c>
      <c r="C6489" s="140" t="s">
        <v>2039</v>
      </c>
      <c r="D6489" s="140" t="s">
        <v>6318</v>
      </c>
      <c r="E6489" s="140" t="s">
        <v>1180</v>
      </c>
      <c r="F6489" s="140" t="s">
        <v>1190</v>
      </c>
      <c r="G6489" s="141" t="s">
        <v>6742</v>
      </c>
      <c r="H6489" s="140" t="s">
        <v>6319</v>
      </c>
      <c r="I6489" s="140" t="s">
        <v>6313</v>
      </c>
      <c r="J6489" s="140" t="s">
        <v>6319</v>
      </c>
      <c r="K6489" s="140" t="s">
        <v>1573</v>
      </c>
    </row>
    <row r="6490">
      <c r="A6490" s="140" t="s">
        <v>1179</v>
      </c>
      <c r="B6490" s="140" t="s">
        <v>14508</v>
      </c>
      <c r="C6490" s="140" t="s">
        <v>14509</v>
      </c>
      <c r="D6490" s="140" t="s">
        <v>6318</v>
      </c>
      <c r="E6490" s="140" t="s">
        <v>1180</v>
      </c>
      <c r="F6490" s="140" t="s">
        <v>1190</v>
      </c>
      <c r="G6490" s="141" t="s">
        <v>6304</v>
      </c>
      <c r="H6490" s="140" t="s">
        <v>6312</v>
      </c>
      <c r="I6490" s="140" t="s">
        <v>6527</v>
      </c>
      <c r="J6490" s="140" t="s">
        <v>6319</v>
      </c>
      <c r="K6490" s="140" t="s">
        <v>1573</v>
      </c>
    </row>
    <row r="6491">
      <c r="A6491" s="140" t="s">
        <v>1179</v>
      </c>
      <c r="B6491" s="140" t="s">
        <v>14510</v>
      </c>
      <c r="C6491" s="140" t="s">
        <v>14511</v>
      </c>
      <c r="D6491" s="140" t="s">
        <v>6318</v>
      </c>
      <c r="E6491" s="140" t="s">
        <v>1180</v>
      </c>
      <c r="F6491" s="140" t="s">
        <v>1190</v>
      </c>
      <c r="G6491" s="141" t="s">
        <v>6304</v>
      </c>
      <c r="H6491" s="140" t="s">
        <v>6312</v>
      </c>
      <c r="I6491" s="140" t="s">
        <v>6527</v>
      </c>
      <c r="J6491" s="140" t="s">
        <v>6319</v>
      </c>
      <c r="K6491" s="140" t="s">
        <v>1573</v>
      </c>
    </row>
    <row r="6492">
      <c r="A6492" s="140" t="s">
        <v>1179</v>
      </c>
      <c r="B6492" s="140" t="s">
        <v>14512</v>
      </c>
      <c r="C6492" s="140" t="s">
        <v>14513</v>
      </c>
      <c r="D6492" s="140" t="s">
        <v>6318</v>
      </c>
      <c r="E6492" s="140" t="s">
        <v>1180</v>
      </c>
      <c r="F6492" s="140" t="s">
        <v>1190</v>
      </c>
      <c r="G6492" s="141" t="s">
        <v>6304</v>
      </c>
      <c r="H6492" s="140" t="s">
        <v>6312</v>
      </c>
      <c r="I6492" s="140" t="s">
        <v>6527</v>
      </c>
      <c r="J6492" s="140" t="s">
        <v>6319</v>
      </c>
      <c r="K6492" s="140" t="s">
        <v>1573</v>
      </c>
    </row>
    <row r="6493">
      <c r="A6493" s="140" t="s">
        <v>1179</v>
      </c>
      <c r="B6493" s="140" t="s">
        <v>14514</v>
      </c>
      <c r="C6493" s="140" t="s">
        <v>14515</v>
      </c>
      <c r="D6493" s="140" t="s">
        <v>6318</v>
      </c>
      <c r="E6493" s="140" t="s">
        <v>1180</v>
      </c>
      <c r="F6493" s="140" t="s">
        <v>1190</v>
      </c>
      <c r="G6493" s="141" t="s">
        <v>6304</v>
      </c>
      <c r="H6493" s="140" t="s">
        <v>6312</v>
      </c>
      <c r="I6493" s="140" t="s">
        <v>6527</v>
      </c>
      <c r="J6493" s="140" t="s">
        <v>6319</v>
      </c>
      <c r="K6493" s="140" t="s">
        <v>1573</v>
      </c>
    </row>
    <row r="6494">
      <c r="A6494" s="140" t="s">
        <v>1179</v>
      </c>
      <c r="B6494" s="140" t="s">
        <v>14516</v>
      </c>
      <c r="C6494" s="140" t="s">
        <v>14517</v>
      </c>
      <c r="D6494" s="140" t="s">
        <v>6318</v>
      </c>
      <c r="E6494" s="140" t="s">
        <v>1180</v>
      </c>
      <c r="F6494" s="140" t="s">
        <v>1190</v>
      </c>
      <c r="G6494" s="141" t="s">
        <v>6304</v>
      </c>
      <c r="H6494" s="140" t="s">
        <v>6312</v>
      </c>
      <c r="I6494" s="140" t="s">
        <v>6527</v>
      </c>
      <c r="J6494" s="140" t="s">
        <v>6319</v>
      </c>
      <c r="K6494" s="140" t="s">
        <v>1573</v>
      </c>
    </row>
    <row r="6495">
      <c r="A6495" s="140" t="s">
        <v>1179</v>
      </c>
      <c r="B6495" s="140" t="s">
        <v>14518</v>
      </c>
      <c r="C6495" s="140" t="s">
        <v>14519</v>
      </c>
      <c r="D6495" s="140" t="s">
        <v>6318</v>
      </c>
      <c r="E6495" s="140" t="s">
        <v>1180</v>
      </c>
      <c r="F6495" s="140" t="s">
        <v>1190</v>
      </c>
      <c r="G6495" s="141" t="s">
        <v>6304</v>
      </c>
      <c r="H6495" s="140" t="s">
        <v>6312</v>
      </c>
      <c r="I6495" s="140" t="s">
        <v>6527</v>
      </c>
      <c r="J6495" s="140" t="s">
        <v>6319</v>
      </c>
      <c r="K6495" s="140" t="s">
        <v>1573</v>
      </c>
    </row>
    <row r="6496">
      <c r="A6496" s="140" t="s">
        <v>1179</v>
      </c>
      <c r="B6496" s="140" t="s">
        <v>2985</v>
      </c>
      <c r="C6496" s="140" t="s">
        <v>14520</v>
      </c>
      <c r="D6496" s="140" t="s">
        <v>6318</v>
      </c>
      <c r="E6496" s="140" t="s">
        <v>1180</v>
      </c>
      <c r="F6496" s="140" t="s">
        <v>1195</v>
      </c>
      <c r="G6496" s="141" t="s">
        <v>6304</v>
      </c>
      <c r="H6496" s="140" t="s">
        <v>6330</v>
      </c>
      <c r="I6496" s="140" t="s">
        <v>6527</v>
      </c>
      <c r="J6496" s="140" t="s">
        <v>6319</v>
      </c>
      <c r="K6496" s="140" t="s">
        <v>1573</v>
      </c>
    </row>
    <row r="6497">
      <c r="A6497" s="140" t="s">
        <v>1179</v>
      </c>
      <c r="B6497" s="140" t="s">
        <v>14521</v>
      </c>
      <c r="C6497" s="140" t="s">
        <v>14522</v>
      </c>
      <c r="D6497" s="140" t="s">
        <v>6318</v>
      </c>
      <c r="E6497" s="140" t="s">
        <v>1180</v>
      </c>
      <c r="F6497" s="140" t="s">
        <v>1195</v>
      </c>
      <c r="G6497" s="141" t="s">
        <v>6304</v>
      </c>
      <c r="H6497" s="140" t="s">
        <v>6312</v>
      </c>
      <c r="I6497" s="140" t="s">
        <v>6527</v>
      </c>
      <c r="J6497" s="140" t="s">
        <v>6319</v>
      </c>
      <c r="K6497" s="140" t="s">
        <v>1573</v>
      </c>
    </row>
    <row r="6498">
      <c r="A6498" s="140" t="s">
        <v>1179</v>
      </c>
      <c r="B6498" s="140" t="s">
        <v>14523</v>
      </c>
      <c r="C6498" s="140" t="s">
        <v>14524</v>
      </c>
      <c r="D6498" s="140" t="s">
        <v>6318</v>
      </c>
      <c r="E6498" s="140" t="s">
        <v>1180</v>
      </c>
      <c r="F6498" s="140" t="s">
        <v>1195</v>
      </c>
      <c r="G6498" s="141" t="s">
        <v>6304</v>
      </c>
      <c r="H6498" s="140" t="s">
        <v>6312</v>
      </c>
      <c r="I6498" s="140" t="s">
        <v>6527</v>
      </c>
      <c r="J6498" s="140" t="s">
        <v>6319</v>
      </c>
      <c r="K6498" s="140" t="s">
        <v>1573</v>
      </c>
    </row>
    <row r="6499">
      <c r="A6499" s="140" t="s">
        <v>1179</v>
      </c>
      <c r="B6499" s="140" t="s">
        <v>14525</v>
      </c>
      <c r="C6499" s="140" t="s">
        <v>14526</v>
      </c>
      <c r="D6499" s="140" t="s">
        <v>6318</v>
      </c>
      <c r="E6499" s="140" t="s">
        <v>1180</v>
      </c>
      <c r="F6499" s="140" t="s">
        <v>1195</v>
      </c>
      <c r="G6499" s="141" t="s">
        <v>6304</v>
      </c>
      <c r="H6499" s="140" t="s">
        <v>6312</v>
      </c>
      <c r="I6499" s="140" t="s">
        <v>6527</v>
      </c>
      <c r="J6499" s="140" t="s">
        <v>6319</v>
      </c>
      <c r="K6499" s="140" t="s">
        <v>1573</v>
      </c>
    </row>
    <row r="6500">
      <c r="A6500" s="140" t="s">
        <v>1179</v>
      </c>
      <c r="B6500" s="140" t="s">
        <v>14527</v>
      </c>
      <c r="C6500" s="140" t="s">
        <v>14528</v>
      </c>
      <c r="D6500" s="140" t="s">
        <v>6318</v>
      </c>
      <c r="E6500" s="140" t="s">
        <v>1180</v>
      </c>
      <c r="F6500" s="140" t="s">
        <v>1195</v>
      </c>
      <c r="G6500" s="141" t="s">
        <v>6304</v>
      </c>
      <c r="H6500" s="140" t="s">
        <v>6312</v>
      </c>
      <c r="I6500" s="140" t="s">
        <v>6527</v>
      </c>
      <c r="J6500" s="140" t="s">
        <v>6319</v>
      </c>
      <c r="K6500" s="140" t="s">
        <v>1573</v>
      </c>
    </row>
    <row r="6501">
      <c r="A6501" s="140" t="s">
        <v>1179</v>
      </c>
      <c r="B6501" s="140" t="s">
        <v>14529</v>
      </c>
      <c r="C6501" s="140" t="s">
        <v>14530</v>
      </c>
      <c r="D6501" s="140" t="s">
        <v>6318</v>
      </c>
      <c r="E6501" s="140" t="s">
        <v>1180</v>
      </c>
      <c r="F6501" s="140" t="s">
        <v>1195</v>
      </c>
      <c r="G6501" s="141" t="s">
        <v>6304</v>
      </c>
      <c r="H6501" s="140" t="s">
        <v>6312</v>
      </c>
      <c r="I6501" s="140" t="s">
        <v>6527</v>
      </c>
      <c r="J6501" s="140" t="s">
        <v>6319</v>
      </c>
      <c r="K6501" s="140" t="s">
        <v>1573</v>
      </c>
    </row>
    <row r="6502">
      <c r="A6502" s="140" t="s">
        <v>1179</v>
      </c>
      <c r="B6502" s="140" t="s">
        <v>14531</v>
      </c>
      <c r="C6502" s="140" t="s">
        <v>14532</v>
      </c>
      <c r="D6502" s="140" t="s">
        <v>6318</v>
      </c>
      <c r="E6502" s="140" t="s">
        <v>1180</v>
      </c>
      <c r="F6502" s="140" t="s">
        <v>1195</v>
      </c>
      <c r="G6502" s="141" t="s">
        <v>6304</v>
      </c>
      <c r="H6502" s="140" t="s">
        <v>6312</v>
      </c>
      <c r="I6502" s="140" t="s">
        <v>6527</v>
      </c>
      <c r="J6502" s="140" t="s">
        <v>6319</v>
      </c>
      <c r="K6502" s="140" t="s">
        <v>1573</v>
      </c>
    </row>
    <row r="6503">
      <c r="A6503" s="140" t="s">
        <v>1179</v>
      </c>
      <c r="B6503" s="140" t="s">
        <v>14533</v>
      </c>
      <c r="C6503" s="140" t="s">
        <v>14534</v>
      </c>
      <c r="D6503" s="140" t="s">
        <v>6318</v>
      </c>
      <c r="E6503" s="140" t="s">
        <v>1180</v>
      </c>
      <c r="F6503" s="140" t="s">
        <v>1195</v>
      </c>
      <c r="G6503" s="141" t="s">
        <v>6304</v>
      </c>
      <c r="H6503" s="140" t="s">
        <v>6312</v>
      </c>
      <c r="I6503" s="140" t="s">
        <v>6527</v>
      </c>
      <c r="J6503" s="140" t="s">
        <v>6319</v>
      </c>
      <c r="K6503" s="140" t="s">
        <v>1573</v>
      </c>
    </row>
    <row r="6504">
      <c r="A6504" s="140" t="s">
        <v>1179</v>
      </c>
      <c r="B6504" s="143">
        <v>6.79339E13</v>
      </c>
      <c r="C6504" s="140" t="s">
        <v>14535</v>
      </c>
      <c r="D6504" s="140" t="s">
        <v>6318</v>
      </c>
      <c r="E6504" s="140" t="s">
        <v>1180</v>
      </c>
      <c r="F6504" s="140" t="s">
        <v>1195</v>
      </c>
      <c r="G6504" s="141" t="s">
        <v>6401</v>
      </c>
      <c r="H6504" s="140" t="s">
        <v>6330</v>
      </c>
      <c r="I6504" s="140" t="s">
        <v>6313</v>
      </c>
      <c r="J6504" s="140" t="s">
        <v>6319</v>
      </c>
      <c r="K6504" s="140" t="s">
        <v>1573</v>
      </c>
    </row>
    <row r="6505">
      <c r="A6505" s="140" t="s">
        <v>1179</v>
      </c>
      <c r="B6505" s="143">
        <v>1.6503E12</v>
      </c>
      <c r="C6505" s="140" t="s">
        <v>14536</v>
      </c>
      <c r="D6505" s="140" t="s">
        <v>6318</v>
      </c>
      <c r="E6505" s="140" t="s">
        <v>1180</v>
      </c>
      <c r="F6505" s="140" t="s">
        <v>1195</v>
      </c>
      <c r="G6505" s="141" t="s">
        <v>6742</v>
      </c>
      <c r="H6505" s="140" t="s">
        <v>6330</v>
      </c>
      <c r="I6505" s="140" t="s">
        <v>6313</v>
      </c>
      <c r="J6505" s="140" t="s">
        <v>6319</v>
      </c>
      <c r="K6505" s="140" t="s">
        <v>1573</v>
      </c>
    </row>
    <row r="6506">
      <c r="A6506" s="140" t="s">
        <v>1179</v>
      </c>
      <c r="B6506" s="140" t="s">
        <v>14537</v>
      </c>
      <c r="C6506" s="140" t="s">
        <v>1199</v>
      </c>
      <c r="D6506" s="140" t="s">
        <v>6318</v>
      </c>
      <c r="E6506" s="140" t="s">
        <v>1180</v>
      </c>
      <c r="F6506" s="140" t="s">
        <v>1195</v>
      </c>
      <c r="G6506" s="141" t="s">
        <v>6304</v>
      </c>
      <c r="H6506" s="140" t="s">
        <v>6312</v>
      </c>
      <c r="I6506" s="140" t="s">
        <v>6527</v>
      </c>
      <c r="J6506" s="140" t="s">
        <v>6319</v>
      </c>
      <c r="K6506" s="140" t="s">
        <v>1573</v>
      </c>
    </row>
    <row r="6507">
      <c r="A6507" s="140" t="s">
        <v>2030</v>
      </c>
      <c r="B6507" s="143">
        <v>1.65421E12</v>
      </c>
      <c r="C6507" s="140" t="s">
        <v>14538</v>
      </c>
      <c r="D6507" s="140" t="s">
        <v>6318</v>
      </c>
      <c r="E6507" s="140" t="s">
        <v>1180</v>
      </c>
      <c r="F6507" s="140" t="s">
        <v>1195</v>
      </c>
      <c r="G6507" s="141" t="s">
        <v>6742</v>
      </c>
      <c r="H6507" s="140" t="s">
        <v>6330</v>
      </c>
      <c r="I6507" s="140" t="s">
        <v>6313</v>
      </c>
      <c r="J6507" s="140" t="s">
        <v>6319</v>
      </c>
      <c r="K6507" s="140" t="s">
        <v>1573</v>
      </c>
    </row>
    <row r="6508">
      <c r="A6508" s="140" t="s">
        <v>2030</v>
      </c>
      <c r="B6508" s="143">
        <v>1.65421E12</v>
      </c>
      <c r="C6508" s="140" t="s">
        <v>14539</v>
      </c>
      <c r="D6508" s="140" t="s">
        <v>6318</v>
      </c>
      <c r="E6508" s="140" t="s">
        <v>1180</v>
      </c>
      <c r="F6508" s="140" t="s">
        <v>1195</v>
      </c>
      <c r="G6508" s="141" t="s">
        <v>6742</v>
      </c>
      <c r="H6508" s="140" t="s">
        <v>6330</v>
      </c>
      <c r="I6508" s="140" t="s">
        <v>6313</v>
      </c>
      <c r="J6508" s="140" t="s">
        <v>6319</v>
      </c>
      <c r="K6508" s="140" t="s">
        <v>1573</v>
      </c>
    </row>
    <row r="6509">
      <c r="A6509" s="140" t="s">
        <v>1179</v>
      </c>
      <c r="B6509" s="143">
        <v>1.66086E12</v>
      </c>
      <c r="C6509" s="140" t="s">
        <v>14540</v>
      </c>
      <c r="D6509" s="140" t="s">
        <v>6318</v>
      </c>
      <c r="E6509" s="140" t="s">
        <v>1180</v>
      </c>
      <c r="F6509" s="140" t="s">
        <v>1195</v>
      </c>
      <c r="G6509" s="141" t="s">
        <v>6742</v>
      </c>
      <c r="H6509" s="140" t="s">
        <v>6330</v>
      </c>
      <c r="I6509" s="140" t="s">
        <v>6313</v>
      </c>
      <c r="J6509" s="140" t="s">
        <v>6319</v>
      </c>
      <c r="K6509" s="140" t="s">
        <v>1573</v>
      </c>
    </row>
    <row r="6510">
      <c r="A6510" s="140" t="s">
        <v>1179</v>
      </c>
      <c r="B6510" s="140" t="s">
        <v>14541</v>
      </c>
      <c r="C6510" s="140" t="s">
        <v>14542</v>
      </c>
      <c r="D6510" s="140" t="s">
        <v>6318</v>
      </c>
      <c r="E6510" s="140" t="s">
        <v>1180</v>
      </c>
      <c r="F6510" s="140" t="s">
        <v>1195</v>
      </c>
      <c r="G6510" s="141" t="s">
        <v>6304</v>
      </c>
      <c r="H6510" s="140" t="s">
        <v>6312</v>
      </c>
      <c r="I6510" s="140" t="s">
        <v>6527</v>
      </c>
      <c r="J6510" s="140" t="s">
        <v>6319</v>
      </c>
      <c r="K6510" s="140" t="s">
        <v>1573</v>
      </c>
    </row>
    <row r="6511">
      <c r="A6511" s="140" t="s">
        <v>1179</v>
      </c>
      <c r="B6511" s="140" t="s">
        <v>3408</v>
      </c>
      <c r="C6511" s="140" t="s">
        <v>14543</v>
      </c>
      <c r="D6511" s="140" t="s">
        <v>6318</v>
      </c>
      <c r="E6511" s="140" t="s">
        <v>1180</v>
      </c>
      <c r="F6511" s="140" t="s">
        <v>1195</v>
      </c>
      <c r="G6511" s="141" t="s">
        <v>6304</v>
      </c>
      <c r="H6511" s="140" t="s">
        <v>6330</v>
      </c>
      <c r="I6511" s="140" t="s">
        <v>6527</v>
      </c>
      <c r="J6511" s="140" t="s">
        <v>6319</v>
      </c>
      <c r="K6511" s="140" t="s">
        <v>1573</v>
      </c>
    </row>
    <row r="6512">
      <c r="A6512" s="140" t="s">
        <v>1179</v>
      </c>
      <c r="B6512" s="143">
        <v>1.65827E12</v>
      </c>
      <c r="C6512" s="140" t="s">
        <v>14544</v>
      </c>
      <c r="D6512" s="140" t="s">
        <v>6318</v>
      </c>
      <c r="E6512" s="140" t="s">
        <v>1180</v>
      </c>
      <c r="F6512" s="140" t="s">
        <v>1195</v>
      </c>
      <c r="G6512" s="141" t="s">
        <v>6304</v>
      </c>
      <c r="H6512" s="140" t="s">
        <v>6330</v>
      </c>
      <c r="I6512" s="140" t="s">
        <v>6527</v>
      </c>
      <c r="J6512" s="140" t="s">
        <v>6319</v>
      </c>
      <c r="K6512" s="140" t="s">
        <v>1573</v>
      </c>
    </row>
    <row r="6513">
      <c r="A6513" s="140" t="s">
        <v>1179</v>
      </c>
      <c r="B6513" s="140" t="s">
        <v>14545</v>
      </c>
      <c r="C6513" s="140" t="s">
        <v>14546</v>
      </c>
      <c r="D6513" s="140" t="s">
        <v>6318</v>
      </c>
      <c r="E6513" s="140" t="s">
        <v>1180</v>
      </c>
      <c r="F6513" s="140" t="s">
        <v>1195</v>
      </c>
      <c r="G6513" s="141" t="s">
        <v>6304</v>
      </c>
      <c r="H6513" s="140" t="s">
        <v>6330</v>
      </c>
      <c r="I6513" s="140" t="s">
        <v>6527</v>
      </c>
      <c r="J6513" s="140" t="s">
        <v>6319</v>
      </c>
      <c r="K6513" s="140" t="s">
        <v>1573</v>
      </c>
    </row>
    <row r="6514">
      <c r="A6514" s="140" t="s">
        <v>1179</v>
      </c>
      <c r="B6514" s="140" t="s">
        <v>2045</v>
      </c>
      <c r="C6514" s="140" t="s">
        <v>14546</v>
      </c>
      <c r="D6514" s="140" t="s">
        <v>6318</v>
      </c>
      <c r="E6514" s="140" t="s">
        <v>1180</v>
      </c>
      <c r="F6514" s="140" t="s">
        <v>1195</v>
      </c>
      <c r="G6514" s="141" t="s">
        <v>6742</v>
      </c>
      <c r="H6514" s="140" t="s">
        <v>6330</v>
      </c>
      <c r="I6514" s="140" t="s">
        <v>6313</v>
      </c>
      <c r="J6514" s="140" t="s">
        <v>6319</v>
      </c>
      <c r="K6514" s="140" t="s">
        <v>1573</v>
      </c>
    </row>
    <row r="6515">
      <c r="A6515" s="140" t="s">
        <v>1179</v>
      </c>
      <c r="B6515" s="140" t="s">
        <v>2987</v>
      </c>
      <c r="C6515" s="140" t="s">
        <v>14547</v>
      </c>
      <c r="D6515" s="140" t="s">
        <v>6318</v>
      </c>
      <c r="E6515" s="140" t="s">
        <v>1180</v>
      </c>
      <c r="F6515" s="140" t="s">
        <v>1195</v>
      </c>
      <c r="G6515" s="141" t="s">
        <v>6304</v>
      </c>
      <c r="H6515" s="140" t="s">
        <v>6312</v>
      </c>
      <c r="I6515" s="140" t="s">
        <v>6527</v>
      </c>
      <c r="J6515" s="140" t="s">
        <v>6319</v>
      </c>
      <c r="K6515" s="140" t="s">
        <v>1573</v>
      </c>
    </row>
    <row r="6516">
      <c r="A6516" s="140" t="s">
        <v>1179</v>
      </c>
      <c r="B6516" s="140" t="s">
        <v>1208</v>
      </c>
      <c r="C6516" s="140" t="s">
        <v>14548</v>
      </c>
      <c r="D6516" s="140" t="s">
        <v>6318</v>
      </c>
      <c r="E6516" s="140" t="s">
        <v>1180</v>
      </c>
      <c r="F6516" s="140" t="s">
        <v>1195</v>
      </c>
      <c r="G6516" s="141" t="s">
        <v>6664</v>
      </c>
      <c r="H6516" s="140" t="s">
        <v>6330</v>
      </c>
      <c r="I6516" s="140" t="s">
        <v>6313</v>
      </c>
      <c r="J6516" s="140" t="s">
        <v>6319</v>
      </c>
      <c r="K6516" s="140" t="s">
        <v>1573</v>
      </c>
    </row>
    <row r="6517">
      <c r="A6517" s="140" t="s">
        <v>1179</v>
      </c>
      <c r="B6517" s="140" t="s">
        <v>1214</v>
      </c>
      <c r="C6517" s="140" t="s">
        <v>14549</v>
      </c>
      <c r="D6517" s="140" t="s">
        <v>6318</v>
      </c>
      <c r="E6517" s="140" t="s">
        <v>1180</v>
      </c>
      <c r="F6517" s="140" t="s">
        <v>1195</v>
      </c>
      <c r="G6517" s="141" t="s">
        <v>6664</v>
      </c>
      <c r="H6517" s="140" t="s">
        <v>6330</v>
      </c>
      <c r="I6517" s="140" t="s">
        <v>6313</v>
      </c>
      <c r="J6517" s="140" t="s">
        <v>6319</v>
      </c>
      <c r="K6517" s="140" t="s">
        <v>1573</v>
      </c>
    </row>
    <row r="6518">
      <c r="A6518" s="140" t="s">
        <v>1179</v>
      </c>
      <c r="B6518" s="140" t="s">
        <v>1212</v>
      </c>
      <c r="C6518" s="140" t="s">
        <v>14550</v>
      </c>
      <c r="D6518" s="140" t="s">
        <v>6318</v>
      </c>
      <c r="E6518" s="140" t="s">
        <v>1180</v>
      </c>
      <c r="F6518" s="140" t="s">
        <v>1195</v>
      </c>
      <c r="G6518" s="141" t="s">
        <v>6742</v>
      </c>
      <c r="H6518" s="140" t="s">
        <v>6330</v>
      </c>
      <c r="I6518" s="140" t="s">
        <v>6313</v>
      </c>
      <c r="J6518" s="140" t="s">
        <v>6319</v>
      </c>
      <c r="K6518" s="140" t="s">
        <v>1573</v>
      </c>
    </row>
    <row r="6519">
      <c r="A6519" s="140" t="s">
        <v>1179</v>
      </c>
      <c r="B6519" s="140" t="s">
        <v>1210</v>
      </c>
      <c r="C6519" s="140" t="s">
        <v>14551</v>
      </c>
      <c r="D6519" s="140" t="s">
        <v>6318</v>
      </c>
      <c r="E6519" s="140" t="s">
        <v>1180</v>
      </c>
      <c r="F6519" s="140" t="s">
        <v>1195</v>
      </c>
      <c r="G6519" s="141" t="s">
        <v>6664</v>
      </c>
      <c r="H6519" s="140" t="s">
        <v>6330</v>
      </c>
      <c r="I6519" s="140" t="s">
        <v>6313</v>
      </c>
      <c r="J6519" s="140" t="s">
        <v>6319</v>
      </c>
      <c r="K6519" s="140" t="s">
        <v>1573</v>
      </c>
    </row>
    <row r="6520">
      <c r="A6520" s="140" t="s">
        <v>1179</v>
      </c>
      <c r="B6520" s="140" t="s">
        <v>14552</v>
      </c>
      <c r="C6520" s="140" t="s">
        <v>14553</v>
      </c>
      <c r="D6520" s="140" t="s">
        <v>6318</v>
      </c>
      <c r="E6520" s="140" t="s">
        <v>1180</v>
      </c>
      <c r="F6520" s="140" t="s">
        <v>1195</v>
      </c>
      <c r="G6520" s="141" t="s">
        <v>6304</v>
      </c>
      <c r="H6520" s="140" t="s">
        <v>6312</v>
      </c>
      <c r="I6520" s="140" t="s">
        <v>6527</v>
      </c>
      <c r="J6520" s="140" t="s">
        <v>6319</v>
      </c>
      <c r="K6520" s="140" t="s">
        <v>1573</v>
      </c>
    </row>
    <row r="6521">
      <c r="A6521" s="140" t="s">
        <v>1179</v>
      </c>
      <c r="B6521" s="140" t="s">
        <v>14554</v>
      </c>
      <c r="C6521" s="140" t="s">
        <v>14555</v>
      </c>
      <c r="D6521" s="140" t="s">
        <v>6318</v>
      </c>
      <c r="E6521" s="140" t="s">
        <v>1180</v>
      </c>
      <c r="F6521" s="140" t="s">
        <v>1195</v>
      </c>
      <c r="G6521" s="141" t="s">
        <v>6304</v>
      </c>
      <c r="H6521" s="140" t="s">
        <v>6312</v>
      </c>
      <c r="I6521" s="140" t="s">
        <v>6527</v>
      </c>
      <c r="J6521" s="140" t="s">
        <v>6319</v>
      </c>
      <c r="K6521" s="140" t="s">
        <v>1573</v>
      </c>
    </row>
    <row r="6522">
      <c r="A6522" s="140" t="s">
        <v>1179</v>
      </c>
      <c r="B6522" s="143">
        <v>6.79339E13</v>
      </c>
      <c r="C6522" s="140" t="s">
        <v>14556</v>
      </c>
      <c r="D6522" s="140" t="s">
        <v>6318</v>
      </c>
      <c r="E6522" s="140" t="s">
        <v>1180</v>
      </c>
      <c r="F6522" s="140" t="s">
        <v>1195</v>
      </c>
      <c r="G6522" s="141" t="s">
        <v>134</v>
      </c>
      <c r="H6522" s="140" t="s">
        <v>6330</v>
      </c>
      <c r="I6522" s="140" t="s">
        <v>6313</v>
      </c>
      <c r="J6522" s="140" t="s">
        <v>6319</v>
      </c>
      <c r="K6522" s="140" t="s">
        <v>1573</v>
      </c>
    </row>
    <row r="6523">
      <c r="A6523" s="140" t="s">
        <v>1179</v>
      </c>
      <c r="B6523" s="143">
        <v>6.79339E13</v>
      </c>
      <c r="C6523" s="140" t="s">
        <v>14557</v>
      </c>
      <c r="D6523" s="140" t="s">
        <v>6318</v>
      </c>
      <c r="E6523" s="140" t="s">
        <v>1180</v>
      </c>
      <c r="F6523" s="140" t="s">
        <v>1195</v>
      </c>
      <c r="G6523" s="141" t="s">
        <v>6664</v>
      </c>
      <c r="H6523" s="140" t="s">
        <v>6330</v>
      </c>
      <c r="I6523" s="140" t="s">
        <v>6313</v>
      </c>
      <c r="J6523" s="140" t="s">
        <v>6319</v>
      </c>
      <c r="K6523" s="140" t="s">
        <v>1573</v>
      </c>
    </row>
    <row r="6524">
      <c r="A6524" s="140" t="s">
        <v>1179</v>
      </c>
      <c r="B6524" s="143">
        <v>6.79339E13</v>
      </c>
      <c r="C6524" s="140" t="s">
        <v>14558</v>
      </c>
      <c r="D6524" s="140" t="s">
        <v>6318</v>
      </c>
      <c r="E6524" s="140" t="s">
        <v>1180</v>
      </c>
      <c r="F6524" s="140" t="s">
        <v>1195</v>
      </c>
      <c r="G6524" s="141" t="s">
        <v>6668</v>
      </c>
      <c r="H6524" s="140" t="s">
        <v>6330</v>
      </c>
      <c r="I6524" s="140" t="s">
        <v>6313</v>
      </c>
      <c r="J6524" s="140" t="s">
        <v>6319</v>
      </c>
      <c r="K6524" s="140" t="s">
        <v>1573</v>
      </c>
    </row>
    <row r="6525">
      <c r="A6525" s="140" t="s">
        <v>1179</v>
      </c>
      <c r="B6525" s="140" t="s">
        <v>1218</v>
      </c>
      <c r="C6525" s="140" t="s">
        <v>14559</v>
      </c>
      <c r="D6525" s="140" t="s">
        <v>6318</v>
      </c>
      <c r="E6525" s="140" t="s">
        <v>1180</v>
      </c>
      <c r="F6525" s="140" t="s">
        <v>1195</v>
      </c>
      <c r="G6525" s="141" t="s">
        <v>6664</v>
      </c>
      <c r="H6525" s="140" t="s">
        <v>6330</v>
      </c>
      <c r="I6525" s="140" t="s">
        <v>6313</v>
      </c>
      <c r="J6525" s="140" t="s">
        <v>6319</v>
      </c>
      <c r="K6525" s="140" t="s">
        <v>1573</v>
      </c>
    </row>
    <row r="6526">
      <c r="A6526" s="140" t="s">
        <v>1179</v>
      </c>
      <c r="B6526" s="143">
        <v>6.79339E13</v>
      </c>
      <c r="C6526" s="140" t="s">
        <v>14560</v>
      </c>
      <c r="D6526" s="140" t="s">
        <v>6318</v>
      </c>
      <c r="E6526" s="140" t="s">
        <v>1180</v>
      </c>
      <c r="F6526" s="140" t="s">
        <v>1195</v>
      </c>
      <c r="G6526" s="141" t="s">
        <v>6668</v>
      </c>
      <c r="H6526" s="140" t="s">
        <v>6330</v>
      </c>
      <c r="I6526" s="140" t="s">
        <v>6313</v>
      </c>
      <c r="J6526" s="140" t="s">
        <v>6319</v>
      </c>
      <c r="K6526" s="140" t="s">
        <v>1573</v>
      </c>
    </row>
    <row r="6527">
      <c r="A6527" s="140" t="s">
        <v>1179</v>
      </c>
      <c r="B6527" s="143">
        <v>6.79339E13</v>
      </c>
      <c r="C6527" s="140" t="s">
        <v>14561</v>
      </c>
      <c r="D6527" s="140" t="s">
        <v>6318</v>
      </c>
      <c r="E6527" s="140" t="s">
        <v>1180</v>
      </c>
      <c r="F6527" s="140" t="s">
        <v>1195</v>
      </c>
      <c r="G6527" s="141" t="s">
        <v>6742</v>
      </c>
      <c r="H6527" s="140" t="s">
        <v>6330</v>
      </c>
      <c r="I6527" s="140" t="s">
        <v>6313</v>
      </c>
      <c r="J6527" s="140" t="s">
        <v>6319</v>
      </c>
      <c r="K6527" s="140" t="s">
        <v>1573</v>
      </c>
    </row>
    <row r="6528">
      <c r="A6528" s="140" t="s">
        <v>1179</v>
      </c>
      <c r="B6528" s="143">
        <v>6.79339E13</v>
      </c>
      <c r="C6528" s="140" t="s">
        <v>14562</v>
      </c>
      <c r="D6528" s="140" t="s">
        <v>6318</v>
      </c>
      <c r="E6528" s="140" t="s">
        <v>1180</v>
      </c>
      <c r="F6528" s="140" t="s">
        <v>1195</v>
      </c>
      <c r="G6528" s="141" t="s">
        <v>6742</v>
      </c>
      <c r="H6528" s="140" t="s">
        <v>6330</v>
      </c>
      <c r="I6528" s="140" t="s">
        <v>6313</v>
      </c>
      <c r="J6528" s="140" t="s">
        <v>6319</v>
      </c>
      <c r="K6528" s="140" t="s">
        <v>1573</v>
      </c>
    </row>
    <row r="6529">
      <c r="A6529" s="140" t="s">
        <v>1179</v>
      </c>
      <c r="B6529" s="140" t="s">
        <v>1216</v>
      </c>
      <c r="C6529" s="140" t="s">
        <v>14563</v>
      </c>
      <c r="D6529" s="140" t="s">
        <v>6318</v>
      </c>
      <c r="E6529" s="140" t="s">
        <v>1180</v>
      </c>
      <c r="F6529" s="140" t="s">
        <v>1195</v>
      </c>
      <c r="G6529" s="141" t="s">
        <v>6668</v>
      </c>
      <c r="H6529" s="140" t="s">
        <v>6330</v>
      </c>
      <c r="I6529" s="140" t="s">
        <v>6313</v>
      </c>
      <c r="J6529" s="140" t="s">
        <v>6319</v>
      </c>
      <c r="K6529" s="140" t="s">
        <v>1573</v>
      </c>
    </row>
    <row r="6530">
      <c r="A6530" s="140" t="s">
        <v>1179</v>
      </c>
      <c r="B6530" s="140" t="s">
        <v>14564</v>
      </c>
      <c r="C6530" s="140" t="s">
        <v>14565</v>
      </c>
      <c r="D6530" s="140" t="s">
        <v>6318</v>
      </c>
      <c r="E6530" s="140" t="s">
        <v>1180</v>
      </c>
      <c r="F6530" s="140" t="s">
        <v>1195</v>
      </c>
      <c r="G6530" s="141" t="s">
        <v>6304</v>
      </c>
      <c r="H6530" s="140" t="s">
        <v>6312</v>
      </c>
      <c r="I6530" s="140" t="s">
        <v>6527</v>
      </c>
      <c r="J6530" s="140" t="s">
        <v>6319</v>
      </c>
      <c r="K6530" s="140" t="s">
        <v>1573</v>
      </c>
    </row>
    <row r="6531">
      <c r="A6531" s="140" t="s">
        <v>1179</v>
      </c>
      <c r="B6531" s="140" t="s">
        <v>14566</v>
      </c>
      <c r="C6531" s="140" t="s">
        <v>14567</v>
      </c>
      <c r="D6531" s="140" t="s">
        <v>6318</v>
      </c>
      <c r="E6531" s="140" t="s">
        <v>1180</v>
      </c>
      <c r="F6531" s="140" t="s">
        <v>1195</v>
      </c>
      <c r="G6531" s="141" t="s">
        <v>6304</v>
      </c>
      <c r="H6531" s="140" t="s">
        <v>6312</v>
      </c>
      <c r="I6531" s="140" t="s">
        <v>6527</v>
      </c>
      <c r="J6531" s="140" t="s">
        <v>6319</v>
      </c>
      <c r="K6531" s="140" t="s">
        <v>1573</v>
      </c>
    </row>
    <row r="6532">
      <c r="A6532" s="140" t="s">
        <v>1179</v>
      </c>
      <c r="B6532" s="140" t="s">
        <v>14568</v>
      </c>
      <c r="C6532" s="140" t="s">
        <v>14569</v>
      </c>
      <c r="D6532" s="140" t="s">
        <v>6318</v>
      </c>
      <c r="E6532" s="140" t="s">
        <v>1180</v>
      </c>
      <c r="F6532" s="140" t="s">
        <v>1195</v>
      </c>
      <c r="G6532" s="141" t="s">
        <v>6304</v>
      </c>
      <c r="H6532" s="140" t="s">
        <v>6330</v>
      </c>
      <c r="I6532" s="140" t="s">
        <v>6527</v>
      </c>
      <c r="J6532" s="140" t="s">
        <v>6319</v>
      </c>
      <c r="K6532" s="140" t="s">
        <v>1573</v>
      </c>
    </row>
    <row r="6533">
      <c r="A6533" s="140" t="s">
        <v>1179</v>
      </c>
      <c r="B6533" s="140" t="s">
        <v>14570</v>
      </c>
      <c r="C6533" s="140" t="s">
        <v>14571</v>
      </c>
      <c r="D6533" s="140" t="s">
        <v>6318</v>
      </c>
      <c r="E6533" s="140" t="s">
        <v>1219</v>
      </c>
      <c r="F6533" s="140" t="s">
        <v>1220</v>
      </c>
      <c r="G6533" s="141" t="s">
        <v>6304</v>
      </c>
      <c r="H6533" s="140" t="s">
        <v>6312</v>
      </c>
      <c r="I6533" s="140" t="s">
        <v>6527</v>
      </c>
      <c r="J6533" s="140" t="s">
        <v>6319</v>
      </c>
      <c r="K6533" s="140" t="s">
        <v>1573</v>
      </c>
    </row>
    <row r="6534">
      <c r="A6534" s="140" t="s">
        <v>1179</v>
      </c>
      <c r="B6534" s="140" t="s">
        <v>14572</v>
      </c>
      <c r="C6534" s="140" t="s">
        <v>14571</v>
      </c>
      <c r="D6534" s="140" t="s">
        <v>6318</v>
      </c>
      <c r="E6534" s="140" t="s">
        <v>1219</v>
      </c>
      <c r="F6534" s="140" t="s">
        <v>1220</v>
      </c>
      <c r="G6534" s="141" t="s">
        <v>6304</v>
      </c>
      <c r="H6534" s="140" t="s">
        <v>6312</v>
      </c>
      <c r="I6534" s="140" t="s">
        <v>6527</v>
      </c>
      <c r="J6534" s="140" t="s">
        <v>6319</v>
      </c>
      <c r="K6534" s="140" t="s">
        <v>1573</v>
      </c>
    </row>
    <row r="6535">
      <c r="A6535" s="140" t="s">
        <v>1179</v>
      </c>
      <c r="B6535" s="140" t="s">
        <v>14573</v>
      </c>
      <c r="C6535" s="140" t="s">
        <v>14574</v>
      </c>
      <c r="D6535" s="140" t="s">
        <v>6318</v>
      </c>
      <c r="E6535" s="140" t="s">
        <v>1219</v>
      </c>
      <c r="F6535" s="140" t="s">
        <v>1220</v>
      </c>
      <c r="G6535" s="141" t="s">
        <v>6304</v>
      </c>
      <c r="H6535" s="140" t="s">
        <v>6312</v>
      </c>
      <c r="I6535" s="140" t="s">
        <v>6527</v>
      </c>
      <c r="J6535" s="140" t="s">
        <v>6319</v>
      </c>
      <c r="K6535" s="140" t="s">
        <v>1573</v>
      </c>
    </row>
    <row r="6536">
      <c r="A6536" s="140" t="s">
        <v>1179</v>
      </c>
      <c r="B6536" s="140" t="s">
        <v>14575</v>
      </c>
      <c r="C6536" s="140" t="s">
        <v>14576</v>
      </c>
      <c r="D6536" s="140" t="s">
        <v>6318</v>
      </c>
      <c r="E6536" s="140" t="s">
        <v>1219</v>
      </c>
      <c r="F6536" s="140" t="s">
        <v>1220</v>
      </c>
      <c r="G6536" s="141" t="s">
        <v>6304</v>
      </c>
      <c r="H6536" s="140" t="s">
        <v>6312</v>
      </c>
      <c r="I6536" s="140" t="s">
        <v>6527</v>
      </c>
      <c r="J6536" s="140" t="s">
        <v>6319</v>
      </c>
      <c r="K6536" s="140" t="s">
        <v>1573</v>
      </c>
    </row>
    <row r="6537">
      <c r="A6537" s="140" t="s">
        <v>1179</v>
      </c>
      <c r="B6537" s="143">
        <v>6.84329E13</v>
      </c>
      <c r="C6537" s="140" t="s">
        <v>2064</v>
      </c>
      <c r="D6537" s="140" t="s">
        <v>6318</v>
      </c>
      <c r="E6537" s="140" t="s">
        <v>1219</v>
      </c>
      <c r="F6537" s="140" t="s">
        <v>1220</v>
      </c>
      <c r="G6537" s="141" t="s">
        <v>6668</v>
      </c>
      <c r="H6537" s="140" t="s">
        <v>6330</v>
      </c>
      <c r="I6537" s="140" t="s">
        <v>6313</v>
      </c>
      <c r="J6537" s="140" t="s">
        <v>6319</v>
      </c>
      <c r="K6537" s="140" t="s">
        <v>1573</v>
      </c>
    </row>
    <row r="6538">
      <c r="A6538" s="140" t="s">
        <v>1179</v>
      </c>
      <c r="B6538" s="143">
        <v>1.66086E12</v>
      </c>
      <c r="C6538" s="140" t="s">
        <v>2065</v>
      </c>
      <c r="D6538" s="140" t="s">
        <v>6318</v>
      </c>
      <c r="E6538" s="140" t="s">
        <v>1219</v>
      </c>
      <c r="F6538" s="140" t="s">
        <v>1220</v>
      </c>
      <c r="G6538" s="141" t="s">
        <v>6668</v>
      </c>
      <c r="H6538" s="140" t="s">
        <v>6330</v>
      </c>
      <c r="I6538" s="140" t="s">
        <v>6313</v>
      </c>
      <c r="J6538" s="140" t="s">
        <v>6319</v>
      </c>
      <c r="K6538" s="140" t="s">
        <v>1573</v>
      </c>
    </row>
    <row r="6539">
      <c r="A6539" s="140" t="s">
        <v>1179</v>
      </c>
      <c r="B6539" s="140" t="s">
        <v>14577</v>
      </c>
      <c r="C6539" s="140" t="s">
        <v>14578</v>
      </c>
      <c r="D6539" s="140" t="s">
        <v>6318</v>
      </c>
      <c r="E6539" s="140" t="s">
        <v>1219</v>
      </c>
      <c r="F6539" s="140" t="s">
        <v>1220</v>
      </c>
      <c r="G6539" s="141" t="s">
        <v>6304</v>
      </c>
      <c r="H6539" s="140" t="s">
        <v>6312</v>
      </c>
      <c r="I6539" s="140" t="s">
        <v>6527</v>
      </c>
      <c r="J6539" s="140" t="s">
        <v>6319</v>
      </c>
      <c r="K6539" s="140" t="s">
        <v>1573</v>
      </c>
    </row>
    <row r="6540">
      <c r="A6540" s="140" t="s">
        <v>1179</v>
      </c>
      <c r="B6540" s="140" t="s">
        <v>14579</v>
      </c>
      <c r="C6540" s="140" t="s">
        <v>14580</v>
      </c>
      <c r="D6540" s="140" t="s">
        <v>6318</v>
      </c>
      <c r="E6540" s="140" t="s">
        <v>1219</v>
      </c>
      <c r="F6540" s="140" t="s">
        <v>1220</v>
      </c>
      <c r="G6540" s="141" t="s">
        <v>6304</v>
      </c>
      <c r="H6540" s="140" t="s">
        <v>6312</v>
      </c>
      <c r="I6540" s="140" t="s">
        <v>6527</v>
      </c>
      <c r="J6540" s="140" t="s">
        <v>6319</v>
      </c>
      <c r="K6540" s="140" t="s">
        <v>1573</v>
      </c>
    </row>
    <row r="6541">
      <c r="A6541" s="140" t="s">
        <v>1179</v>
      </c>
      <c r="B6541" s="140" t="s">
        <v>14581</v>
      </c>
      <c r="C6541" s="140" t="s">
        <v>14582</v>
      </c>
      <c r="D6541" s="140" t="s">
        <v>6318</v>
      </c>
      <c r="E6541" s="140" t="s">
        <v>1219</v>
      </c>
      <c r="F6541" s="140" t="s">
        <v>1220</v>
      </c>
      <c r="G6541" s="141" t="s">
        <v>6304</v>
      </c>
      <c r="H6541" s="140" t="s">
        <v>6312</v>
      </c>
      <c r="I6541" s="140" t="s">
        <v>6527</v>
      </c>
      <c r="J6541" s="140" t="s">
        <v>6319</v>
      </c>
      <c r="K6541" s="140" t="s">
        <v>1573</v>
      </c>
    </row>
    <row r="6542">
      <c r="A6542" s="140" t="s">
        <v>1179</v>
      </c>
      <c r="B6542" s="140" t="s">
        <v>14583</v>
      </c>
      <c r="C6542" s="140" t="s">
        <v>14584</v>
      </c>
      <c r="D6542" s="140" t="s">
        <v>6318</v>
      </c>
      <c r="E6542" s="140" t="s">
        <v>1219</v>
      </c>
      <c r="F6542" s="140" t="s">
        <v>1220</v>
      </c>
      <c r="G6542" s="141" t="s">
        <v>6304</v>
      </c>
      <c r="H6542" s="140" t="s">
        <v>6312</v>
      </c>
      <c r="I6542" s="140" t="s">
        <v>6527</v>
      </c>
      <c r="J6542" s="140" t="s">
        <v>6319</v>
      </c>
      <c r="K6542" s="140" t="s">
        <v>1573</v>
      </c>
    </row>
    <row r="6543">
      <c r="A6543" s="140" t="s">
        <v>1179</v>
      </c>
      <c r="B6543" s="140" t="s">
        <v>14585</v>
      </c>
      <c r="C6543" s="140" t="s">
        <v>14586</v>
      </c>
      <c r="D6543" s="140" t="s">
        <v>6318</v>
      </c>
      <c r="E6543" s="140" t="s">
        <v>1219</v>
      </c>
      <c r="F6543" s="140" t="s">
        <v>1220</v>
      </c>
      <c r="G6543" s="141" t="s">
        <v>6304</v>
      </c>
      <c r="H6543" s="140" t="s">
        <v>6312</v>
      </c>
      <c r="I6543" s="140" t="s">
        <v>6527</v>
      </c>
      <c r="J6543" s="140" t="s">
        <v>6319</v>
      </c>
      <c r="K6543" s="140" t="s">
        <v>1573</v>
      </c>
    </row>
    <row r="6544">
      <c r="A6544" s="140" t="s">
        <v>1179</v>
      </c>
      <c r="B6544" s="140" t="s">
        <v>14587</v>
      </c>
      <c r="C6544" s="140" t="s">
        <v>14588</v>
      </c>
      <c r="D6544" s="140" t="s">
        <v>6318</v>
      </c>
      <c r="E6544" s="140" t="s">
        <v>1219</v>
      </c>
      <c r="F6544" s="140" t="s">
        <v>1220</v>
      </c>
      <c r="G6544" s="141" t="s">
        <v>6304</v>
      </c>
      <c r="H6544" s="140" t="s">
        <v>6312</v>
      </c>
      <c r="I6544" s="140" t="s">
        <v>6527</v>
      </c>
      <c r="J6544" s="140" t="s">
        <v>6319</v>
      </c>
      <c r="K6544" s="140" t="s">
        <v>1573</v>
      </c>
    </row>
    <row r="6545">
      <c r="A6545" s="140" t="s">
        <v>1179</v>
      </c>
      <c r="B6545" s="140" t="s">
        <v>14589</v>
      </c>
      <c r="C6545" s="140" t="s">
        <v>14590</v>
      </c>
      <c r="D6545" s="140" t="s">
        <v>6318</v>
      </c>
      <c r="E6545" s="140" t="s">
        <v>1219</v>
      </c>
      <c r="F6545" s="140" t="s">
        <v>1220</v>
      </c>
      <c r="G6545" s="141" t="s">
        <v>6304</v>
      </c>
      <c r="H6545" s="140" t="s">
        <v>6312</v>
      </c>
      <c r="I6545" s="140" t="s">
        <v>6527</v>
      </c>
      <c r="J6545" s="140" t="s">
        <v>6319</v>
      </c>
      <c r="K6545" s="140" t="s">
        <v>1573</v>
      </c>
    </row>
    <row r="6546">
      <c r="A6546" s="140" t="s">
        <v>1179</v>
      </c>
      <c r="B6546" s="140" t="s">
        <v>14591</v>
      </c>
      <c r="C6546" s="140" t="s">
        <v>14592</v>
      </c>
      <c r="D6546" s="140" t="s">
        <v>6318</v>
      </c>
      <c r="E6546" s="140" t="s">
        <v>1219</v>
      </c>
      <c r="F6546" s="140" t="s">
        <v>1220</v>
      </c>
      <c r="G6546" s="141" t="s">
        <v>6304</v>
      </c>
      <c r="H6546" s="140" t="s">
        <v>6312</v>
      </c>
      <c r="I6546" s="140" t="s">
        <v>6527</v>
      </c>
      <c r="J6546" s="140" t="s">
        <v>6319</v>
      </c>
      <c r="K6546" s="140" t="s">
        <v>1573</v>
      </c>
    </row>
    <row r="6547">
      <c r="A6547" s="140" t="s">
        <v>1179</v>
      </c>
      <c r="B6547" s="143">
        <v>1.62802E12</v>
      </c>
      <c r="C6547" s="140" t="s">
        <v>14593</v>
      </c>
      <c r="D6547" s="140" t="s">
        <v>6309</v>
      </c>
      <c r="E6547" s="140" t="s">
        <v>1223</v>
      </c>
      <c r="F6547" s="140" t="s">
        <v>1223</v>
      </c>
      <c r="G6547" s="141" t="s">
        <v>6742</v>
      </c>
      <c r="H6547" s="140" t="s">
        <v>6330</v>
      </c>
      <c r="I6547" s="140" t="s">
        <v>6313</v>
      </c>
      <c r="J6547" s="140" t="s">
        <v>6319</v>
      </c>
      <c r="K6547" s="140" t="s">
        <v>1573</v>
      </c>
    </row>
    <row r="6548">
      <c r="A6548" s="140" t="s">
        <v>1179</v>
      </c>
      <c r="B6548" s="140" t="s">
        <v>14594</v>
      </c>
      <c r="C6548" s="140" t="s">
        <v>14595</v>
      </c>
      <c r="D6548" s="140" t="s">
        <v>6318</v>
      </c>
      <c r="E6548" s="140" t="s">
        <v>1225</v>
      </c>
      <c r="F6548" s="140" t="s">
        <v>1226</v>
      </c>
      <c r="G6548" s="141" t="s">
        <v>6304</v>
      </c>
      <c r="H6548" s="140" t="s">
        <v>6330</v>
      </c>
      <c r="I6548" s="140" t="s">
        <v>6527</v>
      </c>
      <c r="J6548" s="140" t="s">
        <v>6319</v>
      </c>
      <c r="K6548" s="140" t="s">
        <v>1573</v>
      </c>
    </row>
    <row r="6549">
      <c r="A6549" s="140" t="s">
        <v>1179</v>
      </c>
      <c r="B6549" s="140" t="s">
        <v>14596</v>
      </c>
      <c r="C6549" s="140" t="s">
        <v>14597</v>
      </c>
      <c r="D6549" s="140" t="s">
        <v>6318</v>
      </c>
      <c r="E6549" s="140" t="s">
        <v>1225</v>
      </c>
      <c r="F6549" s="140" t="s">
        <v>1226</v>
      </c>
      <c r="G6549" s="141" t="s">
        <v>6304</v>
      </c>
      <c r="H6549" s="140" t="s">
        <v>6330</v>
      </c>
      <c r="I6549" s="140" t="s">
        <v>6527</v>
      </c>
      <c r="J6549" s="140" t="s">
        <v>6319</v>
      </c>
      <c r="K6549" s="140" t="s">
        <v>1573</v>
      </c>
    </row>
    <row r="6550">
      <c r="A6550" s="140" t="s">
        <v>1179</v>
      </c>
      <c r="B6550" s="140" t="s">
        <v>14598</v>
      </c>
      <c r="C6550" s="140" t="s">
        <v>14599</v>
      </c>
      <c r="D6550" s="140" t="s">
        <v>6318</v>
      </c>
      <c r="E6550" s="140" t="s">
        <v>1225</v>
      </c>
      <c r="F6550" s="140" t="s">
        <v>1226</v>
      </c>
      <c r="G6550" s="141" t="s">
        <v>6304</v>
      </c>
      <c r="H6550" s="140" t="s">
        <v>6330</v>
      </c>
      <c r="I6550" s="140" t="s">
        <v>6527</v>
      </c>
      <c r="J6550" s="140" t="s">
        <v>6319</v>
      </c>
      <c r="K6550" s="140" t="s">
        <v>1573</v>
      </c>
    </row>
    <row r="6551">
      <c r="A6551" s="140" t="s">
        <v>1179</v>
      </c>
      <c r="B6551" s="140" t="s">
        <v>14600</v>
      </c>
      <c r="C6551" s="140" t="s">
        <v>14601</v>
      </c>
      <c r="D6551" s="140" t="s">
        <v>6318</v>
      </c>
      <c r="E6551" s="140" t="s">
        <v>1225</v>
      </c>
      <c r="F6551" s="140" t="s">
        <v>1226</v>
      </c>
      <c r="G6551" s="141" t="s">
        <v>6304</v>
      </c>
      <c r="H6551" s="140" t="s">
        <v>6330</v>
      </c>
      <c r="I6551" s="140" t="s">
        <v>6527</v>
      </c>
      <c r="J6551" s="140" t="s">
        <v>6319</v>
      </c>
      <c r="K6551" s="140" t="s">
        <v>1573</v>
      </c>
    </row>
    <row r="6552">
      <c r="A6552" s="140" t="s">
        <v>1179</v>
      </c>
      <c r="B6552" s="140" t="s">
        <v>14602</v>
      </c>
      <c r="C6552" s="140" t="s">
        <v>14603</v>
      </c>
      <c r="D6552" s="140" t="s">
        <v>6318</v>
      </c>
      <c r="E6552" s="140" t="s">
        <v>1225</v>
      </c>
      <c r="F6552" s="140" t="s">
        <v>1226</v>
      </c>
      <c r="G6552" s="141" t="s">
        <v>6304</v>
      </c>
      <c r="H6552" s="140" t="s">
        <v>6330</v>
      </c>
      <c r="I6552" s="140" t="s">
        <v>6527</v>
      </c>
      <c r="J6552" s="140" t="s">
        <v>6319</v>
      </c>
      <c r="K6552" s="140" t="s">
        <v>1573</v>
      </c>
    </row>
    <row r="6553">
      <c r="A6553" s="140" t="s">
        <v>1179</v>
      </c>
      <c r="B6553" s="140" t="s">
        <v>14604</v>
      </c>
      <c r="C6553" s="140" t="s">
        <v>14605</v>
      </c>
      <c r="D6553" s="140" t="s">
        <v>6318</v>
      </c>
      <c r="E6553" s="140" t="s">
        <v>1225</v>
      </c>
      <c r="F6553" s="140" t="s">
        <v>1226</v>
      </c>
      <c r="G6553" s="141" t="s">
        <v>6304</v>
      </c>
      <c r="H6553" s="140" t="s">
        <v>6330</v>
      </c>
      <c r="I6553" s="140" t="s">
        <v>6527</v>
      </c>
      <c r="J6553" s="140" t="s">
        <v>6319</v>
      </c>
      <c r="K6553" s="140" t="s">
        <v>1573</v>
      </c>
    </row>
    <row r="6554">
      <c r="A6554" s="140" t="s">
        <v>1179</v>
      </c>
      <c r="B6554" s="140" t="s">
        <v>14606</v>
      </c>
      <c r="C6554" s="140" t="s">
        <v>14607</v>
      </c>
      <c r="D6554" s="140" t="s">
        <v>6318</v>
      </c>
      <c r="E6554" s="140" t="s">
        <v>1225</v>
      </c>
      <c r="F6554" s="140" t="s">
        <v>1226</v>
      </c>
      <c r="G6554" s="141" t="s">
        <v>6304</v>
      </c>
      <c r="H6554" s="140" t="s">
        <v>6330</v>
      </c>
      <c r="I6554" s="140" t="s">
        <v>6527</v>
      </c>
      <c r="J6554" s="140" t="s">
        <v>6319</v>
      </c>
      <c r="K6554" s="140" t="s">
        <v>1573</v>
      </c>
    </row>
    <row r="6555">
      <c r="A6555" s="140" t="s">
        <v>1179</v>
      </c>
      <c r="B6555" s="140" t="s">
        <v>14608</v>
      </c>
      <c r="C6555" s="140" t="s">
        <v>14609</v>
      </c>
      <c r="D6555" s="140" t="s">
        <v>6318</v>
      </c>
      <c r="E6555" s="140" t="s">
        <v>1225</v>
      </c>
      <c r="F6555" s="140" t="s">
        <v>1226</v>
      </c>
      <c r="G6555" s="141" t="s">
        <v>6304</v>
      </c>
      <c r="H6555" s="140" t="s">
        <v>6330</v>
      </c>
      <c r="I6555" s="140" t="s">
        <v>6527</v>
      </c>
      <c r="J6555" s="140" t="s">
        <v>6319</v>
      </c>
      <c r="K6555" s="140" t="s">
        <v>1573</v>
      </c>
    </row>
    <row r="6556">
      <c r="A6556" s="140" t="s">
        <v>1179</v>
      </c>
      <c r="B6556" s="140" t="s">
        <v>14610</v>
      </c>
      <c r="C6556" s="140" t="s">
        <v>14611</v>
      </c>
      <c r="D6556" s="140" t="s">
        <v>6318</v>
      </c>
      <c r="E6556" s="140" t="s">
        <v>1225</v>
      </c>
      <c r="F6556" s="140" t="s">
        <v>1226</v>
      </c>
      <c r="G6556" s="141" t="s">
        <v>6311</v>
      </c>
      <c r="H6556" s="140" t="s">
        <v>6330</v>
      </c>
      <c r="I6556" s="140" t="s">
        <v>6527</v>
      </c>
      <c r="J6556" s="140" t="s">
        <v>6319</v>
      </c>
      <c r="K6556" s="140" t="s">
        <v>1573</v>
      </c>
    </row>
    <row r="6557">
      <c r="A6557" s="140" t="s">
        <v>1179</v>
      </c>
      <c r="B6557" s="140" t="s">
        <v>14612</v>
      </c>
      <c r="C6557" s="140" t="s">
        <v>14613</v>
      </c>
      <c r="D6557" s="140" t="s">
        <v>6318</v>
      </c>
      <c r="E6557" s="140" t="s">
        <v>1225</v>
      </c>
      <c r="F6557" s="140" t="s">
        <v>1226</v>
      </c>
      <c r="G6557" s="141" t="s">
        <v>6311</v>
      </c>
      <c r="H6557" s="140" t="s">
        <v>6330</v>
      </c>
      <c r="I6557" s="140" t="s">
        <v>6527</v>
      </c>
      <c r="J6557" s="140" t="s">
        <v>6319</v>
      </c>
      <c r="K6557" s="140" t="s">
        <v>1573</v>
      </c>
    </row>
    <row r="6558">
      <c r="A6558" s="140" t="s">
        <v>1179</v>
      </c>
      <c r="B6558" s="140" t="s">
        <v>14614</v>
      </c>
      <c r="C6558" s="140" t="s">
        <v>14615</v>
      </c>
      <c r="D6558" s="140" t="s">
        <v>6318</v>
      </c>
      <c r="E6558" s="140" t="s">
        <v>1225</v>
      </c>
      <c r="F6558" s="140" t="s">
        <v>1226</v>
      </c>
      <c r="G6558" s="141" t="s">
        <v>6304</v>
      </c>
      <c r="H6558" s="140" t="s">
        <v>6330</v>
      </c>
      <c r="I6558" s="140" t="s">
        <v>6527</v>
      </c>
      <c r="J6558" s="140" t="s">
        <v>6319</v>
      </c>
      <c r="K6558" s="140" t="s">
        <v>1573</v>
      </c>
    </row>
    <row r="6559">
      <c r="A6559" s="140" t="s">
        <v>1179</v>
      </c>
      <c r="B6559" s="140" t="s">
        <v>14616</v>
      </c>
      <c r="C6559" s="140" t="s">
        <v>14617</v>
      </c>
      <c r="D6559" s="140" t="s">
        <v>6318</v>
      </c>
      <c r="E6559" s="140" t="s">
        <v>1225</v>
      </c>
      <c r="F6559" s="140" t="s">
        <v>1226</v>
      </c>
      <c r="G6559" s="141" t="s">
        <v>6304</v>
      </c>
      <c r="H6559" s="140" t="s">
        <v>6330</v>
      </c>
      <c r="I6559" s="140" t="s">
        <v>6527</v>
      </c>
      <c r="J6559" s="140" t="s">
        <v>6319</v>
      </c>
      <c r="K6559" s="140" t="s">
        <v>1573</v>
      </c>
    </row>
    <row r="6560">
      <c r="A6560" s="140" t="s">
        <v>1179</v>
      </c>
      <c r="B6560" s="140" t="s">
        <v>14618</v>
      </c>
      <c r="C6560" s="140" t="s">
        <v>14619</v>
      </c>
      <c r="D6560" s="140" t="s">
        <v>6318</v>
      </c>
      <c r="E6560" s="140" t="s">
        <v>1225</v>
      </c>
      <c r="F6560" s="140" t="s">
        <v>1226</v>
      </c>
      <c r="G6560" s="141" t="s">
        <v>6311</v>
      </c>
      <c r="H6560" s="140" t="s">
        <v>6330</v>
      </c>
      <c r="I6560" s="140" t="s">
        <v>6527</v>
      </c>
      <c r="J6560" s="140" t="s">
        <v>6319</v>
      </c>
      <c r="K6560" s="140" t="s">
        <v>1573</v>
      </c>
    </row>
    <row r="6561">
      <c r="A6561" s="140" t="s">
        <v>1179</v>
      </c>
      <c r="B6561" s="140" t="s">
        <v>14620</v>
      </c>
      <c r="C6561" s="140" t="s">
        <v>14621</v>
      </c>
      <c r="D6561" s="140" t="s">
        <v>6318</v>
      </c>
      <c r="E6561" s="140" t="s">
        <v>1225</v>
      </c>
      <c r="F6561" s="140" t="s">
        <v>1226</v>
      </c>
      <c r="G6561" s="141" t="s">
        <v>6304</v>
      </c>
      <c r="H6561" s="140" t="s">
        <v>6330</v>
      </c>
      <c r="I6561" s="140" t="s">
        <v>6527</v>
      </c>
      <c r="J6561" s="140" t="s">
        <v>6319</v>
      </c>
      <c r="K6561" s="140" t="s">
        <v>1573</v>
      </c>
    </row>
    <row r="6562">
      <c r="A6562" s="140" t="s">
        <v>1179</v>
      </c>
      <c r="B6562" s="140" t="s">
        <v>14622</v>
      </c>
      <c r="C6562" s="140" t="s">
        <v>14623</v>
      </c>
      <c r="D6562" s="140" t="s">
        <v>6318</v>
      </c>
      <c r="E6562" s="140" t="s">
        <v>1225</v>
      </c>
      <c r="F6562" s="140" t="s">
        <v>1226</v>
      </c>
      <c r="G6562" s="141" t="s">
        <v>6304</v>
      </c>
      <c r="H6562" s="140" t="s">
        <v>6330</v>
      </c>
      <c r="I6562" s="140" t="s">
        <v>6527</v>
      </c>
      <c r="J6562" s="140" t="s">
        <v>6319</v>
      </c>
      <c r="K6562" s="140" t="s">
        <v>1573</v>
      </c>
    </row>
    <row r="6563">
      <c r="A6563" s="140" t="s">
        <v>1179</v>
      </c>
      <c r="B6563" s="140" t="s">
        <v>1234</v>
      </c>
      <c r="C6563" s="140" t="s">
        <v>14624</v>
      </c>
      <c r="D6563" s="140" t="s">
        <v>6318</v>
      </c>
      <c r="E6563" s="140" t="s">
        <v>1225</v>
      </c>
      <c r="F6563" s="140" t="s">
        <v>1226</v>
      </c>
      <c r="G6563" s="141" t="s">
        <v>6668</v>
      </c>
      <c r="H6563" s="140" t="s">
        <v>6330</v>
      </c>
      <c r="I6563" s="140" t="s">
        <v>6313</v>
      </c>
      <c r="J6563" s="140" t="s">
        <v>6319</v>
      </c>
      <c r="K6563" s="140" t="s">
        <v>1573</v>
      </c>
    </row>
    <row r="6564">
      <c r="A6564" s="140" t="s">
        <v>1179</v>
      </c>
      <c r="B6564" s="143">
        <v>1.63485E12</v>
      </c>
      <c r="C6564" s="140" t="s">
        <v>1231</v>
      </c>
      <c r="D6564" s="140" t="s">
        <v>6318</v>
      </c>
      <c r="E6564" s="140" t="s">
        <v>1225</v>
      </c>
      <c r="F6564" s="140" t="s">
        <v>1226</v>
      </c>
      <c r="G6564" s="141" t="s">
        <v>134</v>
      </c>
      <c r="H6564" s="140" t="s">
        <v>6330</v>
      </c>
      <c r="I6564" s="140" t="s">
        <v>6313</v>
      </c>
      <c r="J6564" s="140" t="s">
        <v>6319</v>
      </c>
      <c r="K6564" s="140" t="s">
        <v>1573</v>
      </c>
    </row>
    <row r="6565">
      <c r="A6565" s="140" t="s">
        <v>1179</v>
      </c>
      <c r="B6565" s="143">
        <v>1.63596E12</v>
      </c>
      <c r="C6565" s="140" t="s">
        <v>1232</v>
      </c>
      <c r="D6565" s="140" t="s">
        <v>6318</v>
      </c>
      <c r="E6565" s="140" t="s">
        <v>1225</v>
      </c>
      <c r="F6565" s="140" t="s">
        <v>1226</v>
      </c>
      <c r="G6565" s="141" t="s">
        <v>6668</v>
      </c>
      <c r="H6565" s="140" t="s">
        <v>6330</v>
      </c>
      <c r="I6565" s="140" t="s">
        <v>6313</v>
      </c>
      <c r="J6565" s="140" t="s">
        <v>6319</v>
      </c>
      <c r="K6565" s="140" t="s">
        <v>1573</v>
      </c>
    </row>
    <row r="6566">
      <c r="A6566" s="140" t="s">
        <v>1179</v>
      </c>
      <c r="B6566" s="140" t="s">
        <v>1242</v>
      </c>
      <c r="C6566" s="140" t="s">
        <v>1241</v>
      </c>
      <c r="D6566" s="140" t="s">
        <v>6318</v>
      </c>
      <c r="E6566" s="140" t="s">
        <v>1225</v>
      </c>
      <c r="F6566" s="140" t="s">
        <v>1226</v>
      </c>
      <c r="G6566" s="141" t="s">
        <v>6311</v>
      </c>
      <c r="H6566" s="140" t="s">
        <v>6330</v>
      </c>
      <c r="I6566" s="140" t="s">
        <v>6313</v>
      </c>
      <c r="J6566" s="140" t="s">
        <v>6319</v>
      </c>
      <c r="K6566" s="140" t="s">
        <v>1573</v>
      </c>
    </row>
    <row r="6567">
      <c r="A6567" s="140" t="s">
        <v>1179</v>
      </c>
      <c r="B6567" s="140" t="s">
        <v>1228</v>
      </c>
      <c r="C6567" s="140" t="s">
        <v>2072</v>
      </c>
      <c r="D6567" s="140" t="s">
        <v>6318</v>
      </c>
      <c r="E6567" s="140" t="s">
        <v>1225</v>
      </c>
      <c r="F6567" s="140" t="s">
        <v>1226</v>
      </c>
      <c r="G6567" s="141" t="s">
        <v>134</v>
      </c>
      <c r="H6567" s="140" t="s">
        <v>6330</v>
      </c>
      <c r="I6567" s="140" t="s">
        <v>6313</v>
      </c>
      <c r="J6567" s="140" t="s">
        <v>6319</v>
      </c>
      <c r="K6567" s="140" t="s">
        <v>1573</v>
      </c>
    </row>
    <row r="6568">
      <c r="A6568" s="140" t="s">
        <v>1179</v>
      </c>
      <c r="B6568" s="140" t="s">
        <v>1230</v>
      </c>
      <c r="C6568" s="140" t="s">
        <v>14625</v>
      </c>
      <c r="D6568" s="140" t="s">
        <v>6318</v>
      </c>
      <c r="E6568" s="140" t="s">
        <v>1225</v>
      </c>
      <c r="F6568" s="140" t="s">
        <v>1226</v>
      </c>
      <c r="G6568" s="141" t="s">
        <v>6668</v>
      </c>
      <c r="H6568" s="140" t="s">
        <v>6330</v>
      </c>
      <c r="I6568" s="140" t="s">
        <v>6313</v>
      </c>
      <c r="J6568" s="140" t="s">
        <v>6319</v>
      </c>
      <c r="K6568" s="140" t="s">
        <v>1573</v>
      </c>
    </row>
    <row r="6569">
      <c r="A6569" s="140" t="s">
        <v>1179</v>
      </c>
      <c r="B6569" s="140" t="s">
        <v>1238</v>
      </c>
      <c r="C6569" s="140" t="s">
        <v>14626</v>
      </c>
      <c r="D6569" s="140" t="s">
        <v>6318</v>
      </c>
      <c r="E6569" s="140" t="s">
        <v>1225</v>
      </c>
      <c r="F6569" s="140" t="s">
        <v>1226</v>
      </c>
      <c r="G6569" s="141" t="s">
        <v>6668</v>
      </c>
      <c r="H6569" s="140" t="s">
        <v>6330</v>
      </c>
      <c r="I6569" s="140" t="s">
        <v>6313</v>
      </c>
      <c r="J6569" s="140" t="s">
        <v>6319</v>
      </c>
      <c r="K6569" s="140" t="s">
        <v>1573</v>
      </c>
    </row>
    <row r="6570">
      <c r="A6570" s="140" t="s">
        <v>1179</v>
      </c>
      <c r="B6570" s="140" t="s">
        <v>14627</v>
      </c>
      <c r="C6570" s="140" t="s">
        <v>14628</v>
      </c>
      <c r="D6570" s="140" t="s">
        <v>6318</v>
      </c>
      <c r="E6570" s="140" t="s">
        <v>1225</v>
      </c>
      <c r="F6570" s="140" t="s">
        <v>1226</v>
      </c>
      <c r="G6570" s="141" t="s">
        <v>6304</v>
      </c>
      <c r="H6570" s="140" t="s">
        <v>6312</v>
      </c>
      <c r="I6570" s="140" t="s">
        <v>6527</v>
      </c>
      <c r="J6570" s="140" t="s">
        <v>6319</v>
      </c>
      <c r="K6570" s="140" t="s">
        <v>1573</v>
      </c>
    </row>
    <row r="6571">
      <c r="A6571" s="140" t="s">
        <v>1179</v>
      </c>
      <c r="B6571" s="140" t="s">
        <v>14629</v>
      </c>
      <c r="C6571" s="140" t="s">
        <v>14630</v>
      </c>
      <c r="D6571" s="140" t="s">
        <v>6318</v>
      </c>
      <c r="E6571" s="140" t="s">
        <v>1225</v>
      </c>
      <c r="F6571" s="140" t="s">
        <v>1226</v>
      </c>
      <c r="G6571" s="141" t="s">
        <v>6304</v>
      </c>
      <c r="H6571" s="140" t="s">
        <v>6312</v>
      </c>
      <c r="I6571" s="140" t="s">
        <v>6527</v>
      </c>
      <c r="J6571" s="140" t="s">
        <v>6319</v>
      </c>
      <c r="K6571" s="140" t="s">
        <v>1573</v>
      </c>
    </row>
    <row r="6572">
      <c r="A6572" s="140" t="s">
        <v>1179</v>
      </c>
      <c r="B6572" s="140" t="s">
        <v>14631</v>
      </c>
      <c r="C6572" s="140" t="s">
        <v>14632</v>
      </c>
      <c r="D6572" s="140" t="s">
        <v>6318</v>
      </c>
      <c r="E6572" s="140" t="s">
        <v>1225</v>
      </c>
      <c r="F6572" s="140" t="s">
        <v>1226</v>
      </c>
      <c r="G6572" s="141" t="s">
        <v>6304</v>
      </c>
      <c r="H6572" s="140" t="s">
        <v>6312</v>
      </c>
      <c r="I6572" s="140" t="s">
        <v>6527</v>
      </c>
      <c r="J6572" s="140" t="s">
        <v>6319</v>
      </c>
      <c r="K6572" s="140" t="s">
        <v>1573</v>
      </c>
    </row>
    <row r="6573">
      <c r="A6573" s="140" t="s">
        <v>1179</v>
      </c>
      <c r="B6573" s="140" t="s">
        <v>1236</v>
      </c>
      <c r="C6573" s="140" t="s">
        <v>14633</v>
      </c>
      <c r="D6573" s="140" t="s">
        <v>6318</v>
      </c>
      <c r="E6573" s="140" t="s">
        <v>1225</v>
      </c>
      <c r="F6573" s="140" t="s">
        <v>1226</v>
      </c>
      <c r="G6573" s="141" t="s">
        <v>134</v>
      </c>
      <c r="H6573" s="140" t="s">
        <v>6312</v>
      </c>
      <c r="I6573" s="140" t="s">
        <v>6313</v>
      </c>
      <c r="J6573" s="140" t="s">
        <v>6319</v>
      </c>
      <c r="K6573" s="140" t="s">
        <v>1573</v>
      </c>
    </row>
    <row r="6574">
      <c r="A6574" s="140" t="s">
        <v>1179</v>
      </c>
      <c r="B6574" s="140" t="s">
        <v>14634</v>
      </c>
      <c r="C6574" s="140" t="s">
        <v>14635</v>
      </c>
      <c r="D6574" s="140" t="s">
        <v>6318</v>
      </c>
      <c r="E6574" s="140" t="s">
        <v>1225</v>
      </c>
      <c r="F6574" s="140" t="s">
        <v>1226</v>
      </c>
      <c r="G6574" s="141" t="s">
        <v>6304</v>
      </c>
      <c r="H6574" s="140" t="s">
        <v>6312</v>
      </c>
      <c r="I6574" s="140" t="s">
        <v>6527</v>
      </c>
      <c r="J6574" s="140" t="s">
        <v>6319</v>
      </c>
      <c r="K6574" s="140" t="s">
        <v>1573</v>
      </c>
    </row>
    <row r="6575">
      <c r="A6575" s="140" t="s">
        <v>1179</v>
      </c>
      <c r="B6575" s="140" t="s">
        <v>14636</v>
      </c>
      <c r="C6575" s="140" t="s">
        <v>14637</v>
      </c>
      <c r="D6575" s="140" t="s">
        <v>6318</v>
      </c>
      <c r="E6575" s="140" t="s">
        <v>1225</v>
      </c>
      <c r="F6575" s="140" t="s">
        <v>1243</v>
      </c>
      <c r="G6575" s="141" t="s">
        <v>6311</v>
      </c>
      <c r="H6575" s="140" t="s">
        <v>6330</v>
      </c>
      <c r="I6575" s="140" t="s">
        <v>6527</v>
      </c>
      <c r="J6575" s="140" t="s">
        <v>6319</v>
      </c>
      <c r="K6575" s="140" t="s">
        <v>1573</v>
      </c>
    </row>
    <row r="6576">
      <c r="A6576" s="140" t="s">
        <v>1179</v>
      </c>
      <c r="B6576" s="140" t="s">
        <v>1263</v>
      </c>
      <c r="C6576" s="140" t="s">
        <v>14638</v>
      </c>
      <c r="D6576" s="140" t="s">
        <v>6318</v>
      </c>
      <c r="E6576" s="140" t="s">
        <v>1225</v>
      </c>
      <c r="F6576" s="140" t="s">
        <v>1243</v>
      </c>
      <c r="G6576" s="141" t="s">
        <v>6668</v>
      </c>
      <c r="H6576" s="140" t="s">
        <v>6330</v>
      </c>
      <c r="I6576" s="140" t="s">
        <v>6313</v>
      </c>
      <c r="J6576" s="140" t="s">
        <v>6319</v>
      </c>
      <c r="K6576" s="140" t="s">
        <v>1573</v>
      </c>
    </row>
    <row r="6577">
      <c r="A6577" s="140" t="s">
        <v>1179</v>
      </c>
      <c r="B6577" s="140" t="s">
        <v>1261</v>
      </c>
      <c r="C6577" s="140" t="s">
        <v>14639</v>
      </c>
      <c r="D6577" s="140" t="s">
        <v>6318</v>
      </c>
      <c r="E6577" s="140" t="s">
        <v>1225</v>
      </c>
      <c r="F6577" s="140" t="s">
        <v>1243</v>
      </c>
      <c r="G6577" s="141" t="s">
        <v>6664</v>
      </c>
      <c r="H6577" s="140" t="s">
        <v>6330</v>
      </c>
      <c r="I6577" s="140" t="s">
        <v>6313</v>
      </c>
      <c r="J6577" s="140" t="s">
        <v>6319</v>
      </c>
      <c r="K6577" s="140" t="s">
        <v>1573</v>
      </c>
    </row>
    <row r="6578">
      <c r="A6578" s="140" t="s">
        <v>1179</v>
      </c>
      <c r="B6578" s="140" t="s">
        <v>1265</v>
      </c>
      <c r="C6578" s="140" t="s">
        <v>14640</v>
      </c>
      <c r="D6578" s="140" t="s">
        <v>6318</v>
      </c>
      <c r="E6578" s="140" t="s">
        <v>1225</v>
      </c>
      <c r="F6578" s="140" t="s">
        <v>1243</v>
      </c>
      <c r="G6578" s="141" t="s">
        <v>6668</v>
      </c>
      <c r="H6578" s="140" t="s">
        <v>6330</v>
      </c>
      <c r="I6578" s="140" t="s">
        <v>6313</v>
      </c>
      <c r="J6578" s="140" t="s">
        <v>6319</v>
      </c>
      <c r="K6578" s="140" t="s">
        <v>1573</v>
      </c>
    </row>
    <row r="6579">
      <c r="A6579" s="140" t="s">
        <v>1179</v>
      </c>
      <c r="B6579" s="140" t="s">
        <v>1247</v>
      </c>
      <c r="C6579" s="140" t="s">
        <v>14641</v>
      </c>
      <c r="D6579" s="140" t="s">
        <v>6318</v>
      </c>
      <c r="E6579" s="140" t="s">
        <v>1225</v>
      </c>
      <c r="F6579" s="140" t="s">
        <v>1243</v>
      </c>
      <c r="G6579" s="141" t="s">
        <v>6742</v>
      </c>
      <c r="H6579" s="140" t="s">
        <v>6330</v>
      </c>
      <c r="I6579" s="140" t="s">
        <v>6313</v>
      </c>
      <c r="J6579" s="140" t="s">
        <v>6319</v>
      </c>
      <c r="K6579" s="140" t="s">
        <v>1573</v>
      </c>
    </row>
    <row r="6580">
      <c r="A6580" s="140" t="s">
        <v>1179</v>
      </c>
      <c r="B6580" s="140" t="s">
        <v>1249</v>
      </c>
      <c r="C6580" s="140" t="s">
        <v>14642</v>
      </c>
      <c r="D6580" s="140" t="s">
        <v>6318</v>
      </c>
      <c r="E6580" s="140" t="s">
        <v>1225</v>
      </c>
      <c r="F6580" s="140" t="s">
        <v>1243</v>
      </c>
      <c r="G6580" s="141" t="s">
        <v>6664</v>
      </c>
      <c r="H6580" s="140" t="s">
        <v>6330</v>
      </c>
      <c r="I6580" s="140" t="s">
        <v>6313</v>
      </c>
      <c r="J6580" s="140" t="s">
        <v>6319</v>
      </c>
      <c r="K6580" s="140" t="s">
        <v>1573</v>
      </c>
    </row>
    <row r="6581">
      <c r="A6581" s="140" t="s">
        <v>1179</v>
      </c>
      <c r="B6581" s="140" t="s">
        <v>1251</v>
      </c>
      <c r="C6581" s="140" t="s">
        <v>14643</v>
      </c>
      <c r="D6581" s="140" t="s">
        <v>6318</v>
      </c>
      <c r="E6581" s="140" t="s">
        <v>1225</v>
      </c>
      <c r="F6581" s="140" t="s">
        <v>1243</v>
      </c>
      <c r="G6581" s="141" t="s">
        <v>134</v>
      </c>
      <c r="H6581" s="140" t="s">
        <v>6330</v>
      </c>
      <c r="I6581" s="140" t="s">
        <v>6313</v>
      </c>
      <c r="J6581" s="140" t="s">
        <v>6319</v>
      </c>
      <c r="K6581" s="140" t="s">
        <v>1573</v>
      </c>
    </row>
    <row r="6582">
      <c r="A6582" s="140" t="s">
        <v>1179</v>
      </c>
      <c r="B6582" s="140" t="s">
        <v>1259</v>
      </c>
      <c r="C6582" s="140" t="s">
        <v>14644</v>
      </c>
      <c r="D6582" s="140" t="s">
        <v>6318</v>
      </c>
      <c r="E6582" s="140" t="s">
        <v>1225</v>
      </c>
      <c r="F6582" s="140" t="s">
        <v>1243</v>
      </c>
      <c r="G6582" s="141" t="s">
        <v>6664</v>
      </c>
      <c r="H6582" s="140" t="s">
        <v>6330</v>
      </c>
      <c r="I6582" s="140" t="s">
        <v>6313</v>
      </c>
      <c r="J6582" s="140" t="s">
        <v>6319</v>
      </c>
      <c r="K6582" s="140" t="s">
        <v>1573</v>
      </c>
    </row>
    <row r="6583">
      <c r="A6583" s="140" t="s">
        <v>1179</v>
      </c>
      <c r="B6583" s="140" t="s">
        <v>1253</v>
      </c>
      <c r="C6583" s="140" t="s">
        <v>14645</v>
      </c>
      <c r="D6583" s="140" t="s">
        <v>6318</v>
      </c>
      <c r="E6583" s="140" t="s">
        <v>1225</v>
      </c>
      <c r="F6583" s="140" t="s">
        <v>1243</v>
      </c>
      <c r="G6583" s="141" t="s">
        <v>6664</v>
      </c>
      <c r="H6583" s="140" t="s">
        <v>6330</v>
      </c>
      <c r="I6583" s="140" t="s">
        <v>6313</v>
      </c>
      <c r="J6583" s="140" t="s">
        <v>6319</v>
      </c>
      <c r="K6583" s="140" t="s">
        <v>1573</v>
      </c>
    </row>
    <row r="6584">
      <c r="A6584" s="140" t="s">
        <v>1179</v>
      </c>
      <c r="B6584" s="140" t="s">
        <v>1267</v>
      </c>
      <c r="C6584" s="140" t="s">
        <v>14646</v>
      </c>
      <c r="D6584" s="140" t="s">
        <v>6318</v>
      </c>
      <c r="E6584" s="140" t="s">
        <v>1225</v>
      </c>
      <c r="F6584" s="140" t="s">
        <v>1243</v>
      </c>
      <c r="G6584" s="141" t="s">
        <v>6311</v>
      </c>
      <c r="H6584" s="140" t="s">
        <v>6330</v>
      </c>
      <c r="I6584" s="140" t="s">
        <v>6527</v>
      </c>
      <c r="J6584" s="140" t="s">
        <v>6319</v>
      </c>
      <c r="K6584" s="140" t="s">
        <v>1573</v>
      </c>
    </row>
    <row r="6585">
      <c r="A6585" s="140" t="s">
        <v>1179</v>
      </c>
      <c r="B6585" s="140" t="s">
        <v>1255</v>
      </c>
      <c r="C6585" s="140" t="s">
        <v>14647</v>
      </c>
      <c r="D6585" s="140" t="s">
        <v>6318</v>
      </c>
      <c r="E6585" s="140" t="s">
        <v>1225</v>
      </c>
      <c r="F6585" s="140" t="s">
        <v>1243</v>
      </c>
      <c r="G6585" s="141" t="s">
        <v>6668</v>
      </c>
      <c r="H6585" s="140" t="s">
        <v>6330</v>
      </c>
      <c r="I6585" s="140" t="s">
        <v>6313</v>
      </c>
      <c r="J6585" s="140" t="s">
        <v>6319</v>
      </c>
      <c r="K6585" s="140" t="s">
        <v>1573</v>
      </c>
    </row>
    <row r="6586">
      <c r="A6586" s="140" t="s">
        <v>1179</v>
      </c>
      <c r="B6586" s="140" t="s">
        <v>1245</v>
      </c>
      <c r="C6586" s="140" t="s">
        <v>14648</v>
      </c>
      <c r="D6586" s="140" t="s">
        <v>6318</v>
      </c>
      <c r="E6586" s="140" t="s">
        <v>1225</v>
      </c>
      <c r="F6586" s="140" t="s">
        <v>1243</v>
      </c>
      <c r="G6586" s="141" t="s">
        <v>6668</v>
      </c>
      <c r="H6586" s="140" t="s">
        <v>6330</v>
      </c>
      <c r="I6586" s="140" t="s">
        <v>6313</v>
      </c>
      <c r="J6586" s="140" t="s">
        <v>6319</v>
      </c>
      <c r="K6586" s="140" t="s">
        <v>1573</v>
      </c>
    </row>
    <row r="6587">
      <c r="A6587" s="140" t="s">
        <v>1179</v>
      </c>
      <c r="B6587" s="140" t="s">
        <v>1257</v>
      </c>
      <c r="C6587" s="140" t="s">
        <v>14649</v>
      </c>
      <c r="D6587" s="140" t="s">
        <v>6318</v>
      </c>
      <c r="E6587" s="140" t="s">
        <v>1225</v>
      </c>
      <c r="F6587" s="140" t="s">
        <v>1243</v>
      </c>
      <c r="G6587" s="141" t="s">
        <v>6668</v>
      </c>
      <c r="H6587" s="140" t="s">
        <v>6330</v>
      </c>
      <c r="I6587" s="140" t="s">
        <v>6313</v>
      </c>
      <c r="J6587" s="140" t="s">
        <v>6319</v>
      </c>
      <c r="K6587" s="140" t="s">
        <v>1573</v>
      </c>
    </row>
    <row r="6588">
      <c r="A6588" s="140" t="s">
        <v>1179</v>
      </c>
      <c r="B6588" s="140" t="s">
        <v>14650</v>
      </c>
      <c r="C6588" s="140" t="s">
        <v>14651</v>
      </c>
      <c r="D6588" s="140" t="s">
        <v>6318</v>
      </c>
      <c r="E6588" s="140" t="s">
        <v>1225</v>
      </c>
      <c r="F6588" s="140" t="s">
        <v>1243</v>
      </c>
      <c r="G6588" s="141" t="s">
        <v>6304</v>
      </c>
      <c r="H6588" s="140" t="s">
        <v>6312</v>
      </c>
      <c r="I6588" s="140" t="s">
        <v>6527</v>
      </c>
      <c r="J6588" s="140" t="s">
        <v>6319</v>
      </c>
      <c r="K6588" s="140" t="s">
        <v>1573</v>
      </c>
    </row>
    <row r="6589">
      <c r="A6589" s="140" t="s">
        <v>1179</v>
      </c>
      <c r="B6589" s="140" t="s">
        <v>14652</v>
      </c>
      <c r="C6589" s="140" t="s">
        <v>14653</v>
      </c>
      <c r="D6589" s="140" t="s">
        <v>6318</v>
      </c>
      <c r="E6589" s="140" t="s">
        <v>1225</v>
      </c>
      <c r="F6589" s="140" t="s">
        <v>1243</v>
      </c>
      <c r="G6589" s="141" t="s">
        <v>6311</v>
      </c>
      <c r="H6589" s="140" t="s">
        <v>6312</v>
      </c>
      <c r="I6589" s="140" t="s">
        <v>6527</v>
      </c>
      <c r="J6589" s="140" t="s">
        <v>6319</v>
      </c>
      <c r="K6589" s="140" t="s">
        <v>1573</v>
      </c>
    </row>
    <row r="6590">
      <c r="A6590" s="140" t="s">
        <v>1179</v>
      </c>
      <c r="B6590" s="140" t="s">
        <v>5596</v>
      </c>
      <c r="C6590" s="140" t="s">
        <v>14654</v>
      </c>
      <c r="D6590" s="140" t="s">
        <v>6318</v>
      </c>
      <c r="E6590" s="140" t="s">
        <v>1225</v>
      </c>
      <c r="F6590" s="140" t="s">
        <v>1270</v>
      </c>
      <c r="G6590" s="141" t="s">
        <v>6304</v>
      </c>
      <c r="H6590" s="140" t="s">
        <v>6312</v>
      </c>
      <c r="I6590" s="140" t="s">
        <v>6527</v>
      </c>
      <c r="J6590" s="140" t="s">
        <v>6319</v>
      </c>
      <c r="K6590" s="140" t="s">
        <v>1573</v>
      </c>
    </row>
    <row r="6591">
      <c r="A6591" s="140" t="s">
        <v>1179</v>
      </c>
      <c r="B6591" s="143">
        <v>1.66086E12</v>
      </c>
      <c r="C6591" s="140" t="s">
        <v>14655</v>
      </c>
      <c r="D6591" s="140" t="s">
        <v>6318</v>
      </c>
      <c r="E6591" s="140" t="s">
        <v>1225</v>
      </c>
      <c r="F6591" s="140" t="s">
        <v>1270</v>
      </c>
      <c r="G6591" s="141" t="s">
        <v>6664</v>
      </c>
      <c r="H6591" s="140" t="s">
        <v>6330</v>
      </c>
      <c r="I6591" s="140" t="s">
        <v>6313</v>
      </c>
      <c r="J6591" s="140" t="s">
        <v>6319</v>
      </c>
      <c r="K6591" s="140" t="s">
        <v>1573</v>
      </c>
    </row>
    <row r="6592">
      <c r="A6592" s="140" t="s">
        <v>1179</v>
      </c>
      <c r="B6592" s="143">
        <v>1.66086E12</v>
      </c>
      <c r="C6592" s="140" t="s">
        <v>14656</v>
      </c>
      <c r="D6592" s="140" t="s">
        <v>6318</v>
      </c>
      <c r="E6592" s="140" t="s">
        <v>1225</v>
      </c>
      <c r="F6592" s="140" t="s">
        <v>1270</v>
      </c>
      <c r="G6592" s="141" t="s">
        <v>6664</v>
      </c>
      <c r="H6592" s="140" t="s">
        <v>6330</v>
      </c>
      <c r="I6592" s="140" t="s">
        <v>6313</v>
      </c>
      <c r="J6592" s="140" t="s">
        <v>6319</v>
      </c>
      <c r="K6592" s="140" t="s">
        <v>1573</v>
      </c>
    </row>
    <row r="6593">
      <c r="A6593" s="140" t="s">
        <v>1179</v>
      </c>
      <c r="B6593" s="140" t="s">
        <v>1274</v>
      </c>
      <c r="C6593" s="140" t="s">
        <v>14657</v>
      </c>
      <c r="D6593" s="140" t="s">
        <v>6318</v>
      </c>
      <c r="E6593" s="140" t="s">
        <v>1225</v>
      </c>
      <c r="F6593" s="140" t="s">
        <v>1270</v>
      </c>
      <c r="G6593" s="141" t="s">
        <v>6664</v>
      </c>
      <c r="H6593" s="140" t="s">
        <v>6330</v>
      </c>
      <c r="I6593" s="140" t="s">
        <v>6313</v>
      </c>
      <c r="J6593" s="140" t="s">
        <v>6319</v>
      </c>
      <c r="K6593" s="140" t="s">
        <v>1573</v>
      </c>
    </row>
    <row r="6594">
      <c r="A6594" s="140" t="s">
        <v>1179</v>
      </c>
      <c r="B6594" s="140" t="s">
        <v>14658</v>
      </c>
      <c r="C6594" s="140" t="s">
        <v>14659</v>
      </c>
      <c r="D6594" s="140" t="s">
        <v>6318</v>
      </c>
      <c r="E6594" s="140" t="s">
        <v>1225</v>
      </c>
      <c r="F6594" s="140" t="s">
        <v>1275</v>
      </c>
      <c r="G6594" s="141" t="s">
        <v>6304</v>
      </c>
      <c r="H6594" s="140" t="s">
        <v>6312</v>
      </c>
      <c r="I6594" s="140" t="s">
        <v>6527</v>
      </c>
      <c r="J6594" s="140" t="s">
        <v>6319</v>
      </c>
      <c r="K6594" s="140" t="s">
        <v>1573</v>
      </c>
    </row>
    <row r="6595">
      <c r="A6595" s="140" t="s">
        <v>1179</v>
      </c>
      <c r="B6595" s="140" t="s">
        <v>1281</v>
      </c>
      <c r="C6595" s="140" t="s">
        <v>14660</v>
      </c>
      <c r="D6595" s="140" t="s">
        <v>6318</v>
      </c>
      <c r="E6595" s="140" t="s">
        <v>1225</v>
      </c>
      <c r="F6595" s="140" t="s">
        <v>1275</v>
      </c>
      <c r="G6595" s="141" t="s">
        <v>134</v>
      </c>
      <c r="H6595" s="140" t="s">
        <v>6312</v>
      </c>
      <c r="I6595" s="140" t="s">
        <v>6313</v>
      </c>
      <c r="J6595" s="140" t="s">
        <v>6319</v>
      </c>
      <c r="K6595" s="140" t="s">
        <v>1573</v>
      </c>
    </row>
    <row r="6596">
      <c r="A6596" s="140" t="s">
        <v>1179</v>
      </c>
      <c r="B6596" s="140" t="s">
        <v>1277</v>
      </c>
      <c r="C6596" s="140" t="s">
        <v>2099</v>
      </c>
      <c r="D6596" s="140" t="s">
        <v>6318</v>
      </c>
      <c r="E6596" s="140" t="s">
        <v>1225</v>
      </c>
      <c r="F6596" s="140" t="s">
        <v>1275</v>
      </c>
      <c r="G6596" s="141" t="s">
        <v>134</v>
      </c>
      <c r="H6596" s="140" t="s">
        <v>6312</v>
      </c>
      <c r="I6596" s="140" t="s">
        <v>6313</v>
      </c>
      <c r="J6596" s="140" t="s">
        <v>6319</v>
      </c>
      <c r="K6596" s="140" t="s">
        <v>1573</v>
      </c>
    </row>
    <row r="6597">
      <c r="A6597" s="140" t="s">
        <v>1179</v>
      </c>
      <c r="B6597" s="140" t="s">
        <v>1279</v>
      </c>
      <c r="C6597" s="140" t="s">
        <v>14661</v>
      </c>
      <c r="D6597" s="140" t="s">
        <v>6318</v>
      </c>
      <c r="E6597" s="140" t="s">
        <v>1225</v>
      </c>
      <c r="F6597" s="140" t="s">
        <v>1275</v>
      </c>
      <c r="G6597" s="141" t="s">
        <v>134</v>
      </c>
      <c r="H6597" s="140" t="s">
        <v>6312</v>
      </c>
      <c r="I6597" s="145" t="s">
        <v>6313</v>
      </c>
      <c r="J6597" s="140" t="s">
        <v>6319</v>
      </c>
      <c r="K6597" s="140" t="s">
        <v>1573</v>
      </c>
    </row>
    <row r="6598">
      <c r="A6598" s="140" t="s">
        <v>1179</v>
      </c>
      <c r="B6598" s="140" t="s">
        <v>14662</v>
      </c>
      <c r="C6598" s="140" t="s">
        <v>14663</v>
      </c>
      <c r="D6598" s="140" t="s">
        <v>6318</v>
      </c>
      <c r="E6598" s="140" t="s">
        <v>1225</v>
      </c>
      <c r="F6598" s="140" t="s">
        <v>1275</v>
      </c>
      <c r="G6598" s="141" t="s">
        <v>6304</v>
      </c>
      <c r="H6598" s="140" t="s">
        <v>6312</v>
      </c>
      <c r="I6598" s="140" t="s">
        <v>6527</v>
      </c>
      <c r="J6598" s="140" t="s">
        <v>6319</v>
      </c>
      <c r="K6598" s="140" t="s">
        <v>1573</v>
      </c>
    </row>
    <row r="6599">
      <c r="A6599" s="140" t="s">
        <v>1179</v>
      </c>
      <c r="B6599" s="140" t="s">
        <v>14664</v>
      </c>
      <c r="C6599" s="140" t="s">
        <v>14665</v>
      </c>
      <c r="D6599" s="140" t="s">
        <v>6318</v>
      </c>
      <c r="E6599" s="140" t="s">
        <v>1225</v>
      </c>
      <c r="F6599" s="140" t="s">
        <v>1275</v>
      </c>
      <c r="G6599" s="141" t="s">
        <v>6304</v>
      </c>
      <c r="H6599" s="140" t="s">
        <v>6330</v>
      </c>
      <c r="I6599" s="140" t="s">
        <v>6527</v>
      </c>
      <c r="J6599" s="140" t="s">
        <v>6319</v>
      </c>
      <c r="K6599" s="140" t="s">
        <v>1573</v>
      </c>
    </row>
    <row r="6600">
      <c r="A6600" s="140" t="s">
        <v>1179</v>
      </c>
      <c r="B6600" s="140" t="s">
        <v>14666</v>
      </c>
      <c r="C6600" s="140" t="s">
        <v>14667</v>
      </c>
      <c r="D6600" s="140" t="s">
        <v>6318</v>
      </c>
      <c r="E6600" s="140" t="s">
        <v>1225</v>
      </c>
      <c r="F6600" s="140" t="s">
        <v>1275</v>
      </c>
      <c r="G6600" s="141" t="s">
        <v>6304</v>
      </c>
      <c r="H6600" s="140" t="s">
        <v>6330</v>
      </c>
      <c r="I6600" s="140" t="s">
        <v>6527</v>
      </c>
      <c r="J6600" s="140" t="s">
        <v>6319</v>
      </c>
      <c r="K6600" s="140" t="s">
        <v>1573</v>
      </c>
    </row>
    <row r="6601">
      <c r="A6601" s="140" t="s">
        <v>1179</v>
      </c>
      <c r="B6601" s="143">
        <v>1.63596E12</v>
      </c>
      <c r="C6601" s="140" t="s">
        <v>2100</v>
      </c>
      <c r="D6601" s="140" t="s">
        <v>6318</v>
      </c>
      <c r="E6601" s="140" t="s">
        <v>1225</v>
      </c>
      <c r="F6601" s="140" t="s">
        <v>1275</v>
      </c>
      <c r="G6601" s="141" t="s">
        <v>6742</v>
      </c>
      <c r="H6601" s="140" t="s">
        <v>6330</v>
      </c>
      <c r="I6601" s="140" t="s">
        <v>6313</v>
      </c>
      <c r="J6601" s="140" t="s">
        <v>6319</v>
      </c>
      <c r="K6601" s="140" t="s">
        <v>1573</v>
      </c>
    </row>
    <row r="6602">
      <c r="A6602" s="140" t="s">
        <v>1179</v>
      </c>
      <c r="B6602" s="143">
        <v>1.63596E12</v>
      </c>
      <c r="C6602" s="140" t="s">
        <v>2102</v>
      </c>
      <c r="D6602" s="140" t="s">
        <v>6318</v>
      </c>
      <c r="E6602" s="140" t="s">
        <v>1225</v>
      </c>
      <c r="F6602" s="140" t="s">
        <v>1275</v>
      </c>
      <c r="G6602" s="141" t="s">
        <v>6401</v>
      </c>
      <c r="H6602" s="140" t="s">
        <v>6330</v>
      </c>
      <c r="I6602" s="140" t="s">
        <v>6313</v>
      </c>
      <c r="J6602" s="140" t="s">
        <v>6319</v>
      </c>
      <c r="K6602" s="140" t="s">
        <v>1573</v>
      </c>
    </row>
    <row r="6603">
      <c r="A6603" s="140" t="s">
        <v>1179</v>
      </c>
      <c r="B6603" s="140" t="s">
        <v>1285</v>
      </c>
      <c r="C6603" s="140" t="s">
        <v>14668</v>
      </c>
      <c r="D6603" s="140" t="s">
        <v>6318</v>
      </c>
      <c r="E6603" s="140" t="s">
        <v>1225</v>
      </c>
      <c r="F6603" s="140" t="s">
        <v>1275</v>
      </c>
      <c r="G6603" s="141" t="s">
        <v>134</v>
      </c>
      <c r="H6603" s="140" t="s">
        <v>6312</v>
      </c>
      <c r="I6603" s="140" t="s">
        <v>6313</v>
      </c>
      <c r="J6603" s="140" t="s">
        <v>6319</v>
      </c>
      <c r="K6603" s="140" t="s">
        <v>1573</v>
      </c>
    </row>
    <row r="6604">
      <c r="A6604" s="140" t="s">
        <v>1179</v>
      </c>
      <c r="B6604" s="140" t="s">
        <v>14669</v>
      </c>
      <c r="C6604" s="140" t="s">
        <v>14670</v>
      </c>
      <c r="D6604" s="140" t="s">
        <v>6318</v>
      </c>
      <c r="E6604" s="140" t="s">
        <v>1225</v>
      </c>
      <c r="F6604" s="140" t="s">
        <v>1275</v>
      </c>
      <c r="G6604" s="141" t="s">
        <v>6304</v>
      </c>
      <c r="H6604" s="140" t="s">
        <v>6330</v>
      </c>
      <c r="I6604" s="140" t="s">
        <v>6527</v>
      </c>
      <c r="J6604" s="140" t="s">
        <v>6319</v>
      </c>
      <c r="K6604" s="140" t="s">
        <v>1573</v>
      </c>
    </row>
    <row r="6605">
      <c r="A6605" s="140" t="s">
        <v>1179</v>
      </c>
      <c r="B6605" s="140" t="s">
        <v>2983</v>
      </c>
      <c r="C6605" s="140" t="s">
        <v>14671</v>
      </c>
      <c r="D6605" s="140" t="s">
        <v>6318</v>
      </c>
      <c r="E6605" s="140" t="s">
        <v>1225</v>
      </c>
      <c r="F6605" s="140" t="s">
        <v>1286</v>
      </c>
      <c r="G6605" s="141" t="s">
        <v>6304</v>
      </c>
      <c r="H6605" s="140" t="s">
        <v>6312</v>
      </c>
      <c r="I6605" s="140" t="s">
        <v>6527</v>
      </c>
      <c r="J6605" s="140" t="s">
        <v>6319</v>
      </c>
      <c r="K6605" s="140" t="s">
        <v>1573</v>
      </c>
    </row>
    <row r="6606">
      <c r="A6606" s="140" t="s">
        <v>1179</v>
      </c>
      <c r="B6606" s="140" t="s">
        <v>2981</v>
      </c>
      <c r="C6606" s="140" t="s">
        <v>14672</v>
      </c>
      <c r="D6606" s="140" t="s">
        <v>6318</v>
      </c>
      <c r="E6606" s="140" t="s">
        <v>1225</v>
      </c>
      <c r="F6606" s="140" t="s">
        <v>1286</v>
      </c>
      <c r="G6606" s="141" t="s">
        <v>6304</v>
      </c>
      <c r="H6606" s="140" t="s">
        <v>6312</v>
      </c>
      <c r="I6606" s="140" t="s">
        <v>6527</v>
      </c>
      <c r="J6606" s="140" t="s">
        <v>6319</v>
      </c>
      <c r="K6606" s="140" t="s">
        <v>1573</v>
      </c>
    </row>
    <row r="6607">
      <c r="A6607" s="140" t="s">
        <v>1179</v>
      </c>
      <c r="B6607" s="140" t="s">
        <v>2979</v>
      </c>
      <c r="C6607" s="140" t="s">
        <v>14673</v>
      </c>
      <c r="D6607" s="140" t="s">
        <v>6318</v>
      </c>
      <c r="E6607" s="140" t="s">
        <v>1225</v>
      </c>
      <c r="F6607" s="140" t="s">
        <v>1286</v>
      </c>
      <c r="G6607" s="141" t="s">
        <v>6304</v>
      </c>
      <c r="H6607" s="140" t="s">
        <v>6312</v>
      </c>
      <c r="I6607" s="140" t="s">
        <v>6527</v>
      </c>
      <c r="J6607" s="140" t="s">
        <v>6319</v>
      </c>
      <c r="K6607" s="140" t="s">
        <v>1573</v>
      </c>
    </row>
    <row r="6608">
      <c r="A6608" s="140" t="s">
        <v>1179</v>
      </c>
      <c r="B6608" s="143">
        <v>6.81423E13</v>
      </c>
      <c r="C6608" s="140" t="s">
        <v>14674</v>
      </c>
      <c r="D6608" s="140" t="s">
        <v>6318</v>
      </c>
      <c r="E6608" s="140" t="s">
        <v>1225</v>
      </c>
      <c r="F6608" s="140" t="s">
        <v>1286</v>
      </c>
      <c r="G6608" s="141" t="s">
        <v>6742</v>
      </c>
      <c r="H6608" s="140" t="s">
        <v>6312</v>
      </c>
      <c r="I6608" s="140" t="s">
        <v>6313</v>
      </c>
      <c r="J6608" s="140" t="s">
        <v>6319</v>
      </c>
      <c r="K6608" s="140" t="s">
        <v>1573</v>
      </c>
    </row>
    <row r="6609">
      <c r="A6609" s="140" t="s">
        <v>1179</v>
      </c>
      <c r="B6609" s="143">
        <v>6.81423E13</v>
      </c>
      <c r="C6609" s="140" t="s">
        <v>1289</v>
      </c>
      <c r="D6609" s="140" t="s">
        <v>6318</v>
      </c>
      <c r="E6609" s="140" t="s">
        <v>1225</v>
      </c>
      <c r="F6609" s="140" t="s">
        <v>1286</v>
      </c>
      <c r="G6609" s="141" t="s">
        <v>6401</v>
      </c>
      <c r="H6609" s="140" t="s">
        <v>6312</v>
      </c>
      <c r="I6609" s="140" t="s">
        <v>6313</v>
      </c>
      <c r="J6609" s="140" t="s">
        <v>6319</v>
      </c>
      <c r="K6609" s="140" t="s">
        <v>1573</v>
      </c>
    </row>
    <row r="6610">
      <c r="A6610" s="140" t="s">
        <v>1179</v>
      </c>
      <c r="B6610" s="140" t="s">
        <v>14675</v>
      </c>
      <c r="C6610" s="140" t="s">
        <v>14676</v>
      </c>
      <c r="D6610" s="140" t="s">
        <v>6318</v>
      </c>
      <c r="E6610" s="140" t="s">
        <v>1225</v>
      </c>
      <c r="F6610" s="140" t="s">
        <v>1286</v>
      </c>
      <c r="G6610" s="141" t="s">
        <v>6304</v>
      </c>
      <c r="H6610" s="140" t="s">
        <v>6312</v>
      </c>
      <c r="I6610" s="140" t="s">
        <v>6527</v>
      </c>
      <c r="J6610" s="140" t="s">
        <v>6319</v>
      </c>
      <c r="K6610" s="140" t="s">
        <v>1573</v>
      </c>
    </row>
    <row r="6611">
      <c r="A6611" s="140" t="s">
        <v>1179</v>
      </c>
      <c r="B6611" s="140" t="s">
        <v>14677</v>
      </c>
      <c r="C6611" s="140" t="s">
        <v>14678</v>
      </c>
      <c r="D6611" s="140" t="s">
        <v>6318</v>
      </c>
      <c r="E6611" s="140" t="s">
        <v>1225</v>
      </c>
      <c r="F6611" s="140" t="s">
        <v>1286</v>
      </c>
      <c r="G6611" s="141" t="s">
        <v>6304</v>
      </c>
      <c r="H6611" s="140" t="s">
        <v>6312</v>
      </c>
      <c r="I6611" s="140" t="s">
        <v>6527</v>
      </c>
      <c r="J6611" s="140" t="s">
        <v>6319</v>
      </c>
      <c r="K6611" s="140" t="s">
        <v>1573</v>
      </c>
    </row>
    <row r="6612">
      <c r="A6612" s="140" t="s">
        <v>1179</v>
      </c>
      <c r="B6612" s="143">
        <v>6.81423E13</v>
      </c>
      <c r="C6612" s="140" t="s">
        <v>14679</v>
      </c>
      <c r="D6612" s="140" t="s">
        <v>6318</v>
      </c>
      <c r="E6612" s="140" t="s">
        <v>1225</v>
      </c>
      <c r="F6612" s="140" t="s">
        <v>1286</v>
      </c>
      <c r="G6612" s="141" t="s">
        <v>134</v>
      </c>
      <c r="H6612" s="140" t="s">
        <v>6312</v>
      </c>
      <c r="I6612" s="140" t="s">
        <v>6313</v>
      </c>
      <c r="J6612" s="140" t="s">
        <v>6319</v>
      </c>
      <c r="K6612" s="140" t="s">
        <v>1573</v>
      </c>
    </row>
    <row r="6613">
      <c r="A6613" s="140" t="s">
        <v>1179</v>
      </c>
      <c r="B6613" s="143">
        <v>6.68005E13</v>
      </c>
      <c r="C6613" s="140" t="s">
        <v>2106</v>
      </c>
      <c r="D6613" s="140" t="s">
        <v>6318</v>
      </c>
      <c r="E6613" s="140" t="s">
        <v>1225</v>
      </c>
      <c r="F6613" s="140" t="s">
        <v>1286</v>
      </c>
      <c r="G6613" s="141" t="s">
        <v>134</v>
      </c>
      <c r="H6613" s="140" t="s">
        <v>6312</v>
      </c>
      <c r="I6613" s="140" t="s">
        <v>6313</v>
      </c>
      <c r="J6613" s="140" t="s">
        <v>6319</v>
      </c>
      <c r="K6613" s="140" t="s">
        <v>1573</v>
      </c>
    </row>
    <row r="6614">
      <c r="A6614" s="140" t="s">
        <v>1179</v>
      </c>
      <c r="B6614" s="143">
        <v>6.68005E13</v>
      </c>
      <c r="C6614" s="140" t="s">
        <v>2107</v>
      </c>
      <c r="D6614" s="140" t="s">
        <v>6318</v>
      </c>
      <c r="E6614" s="140" t="s">
        <v>1225</v>
      </c>
      <c r="F6614" s="140" t="s">
        <v>1286</v>
      </c>
      <c r="G6614" s="141" t="s">
        <v>134</v>
      </c>
      <c r="H6614" s="140" t="s">
        <v>6312</v>
      </c>
      <c r="I6614" s="140" t="s">
        <v>6313</v>
      </c>
      <c r="J6614" s="140" t="s">
        <v>6319</v>
      </c>
      <c r="K6614" s="140" t="s">
        <v>1573</v>
      </c>
    </row>
    <row r="6615">
      <c r="A6615" s="140" t="s">
        <v>1179</v>
      </c>
      <c r="B6615" s="140" t="s">
        <v>14680</v>
      </c>
      <c r="C6615" s="140" t="s">
        <v>14681</v>
      </c>
      <c r="D6615" s="140" t="s">
        <v>6318</v>
      </c>
      <c r="E6615" s="140" t="s">
        <v>1225</v>
      </c>
      <c r="F6615" s="140" t="s">
        <v>1286</v>
      </c>
      <c r="G6615" s="141" t="s">
        <v>6304</v>
      </c>
      <c r="H6615" s="140" t="s">
        <v>6312</v>
      </c>
      <c r="I6615" s="140" t="s">
        <v>6527</v>
      </c>
      <c r="J6615" s="140" t="s">
        <v>6319</v>
      </c>
      <c r="K6615" s="140" t="s">
        <v>1573</v>
      </c>
    </row>
    <row r="6616">
      <c r="A6616" s="140" t="s">
        <v>1179</v>
      </c>
      <c r="B6616" s="143">
        <v>6.68005E13</v>
      </c>
      <c r="C6616" s="140" t="s">
        <v>2108</v>
      </c>
      <c r="D6616" s="140" t="s">
        <v>6318</v>
      </c>
      <c r="E6616" s="140" t="s">
        <v>1225</v>
      </c>
      <c r="F6616" s="140" t="s">
        <v>1286</v>
      </c>
      <c r="G6616" s="141" t="s">
        <v>134</v>
      </c>
      <c r="H6616" s="140" t="s">
        <v>6312</v>
      </c>
      <c r="I6616" s="140" t="s">
        <v>6313</v>
      </c>
      <c r="J6616" s="140" t="s">
        <v>6319</v>
      </c>
      <c r="K6616" s="140" t="s">
        <v>1573</v>
      </c>
    </row>
    <row r="6617">
      <c r="A6617" s="140" t="s">
        <v>1179</v>
      </c>
      <c r="B6617" s="143">
        <v>1.63949E12</v>
      </c>
      <c r="C6617" s="140" t="s">
        <v>2111</v>
      </c>
      <c r="D6617" s="140" t="s">
        <v>6318</v>
      </c>
      <c r="E6617" s="140" t="s">
        <v>1225</v>
      </c>
      <c r="F6617" s="140" t="s">
        <v>1293</v>
      </c>
      <c r="G6617" s="141" t="s">
        <v>6742</v>
      </c>
      <c r="H6617" s="140" t="s">
        <v>6330</v>
      </c>
      <c r="I6617" s="140" t="s">
        <v>6313</v>
      </c>
      <c r="J6617" s="140" t="s">
        <v>6319</v>
      </c>
      <c r="K6617" s="140" t="s">
        <v>1573</v>
      </c>
    </row>
    <row r="6618">
      <c r="A6618" s="140" t="s">
        <v>1179</v>
      </c>
      <c r="B6618" s="143">
        <v>1.66086E12</v>
      </c>
      <c r="C6618" s="140" t="s">
        <v>2109</v>
      </c>
      <c r="D6618" s="140" t="s">
        <v>6318</v>
      </c>
      <c r="E6618" s="140" t="s">
        <v>1225</v>
      </c>
      <c r="F6618" s="140" t="s">
        <v>1293</v>
      </c>
      <c r="G6618" s="141" t="s">
        <v>6664</v>
      </c>
      <c r="H6618" s="140" t="s">
        <v>6330</v>
      </c>
      <c r="I6618" s="140" t="s">
        <v>6313</v>
      </c>
      <c r="J6618" s="140" t="s">
        <v>6319</v>
      </c>
      <c r="K6618" s="140" t="s">
        <v>1573</v>
      </c>
    </row>
    <row r="6619">
      <c r="A6619" s="140" t="s">
        <v>1179</v>
      </c>
      <c r="B6619" s="140" t="s">
        <v>14682</v>
      </c>
      <c r="C6619" s="140" t="s">
        <v>14683</v>
      </c>
      <c r="D6619" s="140" t="s">
        <v>6318</v>
      </c>
      <c r="E6619" s="140" t="s">
        <v>1225</v>
      </c>
      <c r="F6619" s="140" t="s">
        <v>1293</v>
      </c>
      <c r="G6619" s="141" t="s">
        <v>6304</v>
      </c>
      <c r="H6619" s="140" t="s">
        <v>6312</v>
      </c>
      <c r="I6619" s="140" t="s">
        <v>6527</v>
      </c>
      <c r="J6619" s="140" t="s">
        <v>6319</v>
      </c>
      <c r="K6619" s="140" t="s">
        <v>1573</v>
      </c>
    </row>
    <row r="6620">
      <c r="A6620" s="140" t="s">
        <v>1179</v>
      </c>
      <c r="B6620" s="143">
        <v>1.66189E12</v>
      </c>
      <c r="C6620" s="140" t="s">
        <v>14684</v>
      </c>
      <c r="D6620" s="140" t="s">
        <v>6318</v>
      </c>
      <c r="E6620" s="140" t="s">
        <v>1225</v>
      </c>
      <c r="F6620" s="140" t="s">
        <v>1293</v>
      </c>
      <c r="G6620" s="141" t="s">
        <v>6304</v>
      </c>
      <c r="H6620" s="140" t="s">
        <v>6312</v>
      </c>
      <c r="I6620" s="140" t="s">
        <v>6527</v>
      </c>
      <c r="J6620" s="140" t="s">
        <v>6319</v>
      </c>
      <c r="K6620" s="140" t="s">
        <v>1573</v>
      </c>
    </row>
    <row r="6621">
      <c r="A6621" s="140" t="s">
        <v>1179</v>
      </c>
      <c r="B6621" s="143">
        <v>1.66189E12</v>
      </c>
      <c r="C6621" s="140" t="s">
        <v>14685</v>
      </c>
      <c r="D6621" s="140" t="s">
        <v>6318</v>
      </c>
      <c r="E6621" s="140" t="s">
        <v>1225</v>
      </c>
      <c r="F6621" s="140" t="s">
        <v>1293</v>
      </c>
      <c r="G6621" s="141" t="s">
        <v>6304</v>
      </c>
      <c r="H6621" s="140" t="s">
        <v>6312</v>
      </c>
      <c r="I6621" s="140" t="s">
        <v>6527</v>
      </c>
      <c r="J6621" s="140" t="s">
        <v>6319</v>
      </c>
      <c r="K6621" s="140" t="s">
        <v>1573</v>
      </c>
    </row>
    <row r="6622">
      <c r="A6622" s="140" t="s">
        <v>1179</v>
      </c>
      <c r="B6622" s="140" t="s">
        <v>14686</v>
      </c>
      <c r="C6622" s="140" t="s">
        <v>14685</v>
      </c>
      <c r="D6622" s="140" t="s">
        <v>6318</v>
      </c>
      <c r="E6622" s="140" t="s">
        <v>1225</v>
      </c>
      <c r="F6622" s="140" t="s">
        <v>1293</v>
      </c>
      <c r="G6622" s="141" t="s">
        <v>6304</v>
      </c>
      <c r="H6622" s="140" t="s">
        <v>6312</v>
      </c>
      <c r="I6622" s="140" t="s">
        <v>6527</v>
      </c>
      <c r="J6622" s="140" t="s">
        <v>6319</v>
      </c>
      <c r="K6622" s="140" t="s">
        <v>1573</v>
      </c>
    </row>
    <row r="6623">
      <c r="A6623" s="140" t="s">
        <v>1179</v>
      </c>
      <c r="B6623" s="143">
        <v>1.62973E12</v>
      </c>
      <c r="C6623" s="140" t="s">
        <v>14687</v>
      </c>
      <c r="D6623" s="140" t="s">
        <v>6318</v>
      </c>
      <c r="E6623" s="140" t="s">
        <v>1225</v>
      </c>
      <c r="F6623" s="140" t="s">
        <v>1293</v>
      </c>
      <c r="G6623" s="141" t="s">
        <v>6668</v>
      </c>
      <c r="H6623" s="140" t="s">
        <v>6330</v>
      </c>
      <c r="I6623" s="140" t="s">
        <v>6313</v>
      </c>
      <c r="J6623" s="140" t="s">
        <v>6319</v>
      </c>
      <c r="K6623" s="140" t="s">
        <v>1573</v>
      </c>
    </row>
    <row r="6624">
      <c r="A6624" s="140" t="s">
        <v>1179</v>
      </c>
      <c r="B6624" s="143">
        <v>1.62973E12</v>
      </c>
      <c r="C6624" s="140" t="s">
        <v>14688</v>
      </c>
      <c r="D6624" s="140" t="s">
        <v>6318</v>
      </c>
      <c r="E6624" s="140" t="s">
        <v>1225</v>
      </c>
      <c r="F6624" s="140" t="s">
        <v>1293</v>
      </c>
      <c r="G6624" s="141" t="s">
        <v>6668</v>
      </c>
      <c r="H6624" s="140" t="s">
        <v>6330</v>
      </c>
      <c r="I6624" s="140" t="s">
        <v>6313</v>
      </c>
      <c r="J6624" s="140" t="s">
        <v>6319</v>
      </c>
      <c r="K6624" s="140" t="s">
        <v>1573</v>
      </c>
    </row>
    <row r="6625">
      <c r="A6625" s="140" t="s">
        <v>1179</v>
      </c>
      <c r="B6625" s="143">
        <v>1.66086E12</v>
      </c>
      <c r="C6625" s="140" t="s">
        <v>14689</v>
      </c>
      <c r="D6625" s="140" t="s">
        <v>6318</v>
      </c>
      <c r="E6625" s="140" t="s">
        <v>1225</v>
      </c>
      <c r="F6625" s="140" t="s">
        <v>1293</v>
      </c>
      <c r="G6625" s="141" t="s">
        <v>134</v>
      </c>
      <c r="H6625" s="140" t="s">
        <v>6312</v>
      </c>
      <c r="I6625" s="140" t="s">
        <v>6313</v>
      </c>
      <c r="J6625" s="140" t="s">
        <v>6319</v>
      </c>
      <c r="K6625" s="140" t="s">
        <v>1573</v>
      </c>
    </row>
    <row r="6626">
      <c r="A6626" s="140" t="s">
        <v>1179</v>
      </c>
      <c r="B6626" s="140" t="s">
        <v>1300</v>
      </c>
      <c r="C6626" s="140" t="s">
        <v>14690</v>
      </c>
      <c r="D6626" s="140" t="s">
        <v>6318</v>
      </c>
      <c r="E6626" s="140" t="s">
        <v>1225</v>
      </c>
      <c r="F6626" s="140" t="s">
        <v>1293</v>
      </c>
      <c r="G6626" s="141" t="s">
        <v>6664</v>
      </c>
      <c r="H6626" s="140" t="s">
        <v>6330</v>
      </c>
      <c r="I6626" s="140" t="s">
        <v>6313</v>
      </c>
      <c r="J6626" s="140" t="s">
        <v>6319</v>
      </c>
      <c r="K6626" s="140" t="s">
        <v>1573</v>
      </c>
    </row>
    <row r="6627">
      <c r="A6627" s="140" t="s">
        <v>1179</v>
      </c>
      <c r="B6627" s="140" t="s">
        <v>14691</v>
      </c>
      <c r="C6627" s="140" t="s">
        <v>14692</v>
      </c>
      <c r="D6627" s="140" t="s">
        <v>6318</v>
      </c>
      <c r="E6627" s="140" t="s">
        <v>1225</v>
      </c>
      <c r="F6627" s="140" t="s">
        <v>6362</v>
      </c>
      <c r="G6627" s="141" t="s">
        <v>6401</v>
      </c>
      <c r="H6627" s="140" t="s">
        <v>6312</v>
      </c>
      <c r="I6627" s="140" t="s">
        <v>6313</v>
      </c>
      <c r="J6627" s="140" t="s">
        <v>6319</v>
      </c>
      <c r="K6627" s="140" t="s">
        <v>1573</v>
      </c>
    </row>
    <row r="6628">
      <c r="A6628" s="140" t="s">
        <v>1179</v>
      </c>
      <c r="B6628" s="140" t="s">
        <v>14693</v>
      </c>
      <c r="C6628" s="140" t="s">
        <v>14694</v>
      </c>
      <c r="D6628" s="140" t="s">
        <v>6318</v>
      </c>
      <c r="E6628" s="140" t="s">
        <v>1301</v>
      </c>
      <c r="F6628" s="140" t="s">
        <v>1302</v>
      </c>
      <c r="G6628" s="141" t="s">
        <v>6304</v>
      </c>
      <c r="H6628" s="140" t="s">
        <v>6312</v>
      </c>
      <c r="I6628" s="140" t="s">
        <v>6527</v>
      </c>
      <c r="J6628" s="140" t="s">
        <v>6319</v>
      </c>
      <c r="K6628" s="140" t="s">
        <v>1573</v>
      </c>
    </row>
    <row r="6629">
      <c r="A6629" s="140" t="s">
        <v>1179</v>
      </c>
      <c r="B6629" s="140" t="s">
        <v>14695</v>
      </c>
      <c r="C6629" s="140" t="s">
        <v>14696</v>
      </c>
      <c r="D6629" s="140" t="s">
        <v>6318</v>
      </c>
      <c r="E6629" s="140" t="s">
        <v>1301</v>
      </c>
      <c r="F6629" s="140" t="s">
        <v>1302</v>
      </c>
      <c r="G6629" s="141" t="s">
        <v>6304</v>
      </c>
      <c r="H6629" s="140" t="s">
        <v>6312</v>
      </c>
      <c r="I6629" s="140" t="s">
        <v>6527</v>
      </c>
      <c r="J6629" s="140" t="s">
        <v>6319</v>
      </c>
      <c r="K6629" s="140" t="s">
        <v>1573</v>
      </c>
    </row>
    <row r="6630">
      <c r="A6630" s="140" t="s">
        <v>1179</v>
      </c>
      <c r="B6630" s="140" t="s">
        <v>14697</v>
      </c>
      <c r="C6630" s="140" t="s">
        <v>14698</v>
      </c>
      <c r="D6630" s="140" t="s">
        <v>6318</v>
      </c>
      <c r="E6630" s="140" t="s">
        <v>1301</v>
      </c>
      <c r="F6630" s="140" t="s">
        <v>1302</v>
      </c>
      <c r="G6630" s="141" t="s">
        <v>6304</v>
      </c>
      <c r="H6630" s="140" t="s">
        <v>6312</v>
      </c>
      <c r="I6630" s="140" t="s">
        <v>6527</v>
      </c>
      <c r="J6630" s="140" t="s">
        <v>6319</v>
      </c>
      <c r="K6630" s="140" t="s">
        <v>1573</v>
      </c>
    </row>
    <row r="6631">
      <c r="A6631" s="140" t="s">
        <v>1179</v>
      </c>
      <c r="B6631" s="140" t="s">
        <v>14699</v>
      </c>
      <c r="C6631" s="140" t="s">
        <v>14700</v>
      </c>
      <c r="D6631" s="140" t="s">
        <v>6318</v>
      </c>
      <c r="E6631" s="140" t="s">
        <v>1301</v>
      </c>
      <c r="F6631" s="140" t="s">
        <v>1302</v>
      </c>
      <c r="G6631" s="141" t="s">
        <v>6304</v>
      </c>
      <c r="H6631" s="140" t="s">
        <v>6312</v>
      </c>
      <c r="I6631" s="140" t="s">
        <v>6527</v>
      </c>
      <c r="J6631" s="140" t="s">
        <v>6319</v>
      </c>
      <c r="K6631" s="140" t="s">
        <v>1573</v>
      </c>
    </row>
    <row r="6632">
      <c r="A6632" s="140" t="s">
        <v>1179</v>
      </c>
      <c r="B6632" s="140" t="s">
        <v>14701</v>
      </c>
      <c r="C6632" s="140" t="s">
        <v>14702</v>
      </c>
      <c r="D6632" s="140" t="s">
        <v>6318</v>
      </c>
      <c r="E6632" s="140" t="s">
        <v>1301</v>
      </c>
      <c r="F6632" s="140" t="s">
        <v>1302</v>
      </c>
      <c r="G6632" s="141" t="s">
        <v>6304</v>
      </c>
      <c r="H6632" s="140" t="s">
        <v>6312</v>
      </c>
      <c r="I6632" s="140" t="s">
        <v>6527</v>
      </c>
      <c r="J6632" s="140" t="s">
        <v>6319</v>
      </c>
      <c r="K6632" s="140" t="s">
        <v>1573</v>
      </c>
    </row>
    <row r="6633">
      <c r="A6633" s="140" t="s">
        <v>1179</v>
      </c>
      <c r="B6633" s="140" t="s">
        <v>14703</v>
      </c>
      <c r="C6633" s="140" t="s">
        <v>14704</v>
      </c>
      <c r="D6633" s="140" t="s">
        <v>6318</v>
      </c>
      <c r="E6633" s="140" t="s">
        <v>1301</v>
      </c>
      <c r="F6633" s="140" t="s">
        <v>1302</v>
      </c>
      <c r="G6633" s="141" t="s">
        <v>6304</v>
      </c>
      <c r="H6633" s="140" t="s">
        <v>6312</v>
      </c>
      <c r="I6633" s="140" t="s">
        <v>6527</v>
      </c>
      <c r="J6633" s="140" t="s">
        <v>6319</v>
      </c>
      <c r="K6633" s="140" t="s">
        <v>1573</v>
      </c>
    </row>
    <row r="6634">
      <c r="A6634" s="140" t="s">
        <v>1179</v>
      </c>
      <c r="B6634" s="140" t="s">
        <v>14705</v>
      </c>
      <c r="C6634" s="140" t="s">
        <v>14706</v>
      </c>
      <c r="D6634" s="140" t="s">
        <v>6318</v>
      </c>
      <c r="E6634" s="140" t="s">
        <v>1301</v>
      </c>
      <c r="F6634" s="140" t="s">
        <v>1302</v>
      </c>
      <c r="G6634" s="141" t="s">
        <v>6304</v>
      </c>
      <c r="H6634" s="140" t="s">
        <v>6312</v>
      </c>
      <c r="I6634" s="140" t="s">
        <v>6527</v>
      </c>
      <c r="J6634" s="140" t="s">
        <v>6319</v>
      </c>
      <c r="K6634" s="140" t="s">
        <v>1573</v>
      </c>
    </row>
    <row r="6635">
      <c r="A6635" s="140" t="s">
        <v>1179</v>
      </c>
      <c r="B6635" s="143">
        <v>1.65283E12</v>
      </c>
      <c r="C6635" s="140" t="s">
        <v>14707</v>
      </c>
      <c r="D6635" s="140" t="s">
        <v>6318</v>
      </c>
      <c r="E6635" s="140" t="s">
        <v>1301</v>
      </c>
      <c r="F6635" s="140" t="s">
        <v>1302</v>
      </c>
      <c r="G6635" s="141" t="s">
        <v>6668</v>
      </c>
      <c r="H6635" s="140" t="s">
        <v>6330</v>
      </c>
      <c r="I6635" s="140" t="s">
        <v>6313</v>
      </c>
      <c r="J6635" s="140" t="s">
        <v>6319</v>
      </c>
      <c r="K6635" s="140" t="s">
        <v>1573</v>
      </c>
    </row>
    <row r="6636">
      <c r="A6636" s="140" t="s">
        <v>1179</v>
      </c>
      <c r="B6636" s="140" t="s">
        <v>14708</v>
      </c>
      <c r="C6636" s="140" t="s">
        <v>14709</v>
      </c>
      <c r="D6636" s="140" t="s">
        <v>6318</v>
      </c>
      <c r="E6636" s="140" t="s">
        <v>1301</v>
      </c>
      <c r="F6636" s="140" t="s">
        <v>1302</v>
      </c>
      <c r="G6636" s="141" t="s">
        <v>6304</v>
      </c>
      <c r="H6636" s="140" t="s">
        <v>6312</v>
      </c>
      <c r="I6636" s="140" t="s">
        <v>6527</v>
      </c>
      <c r="J6636" s="140" t="s">
        <v>6319</v>
      </c>
      <c r="K6636" s="140" t="s">
        <v>1573</v>
      </c>
    </row>
    <row r="6637">
      <c r="A6637" s="140" t="s">
        <v>1179</v>
      </c>
      <c r="B6637" s="140" t="s">
        <v>14710</v>
      </c>
      <c r="C6637" s="140" t="s">
        <v>14711</v>
      </c>
      <c r="D6637" s="140" t="s">
        <v>6318</v>
      </c>
      <c r="E6637" s="140" t="s">
        <v>1301</v>
      </c>
      <c r="F6637" s="140" t="s">
        <v>1302</v>
      </c>
      <c r="G6637" s="141" t="s">
        <v>6304</v>
      </c>
      <c r="H6637" s="140" t="s">
        <v>6312</v>
      </c>
      <c r="I6637" s="140" t="s">
        <v>6527</v>
      </c>
      <c r="J6637" s="140" t="s">
        <v>6319</v>
      </c>
      <c r="K6637" s="140" t="s">
        <v>1573</v>
      </c>
    </row>
    <row r="6638">
      <c r="A6638" s="140" t="s">
        <v>1179</v>
      </c>
      <c r="B6638" s="140" t="s">
        <v>14712</v>
      </c>
      <c r="C6638" s="140" t="s">
        <v>14713</v>
      </c>
      <c r="D6638" s="140" t="s">
        <v>6318</v>
      </c>
      <c r="E6638" s="140" t="s">
        <v>1301</v>
      </c>
      <c r="F6638" s="140" t="s">
        <v>1302</v>
      </c>
      <c r="G6638" s="141" t="s">
        <v>6304</v>
      </c>
      <c r="H6638" s="140" t="s">
        <v>6312</v>
      </c>
      <c r="I6638" s="140" t="s">
        <v>6527</v>
      </c>
      <c r="J6638" s="140" t="s">
        <v>6319</v>
      </c>
      <c r="K6638" s="140" t="s">
        <v>1573</v>
      </c>
    </row>
    <row r="6639">
      <c r="A6639" s="140" t="s">
        <v>1179</v>
      </c>
      <c r="B6639" s="143">
        <v>1.62973E12</v>
      </c>
      <c r="C6639" s="140" t="s">
        <v>14714</v>
      </c>
      <c r="D6639" s="140" t="s">
        <v>6318</v>
      </c>
      <c r="E6639" s="140" t="s">
        <v>1301</v>
      </c>
      <c r="F6639" s="140" t="s">
        <v>1302</v>
      </c>
      <c r="G6639" s="141" t="s">
        <v>6664</v>
      </c>
      <c r="H6639" s="140" t="s">
        <v>6330</v>
      </c>
      <c r="I6639" s="140" t="s">
        <v>6313</v>
      </c>
      <c r="J6639" s="140" t="s">
        <v>6319</v>
      </c>
      <c r="K6639" s="140" t="s">
        <v>1573</v>
      </c>
    </row>
    <row r="6640">
      <c r="A6640" s="140" t="s">
        <v>1179</v>
      </c>
      <c r="B6640" s="143">
        <v>1.63037E12</v>
      </c>
      <c r="C6640" s="140" t="s">
        <v>14715</v>
      </c>
      <c r="D6640" s="140" t="s">
        <v>6318</v>
      </c>
      <c r="E6640" s="140" t="s">
        <v>1301</v>
      </c>
      <c r="F6640" s="140" t="s">
        <v>1302</v>
      </c>
      <c r="G6640" s="141" t="s">
        <v>6668</v>
      </c>
      <c r="H6640" s="140" t="s">
        <v>6330</v>
      </c>
      <c r="I6640" s="140" t="s">
        <v>6313</v>
      </c>
      <c r="J6640" s="140" t="s">
        <v>6319</v>
      </c>
      <c r="K6640" s="140" t="s">
        <v>1573</v>
      </c>
    </row>
    <row r="6641">
      <c r="A6641" s="140" t="s">
        <v>1179</v>
      </c>
      <c r="B6641" s="140" t="s">
        <v>1307</v>
      </c>
      <c r="C6641" s="140" t="s">
        <v>14716</v>
      </c>
      <c r="D6641" s="140" t="s">
        <v>6318</v>
      </c>
      <c r="E6641" s="140" t="s">
        <v>1301</v>
      </c>
      <c r="F6641" s="140" t="s">
        <v>1302</v>
      </c>
      <c r="G6641" s="141" t="s">
        <v>6742</v>
      </c>
      <c r="H6641" s="140" t="s">
        <v>6330</v>
      </c>
      <c r="I6641" s="140" t="s">
        <v>6313</v>
      </c>
      <c r="J6641" s="140" t="s">
        <v>6319</v>
      </c>
      <c r="K6641" s="140" t="s">
        <v>1573</v>
      </c>
    </row>
    <row r="6642">
      <c r="A6642" s="140" t="s">
        <v>1179</v>
      </c>
      <c r="B6642" s="140" t="s">
        <v>14717</v>
      </c>
      <c r="C6642" s="140" t="s">
        <v>14718</v>
      </c>
      <c r="D6642" s="140" t="s">
        <v>6318</v>
      </c>
      <c r="E6642" s="140" t="s">
        <v>1301</v>
      </c>
      <c r="F6642" s="140" t="s">
        <v>1302</v>
      </c>
      <c r="G6642" s="141" t="s">
        <v>6304</v>
      </c>
      <c r="H6642" s="140" t="s">
        <v>6312</v>
      </c>
      <c r="I6642" s="140" t="s">
        <v>6527</v>
      </c>
      <c r="J6642" s="140" t="s">
        <v>6319</v>
      </c>
      <c r="K6642" s="140" t="s">
        <v>1573</v>
      </c>
    </row>
    <row r="6643">
      <c r="A6643" s="140" t="s">
        <v>1179</v>
      </c>
      <c r="B6643" s="140" t="s">
        <v>3410</v>
      </c>
      <c r="C6643" s="140" t="s">
        <v>14719</v>
      </c>
      <c r="D6643" s="140" t="s">
        <v>6318</v>
      </c>
      <c r="E6643" s="140" t="s">
        <v>1301</v>
      </c>
      <c r="F6643" s="140" t="s">
        <v>1302</v>
      </c>
      <c r="G6643" s="141" t="s">
        <v>6304</v>
      </c>
      <c r="H6643" s="140" t="s">
        <v>6312</v>
      </c>
      <c r="I6643" s="140" t="s">
        <v>6527</v>
      </c>
      <c r="J6643" s="140" t="s">
        <v>6319</v>
      </c>
      <c r="K6643" s="140" t="s">
        <v>1573</v>
      </c>
    </row>
    <row r="6644">
      <c r="A6644" s="140" t="s">
        <v>1179</v>
      </c>
      <c r="B6644" s="140" t="s">
        <v>14720</v>
      </c>
      <c r="C6644" s="140" t="s">
        <v>14721</v>
      </c>
      <c r="D6644" s="140" t="s">
        <v>6318</v>
      </c>
      <c r="E6644" s="140" t="s">
        <v>1301</v>
      </c>
      <c r="F6644" s="140" t="s">
        <v>1302</v>
      </c>
      <c r="G6644" s="141" t="s">
        <v>6304</v>
      </c>
      <c r="H6644" s="140" t="s">
        <v>6312</v>
      </c>
      <c r="I6644" s="140" t="s">
        <v>6527</v>
      </c>
      <c r="J6644" s="140" t="s">
        <v>6319</v>
      </c>
      <c r="K6644" s="140" t="s">
        <v>1573</v>
      </c>
    </row>
    <row r="6645">
      <c r="A6645" s="140" t="s">
        <v>1179</v>
      </c>
      <c r="B6645" s="140" t="s">
        <v>14722</v>
      </c>
      <c r="C6645" s="140" t="s">
        <v>14723</v>
      </c>
      <c r="D6645" s="140" t="s">
        <v>6318</v>
      </c>
      <c r="E6645" s="140" t="s">
        <v>1301</v>
      </c>
      <c r="F6645" s="140" t="s">
        <v>1302</v>
      </c>
      <c r="G6645" s="141" t="s">
        <v>6304</v>
      </c>
      <c r="H6645" s="140" t="s">
        <v>6312</v>
      </c>
      <c r="I6645" s="140" t="s">
        <v>6527</v>
      </c>
      <c r="J6645" s="140" t="s">
        <v>6319</v>
      </c>
      <c r="K6645" s="140" t="s">
        <v>1573</v>
      </c>
    </row>
    <row r="6646">
      <c r="A6646" s="140" t="s">
        <v>1179</v>
      </c>
      <c r="B6646" s="140" t="s">
        <v>14724</v>
      </c>
      <c r="C6646" s="140" t="s">
        <v>14725</v>
      </c>
      <c r="D6646" s="140" t="s">
        <v>6318</v>
      </c>
      <c r="E6646" s="140" t="s">
        <v>1301</v>
      </c>
      <c r="F6646" s="140" t="s">
        <v>1302</v>
      </c>
      <c r="G6646" s="141" t="s">
        <v>6304</v>
      </c>
      <c r="H6646" s="140" t="s">
        <v>6312</v>
      </c>
      <c r="I6646" s="140" t="s">
        <v>6527</v>
      </c>
      <c r="J6646" s="140" t="s">
        <v>6319</v>
      </c>
      <c r="K6646" s="140" t="s">
        <v>1573</v>
      </c>
    </row>
    <row r="6647">
      <c r="A6647" s="140" t="s">
        <v>1179</v>
      </c>
      <c r="B6647" s="140" t="s">
        <v>14726</v>
      </c>
      <c r="C6647" s="140" t="s">
        <v>14727</v>
      </c>
      <c r="D6647" s="140" t="s">
        <v>6318</v>
      </c>
      <c r="E6647" s="140" t="s">
        <v>1301</v>
      </c>
      <c r="F6647" s="140" t="s">
        <v>1302</v>
      </c>
      <c r="G6647" s="141" t="s">
        <v>6304</v>
      </c>
      <c r="H6647" s="140" t="s">
        <v>6312</v>
      </c>
      <c r="I6647" s="140" t="s">
        <v>6527</v>
      </c>
      <c r="J6647" s="140" t="s">
        <v>6319</v>
      </c>
      <c r="K6647" s="140" t="s">
        <v>1573</v>
      </c>
    </row>
    <row r="6648">
      <c r="A6648" s="140" t="s">
        <v>1179</v>
      </c>
      <c r="B6648" s="140" t="s">
        <v>14728</v>
      </c>
      <c r="C6648" s="140" t="s">
        <v>14729</v>
      </c>
      <c r="D6648" s="140" t="s">
        <v>6318</v>
      </c>
      <c r="E6648" s="140" t="s">
        <v>1301</v>
      </c>
      <c r="F6648" s="140" t="s">
        <v>1302</v>
      </c>
      <c r="G6648" s="141" t="s">
        <v>6304</v>
      </c>
      <c r="H6648" s="140" t="s">
        <v>6312</v>
      </c>
      <c r="I6648" s="140" t="s">
        <v>6527</v>
      </c>
      <c r="J6648" s="140" t="s">
        <v>6319</v>
      </c>
      <c r="K6648" s="140" t="s">
        <v>1573</v>
      </c>
    </row>
    <row r="6649">
      <c r="A6649" s="140" t="s">
        <v>1179</v>
      </c>
      <c r="B6649" s="140" t="s">
        <v>14730</v>
      </c>
      <c r="C6649" s="140" t="s">
        <v>14731</v>
      </c>
      <c r="D6649" s="140" t="s">
        <v>6318</v>
      </c>
      <c r="E6649" s="140" t="s">
        <v>1301</v>
      </c>
      <c r="F6649" s="140" t="s">
        <v>1302</v>
      </c>
      <c r="G6649" s="141" t="s">
        <v>6304</v>
      </c>
      <c r="H6649" s="140" t="s">
        <v>6312</v>
      </c>
      <c r="I6649" s="140" t="s">
        <v>6527</v>
      </c>
      <c r="J6649" s="140" t="s">
        <v>6319</v>
      </c>
      <c r="K6649" s="140" t="s">
        <v>1573</v>
      </c>
    </row>
    <row r="6650">
      <c r="A6650" s="140" t="s">
        <v>1179</v>
      </c>
      <c r="B6650" s="140" t="s">
        <v>14732</v>
      </c>
      <c r="C6650" s="140" t="s">
        <v>14733</v>
      </c>
      <c r="D6650" s="140" t="s">
        <v>6318</v>
      </c>
      <c r="E6650" s="140" t="s">
        <v>1301</v>
      </c>
      <c r="F6650" s="140" t="s">
        <v>1302</v>
      </c>
      <c r="G6650" s="141" t="s">
        <v>6304</v>
      </c>
      <c r="H6650" s="140" t="s">
        <v>6312</v>
      </c>
      <c r="I6650" s="140" t="s">
        <v>6527</v>
      </c>
      <c r="J6650" s="140" t="s">
        <v>6319</v>
      </c>
      <c r="K6650" s="140" t="s">
        <v>1573</v>
      </c>
    </row>
    <row r="6651">
      <c r="A6651" s="140" t="s">
        <v>1179</v>
      </c>
      <c r="B6651" s="140" t="s">
        <v>14734</v>
      </c>
      <c r="C6651" s="140" t="s">
        <v>14735</v>
      </c>
      <c r="D6651" s="140" t="s">
        <v>6318</v>
      </c>
      <c r="E6651" s="140" t="s">
        <v>1301</v>
      </c>
      <c r="F6651" s="140" t="s">
        <v>1302</v>
      </c>
      <c r="G6651" s="141" t="s">
        <v>6304</v>
      </c>
      <c r="H6651" s="140" t="s">
        <v>6312</v>
      </c>
      <c r="I6651" s="140" t="s">
        <v>6527</v>
      </c>
      <c r="J6651" s="140" t="s">
        <v>6319</v>
      </c>
      <c r="K6651" s="140" t="s">
        <v>1573</v>
      </c>
    </row>
    <row r="6652">
      <c r="A6652" s="140" t="s">
        <v>1179</v>
      </c>
      <c r="B6652" s="140" t="s">
        <v>14736</v>
      </c>
      <c r="C6652" s="140" t="s">
        <v>14737</v>
      </c>
      <c r="D6652" s="140" t="s">
        <v>6318</v>
      </c>
      <c r="E6652" s="140" t="s">
        <v>1301</v>
      </c>
      <c r="F6652" s="140" t="s">
        <v>1302</v>
      </c>
      <c r="G6652" s="141" t="s">
        <v>6304</v>
      </c>
      <c r="H6652" s="140" t="s">
        <v>6312</v>
      </c>
      <c r="I6652" s="140" t="s">
        <v>6527</v>
      </c>
      <c r="J6652" s="140" t="s">
        <v>6319</v>
      </c>
      <c r="K6652" s="140" t="s">
        <v>1573</v>
      </c>
    </row>
    <row r="6653">
      <c r="A6653" s="140" t="s">
        <v>1179</v>
      </c>
      <c r="B6653" s="140" t="s">
        <v>1423</v>
      </c>
      <c r="C6653" s="140" t="s">
        <v>2186</v>
      </c>
      <c r="D6653" s="140" t="s">
        <v>6318</v>
      </c>
      <c r="E6653" s="140" t="s">
        <v>1301</v>
      </c>
      <c r="F6653" s="140" t="s">
        <v>1308</v>
      </c>
      <c r="G6653" s="141" t="s">
        <v>134</v>
      </c>
      <c r="H6653" s="140" t="s">
        <v>6330</v>
      </c>
      <c r="I6653" s="140" t="s">
        <v>6313</v>
      </c>
      <c r="J6653" s="140" t="s">
        <v>6319</v>
      </c>
      <c r="K6653" s="140" t="s">
        <v>1573</v>
      </c>
    </row>
    <row r="6654">
      <c r="A6654" s="140" t="s">
        <v>1179</v>
      </c>
      <c r="B6654" s="143">
        <v>1.65999E12</v>
      </c>
      <c r="C6654" s="140" t="s">
        <v>14738</v>
      </c>
      <c r="D6654" s="140" t="s">
        <v>6318</v>
      </c>
      <c r="E6654" s="140" t="s">
        <v>1301</v>
      </c>
      <c r="F6654" s="140" t="s">
        <v>1308</v>
      </c>
      <c r="G6654" s="141" t="s">
        <v>6304</v>
      </c>
      <c r="H6654" s="140" t="s">
        <v>6312</v>
      </c>
      <c r="I6654" s="140" t="s">
        <v>6527</v>
      </c>
      <c r="J6654" s="140" t="s">
        <v>6319</v>
      </c>
      <c r="K6654" s="140" t="s">
        <v>1573</v>
      </c>
    </row>
    <row r="6655">
      <c r="A6655" s="140" t="s">
        <v>1179</v>
      </c>
      <c r="B6655" s="143">
        <v>1.65999E12</v>
      </c>
      <c r="C6655" s="140" t="s">
        <v>14739</v>
      </c>
      <c r="D6655" s="140" t="s">
        <v>6318</v>
      </c>
      <c r="E6655" s="140" t="s">
        <v>1301</v>
      </c>
      <c r="F6655" s="140" t="s">
        <v>1308</v>
      </c>
      <c r="G6655" s="141" t="s">
        <v>6304</v>
      </c>
      <c r="H6655" s="140" t="s">
        <v>6330</v>
      </c>
      <c r="I6655" s="140" t="s">
        <v>6527</v>
      </c>
      <c r="J6655" s="140" t="s">
        <v>6319</v>
      </c>
      <c r="K6655" s="140" t="s">
        <v>1573</v>
      </c>
    </row>
    <row r="6656">
      <c r="A6656" s="140" t="s">
        <v>2030</v>
      </c>
      <c r="B6656" s="143">
        <v>1.65421E12</v>
      </c>
      <c r="C6656" s="140" t="s">
        <v>2124</v>
      </c>
      <c r="D6656" s="140" t="s">
        <v>6318</v>
      </c>
      <c r="E6656" s="140" t="s">
        <v>1301</v>
      </c>
      <c r="F6656" s="140" t="s">
        <v>1308</v>
      </c>
      <c r="G6656" s="141" t="s">
        <v>6742</v>
      </c>
      <c r="H6656" s="140" t="s">
        <v>6330</v>
      </c>
      <c r="I6656" s="140" t="s">
        <v>6313</v>
      </c>
      <c r="J6656" s="140" t="s">
        <v>6319</v>
      </c>
      <c r="K6656" s="140" t="s">
        <v>1573</v>
      </c>
    </row>
    <row r="6657">
      <c r="A6657" s="140" t="s">
        <v>1179</v>
      </c>
      <c r="B6657" s="140" t="s">
        <v>14740</v>
      </c>
      <c r="C6657" s="140" t="s">
        <v>14741</v>
      </c>
      <c r="D6657" s="140" t="s">
        <v>6318</v>
      </c>
      <c r="E6657" s="140" t="s">
        <v>1301</v>
      </c>
      <c r="F6657" s="140" t="s">
        <v>1308</v>
      </c>
      <c r="G6657" s="141" t="s">
        <v>6304</v>
      </c>
      <c r="H6657" s="140" t="s">
        <v>6330</v>
      </c>
      <c r="I6657" s="140" t="s">
        <v>6527</v>
      </c>
      <c r="J6657" s="140" t="s">
        <v>6319</v>
      </c>
      <c r="K6657" s="140" t="s">
        <v>1573</v>
      </c>
    </row>
    <row r="6658">
      <c r="A6658" s="140" t="s">
        <v>1179</v>
      </c>
      <c r="B6658" s="140" t="s">
        <v>14742</v>
      </c>
      <c r="C6658" s="140" t="s">
        <v>14743</v>
      </c>
      <c r="D6658" s="140" t="s">
        <v>6318</v>
      </c>
      <c r="E6658" s="140" t="s">
        <v>1301</v>
      </c>
      <c r="F6658" s="140" t="s">
        <v>1308</v>
      </c>
      <c r="G6658" s="141" t="s">
        <v>6304</v>
      </c>
      <c r="H6658" s="140" t="s">
        <v>6330</v>
      </c>
      <c r="I6658" s="140" t="s">
        <v>6527</v>
      </c>
      <c r="J6658" s="140" t="s">
        <v>6319</v>
      </c>
      <c r="K6658" s="140" t="s">
        <v>1573</v>
      </c>
    </row>
    <row r="6659">
      <c r="A6659" s="140" t="s">
        <v>1179</v>
      </c>
      <c r="B6659" s="140" t="s">
        <v>14744</v>
      </c>
      <c r="C6659" s="140" t="s">
        <v>14745</v>
      </c>
      <c r="D6659" s="140" t="s">
        <v>6318</v>
      </c>
      <c r="E6659" s="140" t="s">
        <v>1301</v>
      </c>
      <c r="F6659" s="140" t="s">
        <v>1308</v>
      </c>
      <c r="G6659" s="141" t="s">
        <v>6304</v>
      </c>
      <c r="H6659" s="140" t="s">
        <v>6330</v>
      </c>
      <c r="I6659" s="140" t="s">
        <v>6527</v>
      </c>
      <c r="J6659" s="140" t="s">
        <v>6319</v>
      </c>
      <c r="K6659" s="140" t="s">
        <v>1573</v>
      </c>
    </row>
    <row r="6660">
      <c r="A6660" s="140" t="s">
        <v>1179</v>
      </c>
      <c r="B6660" s="140" t="s">
        <v>14746</v>
      </c>
      <c r="C6660" s="140" t="s">
        <v>14747</v>
      </c>
      <c r="D6660" s="140" t="s">
        <v>6318</v>
      </c>
      <c r="E6660" s="140" t="s">
        <v>1301</v>
      </c>
      <c r="F6660" s="140" t="s">
        <v>1308</v>
      </c>
      <c r="G6660" s="141" t="s">
        <v>6304</v>
      </c>
      <c r="H6660" s="140" t="s">
        <v>6312</v>
      </c>
      <c r="I6660" s="140" t="s">
        <v>6527</v>
      </c>
      <c r="J6660" s="140" t="s">
        <v>6319</v>
      </c>
      <c r="K6660" s="140" t="s">
        <v>1573</v>
      </c>
    </row>
    <row r="6661">
      <c r="A6661" s="140" t="s">
        <v>1179</v>
      </c>
      <c r="B6661" s="140" t="s">
        <v>14748</v>
      </c>
      <c r="C6661" s="140" t="s">
        <v>14749</v>
      </c>
      <c r="D6661" s="140" t="s">
        <v>6318</v>
      </c>
      <c r="E6661" s="140" t="s">
        <v>1301</v>
      </c>
      <c r="F6661" s="140" t="s">
        <v>1308</v>
      </c>
      <c r="G6661" s="141" t="s">
        <v>6304</v>
      </c>
      <c r="H6661" s="140" t="s">
        <v>6330</v>
      </c>
      <c r="I6661" s="140" t="s">
        <v>6527</v>
      </c>
      <c r="J6661" s="140" t="s">
        <v>6319</v>
      </c>
      <c r="K6661" s="140" t="s">
        <v>1573</v>
      </c>
    </row>
    <row r="6662">
      <c r="A6662" s="140" t="s">
        <v>2030</v>
      </c>
      <c r="B6662" s="143">
        <v>1.65421E12</v>
      </c>
      <c r="C6662" s="140" t="s">
        <v>14750</v>
      </c>
      <c r="D6662" s="140" t="s">
        <v>6318</v>
      </c>
      <c r="E6662" s="140" t="s">
        <v>1301</v>
      </c>
      <c r="F6662" s="140" t="s">
        <v>1308</v>
      </c>
      <c r="G6662" s="141" t="s">
        <v>6742</v>
      </c>
      <c r="H6662" s="140" t="s">
        <v>6330</v>
      </c>
      <c r="I6662" s="140" t="s">
        <v>6313</v>
      </c>
      <c r="J6662" s="140" t="s">
        <v>6319</v>
      </c>
      <c r="K6662" s="140" t="s">
        <v>1573</v>
      </c>
    </row>
    <row r="6663">
      <c r="A6663" s="140" t="s">
        <v>2030</v>
      </c>
      <c r="B6663" s="143">
        <v>1.65421E12</v>
      </c>
      <c r="C6663" s="140" t="s">
        <v>14751</v>
      </c>
      <c r="D6663" s="140" t="s">
        <v>6318</v>
      </c>
      <c r="E6663" s="140" t="s">
        <v>1301</v>
      </c>
      <c r="F6663" s="140" t="s">
        <v>1308</v>
      </c>
      <c r="G6663" s="141" t="s">
        <v>6742</v>
      </c>
      <c r="H6663" s="140" t="s">
        <v>6330</v>
      </c>
      <c r="I6663" s="140" t="s">
        <v>6313</v>
      </c>
      <c r="J6663" s="140" t="s">
        <v>6319</v>
      </c>
      <c r="K6663" s="140" t="s">
        <v>1573</v>
      </c>
    </row>
    <row r="6664">
      <c r="A6664" s="140" t="s">
        <v>1179</v>
      </c>
      <c r="B6664" s="140" t="s">
        <v>1318</v>
      </c>
      <c r="C6664" s="140" t="s">
        <v>14752</v>
      </c>
      <c r="D6664" s="140" t="s">
        <v>6318</v>
      </c>
      <c r="E6664" s="140" t="s">
        <v>1301</v>
      </c>
      <c r="F6664" s="140" t="s">
        <v>735</v>
      </c>
      <c r="G6664" s="141" t="s">
        <v>6742</v>
      </c>
      <c r="H6664" s="140" t="s">
        <v>6330</v>
      </c>
      <c r="I6664" s="140" t="s">
        <v>6313</v>
      </c>
      <c r="J6664" s="140" t="s">
        <v>6319</v>
      </c>
      <c r="K6664" s="140" t="s">
        <v>1573</v>
      </c>
    </row>
    <row r="6665">
      <c r="A6665" s="140" t="s">
        <v>1179</v>
      </c>
      <c r="B6665" s="140" t="s">
        <v>1322</v>
      </c>
      <c r="C6665" s="140" t="s">
        <v>14753</v>
      </c>
      <c r="D6665" s="140" t="s">
        <v>6318</v>
      </c>
      <c r="E6665" s="140" t="s">
        <v>1301</v>
      </c>
      <c r="F6665" s="140" t="s">
        <v>735</v>
      </c>
      <c r="G6665" s="141" t="s">
        <v>6742</v>
      </c>
      <c r="H6665" s="140" t="s">
        <v>6330</v>
      </c>
      <c r="I6665" s="140" t="s">
        <v>6313</v>
      </c>
      <c r="J6665" s="140" t="s">
        <v>6319</v>
      </c>
      <c r="K6665" s="140" t="s">
        <v>1573</v>
      </c>
    </row>
    <row r="6666">
      <c r="A6666" s="140" t="s">
        <v>1179</v>
      </c>
      <c r="B6666" s="140" t="s">
        <v>1320</v>
      </c>
      <c r="C6666" s="140" t="s">
        <v>14754</v>
      </c>
      <c r="D6666" s="140" t="s">
        <v>6318</v>
      </c>
      <c r="E6666" s="140" t="s">
        <v>1301</v>
      </c>
      <c r="F6666" s="140" t="s">
        <v>735</v>
      </c>
      <c r="G6666" s="141" t="s">
        <v>6742</v>
      </c>
      <c r="H6666" s="140" t="s">
        <v>6330</v>
      </c>
      <c r="I6666" s="140" t="s">
        <v>6313</v>
      </c>
      <c r="J6666" s="140" t="s">
        <v>6319</v>
      </c>
      <c r="K6666" s="140" t="s">
        <v>1573</v>
      </c>
    </row>
    <row r="6667">
      <c r="A6667" s="140" t="s">
        <v>1179</v>
      </c>
      <c r="B6667" s="143">
        <v>1.66086E12</v>
      </c>
      <c r="C6667" s="140" t="s">
        <v>14755</v>
      </c>
      <c r="D6667" s="140" t="s">
        <v>6318</v>
      </c>
      <c r="E6667" s="140" t="s">
        <v>1301</v>
      </c>
      <c r="F6667" s="140" t="s">
        <v>735</v>
      </c>
      <c r="G6667" s="141" t="s">
        <v>134</v>
      </c>
      <c r="H6667" s="140" t="s">
        <v>6312</v>
      </c>
      <c r="I6667" s="140" t="s">
        <v>6313</v>
      </c>
      <c r="J6667" s="140" t="s">
        <v>6319</v>
      </c>
      <c r="K6667" s="140" t="s">
        <v>1573</v>
      </c>
    </row>
    <row r="6668">
      <c r="A6668" s="140" t="s">
        <v>1179</v>
      </c>
      <c r="B6668" s="143">
        <v>1.66086E12</v>
      </c>
      <c r="C6668" s="140" t="s">
        <v>2128</v>
      </c>
      <c r="D6668" s="140" t="s">
        <v>6318</v>
      </c>
      <c r="E6668" s="140" t="s">
        <v>1301</v>
      </c>
      <c r="F6668" s="140" t="s">
        <v>735</v>
      </c>
      <c r="G6668" s="141" t="s">
        <v>134</v>
      </c>
      <c r="H6668" s="140" t="s">
        <v>6312</v>
      </c>
      <c r="I6668" s="140" t="s">
        <v>6313</v>
      </c>
      <c r="J6668" s="140" t="s">
        <v>6319</v>
      </c>
      <c r="K6668" s="140" t="s">
        <v>1573</v>
      </c>
    </row>
    <row r="6669">
      <c r="A6669" s="140" t="s">
        <v>1179</v>
      </c>
      <c r="B6669" s="140" t="s">
        <v>14756</v>
      </c>
      <c r="C6669" s="140" t="s">
        <v>14757</v>
      </c>
      <c r="D6669" s="140" t="s">
        <v>6318</v>
      </c>
      <c r="E6669" s="140" t="s">
        <v>1301</v>
      </c>
      <c r="F6669" s="140" t="s">
        <v>735</v>
      </c>
      <c r="G6669" s="141" t="s">
        <v>6304</v>
      </c>
      <c r="H6669" s="140" t="s">
        <v>6312</v>
      </c>
      <c r="I6669" s="140" t="s">
        <v>6527</v>
      </c>
      <c r="J6669" s="140" t="s">
        <v>6319</v>
      </c>
      <c r="K6669" s="140" t="s">
        <v>1573</v>
      </c>
    </row>
    <row r="6670">
      <c r="A6670" s="140" t="s">
        <v>1179</v>
      </c>
      <c r="B6670" s="140" t="s">
        <v>14758</v>
      </c>
      <c r="C6670" s="140" t="s">
        <v>14759</v>
      </c>
      <c r="D6670" s="140" t="s">
        <v>6318</v>
      </c>
      <c r="E6670" s="140" t="s">
        <v>1301</v>
      </c>
      <c r="F6670" s="140" t="s">
        <v>735</v>
      </c>
      <c r="G6670" s="141" t="s">
        <v>6304</v>
      </c>
      <c r="H6670" s="140" t="s">
        <v>6312</v>
      </c>
      <c r="I6670" s="140" t="s">
        <v>6527</v>
      </c>
      <c r="J6670" s="140" t="s">
        <v>6319</v>
      </c>
      <c r="K6670" s="140" t="s">
        <v>1573</v>
      </c>
    </row>
    <row r="6671">
      <c r="A6671" s="140" t="s">
        <v>1179</v>
      </c>
      <c r="B6671" s="143">
        <v>6.79514E13</v>
      </c>
      <c r="C6671" s="140" t="s">
        <v>14760</v>
      </c>
      <c r="D6671" s="140" t="s">
        <v>6318</v>
      </c>
      <c r="E6671" s="140" t="s">
        <v>1301</v>
      </c>
      <c r="F6671" s="140" t="s">
        <v>735</v>
      </c>
      <c r="G6671" s="141" t="s">
        <v>134</v>
      </c>
      <c r="H6671" s="140" t="s">
        <v>6312</v>
      </c>
      <c r="I6671" s="140" t="s">
        <v>6313</v>
      </c>
      <c r="J6671" s="140" t="s">
        <v>6319</v>
      </c>
      <c r="K6671" s="140" t="s">
        <v>1573</v>
      </c>
    </row>
    <row r="6672">
      <c r="A6672" s="140" t="s">
        <v>1179</v>
      </c>
      <c r="B6672" s="140" t="s">
        <v>14761</v>
      </c>
      <c r="C6672" s="140" t="s">
        <v>14760</v>
      </c>
      <c r="D6672" s="140" t="s">
        <v>6318</v>
      </c>
      <c r="E6672" s="140" t="s">
        <v>1301</v>
      </c>
      <c r="F6672" s="140" t="s">
        <v>735</v>
      </c>
      <c r="G6672" s="141" t="s">
        <v>6304</v>
      </c>
      <c r="H6672" s="140" t="s">
        <v>6312</v>
      </c>
      <c r="I6672" s="140" t="s">
        <v>6527</v>
      </c>
      <c r="J6672" s="140" t="s">
        <v>6319</v>
      </c>
      <c r="K6672" s="140" t="s">
        <v>1573</v>
      </c>
    </row>
    <row r="6673">
      <c r="A6673" s="140" t="s">
        <v>1179</v>
      </c>
      <c r="B6673" s="143">
        <v>6.79514E13</v>
      </c>
      <c r="C6673" s="140" t="s">
        <v>14762</v>
      </c>
      <c r="D6673" s="140" t="s">
        <v>6318</v>
      </c>
      <c r="E6673" s="140" t="s">
        <v>1301</v>
      </c>
      <c r="F6673" s="140" t="s">
        <v>735</v>
      </c>
      <c r="G6673" s="141" t="s">
        <v>134</v>
      </c>
      <c r="H6673" s="140" t="s">
        <v>6312</v>
      </c>
      <c r="I6673" s="140" t="s">
        <v>6313</v>
      </c>
      <c r="J6673" s="140" t="s">
        <v>6319</v>
      </c>
      <c r="K6673" s="140" t="s">
        <v>1573</v>
      </c>
    </row>
    <row r="6674">
      <c r="A6674" s="140" t="s">
        <v>1179</v>
      </c>
      <c r="B6674" s="143">
        <v>6.79514E13</v>
      </c>
      <c r="C6674" s="140" t="s">
        <v>14762</v>
      </c>
      <c r="D6674" s="140" t="s">
        <v>6318</v>
      </c>
      <c r="E6674" s="140" t="s">
        <v>1301</v>
      </c>
      <c r="F6674" s="140" t="s">
        <v>735</v>
      </c>
      <c r="G6674" s="141" t="s">
        <v>134</v>
      </c>
      <c r="H6674" s="140" t="s">
        <v>6312</v>
      </c>
      <c r="I6674" s="140" t="s">
        <v>6313</v>
      </c>
      <c r="J6674" s="140" t="s">
        <v>6319</v>
      </c>
      <c r="K6674" s="140" t="s">
        <v>1573</v>
      </c>
    </row>
    <row r="6675">
      <c r="A6675" s="140" t="s">
        <v>1179</v>
      </c>
      <c r="B6675" s="140" t="s">
        <v>1326</v>
      </c>
      <c r="C6675" s="140" t="s">
        <v>1325</v>
      </c>
      <c r="D6675" s="140" t="s">
        <v>6318</v>
      </c>
      <c r="E6675" s="140" t="s">
        <v>1323</v>
      </c>
      <c r="F6675" s="140" t="s">
        <v>1324</v>
      </c>
      <c r="G6675" s="141" t="s">
        <v>6401</v>
      </c>
      <c r="H6675" s="140" t="s">
        <v>6312</v>
      </c>
      <c r="I6675" s="140" t="s">
        <v>6313</v>
      </c>
      <c r="J6675" s="140" t="s">
        <v>6319</v>
      </c>
      <c r="K6675" s="140" t="s">
        <v>1573</v>
      </c>
    </row>
    <row r="6676">
      <c r="A6676" s="140" t="s">
        <v>1179</v>
      </c>
      <c r="B6676" s="140" t="s">
        <v>1328</v>
      </c>
      <c r="C6676" s="140" t="s">
        <v>1327</v>
      </c>
      <c r="D6676" s="140" t="s">
        <v>6318</v>
      </c>
      <c r="E6676" s="140" t="s">
        <v>1323</v>
      </c>
      <c r="F6676" s="140" t="s">
        <v>1324</v>
      </c>
      <c r="G6676" s="141" t="s">
        <v>6401</v>
      </c>
      <c r="H6676" s="140" t="s">
        <v>6312</v>
      </c>
      <c r="I6676" s="140" t="s">
        <v>6313</v>
      </c>
      <c r="J6676" s="140" t="s">
        <v>6319</v>
      </c>
      <c r="K6676" s="140" t="s">
        <v>1573</v>
      </c>
    </row>
    <row r="6677">
      <c r="A6677" s="140" t="s">
        <v>1179</v>
      </c>
      <c r="B6677" s="140" t="s">
        <v>1330</v>
      </c>
      <c r="C6677" s="140" t="s">
        <v>1329</v>
      </c>
      <c r="D6677" s="140" t="s">
        <v>6318</v>
      </c>
      <c r="E6677" s="140" t="s">
        <v>1323</v>
      </c>
      <c r="F6677" s="140" t="s">
        <v>1324</v>
      </c>
      <c r="G6677" s="141" t="s">
        <v>6401</v>
      </c>
      <c r="H6677" s="140" t="s">
        <v>6312</v>
      </c>
      <c r="I6677" s="140" t="s">
        <v>6313</v>
      </c>
      <c r="J6677" s="140" t="s">
        <v>6319</v>
      </c>
      <c r="K6677" s="140" t="s">
        <v>1573</v>
      </c>
    </row>
    <row r="6678">
      <c r="A6678" s="140" t="s">
        <v>1179</v>
      </c>
      <c r="B6678" s="140" t="s">
        <v>1332</v>
      </c>
      <c r="C6678" s="140" t="s">
        <v>1331</v>
      </c>
      <c r="D6678" s="140" t="s">
        <v>6318</v>
      </c>
      <c r="E6678" s="140" t="s">
        <v>1323</v>
      </c>
      <c r="F6678" s="140" t="s">
        <v>1324</v>
      </c>
      <c r="G6678" s="141" t="s">
        <v>6401</v>
      </c>
      <c r="H6678" s="140" t="s">
        <v>6312</v>
      </c>
      <c r="I6678" s="140" t="s">
        <v>6313</v>
      </c>
      <c r="J6678" s="140" t="s">
        <v>6319</v>
      </c>
      <c r="K6678" s="140" t="s">
        <v>1573</v>
      </c>
    </row>
    <row r="6679">
      <c r="A6679" s="140" t="s">
        <v>1179</v>
      </c>
      <c r="B6679" s="140" t="s">
        <v>1339</v>
      </c>
      <c r="C6679" s="140" t="s">
        <v>14763</v>
      </c>
      <c r="D6679" s="140" t="s">
        <v>6318</v>
      </c>
      <c r="E6679" s="140" t="s">
        <v>1323</v>
      </c>
      <c r="F6679" s="140" t="s">
        <v>1333</v>
      </c>
      <c r="G6679" s="141" t="s">
        <v>6664</v>
      </c>
      <c r="H6679" s="140" t="s">
        <v>6330</v>
      </c>
      <c r="I6679" s="140" t="s">
        <v>6313</v>
      </c>
      <c r="J6679" s="140" t="s">
        <v>6319</v>
      </c>
      <c r="K6679" s="140" t="s">
        <v>1573</v>
      </c>
    </row>
    <row r="6680">
      <c r="A6680" s="140" t="s">
        <v>1179</v>
      </c>
      <c r="B6680" s="140" t="s">
        <v>1337</v>
      </c>
      <c r="C6680" s="140" t="s">
        <v>14764</v>
      </c>
      <c r="D6680" s="140" t="s">
        <v>6318</v>
      </c>
      <c r="E6680" s="140" t="s">
        <v>1323</v>
      </c>
      <c r="F6680" s="140" t="s">
        <v>1333</v>
      </c>
      <c r="G6680" s="141" t="s">
        <v>6668</v>
      </c>
      <c r="H6680" s="140" t="s">
        <v>6330</v>
      </c>
      <c r="I6680" s="140" t="s">
        <v>6313</v>
      </c>
      <c r="J6680" s="140" t="s">
        <v>6319</v>
      </c>
      <c r="K6680" s="140" t="s">
        <v>1573</v>
      </c>
    </row>
    <row r="6681">
      <c r="A6681" s="140" t="s">
        <v>1179</v>
      </c>
      <c r="B6681" s="140" t="s">
        <v>1335</v>
      </c>
      <c r="C6681" s="140" t="s">
        <v>14765</v>
      </c>
      <c r="D6681" s="140" t="s">
        <v>6318</v>
      </c>
      <c r="E6681" s="140" t="s">
        <v>1323</v>
      </c>
      <c r="F6681" s="140" t="s">
        <v>1333</v>
      </c>
      <c r="G6681" s="141" t="s">
        <v>6668</v>
      </c>
      <c r="H6681" s="140" t="s">
        <v>6330</v>
      </c>
      <c r="I6681" s="140" t="s">
        <v>6313</v>
      </c>
      <c r="J6681" s="140" t="s">
        <v>6319</v>
      </c>
      <c r="K6681" s="140" t="s">
        <v>1573</v>
      </c>
    </row>
    <row r="6682">
      <c r="A6682" s="140" t="s">
        <v>1179</v>
      </c>
      <c r="B6682" s="143">
        <v>1.66086E12</v>
      </c>
      <c r="C6682" s="140" t="s">
        <v>2138</v>
      </c>
      <c r="D6682" s="140" t="s">
        <v>6318</v>
      </c>
      <c r="E6682" s="140" t="s">
        <v>1323</v>
      </c>
      <c r="F6682" s="140" t="s">
        <v>1340</v>
      </c>
      <c r="G6682" s="141" t="s">
        <v>6401</v>
      </c>
      <c r="H6682" s="140" t="s">
        <v>6330</v>
      </c>
      <c r="I6682" s="140" t="s">
        <v>6313</v>
      </c>
      <c r="J6682" s="140" t="s">
        <v>6319</v>
      </c>
      <c r="K6682" s="140" t="s">
        <v>1573</v>
      </c>
    </row>
    <row r="6683">
      <c r="A6683" s="140" t="s">
        <v>1179</v>
      </c>
      <c r="B6683" s="143">
        <v>1.66086E12</v>
      </c>
      <c r="C6683" s="140" t="s">
        <v>2138</v>
      </c>
      <c r="D6683" s="140" t="s">
        <v>6318</v>
      </c>
      <c r="E6683" s="140" t="s">
        <v>1323</v>
      </c>
      <c r="F6683" s="140" t="s">
        <v>1340</v>
      </c>
      <c r="G6683" s="141" t="s">
        <v>6401</v>
      </c>
      <c r="H6683" s="140" t="s">
        <v>6330</v>
      </c>
      <c r="I6683" s="140" t="s">
        <v>6313</v>
      </c>
      <c r="J6683" s="140" t="s">
        <v>6319</v>
      </c>
      <c r="K6683" s="140" t="s">
        <v>1573</v>
      </c>
    </row>
    <row r="6684">
      <c r="A6684" s="140" t="s">
        <v>1179</v>
      </c>
      <c r="B6684" s="143">
        <v>1.66086E12</v>
      </c>
      <c r="C6684" s="140" t="s">
        <v>2140</v>
      </c>
      <c r="D6684" s="140" t="s">
        <v>6318</v>
      </c>
      <c r="E6684" s="140" t="s">
        <v>1323</v>
      </c>
      <c r="F6684" s="140" t="s">
        <v>1340</v>
      </c>
      <c r="G6684" s="141" t="s">
        <v>6401</v>
      </c>
      <c r="H6684" s="140" t="s">
        <v>6330</v>
      </c>
      <c r="I6684" s="140" t="s">
        <v>6313</v>
      </c>
      <c r="J6684" s="140" t="s">
        <v>6319</v>
      </c>
      <c r="K6684" s="140" t="s">
        <v>1573</v>
      </c>
    </row>
    <row r="6685">
      <c r="A6685" s="140" t="s">
        <v>1179</v>
      </c>
      <c r="B6685" s="143">
        <v>1.66086E12</v>
      </c>
      <c r="C6685" s="140" t="s">
        <v>2140</v>
      </c>
      <c r="D6685" s="140" t="s">
        <v>6318</v>
      </c>
      <c r="E6685" s="140" t="s">
        <v>1323</v>
      </c>
      <c r="F6685" s="140" t="s">
        <v>1340</v>
      </c>
      <c r="G6685" s="141" t="s">
        <v>6401</v>
      </c>
      <c r="H6685" s="140" t="s">
        <v>6330</v>
      </c>
      <c r="I6685" s="140" t="s">
        <v>6313</v>
      </c>
      <c r="J6685" s="140" t="s">
        <v>6319</v>
      </c>
      <c r="K6685" s="140" t="s">
        <v>1573</v>
      </c>
    </row>
    <row r="6686">
      <c r="A6686" s="140" t="s">
        <v>1179</v>
      </c>
      <c r="B6686" s="143">
        <v>1.66086E12</v>
      </c>
      <c r="C6686" s="140" t="s">
        <v>2142</v>
      </c>
      <c r="D6686" s="140" t="s">
        <v>6318</v>
      </c>
      <c r="E6686" s="140" t="s">
        <v>1323</v>
      </c>
      <c r="F6686" s="140" t="s">
        <v>1340</v>
      </c>
      <c r="G6686" s="141" t="s">
        <v>6401</v>
      </c>
      <c r="H6686" s="140" t="s">
        <v>6330</v>
      </c>
      <c r="I6686" s="140" t="s">
        <v>6313</v>
      </c>
      <c r="J6686" s="140" t="s">
        <v>6319</v>
      </c>
      <c r="K6686" s="140" t="s">
        <v>1573</v>
      </c>
    </row>
    <row r="6687">
      <c r="A6687" s="140" t="s">
        <v>1179</v>
      </c>
      <c r="B6687" s="143">
        <v>1.66086E12</v>
      </c>
      <c r="C6687" s="140" t="s">
        <v>2142</v>
      </c>
      <c r="D6687" s="140" t="s">
        <v>6318</v>
      </c>
      <c r="E6687" s="140" t="s">
        <v>1323</v>
      </c>
      <c r="F6687" s="140" t="s">
        <v>1340</v>
      </c>
      <c r="G6687" s="141" t="s">
        <v>6401</v>
      </c>
      <c r="H6687" s="140" t="s">
        <v>6330</v>
      </c>
      <c r="I6687" s="140" t="s">
        <v>6313</v>
      </c>
      <c r="J6687" s="140" t="s">
        <v>6319</v>
      </c>
      <c r="K6687" s="140" t="s">
        <v>1573</v>
      </c>
    </row>
    <row r="6688">
      <c r="A6688" s="140" t="s">
        <v>1179</v>
      </c>
      <c r="B6688" s="140" t="s">
        <v>1361</v>
      </c>
      <c r="C6688" s="140" t="s">
        <v>14766</v>
      </c>
      <c r="D6688" s="140" t="s">
        <v>6318</v>
      </c>
      <c r="E6688" s="140" t="s">
        <v>1323</v>
      </c>
      <c r="F6688" s="140" t="s">
        <v>1340</v>
      </c>
      <c r="G6688" s="141" t="s">
        <v>6401</v>
      </c>
      <c r="H6688" s="140" t="s">
        <v>6330</v>
      </c>
      <c r="I6688" s="140" t="s">
        <v>6313</v>
      </c>
      <c r="J6688" s="140" t="s">
        <v>6319</v>
      </c>
      <c r="K6688" s="140" t="s">
        <v>1573</v>
      </c>
    </row>
    <row r="6689">
      <c r="A6689" s="140" t="s">
        <v>1179</v>
      </c>
      <c r="B6689" s="140" t="s">
        <v>1363</v>
      </c>
      <c r="C6689" s="140" t="s">
        <v>14767</v>
      </c>
      <c r="D6689" s="140" t="s">
        <v>6318</v>
      </c>
      <c r="E6689" s="140" t="s">
        <v>1323</v>
      </c>
      <c r="F6689" s="140" t="s">
        <v>1340</v>
      </c>
      <c r="G6689" s="141" t="s">
        <v>6742</v>
      </c>
      <c r="H6689" s="140" t="s">
        <v>6330</v>
      </c>
      <c r="I6689" s="140" t="s">
        <v>6313</v>
      </c>
      <c r="J6689" s="140" t="s">
        <v>6319</v>
      </c>
      <c r="K6689" s="140" t="s">
        <v>1573</v>
      </c>
    </row>
    <row r="6690">
      <c r="A6690" s="140" t="s">
        <v>1179</v>
      </c>
      <c r="B6690" s="140" t="s">
        <v>1367</v>
      </c>
      <c r="C6690" s="140" t="s">
        <v>14768</v>
      </c>
      <c r="D6690" s="140" t="s">
        <v>6318</v>
      </c>
      <c r="E6690" s="140" t="s">
        <v>1323</v>
      </c>
      <c r="F6690" s="140" t="s">
        <v>1340</v>
      </c>
      <c r="G6690" s="141" t="s">
        <v>6742</v>
      </c>
      <c r="H6690" s="140" t="s">
        <v>6330</v>
      </c>
      <c r="I6690" s="140" t="s">
        <v>6313</v>
      </c>
      <c r="J6690" s="140" t="s">
        <v>6319</v>
      </c>
      <c r="K6690" s="140" t="s">
        <v>1573</v>
      </c>
    </row>
    <row r="6691">
      <c r="A6691" s="140" t="s">
        <v>1179</v>
      </c>
      <c r="B6691" s="140" t="s">
        <v>1365</v>
      </c>
      <c r="C6691" s="140" t="s">
        <v>14769</v>
      </c>
      <c r="D6691" s="140" t="s">
        <v>6318</v>
      </c>
      <c r="E6691" s="140" t="s">
        <v>1323</v>
      </c>
      <c r="F6691" s="140" t="s">
        <v>1340</v>
      </c>
      <c r="G6691" s="141" t="s">
        <v>6742</v>
      </c>
      <c r="H6691" s="140" t="s">
        <v>6330</v>
      </c>
      <c r="I6691" s="140" t="s">
        <v>6313</v>
      </c>
      <c r="J6691" s="140" t="s">
        <v>6319</v>
      </c>
      <c r="K6691" s="140" t="s">
        <v>1573</v>
      </c>
    </row>
    <row r="6692">
      <c r="A6692" s="140" t="s">
        <v>1179</v>
      </c>
      <c r="B6692" s="140" t="s">
        <v>1370</v>
      </c>
      <c r="C6692" s="140" t="s">
        <v>2159</v>
      </c>
      <c r="D6692" s="140" t="s">
        <v>6318</v>
      </c>
      <c r="E6692" s="140" t="s">
        <v>1323</v>
      </c>
      <c r="F6692" s="140" t="s">
        <v>1340</v>
      </c>
      <c r="G6692" s="141" t="s">
        <v>6668</v>
      </c>
      <c r="H6692" s="140" t="s">
        <v>6330</v>
      </c>
      <c r="I6692" s="140" t="s">
        <v>6313</v>
      </c>
      <c r="J6692" s="140" t="s">
        <v>6319</v>
      </c>
      <c r="K6692" s="140" t="s">
        <v>1573</v>
      </c>
    </row>
    <row r="6693">
      <c r="A6693" s="140" t="s">
        <v>2030</v>
      </c>
      <c r="B6693" s="143">
        <v>1.6503E12</v>
      </c>
      <c r="C6693" s="140" t="s">
        <v>2157</v>
      </c>
      <c r="D6693" s="140" t="s">
        <v>6318</v>
      </c>
      <c r="E6693" s="140" t="s">
        <v>1323</v>
      </c>
      <c r="F6693" s="140" t="s">
        <v>1340</v>
      </c>
      <c r="G6693" s="141" t="s">
        <v>6742</v>
      </c>
      <c r="H6693" s="140" t="s">
        <v>6330</v>
      </c>
      <c r="I6693" s="140" t="s">
        <v>6313</v>
      </c>
      <c r="J6693" s="140" t="s">
        <v>6319</v>
      </c>
      <c r="K6693" s="140" t="s">
        <v>1573</v>
      </c>
    </row>
    <row r="6694">
      <c r="A6694" s="140" t="s">
        <v>2030</v>
      </c>
      <c r="B6694" s="143">
        <v>1.6503E12</v>
      </c>
      <c r="C6694" s="140" t="s">
        <v>2158</v>
      </c>
      <c r="D6694" s="140" t="s">
        <v>6318</v>
      </c>
      <c r="E6694" s="140" t="s">
        <v>1323</v>
      </c>
      <c r="F6694" s="140" t="s">
        <v>1340</v>
      </c>
      <c r="G6694" s="141" t="s">
        <v>6742</v>
      </c>
      <c r="H6694" s="140" t="s">
        <v>6330</v>
      </c>
      <c r="I6694" s="140" t="s">
        <v>6313</v>
      </c>
      <c r="J6694" s="140" t="s">
        <v>6319</v>
      </c>
      <c r="K6694" s="140" t="s">
        <v>1573</v>
      </c>
    </row>
    <row r="6695">
      <c r="A6695" s="140" t="s">
        <v>2030</v>
      </c>
      <c r="B6695" s="143">
        <v>1.65419E12</v>
      </c>
      <c r="C6695" s="140" t="s">
        <v>2154</v>
      </c>
      <c r="D6695" s="140" t="s">
        <v>6318</v>
      </c>
      <c r="E6695" s="140" t="s">
        <v>1323</v>
      </c>
      <c r="F6695" s="140" t="s">
        <v>1340</v>
      </c>
      <c r="G6695" s="141" t="s">
        <v>6664</v>
      </c>
      <c r="H6695" s="140" t="s">
        <v>6330</v>
      </c>
      <c r="I6695" s="140" t="s">
        <v>6313</v>
      </c>
      <c r="J6695" s="140" t="s">
        <v>6319</v>
      </c>
      <c r="K6695" s="140" t="s">
        <v>1573</v>
      </c>
    </row>
    <row r="6696">
      <c r="A6696" s="140" t="s">
        <v>2030</v>
      </c>
      <c r="B6696" s="143">
        <v>1.65419E12</v>
      </c>
      <c r="C6696" s="140" t="s">
        <v>2155</v>
      </c>
      <c r="D6696" s="140" t="s">
        <v>6318</v>
      </c>
      <c r="E6696" s="140" t="s">
        <v>1323</v>
      </c>
      <c r="F6696" s="140" t="s">
        <v>1340</v>
      </c>
      <c r="G6696" s="141" t="s">
        <v>6664</v>
      </c>
      <c r="H6696" s="140" t="s">
        <v>6330</v>
      </c>
      <c r="I6696" s="140" t="s">
        <v>6313</v>
      </c>
      <c r="J6696" s="140" t="s">
        <v>6319</v>
      </c>
      <c r="K6696" s="140" t="s">
        <v>1573</v>
      </c>
    </row>
    <row r="6697">
      <c r="A6697" s="140" t="s">
        <v>1179</v>
      </c>
      <c r="B6697" s="140" t="s">
        <v>14770</v>
      </c>
      <c r="C6697" s="140" t="s">
        <v>14771</v>
      </c>
      <c r="D6697" s="140" t="s">
        <v>6318</v>
      </c>
      <c r="E6697" s="140" t="s">
        <v>1323</v>
      </c>
      <c r="F6697" s="140" t="s">
        <v>1340</v>
      </c>
      <c r="G6697" s="141" t="s">
        <v>6304</v>
      </c>
      <c r="H6697" s="140" t="s">
        <v>6312</v>
      </c>
      <c r="I6697" s="140" t="s">
        <v>6527</v>
      </c>
      <c r="J6697" s="140" t="s">
        <v>6319</v>
      </c>
      <c r="K6697" s="140" t="s">
        <v>1573</v>
      </c>
    </row>
    <row r="6698">
      <c r="A6698" s="140" t="s">
        <v>1179</v>
      </c>
      <c r="B6698" s="140" t="s">
        <v>14772</v>
      </c>
      <c r="C6698" s="140" t="s">
        <v>14773</v>
      </c>
      <c r="D6698" s="140" t="s">
        <v>6318</v>
      </c>
      <c r="E6698" s="140" t="s">
        <v>1323</v>
      </c>
      <c r="F6698" s="140" t="s">
        <v>1340</v>
      </c>
      <c r="G6698" s="141" t="s">
        <v>6304</v>
      </c>
      <c r="H6698" s="140" t="s">
        <v>6312</v>
      </c>
      <c r="I6698" s="140" t="s">
        <v>6527</v>
      </c>
      <c r="J6698" s="140" t="s">
        <v>6319</v>
      </c>
      <c r="K6698" s="140" t="s">
        <v>1573</v>
      </c>
    </row>
    <row r="6699">
      <c r="A6699" s="140" t="s">
        <v>1179</v>
      </c>
      <c r="B6699" s="140" t="s">
        <v>14774</v>
      </c>
      <c r="C6699" s="140" t="s">
        <v>14775</v>
      </c>
      <c r="D6699" s="140" t="s">
        <v>6318</v>
      </c>
      <c r="E6699" s="140" t="s">
        <v>1323</v>
      </c>
      <c r="F6699" s="140" t="s">
        <v>1340</v>
      </c>
      <c r="G6699" s="141" t="s">
        <v>6304</v>
      </c>
      <c r="H6699" s="140" t="s">
        <v>6330</v>
      </c>
      <c r="I6699" s="140" t="s">
        <v>6527</v>
      </c>
      <c r="J6699" s="140" t="s">
        <v>6319</v>
      </c>
      <c r="K6699" s="140" t="s">
        <v>1573</v>
      </c>
    </row>
    <row r="6700">
      <c r="A6700" s="140" t="s">
        <v>1179</v>
      </c>
      <c r="B6700" s="140" t="s">
        <v>14776</v>
      </c>
      <c r="C6700" s="140" t="s">
        <v>14777</v>
      </c>
      <c r="D6700" s="140" t="s">
        <v>6318</v>
      </c>
      <c r="E6700" s="140" t="s">
        <v>1323</v>
      </c>
      <c r="F6700" s="140" t="s">
        <v>1340</v>
      </c>
      <c r="G6700" s="141" t="s">
        <v>6304</v>
      </c>
      <c r="H6700" s="140" t="s">
        <v>6312</v>
      </c>
      <c r="I6700" s="140" t="s">
        <v>6527</v>
      </c>
      <c r="J6700" s="140" t="s">
        <v>6319</v>
      </c>
      <c r="K6700" s="140" t="s">
        <v>1573</v>
      </c>
    </row>
    <row r="6701">
      <c r="A6701" s="140" t="s">
        <v>1179</v>
      </c>
      <c r="B6701" s="140" t="s">
        <v>14778</v>
      </c>
      <c r="C6701" s="140" t="s">
        <v>14779</v>
      </c>
      <c r="D6701" s="140" t="s">
        <v>6318</v>
      </c>
      <c r="E6701" s="140" t="s">
        <v>1323</v>
      </c>
      <c r="F6701" s="140" t="s">
        <v>1340</v>
      </c>
      <c r="G6701" s="141" t="s">
        <v>6304</v>
      </c>
      <c r="H6701" s="140" t="s">
        <v>6330</v>
      </c>
      <c r="I6701" s="140" t="s">
        <v>6527</v>
      </c>
      <c r="J6701" s="140" t="s">
        <v>6319</v>
      </c>
      <c r="K6701" s="140" t="s">
        <v>1573</v>
      </c>
    </row>
    <row r="6702">
      <c r="A6702" s="140" t="s">
        <v>1179</v>
      </c>
      <c r="B6702" s="140" t="s">
        <v>14780</v>
      </c>
      <c r="C6702" s="140" t="s">
        <v>14781</v>
      </c>
      <c r="D6702" s="140" t="s">
        <v>6318</v>
      </c>
      <c r="E6702" s="140" t="s">
        <v>1323</v>
      </c>
      <c r="F6702" s="140" t="s">
        <v>1340</v>
      </c>
      <c r="G6702" s="141" t="s">
        <v>6304</v>
      </c>
      <c r="H6702" s="140" t="s">
        <v>6312</v>
      </c>
      <c r="I6702" s="140" t="s">
        <v>6527</v>
      </c>
      <c r="J6702" s="140" t="s">
        <v>6319</v>
      </c>
      <c r="K6702" s="140" t="s">
        <v>1573</v>
      </c>
    </row>
    <row r="6703">
      <c r="A6703" s="140" t="s">
        <v>1179</v>
      </c>
      <c r="B6703" s="140" t="s">
        <v>14782</v>
      </c>
      <c r="C6703" s="140" t="s">
        <v>14783</v>
      </c>
      <c r="D6703" s="140" t="s">
        <v>6318</v>
      </c>
      <c r="E6703" s="140" t="s">
        <v>1323</v>
      </c>
      <c r="F6703" s="140" t="s">
        <v>1340</v>
      </c>
      <c r="G6703" s="141" t="s">
        <v>6304</v>
      </c>
      <c r="H6703" s="140" t="s">
        <v>6312</v>
      </c>
      <c r="I6703" s="140" t="s">
        <v>6527</v>
      </c>
      <c r="J6703" s="140" t="s">
        <v>6319</v>
      </c>
      <c r="K6703" s="140" t="s">
        <v>1573</v>
      </c>
    </row>
    <row r="6704">
      <c r="A6704" s="140" t="s">
        <v>1179</v>
      </c>
      <c r="B6704" s="140" t="s">
        <v>14784</v>
      </c>
      <c r="C6704" s="140" t="s">
        <v>14785</v>
      </c>
      <c r="D6704" s="140" t="s">
        <v>6318</v>
      </c>
      <c r="E6704" s="140" t="s">
        <v>1323</v>
      </c>
      <c r="F6704" s="140" t="s">
        <v>1340</v>
      </c>
      <c r="G6704" s="141" t="s">
        <v>6304</v>
      </c>
      <c r="H6704" s="140" t="s">
        <v>6312</v>
      </c>
      <c r="I6704" s="140" t="s">
        <v>6527</v>
      </c>
      <c r="J6704" s="140" t="s">
        <v>6319</v>
      </c>
      <c r="K6704" s="140" t="s">
        <v>1573</v>
      </c>
    </row>
    <row r="6705">
      <c r="A6705" s="140" t="s">
        <v>1179</v>
      </c>
      <c r="B6705" s="140" t="s">
        <v>14786</v>
      </c>
      <c r="C6705" s="140" t="s">
        <v>14787</v>
      </c>
      <c r="D6705" s="140" t="s">
        <v>6318</v>
      </c>
      <c r="E6705" s="140" t="s">
        <v>1323</v>
      </c>
      <c r="F6705" s="140" t="s">
        <v>1340</v>
      </c>
      <c r="G6705" s="141" t="s">
        <v>6304</v>
      </c>
      <c r="H6705" s="140" t="s">
        <v>6312</v>
      </c>
      <c r="I6705" s="140" t="s">
        <v>6527</v>
      </c>
      <c r="J6705" s="140" t="s">
        <v>6319</v>
      </c>
      <c r="K6705" s="140" t="s">
        <v>1573</v>
      </c>
    </row>
    <row r="6706">
      <c r="A6706" s="140" t="s">
        <v>1179</v>
      </c>
      <c r="B6706" s="140" t="s">
        <v>14788</v>
      </c>
      <c r="C6706" s="140" t="s">
        <v>14789</v>
      </c>
      <c r="D6706" s="140" t="s">
        <v>6318</v>
      </c>
      <c r="E6706" s="140" t="s">
        <v>1323</v>
      </c>
      <c r="F6706" s="140" t="s">
        <v>1340</v>
      </c>
      <c r="G6706" s="141" t="s">
        <v>6304</v>
      </c>
      <c r="H6706" s="140" t="s">
        <v>6312</v>
      </c>
      <c r="I6706" s="140" t="s">
        <v>6527</v>
      </c>
      <c r="J6706" s="140" t="s">
        <v>6319</v>
      </c>
      <c r="K6706" s="140" t="s">
        <v>1573</v>
      </c>
    </row>
    <row r="6707">
      <c r="A6707" s="140" t="s">
        <v>1179</v>
      </c>
      <c r="B6707" s="140" t="s">
        <v>14790</v>
      </c>
      <c r="C6707" s="140" t="s">
        <v>14791</v>
      </c>
      <c r="D6707" s="140" t="s">
        <v>6318</v>
      </c>
      <c r="E6707" s="140" t="s">
        <v>1323</v>
      </c>
      <c r="F6707" s="140" t="s">
        <v>1340</v>
      </c>
      <c r="G6707" s="141" t="s">
        <v>6304</v>
      </c>
      <c r="H6707" s="140" t="s">
        <v>6312</v>
      </c>
      <c r="I6707" s="140" t="s">
        <v>6527</v>
      </c>
      <c r="J6707" s="140" t="s">
        <v>6319</v>
      </c>
      <c r="K6707" s="140" t="s">
        <v>1573</v>
      </c>
    </row>
    <row r="6708">
      <c r="A6708" s="140" t="s">
        <v>1179</v>
      </c>
      <c r="B6708" s="143">
        <v>1.65722E12</v>
      </c>
      <c r="C6708" s="140" t="s">
        <v>14792</v>
      </c>
      <c r="D6708" s="140" t="s">
        <v>6318</v>
      </c>
      <c r="E6708" s="140" t="s">
        <v>1323</v>
      </c>
      <c r="F6708" s="140" t="s">
        <v>1340</v>
      </c>
      <c r="G6708" s="141" t="s">
        <v>6304</v>
      </c>
      <c r="H6708" s="140" t="s">
        <v>6330</v>
      </c>
      <c r="I6708" s="140" t="s">
        <v>6527</v>
      </c>
      <c r="J6708" s="140" t="s">
        <v>6319</v>
      </c>
      <c r="K6708" s="140" t="s">
        <v>1573</v>
      </c>
    </row>
    <row r="6709">
      <c r="A6709" s="140" t="s">
        <v>1179</v>
      </c>
      <c r="B6709" s="143">
        <v>1.65853E12</v>
      </c>
      <c r="C6709" s="140" t="s">
        <v>14793</v>
      </c>
      <c r="D6709" s="140" t="s">
        <v>6318</v>
      </c>
      <c r="E6709" s="140" t="s">
        <v>1323</v>
      </c>
      <c r="F6709" s="140" t="s">
        <v>1340</v>
      </c>
      <c r="G6709" s="141" t="s">
        <v>6304</v>
      </c>
      <c r="H6709" s="140" t="s">
        <v>6330</v>
      </c>
      <c r="I6709" s="140" t="s">
        <v>6527</v>
      </c>
      <c r="J6709" s="140" t="s">
        <v>6319</v>
      </c>
      <c r="K6709" s="140" t="s">
        <v>1573</v>
      </c>
    </row>
    <row r="6710">
      <c r="A6710" s="140" t="s">
        <v>1179</v>
      </c>
      <c r="B6710" s="143">
        <v>1.66086E12</v>
      </c>
      <c r="C6710" s="140" t="s">
        <v>2144</v>
      </c>
      <c r="D6710" s="140" t="s">
        <v>6318</v>
      </c>
      <c r="E6710" s="140" t="s">
        <v>1323</v>
      </c>
      <c r="F6710" s="140" t="s">
        <v>1340</v>
      </c>
      <c r="G6710" s="141" t="s">
        <v>6664</v>
      </c>
      <c r="H6710" s="140" t="s">
        <v>6330</v>
      </c>
      <c r="I6710" s="140" t="s">
        <v>6313</v>
      </c>
      <c r="J6710" s="140" t="s">
        <v>6319</v>
      </c>
      <c r="K6710" s="140" t="s">
        <v>1573</v>
      </c>
    </row>
    <row r="6711">
      <c r="A6711" s="140" t="s">
        <v>1179</v>
      </c>
      <c r="B6711" s="140" t="s">
        <v>14794</v>
      </c>
      <c r="C6711" s="140" t="s">
        <v>14795</v>
      </c>
      <c r="D6711" s="140" t="s">
        <v>6318</v>
      </c>
      <c r="E6711" s="140" t="s">
        <v>1323</v>
      </c>
      <c r="F6711" s="140" t="s">
        <v>1340</v>
      </c>
      <c r="G6711" s="141" t="s">
        <v>6304</v>
      </c>
      <c r="H6711" s="140" t="s">
        <v>6312</v>
      </c>
      <c r="I6711" s="140" t="s">
        <v>6527</v>
      </c>
      <c r="J6711" s="140" t="s">
        <v>6319</v>
      </c>
      <c r="K6711" s="140" t="s">
        <v>1573</v>
      </c>
    </row>
    <row r="6712">
      <c r="A6712" s="140" t="s">
        <v>2030</v>
      </c>
      <c r="B6712" s="143">
        <v>1.65421E12</v>
      </c>
      <c r="C6712" s="140" t="s">
        <v>14796</v>
      </c>
      <c r="D6712" s="140" t="s">
        <v>6318</v>
      </c>
      <c r="E6712" s="140" t="s">
        <v>1323</v>
      </c>
      <c r="F6712" s="140" t="s">
        <v>1340</v>
      </c>
      <c r="G6712" s="141" t="s">
        <v>6668</v>
      </c>
      <c r="H6712" s="140" t="s">
        <v>6330</v>
      </c>
      <c r="I6712" s="140" t="s">
        <v>6313</v>
      </c>
      <c r="J6712" s="140" t="s">
        <v>6319</v>
      </c>
      <c r="K6712" s="140" t="s">
        <v>1573</v>
      </c>
    </row>
    <row r="6713">
      <c r="A6713" s="140" t="s">
        <v>1179</v>
      </c>
      <c r="B6713" s="143">
        <v>1.66239E12</v>
      </c>
      <c r="C6713" s="140" t="s">
        <v>14797</v>
      </c>
      <c r="D6713" s="140" t="s">
        <v>6318</v>
      </c>
      <c r="E6713" s="140" t="s">
        <v>1323</v>
      </c>
      <c r="F6713" s="140" t="s">
        <v>1340</v>
      </c>
      <c r="G6713" s="141" t="s">
        <v>6304</v>
      </c>
      <c r="H6713" s="140" t="s">
        <v>6330</v>
      </c>
      <c r="I6713" s="140" t="s">
        <v>6527</v>
      </c>
      <c r="J6713" s="140" t="s">
        <v>6319</v>
      </c>
      <c r="K6713" s="140" t="s">
        <v>1573</v>
      </c>
    </row>
    <row r="6714">
      <c r="A6714" s="140" t="s">
        <v>1179</v>
      </c>
      <c r="B6714" s="143">
        <v>1.66239E12</v>
      </c>
      <c r="C6714" s="140" t="s">
        <v>14798</v>
      </c>
      <c r="D6714" s="140" t="s">
        <v>6318</v>
      </c>
      <c r="E6714" s="140" t="s">
        <v>1323</v>
      </c>
      <c r="F6714" s="140" t="s">
        <v>1340</v>
      </c>
      <c r="G6714" s="141" t="s">
        <v>6304</v>
      </c>
      <c r="H6714" s="140" t="s">
        <v>6330</v>
      </c>
      <c r="I6714" s="140" t="s">
        <v>6527</v>
      </c>
      <c r="J6714" s="140" t="s">
        <v>6319</v>
      </c>
      <c r="K6714" s="140" t="s">
        <v>1573</v>
      </c>
    </row>
    <row r="6715">
      <c r="A6715" s="140" t="s">
        <v>1179</v>
      </c>
      <c r="B6715" s="143">
        <v>1.64563E12</v>
      </c>
      <c r="C6715" s="140" t="s">
        <v>14799</v>
      </c>
      <c r="D6715" s="140" t="s">
        <v>6318</v>
      </c>
      <c r="E6715" s="140" t="s">
        <v>1323</v>
      </c>
      <c r="F6715" s="140" t="s">
        <v>1340</v>
      </c>
      <c r="G6715" s="141" t="s">
        <v>6742</v>
      </c>
      <c r="H6715" s="140" t="s">
        <v>6330</v>
      </c>
      <c r="I6715" s="140" t="s">
        <v>6313</v>
      </c>
      <c r="J6715" s="140" t="s">
        <v>6319</v>
      </c>
      <c r="K6715" s="140" t="s">
        <v>1573</v>
      </c>
    </row>
    <row r="6716">
      <c r="A6716" s="140" t="s">
        <v>1179</v>
      </c>
      <c r="B6716" s="143">
        <v>1.66086E12</v>
      </c>
      <c r="C6716" s="140" t="s">
        <v>2147</v>
      </c>
      <c r="D6716" s="140" t="s">
        <v>6318</v>
      </c>
      <c r="E6716" s="140" t="s">
        <v>1323</v>
      </c>
      <c r="F6716" s="140" t="s">
        <v>1340</v>
      </c>
      <c r="G6716" s="141" t="s">
        <v>6664</v>
      </c>
      <c r="H6716" s="140" t="s">
        <v>6330</v>
      </c>
      <c r="I6716" s="140" t="s">
        <v>6313</v>
      </c>
      <c r="J6716" s="140" t="s">
        <v>6319</v>
      </c>
      <c r="K6716" s="140" t="s">
        <v>1573</v>
      </c>
    </row>
    <row r="6717">
      <c r="A6717" s="140" t="s">
        <v>1179</v>
      </c>
      <c r="B6717" s="140" t="s">
        <v>14800</v>
      </c>
      <c r="C6717" s="140" t="s">
        <v>14801</v>
      </c>
      <c r="D6717" s="140" t="s">
        <v>6318</v>
      </c>
      <c r="E6717" s="140" t="s">
        <v>1323</v>
      </c>
      <c r="F6717" s="140" t="s">
        <v>1340</v>
      </c>
      <c r="G6717" s="141" t="s">
        <v>6304</v>
      </c>
      <c r="H6717" s="140" t="s">
        <v>6312</v>
      </c>
      <c r="I6717" s="140" t="s">
        <v>6527</v>
      </c>
      <c r="J6717" s="140" t="s">
        <v>6319</v>
      </c>
      <c r="K6717" s="140" t="s">
        <v>1573</v>
      </c>
    </row>
    <row r="6718">
      <c r="A6718" s="140" t="s">
        <v>1179</v>
      </c>
      <c r="B6718" s="143">
        <v>1.62742E12</v>
      </c>
      <c r="C6718" s="140" t="s">
        <v>14802</v>
      </c>
      <c r="D6718" s="140" t="s">
        <v>6318</v>
      </c>
      <c r="E6718" s="140" t="s">
        <v>1323</v>
      </c>
      <c r="F6718" s="140" t="s">
        <v>1340</v>
      </c>
      <c r="G6718" s="141" t="s">
        <v>6668</v>
      </c>
      <c r="H6718" s="140" t="s">
        <v>6330</v>
      </c>
      <c r="I6718" s="140" t="s">
        <v>6313</v>
      </c>
      <c r="J6718" s="140" t="s">
        <v>6319</v>
      </c>
      <c r="K6718" s="140" t="s">
        <v>1573</v>
      </c>
    </row>
    <row r="6719">
      <c r="A6719" s="140" t="s">
        <v>1179</v>
      </c>
      <c r="B6719" s="143">
        <v>6.73277E13</v>
      </c>
      <c r="C6719" s="140" t="s">
        <v>14803</v>
      </c>
      <c r="D6719" s="140" t="s">
        <v>6318</v>
      </c>
      <c r="E6719" s="140" t="s">
        <v>1323</v>
      </c>
      <c r="F6719" s="140" t="s">
        <v>1340</v>
      </c>
      <c r="G6719" s="141" t="s">
        <v>6664</v>
      </c>
      <c r="H6719" s="140" t="s">
        <v>6330</v>
      </c>
      <c r="I6719" s="140" t="s">
        <v>6313</v>
      </c>
      <c r="J6719" s="140" t="s">
        <v>6319</v>
      </c>
      <c r="K6719" s="140" t="s">
        <v>1573</v>
      </c>
    </row>
    <row r="6720">
      <c r="A6720" s="140" t="s">
        <v>1179</v>
      </c>
      <c r="B6720" s="140" t="s">
        <v>14804</v>
      </c>
      <c r="C6720" s="140" t="s">
        <v>14805</v>
      </c>
      <c r="D6720" s="140" t="s">
        <v>6318</v>
      </c>
      <c r="E6720" s="140" t="s">
        <v>1323</v>
      </c>
      <c r="F6720" s="140" t="s">
        <v>1340</v>
      </c>
      <c r="G6720" s="141" t="s">
        <v>6304</v>
      </c>
      <c r="H6720" s="140" t="s">
        <v>6312</v>
      </c>
      <c r="I6720" s="140" t="s">
        <v>6527</v>
      </c>
      <c r="J6720" s="140" t="s">
        <v>6319</v>
      </c>
      <c r="K6720" s="140" t="s">
        <v>1573</v>
      </c>
    </row>
    <row r="6721">
      <c r="A6721" s="140" t="s">
        <v>1179</v>
      </c>
      <c r="B6721" s="140" t="s">
        <v>1355</v>
      </c>
      <c r="C6721" s="140" t="s">
        <v>14806</v>
      </c>
      <c r="D6721" s="140" t="s">
        <v>6318</v>
      </c>
      <c r="E6721" s="140" t="s">
        <v>1323</v>
      </c>
      <c r="F6721" s="140" t="s">
        <v>1340</v>
      </c>
      <c r="G6721" s="141" t="s">
        <v>6401</v>
      </c>
      <c r="H6721" s="140" t="s">
        <v>6330</v>
      </c>
      <c r="I6721" s="140" t="s">
        <v>6313</v>
      </c>
      <c r="J6721" s="140" t="s">
        <v>6319</v>
      </c>
      <c r="K6721" s="140" t="s">
        <v>1573</v>
      </c>
    </row>
    <row r="6722">
      <c r="A6722" s="140" t="s">
        <v>1179</v>
      </c>
      <c r="B6722" s="143">
        <v>1.66086E12</v>
      </c>
      <c r="C6722" s="140" t="s">
        <v>2150</v>
      </c>
      <c r="D6722" s="140" t="s">
        <v>6318</v>
      </c>
      <c r="E6722" s="140" t="s">
        <v>1323</v>
      </c>
      <c r="F6722" s="140" t="s">
        <v>1340</v>
      </c>
      <c r="G6722" s="141" t="s">
        <v>134</v>
      </c>
      <c r="H6722" s="140" t="s">
        <v>6330</v>
      </c>
      <c r="I6722" s="140" t="s">
        <v>6313</v>
      </c>
      <c r="J6722" s="140" t="s">
        <v>6319</v>
      </c>
      <c r="K6722" s="140" t="s">
        <v>1573</v>
      </c>
    </row>
    <row r="6723">
      <c r="A6723" s="140" t="s">
        <v>1179</v>
      </c>
      <c r="B6723" s="143">
        <v>1.66086E12</v>
      </c>
      <c r="C6723" s="140" t="s">
        <v>2160</v>
      </c>
      <c r="D6723" s="140" t="s">
        <v>6318</v>
      </c>
      <c r="E6723" s="140" t="s">
        <v>1323</v>
      </c>
      <c r="F6723" s="140" t="s">
        <v>1371</v>
      </c>
      <c r="G6723" s="141" t="s">
        <v>6668</v>
      </c>
      <c r="H6723" s="140" t="s">
        <v>6330</v>
      </c>
      <c r="I6723" s="140" t="s">
        <v>6313</v>
      </c>
      <c r="J6723" s="140" t="s">
        <v>6319</v>
      </c>
      <c r="K6723" s="140" t="s">
        <v>1573</v>
      </c>
    </row>
    <row r="6724">
      <c r="A6724" s="140" t="s">
        <v>1179</v>
      </c>
      <c r="B6724" s="143">
        <v>1.62742E12</v>
      </c>
      <c r="C6724" s="140" t="s">
        <v>2162</v>
      </c>
      <c r="D6724" s="140" t="s">
        <v>6318</v>
      </c>
      <c r="E6724" s="140" t="s">
        <v>1323</v>
      </c>
      <c r="F6724" s="140" t="s">
        <v>1371</v>
      </c>
      <c r="G6724" s="141" t="s">
        <v>6664</v>
      </c>
      <c r="H6724" s="140" t="s">
        <v>6330</v>
      </c>
      <c r="I6724" s="140" t="s">
        <v>6313</v>
      </c>
      <c r="J6724" s="140" t="s">
        <v>6319</v>
      </c>
      <c r="K6724" s="140" t="s">
        <v>1573</v>
      </c>
    </row>
    <row r="6725">
      <c r="A6725" s="140" t="s">
        <v>1179</v>
      </c>
      <c r="B6725" s="140" t="s">
        <v>14807</v>
      </c>
      <c r="C6725" s="140" t="s">
        <v>14808</v>
      </c>
      <c r="D6725" s="140" t="s">
        <v>6318</v>
      </c>
      <c r="E6725" s="140" t="s">
        <v>1323</v>
      </c>
      <c r="F6725" s="140" t="s">
        <v>1371</v>
      </c>
      <c r="G6725" s="141" t="s">
        <v>6304</v>
      </c>
      <c r="H6725" s="140" t="s">
        <v>6312</v>
      </c>
      <c r="I6725" s="140" t="s">
        <v>6527</v>
      </c>
      <c r="J6725" s="140" t="s">
        <v>6319</v>
      </c>
      <c r="K6725" s="140" t="s">
        <v>1573</v>
      </c>
    </row>
    <row r="6726">
      <c r="A6726" s="140" t="s">
        <v>1179</v>
      </c>
      <c r="B6726" s="140" t="s">
        <v>14809</v>
      </c>
      <c r="C6726" s="140" t="s">
        <v>14810</v>
      </c>
      <c r="D6726" s="140" t="s">
        <v>6318</v>
      </c>
      <c r="E6726" s="140" t="s">
        <v>1323</v>
      </c>
      <c r="F6726" s="140" t="s">
        <v>1371</v>
      </c>
      <c r="G6726" s="141">
        <v>0.0</v>
      </c>
      <c r="H6726" s="140" t="s">
        <v>6312</v>
      </c>
      <c r="I6726" s="140" t="s">
        <v>6313</v>
      </c>
      <c r="J6726" s="140" t="s">
        <v>6319</v>
      </c>
      <c r="K6726" s="140" t="s">
        <v>1573</v>
      </c>
    </row>
    <row r="6727">
      <c r="A6727" s="140" t="s">
        <v>1179</v>
      </c>
      <c r="B6727" s="140" t="s">
        <v>1376</v>
      </c>
      <c r="C6727" s="140" t="s">
        <v>14811</v>
      </c>
      <c r="D6727" s="140" t="s">
        <v>6318</v>
      </c>
      <c r="E6727" s="140" t="s">
        <v>1323</v>
      </c>
      <c r="F6727" s="140" t="s">
        <v>1371</v>
      </c>
      <c r="G6727" s="141" t="s">
        <v>6742</v>
      </c>
      <c r="H6727" s="140" t="s">
        <v>6330</v>
      </c>
      <c r="I6727" s="140" t="s">
        <v>6313</v>
      </c>
      <c r="J6727" s="140" t="s">
        <v>6319</v>
      </c>
      <c r="K6727" s="140" t="s">
        <v>1573</v>
      </c>
    </row>
    <row r="6728">
      <c r="A6728" s="140" t="s">
        <v>1179</v>
      </c>
      <c r="B6728" s="143">
        <v>1.66086E12</v>
      </c>
      <c r="C6728" s="140" t="s">
        <v>14812</v>
      </c>
      <c r="D6728" s="140" t="s">
        <v>6318</v>
      </c>
      <c r="E6728" s="140" t="s">
        <v>1323</v>
      </c>
      <c r="F6728" s="140" t="s">
        <v>1371</v>
      </c>
      <c r="G6728" s="141" t="s">
        <v>6742</v>
      </c>
      <c r="H6728" s="140" t="s">
        <v>6330</v>
      </c>
      <c r="I6728" s="140" t="s">
        <v>6313</v>
      </c>
      <c r="J6728" s="140" t="s">
        <v>6319</v>
      </c>
      <c r="K6728" s="140" t="s">
        <v>1573</v>
      </c>
    </row>
    <row r="6729">
      <c r="A6729" s="140" t="s">
        <v>1179</v>
      </c>
      <c r="B6729" s="140" t="s">
        <v>14813</v>
      </c>
      <c r="C6729" s="140" t="s">
        <v>14814</v>
      </c>
      <c r="D6729" s="140" t="s">
        <v>6318</v>
      </c>
      <c r="E6729" s="140" t="s">
        <v>1323</v>
      </c>
      <c r="F6729" s="140" t="s">
        <v>8149</v>
      </c>
      <c r="G6729" s="141" t="s">
        <v>6304</v>
      </c>
      <c r="H6729" s="140" t="s">
        <v>6312</v>
      </c>
      <c r="I6729" s="140" t="s">
        <v>6527</v>
      </c>
      <c r="J6729" s="140" t="s">
        <v>6319</v>
      </c>
      <c r="K6729" s="140" t="s">
        <v>1573</v>
      </c>
    </row>
    <row r="6730">
      <c r="A6730" s="140" t="s">
        <v>1179</v>
      </c>
      <c r="B6730" s="143">
        <v>6.85401E13</v>
      </c>
      <c r="C6730" s="140" t="s">
        <v>2165</v>
      </c>
      <c r="D6730" s="140" t="s">
        <v>6318</v>
      </c>
      <c r="E6730" s="140" t="s">
        <v>1323</v>
      </c>
      <c r="F6730" s="140" t="s">
        <v>1377</v>
      </c>
      <c r="G6730" s="141" t="s">
        <v>6668</v>
      </c>
      <c r="H6730" s="140" t="s">
        <v>6330</v>
      </c>
      <c r="I6730" s="140" t="s">
        <v>6313</v>
      </c>
      <c r="J6730" s="140" t="s">
        <v>6319</v>
      </c>
      <c r="K6730" s="140" t="s">
        <v>1573</v>
      </c>
    </row>
    <row r="6731">
      <c r="A6731" s="140" t="s">
        <v>1179</v>
      </c>
      <c r="B6731" s="143">
        <v>6.854E13</v>
      </c>
      <c r="C6731" s="140" t="s">
        <v>2166</v>
      </c>
      <c r="D6731" s="140" t="s">
        <v>6318</v>
      </c>
      <c r="E6731" s="140" t="s">
        <v>1323</v>
      </c>
      <c r="F6731" s="140" t="s">
        <v>1377</v>
      </c>
      <c r="G6731" s="141" t="s">
        <v>6668</v>
      </c>
      <c r="H6731" s="140" t="s">
        <v>6330</v>
      </c>
      <c r="I6731" s="140" t="s">
        <v>6313</v>
      </c>
      <c r="J6731" s="140" t="s">
        <v>6319</v>
      </c>
      <c r="K6731" s="140" t="s">
        <v>1573</v>
      </c>
    </row>
    <row r="6732">
      <c r="A6732" s="140" t="s">
        <v>1179</v>
      </c>
      <c r="B6732" s="140" t="s">
        <v>1386</v>
      </c>
      <c r="C6732" s="140" t="s">
        <v>14815</v>
      </c>
      <c r="D6732" s="140" t="s">
        <v>6318</v>
      </c>
      <c r="E6732" s="140" t="s">
        <v>1323</v>
      </c>
      <c r="F6732" s="140" t="s">
        <v>1377</v>
      </c>
      <c r="G6732" s="141" t="s">
        <v>6664</v>
      </c>
      <c r="H6732" s="140" t="s">
        <v>6330</v>
      </c>
      <c r="I6732" s="140" t="s">
        <v>6313</v>
      </c>
      <c r="J6732" s="140" t="s">
        <v>6319</v>
      </c>
      <c r="K6732" s="140" t="s">
        <v>1573</v>
      </c>
    </row>
    <row r="6733">
      <c r="A6733" s="140" t="s">
        <v>1179</v>
      </c>
      <c r="B6733" s="140" t="s">
        <v>1384</v>
      </c>
      <c r="C6733" s="140" t="s">
        <v>14816</v>
      </c>
      <c r="D6733" s="140" t="s">
        <v>6318</v>
      </c>
      <c r="E6733" s="140" t="s">
        <v>1323</v>
      </c>
      <c r="F6733" s="140" t="s">
        <v>1377</v>
      </c>
      <c r="G6733" s="141" t="s">
        <v>6664</v>
      </c>
      <c r="H6733" s="140" t="s">
        <v>6330</v>
      </c>
      <c r="I6733" s="140" t="s">
        <v>6313</v>
      </c>
      <c r="J6733" s="140" t="s">
        <v>6319</v>
      </c>
      <c r="K6733" s="140" t="s">
        <v>1573</v>
      </c>
    </row>
    <row r="6734">
      <c r="A6734" s="140" t="s">
        <v>1179</v>
      </c>
      <c r="B6734" s="143">
        <v>1.66086E12</v>
      </c>
      <c r="C6734" s="140" t="s">
        <v>2169</v>
      </c>
      <c r="D6734" s="140" t="s">
        <v>6318</v>
      </c>
      <c r="E6734" s="140" t="s">
        <v>1323</v>
      </c>
      <c r="F6734" s="140" t="s">
        <v>1377</v>
      </c>
      <c r="G6734" s="141" t="s">
        <v>6668</v>
      </c>
      <c r="H6734" s="140" t="s">
        <v>6330</v>
      </c>
      <c r="I6734" s="140" t="s">
        <v>6313</v>
      </c>
      <c r="J6734" s="140" t="s">
        <v>6319</v>
      </c>
      <c r="K6734" s="140" t="s">
        <v>1573</v>
      </c>
    </row>
    <row r="6735">
      <c r="A6735" s="140" t="s">
        <v>1179</v>
      </c>
      <c r="B6735" s="143">
        <v>1.66086E12</v>
      </c>
      <c r="C6735" s="140" t="s">
        <v>2170</v>
      </c>
      <c r="D6735" s="140" t="s">
        <v>6318</v>
      </c>
      <c r="E6735" s="140" t="s">
        <v>1323</v>
      </c>
      <c r="F6735" s="140" t="s">
        <v>1377</v>
      </c>
      <c r="G6735" s="142" t="s">
        <v>6668</v>
      </c>
      <c r="H6735" s="140" t="s">
        <v>6330</v>
      </c>
      <c r="I6735" s="140" t="s">
        <v>6313</v>
      </c>
      <c r="J6735" s="140" t="s">
        <v>6319</v>
      </c>
      <c r="K6735" s="140" t="s">
        <v>1573</v>
      </c>
    </row>
    <row r="6736">
      <c r="A6736" s="140" t="s">
        <v>1179</v>
      </c>
      <c r="B6736" s="140" t="s">
        <v>1390</v>
      </c>
      <c r="C6736" s="140" t="s">
        <v>14817</v>
      </c>
      <c r="D6736" s="140" t="s">
        <v>6318</v>
      </c>
      <c r="E6736" s="140" t="s">
        <v>1323</v>
      </c>
      <c r="F6736" s="140" t="s">
        <v>1377</v>
      </c>
      <c r="G6736" s="141" t="s">
        <v>6668</v>
      </c>
      <c r="H6736" s="140" t="s">
        <v>6330</v>
      </c>
      <c r="I6736" s="140" t="s">
        <v>6313</v>
      </c>
      <c r="J6736" s="140" t="s">
        <v>6319</v>
      </c>
      <c r="K6736" s="140" t="s">
        <v>1573</v>
      </c>
    </row>
    <row r="6737">
      <c r="A6737" s="140" t="s">
        <v>1179</v>
      </c>
      <c r="B6737" s="140" t="s">
        <v>1388</v>
      </c>
      <c r="C6737" s="140" t="s">
        <v>14818</v>
      </c>
      <c r="D6737" s="140" t="s">
        <v>6318</v>
      </c>
      <c r="E6737" s="140" t="s">
        <v>1323</v>
      </c>
      <c r="F6737" s="140" t="s">
        <v>1377</v>
      </c>
      <c r="G6737" s="141" t="s">
        <v>6668</v>
      </c>
      <c r="H6737" s="140" t="s">
        <v>6330</v>
      </c>
      <c r="I6737" s="140" t="s">
        <v>6313</v>
      </c>
      <c r="J6737" s="140" t="s">
        <v>6319</v>
      </c>
      <c r="K6737" s="140" t="s">
        <v>1573</v>
      </c>
    </row>
    <row r="6738">
      <c r="A6738" s="140" t="s">
        <v>1179</v>
      </c>
      <c r="B6738" s="140" t="s">
        <v>14819</v>
      </c>
      <c r="C6738" s="140" t="s">
        <v>14820</v>
      </c>
      <c r="D6738" s="140" t="s">
        <v>6318</v>
      </c>
      <c r="E6738" s="140" t="s">
        <v>1323</v>
      </c>
      <c r="F6738" s="140" t="s">
        <v>1377</v>
      </c>
      <c r="G6738" s="141" t="s">
        <v>6304</v>
      </c>
      <c r="H6738" s="140" t="s">
        <v>6312</v>
      </c>
      <c r="I6738" s="140" t="s">
        <v>6527</v>
      </c>
      <c r="J6738" s="140" t="s">
        <v>6319</v>
      </c>
      <c r="K6738" s="140" t="s">
        <v>1573</v>
      </c>
    </row>
    <row r="6739">
      <c r="A6739" s="140" t="s">
        <v>1179</v>
      </c>
      <c r="B6739" s="140" t="s">
        <v>14821</v>
      </c>
      <c r="C6739" s="140" t="s">
        <v>14822</v>
      </c>
      <c r="D6739" s="140" t="s">
        <v>6318</v>
      </c>
      <c r="E6739" s="140" t="s">
        <v>1323</v>
      </c>
      <c r="F6739" s="140" t="s">
        <v>1377</v>
      </c>
      <c r="G6739" s="141" t="s">
        <v>6304</v>
      </c>
      <c r="H6739" s="140" t="s">
        <v>6312</v>
      </c>
      <c r="I6739" s="140" t="s">
        <v>6527</v>
      </c>
      <c r="J6739" s="140" t="s">
        <v>6319</v>
      </c>
      <c r="K6739" s="140" t="s">
        <v>1573</v>
      </c>
    </row>
    <row r="6740">
      <c r="A6740" s="140" t="s">
        <v>1179</v>
      </c>
      <c r="B6740" s="143">
        <v>1.65999E12</v>
      </c>
      <c r="C6740" s="140" t="s">
        <v>14823</v>
      </c>
      <c r="D6740" s="140" t="s">
        <v>6318</v>
      </c>
      <c r="E6740" s="140" t="s">
        <v>1323</v>
      </c>
      <c r="F6740" s="140" t="s">
        <v>1377</v>
      </c>
      <c r="G6740" s="141" t="s">
        <v>134</v>
      </c>
      <c r="H6740" s="140" t="s">
        <v>6312</v>
      </c>
      <c r="I6740" s="140" t="s">
        <v>6313</v>
      </c>
      <c r="J6740" s="140" t="s">
        <v>6319</v>
      </c>
      <c r="K6740" s="140" t="s">
        <v>1573</v>
      </c>
    </row>
    <row r="6741">
      <c r="A6741" s="140" t="s">
        <v>1179</v>
      </c>
      <c r="B6741" s="140" t="s">
        <v>14824</v>
      </c>
      <c r="C6741" s="140" t="s">
        <v>14823</v>
      </c>
      <c r="D6741" s="140" t="s">
        <v>6318</v>
      </c>
      <c r="E6741" s="140" t="s">
        <v>1323</v>
      </c>
      <c r="F6741" s="140" t="s">
        <v>1377</v>
      </c>
      <c r="G6741" s="141" t="s">
        <v>6304</v>
      </c>
      <c r="H6741" s="140" t="s">
        <v>6312</v>
      </c>
      <c r="I6741" s="140" t="s">
        <v>6527</v>
      </c>
      <c r="J6741" s="140" t="s">
        <v>6319</v>
      </c>
      <c r="K6741" s="140" t="s">
        <v>1573</v>
      </c>
    </row>
    <row r="6742">
      <c r="A6742" s="140" t="s">
        <v>1179</v>
      </c>
      <c r="B6742" s="143">
        <v>1.62802E12</v>
      </c>
      <c r="C6742" s="140" t="s">
        <v>14825</v>
      </c>
      <c r="D6742" s="140" t="s">
        <v>6318</v>
      </c>
      <c r="E6742" s="140" t="s">
        <v>1391</v>
      </c>
      <c r="F6742" s="140" t="s">
        <v>1391</v>
      </c>
      <c r="G6742" s="141" t="s">
        <v>6401</v>
      </c>
      <c r="H6742" s="140" t="s">
        <v>6312</v>
      </c>
      <c r="I6742" s="140" t="s">
        <v>6313</v>
      </c>
      <c r="J6742" s="140" t="s">
        <v>6319</v>
      </c>
      <c r="K6742" s="140" t="s">
        <v>1573</v>
      </c>
    </row>
    <row r="6743">
      <c r="A6743" s="140" t="s">
        <v>1179</v>
      </c>
      <c r="B6743" s="143">
        <v>1.53554E12</v>
      </c>
      <c r="C6743" s="140" t="s">
        <v>14826</v>
      </c>
      <c r="D6743" s="140" t="s">
        <v>6318</v>
      </c>
      <c r="E6743" s="140" t="s">
        <v>1391</v>
      </c>
      <c r="F6743" s="140" t="s">
        <v>1391</v>
      </c>
      <c r="G6743" s="141" t="s">
        <v>6401</v>
      </c>
      <c r="H6743" s="140" t="s">
        <v>6312</v>
      </c>
      <c r="I6743" s="140" t="s">
        <v>6313</v>
      </c>
      <c r="J6743" s="140" t="s">
        <v>6319</v>
      </c>
      <c r="K6743" s="140" t="s">
        <v>1573</v>
      </c>
    </row>
    <row r="6744">
      <c r="A6744" s="140" t="s">
        <v>1179</v>
      </c>
      <c r="B6744" s="143">
        <v>1.65999E12</v>
      </c>
      <c r="C6744" s="140" t="s">
        <v>14827</v>
      </c>
      <c r="D6744" s="140" t="s">
        <v>6318</v>
      </c>
      <c r="E6744" s="140" t="s">
        <v>1395</v>
      </c>
      <c r="F6744" s="140" t="s">
        <v>1396</v>
      </c>
      <c r="G6744" s="141" t="s">
        <v>6664</v>
      </c>
      <c r="H6744" s="140" t="s">
        <v>6330</v>
      </c>
      <c r="I6744" s="140" t="s">
        <v>6313</v>
      </c>
      <c r="J6744" s="140" t="s">
        <v>6319</v>
      </c>
      <c r="K6744" s="140" t="s">
        <v>1573</v>
      </c>
    </row>
    <row r="6745">
      <c r="A6745" s="140" t="s">
        <v>1179</v>
      </c>
      <c r="B6745" s="143">
        <v>1.66187E12</v>
      </c>
      <c r="C6745" s="140" t="s">
        <v>14828</v>
      </c>
      <c r="D6745" s="140" t="s">
        <v>6318</v>
      </c>
      <c r="E6745" s="140" t="s">
        <v>1395</v>
      </c>
      <c r="F6745" s="140" t="s">
        <v>1396</v>
      </c>
      <c r="G6745" s="141" t="s">
        <v>6742</v>
      </c>
      <c r="H6745" s="140" t="s">
        <v>6330</v>
      </c>
      <c r="I6745" s="140" t="s">
        <v>6313</v>
      </c>
      <c r="J6745" s="140" t="s">
        <v>6319</v>
      </c>
      <c r="K6745" s="140" t="s">
        <v>1573</v>
      </c>
    </row>
    <row r="6746">
      <c r="A6746" s="140" t="s">
        <v>1179</v>
      </c>
      <c r="B6746" s="143">
        <v>1.65999E12</v>
      </c>
      <c r="C6746" s="140" t="s">
        <v>2178</v>
      </c>
      <c r="D6746" s="140" t="s">
        <v>6318</v>
      </c>
      <c r="E6746" s="140" t="s">
        <v>1395</v>
      </c>
      <c r="F6746" s="140" t="s">
        <v>1399</v>
      </c>
      <c r="G6746" s="141" t="s">
        <v>134</v>
      </c>
      <c r="H6746" s="140" t="s">
        <v>6312</v>
      </c>
      <c r="I6746" s="140" t="s">
        <v>6313</v>
      </c>
      <c r="J6746" s="140" t="s">
        <v>6319</v>
      </c>
      <c r="K6746" s="140" t="s">
        <v>1573</v>
      </c>
    </row>
    <row r="6747">
      <c r="A6747" s="140" t="s">
        <v>1179</v>
      </c>
      <c r="B6747" s="140" t="s">
        <v>1401</v>
      </c>
      <c r="C6747" s="140" t="s">
        <v>14829</v>
      </c>
      <c r="D6747" s="140" t="s">
        <v>6318</v>
      </c>
      <c r="E6747" s="140" t="s">
        <v>1395</v>
      </c>
      <c r="F6747" s="140" t="s">
        <v>1399</v>
      </c>
      <c r="G6747" s="141" t="s">
        <v>134</v>
      </c>
      <c r="H6747" s="140" t="s">
        <v>6312</v>
      </c>
      <c r="I6747" s="140" t="s">
        <v>6313</v>
      </c>
      <c r="J6747" s="140" t="s">
        <v>6319</v>
      </c>
      <c r="K6747" s="140" t="s">
        <v>1573</v>
      </c>
    </row>
    <row r="6748">
      <c r="A6748" s="140" t="s">
        <v>1179</v>
      </c>
      <c r="B6748" s="140" t="s">
        <v>1403</v>
      </c>
      <c r="C6748" s="140" t="s">
        <v>14830</v>
      </c>
      <c r="D6748" s="140" t="s">
        <v>6318</v>
      </c>
      <c r="E6748" s="140" t="s">
        <v>1395</v>
      </c>
      <c r="F6748" s="140" t="s">
        <v>1399</v>
      </c>
      <c r="G6748" s="141" t="s">
        <v>6742</v>
      </c>
      <c r="H6748" s="140" t="s">
        <v>6330</v>
      </c>
      <c r="I6748" s="140" t="s">
        <v>6313</v>
      </c>
      <c r="J6748" s="140" t="s">
        <v>6319</v>
      </c>
      <c r="K6748" s="140" t="s">
        <v>1573</v>
      </c>
    </row>
    <row r="6749">
      <c r="A6749" s="140" t="s">
        <v>1179</v>
      </c>
      <c r="B6749" s="140" t="s">
        <v>1405</v>
      </c>
      <c r="C6749" s="140" t="s">
        <v>14831</v>
      </c>
      <c r="D6749" s="140" t="s">
        <v>6318</v>
      </c>
      <c r="E6749" s="140" t="s">
        <v>1395</v>
      </c>
      <c r="F6749" s="140" t="s">
        <v>1399</v>
      </c>
      <c r="G6749" s="141" t="s">
        <v>134</v>
      </c>
      <c r="H6749" s="140" t="s">
        <v>6312</v>
      </c>
      <c r="I6749" s="140" t="s">
        <v>6313</v>
      </c>
      <c r="J6749" s="140" t="s">
        <v>6319</v>
      </c>
      <c r="K6749" s="140" t="s">
        <v>1573</v>
      </c>
    </row>
    <row r="6750">
      <c r="A6750" s="140" t="s">
        <v>1179</v>
      </c>
      <c r="B6750" s="140" t="s">
        <v>14832</v>
      </c>
      <c r="C6750" s="140" t="s">
        <v>14833</v>
      </c>
      <c r="D6750" s="140" t="s">
        <v>6318</v>
      </c>
      <c r="E6750" s="140" t="s">
        <v>1395</v>
      </c>
      <c r="F6750" s="140" t="s">
        <v>1399</v>
      </c>
      <c r="G6750" s="141" t="s">
        <v>6311</v>
      </c>
      <c r="H6750" s="140" t="s">
        <v>6330</v>
      </c>
      <c r="I6750" s="140" t="s">
        <v>6527</v>
      </c>
      <c r="J6750" s="140" t="s">
        <v>6319</v>
      </c>
      <c r="K6750" s="140" t="s">
        <v>1573</v>
      </c>
    </row>
    <row r="6751">
      <c r="A6751" s="140" t="s">
        <v>1179</v>
      </c>
      <c r="B6751" s="143">
        <v>1.66187E12</v>
      </c>
      <c r="C6751" s="140" t="s">
        <v>2179</v>
      </c>
      <c r="D6751" s="140" t="s">
        <v>6318</v>
      </c>
      <c r="E6751" s="140" t="s">
        <v>1395</v>
      </c>
      <c r="F6751" s="140" t="s">
        <v>1399</v>
      </c>
      <c r="G6751" s="141" t="s">
        <v>6664</v>
      </c>
      <c r="H6751" s="140" t="s">
        <v>6330</v>
      </c>
      <c r="I6751" s="140" t="s">
        <v>6313</v>
      </c>
      <c r="J6751" s="140" t="s">
        <v>6319</v>
      </c>
      <c r="K6751" s="140" t="s">
        <v>1573</v>
      </c>
    </row>
    <row r="6752">
      <c r="A6752" s="140" t="s">
        <v>1179</v>
      </c>
      <c r="B6752" s="140" t="s">
        <v>14834</v>
      </c>
      <c r="C6752" s="140" t="s">
        <v>14835</v>
      </c>
      <c r="D6752" s="140" t="s">
        <v>6318</v>
      </c>
      <c r="E6752" s="140" t="s">
        <v>1395</v>
      </c>
      <c r="F6752" s="140" t="s">
        <v>1399</v>
      </c>
      <c r="G6752" s="141" t="s">
        <v>6304</v>
      </c>
      <c r="H6752" s="140" t="s">
        <v>6312</v>
      </c>
      <c r="I6752" s="140" t="s">
        <v>6527</v>
      </c>
      <c r="J6752" s="140" t="s">
        <v>6319</v>
      </c>
      <c r="K6752" s="140" t="s">
        <v>1573</v>
      </c>
    </row>
    <row r="6753">
      <c r="A6753" s="140" t="s">
        <v>1179</v>
      </c>
      <c r="B6753" s="140" t="s">
        <v>14836</v>
      </c>
      <c r="C6753" s="140" t="s">
        <v>14837</v>
      </c>
      <c r="D6753" s="140" t="s">
        <v>6318</v>
      </c>
      <c r="E6753" s="140" t="s">
        <v>1395</v>
      </c>
      <c r="F6753" s="140" t="s">
        <v>1399</v>
      </c>
      <c r="G6753" s="141" t="s">
        <v>6311</v>
      </c>
      <c r="H6753" s="140" t="s">
        <v>6330</v>
      </c>
      <c r="I6753" s="140" t="s">
        <v>6527</v>
      </c>
      <c r="J6753" s="140" t="s">
        <v>6319</v>
      </c>
      <c r="K6753" s="140" t="s">
        <v>1573</v>
      </c>
    </row>
    <row r="6754">
      <c r="A6754" s="140" t="s">
        <v>1179</v>
      </c>
      <c r="B6754" s="140" t="s">
        <v>1410</v>
      </c>
      <c r="C6754" s="140" t="s">
        <v>14838</v>
      </c>
      <c r="D6754" s="140" t="s">
        <v>6318</v>
      </c>
      <c r="E6754" s="140" t="s">
        <v>1395</v>
      </c>
      <c r="F6754" s="140" t="s">
        <v>1408</v>
      </c>
      <c r="G6754" s="141" t="s">
        <v>134</v>
      </c>
      <c r="H6754" s="140" t="s">
        <v>6312</v>
      </c>
      <c r="I6754" s="140" t="s">
        <v>6313</v>
      </c>
      <c r="J6754" s="140" t="s">
        <v>6319</v>
      </c>
      <c r="K6754" s="140" t="s">
        <v>1573</v>
      </c>
    </row>
    <row r="6755">
      <c r="A6755" s="140" t="s">
        <v>1179</v>
      </c>
      <c r="B6755" s="140" t="s">
        <v>14839</v>
      </c>
      <c r="C6755" s="140" t="s">
        <v>14840</v>
      </c>
      <c r="D6755" s="140" t="s">
        <v>6318</v>
      </c>
      <c r="E6755" s="140" t="s">
        <v>1395</v>
      </c>
      <c r="F6755" s="140" t="s">
        <v>1408</v>
      </c>
      <c r="G6755" s="141">
        <v>0.0</v>
      </c>
      <c r="H6755" s="140" t="s">
        <v>6330</v>
      </c>
      <c r="I6755" s="140" t="s">
        <v>6527</v>
      </c>
      <c r="J6755" s="140" t="s">
        <v>6319</v>
      </c>
      <c r="K6755" s="140" t="s">
        <v>1573</v>
      </c>
    </row>
    <row r="6756">
      <c r="A6756" s="140" t="s">
        <v>1179</v>
      </c>
      <c r="B6756" s="140" t="s">
        <v>1412</v>
      </c>
      <c r="C6756" s="140" t="s">
        <v>14841</v>
      </c>
      <c r="D6756" s="140" t="s">
        <v>6318</v>
      </c>
      <c r="E6756" s="140" t="s">
        <v>1395</v>
      </c>
      <c r="F6756" s="140" t="s">
        <v>1408</v>
      </c>
      <c r="G6756" s="141" t="s">
        <v>134</v>
      </c>
      <c r="H6756" s="140" t="s">
        <v>6312</v>
      </c>
      <c r="I6756" s="140" t="s">
        <v>6313</v>
      </c>
      <c r="J6756" s="140" t="s">
        <v>6319</v>
      </c>
      <c r="K6756" s="140" t="s">
        <v>1573</v>
      </c>
    </row>
    <row r="6757">
      <c r="A6757" s="140" t="s">
        <v>1179</v>
      </c>
      <c r="B6757" s="140" t="s">
        <v>1418</v>
      </c>
      <c r="C6757" s="140" t="s">
        <v>14842</v>
      </c>
      <c r="D6757" s="140" t="s">
        <v>6318</v>
      </c>
      <c r="E6757" s="140" t="s">
        <v>1395</v>
      </c>
      <c r="F6757" s="140" t="s">
        <v>1408</v>
      </c>
      <c r="G6757" s="141" t="s">
        <v>6311</v>
      </c>
      <c r="H6757" s="140" t="s">
        <v>6330</v>
      </c>
      <c r="I6757" s="140" t="s">
        <v>6527</v>
      </c>
      <c r="J6757" s="140" t="s">
        <v>6319</v>
      </c>
      <c r="K6757" s="140" t="s">
        <v>1573</v>
      </c>
    </row>
    <row r="6758">
      <c r="A6758" s="140" t="s">
        <v>1179</v>
      </c>
      <c r="B6758" s="140" t="s">
        <v>14843</v>
      </c>
      <c r="C6758" s="140" t="s">
        <v>14844</v>
      </c>
      <c r="D6758" s="140" t="s">
        <v>6318</v>
      </c>
      <c r="E6758" s="140" t="s">
        <v>1395</v>
      </c>
      <c r="F6758" s="140" t="s">
        <v>1408</v>
      </c>
      <c r="G6758" s="141" t="s">
        <v>6304</v>
      </c>
      <c r="H6758" s="140" t="s">
        <v>6330</v>
      </c>
      <c r="I6758" s="140" t="s">
        <v>6527</v>
      </c>
      <c r="J6758" s="140" t="s">
        <v>6319</v>
      </c>
      <c r="K6758" s="140" t="s">
        <v>1573</v>
      </c>
    </row>
    <row r="6759">
      <c r="A6759" s="140" t="s">
        <v>1179</v>
      </c>
      <c r="B6759" s="140" t="s">
        <v>1416</v>
      </c>
      <c r="C6759" s="140" t="s">
        <v>14845</v>
      </c>
      <c r="D6759" s="140" t="s">
        <v>6318</v>
      </c>
      <c r="E6759" s="140" t="s">
        <v>1395</v>
      </c>
      <c r="F6759" s="140" t="s">
        <v>1408</v>
      </c>
      <c r="G6759" s="141" t="s">
        <v>6668</v>
      </c>
      <c r="H6759" s="140" t="s">
        <v>6330</v>
      </c>
      <c r="I6759" s="140" t="s">
        <v>6313</v>
      </c>
      <c r="J6759" s="140" t="s">
        <v>6319</v>
      </c>
      <c r="K6759" s="140" t="s">
        <v>1573</v>
      </c>
    </row>
    <row r="6760">
      <c r="A6760" s="140" t="s">
        <v>1179</v>
      </c>
      <c r="B6760" s="140" t="s">
        <v>1414</v>
      </c>
      <c r="C6760" s="140" t="s">
        <v>14846</v>
      </c>
      <c r="D6760" s="140" t="s">
        <v>6318</v>
      </c>
      <c r="E6760" s="140" t="s">
        <v>1395</v>
      </c>
      <c r="F6760" s="140" t="s">
        <v>1408</v>
      </c>
      <c r="G6760" s="141" t="s">
        <v>6668</v>
      </c>
      <c r="H6760" s="140" t="s">
        <v>6330</v>
      </c>
      <c r="I6760" s="140" t="s">
        <v>6313</v>
      </c>
      <c r="J6760" s="140" t="s">
        <v>6319</v>
      </c>
      <c r="K6760" s="140" t="s">
        <v>1573</v>
      </c>
    </row>
    <row r="6761">
      <c r="A6761" s="140" t="s">
        <v>1179</v>
      </c>
      <c r="B6761" s="140" t="s">
        <v>14847</v>
      </c>
      <c r="C6761" s="140" t="s">
        <v>14848</v>
      </c>
      <c r="D6761" s="140" t="s">
        <v>6318</v>
      </c>
      <c r="E6761" s="140" t="s">
        <v>1395</v>
      </c>
      <c r="F6761" s="140" t="s">
        <v>1408</v>
      </c>
      <c r="G6761" s="141" t="s">
        <v>6304</v>
      </c>
      <c r="H6761" s="140" t="s">
        <v>6330</v>
      </c>
      <c r="I6761" s="140" t="s">
        <v>6527</v>
      </c>
      <c r="J6761" s="140" t="s">
        <v>6319</v>
      </c>
      <c r="K6761" s="140" t="s">
        <v>1573</v>
      </c>
    </row>
    <row r="6762">
      <c r="A6762" s="140" t="s">
        <v>1179</v>
      </c>
      <c r="B6762" s="140" t="s">
        <v>14849</v>
      </c>
      <c r="C6762" s="140" t="s">
        <v>14850</v>
      </c>
      <c r="D6762" s="140" t="s">
        <v>6318</v>
      </c>
      <c r="E6762" s="140" t="s">
        <v>1395</v>
      </c>
      <c r="F6762" s="140" t="s">
        <v>1408</v>
      </c>
      <c r="G6762" s="141">
        <v>0.0</v>
      </c>
      <c r="H6762" s="140" t="s">
        <v>6312</v>
      </c>
      <c r="I6762" s="140" t="s">
        <v>6313</v>
      </c>
      <c r="J6762" s="140" t="s">
        <v>6319</v>
      </c>
      <c r="K6762" s="140" t="s">
        <v>1573</v>
      </c>
    </row>
    <row r="6763">
      <c r="A6763" s="140" t="s">
        <v>1179</v>
      </c>
      <c r="B6763" s="140" t="s">
        <v>1425</v>
      </c>
      <c r="C6763" s="140" t="s">
        <v>2187</v>
      </c>
      <c r="D6763" s="140" t="s">
        <v>6318</v>
      </c>
      <c r="E6763" s="140" t="s">
        <v>1395</v>
      </c>
      <c r="F6763" s="140" t="s">
        <v>1421</v>
      </c>
      <c r="G6763" s="141" t="s">
        <v>6742</v>
      </c>
      <c r="H6763" s="140" t="s">
        <v>6330</v>
      </c>
      <c r="I6763" s="140" t="s">
        <v>6313</v>
      </c>
      <c r="J6763" s="140" t="s">
        <v>6319</v>
      </c>
      <c r="K6763" s="140" t="s">
        <v>1573</v>
      </c>
    </row>
    <row r="6764">
      <c r="A6764" s="140" t="s">
        <v>1179</v>
      </c>
      <c r="B6764" s="140" t="s">
        <v>1427</v>
      </c>
      <c r="C6764" s="140" t="s">
        <v>2188</v>
      </c>
      <c r="D6764" s="140" t="s">
        <v>6318</v>
      </c>
      <c r="E6764" s="140" t="s">
        <v>1395</v>
      </c>
      <c r="F6764" s="140" t="s">
        <v>1421</v>
      </c>
      <c r="G6764" s="142" t="s">
        <v>6742</v>
      </c>
      <c r="H6764" s="140" t="s">
        <v>6330</v>
      </c>
      <c r="I6764" s="140" t="s">
        <v>6313</v>
      </c>
      <c r="J6764" s="140" t="s">
        <v>6319</v>
      </c>
      <c r="K6764" s="140" t="s">
        <v>1573</v>
      </c>
    </row>
    <row r="6765">
      <c r="A6765" s="140" t="s">
        <v>1179</v>
      </c>
      <c r="B6765" s="140" t="s">
        <v>1431</v>
      </c>
      <c r="C6765" s="140" t="s">
        <v>2190</v>
      </c>
      <c r="D6765" s="140" t="s">
        <v>6318</v>
      </c>
      <c r="E6765" s="140" t="s">
        <v>1395</v>
      </c>
      <c r="F6765" s="140" t="s">
        <v>1421</v>
      </c>
      <c r="G6765" s="141" t="s">
        <v>6664</v>
      </c>
      <c r="H6765" s="140" t="s">
        <v>6330</v>
      </c>
      <c r="I6765" s="140" t="s">
        <v>6313</v>
      </c>
      <c r="J6765" s="140" t="s">
        <v>6319</v>
      </c>
      <c r="K6765" s="140" t="s">
        <v>1573</v>
      </c>
    </row>
    <row r="6766">
      <c r="A6766" s="140" t="s">
        <v>1179</v>
      </c>
      <c r="B6766" s="140" t="s">
        <v>1429</v>
      </c>
      <c r="C6766" s="140" t="s">
        <v>2189</v>
      </c>
      <c r="D6766" s="140" t="s">
        <v>6318</v>
      </c>
      <c r="E6766" s="140" t="s">
        <v>1395</v>
      </c>
      <c r="F6766" s="140" t="s">
        <v>1421</v>
      </c>
      <c r="G6766" s="141" t="s">
        <v>6664</v>
      </c>
      <c r="H6766" s="140" t="s">
        <v>6330</v>
      </c>
      <c r="I6766" s="140" t="s">
        <v>6313</v>
      </c>
      <c r="J6766" s="140" t="s">
        <v>6319</v>
      </c>
      <c r="K6766" s="140" t="s">
        <v>1573</v>
      </c>
    </row>
    <row r="6767">
      <c r="A6767" s="140" t="s">
        <v>1179</v>
      </c>
      <c r="B6767" s="140" t="s">
        <v>1433</v>
      </c>
      <c r="C6767" s="140" t="s">
        <v>2192</v>
      </c>
      <c r="D6767" s="140" t="s">
        <v>6318</v>
      </c>
      <c r="E6767" s="140" t="s">
        <v>1395</v>
      </c>
      <c r="F6767" s="140" t="s">
        <v>1421</v>
      </c>
      <c r="G6767" s="141" t="s">
        <v>6401</v>
      </c>
      <c r="H6767" s="140" t="s">
        <v>6330</v>
      </c>
      <c r="I6767" s="140" t="s">
        <v>6313</v>
      </c>
      <c r="J6767" s="140" t="s">
        <v>6319</v>
      </c>
      <c r="K6767" s="140" t="s">
        <v>1573</v>
      </c>
    </row>
    <row r="6768">
      <c r="A6768" s="140" t="s">
        <v>1179</v>
      </c>
      <c r="B6768" s="140" t="s">
        <v>1435</v>
      </c>
      <c r="C6768" s="140" t="s">
        <v>2194</v>
      </c>
      <c r="D6768" s="140" t="s">
        <v>6318</v>
      </c>
      <c r="E6768" s="140" t="s">
        <v>1395</v>
      </c>
      <c r="F6768" s="140" t="s">
        <v>1421</v>
      </c>
      <c r="G6768" s="141" t="s">
        <v>6401</v>
      </c>
      <c r="H6768" s="140" t="s">
        <v>6330</v>
      </c>
      <c r="I6768" s="140" t="s">
        <v>6313</v>
      </c>
      <c r="J6768" s="140" t="s">
        <v>6319</v>
      </c>
      <c r="K6768" s="140" t="s">
        <v>1573</v>
      </c>
    </row>
    <row r="6769">
      <c r="A6769" s="140" t="s">
        <v>14851</v>
      </c>
      <c r="B6769" s="143">
        <v>1.6516E12</v>
      </c>
      <c r="C6769" s="140" t="s">
        <v>14852</v>
      </c>
      <c r="D6769" s="140" t="s">
        <v>14853</v>
      </c>
      <c r="E6769" s="140" t="s">
        <v>14854</v>
      </c>
      <c r="F6769" s="140" t="s">
        <v>14855</v>
      </c>
      <c r="G6769" s="141" t="s">
        <v>6401</v>
      </c>
      <c r="H6769" s="140" t="s">
        <v>6312</v>
      </c>
      <c r="I6769" s="140" t="s">
        <v>6313</v>
      </c>
      <c r="J6769" s="140" t="s">
        <v>6314</v>
      </c>
      <c r="K6769" s="140" t="s">
        <v>14856</v>
      </c>
    </row>
    <row r="6770">
      <c r="A6770" s="140" t="s">
        <v>14851</v>
      </c>
      <c r="B6770" s="143">
        <v>1.6516E12</v>
      </c>
      <c r="C6770" s="140" t="s">
        <v>14857</v>
      </c>
      <c r="D6770" s="140" t="s">
        <v>14853</v>
      </c>
      <c r="E6770" s="140" t="s">
        <v>14854</v>
      </c>
      <c r="F6770" s="140" t="s">
        <v>14855</v>
      </c>
      <c r="G6770" s="141" t="s">
        <v>6401</v>
      </c>
      <c r="H6770" s="140" t="s">
        <v>6312</v>
      </c>
      <c r="I6770" s="140" t="s">
        <v>6313</v>
      </c>
      <c r="J6770" s="140" t="s">
        <v>6314</v>
      </c>
      <c r="K6770" s="140" t="s">
        <v>14856</v>
      </c>
    </row>
    <row r="6771">
      <c r="A6771" s="140" t="s">
        <v>14858</v>
      </c>
      <c r="B6771" s="143">
        <v>8.80943E12</v>
      </c>
      <c r="C6771" s="140" t="s">
        <v>14859</v>
      </c>
      <c r="D6771" s="140" t="s">
        <v>6620</v>
      </c>
      <c r="E6771" s="140" t="s">
        <v>6621</v>
      </c>
      <c r="F6771" s="140" t="s">
        <v>13409</v>
      </c>
      <c r="G6771" s="142" t="s">
        <v>6401</v>
      </c>
      <c r="H6771" s="140" t="s">
        <v>6312</v>
      </c>
      <c r="I6771" s="140" t="s">
        <v>6313</v>
      </c>
      <c r="J6771" s="140" t="s">
        <v>6314</v>
      </c>
      <c r="K6771" s="140" t="s">
        <v>6751</v>
      </c>
    </row>
    <row r="6772">
      <c r="A6772" s="140" t="s">
        <v>14858</v>
      </c>
      <c r="B6772" s="143">
        <v>8.80915E12</v>
      </c>
      <c r="C6772" s="140" t="s">
        <v>14860</v>
      </c>
      <c r="D6772" s="140" t="s">
        <v>6620</v>
      </c>
      <c r="E6772" s="140" t="s">
        <v>6621</v>
      </c>
      <c r="F6772" s="140" t="s">
        <v>8910</v>
      </c>
      <c r="G6772" s="141" t="s">
        <v>6401</v>
      </c>
      <c r="H6772" s="140" t="s">
        <v>6312</v>
      </c>
      <c r="I6772" s="140" t="s">
        <v>6313</v>
      </c>
      <c r="J6772" s="140" t="s">
        <v>6314</v>
      </c>
      <c r="K6772" s="140" t="s">
        <v>6751</v>
      </c>
    </row>
    <row r="6773">
      <c r="A6773" s="140" t="s">
        <v>14858</v>
      </c>
      <c r="B6773" s="143">
        <v>8.80943E12</v>
      </c>
      <c r="C6773" s="140" t="s">
        <v>14861</v>
      </c>
      <c r="D6773" s="140" t="s">
        <v>6620</v>
      </c>
      <c r="E6773" s="140" t="s">
        <v>6621</v>
      </c>
      <c r="F6773" s="140" t="s">
        <v>8910</v>
      </c>
      <c r="G6773" s="141" t="s">
        <v>6401</v>
      </c>
      <c r="H6773" s="140" t="s">
        <v>6312</v>
      </c>
      <c r="I6773" s="140" t="s">
        <v>6313</v>
      </c>
      <c r="J6773" s="140" t="s">
        <v>6314</v>
      </c>
      <c r="K6773" s="140" t="s">
        <v>6751</v>
      </c>
    </row>
    <row r="6774">
      <c r="A6774" s="140" t="s">
        <v>14858</v>
      </c>
      <c r="B6774" s="143">
        <v>8.80943E12</v>
      </c>
      <c r="C6774" s="140" t="s">
        <v>14862</v>
      </c>
      <c r="D6774" s="140" t="s">
        <v>6620</v>
      </c>
      <c r="E6774" s="140" t="s">
        <v>6621</v>
      </c>
      <c r="F6774" s="140" t="s">
        <v>8910</v>
      </c>
      <c r="G6774" s="141" t="s">
        <v>6401</v>
      </c>
      <c r="H6774" s="140" t="s">
        <v>6312</v>
      </c>
      <c r="I6774" s="140" t="s">
        <v>6313</v>
      </c>
      <c r="J6774" s="140" t="s">
        <v>6314</v>
      </c>
      <c r="K6774" s="140" t="s">
        <v>6751</v>
      </c>
    </row>
    <row r="6775">
      <c r="A6775" s="140" t="s">
        <v>14858</v>
      </c>
      <c r="B6775" s="143">
        <v>8.80915E12</v>
      </c>
      <c r="C6775" s="140" t="s">
        <v>14863</v>
      </c>
      <c r="D6775" s="140" t="s">
        <v>6620</v>
      </c>
      <c r="E6775" s="140" t="s">
        <v>6621</v>
      </c>
      <c r="F6775" s="140" t="s">
        <v>8910</v>
      </c>
      <c r="G6775" s="141" t="s">
        <v>6401</v>
      </c>
      <c r="H6775" s="140" t="s">
        <v>6312</v>
      </c>
      <c r="I6775" s="140" t="s">
        <v>6313</v>
      </c>
      <c r="J6775" s="140" t="s">
        <v>6314</v>
      </c>
      <c r="K6775" s="140" t="s">
        <v>6751</v>
      </c>
    </row>
    <row r="6776">
      <c r="A6776" s="140" t="s">
        <v>14858</v>
      </c>
      <c r="B6776" s="143">
        <v>8.80951E12</v>
      </c>
      <c r="C6776" s="140" t="s">
        <v>14864</v>
      </c>
      <c r="D6776" s="140" t="s">
        <v>6620</v>
      </c>
      <c r="E6776" s="140" t="s">
        <v>6621</v>
      </c>
      <c r="F6776" s="140" t="s">
        <v>6761</v>
      </c>
      <c r="G6776" s="141" t="s">
        <v>6401</v>
      </c>
      <c r="H6776" s="140" t="s">
        <v>6312</v>
      </c>
      <c r="I6776" s="140" t="s">
        <v>6313</v>
      </c>
      <c r="J6776" s="140" t="s">
        <v>6314</v>
      </c>
      <c r="K6776" s="140" t="s">
        <v>6751</v>
      </c>
    </row>
    <row r="6777">
      <c r="A6777" s="140" t="s">
        <v>14858</v>
      </c>
      <c r="B6777" s="143">
        <v>8.80943E12</v>
      </c>
      <c r="C6777" s="140" t="s">
        <v>14865</v>
      </c>
      <c r="D6777" s="140" t="s">
        <v>6620</v>
      </c>
      <c r="E6777" s="140" t="s">
        <v>6621</v>
      </c>
      <c r="F6777" s="140" t="s">
        <v>6761</v>
      </c>
      <c r="G6777" s="141" t="s">
        <v>6401</v>
      </c>
      <c r="H6777" s="140" t="s">
        <v>6312</v>
      </c>
      <c r="I6777" s="140" t="s">
        <v>6313</v>
      </c>
      <c r="J6777" s="140" t="s">
        <v>6314</v>
      </c>
      <c r="K6777" s="140" t="s">
        <v>6751</v>
      </c>
    </row>
    <row r="6778">
      <c r="A6778" s="140" t="s">
        <v>14858</v>
      </c>
      <c r="B6778" s="143">
        <v>8.80922E12</v>
      </c>
      <c r="C6778" s="140" t="s">
        <v>14866</v>
      </c>
      <c r="D6778" s="140" t="s">
        <v>6620</v>
      </c>
      <c r="E6778" s="140" t="s">
        <v>6621</v>
      </c>
      <c r="F6778" s="140" t="s">
        <v>6761</v>
      </c>
      <c r="G6778" s="141" t="s">
        <v>6401</v>
      </c>
      <c r="H6778" s="140" t="s">
        <v>6312</v>
      </c>
      <c r="I6778" s="140" t="s">
        <v>6313</v>
      </c>
      <c r="J6778" s="140" t="s">
        <v>6314</v>
      </c>
      <c r="K6778" s="140" t="s">
        <v>6751</v>
      </c>
    </row>
    <row r="6779">
      <c r="A6779" s="140" t="s">
        <v>14858</v>
      </c>
      <c r="B6779" s="143">
        <v>8.80951E12</v>
      </c>
      <c r="C6779" s="140" t="s">
        <v>14867</v>
      </c>
      <c r="D6779" s="140" t="s">
        <v>6620</v>
      </c>
      <c r="E6779" s="140" t="s">
        <v>6621</v>
      </c>
      <c r="F6779" s="140" t="s">
        <v>6761</v>
      </c>
      <c r="G6779" s="141" t="s">
        <v>6401</v>
      </c>
      <c r="H6779" s="140" t="s">
        <v>6312</v>
      </c>
      <c r="I6779" s="140" t="s">
        <v>6313</v>
      </c>
      <c r="J6779" s="140" t="s">
        <v>6314</v>
      </c>
      <c r="K6779" s="140" t="s">
        <v>6751</v>
      </c>
    </row>
    <row r="6780">
      <c r="A6780" s="140" t="s">
        <v>14858</v>
      </c>
      <c r="B6780" s="140" t="s">
        <v>6757</v>
      </c>
      <c r="C6780" s="140" t="s">
        <v>14868</v>
      </c>
      <c r="D6780" s="140" t="s">
        <v>6620</v>
      </c>
      <c r="E6780" s="140" t="s">
        <v>6621</v>
      </c>
      <c r="F6780" s="140" t="s">
        <v>6766</v>
      </c>
      <c r="G6780" s="141" t="s">
        <v>6401</v>
      </c>
      <c r="H6780" s="140" t="s">
        <v>6312</v>
      </c>
      <c r="I6780" s="140" t="s">
        <v>6313</v>
      </c>
      <c r="J6780" s="140" t="s">
        <v>6314</v>
      </c>
      <c r="K6780" s="140" t="s">
        <v>6751</v>
      </c>
    </row>
    <row r="6781">
      <c r="A6781" s="140" t="s">
        <v>14858</v>
      </c>
      <c r="B6781" s="143">
        <v>8.80933E12</v>
      </c>
      <c r="C6781" s="140" t="s">
        <v>14869</v>
      </c>
      <c r="D6781" s="140" t="s">
        <v>6620</v>
      </c>
      <c r="E6781" s="140" t="s">
        <v>6621</v>
      </c>
      <c r="F6781" s="140" t="s">
        <v>6766</v>
      </c>
      <c r="G6781" s="141" t="s">
        <v>6401</v>
      </c>
      <c r="H6781" s="140" t="s">
        <v>6312</v>
      </c>
      <c r="I6781" s="140" t="s">
        <v>6313</v>
      </c>
      <c r="J6781" s="140" t="s">
        <v>6314</v>
      </c>
      <c r="K6781" s="140" t="s">
        <v>6751</v>
      </c>
    </row>
    <row r="6782">
      <c r="A6782" s="140" t="s">
        <v>14858</v>
      </c>
      <c r="B6782" s="143">
        <v>8.80943E12</v>
      </c>
      <c r="C6782" s="140" t="s">
        <v>14870</v>
      </c>
      <c r="D6782" s="140" t="s">
        <v>6620</v>
      </c>
      <c r="E6782" s="140" t="s">
        <v>6621</v>
      </c>
      <c r="F6782" s="140" t="s">
        <v>12764</v>
      </c>
      <c r="G6782" s="141" t="s">
        <v>6401</v>
      </c>
      <c r="H6782" s="140" t="s">
        <v>6312</v>
      </c>
      <c r="I6782" s="140" t="s">
        <v>6313</v>
      </c>
      <c r="J6782" s="140" t="s">
        <v>6314</v>
      </c>
      <c r="K6782" s="140" t="s">
        <v>6751</v>
      </c>
    </row>
    <row r="6783">
      <c r="A6783" s="140" t="s">
        <v>14858</v>
      </c>
      <c r="B6783" s="143">
        <v>8.80933E12</v>
      </c>
      <c r="C6783" s="140" t="s">
        <v>14871</v>
      </c>
      <c r="D6783" s="140" t="s">
        <v>6620</v>
      </c>
      <c r="E6783" s="140" t="s">
        <v>6621</v>
      </c>
      <c r="F6783" s="140" t="s">
        <v>12764</v>
      </c>
      <c r="G6783" s="141" t="s">
        <v>6401</v>
      </c>
      <c r="H6783" s="140" t="s">
        <v>6312</v>
      </c>
      <c r="I6783" s="140" t="s">
        <v>6313</v>
      </c>
      <c r="J6783" s="140" t="s">
        <v>6314</v>
      </c>
      <c r="K6783" s="140" t="s">
        <v>6751</v>
      </c>
    </row>
    <row r="6784">
      <c r="A6784" s="140" t="s">
        <v>14858</v>
      </c>
      <c r="B6784" s="143">
        <v>8.80943E12</v>
      </c>
      <c r="C6784" s="140" t="s">
        <v>14872</v>
      </c>
      <c r="D6784" s="140" t="s">
        <v>6620</v>
      </c>
      <c r="E6784" s="140" t="s">
        <v>6621</v>
      </c>
      <c r="F6784" s="140" t="s">
        <v>12764</v>
      </c>
      <c r="G6784" s="141" t="s">
        <v>6401</v>
      </c>
      <c r="H6784" s="140" t="s">
        <v>6312</v>
      </c>
      <c r="I6784" s="140" t="s">
        <v>6313</v>
      </c>
      <c r="J6784" s="140" t="s">
        <v>6314</v>
      </c>
      <c r="K6784" s="140" t="s">
        <v>6751</v>
      </c>
    </row>
    <row r="6785">
      <c r="A6785" s="140" t="s">
        <v>14858</v>
      </c>
      <c r="B6785" s="143">
        <v>8.80951E12</v>
      </c>
      <c r="C6785" s="140" t="s">
        <v>14873</v>
      </c>
      <c r="D6785" s="140" t="s">
        <v>6620</v>
      </c>
      <c r="E6785" s="140" t="s">
        <v>6621</v>
      </c>
      <c r="F6785" s="140" t="s">
        <v>6775</v>
      </c>
      <c r="G6785" s="141" t="s">
        <v>6401</v>
      </c>
      <c r="H6785" s="140" t="s">
        <v>6312</v>
      </c>
      <c r="I6785" s="140" t="s">
        <v>6313</v>
      </c>
      <c r="J6785" s="140" t="s">
        <v>6314</v>
      </c>
      <c r="K6785" s="140" t="s">
        <v>6751</v>
      </c>
    </row>
    <row r="6786">
      <c r="A6786" s="140" t="s">
        <v>14858</v>
      </c>
      <c r="B6786" s="143">
        <v>8.80922E12</v>
      </c>
      <c r="C6786" s="140" t="s">
        <v>14874</v>
      </c>
      <c r="D6786" s="140" t="s">
        <v>6620</v>
      </c>
      <c r="E6786" s="140" t="s">
        <v>6621</v>
      </c>
      <c r="F6786" s="140" t="s">
        <v>6777</v>
      </c>
      <c r="G6786" s="141" t="s">
        <v>6401</v>
      </c>
      <c r="H6786" s="140" t="s">
        <v>6312</v>
      </c>
      <c r="I6786" s="140" t="s">
        <v>6313</v>
      </c>
      <c r="J6786" s="140" t="s">
        <v>6314</v>
      </c>
      <c r="K6786" s="140" t="s">
        <v>6751</v>
      </c>
    </row>
    <row r="6787">
      <c r="A6787" s="140" t="s">
        <v>14858</v>
      </c>
      <c r="B6787" s="143">
        <v>8.80951E12</v>
      </c>
      <c r="C6787" s="140" t="s">
        <v>14875</v>
      </c>
      <c r="D6787" s="140" t="s">
        <v>6620</v>
      </c>
      <c r="E6787" s="140" t="s">
        <v>6621</v>
      </c>
      <c r="F6787" s="140" t="s">
        <v>6777</v>
      </c>
      <c r="G6787" s="141" t="s">
        <v>6401</v>
      </c>
      <c r="H6787" s="140" t="s">
        <v>6312</v>
      </c>
      <c r="I6787" s="140" t="s">
        <v>6313</v>
      </c>
      <c r="J6787" s="140" t="s">
        <v>6314</v>
      </c>
      <c r="K6787" s="140" t="s">
        <v>6751</v>
      </c>
    </row>
    <row r="6788">
      <c r="A6788" s="140" t="s">
        <v>14858</v>
      </c>
      <c r="B6788" s="143">
        <v>8.80922E12</v>
      </c>
      <c r="C6788" s="140" t="s">
        <v>14876</v>
      </c>
      <c r="D6788" s="140" t="s">
        <v>6620</v>
      </c>
      <c r="E6788" s="140" t="s">
        <v>6621</v>
      </c>
      <c r="F6788" s="140" t="s">
        <v>6777</v>
      </c>
      <c r="G6788" s="141" t="s">
        <v>6401</v>
      </c>
      <c r="H6788" s="140" t="s">
        <v>6312</v>
      </c>
      <c r="I6788" s="140" t="s">
        <v>6313</v>
      </c>
      <c r="J6788" s="140" t="s">
        <v>6314</v>
      </c>
      <c r="K6788" s="140" t="s">
        <v>6751</v>
      </c>
    </row>
    <row r="6789">
      <c r="A6789" s="140" t="s">
        <v>14858</v>
      </c>
      <c r="B6789" s="152">
        <v>8.80951E12</v>
      </c>
      <c r="C6789" s="140" t="s">
        <v>14877</v>
      </c>
      <c r="D6789" s="140" t="s">
        <v>6620</v>
      </c>
      <c r="E6789" s="140" t="s">
        <v>6621</v>
      </c>
      <c r="F6789" s="140" t="s">
        <v>6777</v>
      </c>
      <c r="G6789" s="141" t="s">
        <v>6401</v>
      </c>
      <c r="H6789" s="140" t="s">
        <v>6312</v>
      </c>
      <c r="I6789" s="140" t="s">
        <v>6313</v>
      </c>
      <c r="J6789" s="140" t="s">
        <v>6314</v>
      </c>
      <c r="K6789" s="140" t="s">
        <v>6751</v>
      </c>
    </row>
    <row r="6790">
      <c r="A6790" s="140" t="s">
        <v>14858</v>
      </c>
      <c r="B6790" s="143">
        <v>8.80943E12</v>
      </c>
      <c r="C6790" s="140" t="s">
        <v>14878</v>
      </c>
      <c r="D6790" s="140" t="s">
        <v>6620</v>
      </c>
      <c r="E6790" s="140" t="s">
        <v>6621</v>
      </c>
      <c r="F6790" s="140" t="s">
        <v>6777</v>
      </c>
      <c r="G6790" s="141" t="s">
        <v>6401</v>
      </c>
      <c r="H6790" s="140" t="s">
        <v>6312</v>
      </c>
      <c r="I6790" s="140" t="s">
        <v>6313</v>
      </c>
      <c r="J6790" s="140" t="s">
        <v>6314</v>
      </c>
      <c r="K6790" s="140" t="s">
        <v>6751</v>
      </c>
    </row>
    <row r="6791">
      <c r="A6791" s="140" t="s">
        <v>14858</v>
      </c>
      <c r="B6791" s="143">
        <v>8.80915E12</v>
      </c>
      <c r="C6791" s="140" t="s">
        <v>14879</v>
      </c>
      <c r="D6791" s="140" t="s">
        <v>6620</v>
      </c>
      <c r="E6791" s="140" t="s">
        <v>6621</v>
      </c>
      <c r="F6791" s="140" t="s">
        <v>6777</v>
      </c>
      <c r="G6791" s="141" t="s">
        <v>6401</v>
      </c>
      <c r="H6791" s="140" t="s">
        <v>6312</v>
      </c>
      <c r="I6791" s="140" t="s">
        <v>6313</v>
      </c>
      <c r="J6791" s="140" t="s">
        <v>6314</v>
      </c>
      <c r="K6791" s="140" t="s">
        <v>6751</v>
      </c>
    </row>
    <row r="6792">
      <c r="A6792" s="140" t="s">
        <v>14858</v>
      </c>
      <c r="B6792" s="143">
        <v>8.80915E12</v>
      </c>
      <c r="C6792" s="140" t="s">
        <v>14880</v>
      </c>
      <c r="D6792" s="140" t="s">
        <v>6620</v>
      </c>
      <c r="E6792" s="140" t="s">
        <v>6621</v>
      </c>
      <c r="F6792" s="140" t="s">
        <v>6777</v>
      </c>
      <c r="G6792" s="141" t="s">
        <v>6401</v>
      </c>
      <c r="H6792" s="140" t="s">
        <v>6312</v>
      </c>
      <c r="I6792" s="140" t="s">
        <v>6313</v>
      </c>
      <c r="J6792" s="140" t="s">
        <v>6314</v>
      </c>
      <c r="K6792" s="140" t="s">
        <v>6751</v>
      </c>
    </row>
    <row r="6793">
      <c r="A6793" s="140" t="s">
        <v>14858</v>
      </c>
      <c r="B6793" s="143">
        <v>8.80915E12</v>
      </c>
      <c r="C6793" s="140" t="s">
        <v>14881</v>
      </c>
      <c r="D6793" s="140" t="s">
        <v>6620</v>
      </c>
      <c r="E6793" s="140" t="s">
        <v>6621</v>
      </c>
      <c r="F6793" s="140" t="s">
        <v>6777</v>
      </c>
      <c r="G6793" s="141" t="s">
        <v>6401</v>
      </c>
      <c r="H6793" s="140" t="s">
        <v>6312</v>
      </c>
      <c r="I6793" s="140" t="s">
        <v>6313</v>
      </c>
      <c r="J6793" s="140" t="s">
        <v>6314</v>
      </c>
      <c r="K6793" s="140" t="s">
        <v>6751</v>
      </c>
    </row>
    <row r="6794">
      <c r="A6794" s="140" t="s">
        <v>14858</v>
      </c>
      <c r="B6794" s="143">
        <v>8.80915E12</v>
      </c>
      <c r="C6794" s="140" t="s">
        <v>14882</v>
      </c>
      <c r="D6794" s="140" t="s">
        <v>6620</v>
      </c>
      <c r="E6794" s="140" t="s">
        <v>6621</v>
      </c>
      <c r="F6794" s="140" t="s">
        <v>6777</v>
      </c>
      <c r="G6794" s="141" t="s">
        <v>6401</v>
      </c>
      <c r="H6794" s="140" t="s">
        <v>6312</v>
      </c>
      <c r="I6794" s="140" t="s">
        <v>6313</v>
      </c>
      <c r="J6794" s="140" t="s">
        <v>6314</v>
      </c>
      <c r="K6794" s="140" t="s">
        <v>6751</v>
      </c>
    </row>
    <row r="6795">
      <c r="A6795" s="140" t="s">
        <v>14858</v>
      </c>
      <c r="B6795" s="143">
        <v>8.80915E12</v>
      </c>
      <c r="C6795" s="140" t="s">
        <v>14883</v>
      </c>
      <c r="D6795" s="140" t="s">
        <v>6620</v>
      </c>
      <c r="E6795" s="140" t="s">
        <v>6621</v>
      </c>
      <c r="F6795" s="140" t="s">
        <v>6777</v>
      </c>
      <c r="G6795" s="141" t="s">
        <v>6401</v>
      </c>
      <c r="H6795" s="140" t="s">
        <v>6312</v>
      </c>
      <c r="I6795" s="140" t="s">
        <v>6313</v>
      </c>
      <c r="J6795" s="140" t="s">
        <v>6314</v>
      </c>
      <c r="K6795" s="140" t="s">
        <v>6751</v>
      </c>
    </row>
    <row r="6796">
      <c r="A6796" s="140" t="s">
        <v>14858</v>
      </c>
      <c r="B6796" s="143">
        <v>8.80915E12</v>
      </c>
      <c r="C6796" s="140" t="s">
        <v>14884</v>
      </c>
      <c r="D6796" s="140" t="s">
        <v>6620</v>
      </c>
      <c r="E6796" s="140" t="s">
        <v>6621</v>
      </c>
      <c r="F6796" s="140" t="s">
        <v>6777</v>
      </c>
      <c r="G6796" s="141" t="s">
        <v>6401</v>
      </c>
      <c r="H6796" s="140" t="s">
        <v>6312</v>
      </c>
      <c r="I6796" s="140" t="s">
        <v>6313</v>
      </c>
      <c r="J6796" s="140" t="s">
        <v>6314</v>
      </c>
      <c r="K6796" s="140" t="s">
        <v>6751</v>
      </c>
    </row>
    <row r="6797">
      <c r="A6797" s="140" t="s">
        <v>14858</v>
      </c>
      <c r="B6797" s="143">
        <v>8.80915E12</v>
      </c>
      <c r="C6797" s="140" t="s">
        <v>14885</v>
      </c>
      <c r="D6797" s="140" t="s">
        <v>6620</v>
      </c>
      <c r="E6797" s="140" t="s">
        <v>6621</v>
      </c>
      <c r="F6797" s="140" t="s">
        <v>6777</v>
      </c>
      <c r="G6797" s="141" t="s">
        <v>6401</v>
      </c>
      <c r="H6797" s="140" t="s">
        <v>6312</v>
      </c>
      <c r="I6797" s="140" t="s">
        <v>6313</v>
      </c>
      <c r="J6797" s="140" t="s">
        <v>6314</v>
      </c>
      <c r="K6797" s="140" t="s">
        <v>6751</v>
      </c>
    </row>
    <row r="6798">
      <c r="A6798" s="140" t="s">
        <v>14858</v>
      </c>
      <c r="B6798" s="143">
        <v>8.80915E12</v>
      </c>
      <c r="C6798" s="140" t="s">
        <v>14886</v>
      </c>
      <c r="D6798" s="140" t="s">
        <v>6620</v>
      </c>
      <c r="E6798" s="140" t="s">
        <v>6621</v>
      </c>
      <c r="F6798" s="140" t="s">
        <v>6777</v>
      </c>
      <c r="G6798" s="141" t="s">
        <v>6401</v>
      </c>
      <c r="H6798" s="140" t="s">
        <v>6312</v>
      </c>
      <c r="I6798" s="140" t="s">
        <v>6313</v>
      </c>
      <c r="J6798" s="140" t="s">
        <v>6314</v>
      </c>
      <c r="K6798" s="140" t="s">
        <v>6751</v>
      </c>
    </row>
    <row r="6799">
      <c r="A6799" s="140" t="s">
        <v>14858</v>
      </c>
      <c r="B6799" s="143">
        <v>8.80915E12</v>
      </c>
      <c r="C6799" s="140" t="s">
        <v>14887</v>
      </c>
      <c r="D6799" s="140" t="s">
        <v>6620</v>
      </c>
      <c r="E6799" s="140" t="s">
        <v>6621</v>
      </c>
      <c r="F6799" s="140" t="s">
        <v>6777</v>
      </c>
      <c r="G6799" s="141" t="s">
        <v>6401</v>
      </c>
      <c r="H6799" s="140" t="s">
        <v>6312</v>
      </c>
      <c r="I6799" s="140" t="s">
        <v>6313</v>
      </c>
      <c r="J6799" s="140" t="s">
        <v>6314</v>
      </c>
      <c r="K6799" s="140" t="s">
        <v>6751</v>
      </c>
    </row>
    <row r="6800">
      <c r="A6800" s="140" t="s">
        <v>14858</v>
      </c>
      <c r="B6800" s="143">
        <v>8.80915E12</v>
      </c>
      <c r="C6800" s="140" t="s">
        <v>14888</v>
      </c>
      <c r="D6800" s="140" t="s">
        <v>6620</v>
      </c>
      <c r="E6800" s="140" t="s">
        <v>6621</v>
      </c>
      <c r="F6800" s="140" t="s">
        <v>6777</v>
      </c>
      <c r="G6800" s="141" t="s">
        <v>6401</v>
      </c>
      <c r="H6800" s="140" t="s">
        <v>6312</v>
      </c>
      <c r="I6800" s="140" t="s">
        <v>6313</v>
      </c>
      <c r="J6800" s="140" t="s">
        <v>6314</v>
      </c>
      <c r="K6800" s="140" t="s">
        <v>6751</v>
      </c>
    </row>
    <row r="6801">
      <c r="A6801" s="140" t="s">
        <v>14858</v>
      </c>
      <c r="B6801" s="143">
        <v>8.80915E12</v>
      </c>
      <c r="C6801" s="140" t="s">
        <v>14889</v>
      </c>
      <c r="D6801" s="140" t="s">
        <v>6620</v>
      </c>
      <c r="E6801" s="140" t="s">
        <v>6621</v>
      </c>
      <c r="F6801" s="140" t="s">
        <v>6777</v>
      </c>
      <c r="G6801" s="141" t="s">
        <v>6401</v>
      </c>
      <c r="H6801" s="140" t="s">
        <v>6312</v>
      </c>
      <c r="I6801" s="140" t="s">
        <v>6313</v>
      </c>
      <c r="J6801" s="140" t="s">
        <v>6314</v>
      </c>
      <c r="K6801" s="140" t="s">
        <v>6751</v>
      </c>
    </row>
    <row r="6802">
      <c r="A6802" s="140" t="s">
        <v>14858</v>
      </c>
      <c r="B6802" s="143">
        <v>8.80915E12</v>
      </c>
      <c r="C6802" s="140" t="s">
        <v>14890</v>
      </c>
      <c r="D6802" s="140" t="s">
        <v>6620</v>
      </c>
      <c r="E6802" s="140" t="s">
        <v>6621</v>
      </c>
      <c r="F6802" s="140" t="s">
        <v>6777</v>
      </c>
      <c r="G6802" s="141" t="s">
        <v>6401</v>
      </c>
      <c r="H6802" s="140" t="s">
        <v>6312</v>
      </c>
      <c r="I6802" s="140" t="s">
        <v>6313</v>
      </c>
      <c r="J6802" s="140" t="s">
        <v>6314</v>
      </c>
      <c r="K6802" s="140" t="s">
        <v>6751</v>
      </c>
    </row>
    <row r="6803">
      <c r="A6803" s="140" t="s">
        <v>14858</v>
      </c>
      <c r="B6803" s="143">
        <v>8.80951E12</v>
      </c>
      <c r="C6803" s="140" t="s">
        <v>14891</v>
      </c>
      <c r="D6803" s="140" t="s">
        <v>6620</v>
      </c>
      <c r="E6803" s="140" t="s">
        <v>6621</v>
      </c>
      <c r="F6803" s="140" t="s">
        <v>6777</v>
      </c>
      <c r="G6803" s="141" t="s">
        <v>6401</v>
      </c>
      <c r="H6803" s="140" t="s">
        <v>6312</v>
      </c>
      <c r="I6803" s="140" t="s">
        <v>6313</v>
      </c>
      <c r="J6803" s="140" t="s">
        <v>6314</v>
      </c>
      <c r="K6803" s="140" t="s">
        <v>6751</v>
      </c>
    </row>
    <row r="6804">
      <c r="A6804" s="140" t="s">
        <v>14858</v>
      </c>
      <c r="B6804" s="143">
        <v>8.80933E12</v>
      </c>
      <c r="C6804" s="140" t="s">
        <v>14892</v>
      </c>
      <c r="D6804" s="140" t="s">
        <v>6620</v>
      </c>
      <c r="E6804" s="140" t="s">
        <v>6621</v>
      </c>
      <c r="F6804" s="140" t="s">
        <v>6777</v>
      </c>
      <c r="G6804" s="141" t="s">
        <v>6401</v>
      </c>
      <c r="H6804" s="140" t="s">
        <v>6312</v>
      </c>
      <c r="I6804" s="140" t="s">
        <v>6313</v>
      </c>
      <c r="J6804" s="140" t="s">
        <v>6314</v>
      </c>
      <c r="K6804" s="140" t="s">
        <v>6751</v>
      </c>
    </row>
    <row r="6805">
      <c r="A6805" s="140" t="s">
        <v>14858</v>
      </c>
      <c r="B6805" s="143">
        <v>8.80915E12</v>
      </c>
      <c r="C6805" s="140" t="s">
        <v>14893</v>
      </c>
      <c r="D6805" s="140" t="s">
        <v>6620</v>
      </c>
      <c r="E6805" s="140" t="s">
        <v>6621</v>
      </c>
      <c r="F6805" s="140" t="s">
        <v>8945</v>
      </c>
      <c r="G6805" s="141" t="s">
        <v>6401</v>
      </c>
      <c r="H6805" s="140" t="s">
        <v>6312</v>
      </c>
      <c r="I6805" s="140" t="s">
        <v>6313</v>
      </c>
      <c r="J6805" s="140" t="s">
        <v>6314</v>
      </c>
      <c r="K6805" s="140" t="s">
        <v>6751</v>
      </c>
    </row>
    <row r="6806">
      <c r="A6806" s="140" t="s">
        <v>14894</v>
      </c>
      <c r="B6806" s="140">
        <v>34200.0</v>
      </c>
      <c r="C6806" s="140" t="s">
        <v>14895</v>
      </c>
      <c r="D6806" s="140" t="s">
        <v>6309</v>
      </c>
      <c r="E6806" s="140" t="s">
        <v>6310</v>
      </c>
      <c r="F6806" s="140" t="s">
        <v>6310</v>
      </c>
      <c r="G6806" s="141" t="s">
        <v>6311</v>
      </c>
      <c r="H6806" s="140" t="s">
        <v>6312</v>
      </c>
      <c r="I6806" s="140" t="s">
        <v>6313</v>
      </c>
      <c r="J6806" s="140" t="s">
        <v>6314</v>
      </c>
      <c r="K6806" s="140" t="s">
        <v>6315</v>
      </c>
    </row>
    <row r="6807">
      <c r="A6807" s="140" t="s">
        <v>14894</v>
      </c>
      <c r="B6807" s="140">
        <v>34201.0</v>
      </c>
      <c r="C6807" s="140" t="s">
        <v>14896</v>
      </c>
      <c r="D6807" s="140" t="s">
        <v>6309</v>
      </c>
      <c r="E6807" s="140" t="s">
        <v>6310</v>
      </c>
      <c r="F6807" s="140" t="s">
        <v>6310</v>
      </c>
      <c r="G6807" s="141" t="s">
        <v>6311</v>
      </c>
      <c r="H6807" s="140" t="s">
        <v>6312</v>
      </c>
      <c r="I6807" s="140" t="s">
        <v>6313</v>
      </c>
      <c r="J6807" s="140" t="s">
        <v>6314</v>
      </c>
      <c r="K6807" s="140" t="s">
        <v>6315</v>
      </c>
    </row>
    <row r="6808">
      <c r="A6808" s="140" t="s">
        <v>14894</v>
      </c>
      <c r="B6808" s="140">
        <v>261740.0</v>
      </c>
      <c r="C6808" s="140" t="s">
        <v>14897</v>
      </c>
      <c r="D6808" s="140" t="s">
        <v>6309</v>
      </c>
      <c r="E6808" s="140" t="s">
        <v>6310</v>
      </c>
      <c r="F6808" s="140" t="s">
        <v>6310</v>
      </c>
      <c r="G6808" s="141" t="s">
        <v>6311</v>
      </c>
      <c r="H6808" s="140" t="s">
        <v>6312</v>
      </c>
      <c r="I6808" s="140" t="s">
        <v>6313</v>
      </c>
      <c r="J6808" s="140" t="s">
        <v>6314</v>
      </c>
      <c r="K6808" s="140" t="s">
        <v>6315</v>
      </c>
    </row>
    <row r="6809">
      <c r="A6809" s="140" t="s">
        <v>14894</v>
      </c>
      <c r="B6809" s="140">
        <v>36366.0</v>
      </c>
      <c r="C6809" s="140" t="s">
        <v>14898</v>
      </c>
      <c r="D6809" s="140" t="s">
        <v>6309</v>
      </c>
      <c r="E6809" s="140" t="s">
        <v>6310</v>
      </c>
      <c r="F6809" s="140" t="s">
        <v>6310</v>
      </c>
      <c r="G6809" s="141" t="s">
        <v>6311</v>
      </c>
      <c r="H6809" s="140" t="s">
        <v>6312</v>
      </c>
      <c r="I6809" s="140" t="s">
        <v>6313</v>
      </c>
      <c r="J6809" s="140" t="s">
        <v>6314</v>
      </c>
      <c r="K6809" s="140" t="s">
        <v>6315</v>
      </c>
    </row>
    <row r="6810">
      <c r="A6810" s="140" t="s">
        <v>14894</v>
      </c>
      <c r="B6810" s="140">
        <v>35685.0</v>
      </c>
      <c r="C6810" s="140" t="s">
        <v>14899</v>
      </c>
      <c r="D6810" s="140" t="s">
        <v>6309</v>
      </c>
      <c r="E6810" s="140" t="s">
        <v>6310</v>
      </c>
      <c r="F6810" s="140" t="s">
        <v>6310</v>
      </c>
      <c r="G6810" s="141" t="s">
        <v>6311</v>
      </c>
      <c r="H6810" s="140" t="s">
        <v>6312</v>
      </c>
      <c r="I6810" s="140" t="s">
        <v>6313</v>
      </c>
      <c r="J6810" s="140" t="s">
        <v>6314</v>
      </c>
      <c r="K6810" s="140" t="s">
        <v>6315</v>
      </c>
    </row>
    <row r="6811">
      <c r="A6811" s="140" t="s">
        <v>14894</v>
      </c>
      <c r="B6811" s="140">
        <v>26173.0</v>
      </c>
      <c r="C6811" s="140" t="s">
        <v>14900</v>
      </c>
      <c r="D6811" s="140" t="s">
        <v>6309</v>
      </c>
      <c r="E6811" s="140" t="s">
        <v>6310</v>
      </c>
      <c r="F6811" s="140" t="s">
        <v>6310</v>
      </c>
      <c r="G6811" s="141" t="s">
        <v>6311</v>
      </c>
      <c r="H6811" s="140" t="s">
        <v>6312</v>
      </c>
      <c r="I6811" s="140" t="s">
        <v>6313</v>
      </c>
      <c r="J6811" s="140" t="s">
        <v>6314</v>
      </c>
      <c r="K6811" s="140" t="s">
        <v>6315</v>
      </c>
    </row>
    <row r="6812">
      <c r="A6812" s="140" t="s">
        <v>14894</v>
      </c>
      <c r="B6812" s="140">
        <v>26950.0</v>
      </c>
      <c r="C6812" s="140" t="s">
        <v>14901</v>
      </c>
      <c r="D6812" s="140" t="s">
        <v>6309</v>
      </c>
      <c r="E6812" s="140" t="s">
        <v>6310</v>
      </c>
      <c r="F6812" s="140" t="s">
        <v>6310</v>
      </c>
      <c r="G6812" s="141" t="s">
        <v>6311</v>
      </c>
      <c r="H6812" s="140" t="s">
        <v>6312</v>
      </c>
      <c r="I6812" s="140" t="s">
        <v>6313</v>
      </c>
      <c r="J6812" s="140" t="s">
        <v>6314</v>
      </c>
      <c r="K6812" s="140" t="s">
        <v>6315</v>
      </c>
    </row>
    <row r="6813">
      <c r="A6813" s="140" t="s">
        <v>14902</v>
      </c>
      <c r="B6813" s="140">
        <v>27721.0</v>
      </c>
      <c r="C6813" s="140" t="s">
        <v>14903</v>
      </c>
      <c r="D6813" s="140" t="s">
        <v>6309</v>
      </c>
      <c r="E6813" s="140" t="s">
        <v>6310</v>
      </c>
      <c r="F6813" s="140" t="s">
        <v>6310</v>
      </c>
      <c r="G6813" s="141" t="s">
        <v>6311</v>
      </c>
      <c r="H6813" s="140" t="s">
        <v>6312</v>
      </c>
      <c r="I6813" s="140" t="s">
        <v>6313</v>
      </c>
      <c r="J6813" s="140" t="s">
        <v>6314</v>
      </c>
      <c r="K6813" s="140" t="s">
        <v>6315</v>
      </c>
    </row>
    <row r="6814">
      <c r="A6814" s="140" t="s">
        <v>14902</v>
      </c>
      <c r="B6814" s="140">
        <v>27722.0</v>
      </c>
      <c r="C6814" s="140" t="s">
        <v>14904</v>
      </c>
      <c r="D6814" s="140" t="s">
        <v>6309</v>
      </c>
      <c r="E6814" s="140" t="s">
        <v>6310</v>
      </c>
      <c r="F6814" s="140" t="s">
        <v>6310</v>
      </c>
      <c r="G6814" s="141" t="s">
        <v>6311</v>
      </c>
      <c r="H6814" s="140" t="s">
        <v>6312</v>
      </c>
      <c r="I6814" s="140" t="s">
        <v>6313</v>
      </c>
      <c r="J6814" s="140" t="s">
        <v>6314</v>
      </c>
      <c r="K6814" s="140" t="s">
        <v>6315</v>
      </c>
    </row>
    <row r="6815">
      <c r="A6815" s="140" t="s">
        <v>14905</v>
      </c>
      <c r="B6815" s="140">
        <v>35193.0</v>
      </c>
      <c r="C6815" s="140" t="s">
        <v>14906</v>
      </c>
      <c r="D6815" s="140" t="s">
        <v>6309</v>
      </c>
      <c r="E6815" s="140" t="s">
        <v>6310</v>
      </c>
      <c r="F6815" s="140" t="s">
        <v>6310</v>
      </c>
      <c r="G6815" s="141" t="s">
        <v>6311</v>
      </c>
      <c r="H6815" s="140" t="s">
        <v>6312</v>
      </c>
      <c r="I6815" s="140" t="s">
        <v>6313</v>
      </c>
      <c r="J6815" s="140" t="s">
        <v>6314</v>
      </c>
      <c r="K6815" s="140" t="s">
        <v>6315</v>
      </c>
    </row>
    <row r="6816">
      <c r="A6816" s="140" t="s">
        <v>14905</v>
      </c>
      <c r="B6816" s="140">
        <v>21408.0</v>
      </c>
      <c r="C6816" s="140" t="s">
        <v>14907</v>
      </c>
      <c r="D6816" s="140" t="s">
        <v>6309</v>
      </c>
      <c r="E6816" s="140" t="s">
        <v>6310</v>
      </c>
      <c r="F6816" s="140" t="s">
        <v>6310</v>
      </c>
      <c r="G6816" s="141" t="s">
        <v>6311</v>
      </c>
      <c r="H6816" s="140" t="s">
        <v>6312</v>
      </c>
      <c r="I6816" s="140" t="s">
        <v>6313</v>
      </c>
      <c r="J6816" s="140" t="s">
        <v>6314</v>
      </c>
      <c r="K6816" s="140" t="s">
        <v>6315</v>
      </c>
    </row>
    <row r="6817">
      <c r="A6817" s="140" t="s">
        <v>14905</v>
      </c>
      <c r="B6817" s="140">
        <v>21407.0</v>
      </c>
      <c r="C6817" s="140" t="s">
        <v>14908</v>
      </c>
      <c r="D6817" s="140" t="s">
        <v>6309</v>
      </c>
      <c r="E6817" s="140" t="s">
        <v>6310</v>
      </c>
      <c r="F6817" s="140" t="s">
        <v>6310</v>
      </c>
      <c r="G6817" s="141" t="s">
        <v>6311</v>
      </c>
      <c r="H6817" s="140" t="s">
        <v>6312</v>
      </c>
      <c r="I6817" s="140" t="s">
        <v>6313</v>
      </c>
      <c r="J6817" s="140" t="s">
        <v>6314</v>
      </c>
      <c r="K6817" s="140" t="s">
        <v>6315</v>
      </c>
    </row>
    <row r="6818">
      <c r="A6818" s="140" t="s">
        <v>14905</v>
      </c>
      <c r="B6818" s="140">
        <v>34410.0</v>
      </c>
      <c r="C6818" s="140" t="s">
        <v>14909</v>
      </c>
      <c r="D6818" s="140" t="s">
        <v>6309</v>
      </c>
      <c r="E6818" s="140" t="s">
        <v>6310</v>
      </c>
      <c r="F6818" s="140" t="s">
        <v>6310</v>
      </c>
      <c r="G6818" s="141" t="s">
        <v>6311</v>
      </c>
      <c r="H6818" s="140" t="s">
        <v>6312</v>
      </c>
      <c r="I6818" s="140" t="s">
        <v>6313</v>
      </c>
      <c r="J6818" s="140" t="s">
        <v>6314</v>
      </c>
      <c r="K6818" s="140" t="s">
        <v>6315</v>
      </c>
    </row>
    <row r="6819">
      <c r="A6819" s="140" t="s">
        <v>14905</v>
      </c>
      <c r="B6819" s="140">
        <v>34147.0</v>
      </c>
      <c r="C6819" s="140" t="s">
        <v>14910</v>
      </c>
      <c r="D6819" s="140" t="s">
        <v>6309</v>
      </c>
      <c r="E6819" s="140" t="s">
        <v>6310</v>
      </c>
      <c r="F6819" s="140" t="s">
        <v>6310</v>
      </c>
      <c r="G6819" s="141" t="s">
        <v>6311</v>
      </c>
      <c r="H6819" s="140" t="s">
        <v>6312</v>
      </c>
      <c r="I6819" s="140" t="s">
        <v>6313</v>
      </c>
      <c r="J6819" s="140" t="s">
        <v>6314</v>
      </c>
      <c r="K6819" s="140" t="s">
        <v>6315</v>
      </c>
    </row>
    <row r="6820">
      <c r="A6820" s="140" t="s">
        <v>14905</v>
      </c>
      <c r="B6820" s="140">
        <v>34717.0</v>
      </c>
      <c r="C6820" s="140" t="s">
        <v>14911</v>
      </c>
      <c r="D6820" s="140" t="s">
        <v>6309</v>
      </c>
      <c r="E6820" s="140" t="s">
        <v>6310</v>
      </c>
      <c r="F6820" s="140" t="s">
        <v>6310</v>
      </c>
      <c r="G6820" s="141" t="s">
        <v>6311</v>
      </c>
      <c r="H6820" s="140" t="s">
        <v>6312</v>
      </c>
      <c r="I6820" s="140" t="s">
        <v>6313</v>
      </c>
      <c r="J6820" s="140" t="s">
        <v>6314</v>
      </c>
      <c r="K6820" s="140" t="s">
        <v>6315</v>
      </c>
    </row>
    <row r="6821">
      <c r="A6821" s="140" t="s">
        <v>14905</v>
      </c>
      <c r="B6821" s="140">
        <v>26721.0</v>
      </c>
      <c r="C6821" s="140" t="s">
        <v>14912</v>
      </c>
      <c r="D6821" s="140" t="s">
        <v>6309</v>
      </c>
      <c r="E6821" s="140" t="s">
        <v>6310</v>
      </c>
      <c r="F6821" s="140" t="s">
        <v>6310</v>
      </c>
      <c r="G6821" s="141" t="s">
        <v>6311</v>
      </c>
      <c r="H6821" s="140" t="s">
        <v>6312</v>
      </c>
      <c r="I6821" s="140" t="s">
        <v>6313</v>
      </c>
      <c r="J6821" s="140" t="s">
        <v>6314</v>
      </c>
      <c r="K6821" s="140" t="s">
        <v>6315</v>
      </c>
    </row>
    <row r="6822">
      <c r="A6822" s="140" t="s">
        <v>14905</v>
      </c>
      <c r="B6822" s="140">
        <v>269670.0</v>
      </c>
      <c r="C6822" s="140" t="s">
        <v>14913</v>
      </c>
      <c r="D6822" s="140" t="s">
        <v>6309</v>
      </c>
      <c r="E6822" s="140" t="s">
        <v>6310</v>
      </c>
      <c r="F6822" s="140" t="s">
        <v>6310</v>
      </c>
      <c r="G6822" s="141" t="s">
        <v>6311</v>
      </c>
      <c r="H6822" s="140" t="s">
        <v>6312</v>
      </c>
      <c r="I6822" s="140" t="s">
        <v>6313</v>
      </c>
      <c r="J6822" s="140" t="s">
        <v>6314</v>
      </c>
      <c r="K6822" s="140" t="s">
        <v>6315</v>
      </c>
    </row>
    <row r="6823">
      <c r="A6823" s="140" t="s">
        <v>14905</v>
      </c>
      <c r="B6823" s="140">
        <v>33743.0</v>
      </c>
      <c r="C6823" s="140" t="s">
        <v>14914</v>
      </c>
      <c r="D6823" s="140" t="s">
        <v>6309</v>
      </c>
      <c r="E6823" s="140" t="s">
        <v>6310</v>
      </c>
      <c r="F6823" s="140" t="s">
        <v>6310</v>
      </c>
      <c r="G6823" s="141" t="s">
        <v>6311</v>
      </c>
      <c r="H6823" s="140" t="s">
        <v>6312</v>
      </c>
      <c r="I6823" s="140" t="s">
        <v>6313</v>
      </c>
      <c r="J6823" s="140" t="s">
        <v>6314</v>
      </c>
      <c r="K6823" s="140" t="s">
        <v>6315</v>
      </c>
    </row>
    <row r="6824">
      <c r="A6824" s="140" t="s">
        <v>14905</v>
      </c>
      <c r="B6824" s="140">
        <v>33074.0</v>
      </c>
      <c r="C6824" s="140" t="s">
        <v>14915</v>
      </c>
      <c r="D6824" s="140" t="s">
        <v>6309</v>
      </c>
      <c r="E6824" s="140" t="s">
        <v>6310</v>
      </c>
      <c r="F6824" s="140" t="s">
        <v>6310</v>
      </c>
      <c r="G6824" s="141" t="s">
        <v>6311</v>
      </c>
      <c r="H6824" s="140" t="s">
        <v>6312</v>
      </c>
      <c r="I6824" s="140" t="s">
        <v>6313</v>
      </c>
      <c r="J6824" s="140" t="s">
        <v>6314</v>
      </c>
      <c r="K6824" s="140" t="s">
        <v>6315</v>
      </c>
    </row>
    <row r="6825">
      <c r="A6825" s="140" t="s">
        <v>14905</v>
      </c>
      <c r="B6825" s="140">
        <v>35944.0</v>
      </c>
      <c r="C6825" s="140" t="s">
        <v>14916</v>
      </c>
      <c r="D6825" s="140" t="s">
        <v>6309</v>
      </c>
      <c r="E6825" s="140" t="s">
        <v>6310</v>
      </c>
      <c r="F6825" s="140" t="s">
        <v>6310</v>
      </c>
      <c r="G6825" s="141" t="s">
        <v>6311</v>
      </c>
      <c r="H6825" s="140" t="s">
        <v>6312</v>
      </c>
      <c r="I6825" s="140" t="s">
        <v>6313</v>
      </c>
      <c r="J6825" s="140" t="s">
        <v>6314</v>
      </c>
      <c r="K6825" s="140" t="s">
        <v>6315</v>
      </c>
    </row>
    <row r="6826">
      <c r="A6826" s="140" t="s">
        <v>14917</v>
      </c>
      <c r="B6826" s="143">
        <v>7.9397E11</v>
      </c>
      <c r="C6826" s="140" t="s">
        <v>14918</v>
      </c>
      <c r="D6826" s="140" t="s">
        <v>7996</v>
      </c>
      <c r="E6826" s="140" t="s">
        <v>7997</v>
      </c>
      <c r="F6826" s="140" t="s">
        <v>14919</v>
      </c>
      <c r="G6826" s="141" t="s">
        <v>6304</v>
      </c>
      <c r="H6826" s="140" t="s">
        <v>6312</v>
      </c>
      <c r="I6826" s="140" t="s">
        <v>6527</v>
      </c>
      <c r="J6826" s="140" t="s">
        <v>6314</v>
      </c>
      <c r="K6826" s="140" t="s">
        <v>14917</v>
      </c>
    </row>
    <row r="6827">
      <c r="A6827" s="140" t="s">
        <v>14917</v>
      </c>
      <c r="B6827" s="143">
        <v>7.9397E11</v>
      </c>
      <c r="C6827" s="140" t="s">
        <v>14920</v>
      </c>
      <c r="D6827" s="140" t="s">
        <v>7996</v>
      </c>
      <c r="E6827" s="140" t="s">
        <v>7997</v>
      </c>
      <c r="F6827" s="140" t="s">
        <v>14919</v>
      </c>
      <c r="G6827" s="141" t="s">
        <v>6304</v>
      </c>
      <c r="H6827" s="140" t="s">
        <v>6312</v>
      </c>
      <c r="I6827" s="140" t="s">
        <v>6527</v>
      </c>
      <c r="J6827" s="140" t="s">
        <v>6314</v>
      </c>
      <c r="K6827" s="140" t="s">
        <v>14917</v>
      </c>
    </row>
    <row r="6828">
      <c r="A6828" s="140" t="s">
        <v>14917</v>
      </c>
      <c r="B6828" s="143">
        <v>7.9397E11</v>
      </c>
      <c r="C6828" s="140" t="s">
        <v>14921</v>
      </c>
      <c r="D6828" s="140" t="s">
        <v>7996</v>
      </c>
      <c r="E6828" s="140" t="s">
        <v>7997</v>
      </c>
      <c r="F6828" s="140" t="s">
        <v>14919</v>
      </c>
      <c r="G6828" s="141" t="s">
        <v>6304</v>
      </c>
      <c r="H6828" s="140" t="s">
        <v>6312</v>
      </c>
      <c r="I6828" s="140" t="s">
        <v>6527</v>
      </c>
      <c r="J6828" s="140" t="s">
        <v>6314</v>
      </c>
      <c r="K6828" s="140" t="s">
        <v>14917</v>
      </c>
    </row>
    <row r="6829">
      <c r="A6829" s="140" t="s">
        <v>14917</v>
      </c>
      <c r="B6829" s="143">
        <v>7.9397E11</v>
      </c>
      <c r="C6829" s="140" t="s">
        <v>14922</v>
      </c>
      <c r="D6829" s="140" t="s">
        <v>7996</v>
      </c>
      <c r="E6829" s="140" t="s">
        <v>7997</v>
      </c>
      <c r="F6829" s="140" t="s">
        <v>14919</v>
      </c>
      <c r="G6829" s="141" t="s">
        <v>6304</v>
      </c>
      <c r="H6829" s="140" t="s">
        <v>6312</v>
      </c>
      <c r="I6829" s="140" t="s">
        <v>6527</v>
      </c>
      <c r="J6829" s="140" t="s">
        <v>6314</v>
      </c>
      <c r="K6829" s="140" t="s">
        <v>14917</v>
      </c>
    </row>
    <row r="6830">
      <c r="A6830" s="140" t="s">
        <v>14917</v>
      </c>
      <c r="B6830" s="143">
        <v>7.9397E11</v>
      </c>
      <c r="C6830" s="140" t="s">
        <v>14923</v>
      </c>
      <c r="D6830" s="140" t="s">
        <v>7996</v>
      </c>
      <c r="E6830" s="140" t="s">
        <v>7997</v>
      </c>
      <c r="F6830" s="140" t="s">
        <v>14919</v>
      </c>
      <c r="G6830" s="141" t="s">
        <v>6304</v>
      </c>
      <c r="H6830" s="140" t="s">
        <v>6312</v>
      </c>
      <c r="I6830" s="140" t="s">
        <v>6527</v>
      </c>
      <c r="J6830" s="140" t="s">
        <v>6314</v>
      </c>
      <c r="K6830" s="140" t="s">
        <v>14917</v>
      </c>
    </row>
    <row r="6831">
      <c r="A6831" s="140" t="s">
        <v>14917</v>
      </c>
      <c r="B6831" s="143">
        <v>7.9397E11</v>
      </c>
      <c r="C6831" s="140" t="s">
        <v>14924</v>
      </c>
      <c r="D6831" s="140" t="s">
        <v>7996</v>
      </c>
      <c r="E6831" s="140" t="s">
        <v>7997</v>
      </c>
      <c r="F6831" s="140" t="s">
        <v>14919</v>
      </c>
      <c r="G6831" s="141" t="s">
        <v>6304</v>
      </c>
      <c r="H6831" s="140" t="s">
        <v>6312</v>
      </c>
      <c r="I6831" s="140" t="s">
        <v>6527</v>
      </c>
      <c r="J6831" s="140" t="s">
        <v>6314</v>
      </c>
      <c r="K6831" s="140" t="s">
        <v>14917</v>
      </c>
    </row>
    <row r="6832">
      <c r="A6832" s="140" t="s">
        <v>14917</v>
      </c>
      <c r="B6832" s="143">
        <v>7.41211E13</v>
      </c>
      <c r="C6832" s="140" t="s">
        <v>14925</v>
      </c>
      <c r="D6832" s="140" t="s">
        <v>7996</v>
      </c>
      <c r="E6832" s="140" t="s">
        <v>7997</v>
      </c>
      <c r="F6832" s="140" t="s">
        <v>14919</v>
      </c>
      <c r="G6832" s="141" t="s">
        <v>6311</v>
      </c>
      <c r="H6832" s="140" t="s">
        <v>6312</v>
      </c>
      <c r="I6832" s="140" t="s">
        <v>6313</v>
      </c>
      <c r="J6832" s="140" t="s">
        <v>6314</v>
      </c>
      <c r="K6832" s="140" t="s">
        <v>14917</v>
      </c>
    </row>
    <row r="6833">
      <c r="A6833" s="140" t="s">
        <v>14917</v>
      </c>
      <c r="B6833" s="143">
        <v>7.80468E12</v>
      </c>
      <c r="C6833" s="140" t="s">
        <v>14926</v>
      </c>
      <c r="D6833" s="140" t="s">
        <v>7996</v>
      </c>
      <c r="E6833" s="140" t="s">
        <v>7997</v>
      </c>
      <c r="F6833" s="140" t="s">
        <v>14919</v>
      </c>
      <c r="G6833" s="141" t="s">
        <v>6311</v>
      </c>
      <c r="H6833" s="140" t="s">
        <v>6312</v>
      </c>
      <c r="I6833" s="140" t="s">
        <v>6313</v>
      </c>
      <c r="J6833" s="140" t="s">
        <v>6314</v>
      </c>
      <c r="K6833" s="140" t="s">
        <v>14917</v>
      </c>
    </row>
    <row r="6834">
      <c r="A6834" s="140" t="s">
        <v>14917</v>
      </c>
      <c r="B6834" s="143">
        <v>7.80468E12</v>
      </c>
      <c r="C6834" s="140" t="s">
        <v>14927</v>
      </c>
      <c r="D6834" s="140" t="s">
        <v>7996</v>
      </c>
      <c r="E6834" s="140" t="s">
        <v>7997</v>
      </c>
      <c r="F6834" s="140" t="s">
        <v>14919</v>
      </c>
      <c r="G6834" s="141" t="s">
        <v>6311</v>
      </c>
      <c r="H6834" s="140" t="s">
        <v>6312</v>
      </c>
      <c r="I6834" s="140" t="s">
        <v>6313</v>
      </c>
      <c r="J6834" s="140" t="s">
        <v>6314</v>
      </c>
      <c r="K6834" s="140" t="s">
        <v>14917</v>
      </c>
    </row>
    <row r="6835">
      <c r="A6835" s="140" t="s">
        <v>14917</v>
      </c>
      <c r="B6835" s="143">
        <v>7.80468E12</v>
      </c>
      <c r="C6835" s="140" t="s">
        <v>14928</v>
      </c>
      <c r="D6835" s="140" t="s">
        <v>7996</v>
      </c>
      <c r="E6835" s="140" t="s">
        <v>7997</v>
      </c>
      <c r="F6835" s="140" t="s">
        <v>14919</v>
      </c>
      <c r="G6835" s="141" t="s">
        <v>6311</v>
      </c>
      <c r="H6835" s="140" t="s">
        <v>6312</v>
      </c>
      <c r="I6835" s="140" t="s">
        <v>6313</v>
      </c>
      <c r="J6835" s="140" t="s">
        <v>6314</v>
      </c>
      <c r="K6835" s="140" t="s">
        <v>14917</v>
      </c>
    </row>
    <row r="6836">
      <c r="A6836" s="140" t="s">
        <v>14917</v>
      </c>
      <c r="B6836" s="143">
        <v>7.41211E13</v>
      </c>
      <c r="C6836" s="140" t="s">
        <v>14929</v>
      </c>
      <c r="D6836" s="140" t="s">
        <v>7996</v>
      </c>
      <c r="E6836" s="140" t="s">
        <v>7997</v>
      </c>
      <c r="F6836" s="140" t="s">
        <v>14919</v>
      </c>
      <c r="G6836" s="141" t="s">
        <v>6311</v>
      </c>
      <c r="H6836" s="140" t="s">
        <v>6312</v>
      </c>
      <c r="I6836" s="140" t="s">
        <v>6313</v>
      </c>
      <c r="J6836" s="140" t="s">
        <v>6314</v>
      </c>
      <c r="K6836" s="140" t="s">
        <v>14917</v>
      </c>
    </row>
    <row r="6837">
      <c r="A6837" s="140" t="s">
        <v>14917</v>
      </c>
      <c r="B6837" s="143">
        <v>7.80468E12</v>
      </c>
      <c r="C6837" s="140" t="s">
        <v>14930</v>
      </c>
      <c r="D6837" s="140" t="s">
        <v>7996</v>
      </c>
      <c r="E6837" s="140" t="s">
        <v>7997</v>
      </c>
      <c r="F6837" s="140" t="s">
        <v>14919</v>
      </c>
      <c r="G6837" s="141" t="s">
        <v>6311</v>
      </c>
      <c r="H6837" s="140" t="s">
        <v>6312</v>
      </c>
      <c r="I6837" s="140" t="s">
        <v>6313</v>
      </c>
      <c r="J6837" s="140" t="s">
        <v>6314</v>
      </c>
      <c r="K6837" s="140" t="s">
        <v>14917</v>
      </c>
    </row>
    <row r="6838">
      <c r="A6838" s="140" t="s">
        <v>14917</v>
      </c>
      <c r="B6838" s="143">
        <v>7.80468E12</v>
      </c>
      <c r="C6838" s="140" t="s">
        <v>14931</v>
      </c>
      <c r="D6838" s="140" t="s">
        <v>7996</v>
      </c>
      <c r="E6838" s="140" t="s">
        <v>7997</v>
      </c>
      <c r="F6838" s="140" t="s">
        <v>14919</v>
      </c>
      <c r="G6838" s="141" t="s">
        <v>6311</v>
      </c>
      <c r="H6838" s="140" t="s">
        <v>6312</v>
      </c>
      <c r="I6838" s="140" t="s">
        <v>6313</v>
      </c>
      <c r="J6838" s="140" t="s">
        <v>6314</v>
      </c>
      <c r="K6838" s="140" t="s">
        <v>14917</v>
      </c>
    </row>
    <row r="6839">
      <c r="A6839" s="140" t="s">
        <v>14917</v>
      </c>
      <c r="B6839" s="143">
        <v>7.80468E12</v>
      </c>
      <c r="C6839" s="140" t="s">
        <v>14932</v>
      </c>
      <c r="D6839" s="140" t="s">
        <v>7996</v>
      </c>
      <c r="E6839" s="140" t="s">
        <v>7997</v>
      </c>
      <c r="F6839" s="140" t="s">
        <v>14919</v>
      </c>
      <c r="G6839" s="141" t="s">
        <v>6311</v>
      </c>
      <c r="H6839" s="140" t="s">
        <v>6312</v>
      </c>
      <c r="I6839" s="140" t="s">
        <v>6313</v>
      </c>
      <c r="J6839" s="140" t="s">
        <v>6314</v>
      </c>
      <c r="K6839" s="140" t="s">
        <v>14917</v>
      </c>
    </row>
    <row r="6840">
      <c r="A6840" s="140" t="s">
        <v>14917</v>
      </c>
      <c r="B6840" s="143">
        <v>7.80468E12</v>
      </c>
      <c r="C6840" s="140" t="s">
        <v>14933</v>
      </c>
      <c r="D6840" s="140" t="s">
        <v>7996</v>
      </c>
      <c r="E6840" s="140" t="s">
        <v>7997</v>
      </c>
      <c r="F6840" s="140" t="s">
        <v>14919</v>
      </c>
      <c r="G6840" s="141" t="s">
        <v>6311</v>
      </c>
      <c r="H6840" s="140" t="s">
        <v>6312</v>
      </c>
      <c r="I6840" s="140" t="s">
        <v>6313</v>
      </c>
      <c r="J6840" s="140" t="s">
        <v>6314</v>
      </c>
      <c r="K6840" s="140" t="s">
        <v>14917</v>
      </c>
    </row>
    <row r="6841">
      <c r="A6841" s="140" t="s">
        <v>14934</v>
      </c>
      <c r="B6841" s="140">
        <v>21647.0</v>
      </c>
      <c r="C6841" s="140" t="s">
        <v>14935</v>
      </c>
      <c r="D6841" s="140" t="s">
        <v>6309</v>
      </c>
      <c r="E6841" s="140" t="s">
        <v>6310</v>
      </c>
      <c r="F6841" s="140" t="s">
        <v>6310</v>
      </c>
      <c r="G6841" s="141" t="s">
        <v>6311</v>
      </c>
      <c r="H6841" s="140" t="s">
        <v>6312</v>
      </c>
      <c r="I6841" s="140" t="s">
        <v>6313</v>
      </c>
      <c r="J6841" s="140" t="s">
        <v>6314</v>
      </c>
      <c r="K6841" s="140" t="s">
        <v>6315</v>
      </c>
    </row>
    <row r="6842">
      <c r="A6842" s="140" t="s">
        <v>14934</v>
      </c>
      <c r="B6842" s="140">
        <v>26512.0</v>
      </c>
      <c r="C6842" s="140" t="s">
        <v>14936</v>
      </c>
      <c r="D6842" s="140" t="s">
        <v>6309</v>
      </c>
      <c r="E6842" s="140" t="s">
        <v>6310</v>
      </c>
      <c r="F6842" s="140" t="s">
        <v>6310</v>
      </c>
      <c r="G6842" s="141" t="s">
        <v>6311</v>
      </c>
      <c r="H6842" s="140" t="s">
        <v>6312</v>
      </c>
      <c r="I6842" s="140" t="s">
        <v>6313</v>
      </c>
      <c r="J6842" s="140" t="s">
        <v>6314</v>
      </c>
      <c r="K6842" s="140" t="s">
        <v>6315</v>
      </c>
    </row>
    <row r="6843">
      <c r="A6843" s="140" t="s">
        <v>14934</v>
      </c>
      <c r="B6843" s="140">
        <v>21639.0</v>
      </c>
      <c r="C6843" s="140" t="s">
        <v>14937</v>
      </c>
      <c r="D6843" s="140" t="s">
        <v>6309</v>
      </c>
      <c r="E6843" s="140" t="s">
        <v>6310</v>
      </c>
      <c r="F6843" s="140" t="s">
        <v>6310</v>
      </c>
      <c r="G6843" s="141" t="s">
        <v>6311</v>
      </c>
      <c r="H6843" s="140" t="s">
        <v>6312</v>
      </c>
      <c r="I6843" s="140" t="s">
        <v>6313</v>
      </c>
      <c r="J6843" s="140" t="s">
        <v>6314</v>
      </c>
      <c r="K6843" s="140" t="s">
        <v>6315</v>
      </c>
    </row>
    <row r="6844">
      <c r="A6844" s="140" t="s">
        <v>14938</v>
      </c>
      <c r="B6844" s="140">
        <v>16206.0</v>
      </c>
      <c r="C6844" s="140" t="s">
        <v>14939</v>
      </c>
      <c r="D6844" s="140" t="s">
        <v>6309</v>
      </c>
      <c r="E6844" s="140" t="s">
        <v>6310</v>
      </c>
      <c r="F6844" s="140" t="s">
        <v>6310</v>
      </c>
      <c r="G6844" s="141" t="s">
        <v>6311</v>
      </c>
      <c r="H6844" s="140" t="s">
        <v>6312</v>
      </c>
      <c r="I6844" s="140" t="s">
        <v>6313</v>
      </c>
      <c r="J6844" s="140" t="s">
        <v>6314</v>
      </c>
      <c r="K6844" s="140" t="s">
        <v>6315</v>
      </c>
    </row>
    <row r="6845">
      <c r="A6845" s="140" t="s">
        <v>14940</v>
      </c>
      <c r="B6845" s="143">
        <v>7.45853E11</v>
      </c>
      <c r="C6845" s="140" t="s">
        <v>14941</v>
      </c>
      <c r="D6845" s="140" t="s">
        <v>6318</v>
      </c>
      <c r="E6845" s="140" t="s">
        <v>1631</v>
      </c>
      <c r="F6845" s="140" t="s">
        <v>12441</v>
      </c>
      <c r="G6845" s="141" t="s">
        <v>6401</v>
      </c>
      <c r="H6845" s="140" t="s">
        <v>6312</v>
      </c>
      <c r="I6845" s="140" t="s">
        <v>6313</v>
      </c>
      <c r="J6845" s="140" t="s">
        <v>6314</v>
      </c>
      <c r="K6845" s="140" t="s">
        <v>14940</v>
      </c>
    </row>
    <row r="6846">
      <c r="A6846" s="140" t="s">
        <v>14940</v>
      </c>
      <c r="B6846" s="143">
        <v>7.88115E11</v>
      </c>
      <c r="C6846" s="140" t="s">
        <v>14942</v>
      </c>
      <c r="D6846" s="140" t="s">
        <v>6318</v>
      </c>
      <c r="E6846" s="140" t="s">
        <v>1631</v>
      </c>
      <c r="F6846" s="140" t="s">
        <v>12441</v>
      </c>
      <c r="G6846" s="141" t="s">
        <v>6401</v>
      </c>
      <c r="H6846" s="140" t="s">
        <v>6312</v>
      </c>
      <c r="I6846" s="140" t="s">
        <v>6313</v>
      </c>
      <c r="J6846" s="140" t="s">
        <v>6314</v>
      </c>
      <c r="K6846" s="140" t="s">
        <v>14940</v>
      </c>
    </row>
    <row r="6847">
      <c r="A6847" s="140" t="s">
        <v>14940</v>
      </c>
      <c r="B6847" s="143">
        <v>6.14144E11</v>
      </c>
      <c r="C6847" s="140" t="s">
        <v>14943</v>
      </c>
      <c r="D6847" s="140" t="s">
        <v>6318</v>
      </c>
      <c r="E6847" s="140" t="s">
        <v>1631</v>
      </c>
      <c r="F6847" s="140" t="s">
        <v>12441</v>
      </c>
      <c r="G6847" s="141" t="s">
        <v>6401</v>
      </c>
      <c r="H6847" s="140" t="s">
        <v>6312</v>
      </c>
      <c r="I6847" s="140" t="s">
        <v>6313</v>
      </c>
      <c r="J6847" s="140" t="s">
        <v>6314</v>
      </c>
      <c r="K6847" s="140" t="s">
        <v>14940</v>
      </c>
    </row>
    <row r="6848">
      <c r="A6848" s="140" t="s">
        <v>14940</v>
      </c>
      <c r="B6848" s="143">
        <v>7.45853E11</v>
      </c>
      <c r="C6848" s="140" t="s">
        <v>14944</v>
      </c>
      <c r="D6848" s="140" t="s">
        <v>6318</v>
      </c>
      <c r="E6848" s="140" t="s">
        <v>1631</v>
      </c>
      <c r="F6848" s="140" t="s">
        <v>12441</v>
      </c>
      <c r="G6848" s="141" t="s">
        <v>6401</v>
      </c>
      <c r="H6848" s="140" t="s">
        <v>6312</v>
      </c>
      <c r="I6848" s="140" t="s">
        <v>6313</v>
      </c>
      <c r="J6848" s="140" t="s">
        <v>6314</v>
      </c>
      <c r="K6848" s="140" t="s">
        <v>14940</v>
      </c>
    </row>
    <row r="6849">
      <c r="A6849" s="140" t="s">
        <v>14940</v>
      </c>
      <c r="B6849" s="143">
        <v>6.14144E11</v>
      </c>
      <c r="C6849" s="140" t="s">
        <v>14945</v>
      </c>
      <c r="D6849" s="140" t="s">
        <v>6318</v>
      </c>
      <c r="E6849" s="140" t="s">
        <v>1631</v>
      </c>
      <c r="F6849" s="140" t="s">
        <v>12441</v>
      </c>
      <c r="G6849" s="141" t="s">
        <v>6401</v>
      </c>
      <c r="H6849" s="140" t="s">
        <v>6312</v>
      </c>
      <c r="I6849" s="140" t="s">
        <v>6313</v>
      </c>
      <c r="J6849" s="140" t="s">
        <v>6314</v>
      </c>
      <c r="K6849" s="140" t="s">
        <v>14940</v>
      </c>
    </row>
    <row r="6850">
      <c r="A6850" s="140" t="s">
        <v>14940</v>
      </c>
      <c r="B6850" s="143">
        <v>7.8116E11</v>
      </c>
      <c r="C6850" s="140" t="s">
        <v>14946</v>
      </c>
      <c r="D6850" s="140" t="s">
        <v>6318</v>
      </c>
      <c r="E6850" s="140" t="s">
        <v>1631</v>
      </c>
      <c r="F6850" s="140" t="s">
        <v>12441</v>
      </c>
      <c r="G6850" s="141" t="s">
        <v>6401</v>
      </c>
      <c r="H6850" s="140" t="s">
        <v>6312</v>
      </c>
      <c r="I6850" s="140" t="s">
        <v>6313</v>
      </c>
      <c r="J6850" s="140" t="s">
        <v>6314</v>
      </c>
      <c r="K6850" s="140" t="s">
        <v>14940</v>
      </c>
    </row>
    <row r="6851">
      <c r="A6851" s="140" t="s">
        <v>14940</v>
      </c>
      <c r="B6851" s="143">
        <v>7.45853E11</v>
      </c>
      <c r="C6851" s="140" t="s">
        <v>14947</v>
      </c>
      <c r="D6851" s="140" t="s">
        <v>6318</v>
      </c>
      <c r="E6851" s="140" t="s">
        <v>1631</v>
      </c>
      <c r="F6851" s="140" t="s">
        <v>9899</v>
      </c>
      <c r="G6851" s="141" t="s">
        <v>6401</v>
      </c>
      <c r="H6851" s="140" t="s">
        <v>6312</v>
      </c>
      <c r="I6851" s="140" t="s">
        <v>6313</v>
      </c>
      <c r="J6851" s="140" t="s">
        <v>6314</v>
      </c>
      <c r="K6851" s="140" t="s">
        <v>14940</v>
      </c>
    </row>
    <row r="6852">
      <c r="A6852" s="140" t="s">
        <v>14940</v>
      </c>
      <c r="B6852" s="143">
        <v>7.45853E11</v>
      </c>
      <c r="C6852" s="140" t="s">
        <v>14948</v>
      </c>
      <c r="D6852" s="140" t="s">
        <v>6318</v>
      </c>
      <c r="E6852" s="140" t="s">
        <v>1631</v>
      </c>
      <c r="F6852" s="140" t="s">
        <v>9899</v>
      </c>
      <c r="G6852" s="141" t="s">
        <v>6401</v>
      </c>
      <c r="H6852" s="140" t="s">
        <v>6312</v>
      </c>
      <c r="I6852" s="140" t="s">
        <v>6313</v>
      </c>
      <c r="J6852" s="140" t="s">
        <v>6314</v>
      </c>
      <c r="K6852" s="140" t="s">
        <v>14940</v>
      </c>
    </row>
    <row r="6853">
      <c r="A6853" s="140" t="s">
        <v>14940</v>
      </c>
      <c r="B6853" s="143">
        <v>7.45853E11</v>
      </c>
      <c r="C6853" s="140" t="s">
        <v>14949</v>
      </c>
      <c r="D6853" s="140" t="s">
        <v>6318</v>
      </c>
      <c r="E6853" s="140" t="s">
        <v>1631</v>
      </c>
      <c r="F6853" s="140" t="s">
        <v>9899</v>
      </c>
      <c r="G6853" s="141" t="s">
        <v>6401</v>
      </c>
      <c r="H6853" s="140" t="s">
        <v>6312</v>
      </c>
      <c r="I6853" s="140" t="s">
        <v>6313</v>
      </c>
      <c r="J6853" s="140" t="s">
        <v>6314</v>
      </c>
      <c r="K6853" s="140" t="s">
        <v>14940</v>
      </c>
    </row>
    <row r="6854">
      <c r="A6854" s="140" t="s">
        <v>14940</v>
      </c>
      <c r="B6854" s="143">
        <v>7.45853E11</v>
      </c>
      <c r="C6854" s="140" t="s">
        <v>14950</v>
      </c>
      <c r="D6854" s="140" t="s">
        <v>6318</v>
      </c>
      <c r="E6854" s="140" t="s">
        <v>1631</v>
      </c>
      <c r="F6854" s="140" t="s">
        <v>9899</v>
      </c>
      <c r="G6854" s="141" t="s">
        <v>6401</v>
      </c>
      <c r="H6854" s="140" t="s">
        <v>6312</v>
      </c>
      <c r="I6854" s="140" t="s">
        <v>6313</v>
      </c>
      <c r="J6854" s="140" t="s">
        <v>6314</v>
      </c>
      <c r="K6854" s="140" t="s">
        <v>14940</v>
      </c>
    </row>
    <row r="6855">
      <c r="A6855" s="140" t="s">
        <v>14940</v>
      </c>
      <c r="B6855" s="143">
        <v>7.45853E11</v>
      </c>
      <c r="C6855" s="140" t="s">
        <v>14951</v>
      </c>
      <c r="D6855" s="140" t="s">
        <v>6318</v>
      </c>
      <c r="E6855" s="140" t="s">
        <v>1631</v>
      </c>
      <c r="F6855" s="140" t="s">
        <v>9899</v>
      </c>
      <c r="G6855" s="141" t="s">
        <v>6401</v>
      </c>
      <c r="H6855" s="140" t="s">
        <v>6312</v>
      </c>
      <c r="I6855" s="140" t="s">
        <v>6313</v>
      </c>
      <c r="J6855" s="140" t="s">
        <v>6314</v>
      </c>
      <c r="K6855" s="140" t="s">
        <v>14940</v>
      </c>
    </row>
    <row r="6856">
      <c r="A6856" s="140" t="s">
        <v>14940</v>
      </c>
      <c r="B6856" s="143">
        <v>7.99192E11</v>
      </c>
      <c r="C6856" s="140" t="s">
        <v>14952</v>
      </c>
      <c r="D6856" s="140" t="s">
        <v>6318</v>
      </c>
      <c r="E6856" s="140" t="s">
        <v>1631</v>
      </c>
      <c r="F6856" s="140" t="s">
        <v>9899</v>
      </c>
      <c r="G6856" s="141" t="s">
        <v>6311</v>
      </c>
      <c r="H6856" s="140" t="s">
        <v>6312</v>
      </c>
      <c r="I6856" s="140" t="s">
        <v>6313</v>
      </c>
      <c r="J6856" s="140" t="s">
        <v>6314</v>
      </c>
      <c r="K6856" s="140" t="s">
        <v>14940</v>
      </c>
    </row>
    <row r="6857">
      <c r="A6857" s="140" t="s">
        <v>14940</v>
      </c>
      <c r="B6857" s="143">
        <v>7.99192E11</v>
      </c>
      <c r="C6857" s="140" t="s">
        <v>14953</v>
      </c>
      <c r="D6857" s="140" t="s">
        <v>6318</v>
      </c>
      <c r="E6857" s="140" t="s">
        <v>1631</v>
      </c>
      <c r="F6857" s="140" t="s">
        <v>9909</v>
      </c>
      <c r="G6857" s="141" t="s">
        <v>6311</v>
      </c>
      <c r="H6857" s="140" t="s">
        <v>6312</v>
      </c>
      <c r="I6857" s="140" t="s">
        <v>6313</v>
      </c>
      <c r="J6857" s="140" t="s">
        <v>6314</v>
      </c>
      <c r="K6857" s="140" t="s">
        <v>14940</v>
      </c>
    </row>
    <row r="6858">
      <c r="A6858" s="140" t="s">
        <v>14940</v>
      </c>
      <c r="B6858" s="143">
        <v>7.45853E11</v>
      </c>
      <c r="C6858" s="140" t="s">
        <v>14954</v>
      </c>
      <c r="D6858" s="140" t="s">
        <v>6318</v>
      </c>
      <c r="E6858" s="140" t="s">
        <v>1631</v>
      </c>
      <c r="F6858" s="140" t="s">
        <v>9909</v>
      </c>
      <c r="G6858" s="141" t="s">
        <v>6401</v>
      </c>
      <c r="H6858" s="140" t="s">
        <v>6312</v>
      </c>
      <c r="I6858" s="140" t="s">
        <v>6313</v>
      </c>
      <c r="J6858" s="140" t="s">
        <v>6314</v>
      </c>
      <c r="K6858" s="140" t="s">
        <v>14940</v>
      </c>
    </row>
    <row r="6859">
      <c r="A6859" s="140" t="s">
        <v>14940</v>
      </c>
      <c r="B6859" s="143">
        <v>6.59526E11</v>
      </c>
      <c r="C6859" s="140" t="s">
        <v>14955</v>
      </c>
      <c r="D6859" s="140" t="s">
        <v>6318</v>
      </c>
      <c r="E6859" s="140" t="s">
        <v>1631</v>
      </c>
      <c r="F6859" s="140" t="s">
        <v>9909</v>
      </c>
      <c r="G6859" s="141" t="s">
        <v>6401</v>
      </c>
      <c r="H6859" s="140" t="s">
        <v>6312</v>
      </c>
      <c r="I6859" s="140" t="s">
        <v>6313</v>
      </c>
      <c r="J6859" s="140" t="s">
        <v>6314</v>
      </c>
      <c r="K6859" s="140" t="s">
        <v>14940</v>
      </c>
    </row>
    <row r="6860">
      <c r="A6860" s="140" t="s">
        <v>14940</v>
      </c>
      <c r="B6860" s="143">
        <v>7.99192E11</v>
      </c>
      <c r="C6860" s="140" t="s">
        <v>14956</v>
      </c>
      <c r="D6860" s="140" t="s">
        <v>6318</v>
      </c>
      <c r="E6860" s="140" t="s">
        <v>1631</v>
      </c>
      <c r="F6860" s="140" t="s">
        <v>9909</v>
      </c>
      <c r="G6860" s="141" t="s">
        <v>6311</v>
      </c>
      <c r="H6860" s="140" t="s">
        <v>6312</v>
      </c>
      <c r="I6860" s="140" t="s">
        <v>6313</v>
      </c>
      <c r="J6860" s="140" t="s">
        <v>6314</v>
      </c>
      <c r="K6860" s="140" t="s">
        <v>14940</v>
      </c>
    </row>
    <row r="6861">
      <c r="A6861" s="140" t="s">
        <v>14940</v>
      </c>
      <c r="B6861" s="143">
        <v>7.45853E11</v>
      </c>
      <c r="C6861" s="140" t="s">
        <v>14957</v>
      </c>
      <c r="D6861" s="140" t="s">
        <v>6318</v>
      </c>
      <c r="E6861" s="140" t="s">
        <v>1631</v>
      </c>
      <c r="F6861" s="140" t="s">
        <v>9909</v>
      </c>
      <c r="G6861" s="141" t="s">
        <v>6401</v>
      </c>
      <c r="H6861" s="140" t="s">
        <v>6312</v>
      </c>
      <c r="I6861" s="140" t="s">
        <v>6313</v>
      </c>
      <c r="J6861" s="140" t="s">
        <v>6314</v>
      </c>
      <c r="K6861" s="140" t="s">
        <v>14940</v>
      </c>
    </row>
    <row r="6862">
      <c r="A6862" s="140" t="s">
        <v>14940</v>
      </c>
      <c r="B6862" s="143">
        <v>6.59526E11</v>
      </c>
      <c r="C6862" s="140" t="s">
        <v>14958</v>
      </c>
      <c r="D6862" s="140" t="s">
        <v>6318</v>
      </c>
      <c r="E6862" s="140" t="s">
        <v>1631</v>
      </c>
      <c r="F6862" s="140" t="s">
        <v>9909</v>
      </c>
      <c r="G6862" s="141" t="s">
        <v>6401</v>
      </c>
      <c r="H6862" s="140" t="s">
        <v>6312</v>
      </c>
      <c r="I6862" s="140" t="s">
        <v>6313</v>
      </c>
      <c r="J6862" s="140" t="s">
        <v>6314</v>
      </c>
      <c r="K6862" s="140" t="s">
        <v>14940</v>
      </c>
    </row>
    <row r="6863">
      <c r="A6863" s="140" t="s">
        <v>14940</v>
      </c>
      <c r="B6863" s="143">
        <v>7.99192E11</v>
      </c>
      <c r="C6863" s="140" t="s">
        <v>14959</v>
      </c>
      <c r="D6863" s="140" t="s">
        <v>6318</v>
      </c>
      <c r="E6863" s="140" t="s">
        <v>1631</v>
      </c>
      <c r="F6863" s="140" t="s">
        <v>9909</v>
      </c>
      <c r="G6863" s="141" t="s">
        <v>6311</v>
      </c>
      <c r="H6863" s="140" t="s">
        <v>6312</v>
      </c>
      <c r="I6863" s="140" t="s">
        <v>6313</v>
      </c>
      <c r="J6863" s="140" t="s">
        <v>6314</v>
      </c>
      <c r="K6863" s="140" t="s">
        <v>14940</v>
      </c>
    </row>
    <row r="6864">
      <c r="A6864" s="140" t="s">
        <v>14940</v>
      </c>
      <c r="B6864" s="143">
        <v>6.59526E11</v>
      </c>
      <c r="C6864" s="140" t="s">
        <v>14960</v>
      </c>
      <c r="D6864" s="140" t="s">
        <v>6318</v>
      </c>
      <c r="E6864" s="140" t="s">
        <v>1631</v>
      </c>
      <c r="F6864" s="140" t="s">
        <v>9909</v>
      </c>
      <c r="G6864" s="141" t="s">
        <v>6401</v>
      </c>
      <c r="H6864" s="140" t="s">
        <v>6312</v>
      </c>
      <c r="I6864" s="140" t="s">
        <v>6313</v>
      </c>
      <c r="J6864" s="140" t="s">
        <v>6314</v>
      </c>
      <c r="K6864" s="140" t="s">
        <v>14940</v>
      </c>
    </row>
    <row r="6865">
      <c r="A6865" s="140" t="s">
        <v>14940</v>
      </c>
      <c r="B6865" s="143">
        <v>6.59526E11</v>
      </c>
      <c r="C6865" s="140" t="s">
        <v>14961</v>
      </c>
      <c r="D6865" s="140" t="s">
        <v>6318</v>
      </c>
      <c r="E6865" s="140" t="s">
        <v>1631</v>
      </c>
      <c r="F6865" s="140" t="s">
        <v>9909</v>
      </c>
      <c r="G6865" s="141" t="s">
        <v>6311</v>
      </c>
      <c r="H6865" s="140" t="s">
        <v>6312</v>
      </c>
      <c r="I6865" s="140" t="s">
        <v>6313</v>
      </c>
      <c r="J6865" s="140" t="s">
        <v>6314</v>
      </c>
      <c r="K6865" s="140" t="s">
        <v>14940</v>
      </c>
    </row>
    <row r="6866">
      <c r="A6866" s="140" t="s">
        <v>14940</v>
      </c>
      <c r="B6866" s="143">
        <v>7.99192E11</v>
      </c>
      <c r="C6866" s="140" t="s">
        <v>14962</v>
      </c>
      <c r="D6866" s="140" t="s">
        <v>6318</v>
      </c>
      <c r="E6866" s="140" t="s">
        <v>1631</v>
      </c>
      <c r="F6866" s="140" t="s">
        <v>9909</v>
      </c>
      <c r="G6866" s="141" t="s">
        <v>6311</v>
      </c>
      <c r="H6866" s="140" t="s">
        <v>6312</v>
      </c>
      <c r="I6866" s="140" t="s">
        <v>6313</v>
      </c>
      <c r="J6866" s="140" t="s">
        <v>6314</v>
      </c>
      <c r="K6866" s="140" t="s">
        <v>14940</v>
      </c>
    </row>
    <row r="6867">
      <c r="A6867" s="140" t="s">
        <v>14940</v>
      </c>
      <c r="B6867" s="143">
        <v>7.45853E11</v>
      </c>
      <c r="C6867" s="140" t="s">
        <v>14963</v>
      </c>
      <c r="D6867" s="140" t="s">
        <v>6318</v>
      </c>
      <c r="E6867" s="140" t="s">
        <v>1631</v>
      </c>
      <c r="F6867" s="140" t="s">
        <v>9909</v>
      </c>
      <c r="G6867" s="141" t="s">
        <v>6311</v>
      </c>
      <c r="H6867" s="140" t="s">
        <v>6312</v>
      </c>
      <c r="I6867" s="140" t="s">
        <v>6313</v>
      </c>
      <c r="J6867" s="140" t="s">
        <v>6314</v>
      </c>
      <c r="K6867" s="140" t="s">
        <v>14940</v>
      </c>
    </row>
    <row r="6868">
      <c r="A6868" s="140" t="s">
        <v>14940</v>
      </c>
      <c r="B6868" s="143">
        <v>6.59526E11</v>
      </c>
      <c r="C6868" s="140" t="s">
        <v>14964</v>
      </c>
      <c r="D6868" s="140" t="s">
        <v>6318</v>
      </c>
      <c r="E6868" s="140" t="s">
        <v>1631</v>
      </c>
      <c r="F6868" s="140" t="s">
        <v>9909</v>
      </c>
      <c r="G6868" s="141" t="s">
        <v>6311</v>
      </c>
      <c r="H6868" s="140" t="s">
        <v>6312</v>
      </c>
      <c r="I6868" s="140" t="s">
        <v>6313</v>
      </c>
      <c r="J6868" s="140" t="s">
        <v>6314</v>
      </c>
      <c r="K6868" s="140" t="s">
        <v>14940</v>
      </c>
    </row>
    <row r="6869">
      <c r="A6869" s="140" t="s">
        <v>14940</v>
      </c>
      <c r="B6869" s="143">
        <v>7.99192E11</v>
      </c>
      <c r="C6869" s="140" t="s">
        <v>14965</v>
      </c>
      <c r="D6869" s="140" t="s">
        <v>6318</v>
      </c>
      <c r="E6869" s="140" t="s">
        <v>1631</v>
      </c>
      <c r="F6869" s="140" t="s">
        <v>9909</v>
      </c>
      <c r="G6869" s="141" t="s">
        <v>6311</v>
      </c>
      <c r="H6869" s="140" t="s">
        <v>6312</v>
      </c>
      <c r="I6869" s="140" t="s">
        <v>6313</v>
      </c>
      <c r="J6869" s="140" t="s">
        <v>6314</v>
      </c>
      <c r="K6869" s="140" t="s">
        <v>14940</v>
      </c>
    </row>
    <row r="6870">
      <c r="A6870" s="140" t="s">
        <v>14940</v>
      </c>
      <c r="B6870" s="143">
        <v>7.99192E11</v>
      </c>
      <c r="C6870" s="140" t="s">
        <v>14966</v>
      </c>
      <c r="D6870" s="140" t="s">
        <v>6318</v>
      </c>
      <c r="E6870" s="140" t="s">
        <v>1631</v>
      </c>
      <c r="F6870" s="140" t="s">
        <v>9909</v>
      </c>
      <c r="G6870" s="141" t="s">
        <v>6311</v>
      </c>
      <c r="H6870" s="140" t="s">
        <v>6312</v>
      </c>
      <c r="I6870" s="140" t="s">
        <v>6313</v>
      </c>
      <c r="J6870" s="140" t="s">
        <v>6314</v>
      </c>
      <c r="K6870" s="140" t="s">
        <v>14940</v>
      </c>
    </row>
    <row r="6871">
      <c r="A6871" s="140" t="s">
        <v>14940</v>
      </c>
      <c r="B6871" s="143">
        <v>6.59526E11</v>
      </c>
      <c r="C6871" s="140" t="s">
        <v>14967</v>
      </c>
      <c r="D6871" s="140" t="s">
        <v>6318</v>
      </c>
      <c r="E6871" s="140" t="s">
        <v>1631</v>
      </c>
      <c r="F6871" s="140" t="s">
        <v>9909</v>
      </c>
      <c r="G6871" s="141" t="s">
        <v>6311</v>
      </c>
      <c r="H6871" s="140" t="s">
        <v>6312</v>
      </c>
      <c r="I6871" s="140" t="s">
        <v>6313</v>
      </c>
      <c r="J6871" s="140" t="s">
        <v>6314</v>
      </c>
      <c r="K6871" s="140" t="s">
        <v>14940</v>
      </c>
    </row>
    <row r="6872">
      <c r="A6872" s="140" t="s">
        <v>14940</v>
      </c>
      <c r="B6872" s="143">
        <v>7.45853E11</v>
      </c>
      <c r="C6872" s="140" t="s">
        <v>14968</v>
      </c>
      <c r="D6872" s="140" t="s">
        <v>6318</v>
      </c>
      <c r="E6872" s="140" t="s">
        <v>1631</v>
      </c>
      <c r="F6872" s="140" t="s">
        <v>9909</v>
      </c>
      <c r="G6872" s="141" t="s">
        <v>6311</v>
      </c>
      <c r="H6872" s="140" t="s">
        <v>6312</v>
      </c>
      <c r="I6872" s="140" t="s">
        <v>6313</v>
      </c>
      <c r="J6872" s="140" t="s">
        <v>6314</v>
      </c>
      <c r="K6872" s="140" t="s">
        <v>14940</v>
      </c>
    </row>
    <row r="6873">
      <c r="A6873" s="140" t="s">
        <v>14969</v>
      </c>
      <c r="B6873" s="140" t="s">
        <v>14970</v>
      </c>
      <c r="C6873" s="140" t="s">
        <v>14971</v>
      </c>
      <c r="D6873" s="140" t="s">
        <v>7347</v>
      </c>
      <c r="E6873" s="140">
        <v>0.0</v>
      </c>
      <c r="F6873" s="140" t="s">
        <v>14972</v>
      </c>
      <c r="G6873" s="141" t="s">
        <v>6401</v>
      </c>
      <c r="H6873" s="140" t="s">
        <v>6312</v>
      </c>
      <c r="I6873" s="140" t="s">
        <v>6313</v>
      </c>
      <c r="J6873" s="140" t="s">
        <v>6314</v>
      </c>
      <c r="K6873" s="140" t="s">
        <v>10368</v>
      </c>
    </row>
    <row r="6874">
      <c r="A6874" s="140" t="s">
        <v>14969</v>
      </c>
      <c r="B6874" s="140" t="s">
        <v>14973</v>
      </c>
      <c r="C6874" s="140" t="s">
        <v>14974</v>
      </c>
      <c r="D6874" s="140" t="s">
        <v>7347</v>
      </c>
      <c r="E6874" s="140">
        <v>0.0</v>
      </c>
      <c r="F6874" s="140" t="s">
        <v>14972</v>
      </c>
      <c r="G6874" s="141" t="s">
        <v>6401</v>
      </c>
      <c r="H6874" s="140" t="s">
        <v>6312</v>
      </c>
      <c r="I6874" s="140" t="s">
        <v>6313</v>
      </c>
      <c r="J6874" s="140" t="s">
        <v>6314</v>
      </c>
      <c r="K6874" s="140" t="s">
        <v>10368</v>
      </c>
    </row>
    <row r="6875">
      <c r="A6875" s="140" t="s">
        <v>14975</v>
      </c>
      <c r="B6875" s="140">
        <v>100501.0</v>
      </c>
      <c r="C6875" s="140" t="s">
        <v>14976</v>
      </c>
      <c r="D6875" s="140" t="s">
        <v>6740</v>
      </c>
      <c r="E6875" s="140" t="s">
        <v>6741</v>
      </c>
      <c r="F6875" s="140" t="s">
        <v>7680</v>
      </c>
      <c r="G6875" s="141" t="s">
        <v>6401</v>
      </c>
      <c r="H6875" s="140" t="s">
        <v>6312</v>
      </c>
      <c r="I6875" s="140" t="s">
        <v>6313</v>
      </c>
      <c r="J6875" s="140" t="s">
        <v>6314</v>
      </c>
      <c r="K6875" s="140" t="s">
        <v>7023</v>
      </c>
    </row>
    <row r="6876">
      <c r="A6876" s="140" t="s">
        <v>14975</v>
      </c>
      <c r="B6876" s="140">
        <v>549801.0</v>
      </c>
      <c r="C6876" s="140" t="s">
        <v>14977</v>
      </c>
      <c r="D6876" s="140" t="s">
        <v>6740</v>
      </c>
      <c r="E6876" s="140" t="s">
        <v>6741</v>
      </c>
      <c r="F6876" s="140" t="s">
        <v>7680</v>
      </c>
      <c r="G6876" s="141" t="s">
        <v>6401</v>
      </c>
      <c r="H6876" s="140" t="s">
        <v>6312</v>
      </c>
      <c r="I6876" s="140" t="s">
        <v>6313</v>
      </c>
      <c r="J6876" s="140" t="s">
        <v>6314</v>
      </c>
      <c r="K6876" s="140" t="s">
        <v>7023</v>
      </c>
    </row>
    <row r="6877">
      <c r="A6877" s="140" t="s">
        <v>14975</v>
      </c>
      <c r="B6877" s="140">
        <v>428501.0</v>
      </c>
      <c r="C6877" s="140" t="s">
        <v>14978</v>
      </c>
      <c r="D6877" s="140" t="s">
        <v>6740</v>
      </c>
      <c r="E6877" s="140" t="s">
        <v>6741</v>
      </c>
      <c r="F6877" s="140" t="s">
        <v>7680</v>
      </c>
      <c r="G6877" s="141" t="s">
        <v>6401</v>
      </c>
      <c r="H6877" s="140" t="s">
        <v>6312</v>
      </c>
      <c r="I6877" s="140" t="s">
        <v>6313</v>
      </c>
      <c r="J6877" s="140" t="s">
        <v>6314</v>
      </c>
      <c r="K6877" s="140" t="s">
        <v>7023</v>
      </c>
    </row>
    <row r="6878">
      <c r="A6878" s="140" t="s">
        <v>14975</v>
      </c>
      <c r="B6878" s="140">
        <v>428504.0</v>
      </c>
      <c r="C6878" s="140" t="s">
        <v>14979</v>
      </c>
      <c r="D6878" s="140" t="s">
        <v>6740</v>
      </c>
      <c r="E6878" s="140" t="s">
        <v>6741</v>
      </c>
      <c r="F6878" s="140" t="s">
        <v>7680</v>
      </c>
      <c r="G6878" s="141" t="s">
        <v>6401</v>
      </c>
      <c r="H6878" s="140" t="s">
        <v>6312</v>
      </c>
      <c r="I6878" s="140" t="s">
        <v>6313</v>
      </c>
      <c r="J6878" s="140" t="s">
        <v>6314</v>
      </c>
      <c r="K6878" s="140" t="s">
        <v>7023</v>
      </c>
    </row>
    <row r="6879">
      <c r="A6879" s="140" t="s">
        <v>14975</v>
      </c>
      <c r="B6879" s="140">
        <v>428502.0</v>
      </c>
      <c r="C6879" s="140" t="s">
        <v>14980</v>
      </c>
      <c r="D6879" s="140" t="s">
        <v>6740</v>
      </c>
      <c r="E6879" s="140" t="s">
        <v>6741</v>
      </c>
      <c r="F6879" s="140" t="s">
        <v>7680</v>
      </c>
      <c r="G6879" s="141" t="s">
        <v>6401</v>
      </c>
      <c r="H6879" s="140" t="s">
        <v>6312</v>
      </c>
      <c r="I6879" s="140" t="s">
        <v>6313</v>
      </c>
      <c r="J6879" s="140" t="s">
        <v>6314</v>
      </c>
      <c r="K6879" s="140" t="s">
        <v>7023</v>
      </c>
    </row>
    <row r="6880">
      <c r="A6880" s="140" t="s">
        <v>14975</v>
      </c>
      <c r="B6880" s="140">
        <v>159329.0</v>
      </c>
      <c r="C6880" s="140" t="s">
        <v>14981</v>
      </c>
      <c r="D6880" s="140" t="s">
        <v>6740</v>
      </c>
      <c r="E6880" s="140" t="s">
        <v>6741</v>
      </c>
      <c r="F6880" s="140" t="s">
        <v>9052</v>
      </c>
      <c r="G6880" s="141" t="s">
        <v>6401</v>
      </c>
      <c r="H6880" s="140" t="s">
        <v>6312</v>
      </c>
      <c r="I6880" s="140" t="s">
        <v>6313</v>
      </c>
      <c r="J6880" s="140" t="s">
        <v>6314</v>
      </c>
      <c r="K6880" s="140" t="s">
        <v>7023</v>
      </c>
    </row>
    <row r="6881">
      <c r="A6881" s="140" t="s">
        <v>14975</v>
      </c>
      <c r="B6881" s="140">
        <v>159305.0</v>
      </c>
      <c r="C6881" s="140" t="s">
        <v>14982</v>
      </c>
      <c r="D6881" s="140" t="s">
        <v>6740</v>
      </c>
      <c r="E6881" s="140" t="s">
        <v>6741</v>
      </c>
      <c r="F6881" s="140" t="s">
        <v>9052</v>
      </c>
      <c r="G6881" s="141" t="s">
        <v>6401</v>
      </c>
      <c r="H6881" s="140" t="s">
        <v>6312</v>
      </c>
      <c r="I6881" s="140" t="s">
        <v>6313</v>
      </c>
      <c r="J6881" s="140" t="s">
        <v>6314</v>
      </c>
      <c r="K6881" s="140" t="s">
        <v>7023</v>
      </c>
    </row>
    <row r="6882">
      <c r="A6882" s="140" t="s">
        <v>14975</v>
      </c>
      <c r="B6882" s="140">
        <v>159318.0</v>
      </c>
      <c r="C6882" s="140" t="s">
        <v>14983</v>
      </c>
      <c r="D6882" s="140" t="s">
        <v>6740</v>
      </c>
      <c r="E6882" s="140" t="s">
        <v>6741</v>
      </c>
      <c r="F6882" s="140" t="s">
        <v>9052</v>
      </c>
      <c r="G6882" s="141" t="s">
        <v>6401</v>
      </c>
      <c r="H6882" s="140" t="s">
        <v>6312</v>
      </c>
      <c r="I6882" s="140" t="s">
        <v>6313</v>
      </c>
      <c r="J6882" s="140" t="s">
        <v>6314</v>
      </c>
      <c r="K6882" s="140" t="s">
        <v>7023</v>
      </c>
    </row>
    <row r="6883">
      <c r="A6883" s="140" t="s">
        <v>14975</v>
      </c>
      <c r="B6883" s="140">
        <v>159306.0</v>
      </c>
      <c r="C6883" s="140" t="s">
        <v>14984</v>
      </c>
      <c r="D6883" s="140" t="s">
        <v>6740</v>
      </c>
      <c r="E6883" s="140" t="s">
        <v>6741</v>
      </c>
      <c r="F6883" s="140" t="s">
        <v>9052</v>
      </c>
      <c r="G6883" s="141" t="s">
        <v>6401</v>
      </c>
      <c r="H6883" s="140" t="s">
        <v>6312</v>
      </c>
      <c r="I6883" s="140" t="s">
        <v>6313</v>
      </c>
      <c r="J6883" s="140" t="s">
        <v>6314</v>
      </c>
      <c r="K6883" s="140" t="s">
        <v>7023</v>
      </c>
    </row>
    <row r="6884">
      <c r="A6884" s="140" t="s">
        <v>14975</v>
      </c>
      <c r="B6884" s="140">
        <v>159327.0</v>
      </c>
      <c r="C6884" s="140" t="s">
        <v>14985</v>
      </c>
      <c r="D6884" s="140" t="s">
        <v>6740</v>
      </c>
      <c r="E6884" s="140" t="s">
        <v>6741</v>
      </c>
      <c r="F6884" s="140" t="s">
        <v>9052</v>
      </c>
      <c r="G6884" s="141" t="s">
        <v>6401</v>
      </c>
      <c r="H6884" s="140" t="s">
        <v>6312</v>
      </c>
      <c r="I6884" s="140" t="s">
        <v>6313</v>
      </c>
      <c r="J6884" s="140" t="s">
        <v>6314</v>
      </c>
      <c r="K6884" s="140" t="s">
        <v>7023</v>
      </c>
    </row>
    <row r="6885">
      <c r="A6885" s="140" t="s">
        <v>14975</v>
      </c>
      <c r="B6885" s="140">
        <v>159301.0</v>
      </c>
      <c r="C6885" s="140" t="s">
        <v>14986</v>
      </c>
      <c r="D6885" s="140" t="s">
        <v>6740</v>
      </c>
      <c r="E6885" s="140" t="s">
        <v>6741</v>
      </c>
      <c r="F6885" s="140" t="s">
        <v>9052</v>
      </c>
      <c r="G6885" s="141" t="s">
        <v>6401</v>
      </c>
      <c r="H6885" s="140" t="s">
        <v>6312</v>
      </c>
      <c r="I6885" s="140" t="s">
        <v>6313</v>
      </c>
      <c r="J6885" s="140" t="s">
        <v>6314</v>
      </c>
      <c r="K6885" s="140" t="s">
        <v>7023</v>
      </c>
    </row>
    <row r="6886">
      <c r="A6886" s="140" t="s">
        <v>14975</v>
      </c>
      <c r="B6886" s="140">
        <v>159328.0</v>
      </c>
      <c r="C6886" s="140" t="s">
        <v>14987</v>
      </c>
      <c r="D6886" s="140" t="s">
        <v>6740</v>
      </c>
      <c r="E6886" s="140" t="s">
        <v>6741</v>
      </c>
      <c r="F6886" s="140" t="s">
        <v>9052</v>
      </c>
      <c r="G6886" s="141" t="s">
        <v>6401</v>
      </c>
      <c r="H6886" s="140" t="s">
        <v>6312</v>
      </c>
      <c r="I6886" s="140" t="s">
        <v>6313</v>
      </c>
      <c r="J6886" s="140" t="s">
        <v>6314</v>
      </c>
      <c r="K6886" s="140" t="s">
        <v>7023</v>
      </c>
    </row>
    <row r="6887">
      <c r="A6887" s="140" t="s">
        <v>14975</v>
      </c>
      <c r="B6887" s="140">
        <v>159322.0</v>
      </c>
      <c r="C6887" s="140" t="s">
        <v>14988</v>
      </c>
      <c r="D6887" s="140" t="s">
        <v>6740</v>
      </c>
      <c r="E6887" s="140" t="s">
        <v>6741</v>
      </c>
      <c r="F6887" s="140" t="s">
        <v>9052</v>
      </c>
      <c r="G6887" s="141" t="s">
        <v>6401</v>
      </c>
      <c r="H6887" s="140" t="s">
        <v>6312</v>
      </c>
      <c r="I6887" s="140" t="s">
        <v>6313</v>
      </c>
      <c r="J6887" s="140" t="s">
        <v>6314</v>
      </c>
      <c r="K6887" s="140" t="s">
        <v>7023</v>
      </c>
    </row>
    <row r="6888">
      <c r="A6888" s="140" t="s">
        <v>14975</v>
      </c>
      <c r="B6888" s="140">
        <v>526101.0</v>
      </c>
      <c r="C6888" s="140" t="s">
        <v>14989</v>
      </c>
      <c r="D6888" s="140" t="s">
        <v>6740</v>
      </c>
      <c r="E6888" s="140" t="s">
        <v>6741</v>
      </c>
      <c r="F6888" s="140" t="s">
        <v>9052</v>
      </c>
      <c r="G6888" s="141" t="s">
        <v>6401</v>
      </c>
      <c r="H6888" s="140" t="s">
        <v>6312</v>
      </c>
      <c r="I6888" s="140" t="s">
        <v>6313</v>
      </c>
      <c r="J6888" s="140" t="s">
        <v>6314</v>
      </c>
      <c r="K6888" s="140" t="s">
        <v>7023</v>
      </c>
    </row>
    <row r="6889">
      <c r="A6889" s="140" t="s">
        <v>14975</v>
      </c>
      <c r="B6889" s="140">
        <v>100137.0</v>
      </c>
      <c r="C6889" s="140" t="s">
        <v>14990</v>
      </c>
      <c r="D6889" s="140" t="s">
        <v>6740</v>
      </c>
      <c r="E6889" s="140" t="s">
        <v>6741</v>
      </c>
      <c r="F6889" s="140" t="s">
        <v>9052</v>
      </c>
      <c r="G6889" s="141" t="s">
        <v>6401</v>
      </c>
      <c r="H6889" s="140" t="s">
        <v>6312</v>
      </c>
      <c r="I6889" s="140" t="s">
        <v>6313</v>
      </c>
      <c r="J6889" s="140" t="s">
        <v>6314</v>
      </c>
      <c r="K6889" s="140" t="s">
        <v>7023</v>
      </c>
    </row>
    <row r="6890">
      <c r="A6890" s="140" t="s">
        <v>14975</v>
      </c>
      <c r="B6890" s="140">
        <v>100107.0</v>
      </c>
      <c r="C6890" s="140" t="s">
        <v>14991</v>
      </c>
      <c r="D6890" s="140" t="s">
        <v>6740</v>
      </c>
      <c r="E6890" s="140" t="s">
        <v>6741</v>
      </c>
      <c r="F6890" s="140" t="s">
        <v>9052</v>
      </c>
      <c r="G6890" s="141" t="s">
        <v>6401</v>
      </c>
      <c r="H6890" s="140" t="s">
        <v>6312</v>
      </c>
      <c r="I6890" s="140" t="s">
        <v>6313</v>
      </c>
      <c r="J6890" s="140" t="s">
        <v>6314</v>
      </c>
      <c r="K6890" s="140" t="s">
        <v>7023</v>
      </c>
    </row>
    <row r="6891">
      <c r="A6891" s="140" t="s">
        <v>14975</v>
      </c>
      <c r="B6891" s="140">
        <v>100105.0</v>
      </c>
      <c r="C6891" s="140" t="s">
        <v>14992</v>
      </c>
      <c r="D6891" s="140" t="s">
        <v>6740</v>
      </c>
      <c r="E6891" s="140" t="s">
        <v>6741</v>
      </c>
      <c r="F6891" s="140" t="s">
        <v>9052</v>
      </c>
      <c r="G6891" s="141" t="s">
        <v>6401</v>
      </c>
      <c r="H6891" s="140" t="s">
        <v>6312</v>
      </c>
      <c r="I6891" s="140" t="s">
        <v>6313</v>
      </c>
      <c r="J6891" s="140" t="s">
        <v>6314</v>
      </c>
      <c r="K6891" s="140" t="s">
        <v>7023</v>
      </c>
    </row>
    <row r="6892">
      <c r="A6892" s="140" t="s">
        <v>14975</v>
      </c>
      <c r="B6892" s="140">
        <v>100126.0</v>
      </c>
      <c r="C6892" s="140" t="s">
        <v>14993</v>
      </c>
      <c r="D6892" s="140" t="s">
        <v>6740</v>
      </c>
      <c r="E6892" s="140" t="s">
        <v>6741</v>
      </c>
      <c r="F6892" s="140" t="s">
        <v>9052</v>
      </c>
      <c r="G6892" s="141" t="s">
        <v>6401</v>
      </c>
      <c r="H6892" s="140" t="s">
        <v>6312</v>
      </c>
      <c r="I6892" s="140" t="s">
        <v>6313</v>
      </c>
      <c r="J6892" s="140" t="s">
        <v>6314</v>
      </c>
      <c r="K6892" s="140" t="s">
        <v>7023</v>
      </c>
    </row>
    <row r="6893">
      <c r="A6893" s="140" t="s">
        <v>14975</v>
      </c>
      <c r="B6893" s="140">
        <v>100125.0</v>
      </c>
      <c r="C6893" s="140" t="s">
        <v>14994</v>
      </c>
      <c r="D6893" s="140" t="s">
        <v>6740</v>
      </c>
      <c r="E6893" s="140" t="s">
        <v>6741</v>
      </c>
      <c r="F6893" s="140" t="s">
        <v>9052</v>
      </c>
      <c r="G6893" s="141" t="s">
        <v>6401</v>
      </c>
      <c r="H6893" s="140" t="s">
        <v>6312</v>
      </c>
      <c r="I6893" s="140" t="s">
        <v>6313</v>
      </c>
      <c r="J6893" s="140" t="s">
        <v>6314</v>
      </c>
      <c r="K6893" s="140" t="s">
        <v>7023</v>
      </c>
    </row>
    <row r="6894">
      <c r="A6894" s="140" t="s">
        <v>14975</v>
      </c>
      <c r="B6894" s="140">
        <v>100106.0</v>
      </c>
      <c r="C6894" s="140" t="s">
        <v>14995</v>
      </c>
      <c r="D6894" s="140" t="s">
        <v>6740</v>
      </c>
      <c r="E6894" s="140" t="s">
        <v>6741</v>
      </c>
      <c r="F6894" s="140" t="s">
        <v>9052</v>
      </c>
      <c r="G6894" s="141" t="s">
        <v>6401</v>
      </c>
      <c r="H6894" s="140" t="s">
        <v>6312</v>
      </c>
      <c r="I6894" s="140" t="s">
        <v>6313</v>
      </c>
      <c r="J6894" s="140" t="s">
        <v>6314</v>
      </c>
      <c r="K6894" s="140" t="s">
        <v>7023</v>
      </c>
    </row>
    <row r="6895">
      <c r="A6895" s="140" t="s">
        <v>14975</v>
      </c>
      <c r="B6895" s="140">
        <v>100135.0</v>
      </c>
      <c r="C6895" s="140" t="s">
        <v>14996</v>
      </c>
      <c r="D6895" s="140" t="s">
        <v>6740</v>
      </c>
      <c r="E6895" s="140" t="s">
        <v>6741</v>
      </c>
      <c r="F6895" s="140" t="s">
        <v>9052</v>
      </c>
      <c r="G6895" s="141" t="s">
        <v>6401</v>
      </c>
      <c r="H6895" s="140" t="s">
        <v>6312</v>
      </c>
      <c r="I6895" s="140" t="s">
        <v>6313</v>
      </c>
      <c r="J6895" s="140" t="s">
        <v>6314</v>
      </c>
      <c r="K6895" s="140" t="s">
        <v>7023</v>
      </c>
    </row>
    <row r="6896">
      <c r="A6896" s="140" t="s">
        <v>14975</v>
      </c>
      <c r="B6896" s="140">
        <v>100101.0</v>
      </c>
      <c r="C6896" s="140" t="s">
        <v>14997</v>
      </c>
      <c r="D6896" s="140" t="s">
        <v>6740</v>
      </c>
      <c r="E6896" s="140" t="s">
        <v>6741</v>
      </c>
      <c r="F6896" s="140" t="s">
        <v>9052</v>
      </c>
      <c r="G6896" s="141" t="s">
        <v>6401</v>
      </c>
      <c r="H6896" s="140" t="s">
        <v>6312</v>
      </c>
      <c r="I6896" s="140" t="s">
        <v>6313</v>
      </c>
      <c r="J6896" s="140" t="s">
        <v>6314</v>
      </c>
      <c r="K6896" s="140" t="s">
        <v>7023</v>
      </c>
    </row>
    <row r="6897">
      <c r="A6897" s="140" t="s">
        <v>14975</v>
      </c>
      <c r="B6897" s="140">
        <v>495202.0</v>
      </c>
      <c r="C6897" s="140" t="s">
        <v>14998</v>
      </c>
      <c r="D6897" s="140" t="s">
        <v>6740</v>
      </c>
      <c r="E6897" s="140" t="s">
        <v>6741</v>
      </c>
      <c r="F6897" s="140" t="s">
        <v>9052</v>
      </c>
      <c r="G6897" s="141" t="s">
        <v>6401</v>
      </c>
      <c r="H6897" s="140" t="s">
        <v>6312</v>
      </c>
      <c r="I6897" s="140" t="s">
        <v>6313</v>
      </c>
      <c r="J6897" s="140" t="s">
        <v>6314</v>
      </c>
      <c r="K6897" s="140" t="s">
        <v>7023</v>
      </c>
    </row>
    <row r="6898">
      <c r="A6898" s="140" t="s">
        <v>14975</v>
      </c>
      <c r="B6898" s="140">
        <v>100136.0</v>
      </c>
      <c r="C6898" s="140" t="s">
        <v>14999</v>
      </c>
      <c r="D6898" s="140" t="s">
        <v>6740</v>
      </c>
      <c r="E6898" s="140" t="s">
        <v>6741</v>
      </c>
      <c r="F6898" s="140" t="s">
        <v>9052</v>
      </c>
      <c r="G6898" s="141" t="s">
        <v>6401</v>
      </c>
      <c r="H6898" s="140" t="s">
        <v>6312</v>
      </c>
      <c r="I6898" s="140" t="s">
        <v>6313</v>
      </c>
      <c r="J6898" s="140" t="s">
        <v>6314</v>
      </c>
      <c r="K6898" s="140" t="s">
        <v>7023</v>
      </c>
    </row>
    <row r="6899">
      <c r="A6899" s="140" t="s">
        <v>14975</v>
      </c>
      <c r="B6899" s="140">
        <v>100130.0</v>
      </c>
      <c r="C6899" s="140" t="s">
        <v>15000</v>
      </c>
      <c r="D6899" s="140" t="s">
        <v>6740</v>
      </c>
      <c r="E6899" s="140" t="s">
        <v>6741</v>
      </c>
      <c r="F6899" s="140" t="s">
        <v>9052</v>
      </c>
      <c r="G6899" s="141" t="s">
        <v>6401</v>
      </c>
      <c r="H6899" s="140" t="s">
        <v>6312</v>
      </c>
      <c r="I6899" s="140" t="s">
        <v>6313</v>
      </c>
      <c r="J6899" s="140" t="s">
        <v>6314</v>
      </c>
      <c r="K6899" s="140" t="s">
        <v>7023</v>
      </c>
    </row>
    <row r="6900">
      <c r="A6900" s="140" t="s">
        <v>14975</v>
      </c>
      <c r="B6900" s="140">
        <v>538700.0</v>
      </c>
      <c r="C6900" s="140" t="s">
        <v>15001</v>
      </c>
      <c r="D6900" s="140" t="s">
        <v>6740</v>
      </c>
      <c r="E6900" s="140" t="s">
        <v>15002</v>
      </c>
      <c r="F6900" s="140" t="s">
        <v>15003</v>
      </c>
      <c r="G6900" s="141" t="s">
        <v>6401</v>
      </c>
      <c r="H6900" s="140" t="s">
        <v>6312</v>
      </c>
      <c r="I6900" s="140" t="s">
        <v>6313</v>
      </c>
      <c r="J6900" s="140" t="s">
        <v>6314</v>
      </c>
      <c r="K6900" s="140" t="s">
        <v>7023</v>
      </c>
    </row>
    <row r="6901">
      <c r="A6901" s="140" t="s">
        <v>14975</v>
      </c>
      <c r="B6901" s="140">
        <v>542800.0</v>
      </c>
      <c r="C6901" s="140" t="s">
        <v>15004</v>
      </c>
      <c r="D6901" s="140" t="s">
        <v>6740</v>
      </c>
      <c r="E6901" s="140" t="s">
        <v>15002</v>
      </c>
      <c r="F6901" s="140" t="s">
        <v>15003</v>
      </c>
      <c r="G6901" s="141" t="s">
        <v>6401</v>
      </c>
      <c r="H6901" s="140" t="s">
        <v>6312</v>
      </c>
      <c r="I6901" s="140" t="s">
        <v>6313</v>
      </c>
      <c r="J6901" s="140" t="s">
        <v>6314</v>
      </c>
      <c r="K6901" s="140" t="s">
        <v>7023</v>
      </c>
    </row>
    <row r="6902">
      <c r="A6902" s="140" t="s">
        <v>14975</v>
      </c>
      <c r="B6902" s="140">
        <v>531901.0</v>
      </c>
      <c r="C6902" s="140" t="s">
        <v>15005</v>
      </c>
      <c r="D6902" s="140" t="s">
        <v>6740</v>
      </c>
      <c r="E6902" s="140" t="s">
        <v>15002</v>
      </c>
      <c r="F6902" s="140" t="s">
        <v>15003</v>
      </c>
      <c r="G6902" s="141" t="s">
        <v>6401</v>
      </c>
      <c r="H6902" s="140" t="s">
        <v>6312</v>
      </c>
      <c r="I6902" s="140" t="s">
        <v>6313</v>
      </c>
      <c r="J6902" s="140" t="s">
        <v>6314</v>
      </c>
      <c r="K6902" s="140" t="s">
        <v>7023</v>
      </c>
    </row>
    <row r="6903">
      <c r="A6903" s="140" t="s">
        <v>14975</v>
      </c>
      <c r="B6903" s="140">
        <v>531909.0</v>
      </c>
      <c r="C6903" s="140" t="s">
        <v>15006</v>
      </c>
      <c r="D6903" s="140" t="s">
        <v>6740</v>
      </c>
      <c r="E6903" s="140" t="s">
        <v>15002</v>
      </c>
      <c r="F6903" s="140" t="s">
        <v>15003</v>
      </c>
      <c r="G6903" s="141" t="s">
        <v>6401</v>
      </c>
      <c r="H6903" s="140" t="s">
        <v>6312</v>
      </c>
      <c r="I6903" s="140" t="s">
        <v>6313</v>
      </c>
      <c r="J6903" s="140" t="s">
        <v>6314</v>
      </c>
      <c r="K6903" s="140" t="s">
        <v>7023</v>
      </c>
    </row>
    <row r="6904">
      <c r="A6904" s="140" t="s">
        <v>14975</v>
      </c>
      <c r="B6904" s="140">
        <v>531905.0</v>
      </c>
      <c r="C6904" s="140" t="s">
        <v>15007</v>
      </c>
      <c r="D6904" s="140" t="s">
        <v>6740</v>
      </c>
      <c r="E6904" s="140" t="s">
        <v>15002</v>
      </c>
      <c r="F6904" s="140" t="s">
        <v>15003</v>
      </c>
      <c r="G6904" s="141" t="s">
        <v>6401</v>
      </c>
      <c r="H6904" s="140" t="s">
        <v>6312</v>
      </c>
      <c r="I6904" s="140" t="s">
        <v>6313</v>
      </c>
      <c r="J6904" s="140" t="s">
        <v>6314</v>
      </c>
      <c r="K6904" s="140" t="s">
        <v>7023</v>
      </c>
    </row>
    <row r="6905">
      <c r="A6905" s="140" t="s">
        <v>14975</v>
      </c>
      <c r="B6905" s="140">
        <v>531903.0</v>
      </c>
      <c r="C6905" s="140" t="s">
        <v>15008</v>
      </c>
      <c r="D6905" s="140" t="s">
        <v>6740</v>
      </c>
      <c r="E6905" s="140" t="s">
        <v>15002</v>
      </c>
      <c r="F6905" s="140" t="s">
        <v>15003</v>
      </c>
      <c r="G6905" s="141" t="s">
        <v>6401</v>
      </c>
      <c r="H6905" s="140" t="s">
        <v>6312</v>
      </c>
      <c r="I6905" s="140" t="s">
        <v>6313</v>
      </c>
      <c r="J6905" s="140" t="s">
        <v>6314</v>
      </c>
      <c r="K6905" s="140" t="s">
        <v>7023</v>
      </c>
    </row>
    <row r="6906">
      <c r="A6906" s="140" t="s">
        <v>14975</v>
      </c>
      <c r="B6906" s="140">
        <v>531910.0</v>
      </c>
      <c r="C6906" s="140" t="s">
        <v>15009</v>
      </c>
      <c r="D6906" s="140" t="s">
        <v>6740</v>
      </c>
      <c r="E6906" s="140" t="s">
        <v>15002</v>
      </c>
      <c r="F6906" s="140" t="s">
        <v>15003</v>
      </c>
      <c r="G6906" s="141" t="s">
        <v>6401</v>
      </c>
      <c r="H6906" s="140" t="s">
        <v>6312</v>
      </c>
      <c r="I6906" s="140" t="s">
        <v>6313</v>
      </c>
      <c r="J6906" s="140" t="s">
        <v>6314</v>
      </c>
      <c r="K6906" s="140" t="s">
        <v>7023</v>
      </c>
    </row>
    <row r="6907">
      <c r="A6907" s="140" t="s">
        <v>14975</v>
      </c>
      <c r="B6907" s="140">
        <v>531904.0</v>
      </c>
      <c r="C6907" s="140" t="s">
        <v>15010</v>
      </c>
      <c r="D6907" s="140" t="s">
        <v>6740</v>
      </c>
      <c r="E6907" s="140" t="s">
        <v>15002</v>
      </c>
      <c r="F6907" s="140" t="s">
        <v>15003</v>
      </c>
      <c r="G6907" s="141" t="s">
        <v>6401</v>
      </c>
      <c r="H6907" s="140" t="s">
        <v>6312</v>
      </c>
      <c r="I6907" s="140" t="s">
        <v>6313</v>
      </c>
      <c r="J6907" s="140" t="s">
        <v>6314</v>
      </c>
      <c r="K6907" s="140" t="s">
        <v>7023</v>
      </c>
    </row>
    <row r="6908">
      <c r="A6908" s="140" t="s">
        <v>14975</v>
      </c>
      <c r="B6908" s="140">
        <v>535901.0</v>
      </c>
      <c r="C6908" s="140" t="s">
        <v>15011</v>
      </c>
      <c r="D6908" s="140" t="s">
        <v>6740</v>
      </c>
      <c r="E6908" s="140" t="s">
        <v>15002</v>
      </c>
      <c r="F6908" s="140" t="s">
        <v>15003</v>
      </c>
      <c r="G6908" s="141" t="s">
        <v>6401</v>
      </c>
      <c r="H6908" s="140" t="s">
        <v>6312</v>
      </c>
      <c r="I6908" s="140" t="s">
        <v>6313</v>
      </c>
      <c r="J6908" s="140" t="s">
        <v>6314</v>
      </c>
      <c r="K6908" s="140" t="s">
        <v>7023</v>
      </c>
    </row>
    <row r="6909">
      <c r="A6909" s="140" t="s">
        <v>14975</v>
      </c>
      <c r="B6909" s="140">
        <v>535904.0</v>
      </c>
      <c r="C6909" s="140" t="s">
        <v>15012</v>
      </c>
      <c r="D6909" s="140" t="s">
        <v>6740</v>
      </c>
      <c r="E6909" s="140" t="s">
        <v>15002</v>
      </c>
      <c r="F6909" s="140" t="s">
        <v>15003</v>
      </c>
      <c r="G6909" s="141" t="s">
        <v>6401</v>
      </c>
      <c r="H6909" s="140" t="s">
        <v>6312</v>
      </c>
      <c r="I6909" s="140" t="s">
        <v>6313</v>
      </c>
      <c r="J6909" s="140" t="s">
        <v>6314</v>
      </c>
      <c r="K6909" s="140" t="s">
        <v>7023</v>
      </c>
    </row>
    <row r="6910">
      <c r="A6910" s="140" t="s">
        <v>15013</v>
      </c>
      <c r="B6910" s="140" t="s">
        <v>15014</v>
      </c>
      <c r="C6910" s="140" t="s">
        <v>15015</v>
      </c>
      <c r="D6910" s="140" t="s">
        <v>7347</v>
      </c>
      <c r="E6910" s="140" t="s">
        <v>9522</v>
      </c>
      <c r="F6910" s="140" t="s">
        <v>9523</v>
      </c>
      <c r="G6910" s="141" t="s">
        <v>6401</v>
      </c>
      <c r="H6910" s="140" t="s">
        <v>6312</v>
      </c>
      <c r="I6910" s="140" t="s">
        <v>6313</v>
      </c>
      <c r="J6910" s="140" t="s">
        <v>6314</v>
      </c>
      <c r="K6910" s="140" t="s">
        <v>8996</v>
      </c>
    </row>
    <row r="6911">
      <c r="A6911" s="140" t="s">
        <v>15013</v>
      </c>
      <c r="B6911" s="140" t="s">
        <v>15016</v>
      </c>
      <c r="C6911" s="140" t="s">
        <v>15017</v>
      </c>
      <c r="D6911" s="140" t="s">
        <v>7347</v>
      </c>
      <c r="E6911" s="140" t="s">
        <v>9522</v>
      </c>
      <c r="F6911" s="140" t="s">
        <v>9523</v>
      </c>
      <c r="G6911" s="141" t="s">
        <v>6401</v>
      </c>
      <c r="H6911" s="140" t="s">
        <v>6312</v>
      </c>
      <c r="I6911" s="140" t="s">
        <v>6313</v>
      </c>
      <c r="J6911" s="140" t="s">
        <v>6314</v>
      </c>
      <c r="K6911" s="140" t="s">
        <v>8996</v>
      </c>
    </row>
    <row r="6912">
      <c r="A6912" s="140" t="s">
        <v>15013</v>
      </c>
      <c r="B6912" s="140" t="s">
        <v>3641</v>
      </c>
      <c r="C6912" s="140" t="s">
        <v>15018</v>
      </c>
      <c r="D6912" s="140" t="s">
        <v>7347</v>
      </c>
      <c r="E6912" s="140" t="s">
        <v>9522</v>
      </c>
      <c r="F6912" s="140" t="s">
        <v>9523</v>
      </c>
      <c r="G6912" s="141" t="s">
        <v>6401</v>
      </c>
      <c r="H6912" s="140" t="s">
        <v>6312</v>
      </c>
      <c r="I6912" s="140" t="s">
        <v>6313</v>
      </c>
      <c r="J6912" s="140" t="s">
        <v>6314</v>
      </c>
      <c r="K6912" s="140" t="s">
        <v>8996</v>
      </c>
    </row>
    <row r="6913">
      <c r="A6913" s="140" t="s">
        <v>15013</v>
      </c>
      <c r="B6913" s="140" t="s">
        <v>15019</v>
      </c>
      <c r="C6913" s="140" t="s">
        <v>15020</v>
      </c>
      <c r="D6913" s="140" t="s">
        <v>7347</v>
      </c>
      <c r="E6913" s="140" t="s">
        <v>9522</v>
      </c>
      <c r="F6913" s="140" t="s">
        <v>9523</v>
      </c>
      <c r="G6913" s="141" t="s">
        <v>6401</v>
      </c>
      <c r="H6913" s="140" t="s">
        <v>6312</v>
      </c>
      <c r="I6913" s="140" t="s">
        <v>6313</v>
      </c>
      <c r="J6913" s="140" t="s">
        <v>6314</v>
      </c>
      <c r="K6913" s="140" t="s">
        <v>8996</v>
      </c>
    </row>
    <row r="6914">
      <c r="A6914" s="140" t="s">
        <v>15013</v>
      </c>
      <c r="B6914" s="140" t="s">
        <v>15021</v>
      </c>
      <c r="C6914" s="140" t="s">
        <v>15022</v>
      </c>
      <c r="D6914" s="140" t="s">
        <v>7347</v>
      </c>
      <c r="E6914" s="140" t="s">
        <v>9522</v>
      </c>
      <c r="F6914" s="140" t="s">
        <v>9523</v>
      </c>
      <c r="G6914" s="141" t="s">
        <v>6401</v>
      </c>
      <c r="H6914" s="140" t="s">
        <v>6312</v>
      </c>
      <c r="I6914" s="140" t="s">
        <v>6313</v>
      </c>
      <c r="J6914" s="140" t="s">
        <v>6314</v>
      </c>
      <c r="K6914" s="140" t="s">
        <v>8996</v>
      </c>
    </row>
    <row r="6915">
      <c r="A6915" s="140" t="s">
        <v>15013</v>
      </c>
      <c r="B6915" s="140" t="s">
        <v>15023</v>
      </c>
      <c r="C6915" s="140" t="s">
        <v>15024</v>
      </c>
      <c r="D6915" s="140" t="s">
        <v>7347</v>
      </c>
      <c r="E6915" s="140" t="s">
        <v>9522</v>
      </c>
      <c r="F6915" s="140" t="s">
        <v>9523</v>
      </c>
      <c r="G6915" s="141" t="s">
        <v>6401</v>
      </c>
      <c r="H6915" s="140" t="s">
        <v>6312</v>
      </c>
      <c r="I6915" s="140" t="s">
        <v>6313</v>
      </c>
      <c r="J6915" s="140" t="s">
        <v>6314</v>
      </c>
      <c r="K6915" s="140" t="s">
        <v>8996</v>
      </c>
    </row>
    <row r="6916">
      <c r="A6916" s="140" t="s">
        <v>15025</v>
      </c>
      <c r="B6916" s="140">
        <v>32956.0</v>
      </c>
      <c r="C6916" s="140" t="s">
        <v>15026</v>
      </c>
      <c r="D6916" s="140" t="s">
        <v>6309</v>
      </c>
      <c r="E6916" s="140" t="s">
        <v>6310</v>
      </c>
      <c r="F6916" s="140" t="s">
        <v>6310</v>
      </c>
      <c r="G6916" s="141" t="s">
        <v>6311</v>
      </c>
      <c r="H6916" s="140" t="s">
        <v>6312</v>
      </c>
      <c r="I6916" s="140" t="s">
        <v>6313</v>
      </c>
      <c r="J6916" s="140" t="s">
        <v>6314</v>
      </c>
      <c r="K6916" s="140" t="s">
        <v>6315</v>
      </c>
    </row>
    <row r="6917">
      <c r="A6917" s="140" t="s">
        <v>15025</v>
      </c>
      <c r="B6917" s="140">
        <v>32953.0</v>
      </c>
      <c r="C6917" s="140" t="s">
        <v>15027</v>
      </c>
      <c r="D6917" s="140" t="s">
        <v>6309</v>
      </c>
      <c r="E6917" s="140" t="s">
        <v>6310</v>
      </c>
      <c r="F6917" s="140" t="s">
        <v>6310</v>
      </c>
      <c r="G6917" s="141" t="s">
        <v>6311</v>
      </c>
      <c r="H6917" s="140" t="s">
        <v>6312</v>
      </c>
      <c r="I6917" s="140" t="s">
        <v>6313</v>
      </c>
      <c r="J6917" s="140" t="s">
        <v>6314</v>
      </c>
      <c r="K6917" s="140" t="s">
        <v>6315</v>
      </c>
    </row>
    <row r="6918">
      <c r="A6918" s="140" t="s">
        <v>15025</v>
      </c>
      <c r="B6918" s="140">
        <v>32949.0</v>
      </c>
      <c r="C6918" s="140" t="s">
        <v>15028</v>
      </c>
      <c r="D6918" s="140" t="s">
        <v>6309</v>
      </c>
      <c r="E6918" s="140" t="s">
        <v>6310</v>
      </c>
      <c r="F6918" s="140" t="s">
        <v>6310</v>
      </c>
      <c r="G6918" s="141" t="s">
        <v>6311</v>
      </c>
      <c r="H6918" s="140" t="s">
        <v>6312</v>
      </c>
      <c r="I6918" s="140" t="s">
        <v>6313</v>
      </c>
      <c r="J6918" s="140" t="s">
        <v>6314</v>
      </c>
      <c r="K6918" s="140" t="s">
        <v>6315</v>
      </c>
    </row>
    <row r="6919">
      <c r="A6919" s="140" t="s">
        <v>15025</v>
      </c>
      <c r="B6919" s="140">
        <v>32954.0</v>
      </c>
      <c r="C6919" s="140" t="s">
        <v>15029</v>
      </c>
      <c r="D6919" s="140" t="s">
        <v>6309</v>
      </c>
      <c r="E6919" s="140" t="s">
        <v>6310</v>
      </c>
      <c r="F6919" s="140" t="s">
        <v>6310</v>
      </c>
      <c r="G6919" s="141" t="s">
        <v>6311</v>
      </c>
      <c r="H6919" s="140" t="s">
        <v>6312</v>
      </c>
      <c r="I6919" s="140" t="s">
        <v>6313</v>
      </c>
      <c r="J6919" s="140" t="s">
        <v>6314</v>
      </c>
      <c r="K6919" s="140" t="s">
        <v>6315</v>
      </c>
    </row>
    <row r="6920">
      <c r="A6920" s="140" t="s">
        <v>15025</v>
      </c>
      <c r="B6920" s="140">
        <v>32950.0</v>
      </c>
      <c r="C6920" s="140" t="s">
        <v>15030</v>
      </c>
      <c r="D6920" s="140" t="s">
        <v>6309</v>
      </c>
      <c r="E6920" s="140" t="s">
        <v>6310</v>
      </c>
      <c r="F6920" s="140" t="s">
        <v>6310</v>
      </c>
      <c r="G6920" s="141" t="s">
        <v>6311</v>
      </c>
      <c r="H6920" s="140" t="s">
        <v>6312</v>
      </c>
      <c r="I6920" s="140" t="s">
        <v>6313</v>
      </c>
      <c r="J6920" s="140" t="s">
        <v>6314</v>
      </c>
      <c r="K6920" s="140" t="s">
        <v>6315</v>
      </c>
    </row>
    <row r="6921">
      <c r="A6921" s="140" t="s">
        <v>15025</v>
      </c>
      <c r="B6921" s="140">
        <v>32955.0</v>
      </c>
      <c r="C6921" s="140" t="s">
        <v>15031</v>
      </c>
      <c r="D6921" s="140" t="s">
        <v>6309</v>
      </c>
      <c r="E6921" s="140" t="s">
        <v>6310</v>
      </c>
      <c r="F6921" s="140" t="s">
        <v>6310</v>
      </c>
      <c r="G6921" s="141" t="s">
        <v>6311</v>
      </c>
      <c r="H6921" s="140" t="s">
        <v>6312</v>
      </c>
      <c r="I6921" s="140" t="s">
        <v>6313</v>
      </c>
      <c r="J6921" s="140" t="s">
        <v>6314</v>
      </c>
      <c r="K6921" s="140" t="s">
        <v>6315</v>
      </c>
    </row>
    <row r="6922">
      <c r="A6922" s="140" t="s">
        <v>15025</v>
      </c>
      <c r="B6922" s="140">
        <v>32951.0</v>
      </c>
      <c r="C6922" s="140" t="s">
        <v>15032</v>
      </c>
      <c r="D6922" s="140" t="s">
        <v>6309</v>
      </c>
      <c r="E6922" s="140" t="s">
        <v>6310</v>
      </c>
      <c r="F6922" s="140" t="s">
        <v>6310</v>
      </c>
      <c r="G6922" s="141" t="s">
        <v>6311</v>
      </c>
      <c r="H6922" s="140" t="s">
        <v>6312</v>
      </c>
      <c r="I6922" s="140" t="s">
        <v>6313</v>
      </c>
      <c r="J6922" s="140" t="s">
        <v>6314</v>
      </c>
      <c r="K6922" s="140" t="s">
        <v>6315</v>
      </c>
    </row>
    <row r="6923">
      <c r="A6923" s="140" t="s">
        <v>15025</v>
      </c>
      <c r="B6923" s="140">
        <v>32952.0</v>
      </c>
      <c r="C6923" s="140" t="s">
        <v>15033</v>
      </c>
      <c r="D6923" s="140" t="s">
        <v>6309</v>
      </c>
      <c r="E6923" s="140" t="s">
        <v>6310</v>
      </c>
      <c r="F6923" s="140" t="s">
        <v>6310</v>
      </c>
      <c r="G6923" s="141" t="s">
        <v>6311</v>
      </c>
      <c r="H6923" s="140" t="s">
        <v>6312</v>
      </c>
      <c r="I6923" s="140" t="s">
        <v>6313</v>
      </c>
      <c r="J6923" s="140" t="s">
        <v>6314</v>
      </c>
      <c r="K6923" s="140" t="s">
        <v>6315</v>
      </c>
    </row>
    <row r="6924">
      <c r="A6924" s="140" t="s">
        <v>15025</v>
      </c>
      <c r="B6924" s="140">
        <v>32959.0</v>
      </c>
      <c r="C6924" s="140" t="s">
        <v>15034</v>
      </c>
      <c r="D6924" s="140" t="s">
        <v>6309</v>
      </c>
      <c r="E6924" s="140" t="s">
        <v>6310</v>
      </c>
      <c r="F6924" s="140" t="s">
        <v>6310</v>
      </c>
      <c r="G6924" s="141" t="s">
        <v>6311</v>
      </c>
      <c r="H6924" s="140" t="s">
        <v>6312</v>
      </c>
      <c r="I6924" s="140" t="s">
        <v>6313</v>
      </c>
      <c r="J6924" s="140" t="s">
        <v>6314</v>
      </c>
      <c r="K6924" s="140" t="s">
        <v>6315</v>
      </c>
    </row>
    <row r="6925">
      <c r="A6925" s="140" t="s">
        <v>15035</v>
      </c>
      <c r="B6925" s="140" t="s">
        <v>3311</v>
      </c>
      <c r="C6925" s="140" t="s">
        <v>15036</v>
      </c>
      <c r="D6925" s="140" t="s">
        <v>6620</v>
      </c>
      <c r="E6925" s="140" t="s">
        <v>6749</v>
      </c>
      <c r="F6925" s="140" t="s">
        <v>6750</v>
      </c>
      <c r="G6925" s="141" t="s">
        <v>6668</v>
      </c>
      <c r="H6925" s="140" t="s">
        <v>6330</v>
      </c>
      <c r="I6925" s="140" t="s">
        <v>6313</v>
      </c>
      <c r="J6925" s="140" t="s">
        <v>6319</v>
      </c>
      <c r="K6925" s="140" t="s">
        <v>15037</v>
      </c>
    </row>
    <row r="6926">
      <c r="A6926" s="140" t="s">
        <v>15035</v>
      </c>
      <c r="B6926" s="140" t="s">
        <v>15038</v>
      </c>
      <c r="C6926" s="140" t="s">
        <v>15039</v>
      </c>
      <c r="D6926" s="140" t="s">
        <v>6620</v>
      </c>
      <c r="E6926" s="140" t="s">
        <v>6749</v>
      </c>
      <c r="F6926" s="140" t="s">
        <v>6750</v>
      </c>
      <c r="G6926" s="141" t="s">
        <v>6401</v>
      </c>
      <c r="H6926" s="140" t="s">
        <v>6330</v>
      </c>
      <c r="I6926" s="140" t="s">
        <v>6313</v>
      </c>
      <c r="J6926" s="140" t="s">
        <v>6319</v>
      </c>
      <c r="K6926" s="140" t="s">
        <v>15037</v>
      </c>
    </row>
    <row r="6927">
      <c r="A6927" s="140" t="s">
        <v>15035</v>
      </c>
      <c r="B6927" s="140" t="s">
        <v>3305</v>
      </c>
      <c r="C6927" s="140" t="s">
        <v>15040</v>
      </c>
      <c r="D6927" s="140" t="s">
        <v>6620</v>
      </c>
      <c r="E6927" s="140" t="s">
        <v>6749</v>
      </c>
      <c r="F6927" s="140" t="s">
        <v>6750</v>
      </c>
      <c r="G6927" s="141" t="s">
        <v>6401</v>
      </c>
      <c r="H6927" s="140" t="s">
        <v>6330</v>
      </c>
      <c r="I6927" s="140" t="s">
        <v>6313</v>
      </c>
      <c r="J6927" s="140" t="s">
        <v>6319</v>
      </c>
      <c r="K6927" s="140" t="s">
        <v>15037</v>
      </c>
    </row>
    <row r="6928">
      <c r="A6928" s="140" t="s">
        <v>15035</v>
      </c>
      <c r="B6928" s="140" t="s">
        <v>3309</v>
      </c>
      <c r="C6928" s="140" t="s">
        <v>15041</v>
      </c>
      <c r="D6928" s="140" t="s">
        <v>6620</v>
      </c>
      <c r="E6928" s="140" t="s">
        <v>6749</v>
      </c>
      <c r="F6928" s="140" t="s">
        <v>6750</v>
      </c>
      <c r="G6928" s="141" t="s">
        <v>6664</v>
      </c>
      <c r="H6928" s="140" t="s">
        <v>6312</v>
      </c>
      <c r="I6928" s="140" t="s">
        <v>6313</v>
      </c>
      <c r="J6928" s="140" t="s">
        <v>6319</v>
      </c>
      <c r="K6928" s="140" t="s">
        <v>15037</v>
      </c>
    </row>
    <row r="6929">
      <c r="A6929" s="140" t="s">
        <v>15035</v>
      </c>
      <c r="B6929" s="140" t="s">
        <v>15042</v>
      </c>
      <c r="C6929" s="140" t="s">
        <v>15043</v>
      </c>
      <c r="D6929" s="140" t="s">
        <v>6620</v>
      </c>
      <c r="E6929" s="140" t="s">
        <v>6749</v>
      </c>
      <c r="F6929" s="140" t="s">
        <v>6750</v>
      </c>
      <c r="G6929" s="141" t="s">
        <v>6401</v>
      </c>
      <c r="H6929" s="140" t="s">
        <v>6330</v>
      </c>
      <c r="I6929" s="140" t="s">
        <v>6313</v>
      </c>
      <c r="J6929" s="140" t="s">
        <v>6319</v>
      </c>
      <c r="K6929" s="140" t="s">
        <v>15037</v>
      </c>
    </row>
    <row r="6930">
      <c r="A6930" s="140" t="s">
        <v>15035</v>
      </c>
      <c r="B6930" s="140" t="s">
        <v>5627</v>
      </c>
      <c r="C6930" s="140" t="s">
        <v>15044</v>
      </c>
      <c r="D6930" s="140" t="s">
        <v>6620</v>
      </c>
      <c r="E6930" s="140" t="s">
        <v>6749</v>
      </c>
      <c r="F6930" s="140" t="s">
        <v>6750</v>
      </c>
      <c r="G6930" s="141" t="s">
        <v>6401</v>
      </c>
      <c r="H6930" s="140" t="s">
        <v>6330</v>
      </c>
      <c r="I6930" s="140" t="s">
        <v>6313</v>
      </c>
      <c r="J6930" s="140" t="s">
        <v>6319</v>
      </c>
      <c r="K6930" s="140" t="s">
        <v>15037</v>
      </c>
    </row>
    <row r="6931">
      <c r="A6931" s="140" t="s">
        <v>15035</v>
      </c>
      <c r="B6931" s="140" t="s">
        <v>5625</v>
      </c>
      <c r="C6931" s="140" t="s">
        <v>15045</v>
      </c>
      <c r="D6931" s="140" t="s">
        <v>6620</v>
      </c>
      <c r="E6931" s="140" t="s">
        <v>6749</v>
      </c>
      <c r="F6931" s="140" t="s">
        <v>6750</v>
      </c>
      <c r="G6931" s="141" t="s">
        <v>6668</v>
      </c>
      <c r="H6931" s="140" t="s">
        <v>6330</v>
      </c>
      <c r="I6931" s="140" t="s">
        <v>6313</v>
      </c>
      <c r="J6931" s="140" t="s">
        <v>6319</v>
      </c>
      <c r="K6931" s="140" t="s">
        <v>15037</v>
      </c>
    </row>
    <row r="6932">
      <c r="A6932" s="140" t="s">
        <v>15035</v>
      </c>
      <c r="B6932" s="140" t="s">
        <v>2846</v>
      </c>
      <c r="C6932" s="140" t="s">
        <v>15046</v>
      </c>
      <c r="D6932" s="140" t="s">
        <v>6620</v>
      </c>
      <c r="E6932" s="140" t="s">
        <v>6749</v>
      </c>
      <c r="F6932" s="140" t="s">
        <v>6750</v>
      </c>
      <c r="G6932" s="141" t="s">
        <v>6668</v>
      </c>
      <c r="H6932" s="140" t="s">
        <v>6330</v>
      </c>
      <c r="I6932" s="140" t="s">
        <v>6313</v>
      </c>
      <c r="J6932" s="140" t="s">
        <v>6319</v>
      </c>
      <c r="K6932" s="140" t="s">
        <v>15037</v>
      </c>
    </row>
    <row r="6933">
      <c r="A6933" s="140" t="s">
        <v>15035</v>
      </c>
      <c r="B6933" s="140" t="s">
        <v>3307</v>
      </c>
      <c r="C6933" s="140" t="s">
        <v>15047</v>
      </c>
      <c r="D6933" s="140" t="s">
        <v>6620</v>
      </c>
      <c r="E6933" s="140" t="s">
        <v>6749</v>
      </c>
      <c r="F6933" s="140" t="s">
        <v>6750</v>
      </c>
      <c r="G6933" s="141" t="s">
        <v>6401</v>
      </c>
      <c r="H6933" s="140" t="s">
        <v>6330</v>
      </c>
      <c r="I6933" s="140" t="s">
        <v>6313</v>
      </c>
      <c r="J6933" s="140" t="s">
        <v>6319</v>
      </c>
      <c r="K6933" s="140" t="s">
        <v>15037</v>
      </c>
    </row>
    <row r="6934">
      <c r="A6934" s="140" t="s">
        <v>15035</v>
      </c>
      <c r="B6934" s="140" t="s">
        <v>3391</v>
      </c>
      <c r="C6934" s="140" t="s">
        <v>15048</v>
      </c>
      <c r="D6934" s="140" t="s">
        <v>6620</v>
      </c>
      <c r="E6934" s="140" t="s">
        <v>6749</v>
      </c>
      <c r="F6934" s="140" t="s">
        <v>6756</v>
      </c>
      <c r="G6934" s="141" t="s">
        <v>6311</v>
      </c>
      <c r="H6934" s="140" t="s">
        <v>6330</v>
      </c>
      <c r="I6934" s="140" t="s">
        <v>6313</v>
      </c>
      <c r="J6934" s="140" t="s">
        <v>6319</v>
      </c>
      <c r="K6934" s="140" t="s">
        <v>15037</v>
      </c>
    </row>
    <row r="6935">
      <c r="A6935" s="140" t="s">
        <v>15035</v>
      </c>
      <c r="B6935" s="140" t="s">
        <v>5631</v>
      </c>
      <c r="C6935" s="140" t="s">
        <v>15049</v>
      </c>
      <c r="D6935" s="140" t="s">
        <v>6620</v>
      </c>
      <c r="E6935" s="140" t="s">
        <v>6749</v>
      </c>
      <c r="F6935" s="140" t="s">
        <v>6756</v>
      </c>
      <c r="G6935" s="141" t="s">
        <v>6401</v>
      </c>
      <c r="H6935" s="140" t="s">
        <v>6330</v>
      </c>
      <c r="I6935" s="140" t="s">
        <v>6313</v>
      </c>
      <c r="J6935" s="140" t="s">
        <v>6319</v>
      </c>
      <c r="K6935" s="140" t="s">
        <v>15037</v>
      </c>
    </row>
    <row r="6936">
      <c r="A6936" s="140" t="s">
        <v>15035</v>
      </c>
      <c r="B6936" s="140" t="s">
        <v>4367</v>
      </c>
      <c r="C6936" s="140" t="s">
        <v>15050</v>
      </c>
      <c r="D6936" s="140" t="s">
        <v>6620</v>
      </c>
      <c r="E6936" s="140" t="s">
        <v>6749</v>
      </c>
      <c r="F6936" s="140" t="s">
        <v>6756</v>
      </c>
      <c r="G6936" s="141" t="s">
        <v>6401</v>
      </c>
      <c r="H6936" s="140" t="s">
        <v>6330</v>
      </c>
      <c r="I6936" s="140" t="s">
        <v>6313</v>
      </c>
      <c r="J6936" s="140" t="s">
        <v>6319</v>
      </c>
      <c r="K6936" s="140" t="s">
        <v>15037</v>
      </c>
    </row>
    <row r="6937">
      <c r="A6937" s="140" t="s">
        <v>15035</v>
      </c>
      <c r="B6937" s="140" t="s">
        <v>5629</v>
      </c>
      <c r="C6937" s="140" t="s">
        <v>15051</v>
      </c>
      <c r="D6937" s="140" t="s">
        <v>6620</v>
      </c>
      <c r="E6937" s="140" t="s">
        <v>6749</v>
      </c>
      <c r="F6937" s="140" t="s">
        <v>6756</v>
      </c>
      <c r="G6937" s="141" t="s">
        <v>6668</v>
      </c>
      <c r="H6937" s="140" t="s">
        <v>6330</v>
      </c>
      <c r="I6937" s="140" t="s">
        <v>6313</v>
      </c>
      <c r="J6937" s="140" t="s">
        <v>6319</v>
      </c>
      <c r="K6937" s="140" t="s">
        <v>15037</v>
      </c>
    </row>
    <row r="6938">
      <c r="A6938" s="140" t="s">
        <v>15035</v>
      </c>
      <c r="B6938" s="140" t="s">
        <v>3494</v>
      </c>
      <c r="C6938" s="140" t="s">
        <v>15052</v>
      </c>
      <c r="D6938" s="140" t="s">
        <v>6620</v>
      </c>
      <c r="E6938" s="140" t="s">
        <v>6621</v>
      </c>
      <c r="F6938" s="140" t="s">
        <v>15053</v>
      </c>
      <c r="G6938" s="141" t="s">
        <v>6401</v>
      </c>
      <c r="H6938" s="140" t="s">
        <v>6330</v>
      </c>
      <c r="I6938" s="140" t="s">
        <v>6313</v>
      </c>
      <c r="J6938" s="140" t="s">
        <v>6319</v>
      </c>
      <c r="K6938" s="140" t="s">
        <v>15037</v>
      </c>
    </row>
    <row r="6939">
      <c r="A6939" s="140" t="s">
        <v>15035</v>
      </c>
      <c r="B6939" s="140" t="s">
        <v>2457</v>
      </c>
      <c r="C6939" s="140" t="s">
        <v>15054</v>
      </c>
      <c r="D6939" s="140" t="s">
        <v>6620</v>
      </c>
      <c r="E6939" s="140" t="s">
        <v>6621</v>
      </c>
      <c r="F6939" s="140" t="s">
        <v>15053</v>
      </c>
      <c r="G6939" s="141" t="s">
        <v>6401</v>
      </c>
      <c r="H6939" s="140" t="s">
        <v>6330</v>
      </c>
      <c r="I6939" s="140" t="s">
        <v>6313</v>
      </c>
      <c r="J6939" s="140" t="s">
        <v>6319</v>
      </c>
      <c r="K6939" s="140" t="s">
        <v>15037</v>
      </c>
    </row>
    <row r="6940">
      <c r="A6940" s="140" t="s">
        <v>15035</v>
      </c>
      <c r="B6940" s="140" t="s">
        <v>15055</v>
      </c>
      <c r="C6940" s="140" t="s">
        <v>15056</v>
      </c>
      <c r="D6940" s="140" t="s">
        <v>6620</v>
      </c>
      <c r="E6940" s="140" t="s">
        <v>6621</v>
      </c>
      <c r="F6940" s="140" t="s">
        <v>15057</v>
      </c>
      <c r="G6940" s="141" t="s">
        <v>6401</v>
      </c>
      <c r="H6940" s="140" t="s">
        <v>6330</v>
      </c>
      <c r="I6940" s="140" t="s">
        <v>6313</v>
      </c>
      <c r="J6940" s="140" t="s">
        <v>6319</v>
      </c>
      <c r="K6940" s="140" t="s">
        <v>15037</v>
      </c>
    </row>
    <row r="6941">
      <c r="A6941" s="140" t="s">
        <v>15035</v>
      </c>
      <c r="B6941" s="140" t="s">
        <v>3259</v>
      </c>
      <c r="C6941" s="140" t="s">
        <v>15058</v>
      </c>
      <c r="D6941" s="140" t="s">
        <v>6620</v>
      </c>
      <c r="E6941" s="140" t="s">
        <v>6621</v>
      </c>
      <c r="F6941" s="140" t="s">
        <v>15057</v>
      </c>
      <c r="G6941" s="141" t="s">
        <v>6401</v>
      </c>
      <c r="H6941" s="140" t="s">
        <v>6330</v>
      </c>
      <c r="I6941" s="140" t="s">
        <v>6313</v>
      </c>
      <c r="J6941" s="140" t="s">
        <v>6319</v>
      </c>
      <c r="K6941" s="140" t="s">
        <v>15037</v>
      </c>
    </row>
    <row r="6942">
      <c r="A6942" s="140" t="s">
        <v>15035</v>
      </c>
      <c r="B6942" s="140" t="s">
        <v>3378</v>
      </c>
      <c r="C6942" s="140" t="s">
        <v>15059</v>
      </c>
      <c r="D6942" s="140" t="s">
        <v>6620</v>
      </c>
      <c r="E6942" s="140" t="s">
        <v>6621</v>
      </c>
      <c r="F6942" s="140" t="s">
        <v>15057</v>
      </c>
      <c r="G6942" s="141" t="s">
        <v>6401</v>
      </c>
      <c r="H6942" s="140" t="s">
        <v>6330</v>
      </c>
      <c r="I6942" s="140" t="s">
        <v>6313</v>
      </c>
      <c r="J6942" s="140" t="s">
        <v>6319</v>
      </c>
      <c r="K6942" s="140" t="s">
        <v>15037</v>
      </c>
    </row>
    <row r="6943">
      <c r="A6943" s="140" t="s">
        <v>15035</v>
      </c>
      <c r="B6943" s="140" t="s">
        <v>15060</v>
      </c>
      <c r="C6943" s="140" t="s">
        <v>15061</v>
      </c>
      <c r="D6943" s="140" t="s">
        <v>6620</v>
      </c>
      <c r="E6943" s="140" t="s">
        <v>6621</v>
      </c>
      <c r="F6943" s="140" t="s">
        <v>15057</v>
      </c>
      <c r="G6943" s="141" t="s">
        <v>6401</v>
      </c>
      <c r="H6943" s="140" t="s">
        <v>6330</v>
      </c>
      <c r="I6943" s="140" t="s">
        <v>6313</v>
      </c>
      <c r="J6943" s="140" t="s">
        <v>6319</v>
      </c>
      <c r="K6943" s="140" t="s">
        <v>15037</v>
      </c>
    </row>
    <row r="6944">
      <c r="A6944" s="140" t="s">
        <v>15035</v>
      </c>
      <c r="B6944" s="140" t="s">
        <v>3261</v>
      </c>
      <c r="C6944" s="140" t="s">
        <v>15062</v>
      </c>
      <c r="D6944" s="140" t="s">
        <v>6620</v>
      </c>
      <c r="E6944" s="140" t="s">
        <v>6621</v>
      </c>
      <c r="F6944" s="140" t="s">
        <v>15057</v>
      </c>
      <c r="G6944" s="141" t="s">
        <v>6401</v>
      </c>
      <c r="H6944" s="140" t="s">
        <v>6330</v>
      </c>
      <c r="I6944" s="140" t="s">
        <v>6313</v>
      </c>
      <c r="J6944" s="140" t="s">
        <v>6319</v>
      </c>
      <c r="K6944" s="140" t="s">
        <v>15037</v>
      </c>
    </row>
    <row r="6945">
      <c r="A6945" s="140" t="s">
        <v>15035</v>
      </c>
      <c r="B6945" s="140" t="s">
        <v>4005</v>
      </c>
      <c r="C6945" s="140" t="s">
        <v>15063</v>
      </c>
      <c r="D6945" s="140" t="s">
        <v>6620</v>
      </c>
      <c r="E6945" s="140" t="s">
        <v>6621</v>
      </c>
      <c r="F6945" s="140" t="s">
        <v>15057</v>
      </c>
      <c r="G6945" s="141" t="s">
        <v>6401</v>
      </c>
      <c r="H6945" s="140" t="s">
        <v>6330</v>
      </c>
      <c r="I6945" s="140" t="s">
        <v>6313</v>
      </c>
      <c r="J6945" s="140" t="s">
        <v>6319</v>
      </c>
      <c r="K6945" s="140" t="s">
        <v>15037</v>
      </c>
    </row>
    <row r="6946">
      <c r="A6946" s="140" t="s">
        <v>15035</v>
      </c>
      <c r="B6946" s="140" t="s">
        <v>4009</v>
      </c>
      <c r="C6946" s="140" t="s">
        <v>15064</v>
      </c>
      <c r="D6946" s="140" t="s">
        <v>6620</v>
      </c>
      <c r="E6946" s="140" t="s">
        <v>6621</v>
      </c>
      <c r="F6946" s="140" t="s">
        <v>15057</v>
      </c>
      <c r="G6946" s="141" t="s">
        <v>6401</v>
      </c>
      <c r="H6946" s="140" t="s">
        <v>6330</v>
      </c>
      <c r="I6946" s="140" t="s">
        <v>6313</v>
      </c>
      <c r="J6946" s="140" t="s">
        <v>6319</v>
      </c>
      <c r="K6946" s="140" t="s">
        <v>15037</v>
      </c>
    </row>
    <row r="6947">
      <c r="A6947" s="140" t="s">
        <v>15035</v>
      </c>
      <c r="B6947" s="140" t="s">
        <v>4011</v>
      </c>
      <c r="C6947" s="140" t="s">
        <v>15065</v>
      </c>
      <c r="D6947" s="140" t="s">
        <v>6620</v>
      </c>
      <c r="E6947" s="140" t="s">
        <v>6621</v>
      </c>
      <c r="F6947" s="140" t="s">
        <v>15057</v>
      </c>
      <c r="G6947" s="141" t="s">
        <v>6401</v>
      </c>
      <c r="H6947" s="140" t="s">
        <v>6330</v>
      </c>
      <c r="I6947" s="140" t="s">
        <v>6313</v>
      </c>
      <c r="J6947" s="140" t="s">
        <v>6319</v>
      </c>
      <c r="K6947" s="140" t="s">
        <v>15037</v>
      </c>
    </row>
    <row r="6948">
      <c r="A6948" s="140" t="s">
        <v>15035</v>
      </c>
      <c r="B6948" s="140" t="s">
        <v>4007</v>
      </c>
      <c r="C6948" s="140" t="s">
        <v>15066</v>
      </c>
      <c r="D6948" s="140" t="s">
        <v>6620</v>
      </c>
      <c r="E6948" s="140" t="s">
        <v>6621</v>
      </c>
      <c r="F6948" s="140" t="s">
        <v>15057</v>
      </c>
      <c r="G6948" s="141" t="s">
        <v>6401</v>
      </c>
      <c r="H6948" s="140" t="s">
        <v>6330</v>
      </c>
      <c r="I6948" s="140" t="s">
        <v>6313</v>
      </c>
      <c r="J6948" s="140" t="s">
        <v>6319</v>
      </c>
      <c r="K6948" s="140" t="s">
        <v>15037</v>
      </c>
    </row>
    <row r="6949">
      <c r="A6949" s="140" t="s">
        <v>15035</v>
      </c>
      <c r="B6949" s="140" t="s">
        <v>15067</v>
      </c>
      <c r="C6949" s="140" t="s">
        <v>15068</v>
      </c>
      <c r="D6949" s="140" t="s">
        <v>6620</v>
      </c>
      <c r="E6949" s="140" t="s">
        <v>6621</v>
      </c>
      <c r="F6949" s="140" t="s">
        <v>15057</v>
      </c>
      <c r="G6949" s="141" t="s">
        <v>6401</v>
      </c>
      <c r="H6949" s="140" t="s">
        <v>6330</v>
      </c>
      <c r="I6949" s="140" t="s">
        <v>6313</v>
      </c>
      <c r="J6949" s="140" t="s">
        <v>6319</v>
      </c>
      <c r="K6949" s="140" t="s">
        <v>15037</v>
      </c>
    </row>
    <row r="6950">
      <c r="A6950" s="140" t="s">
        <v>15035</v>
      </c>
      <c r="B6950" s="140" t="s">
        <v>15069</v>
      </c>
      <c r="C6950" s="140" t="s">
        <v>15070</v>
      </c>
      <c r="D6950" s="140" t="s">
        <v>6620</v>
      </c>
      <c r="E6950" s="140" t="s">
        <v>6621</v>
      </c>
      <c r="F6950" s="140" t="s">
        <v>15057</v>
      </c>
      <c r="G6950" s="141" t="s">
        <v>6401</v>
      </c>
      <c r="H6950" s="140" t="s">
        <v>6330</v>
      </c>
      <c r="I6950" s="140" t="s">
        <v>6313</v>
      </c>
      <c r="J6950" s="140" t="s">
        <v>6319</v>
      </c>
      <c r="K6950" s="140" t="s">
        <v>15037</v>
      </c>
    </row>
    <row r="6951">
      <c r="A6951" s="140" t="s">
        <v>15035</v>
      </c>
      <c r="B6951" s="140" t="s">
        <v>15071</v>
      </c>
      <c r="C6951" s="140" t="s">
        <v>15072</v>
      </c>
      <c r="D6951" s="140" t="s">
        <v>6620</v>
      </c>
      <c r="E6951" s="140" t="s">
        <v>6621</v>
      </c>
      <c r="F6951" s="140" t="s">
        <v>15057</v>
      </c>
      <c r="G6951" s="141" t="s">
        <v>6401</v>
      </c>
      <c r="H6951" s="140" t="s">
        <v>6330</v>
      </c>
      <c r="I6951" s="140" t="s">
        <v>6313</v>
      </c>
      <c r="J6951" s="140" t="s">
        <v>6319</v>
      </c>
      <c r="K6951" s="140" t="s">
        <v>15037</v>
      </c>
    </row>
    <row r="6952">
      <c r="A6952" s="140" t="s">
        <v>15035</v>
      </c>
      <c r="B6952" s="140" t="s">
        <v>4015</v>
      </c>
      <c r="C6952" s="140" t="s">
        <v>15073</v>
      </c>
      <c r="D6952" s="140" t="s">
        <v>6620</v>
      </c>
      <c r="E6952" s="140" t="s">
        <v>6621</v>
      </c>
      <c r="F6952" s="140" t="s">
        <v>15057</v>
      </c>
      <c r="G6952" s="141" t="s">
        <v>6401</v>
      </c>
      <c r="H6952" s="140" t="s">
        <v>6330</v>
      </c>
      <c r="I6952" s="140" t="s">
        <v>6313</v>
      </c>
      <c r="J6952" s="140" t="s">
        <v>6319</v>
      </c>
      <c r="K6952" s="140" t="s">
        <v>15037</v>
      </c>
    </row>
    <row r="6953">
      <c r="A6953" s="140" t="s">
        <v>15035</v>
      </c>
      <c r="B6953" s="140" t="s">
        <v>2806</v>
      </c>
      <c r="C6953" s="140" t="s">
        <v>15074</v>
      </c>
      <c r="D6953" s="140" t="s">
        <v>6620</v>
      </c>
      <c r="E6953" s="140" t="s">
        <v>6621</v>
      </c>
      <c r="F6953" s="140" t="s">
        <v>6777</v>
      </c>
      <c r="G6953" s="141" t="s">
        <v>6668</v>
      </c>
      <c r="H6953" s="140" t="s">
        <v>6330</v>
      </c>
      <c r="I6953" s="140" t="s">
        <v>6313</v>
      </c>
      <c r="J6953" s="140" t="s">
        <v>6319</v>
      </c>
      <c r="K6953" s="140" t="s">
        <v>15037</v>
      </c>
    </row>
    <row r="6954">
      <c r="A6954" s="140" t="s">
        <v>15035</v>
      </c>
      <c r="B6954" s="140" t="s">
        <v>4013</v>
      </c>
      <c r="C6954" s="140" t="s">
        <v>15075</v>
      </c>
      <c r="D6954" s="140" t="s">
        <v>6620</v>
      </c>
      <c r="E6954" s="140" t="s">
        <v>6621</v>
      </c>
      <c r="F6954" s="140" t="s">
        <v>15076</v>
      </c>
      <c r="G6954" s="141" t="s">
        <v>6668</v>
      </c>
      <c r="H6954" s="140" t="s">
        <v>6330</v>
      </c>
      <c r="I6954" s="140" t="s">
        <v>6313</v>
      </c>
      <c r="J6954" s="140" t="s">
        <v>6319</v>
      </c>
      <c r="K6954" s="140" t="s">
        <v>15037</v>
      </c>
    </row>
    <row r="6955">
      <c r="A6955" s="140" t="s">
        <v>15035</v>
      </c>
      <c r="B6955" s="140" t="s">
        <v>4003</v>
      </c>
      <c r="C6955" s="140" t="s">
        <v>15077</v>
      </c>
      <c r="D6955" s="140" t="s">
        <v>6620</v>
      </c>
      <c r="E6955" s="140" t="s">
        <v>6621</v>
      </c>
      <c r="F6955" s="140" t="s">
        <v>15076</v>
      </c>
      <c r="G6955" s="141" t="s">
        <v>6668</v>
      </c>
      <c r="H6955" s="140" t="s">
        <v>6330</v>
      </c>
      <c r="I6955" s="140" t="s">
        <v>6313</v>
      </c>
      <c r="J6955" s="140" t="s">
        <v>6319</v>
      </c>
      <c r="K6955" s="140" t="s">
        <v>15037</v>
      </c>
    </row>
    <row r="6956">
      <c r="A6956" s="140" t="s">
        <v>15035</v>
      </c>
      <c r="B6956" s="140" t="s">
        <v>2455</v>
      </c>
      <c r="C6956" s="140" t="s">
        <v>15078</v>
      </c>
      <c r="D6956" s="140" t="s">
        <v>6620</v>
      </c>
      <c r="E6956" s="140" t="s">
        <v>6621</v>
      </c>
      <c r="F6956" s="140" t="s">
        <v>15076</v>
      </c>
      <c r="G6956" s="141" t="s">
        <v>6401</v>
      </c>
      <c r="H6956" s="140" t="s">
        <v>6330</v>
      </c>
      <c r="I6956" s="140" t="s">
        <v>6313</v>
      </c>
      <c r="J6956" s="140" t="s">
        <v>6319</v>
      </c>
      <c r="K6956" s="140" t="s">
        <v>15037</v>
      </c>
    </row>
    <row r="6957">
      <c r="A6957" s="140" t="s">
        <v>15035</v>
      </c>
      <c r="B6957" s="140" t="s">
        <v>3270</v>
      </c>
      <c r="C6957" s="140" t="s">
        <v>15079</v>
      </c>
      <c r="D6957" s="140" t="s">
        <v>6620</v>
      </c>
      <c r="E6957" s="140" t="s">
        <v>6621</v>
      </c>
      <c r="F6957" s="140" t="s">
        <v>15076</v>
      </c>
      <c r="G6957" s="141" t="s">
        <v>6668</v>
      </c>
      <c r="H6957" s="140" t="s">
        <v>6330</v>
      </c>
      <c r="I6957" s="140" t="s">
        <v>6313</v>
      </c>
      <c r="J6957" s="140" t="s">
        <v>6319</v>
      </c>
      <c r="K6957" s="140" t="s">
        <v>15037</v>
      </c>
    </row>
    <row r="6958">
      <c r="A6958" s="140" t="s">
        <v>15035</v>
      </c>
      <c r="B6958" s="140" t="s">
        <v>3272</v>
      </c>
      <c r="C6958" s="140" t="s">
        <v>15080</v>
      </c>
      <c r="D6958" s="140" t="s">
        <v>6620</v>
      </c>
      <c r="E6958" s="140" t="s">
        <v>6621</v>
      </c>
      <c r="F6958" s="140" t="s">
        <v>15076</v>
      </c>
      <c r="G6958" s="141" t="s">
        <v>6668</v>
      </c>
      <c r="H6958" s="140" t="s">
        <v>6330</v>
      </c>
      <c r="I6958" s="140" t="s">
        <v>6313</v>
      </c>
      <c r="J6958" s="140" t="s">
        <v>6319</v>
      </c>
      <c r="K6958" s="140" t="s">
        <v>15037</v>
      </c>
    </row>
    <row r="6959">
      <c r="A6959" s="140" t="s">
        <v>15035</v>
      </c>
      <c r="B6959" s="140" t="s">
        <v>15081</v>
      </c>
      <c r="C6959" s="140" t="s">
        <v>15082</v>
      </c>
      <c r="D6959" s="140" t="s">
        <v>6620</v>
      </c>
      <c r="E6959" s="140" t="s">
        <v>6621</v>
      </c>
      <c r="F6959" s="140" t="s">
        <v>15076</v>
      </c>
      <c r="G6959" s="141" t="s">
        <v>6742</v>
      </c>
      <c r="H6959" s="140" t="s">
        <v>6330</v>
      </c>
      <c r="I6959" s="140" t="s">
        <v>6313</v>
      </c>
      <c r="J6959" s="140" t="s">
        <v>6319</v>
      </c>
      <c r="K6959" s="140" t="s">
        <v>15037</v>
      </c>
    </row>
    <row r="6960">
      <c r="A6960" s="140" t="s">
        <v>15035</v>
      </c>
      <c r="B6960" s="140" t="s">
        <v>15083</v>
      </c>
      <c r="C6960" s="140" t="s">
        <v>15084</v>
      </c>
      <c r="D6960" s="140" t="s">
        <v>6620</v>
      </c>
      <c r="E6960" s="140" t="s">
        <v>6621</v>
      </c>
      <c r="F6960" s="140" t="s">
        <v>15076</v>
      </c>
      <c r="G6960" s="141" t="s">
        <v>6401</v>
      </c>
      <c r="H6960" s="140" t="s">
        <v>6330</v>
      </c>
      <c r="I6960" s="140" t="s">
        <v>6313</v>
      </c>
      <c r="J6960" s="140" t="s">
        <v>6319</v>
      </c>
      <c r="K6960" s="140" t="s">
        <v>15037</v>
      </c>
    </row>
    <row r="6961">
      <c r="A6961" s="140" t="s">
        <v>15035</v>
      </c>
      <c r="B6961" s="140" t="s">
        <v>3279</v>
      </c>
      <c r="C6961" s="140" t="s">
        <v>15085</v>
      </c>
      <c r="D6961" s="140" t="s">
        <v>6620</v>
      </c>
      <c r="E6961" s="140" t="s">
        <v>6621</v>
      </c>
      <c r="F6961" s="140" t="s">
        <v>15076</v>
      </c>
      <c r="G6961" s="141" t="s">
        <v>6668</v>
      </c>
      <c r="H6961" s="140" t="s">
        <v>6330</v>
      </c>
      <c r="I6961" s="140" t="s">
        <v>6313</v>
      </c>
      <c r="J6961" s="140" t="s">
        <v>6319</v>
      </c>
      <c r="K6961" s="140" t="s">
        <v>15037</v>
      </c>
    </row>
    <row r="6962">
      <c r="A6962" s="140" t="s">
        <v>15086</v>
      </c>
      <c r="B6962" s="140">
        <v>26975.0</v>
      </c>
      <c r="C6962" s="140" t="s">
        <v>15087</v>
      </c>
      <c r="D6962" s="140" t="s">
        <v>6309</v>
      </c>
      <c r="E6962" s="140" t="s">
        <v>56</v>
      </c>
      <c r="F6962" s="140" t="s">
        <v>64</v>
      </c>
      <c r="G6962" s="141" t="s">
        <v>6311</v>
      </c>
      <c r="H6962" s="140" t="s">
        <v>6312</v>
      </c>
      <c r="I6962" s="140" t="s">
        <v>6313</v>
      </c>
      <c r="J6962" s="140" t="s">
        <v>6314</v>
      </c>
      <c r="K6962" s="140" t="s">
        <v>6315</v>
      </c>
    </row>
    <row r="6963">
      <c r="A6963" s="140" t="s">
        <v>1475</v>
      </c>
      <c r="B6963" s="140" t="s">
        <v>1479</v>
      </c>
      <c r="C6963" s="140" t="s">
        <v>2195</v>
      </c>
      <c r="D6963" s="140" t="s">
        <v>6620</v>
      </c>
      <c r="E6963" s="140" t="s">
        <v>1476</v>
      </c>
      <c r="F6963" s="140" t="s">
        <v>1477</v>
      </c>
      <c r="G6963" s="141" t="s">
        <v>6664</v>
      </c>
      <c r="H6963" s="140" t="s">
        <v>6330</v>
      </c>
      <c r="I6963" s="140" t="s">
        <v>6313</v>
      </c>
      <c r="J6963" s="140" t="s">
        <v>6319</v>
      </c>
      <c r="K6963" s="140" t="s">
        <v>1573</v>
      </c>
    </row>
    <row r="6964">
      <c r="A6964" s="140" t="s">
        <v>1475</v>
      </c>
      <c r="B6964" s="140" t="s">
        <v>2197</v>
      </c>
      <c r="C6964" s="140" t="s">
        <v>15088</v>
      </c>
      <c r="D6964" s="140" t="s">
        <v>6620</v>
      </c>
      <c r="E6964" s="140" t="s">
        <v>1476</v>
      </c>
      <c r="F6964" s="140" t="s">
        <v>1480</v>
      </c>
      <c r="G6964" s="141" t="s">
        <v>6311</v>
      </c>
      <c r="H6964" s="140" t="s">
        <v>6330</v>
      </c>
      <c r="I6964" s="140" t="s">
        <v>6313</v>
      </c>
      <c r="J6964" s="140" t="s">
        <v>6319</v>
      </c>
      <c r="K6964" s="140" t="s">
        <v>1573</v>
      </c>
    </row>
    <row r="6965">
      <c r="A6965" s="140" t="s">
        <v>1475</v>
      </c>
      <c r="B6965" s="140" t="s">
        <v>1482</v>
      </c>
      <c r="C6965" s="140" t="s">
        <v>15089</v>
      </c>
      <c r="D6965" s="140" t="s">
        <v>6620</v>
      </c>
      <c r="E6965" s="140" t="s">
        <v>1476</v>
      </c>
      <c r="F6965" s="140" t="s">
        <v>1480</v>
      </c>
      <c r="G6965" s="141" t="s">
        <v>6668</v>
      </c>
      <c r="H6965" s="140" t="s">
        <v>6330</v>
      </c>
      <c r="I6965" s="140" t="s">
        <v>6313</v>
      </c>
      <c r="J6965" s="140" t="s">
        <v>6319</v>
      </c>
      <c r="K6965" s="140" t="s">
        <v>1573</v>
      </c>
    </row>
    <row r="6966">
      <c r="A6966" s="140" t="s">
        <v>15090</v>
      </c>
      <c r="B6966" s="140" t="s">
        <v>15091</v>
      </c>
      <c r="C6966" s="140" t="s">
        <v>15092</v>
      </c>
      <c r="D6966" s="140" t="s">
        <v>6309</v>
      </c>
      <c r="E6966" s="140">
        <v>0.0</v>
      </c>
      <c r="F6966" s="140" t="s">
        <v>15093</v>
      </c>
      <c r="G6966" s="141" t="s">
        <v>6401</v>
      </c>
      <c r="H6966" s="140" t="s">
        <v>6312</v>
      </c>
      <c r="I6966" s="140" t="s">
        <v>6313</v>
      </c>
      <c r="J6966" s="140" t="s">
        <v>6314</v>
      </c>
      <c r="K6966" s="140" t="s">
        <v>15090</v>
      </c>
    </row>
    <row r="6967">
      <c r="A6967" s="140" t="s">
        <v>15090</v>
      </c>
      <c r="B6967" s="140" t="s">
        <v>15094</v>
      </c>
      <c r="C6967" s="140" t="s">
        <v>15095</v>
      </c>
      <c r="D6967" s="140" t="s">
        <v>6309</v>
      </c>
      <c r="E6967" s="140">
        <v>0.0</v>
      </c>
      <c r="F6967" s="140" t="s">
        <v>15093</v>
      </c>
      <c r="G6967" s="141" t="s">
        <v>6401</v>
      </c>
      <c r="H6967" s="140" t="s">
        <v>6312</v>
      </c>
      <c r="I6967" s="140" t="s">
        <v>6313</v>
      </c>
      <c r="J6967" s="140" t="s">
        <v>6314</v>
      </c>
      <c r="K6967" s="140" t="s">
        <v>15090</v>
      </c>
    </row>
    <row r="6968">
      <c r="A6968" s="140" t="s">
        <v>15090</v>
      </c>
      <c r="B6968" s="140" t="s">
        <v>15096</v>
      </c>
      <c r="C6968" s="140" t="s">
        <v>15097</v>
      </c>
      <c r="D6968" s="140" t="s">
        <v>6309</v>
      </c>
      <c r="E6968" s="140">
        <v>0.0</v>
      </c>
      <c r="F6968" s="140" t="s">
        <v>15093</v>
      </c>
      <c r="G6968" s="141" t="s">
        <v>6304</v>
      </c>
      <c r="H6968" s="140" t="s">
        <v>6312</v>
      </c>
      <c r="I6968" s="140" t="s">
        <v>6527</v>
      </c>
      <c r="J6968" s="140" t="s">
        <v>6314</v>
      </c>
      <c r="K6968" s="140" t="s">
        <v>15090</v>
      </c>
    </row>
    <row r="6969">
      <c r="A6969" s="140" t="s">
        <v>15090</v>
      </c>
      <c r="B6969" s="140" t="s">
        <v>3368</v>
      </c>
      <c r="C6969" s="140" t="s">
        <v>15098</v>
      </c>
      <c r="D6969" s="140" t="s">
        <v>6309</v>
      </c>
      <c r="E6969" s="140">
        <v>0.0</v>
      </c>
      <c r="F6969" s="140" t="s">
        <v>15093</v>
      </c>
      <c r="G6969" s="141" t="s">
        <v>6401</v>
      </c>
      <c r="H6969" s="140" t="s">
        <v>6312</v>
      </c>
      <c r="I6969" s="140" t="s">
        <v>6313</v>
      </c>
      <c r="J6969" s="140" t="s">
        <v>6314</v>
      </c>
      <c r="K6969" s="140" t="s">
        <v>15090</v>
      </c>
    </row>
    <row r="6970">
      <c r="A6970" s="140" t="s">
        <v>15090</v>
      </c>
      <c r="B6970" s="140" t="s">
        <v>15099</v>
      </c>
      <c r="C6970" s="140" t="s">
        <v>15100</v>
      </c>
      <c r="D6970" s="140" t="s">
        <v>6309</v>
      </c>
      <c r="E6970" s="140">
        <v>0.0</v>
      </c>
      <c r="F6970" s="140" t="s">
        <v>15093</v>
      </c>
      <c r="G6970" s="141" t="s">
        <v>6401</v>
      </c>
      <c r="H6970" s="140" t="s">
        <v>6312</v>
      </c>
      <c r="I6970" s="140" t="s">
        <v>6313</v>
      </c>
      <c r="J6970" s="140" t="s">
        <v>6314</v>
      </c>
      <c r="K6970" s="140" t="s">
        <v>15090</v>
      </c>
    </row>
    <row r="6971">
      <c r="A6971" s="140" t="s">
        <v>15090</v>
      </c>
      <c r="B6971" s="140" t="s">
        <v>15101</v>
      </c>
      <c r="C6971" s="140" t="s">
        <v>15102</v>
      </c>
      <c r="D6971" s="140" t="s">
        <v>6309</v>
      </c>
      <c r="E6971" s="140">
        <v>0.0</v>
      </c>
      <c r="F6971" s="140" t="s">
        <v>15093</v>
      </c>
      <c r="G6971" s="141" t="s">
        <v>6401</v>
      </c>
      <c r="H6971" s="140" t="s">
        <v>6312</v>
      </c>
      <c r="I6971" s="140" t="s">
        <v>6313</v>
      </c>
      <c r="J6971" s="140" t="s">
        <v>6314</v>
      </c>
      <c r="K6971" s="140" t="s">
        <v>15090</v>
      </c>
    </row>
    <row r="6972">
      <c r="A6972" s="140" t="s">
        <v>15090</v>
      </c>
      <c r="B6972" s="140" t="s">
        <v>15103</v>
      </c>
      <c r="C6972" s="140" t="s">
        <v>15104</v>
      </c>
      <c r="D6972" s="140" t="s">
        <v>6309</v>
      </c>
      <c r="E6972" s="140">
        <v>0.0</v>
      </c>
      <c r="F6972" s="140" t="s">
        <v>15093</v>
      </c>
      <c r="G6972" s="141" t="s">
        <v>6401</v>
      </c>
      <c r="H6972" s="140" t="s">
        <v>6312</v>
      </c>
      <c r="I6972" s="140" t="s">
        <v>6313</v>
      </c>
      <c r="J6972" s="140" t="s">
        <v>6314</v>
      </c>
      <c r="K6972" s="140" t="s">
        <v>15090</v>
      </c>
    </row>
    <row r="6973">
      <c r="A6973" s="140" t="s">
        <v>15090</v>
      </c>
      <c r="B6973" s="140" t="s">
        <v>15105</v>
      </c>
      <c r="C6973" s="140" t="s">
        <v>15106</v>
      </c>
      <c r="D6973" s="140" t="s">
        <v>6309</v>
      </c>
      <c r="E6973" s="140">
        <v>0.0</v>
      </c>
      <c r="F6973" s="140" t="s">
        <v>15093</v>
      </c>
      <c r="G6973" s="141" t="s">
        <v>6401</v>
      </c>
      <c r="H6973" s="140" t="s">
        <v>6312</v>
      </c>
      <c r="I6973" s="140" t="s">
        <v>6313</v>
      </c>
      <c r="J6973" s="140" t="s">
        <v>6314</v>
      </c>
      <c r="K6973" s="140" t="s">
        <v>15090</v>
      </c>
    </row>
    <row r="6974">
      <c r="A6974" s="140" t="s">
        <v>15090</v>
      </c>
      <c r="B6974" s="140" t="s">
        <v>15107</v>
      </c>
      <c r="C6974" s="140" t="s">
        <v>15108</v>
      </c>
      <c r="D6974" s="140" t="s">
        <v>6309</v>
      </c>
      <c r="E6974" s="140">
        <v>0.0</v>
      </c>
      <c r="F6974" s="140" t="s">
        <v>15093</v>
      </c>
      <c r="G6974" s="141" t="s">
        <v>6401</v>
      </c>
      <c r="H6974" s="140" t="s">
        <v>6312</v>
      </c>
      <c r="I6974" s="140" t="s">
        <v>6313</v>
      </c>
      <c r="J6974" s="140" t="s">
        <v>6314</v>
      </c>
      <c r="K6974" s="140" t="s">
        <v>15090</v>
      </c>
    </row>
    <row r="6975">
      <c r="A6975" s="140" t="s">
        <v>15090</v>
      </c>
      <c r="B6975" s="140" t="s">
        <v>15109</v>
      </c>
      <c r="C6975" s="140" t="s">
        <v>15110</v>
      </c>
      <c r="D6975" s="140" t="s">
        <v>6309</v>
      </c>
      <c r="E6975" s="140">
        <v>0.0</v>
      </c>
      <c r="F6975" s="140" t="s">
        <v>15093</v>
      </c>
      <c r="G6975" s="141" t="s">
        <v>6304</v>
      </c>
      <c r="H6975" s="140" t="s">
        <v>6312</v>
      </c>
      <c r="I6975" s="140" t="s">
        <v>6527</v>
      </c>
      <c r="J6975" s="140" t="s">
        <v>6314</v>
      </c>
      <c r="K6975" s="140" t="s">
        <v>15090</v>
      </c>
    </row>
    <row r="6976">
      <c r="A6976" s="140" t="s">
        <v>15090</v>
      </c>
      <c r="B6976" s="140" t="s">
        <v>15111</v>
      </c>
      <c r="C6976" s="140" t="s">
        <v>15112</v>
      </c>
      <c r="D6976" s="140" t="s">
        <v>6309</v>
      </c>
      <c r="E6976" s="140">
        <v>0.0</v>
      </c>
      <c r="F6976" s="140" t="s">
        <v>15093</v>
      </c>
      <c r="G6976" s="141" t="s">
        <v>6401</v>
      </c>
      <c r="H6976" s="140" t="s">
        <v>6312</v>
      </c>
      <c r="I6976" s="140" t="s">
        <v>6313</v>
      </c>
      <c r="J6976" s="140" t="s">
        <v>6314</v>
      </c>
      <c r="K6976" s="140" t="s">
        <v>15090</v>
      </c>
    </row>
    <row r="6977">
      <c r="A6977" s="140" t="s">
        <v>15090</v>
      </c>
      <c r="B6977" s="140" t="s">
        <v>15113</v>
      </c>
      <c r="C6977" s="140" t="s">
        <v>15114</v>
      </c>
      <c r="D6977" s="140" t="s">
        <v>6309</v>
      </c>
      <c r="E6977" s="140">
        <v>0.0</v>
      </c>
      <c r="F6977" s="140" t="s">
        <v>15093</v>
      </c>
      <c r="G6977" s="141" t="s">
        <v>6304</v>
      </c>
      <c r="H6977" s="140" t="s">
        <v>6312</v>
      </c>
      <c r="I6977" s="140" t="s">
        <v>6527</v>
      </c>
      <c r="J6977" s="140" t="s">
        <v>6314</v>
      </c>
      <c r="K6977" s="140" t="s">
        <v>15090</v>
      </c>
    </row>
    <row r="6978">
      <c r="A6978" s="140" t="s">
        <v>15090</v>
      </c>
      <c r="B6978" s="140" t="s">
        <v>15115</v>
      </c>
      <c r="C6978" s="140" t="s">
        <v>15116</v>
      </c>
      <c r="D6978" s="140" t="s">
        <v>6309</v>
      </c>
      <c r="E6978" s="140">
        <v>0.0</v>
      </c>
      <c r="F6978" s="140" t="s">
        <v>15093</v>
      </c>
      <c r="G6978" s="141" t="s">
        <v>6401</v>
      </c>
      <c r="H6978" s="140" t="s">
        <v>6312</v>
      </c>
      <c r="I6978" s="140" t="s">
        <v>6313</v>
      </c>
      <c r="J6978" s="140" t="s">
        <v>6314</v>
      </c>
      <c r="K6978" s="140" t="s">
        <v>15090</v>
      </c>
    </row>
    <row r="6979">
      <c r="A6979" s="140" t="s">
        <v>15090</v>
      </c>
      <c r="B6979" s="140" t="s">
        <v>15117</v>
      </c>
      <c r="C6979" s="140" t="s">
        <v>15118</v>
      </c>
      <c r="D6979" s="140" t="s">
        <v>6740</v>
      </c>
      <c r="E6979" s="140" t="s">
        <v>13648</v>
      </c>
      <c r="F6979" s="140" t="s">
        <v>15093</v>
      </c>
      <c r="G6979" s="141" t="s">
        <v>6304</v>
      </c>
      <c r="H6979" s="140" t="s">
        <v>6312</v>
      </c>
      <c r="I6979" s="140" t="s">
        <v>6527</v>
      </c>
      <c r="J6979" s="140" t="s">
        <v>6314</v>
      </c>
      <c r="K6979" s="140" t="s">
        <v>15090</v>
      </c>
    </row>
    <row r="6980">
      <c r="A6980" s="140" t="s">
        <v>15090</v>
      </c>
      <c r="B6980" s="140" t="s">
        <v>15119</v>
      </c>
      <c r="C6980" s="140" t="s">
        <v>15120</v>
      </c>
      <c r="D6980" s="140" t="s">
        <v>6740</v>
      </c>
      <c r="E6980" s="140" t="s">
        <v>13648</v>
      </c>
      <c r="F6980" s="140" t="s">
        <v>15093</v>
      </c>
      <c r="G6980" s="141" t="s">
        <v>6401</v>
      </c>
      <c r="H6980" s="140" t="s">
        <v>6312</v>
      </c>
      <c r="I6980" s="140" t="s">
        <v>6313</v>
      </c>
      <c r="J6980" s="140" t="s">
        <v>6314</v>
      </c>
      <c r="K6980" s="140" t="s">
        <v>15090</v>
      </c>
    </row>
    <row r="6981">
      <c r="A6981" s="140" t="s">
        <v>15090</v>
      </c>
      <c r="B6981" s="140" t="s">
        <v>15121</v>
      </c>
      <c r="C6981" s="140" t="s">
        <v>15122</v>
      </c>
      <c r="D6981" s="140" t="s">
        <v>6740</v>
      </c>
      <c r="E6981" s="140" t="s">
        <v>13648</v>
      </c>
      <c r="F6981" s="140" t="s">
        <v>15093</v>
      </c>
      <c r="G6981" s="141" t="s">
        <v>6304</v>
      </c>
      <c r="H6981" s="140" t="s">
        <v>6312</v>
      </c>
      <c r="I6981" s="140" t="s">
        <v>6527</v>
      </c>
      <c r="J6981" s="140" t="s">
        <v>6314</v>
      </c>
      <c r="K6981" s="140" t="s">
        <v>15090</v>
      </c>
    </row>
    <row r="6982">
      <c r="A6982" s="140" t="s">
        <v>15090</v>
      </c>
      <c r="B6982" s="140" t="s">
        <v>15123</v>
      </c>
      <c r="C6982" s="140" t="s">
        <v>15124</v>
      </c>
      <c r="D6982" s="140" t="s">
        <v>6740</v>
      </c>
      <c r="E6982" s="140" t="s">
        <v>13648</v>
      </c>
      <c r="F6982" s="140" t="s">
        <v>15093</v>
      </c>
      <c r="G6982" s="141" t="s">
        <v>6401</v>
      </c>
      <c r="H6982" s="140" t="s">
        <v>6312</v>
      </c>
      <c r="I6982" s="140" t="s">
        <v>6313</v>
      </c>
      <c r="J6982" s="140" t="s">
        <v>6314</v>
      </c>
      <c r="K6982" s="140" t="s">
        <v>15090</v>
      </c>
    </row>
    <row r="6983">
      <c r="A6983" s="140" t="s">
        <v>15090</v>
      </c>
      <c r="B6983" s="140" t="s">
        <v>15125</v>
      </c>
      <c r="C6983" s="140" t="s">
        <v>15126</v>
      </c>
      <c r="D6983" s="140" t="s">
        <v>6740</v>
      </c>
      <c r="E6983" s="140" t="s">
        <v>13648</v>
      </c>
      <c r="F6983" s="140" t="s">
        <v>15093</v>
      </c>
      <c r="G6983" s="141" t="s">
        <v>6304</v>
      </c>
      <c r="H6983" s="140" t="s">
        <v>6312</v>
      </c>
      <c r="I6983" s="140" t="s">
        <v>6527</v>
      </c>
      <c r="J6983" s="140" t="s">
        <v>6314</v>
      </c>
      <c r="K6983" s="140" t="s">
        <v>15090</v>
      </c>
    </row>
    <row r="6984">
      <c r="A6984" s="140" t="s">
        <v>15090</v>
      </c>
      <c r="B6984" s="140" t="s">
        <v>15127</v>
      </c>
      <c r="C6984" s="140" t="s">
        <v>15128</v>
      </c>
      <c r="D6984" s="140" t="s">
        <v>6740</v>
      </c>
      <c r="E6984" s="140" t="s">
        <v>13648</v>
      </c>
      <c r="F6984" s="140" t="s">
        <v>15093</v>
      </c>
      <c r="G6984" s="141" t="s">
        <v>6304</v>
      </c>
      <c r="H6984" s="140" t="s">
        <v>6312</v>
      </c>
      <c r="I6984" s="140" t="s">
        <v>6527</v>
      </c>
      <c r="J6984" s="140" t="s">
        <v>6314</v>
      </c>
      <c r="K6984" s="140" t="s">
        <v>15090</v>
      </c>
    </row>
    <row r="6985">
      <c r="A6985" s="140" t="s">
        <v>15090</v>
      </c>
      <c r="B6985" s="140" t="s">
        <v>15129</v>
      </c>
      <c r="C6985" s="140" t="s">
        <v>15130</v>
      </c>
      <c r="D6985" s="140" t="s">
        <v>6740</v>
      </c>
      <c r="E6985" s="140" t="s">
        <v>13648</v>
      </c>
      <c r="F6985" s="140" t="s">
        <v>15093</v>
      </c>
      <c r="G6985" s="141" t="s">
        <v>6304</v>
      </c>
      <c r="H6985" s="140" t="s">
        <v>6312</v>
      </c>
      <c r="I6985" s="140" t="s">
        <v>6527</v>
      </c>
      <c r="J6985" s="140" t="s">
        <v>6314</v>
      </c>
      <c r="K6985" s="140" t="s">
        <v>15090</v>
      </c>
    </row>
    <row r="6986">
      <c r="A6986" s="140" t="s">
        <v>15090</v>
      </c>
      <c r="B6986" s="140" t="s">
        <v>15131</v>
      </c>
      <c r="C6986" s="140" t="s">
        <v>15132</v>
      </c>
      <c r="D6986" s="140" t="s">
        <v>6740</v>
      </c>
      <c r="E6986" s="140" t="s">
        <v>13648</v>
      </c>
      <c r="F6986" s="140" t="s">
        <v>15093</v>
      </c>
      <c r="G6986" s="141" t="s">
        <v>6304</v>
      </c>
      <c r="H6986" s="140" t="s">
        <v>6312</v>
      </c>
      <c r="I6986" s="140" t="s">
        <v>6527</v>
      </c>
      <c r="J6986" s="140" t="s">
        <v>6314</v>
      </c>
      <c r="K6986" s="140" t="s">
        <v>15090</v>
      </c>
    </row>
    <row r="6987">
      <c r="A6987" s="140" t="s">
        <v>15090</v>
      </c>
      <c r="B6987" s="140" t="s">
        <v>15133</v>
      </c>
      <c r="C6987" s="140" t="s">
        <v>15134</v>
      </c>
      <c r="D6987" s="140" t="s">
        <v>6740</v>
      </c>
      <c r="E6987" s="140" t="s">
        <v>13648</v>
      </c>
      <c r="F6987" s="140" t="s">
        <v>15093</v>
      </c>
      <c r="G6987" s="141" t="s">
        <v>6401</v>
      </c>
      <c r="H6987" s="140" t="s">
        <v>6312</v>
      </c>
      <c r="I6987" s="140" t="s">
        <v>6313</v>
      </c>
      <c r="J6987" s="140" t="s">
        <v>6314</v>
      </c>
      <c r="K6987" s="140" t="s">
        <v>15090</v>
      </c>
    </row>
    <row r="6988">
      <c r="A6988" s="140" t="s">
        <v>15135</v>
      </c>
      <c r="B6988" s="140" t="s">
        <v>15136</v>
      </c>
      <c r="C6988" s="140" t="s">
        <v>15137</v>
      </c>
      <c r="D6988" s="140" t="s">
        <v>7347</v>
      </c>
      <c r="E6988" s="140" t="s">
        <v>526</v>
      </c>
      <c r="F6988" s="140" t="s">
        <v>12836</v>
      </c>
      <c r="G6988" s="141" t="s">
        <v>6401</v>
      </c>
      <c r="H6988" s="140" t="s">
        <v>6312</v>
      </c>
      <c r="I6988" s="140" t="s">
        <v>6313</v>
      </c>
      <c r="J6988" s="140" t="s">
        <v>6314</v>
      </c>
      <c r="K6988" s="140" t="s">
        <v>12831</v>
      </c>
    </row>
    <row r="6989">
      <c r="A6989" s="140" t="s">
        <v>15135</v>
      </c>
      <c r="B6989" s="140" t="s">
        <v>15138</v>
      </c>
      <c r="C6989" s="140" t="s">
        <v>15139</v>
      </c>
      <c r="D6989" s="140" t="s">
        <v>7347</v>
      </c>
      <c r="E6989" s="140" t="s">
        <v>526</v>
      </c>
      <c r="F6989" s="140" t="s">
        <v>12836</v>
      </c>
      <c r="G6989" s="141" t="s">
        <v>6401</v>
      </c>
      <c r="H6989" s="140" t="s">
        <v>6312</v>
      </c>
      <c r="I6989" s="140" t="s">
        <v>6313</v>
      </c>
      <c r="J6989" s="140" t="s">
        <v>6314</v>
      </c>
      <c r="K6989" s="140" t="s">
        <v>12831</v>
      </c>
    </row>
    <row r="6990">
      <c r="A6990" s="140" t="s">
        <v>15135</v>
      </c>
      <c r="B6990" s="140" t="s">
        <v>15140</v>
      </c>
      <c r="C6990" s="140" t="s">
        <v>15141</v>
      </c>
      <c r="D6990" s="140" t="s">
        <v>7347</v>
      </c>
      <c r="E6990" s="140" t="s">
        <v>526</v>
      </c>
      <c r="F6990" s="140" t="s">
        <v>12836</v>
      </c>
      <c r="G6990" s="141" t="s">
        <v>6401</v>
      </c>
      <c r="H6990" s="140" t="s">
        <v>6312</v>
      </c>
      <c r="I6990" s="140" t="s">
        <v>6313</v>
      </c>
      <c r="J6990" s="140" t="s">
        <v>6314</v>
      </c>
      <c r="K6990" s="140" t="s">
        <v>12831</v>
      </c>
    </row>
    <row r="6991">
      <c r="A6991" s="140" t="s">
        <v>15135</v>
      </c>
      <c r="B6991" s="140" t="s">
        <v>15142</v>
      </c>
      <c r="C6991" s="140" t="s">
        <v>15143</v>
      </c>
      <c r="D6991" s="140" t="s">
        <v>7347</v>
      </c>
      <c r="E6991" s="140" t="s">
        <v>526</v>
      </c>
      <c r="F6991" s="140" t="s">
        <v>12836</v>
      </c>
      <c r="G6991" s="141" t="s">
        <v>6401</v>
      </c>
      <c r="H6991" s="140" t="s">
        <v>6312</v>
      </c>
      <c r="I6991" s="140" t="s">
        <v>6313</v>
      </c>
      <c r="J6991" s="140" t="s">
        <v>6314</v>
      </c>
      <c r="K6991" s="140" t="s">
        <v>12831</v>
      </c>
    </row>
    <row r="6992">
      <c r="A6992" s="140" t="s">
        <v>15144</v>
      </c>
      <c r="B6992" s="140" t="s">
        <v>15145</v>
      </c>
      <c r="C6992" s="140" t="s">
        <v>15146</v>
      </c>
      <c r="D6992" s="140" t="s">
        <v>6318</v>
      </c>
      <c r="E6992" s="140">
        <v>0.0</v>
      </c>
      <c r="F6992" s="140" t="s">
        <v>735</v>
      </c>
      <c r="G6992" s="141" t="s">
        <v>6401</v>
      </c>
      <c r="H6992" s="140" t="s">
        <v>6312</v>
      </c>
      <c r="I6992" s="140" t="s">
        <v>6313</v>
      </c>
      <c r="J6992" s="140" t="s">
        <v>6319</v>
      </c>
      <c r="K6992" s="140" t="s">
        <v>6880</v>
      </c>
    </row>
    <row r="6993">
      <c r="A6993" s="140" t="s">
        <v>15144</v>
      </c>
      <c r="B6993" s="140" t="s">
        <v>15147</v>
      </c>
      <c r="C6993" s="140" t="s">
        <v>15148</v>
      </c>
      <c r="D6993" s="140" t="s">
        <v>6318</v>
      </c>
      <c r="E6993" s="140">
        <v>0.0</v>
      </c>
      <c r="F6993" s="140" t="s">
        <v>735</v>
      </c>
      <c r="G6993" s="141" t="s">
        <v>6401</v>
      </c>
      <c r="H6993" s="140" t="s">
        <v>6312</v>
      </c>
      <c r="I6993" s="140" t="s">
        <v>6313</v>
      </c>
      <c r="J6993" s="140" t="s">
        <v>6319</v>
      </c>
      <c r="K6993" s="140" t="s">
        <v>6880</v>
      </c>
    </row>
    <row r="6994">
      <c r="A6994" s="140" t="s">
        <v>15144</v>
      </c>
      <c r="B6994" s="140" t="s">
        <v>15149</v>
      </c>
      <c r="C6994" s="140" t="s">
        <v>15150</v>
      </c>
      <c r="D6994" s="140" t="s">
        <v>6318</v>
      </c>
      <c r="E6994" s="140">
        <v>0.0</v>
      </c>
      <c r="F6994" s="140" t="s">
        <v>735</v>
      </c>
      <c r="G6994" s="141" t="s">
        <v>6401</v>
      </c>
      <c r="H6994" s="140" t="s">
        <v>6312</v>
      </c>
      <c r="I6994" s="140" t="s">
        <v>6313</v>
      </c>
      <c r="J6994" s="140" t="s">
        <v>6319</v>
      </c>
      <c r="K6994" s="140" t="s">
        <v>6880</v>
      </c>
    </row>
    <row r="6995">
      <c r="A6995" s="140" t="s">
        <v>15144</v>
      </c>
      <c r="B6995" s="140" t="s">
        <v>15151</v>
      </c>
      <c r="C6995" s="140" t="s">
        <v>15152</v>
      </c>
      <c r="D6995" s="140" t="s">
        <v>6318</v>
      </c>
      <c r="E6995" s="140">
        <v>0.0</v>
      </c>
      <c r="F6995" s="140" t="s">
        <v>735</v>
      </c>
      <c r="G6995" s="141" t="s">
        <v>6401</v>
      </c>
      <c r="H6995" s="140" t="s">
        <v>6312</v>
      </c>
      <c r="I6995" s="140" t="s">
        <v>6313</v>
      </c>
      <c r="J6995" s="140" t="s">
        <v>6319</v>
      </c>
      <c r="K6995" s="140" t="s">
        <v>6880</v>
      </c>
    </row>
    <row r="6996">
      <c r="A6996" s="140" t="s">
        <v>15144</v>
      </c>
      <c r="B6996" s="140" t="s">
        <v>15153</v>
      </c>
      <c r="C6996" s="140" t="s">
        <v>15154</v>
      </c>
      <c r="D6996" s="140" t="s">
        <v>6318</v>
      </c>
      <c r="E6996" s="140">
        <v>0.0</v>
      </c>
      <c r="F6996" s="140" t="s">
        <v>735</v>
      </c>
      <c r="G6996" s="141" t="s">
        <v>6401</v>
      </c>
      <c r="H6996" s="140" t="s">
        <v>6312</v>
      </c>
      <c r="I6996" s="140" t="s">
        <v>6313</v>
      </c>
      <c r="J6996" s="140" t="s">
        <v>6319</v>
      </c>
      <c r="K6996" s="140" t="s">
        <v>6880</v>
      </c>
    </row>
    <row r="6997">
      <c r="A6997" s="140" t="s">
        <v>15144</v>
      </c>
      <c r="B6997" s="140" t="s">
        <v>15155</v>
      </c>
      <c r="C6997" s="140" t="s">
        <v>15156</v>
      </c>
      <c r="D6997" s="140" t="s">
        <v>6318</v>
      </c>
      <c r="E6997" s="140">
        <v>0.0</v>
      </c>
      <c r="F6997" s="140" t="s">
        <v>735</v>
      </c>
      <c r="G6997" s="141" t="s">
        <v>6401</v>
      </c>
      <c r="H6997" s="140" t="s">
        <v>6312</v>
      </c>
      <c r="I6997" s="140" t="s">
        <v>6313</v>
      </c>
      <c r="J6997" s="140" t="s">
        <v>6319</v>
      </c>
      <c r="K6997" s="140" t="s">
        <v>6880</v>
      </c>
    </row>
    <row r="6998">
      <c r="A6998" s="140" t="s">
        <v>15144</v>
      </c>
      <c r="B6998" s="140" t="s">
        <v>15157</v>
      </c>
      <c r="C6998" s="140" t="s">
        <v>15158</v>
      </c>
      <c r="D6998" s="140" t="s">
        <v>6318</v>
      </c>
      <c r="E6998" s="140">
        <v>0.0</v>
      </c>
      <c r="F6998" s="140" t="s">
        <v>735</v>
      </c>
      <c r="G6998" s="141" t="s">
        <v>6401</v>
      </c>
      <c r="H6998" s="140" t="s">
        <v>6312</v>
      </c>
      <c r="I6998" s="140" t="s">
        <v>6313</v>
      </c>
      <c r="J6998" s="140" t="s">
        <v>6319</v>
      </c>
      <c r="K6998" s="140" t="s">
        <v>6880</v>
      </c>
    </row>
    <row r="6999">
      <c r="A6999" s="140" t="s">
        <v>15144</v>
      </c>
      <c r="B6999" s="140" t="s">
        <v>15159</v>
      </c>
      <c r="C6999" s="140" t="s">
        <v>15160</v>
      </c>
      <c r="D6999" s="140" t="s">
        <v>6318</v>
      </c>
      <c r="E6999" s="140" t="s">
        <v>598</v>
      </c>
      <c r="F6999" s="140" t="s">
        <v>6338</v>
      </c>
      <c r="G6999" s="141" t="s">
        <v>6401</v>
      </c>
      <c r="H6999" s="140" t="s">
        <v>6312</v>
      </c>
      <c r="I6999" s="140" t="s">
        <v>6313</v>
      </c>
      <c r="J6999" s="140" t="s">
        <v>6319</v>
      </c>
      <c r="K6999" s="140" t="s">
        <v>6880</v>
      </c>
    </row>
    <row r="7000">
      <c r="A7000" s="140" t="s">
        <v>15144</v>
      </c>
      <c r="B7000" s="140" t="s">
        <v>15161</v>
      </c>
      <c r="C7000" s="140" t="s">
        <v>15162</v>
      </c>
      <c r="D7000" s="140" t="s">
        <v>6318</v>
      </c>
      <c r="E7000" s="140" t="s">
        <v>598</v>
      </c>
      <c r="F7000" s="140" t="s">
        <v>599</v>
      </c>
      <c r="G7000" s="141" t="s">
        <v>6401</v>
      </c>
      <c r="H7000" s="140" t="s">
        <v>6312</v>
      </c>
      <c r="I7000" s="140" t="s">
        <v>6313</v>
      </c>
      <c r="J7000" s="140" t="s">
        <v>6319</v>
      </c>
      <c r="K7000" s="140" t="s">
        <v>6880</v>
      </c>
    </row>
    <row r="7001">
      <c r="A7001" s="140" t="s">
        <v>15144</v>
      </c>
      <c r="B7001" s="140" t="s">
        <v>15163</v>
      </c>
      <c r="C7001" s="140" t="s">
        <v>15164</v>
      </c>
      <c r="D7001" s="140" t="s">
        <v>6318</v>
      </c>
      <c r="E7001" s="140" t="s">
        <v>598</v>
      </c>
      <c r="F7001" s="140" t="s">
        <v>599</v>
      </c>
      <c r="G7001" s="141" t="s">
        <v>6401</v>
      </c>
      <c r="H7001" s="140" t="s">
        <v>6312</v>
      </c>
      <c r="I7001" s="140" t="s">
        <v>6313</v>
      </c>
      <c r="J7001" s="140" t="s">
        <v>6319</v>
      </c>
      <c r="K7001" s="140" t="s">
        <v>6880</v>
      </c>
    </row>
    <row r="7002">
      <c r="A7002" s="140" t="s">
        <v>15144</v>
      </c>
      <c r="B7002" s="140" t="s">
        <v>15165</v>
      </c>
      <c r="C7002" s="140" t="s">
        <v>15166</v>
      </c>
      <c r="D7002" s="140" t="s">
        <v>6318</v>
      </c>
      <c r="E7002" s="140" t="s">
        <v>598</v>
      </c>
      <c r="F7002" s="140" t="s">
        <v>599</v>
      </c>
      <c r="G7002" s="141" t="s">
        <v>6401</v>
      </c>
      <c r="H7002" s="140" t="s">
        <v>6312</v>
      </c>
      <c r="I7002" s="140" t="s">
        <v>6313</v>
      </c>
      <c r="J7002" s="140" t="s">
        <v>6319</v>
      </c>
      <c r="K7002" s="140" t="s">
        <v>6880</v>
      </c>
    </row>
    <row r="7003">
      <c r="A7003" s="140" t="s">
        <v>15144</v>
      </c>
      <c r="B7003" s="140" t="s">
        <v>15167</v>
      </c>
      <c r="C7003" s="140" t="s">
        <v>15168</v>
      </c>
      <c r="D7003" s="140" t="s">
        <v>6318</v>
      </c>
      <c r="E7003" s="140" t="s">
        <v>598</v>
      </c>
      <c r="F7003" s="140" t="s">
        <v>599</v>
      </c>
      <c r="G7003" s="141" t="s">
        <v>6401</v>
      </c>
      <c r="H7003" s="140" t="s">
        <v>6312</v>
      </c>
      <c r="I7003" s="140" t="s">
        <v>6313</v>
      </c>
      <c r="J7003" s="140" t="s">
        <v>6319</v>
      </c>
      <c r="K7003" s="140" t="s">
        <v>6880</v>
      </c>
    </row>
    <row r="7004">
      <c r="A7004" s="140" t="s">
        <v>15144</v>
      </c>
      <c r="B7004" s="140" t="s">
        <v>15169</v>
      </c>
      <c r="C7004" s="140" t="s">
        <v>15170</v>
      </c>
      <c r="D7004" s="140" t="s">
        <v>6318</v>
      </c>
      <c r="E7004" s="140" t="s">
        <v>1225</v>
      </c>
      <c r="F7004" s="140" t="s">
        <v>1286</v>
      </c>
      <c r="G7004" s="141" t="s">
        <v>6311</v>
      </c>
      <c r="H7004" s="140" t="s">
        <v>6330</v>
      </c>
      <c r="I7004" s="140" t="s">
        <v>6313</v>
      </c>
      <c r="J7004" s="140" t="s">
        <v>6319</v>
      </c>
      <c r="K7004" s="140" t="s">
        <v>6880</v>
      </c>
    </row>
    <row r="7005">
      <c r="A7005" s="140" t="s">
        <v>15144</v>
      </c>
      <c r="B7005" s="140" t="s">
        <v>15171</v>
      </c>
      <c r="C7005" s="140" t="s">
        <v>15172</v>
      </c>
      <c r="D7005" s="140" t="s">
        <v>6318</v>
      </c>
      <c r="E7005" s="140" t="s">
        <v>1225</v>
      </c>
      <c r="F7005" s="140" t="s">
        <v>1286</v>
      </c>
      <c r="G7005" s="141" t="s">
        <v>6311</v>
      </c>
      <c r="H7005" s="140" t="s">
        <v>6330</v>
      </c>
      <c r="I7005" s="140" t="s">
        <v>6313</v>
      </c>
      <c r="J7005" s="140" t="s">
        <v>6319</v>
      </c>
      <c r="K7005" s="140" t="s">
        <v>6880</v>
      </c>
    </row>
    <row r="7006">
      <c r="A7006" s="140" t="s">
        <v>15144</v>
      </c>
      <c r="B7006" s="140" t="s">
        <v>15173</v>
      </c>
      <c r="C7006" s="140" t="s">
        <v>15174</v>
      </c>
      <c r="D7006" s="140" t="s">
        <v>6318</v>
      </c>
      <c r="E7006" s="140" t="s">
        <v>1225</v>
      </c>
      <c r="F7006" s="140" t="s">
        <v>1286</v>
      </c>
      <c r="G7006" s="141" t="s">
        <v>6401</v>
      </c>
      <c r="H7006" s="140" t="s">
        <v>6312</v>
      </c>
      <c r="I7006" s="140" t="s">
        <v>6313</v>
      </c>
      <c r="J7006" s="140" t="s">
        <v>6319</v>
      </c>
      <c r="K7006" s="140" t="s">
        <v>6880</v>
      </c>
    </row>
    <row r="7007">
      <c r="A7007" s="140" t="s">
        <v>15144</v>
      </c>
      <c r="B7007" s="140" t="s">
        <v>15175</v>
      </c>
      <c r="C7007" s="140" t="s">
        <v>15176</v>
      </c>
      <c r="D7007" s="140" t="s">
        <v>6318</v>
      </c>
      <c r="E7007" s="140" t="s">
        <v>1225</v>
      </c>
      <c r="F7007" s="140" t="s">
        <v>1286</v>
      </c>
      <c r="G7007" s="141" t="s">
        <v>6401</v>
      </c>
      <c r="H7007" s="140" t="s">
        <v>6312</v>
      </c>
      <c r="I7007" s="140" t="s">
        <v>6313</v>
      </c>
      <c r="J7007" s="140" t="s">
        <v>6319</v>
      </c>
      <c r="K7007" s="140" t="s">
        <v>6880</v>
      </c>
    </row>
    <row r="7008">
      <c r="A7008" s="140" t="s">
        <v>15144</v>
      </c>
      <c r="B7008" s="140" t="s">
        <v>15177</v>
      </c>
      <c r="C7008" s="140" t="s">
        <v>15178</v>
      </c>
      <c r="D7008" s="140" t="s">
        <v>6318</v>
      </c>
      <c r="E7008" s="140" t="s">
        <v>1225</v>
      </c>
      <c r="F7008" s="140" t="s">
        <v>1286</v>
      </c>
      <c r="G7008" s="141" t="s">
        <v>6668</v>
      </c>
      <c r="H7008" s="140" t="s">
        <v>6330</v>
      </c>
      <c r="I7008" s="140" t="s">
        <v>6313</v>
      </c>
      <c r="J7008" s="140" t="s">
        <v>6319</v>
      </c>
      <c r="K7008" s="140" t="s">
        <v>6880</v>
      </c>
    </row>
    <row r="7009">
      <c r="A7009" s="140" t="s">
        <v>15144</v>
      </c>
      <c r="B7009" s="140" t="s">
        <v>15179</v>
      </c>
      <c r="C7009" s="140" t="s">
        <v>15180</v>
      </c>
      <c r="D7009" s="140" t="s">
        <v>6318</v>
      </c>
      <c r="E7009" s="140" t="s">
        <v>1225</v>
      </c>
      <c r="F7009" s="140" t="s">
        <v>1286</v>
      </c>
      <c r="G7009" s="141" t="s">
        <v>6311</v>
      </c>
      <c r="H7009" s="140" t="s">
        <v>6330</v>
      </c>
      <c r="I7009" s="140" t="s">
        <v>6313</v>
      </c>
      <c r="J7009" s="140" t="s">
        <v>6319</v>
      </c>
      <c r="K7009" s="140" t="s">
        <v>6880</v>
      </c>
    </row>
    <row r="7010">
      <c r="A7010" s="140" t="s">
        <v>15144</v>
      </c>
      <c r="B7010" s="140" t="s">
        <v>15181</v>
      </c>
      <c r="C7010" s="140" t="s">
        <v>15180</v>
      </c>
      <c r="D7010" s="140" t="s">
        <v>6318</v>
      </c>
      <c r="E7010" s="140" t="s">
        <v>1225</v>
      </c>
      <c r="F7010" s="140" t="s">
        <v>1286</v>
      </c>
      <c r="G7010" s="141" t="s">
        <v>6311</v>
      </c>
      <c r="H7010" s="140" t="s">
        <v>6330</v>
      </c>
      <c r="I7010" s="140" t="s">
        <v>6313</v>
      </c>
      <c r="J7010" s="140" t="s">
        <v>6319</v>
      </c>
      <c r="K7010" s="140" t="s">
        <v>6880</v>
      </c>
    </row>
    <row r="7011">
      <c r="A7011" s="140" t="s">
        <v>15144</v>
      </c>
      <c r="B7011" s="140" t="s">
        <v>15182</v>
      </c>
      <c r="C7011" s="140" t="s">
        <v>15183</v>
      </c>
      <c r="D7011" s="140" t="s">
        <v>6318</v>
      </c>
      <c r="E7011" s="140" t="s">
        <v>1225</v>
      </c>
      <c r="F7011" s="140" t="s">
        <v>1286</v>
      </c>
      <c r="G7011" s="141" t="s">
        <v>6311</v>
      </c>
      <c r="H7011" s="140" t="s">
        <v>6330</v>
      </c>
      <c r="I7011" s="140" t="s">
        <v>6313</v>
      </c>
      <c r="J7011" s="140" t="s">
        <v>6319</v>
      </c>
      <c r="K7011" s="140" t="s">
        <v>6880</v>
      </c>
    </row>
    <row r="7012">
      <c r="A7012" s="140" t="s">
        <v>15144</v>
      </c>
      <c r="B7012" s="140" t="s">
        <v>15184</v>
      </c>
      <c r="C7012" s="140" t="s">
        <v>15183</v>
      </c>
      <c r="D7012" s="140" t="s">
        <v>6318</v>
      </c>
      <c r="E7012" s="140" t="s">
        <v>1225</v>
      </c>
      <c r="F7012" s="140" t="s">
        <v>1286</v>
      </c>
      <c r="G7012" s="141" t="s">
        <v>6311</v>
      </c>
      <c r="H7012" s="140" t="s">
        <v>6330</v>
      </c>
      <c r="I7012" s="140" t="s">
        <v>6313</v>
      </c>
      <c r="J7012" s="140" t="s">
        <v>6319</v>
      </c>
      <c r="K7012" s="140" t="s">
        <v>6880</v>
      </c>
    </row>
    <row r="7013">
      <c r="A7013" s="140" t="s">
        <v>15144</v>
      </c>
      <c r="B7013" s="140" t="s">
        <v>15185</v>
      </c>
      <c r="C7013" s="140" t="s">
        <v>15183</v>
      </c>
      <c r="D7013" s="140" t="s">
        <v>6318</v>
      </c>
      <c r="E7013" s="140" t="s">
        <v>1225</v>
      </c>
      <c r="F7013" s="140" t="s">
        <v>1286</v>
      </c>
      <c r="G7013" s="141" t="s">
        <v>6311</v>
      </c>
      <c r="H7013" s="140" t="s">
        <v>6330</v>
      </c>
      <c r="I7013" s="140" t="s">
        <v>6313</v>
      </c>
      <c r="J7013" s="140" t="s">
        <v>6319</v>
      </c>
      <c r="K7013" s="140" t="s">
        <v>6880</v>
      </c>
    </row>
    <row r="7014">
      <c r="A7014" s="140" t="s">
        <v>15144</v>
      </c>
      <c r="B7014" s="140" t="s">
        <v>3010</v>
      </c>
      <c r="C7014" s="140" t="s">
        <v>15186</v>
      </c>
      <c r="D7014" s="140" t="s">
        <v>6318</v>
      </c>
      <c r="E7014" s="140" t="s">
        <v>1225</v>
      </c>
      <c r="F7014" s="140" t="s">
        <v>1286</v>
      </c>
      <c r="G7014" s="141" t="s">
        <v>6664</v>
      </c>
      <c r="H7014" s="140" t="s">
        <v>6330</v>
      </c>
      <c r="I7014" s="140" t="s">
        <v>6313</v>
      </c>
      <c r="J7014" s="140" t="s">
        <v>6319</v>
      </c>
      <c r="K7014" s="140" t="s">
        <v>6880</v>
      </c>
    </row>
    <row r="7015">
      <c r="A7015" s="140" t="s">
        <v>15144</v>
      </c>
      <c r="B7015" s="140" t="s">
        <v>15187</v>
      </c>
      <c r="C7015" s="140" t="s">
        <v>15186</v>
      </c>
      <c r="D7015" s="140" t="s">
        <v>6318</v>
      </c>
      <c r="E7015" s="140" t="s">
        <v>1225</v>
      </c>
      <c r="F7015" s="140" t="s">
        <v>1286</v>
      </c>
      <c r="G7015" s="141" t="s">
        <v>6304</v>
      </c>
      <c r="H7015" s="140" t="s">
        <v>6312</v>
      </c>
      <c r="I7015" s="140" t="s">
        <v>6527</v>
      </c>
      <c r="J7015" s="140" t="s">
        <v>6319</v>
      </c>
      <c r="K7015" s="140" t="s">
        <v>6880</v>
      </c>
    </row>
    <row r="7016">
      <c r="A7016" s="140" t="s">
        <v>15144</v>
      </c>
      <c r="B7016" s="140" t="s">
        <v>3633</v>
      </c>
      <c r="C7016" s="140" t="s">
        <v>15188</v>
      </c>
      <c r="D7016" s="140" t="s">
        <v>6318</v>
      </c>
      <c r="E7016" s="140" t="s">
        <v>1225</v>
      </c>
      <c r="F7016" s="140" t="s">
        <v>1286</v>
      </c>
      <c r="G7016" s="141" t="s">
        <v>6664</v>
      </c>
      <c r="H7016" s="140" t="s">
        <v>6330</v>
      </c>
      <c r="I7016" s="140" t="s">
        <v>6313</v>
      </c>
      <c r="J7016" s="140" t="s">
        <v>6319</v>
      </c>
      <c r="K7016" s="140" t="s">
        <v>6880</v>
      </c>
    </row>
    <row r="7017">
      <c r="A7017" s="140" t="s">
        <v>15144</v>
      </c>
      <c r="B7017" s="140" t="s">
        <v>15189</v>
      </c>
      <c r="C7017" s="140" t="s">
        <v>15188</v>
      </c>
      <c r="D7017" s="140" t="s">
        <v>6318</v>
      </c>
      <c r="E7017" s="140" t="s">
        <v>1225</v>
      </c>
      <c r="F7017" s="140" t="s">
        <v>1286</v>
      </c>
      <c r="G7017" s="141" t="s">
        <v>6304</v>
      </c>
      <c r="H7017" s="140" t="s">
        <v>6312</v>
      </c>
      <c r="I7017" s="140" t="s">
        <v>6527</v>
      </c>
      <c r="J7017" s="140" t="s">
        <v>6319</v>
      </c>
      <c r="K7017" s="140" t="s">
        <v>6880</v>
      </c>
    </row>
    <row r="7018">
      <c r="A7018" s="140" t="s">
        <v>15144</v>
      </c>
      <c r="B7018" s="140" t="s">
        <v>3128</v>
      </c>
      <c r="C7018" s="140" t="s">
        <v>15190</v>
      </c>
      <c r="D7018" s="140" t="s">
        <v>6318</v>
      </c>
      <c r="E7018" s="140" t="s">
        <v>1225</v>
      </c>
      <c r="F7018" s="140" t="s">
        <v>1286</v>
      </c>
      <c r="G7018" s="141" t="s">
        <v>6668</v>
      </c>
      <c r="H7018" s="140" t="s">
        <v>6330</v>
      </c>
      <c r="I7018" s="140" t="s">
        <v>6313</v>
      </c>
      <c r="J7018" s="140" t="s">
        <v>6319</v>
      </c>
      <c r="K7018" s="140" t="s">
        <v>6880</v>
      </c>
    </row>
    <row r="7019">
      <c r="A7019" s="140" t="s">
        <v>15144</v>
      </c>
      <c r="B7019" s="140" t="s">
        <v>15191</v>
      </c>
      <c r="C7019" s="140" t="s">
        <v>15192</v>
      </c>
      <c r="D7019" s="140" t="s">
        <v>6318</v>
      </c>
      <c r="E7019" s="140" t="s">
        <v>1225</v>
      </c>
      <c r="F7019" s="140" t="s">
        <v>1286</v>
      </c>
      <c r="G7019" s="141" t="s">
        <v>6401</v>
      </c>
      <c r="H7019" s="140" t="s">
        <v>6312</v>
      </c>
      <c r="I7019" s="140" t="s">
        <v>6313</v>
      </c>
      <c r="J7019" s="140" t="s">
        <v>6319</v>
      </c>
      <c r="K7019" s="140" t="s">
        <v>6880</v>
      </c>
    </row>
    <row r="7020">
      <c r="A7020" s="140" t="s">
        <v>15144</v>
      </c>
      <c r="B7020" s="140" t="s">
        <v>15193</v>
      </c>
      <c r="C7020" s="140" t="s">
        <v>15194</v>
      </c>
      <c r="D7020" s="140" t="s">
        <v>6318</v>
      </c>
      <c r="E7020" s="140" t="s">
        <v>1225</v>
      </c>
      <c r="F7020" s="140" t="s">
        <v>1286</v>
      </c>
      <c r="G7020" s="141" t="s">
        <v>6401</v>
      </c>
      <c r="H7020" s="140" t="s">
        <v>6312</v>
      </c>
      <c r="I7020" s="140" t="s">
        <v>6313</v>
      </c>
      <c r="J7020" s="140" t="s">
        <v>6319</v>
      </c>
      <c r="K7020" s="140" t="s">
        <v>6880</v>
      </c>
    </row>
    <row r="7021">
      <c r="A7021" s="140" t="s">
        <v>15144</v>
      </c>
      <c r="B7021" s="140" t="s">
        <v>2973</v>
      </c>
      <c r="C7021" s="140" t="s">
        <v>15195</v>
      </c>
      <c r="D7021" s="140" t="s">
        <v>6318</v>
      </c>
      <c r="E7021" s="140" t="s">
        <v>1225</v>
      </c>
      <c r="F7021" s="140" t="s">
        <v>1286</v>
      </c>
      <c r="G7021" s="141" t="s">
        <v>6668</v>
      </c>
      <c r="H7021" s="140" t="s">
        <v>6330</v>
      </c>
      <c r="I7021" s="140" t="s">
        <v>6313</v>
      </c>
      <c r="J7021" s="140" t="s">
        <v>6319</v>
      </c>
      <c r="K7021" s="140" t="s">
        <v>6880</v>
      </c>
    </row>
    <row r="7022">
      <c r="A7022" s="140" t="s">
        <v>15144</v>
      </c>
      <c r="B7022" s="140">
        <v>186296.0</v>
      </c>
      <c r="C7022" s="140" t="s">
        <v>15196</v>
      </c>
      <c r="D7022" s="140" t="s">
        <v>6318</v>
      </c>
      <c r="E7022" s="140" t="s">
        <v>1225</v>
      </c>
      <c r="F7022" s="140" t="s">
        <v>1286</v>
      </c>
      <c r="G7022" s="141" t="s">
        <v>6664</v>
      </c>
      <c r="H7022" s="140" t="s">
        <v>6330</v>
      </c>
      <c r="I7022" s="140" t="s">
        <v>6313</v>
      </c>
      <c r="J7022" s="140" t="s">
        <v>6319</v>
      </c>
      <c r="K7022" s="140" t="s">
        <v>6880</v>
      </c>
    </row>
    <row r="7023">
      <c r="A7023" s="140" t="s">
        <v>15144</v>
      </c>
      <c r="B7023" s="140" t="s">
        <v>3012</v>
      </c>
      <c r="C7023" s="140" t="s">
        <v>15197</v>
      </c>
      <c r="D7023" s="140" t="s">
        <v>6318</v>
      </c>
      <c r="E7023" s="140" t="s">
        <v>1301</v>
      </c>
      <c r="F7023" s="140" t="s">
        <v>735</v>
      </c>
      <c r="G7023" s="141" t="s">
        <v>6668</v>
      </c>
      <c r="H7023" s="140" t="s">
        <v>6330</v>
      </c>
      <c r="I7023" s="140" t="s">
        <v>6313</v>
      </c>
      <c r="J7023" s="140" t="s">
        <v>6319</v>
      </c>
      <c r="K7023" s="140" t="s">
        <v>6880</v>
      </c>
    </row>
    <row r="7024">
      <c r="A7024" s="140" t="s">
        <v>15144</v>
      </c>
      <c r="B7024" s="140" t="s">
        <v>15198</v>
      </c>
      <c r="C7024" s="140" t="s">
        <v>15199</v>
      </c>
      <c r="D7024" s="140" t="s">
        <v>6318</v>
      </c>
      <c r="E7024" s="140" t="s">
        <v>1301</v>
      </c>
      <c r="F7024" s="140" t="s">
        <v>735</v>
      </c>
      <c r="G7024" s="141" t="s">
        <v>6311</v>
      </c>
      <c r="H7024" s="140" t="s">
        <v>6330</v>
      </c>
      <c r="I7024" s="140" t="s">
        <v>6313</v>
      </c>
      <c r="J7024" s="140" t="s">
        <v>6319</v>
      </c>
      <c r="K7024" s="140" t="s">
        <v>6880</v>
      </c>
    </row>
    <row r="7025">
      <c r="A7025" s="140" t="s">
        <v>15144</v>
      </c>
      <c r="B7025" s="140" t="s">
        <v>15200</v>
      </c>
      <c r="C7025" s="140" t="s">
        <v>15199</v>
      </c>
      <c r="D7025" s="140" t="s">
        <v>6318</v>
      </c>
      <c r="E7025" s="140" t="s">
        <v>1301</v>
      </c>
      <c r="F7025" s="140" t="s">
        <v>735</v>
      </c>
      <c r="G7025" s="141" t="s">
        <v>6311</v>
      </c>
      <c r="H7025" s="140" t="s">
        <v>6330</v>
      </c>
      <c r="I7025" s="140" t="s">
        <v>6313</v>
      </c>
      <c r="J7025" s="140" t="s">
        <v>6319</v>
      </c>
      <c r="K7025" s="140" t="s">
        <v>6880</v>
      </c>
    </row>
    <row r="7026">
      <c r="A7026" s="140" t="s">
        <v>15144</v>
      </c>
      <c r="B7026" s="140" t="s">
        <v>15201</v>
      </c>
      <c r="C7026" s="140" t="s">
        <v>15199</v>
      </c>
      <c r="D7026" s="140" t="s">
        <v>6318</v>
      </c>
      <c r="E7026" s="140" t="s">
        <v>1301</v>
      </c>
      <c r="F7026" s="140" t="s">
        <v>735</v>
      </c>
      <c r="G7026" s="141" t="s">
        <v>6311</v>
      </c>
      <c r="H7026" s="140" t="s">
        <v>6330</v>
      </c>
      <c r="I7026" s="140" t="s">
        <v>6313</v>
      </c>
      <c r="J7026" s="140" t="s">
        <v>6319</v>
      </c>
      <c r="K7026" s="140" t="s">
        <v>6880</v>
      </c>
    </row>
    <row r="7027">
      <c r="A7027" s="140" t="s">
        <v>15144</v>
      </c>
      <c r="B7027" s="140">
        <v>715.0</v>
      </c>
      <c r="C7027" s="140" t="s">
        <v>15202</v>
      </c>
      <c r="D7027" s="140" t="s">
        <v>6318</v>
      </c>
      <c r="E7027" s="140" t="s">
        <v>1301</v>
      </c>
      <c r="F7027" s="140" t="s">
        <v>735</v>
      </c>
      <c r="G7027" s="141" t="s">
        <v>6668</v>
      </c>
      <c r="H7027" s="140" t="s">
        <v>6330</v>
      </c>
      <c r="I7027" s="140" t="s">
        <v>6313</v>
      </c>
      <c r="J7027" s="140" t="s">
        <v>6319</v>
      </c>
      <c r="K7027" s="140" t="s">
        <v>6880</v>
      </c>
    </row>
    <row r="7028">
      <c r="A7028" s="140" t="s">
        <v>15144</v>
      </c>
      <c r="B7028" s="140">
        <v>76636.0</v>
      </c>
      <c r="C7028" s="140" t="s">
        <v>15203</v>
      </c>
      <c r="D7028" s="140" t="s">
        <v>6318</v>
      </c>
      <c r="E7028" s="140" t="s">
        <v>1301</v>
      </c>
      <c r="F7028" s="140" t="s">
        <v>735</v>
      </c>
      <c r="G7028" s="141" t="s">
        <v>6668</v>
      </c>
      <c r="H7028" s="140" t="s">
        <v>6330</v>
      </c>
      <c r="I7028" s="140" t="s">
        <v>6313</v>
      </c>
      <c r="J7028" s="140" t="s">
        <v>6319</v>
      </c>
      <c r="K7028" s="140" t="s">
        <v>6880</v>
      </c>
    </row>
    <row r="7029">
      <c r="A7029" s="140" t="s">
        <v>15144</v>
      </c>
      <c r="B7029" s="140" t="s">
        <v>15204</v>
      </c>
      <c r="C7029" s="140" t="s">
        <v>15205</v>
      </c>
      <c r="D7029" s="140" t="s">
        <v>6318</v>
      </c>
      <c r="E7029" s="140" t="s">
        <v>1301</v>
      </c>
      <c r="F7029" s="140" t="s">
        <v>735</v>
      </c>
      <c r="G7029" s="141" t="s">
        <v>6311</v>
      </c>
      <c r="H7029" s="140" t="s">
        <v>6330</v>
      </c>
      <c r="I7029" s="140" t="s">
        <v>6313</v>
      </c>
      <c r="J7029" s="140" t="s">
        <v>6319</v>
      </c>
      <c r="K7029" s="140" t="s">
        <v>6880</v>
      </c>
    </row>
    <row r="7030">
      <c r="A7030" s="140" t="s">
        <v>15144</v>
      </c>
      <c r="B7030" s="140" t="s">
        <v>15206</v>
      </c>
      <c r="C7030" s="140" t="s">
        <v>15207</v>
      </c>
      <c r="D7030" s="140" t="s">
        <v>6318</v>
      </c>
      <c r="E7030" s="140" t="s">
        <v>1301</v>
      </c>
      <c r="F7030" s="140" t="s">
        <v>735</v>
      </c>
      <c r="G7030" s="141" t="s">
        <v>6311</v>
      </c>
      <c r="H7030" s="140" t="s">
        <v>6330</v>
      </c>
      <c r="I7030" s="140" t="s">
        <v>6313</v>
      </c>
      <c r="J7030" s="140" t="s">
        <v>6319</v>
      </c>
      <c r="K7030" s="140" t="s">
        <v>6880</v>
      </c>
    </row>
    <row r="7031">
      <c r="A7031" s="140" t="s">
        <v>15144</v>
      </c>
      <c r="B7031" s="140" t="s">
        <v>15208</v>
      </c>
      <c r="C7031" s="140" t="s">
        <v>15209</v>
      </c>
      <c r="D7031" s="140" t="s">
        <v>6318</v>
      </c>
      <c r="E7031" s="140" t="s">
        <v>1301</v>
      </c>
      <c r="F7031" s="140" t="s">
        <v>735</v>
      </c>
      <c r="G7031" s="141" t="s">
        <v>6401</v>
      </c>
      <c r="H7031" s="140" t="s">
        <v>6312</v>
      </c>
      <c r="I7031" s="140" t="s">
        <v>6313</v>
      </c>
      <c r="J7031" s="140" t="s">
        <v>6319</v>
      </c>
      <c r="K7031" s="140" t="s">
        <v>6880</v>
      </c>
    </row>
    <row r="7032">
      <c r="A7032" s="140" t="s">
        <v>15144</v>
      </c>
      <c r="B7032" s="140" t="s">
        <v>15210</v>
      </c>
      <c r="C7032" s="140" t="s">
        <v>15211</v>
      </c>
      <c r="D7032" s="140" t="s">
        <v>6318</v>
      </c>
      <c r="E7032" s="140" t="s">
        <v>1301</v>
      </c>
      <c r="F7032" s="140" t="s">
        <v>735</v>
      </c>
      <c r="G7032" s="141" t="s">
        <v>6401</v>
      </c>
      <c r="H7032" s="140" t="s">
        <v>6312</v>
      </c>
      <c r="I7032" s="140" t="s">
        <v>6313</v>
      </c>
      <c r="J7032" s="140" t="s">
        <v>6319</v>
      </c>
      <c r="K7032" s="140" t="s">
        <v>6880</v>
      </c>
    </row>
    <row r="7033">
      <c r="A7033" s="140" t="s">
        <v>15144</v>
      </c>
      <c r="B7033" s="140" t="s">
        <v>15212</v>
      </c>
      <c r="C7033" s="140" t="s">
        <v>15213</v>
      </c>
      <c r="D7033" s="140" t="s">
        <v>6318</v>
      </c>
      <c r="E7033" s="140" t="s">
        <v>1301</v>
      </c>
      <c r="F7033" s="140" t="s">
        <v>735</v>
      </c>
      <c r="G7033" s="141" t="s">
        <v>6401</v>
      </c>
      <c r="H7033" s="140" t="s">
        <v>6312</v>
      </c>
      <c r="I7033" s="140" t="s">
        <v>6313</v>
      </c>
      <c r="J7033" s="140" t="s">
        <v>6319</v>
      </c>
      <c r="K7033" s="140" t="s">
        <v>6880</v>
      </c>
    </row>
    <row r="7034">
      <c r="A7034" s="140" t="s">
        <v>15144</v>
      </c>
      <c r="B7034" s="140" t="s">
        <v>15214</v>
      </c>
      <c r="C7034" s="140" t="s">
        <v>15215</v>
      </c>
      <c r="D7034" s="140" t="s">
        <v>6318</v>
      </c>
      <c r="E7034" s="140" t="s">
        <v>1301</v>
      </c>
      <c r="F7034" s="140" t="s">
        <v>735</v>
      </c>
      <c r="G7034" s="141" t="s">
        <v>6401</v>
      </c>
      <c r="H7034" s="140" t="s">
        <v>6312</v>
      </c>
      <c r="I7034" s="140" t="s">
        <v>6313</v>
      </c>
      <c r="J7034" s="140" t="s">
        <v>6319</v>
      </c>
      <c r="K7034" s="140" t="s">
        <v>6880</v>
      </c>
    </row>
    <row r="7035">
      <c r="A7035" s="140" t="s">
        <v>15144</v>
      </c>
      <c r="B7035" s="140" t="s">
        <v>15216</v>
      </c>
      <c r="C7035" s="140" t="s">
        <v>15217</v>
      </c>
      <c r="D7035" s="140" t="s">
        <v>6318</v>
      </c>
      <c r="E7035" s="140" t="s">
        <v>1301</v>
      </c>
      <c r="F7035" s="140" t="s">
        <v>735</v>
      </c>
      <c r="G7035" s="141" t="s">
        <v>6401</v>
      </c>
      <c r="H7035" s="140" t="s">
        <v>6312</v>
      </c>
      <c r="I7035" s="140" t="s">
        <v>6313</v>
      </c>
      <c r="J7035" s="140" t="s">
        <v>6319</v>
      </c>
      <c r="K7035" s="140" t="s">
        <v>6880</v>
      </c>
    </row>
    <row r="7036">
      <c r="A7036" s="140" t="s">
        <v>15144</v>
      </c>
      <c r="B7036" s="140" t="s">
        <v>15218</v>
      </c>
      <c r="C7036" s="140" t="s">
        <v>15219</v>
      </c>
      <c r="D7036" s="140" t="s">
        <v>6318</v>
      </c>
      <c r="E7036" s="140" t="s">
        <v>1301</v>
      </c>
      <c r="F7036" s="140" t="s">
        <v>735</v>
      </c>
      <c r="G7036" s="141" t="s">
        <v>6311</v>
      </c>
      <c r="H7036" s="140" t="s">
        <v>6330</v>
      </c>
      <c r="I7036" s="140" t="s">
        <v>6313</v>
      </c>
      <c r="J7036" s="140" t="s">
        <v>6319</v>
      </c>
      <c r="K7036" s="140" t="s">
        <v>6880</v>
      </c>
    </row>
    <row r="7037">
      <c r="A7037" s="140" t="s">
        <v>15144</v>
      </c>
      <c r="B7037" s="140" t="s">
        <v>15220</v>
      </c>
      <c r="C7037" s="140" t="s">
        <v>15219</v>
      </c>
      <c r="D7037" s="140" t="s">
        <v>6318</v>
      </c>
      <c r="E7037" s="140" t="s">
        <v>1301</v>
      </c>
      <c r="F7037" s="140" t="s">
        <v>735</v>
      </c>
      <c r="G7037" s="141" t="s">
        <v>6311</v>
      </c>
      <c r="H7037" s="140" t="s">
        <v>6330</v>
      </c>
      <c r="I7037" s="140" t="s">
        <v>6313</v>
      </c>
      <c r="J7037" s="140" t="s">
        <v>6319</v>
      </c>
      <c r="K7037" s="140" t="s">
        <v>6880</v>
      </c>
    </row>
    <row r="7038">
      <c r="A7038" s="140" t="s">
        <v>15144</v>
      </c>
      <c r="B7038" s="140" t="s">
        <v>15221</v>
      </c>
      <c r="C7038" s="140" t="s">
        <v>15219</v>
      </c>
      <c r="D7038" s="140" t="s">
        <v>6318</v>
      </c>
      <c r="E7038" s="140" t="s">
        <v>1301</v>
      </c>
      <c r="F7038" s="140" t="s">
        <v>735</v>
      </c>
      <c r="G7038" s="141" t="s">
        <v>6311</v>
      </c>
      <c r="H7038" s="140" t="s">
        <v>6330</v>
      </c>
      <c r="I7038" s="140" t="s">
        <v>6313</v>
      </c>
      <c r="J7038" s="140" t="s">
        <v>6319</v>
      </c>
      <c r="K7038" s="140" t="s">
        <v>6880</v>
      </c>
    </row>
    <row r="7039">
      <c r="A7039" s="140" t="s">
        <v>15144</v>
      </c>
      <c r="B7039" s="140" t="s">
        <v>15222</v>
      </c>
      <c r="C7039" s="140" t="s">
        <v>15219</v>
      </c>
      <c r="D7039" s="140" t="s">
        <v>6318</v>
      </c>
      <c r="E7039" s="140" t="s">
        <v>1301</v>
      </c>
      <c r="F7039" s="140" t="s">
        <v>735</v>
      </c>
      <c r="G7039" s="141" t="s">
        <v>6311</v>
      </c>
      <c r="H7039" s="140" t="s">
        <v>6330</v>
      </c>
      <c r="I7039" s="140" t="s">
        <v>6313</v>
      </c>
      <c r="J7039" s="140" t="s">
        <v>6319</v>
      </c>
      <c r="K7039" s="140" t="s">
        <v>6880</v>
      </c>
    </row>
    <row r="7040">
      <c r="A7040" s="140" t="s">
        <v>15144</v>
      </c>
      <c r="B7040" s="140" t="s">
        <v>15223</v>
      </c>
      <c r="C7040" s="140" t="s">
        <v>15219</v>
      </c>
      <c r="D7040" s="140" t="s">
        <v>6318</v>
      </c>
      <c r="E7040" s="140" t="s">
        <v>1301</v>
      </c>
      <c r="F7040" s="140" t="s">
        <v>735</v>
      </c>
      <c r="G7040" s="141" t="s">
        <v>6311</v>
      </c>
      <c r="H7040" s="140" t="s">
        <v>6330</v>
      </c>
      <c r="I7040" s="140" t="s">
        <v>6313</v>
      </c>
      <c r="J7040" s="140" t="s">
        <v>6319</v>
      </c>
      <c r="K7040" s="140" t="s">
        <v>6880</v>
      </c>
    </row>
    <row r="7041">
      <c r="A7041" s="140" t="s">
        <v>15144</v>
      </c>
      <c r="B7041" s="140" t="s">
        <v>2885</v>
      </c>
      <c r="C7041" s="140" t="s">
        <v>15224</v>
      </c>
      <c r="D7041" s="140" t="s">
        <v>6318</v>
      </c>
      <c r="E7041" s="140" t="s">
        <v>1301</v>
      </c>
      <c r="F7041" s="140" t="s">
        <v>735</v>
      </c>
      <c r="G7041" s="141" t="s">
        <v>6401</v>
      </c>
      <c r="H7041" s="140" t="s">
        <v>6330</v>
      </c>
      <c r="I7041" s="140" t="s">
        <v>6313</v>
      </c>
      <c r="J7041" s="140" t="s">
        <v>6319</v>
      </c>
      <c r="K7041" s="140" t="s">
        <v>6880</v>
      </c>
    </row>
    <row r="7042">
      <c r="A7042" s="140" t="s">
        <v>15144</v>
      </c>
      <c r="B7042" s="140" t="s">
        <v>2889</v>
      </c>
      <c r="C7042" s="140" t="s">
        <v>15225</v>
      </c>
      <c r="D7042" s="140" t="s">
        <v>6318</v>
      </c>
      <c r="E7042" s="140" t="s">
        <v>1301</v>
      </c>
      <c r="F7042" s="140" t="s">
        <v>735</v>
      </c>
      <c r="G7042" s="141" t="s">
        <v>6401</v>
      </c>
      <c r="H7042" s="140" t="s">
        <v>6330</v>
      </c>
      <c r="I7042" s="140" t="s">
        <v>6313</v>
      </c>
      <c r="J7042" s="140" t="s">
        <v>6319</v>
      </c>
      <c r="K7042" s="140" t="s">
        <v>6880</v>
      </c>
    </row>
    <row r="7043">
      <c r="A7043" s="140" t="s">
        <v>15144</v>
      </c>
      <c r="B7043" s="140" t="s">
        <v>2887</v>
      </c>
      <c r="C7043" s="140" t="s">
        <v>15226</v>
      </c>
      <c r="D7043" s="140" t="s">
        <v>6318</v>
      </c>
      <c r="E7043" s="140" t="s">
        <v>1301</v>
      </c>
      <c r="F7043" s="140" t="s">
        <v>735</v>
      </c>
      <c r="G7043" s="141" t="s">
        <v>6664</v>
      </c>
      <c r="H7043" s="140" t="s">
        <v>6330</v>
      </c>
      <c r="I7043" s="140" t="s">
        <v>6313</v>
      </c>
      <c r="J7043" s="140" t="s">
        <v>6319</v>
      </c>
      <c r="K7043" s="140" t="s">
        <v>6880</v>
      </c>
    </row>
    <row r="7044">
      <c r="A7044" s="140" t="s">
        <v>15144</v>
      </c>
      <c r="B7044" s="140" t="s">
        <v>15227</v>
      </c>
      <c r="C7044" s="140" t="s">
        <v>15228</v>
      </c>
      <c r="D7044" s="140" t="s">
        <v>6318</v>
      </c>
      <c r="E7044" s="140" t="s">
        <v>1301</v>
      </c>
      <c r="F7044" s="140" t="s">
        <v>735</v>
      </c>
      <c r="G7044" s="141" t="s">
        <v>6401</v>
      </c>
      <c r="H7044" s="140" t="s">
        <v>6330</v>
      </c>
      <c r="I7044" s="140" t="s">
        <v>6313</v>
      </c>
      <c r="J7044" s="140" t="s">
        <v>6319</v>
      </c>
      <c r="K7044" s="140" t="s">
        <v>6880</v>
      </c>
    </row>
    <row r="7045">
      <c r="A7045" s="140" t="s">
        <v>15144</v>
      </c>
      <c r="B7045" s="140" t="s">
        <v>15229</v>
      </c>
      <c r="C7045" s="140" t="s">
        <v>15230</v>
      </c>
      <c r="D7045" s="140" t="s">
        <v>6318</v>
      </c>
      <c r="E7045" s="140" t="s">
        <v>1301</v>
      </c>
      <c r="F7045" s="140" t="s">
        <v>735</v>
      </c>
      <c r="G7045" s="141" t="s">
        <v>6401</v>
      </c>
      <c r="H7045" s="140" t="s">
        <v>6330</v>
      </c>
      <c r="I7045" s="140" t="s">
        <v>6313</v>
      </c>
      <c r="J7045" s="140" t="s">
        <v>6319</v>
      </c>
      <c r="K7045" s="140" t="s">
        <v>6880</v>
      </c>
    </row>
    <row r="7046">
      <c r="A7046" s="140" t="s">
        <v>15144</v>
      </c>
      <c r="B7046" s="140" t="s">
        <v>15231</v>
      </c>
      <c r="C7046" s="140" t="s">
        <v>15232</v>
      </c>
      <c r="D7046" s="140" t="s">
        <v>6318</v>
      </c>
      <c r="E7046" s="140" t="s">
        <v>1301</v>
      </c>
      <c r="F7046" s="140" t="s">
        <v>735</v>
      </c>
      <c r="G7046" s="141" t="s">
        <v>6401</v>
      </c>
      <c r="H7046" s="140" t="s">
        <v>6330</v>
      </c>
      <c r="I7046" s="140" t="s">
        <v>6313</v>
      </c>
      <c r="J7046" s="140" t="s">
        <v>6319</v>
      </c>
      <c r="K7046" s="140" t="s">
        <v>6880</v>
      </c>
    </row>
    <row r="7047">
      <c r="A7047" s="140" t="s">
        <v>15144</v>
      </c>
      <c r="B7047" s="140" t="s">
        <v>4070</v>
      </c>
      <c r="C7047" s="140" t="s">
        <v>15233</v>
      </c>
      <c r="D7047" s="140" t="s">
        <v>6318</v>
      </c>
      <c r="E7047" s="140" t="s">
        <v>1301</v>
      </c>
      <c r="F7047" s="140" t="s">
        <v>735</v>
      </c>
      <c r="G7047" s="141" t="s">
        <v>6401</v>
      </c>
      <c r="H7047" s="140" t="s">
        <v>6330</v>
      </c>
      <c r="I7047" s="140" t="s">
        <v>6313</v>
      </c>
      <c r="J7047" s="140" t="s">
        <v>6319</v>
      </c>
      <c r="K7047" s="140" t="s">
        <v>6880</v>
      </c>
    </row>
    <row r="7048">
      <c r="A7048" s="140" t="s">
        <v>15144</v>
      </c>
      <c r="B7048" s="140" t="s">
        <v>4062</v>
      </c>
      <c r="C7048" s="140" t="s">
        <v>15234</v>
      </c>
      <c r="D7048" s="140" t="s">
        <v>6318</v>
      </c>
      <c r="E7048" s="140" t="s">
        <v>1301</v>
      </c>
      <c r="F7048" s="140" t="s">
        <v>735</v>
      </c>
      <c r="G7048" s="141" t="s">
        <v>6401</v>
      </c>
      <c r="H7048" s="140" t="s">
        <v>6330</v>
      </c>
      <c r="I7048" s="140" t="s">
        <v>6313</v>
      </c>
      <c r="J7048" s="140" t="s">
        <v>6319</v>
      </c>
      <c r="K7048" s="140" t="s">
        <v>6880</v>
      </c>
    </row>
    <row r="7049">
      <c r="A7049" s="140" t="s">
        <v>15144</v>
      </c>
      <c r="B7049" s="140" t="s">
        <v>4060</v>
      </c>
      <c r="C7049" s="140" t="s">
        <v>15235</v>
      </c>
      <c r="D7049" s="140" t="s">
        <v>6318</v>
      </c>
      <c r="E7049" s="140" t="s">
        <v>1301</v>
      </c>
      <c r="F7049" s="140" t="s">
        <v>735</v>
      </c>
      <c r="G7049" s="141" t="s">
        <v>6401</v>
      </c>
      <c r="H7049" s="140" t="s">
        <v>6330</v>
      </c>
      <c r="I7049" s="140" t="s">
        <v>6313</v>
      </c>
      <c r="J7049" s="140" t="s">
        <v>6319</v>
      </c>
      <c r="K7049" s="140" t="s">
        <v>6880</v>
      </c>
    </row>
    <row r="7050">
      <c r="A7050" s="140" t="s">
        <v>15144</v>
      </c>
      <c r="B7050" s="140" t="s">
        <v>4068</v>
      </c>
      <c r="C7050" s="140" t="s">
        <v>15236</v>
      </c>
      <c r="D7050" s="140" t="s">
        <v>6318</v>
      </c>
      <c r="E7050" s="140" t="s">
        <v>1301</v>
      </c>
      <c r="F7050" s="140" t="s">
        <v>735</v>
      </c>
      <c r="G7050" s="141" t="s">
        <v>6401</v>
      </c>
      <c r="H7050" s="140" t="s">
        <v>6330</v>
      </c>
      <c r="I7050" s="140" t="s">
        <v>6313</v>
      </c>
      <c r="J7050" s="140" t="s">
        <v>6319</v>
      </c>
      <c r="K7050" s="140" t="s">
        <v>6880</v>
      </c>
    </row>
    <row r="7051">
      <c r="A7051" s="140" t="s">
        <v>15144</v>
      </c>
      <c r="B7051" s="140" t="s">
        <v>15237</v>
      </c>
      <c r="C7051" s="140" t="s">
        <v>15238</v>
      </c>
      <c r="D7051" s="140" t="s">
        <v>6318</v>
      </c>
      <c r="E7051" s="140" t="s">
        <v>1301</v>
      </c>
      <c r="F7051" s="140" t="s">
        <v>735</v>
      </c>
      <c r="G7051" s="141" t="s">
        <v>6311</v>
      </c>
      <c r="H7051" s="140" t="s">
        <v>6330</v>
      </c>
      <c r="I7051" s="140" t="s">
        <v>6313</v>
      </c>
      <c r="J7051" s="140" t="s">
        <v>6319</v>
      </c>
      <c r="K7051" s="140" t="s">
        <v>6880</v>
      </c>
    </row>
    <row r="7052">
      <c r="A7052" s="140" t="s">
        <v>15144</v>
      </c>
      <c r="B7052" s="140" t="s">
        <v>15239</v>
      </c>
      <c r="C7052" s="140" t="s">
        <v>15240</v>
      </c>
      <c r="D7052" s="140" t="s">
        <v>6318</v>
      </c>
      <c r="E7052" s="140" t="s">
        <v>1301</v>
      </c>
      <c r="F7052" s="140" t="s">
        <v>735</v>
      </c>
      <c r="G7052" s="141" t="s">
        <v>6311</v>
      </c>
      <c r="H7052" s="140" t="s">
        <v>6330</v>
      </c>
      <c r="I7052" s="140" t="s">
        <v>6313</v>
      </c>
      <c r="J7052" s="140" t="s">
        <v>6319</v>
      </c>
      <c r="K7052" s="140" t="s">
        <v>6880</v>
      </c>
    </row>
    <row r="7053">
      <c r="A7053" s="140" t="s">
        <v>15144</v>
      </c>
      <c r="B7053" s="140" t="s">
        <v>15241</v>
      </c>
      <c r="C7053" s="140" t="s">
        <v>15242</v>
      </c>
      <c r="D7053" s="140" t="s">
        <v>6318</v>
      </c>
      <c r="E7053" s="140" t="s">
        <v>1301</v>
      </c>
      <c r="F7053" s="140" t="s">
        <v>735</v>
      </c>
      <c r="G7053" s="141" t="s">
        <v>6311</v>
      </c>
      <c r="H7053" s="140" t="s">
        <v>6330</v>
      </c>
      <c r="I7053" s="140" t="s">
        <v>6313</v>
      </c>
      <c r="J7053" s="140" t="s">
        <v>6319</v>
      </c>
      <c r="K7053" s="140" t="s">
        <v>6880</v>
      </c>
    </row>
    <row r="7054">
      <c r="A7054" s="140" t="s">
        <v>15144</v>
      </c>
      <c r="B7054" s="140" t="s">
        <v>15243</v>
      </c>
      <c r="C7054" s="140" t="s">
        <v>15242</v>
      </c>
      <c r="D7054" s="140" t="s">
        <v>6318</v>
      </c>
      <c r="E7054" s="140" t="s">
        <v>1301</v>
      </c>
      <c r="F7054" s="140" t="s">
        <v>735</v>
      </c>
      <c r="G7054" s="141" t="s">
        <v>6311</v>
      </c>
      <c r="H7054" s="140" t="s">
        <v>6330</v>
      </c>
      <c r="I7054" s="140" t="s">
        <v>6313</v>
      </c>
      <c r="J7054" s="140" t="s">
        <v>6319</v>
      </c>
      <c r="K7054" s="140" t="s">
        <v>6880</v>
      </c>
    </row>
    <row r="7055">
      <c r="A7055" s="140" t="s">
        <v>15144</v>
      </c>
      <c r="B7055" s="140" t="s">
        <v>15244</v>
      </c>
      <c r="C7055" s="140" t="s">
        <v>15245</v>
      </c>
      <c r="D7055" s="140" t="s">
        <v>6318</v>
      </c>
      <c r="E7055" s="140" t="s">
        <v>1301</v>
      </c>
      <c r="F7055" s="140" t="s">
        <v>735</v>
      </c>
      <c r="G7055" s="141" t="s">
        <v>6311</v>
      </c>
      <c r="H7055" s="140" t="s">
        <v>6330</v>
      </c>
      <c r="I7055" s="140" t="s">
        <v>6313</v>
      </c>
      <c r="J7055" s="140" t="s">
        <v>6319</v>
      </c>
      <c r="K7055" s="140" t="s">
        <v>6880</v>
      </c>
    </row>
    <row r="7056">
      <c r="A7056" s="140" t="s">
        <v>15144</v>
      </c>
      <c r="B7056" s="140" t="s">
        <v>15246</v>
      </c>
      <c r="C7056" s="140" t="s">
        <v>15245</v>
      </c>
      <c r="D7056" s="140" t="s">
        <v>6318</v>
      </c>
      <c r="E7056" s="140" t="s">
        <v>1301</v>
      </c>
      <c r="F7056" s="140" t="s">
        <v>735</v>
      </c>
      <c r="G7056" s="141" t="s">
        <v>6311</v>
      </c>
      <c r="H7056" s="140" t="s">
        <v>6330</v>
      </c>
      <c r="I7056" s="140" t="s">
        <v>6313</v>
      </c>
      <c r="J7056" s="140" t="s">
        <v>6319</v>
      </c>
      <c r="K7056" s="140" t="s">
        <v>6880</v>
      </c>
    </row>
    <row r="7057">
      <c r="A7057" s="140" t="s">
        <v>15144</v>
      </c>
      <c r="B7057" s="140" t="s">
        <v>15247</v>
      </c>
      <c r="C7057" s="140" t="s">
        <v>15248</v>
      </c>
      <c r="D7057" s="140" t="s">
        <v>6318</v>
      </c>
      <c r="E7057" s="140" t="s">
        <v>1301</v>
      </c>
      <c r="F7057" s="140" t="s">
        <v>735</v>
      </c>
      <c r="G7057" s="141" t="s">
        <v>6311</v>
      </c>
      <c r="H7057" s="140" t="s">
        <v>6330</v>
      </c>
      <c r="I7057" s="140" t="s">
        <v>6313</v>
      </c>
      <c r="J7057" s="140" t="s">
        <v>6319</v>
      </c>
      <c r="K7057" s="140" t="s">
        <v>6880</v>
      </c>
    </row>
    <row r="7058">
      <c r="A7058" s="140" t="s">
        <v>15144</v>
      </c>
      <c r="B7058" s="140" t="s">
        <v>15249</v>
      </c>
      <c r="C7058" s="140" t="s">
        <v>15250</v>
      </c>
      <c r="D7058" s="140" t="s">
        <v>6318</v>
      </c>
      <c r="E7058" s="140" t="s">
        <v>1301</v>
      </c>
      <c r="F7058" s="140" t="s">
        <v>735</v>
      </c>
      <c r="G7058" s="141" t="s">
        <v>6311</v>
      </c>
      <c r="H7058" s="140" t="s">
        <v>6330</v>
      </c>
      <c r="I7058" s="140" t="s">
        <v>6313</v>
      </c>
      <c r="J7058" s="140" t="s">
        <v>6319</v>
      </c>
      <c r="K7058" s="140" t="s">
        <v>6880</v>
      </c>
    </row>
    <row r="7059">
      <c r="A7059" s="140" t="s">
        <v>15144</v>
      </c>
      <c r="B7059" s="140" t="s">
        <v>15251</v>
      </c>
      <c r="C7059" s="140" t="s">
        <v>15252</v>
      </c>
      <c r="D7059" s="140" t="s">
        <v>6318</v>
      </c>
      <c r="E7059" s="140" t="s">
        <v>1301</v>
      </c>
      <c r="F7059" s="140" t="s">
        <v>735</v>
      </c>
      <c r="G7059" s="141" t="s">
        <v>6311</v>
      </c>
      <c r="H7059" s="140" t="s">
        <v>6330</v>
      </c>
      <c r="I7059" s="140" t="s">
        <v>6313</v>
      </c>
      <c r="J7059" s="140" t="s">
        <v>6319</v>
      </c>
      <c r="K7059" s="140" t="s">
        <v>6880</v>
      </c>
    </row>
    <row r="7060">
      <c r="A7060" s="140" t="s">
        <v>15144</v>
      </c>
      <c r="B7060" s="140" t="s">
        <v>15253</v>
      </c>
      <c r="C7060" s="140" t="s">
        <v>15254</v>
      </c>
      <c r="D7060" s="140" t="s">
        <v>6318</v>
      </c>
      <c r="E7060" s="140" t="s">
        <v>1301</v>
      </c>
      <c r="F7060" s="140" t="s">
        <v>735</v>
      </c>
      <c r="G7060" s="141" t="s">
        <v>6311</v>
      </c>
      <c r="H7060" s="140" t="s">
        <v>6330</v>
      </c>
      <c r="I7060" s="140" t="s">
        <v>6313</v>
      </c>
      <c r="J7060" s="140" t="s">
        <v>6319</v>
      </c>
      <c r="K7060" s="140" t="s">
        <v>6880</v>
      </c>
    </row>
    <row r="7061">
      <c r="A7061" s="140" t="s">
        <v>15144</v>
      </c>
      <c r="B7061" s="140" t="s">
        <v>15255</v>
      </c>
      <c r="C7061" s="140" t="s">
        <v>15254</v>
      </c>
      <c r="D7061" s="140" t="s">
        <v>6318</v>
      </c>
      <c r="E7061" s="140" t="s">
        <v>1301</v>
      </c>
      <c r="F7061" s="140" t="s">
        <v>735</v>
      </c>
      <c r="G7061" s="141" t="s">
        <v>6311</v>
      </c>
      <c r="H7061" s="140" t="s">
        <v>6330</v>
      </c>
      <c r="I7061" s="140" t="s">
        <v>6313</v>
      </c>
      <c r="J7061" s="140" t="s">
        <v>6319</v>
      </c>
      <c r="K7061" s="140" t="s">
        <v>6880</v>
      </c>
    </row>
    <row r="7062">
      <c r="A7062" s="140" t="s">
        <v>15144</v>
      </c>
      <c r="B7062" s="140" t="s">
        <v>15256</v>
      </c>
      <c r="C7062" s="140" t="s">
        <v>15257</v>
      </c>
      <c r="D7062" s="140" t="s">
        <v>6318</v>
      </c>
      <c r="E7062" s="140" t="s">
        <v>1301</v>
      </c>
      <c r="F7062" s="140" t="s">
        <v>735</v>
      </c>
      <c r="G7062" s="141" t="s">
        <v>6311</v>
      </c>
      <c r="H7062" s="140" t="s">
        <v>6330</v>
      </c>
      <c r="I7062" s="140" t="s">
        <v>6313</v>
      </c>
      <c r="J7062" s="140" t="s">
        <v>6319</v>
      </c>
      <c r="K7062" s="140" t="s">
        <v>6880</v>
      </c>
    </row>
    <row r="7063">
      <c r="A7063" s="140" t="s">
        <v>15144</v>
      </c>
      <c r="B7063" s="140" t="s">
        <v>15258</v>
      </c>
      <c r="C7063" s="140" t="s">
        <v>15257</v>
      </c>
      <c r="D7063" s="140" t="s">
        <v>6318</v>
      </c>
      <c r="E7063" s="140" t="s">
        <v>1301</v>
      </c>
      <c r="F7063" s="140" t="s">
        <v>735</v>
      </c>
      <c r="G7063" s="141" t="s">
        <v>6311</v>
      </c>
      <c r="H7063" s="140" t="s">
        <v>6330</v>
      </c>
      <c r="I7063" s="140" t="s">
        <v>6313</v>
      </c>
      <c r="J7063" s="140" t="s">
        <v>6319</v>
      </c>
      <c r="K7063" s="140" t="s">
        <v>6880</v>
      </c>
    </row>
    <row r="7064">
      <c r="A7064" s="140" t="s">
        <v>15144</v>
      </c>
      <c r="B7064" s="140" t="s">
        <v>15259</v>
      </c>
      <c r="C7064" s="140" t="s">
        <v>15260</v>
      </c>
      <c r="D7064" s="140" t="s">
        <v>6318</v>
      </c>
      <c r="E7064" s="140" t="s">
        <v>1301</v>
      </c>
      <c r="F7064" s="140" t="s">
        <v>735</v>
      </c>
      <c r="G7064" s="141" t="s">
        <v>6311</v>
      </c>
      <c r="H7064" s="140" t="s">
        <v>6330</v>
      </c>
      <c r="I7064" s="140" t="s">
        <v>6313</v>
      </c>
      <c r="J7064" s="140" t="s">
        <v>6319</v>
      </c>
      <c r="K7064" s="140" t="s">
        <v>6880</v>
      </c>
    </row>
    <row r="7065">
      <c r="A7065" s="140" t="s">
        <v>15144</v>
      </c>
      <c r="B7065" s="140" t="s">
        <v>15261</v>
      </c>
      <c r="C7065" s="140" t="s">
        <v>15262</v>
      </c>
      <c r="D7065" s="140" t="s">
        <v>6318</v>
      </c>
      <c r="E7065" s="140" t="s">
        <v>1301</v>
      </c>
      <c r="F7065" s="140" t="s">
        <v>735</v>
      </c>
      <c r="G7065" s="141" t="s">
        <v>6311</v>
      </c>
      <c r="H7065" s="140" t="s">
        <v>6330</v>
      </c>
      <c r="I7065" s="140" t="s">
        <v>6313</v>
      </c>
      <c r="J7065" s="140" t="s">
        <v>6319</v>
      </c>
      <c r="K7065" s="140" t="s">
        <v>6880</v>
      </c>
    </row>
    <row r="7066">
      <c r="A7066" s="140" t="s">
        <v>15144</v>
      </c>
      <c r="B7066" s="140" t="s">
        <v>2893</v>
      </c>
      <c r="C7066" s="140" t="s">
        <v>15263</v>
      </c>
      <c r="D7066" s="140" t="s">
        <v>6318</v>
      </c>
      <c r="E7066" s="140" t="s">
        <v>1301</v>
      </c>
      <c r="F7066" s="140" t="s">
        <v>735</v>
      </c>
      <c r="G7066" s="141" t="s">
        <v>6668</v>
      </c>
      <c r="H7066" s="140" t="s">
        <v>6330</v>
      </c>
      <c r="I7066" s="140" t="s">
        <v>6313</v>
      </c>
      <c r="J7066" s="140" t="s">
        <v>6319</v>
      </c>
      <c r="K7066" s="140" t="s">
        <v>6880</v>
      </c>
    </row>
    <row r="7067">
      <c r="A7067" s="140" t="s">
        <v>15144</v>
      </c>
      <c r="B7067" s="140" t="s">
        <v>2891</v>
      </c>
      <c r="C7067" s="140" t="s">
        <v>15263</v>
      </c>
      <c r="D7067" s="140" t="s">
        <v>6318</v>
      </c>
      <c r="E7067" s="140" t="s">
        <v>1301</v>
      </c>
      <c r="F7067" s="140" t="s">
        <v>735</v>
      </c>
      <c r="G7067" s="141" t="s">
        <v>6664</v>
      </c>
      <c r="H7067" s="140" t="s">
        <v>6330</v>
      </c>
      <c r="I7067" s="140" t="s">
        <v>6313</v>
      </c>
      <c r="J7067" s="140" t="s">
        <v>6319</v>
      </c>
      <c r="K7067" s="140" t="s">
        <v>6880</v>
      </c>
    </row>
    <row r="7068">
      <c r="A7068" s="140" t="s">
        <v>15144</v>
      </c>
      <c r="B7068" s="140" t="s">
        <v>15264</v>
      </c>
      <c r="C7068" s="140" t="s">
        <v>15263</v>
      </c>
      <c r="D7068" s="140" t="s">
        <v>6318</v>
      </c>
      <c r="E7068" s="140" t="s">
        <v>1301</v>
      </c>
      <c r="F7068" s="140" t="s">
        <v>735</v>
      </c>
      <c r="G7068" s="141" t="s">
        <v>6401</v>
      </c>
      <c r="H7068" s="140" t="s">
        <v>6312</v>
      </c>
      <c r="I7068" s="140" t="s">
        <v>6313</v>
      </c>
      <c r="J7068" s="140" t="s">
        <v>6319</v>
      </c>
      <c r="K7068" s="140" t="s">
        <v>6880</v>
      </c>
    </row>
    <row r="7069">
      <c r="A7069" s="140" t="s">
        <v>15144</v>
      </c>
      <c r="B7069" s="140" t="s">
        <v>4464</v>
      </c>
      <c r="C7069" s="140" t="s">
        <v>15265</v>
      </c>
      <c r="D7069" s="140" t="s">
        <v>6318</v>
      </c>
      <c r="E7069" s="140" t="s">
        <v>1301</v>
      </c>
      <c r="F7069" s="140" t="s">
        <v>735</v>
      </c>
      <c r="G7069" s="141" t="s">
        <v>6668</v>
      </c>
      <c r="H7069" s="140" t="s">
        <v>6330</v>
      </c>
      <c r="I7069" s="140" t="s">
        <v>6313</v>
      </c>
      <c r="J7069" s="140" t="s">
        <v>6319</v>
      </c>
      <c r="K7069" s="140" t="s">
        <v>6880</v>
      </c>
    </row>
    <row r="7070">
      <c r="A7070" s="140" t="s">
        <v>15144</v>
      </c>
      <c r="B7070" s="140" t="s">
        <v>2895</v>
      </c>
      <c r="C7070" s="140" t="s">
        <v>15265</v>
      </c>
      <c r="D7070" s="140" t="s">
        <v>6318</v>
      </c>
      <c r="E7070" s="140" t="s">
        <v>1301</v>
      </c>
      <c r="F7070" s="140" t="s">
        <v>735</v>
      </c>
      <c r="G7070" s="141" t="s">
        <v>6668</v>
      </c>
      <c r="H7070" s="140" t="s">
        <v>6330</v>
      </c>
      <c r="I7070" s="140" t="s">
        <v>6313</v>
      </c>
      <c r="J7070" s="140" t="s">
        <v>6319</v>
      </c>
      <c r="K7070" s="140" t="s">
        <v>6880</v>
      </c>
    </row>
    <row r="7071">
      <c r="A7071" s="140" t="s">
        <v>15144</v>
      </c>
      <c r="B7071" s="140" t="s">
        <v>15266</v>
      </c>
      <c r="C7071" s="140" t="s">
        <v>15265</v>
      </c>
      <c r="D7071" s="140" t="s">
        <v>6318</v>
      </c>
      <c r="E7071" s="140" t="s">
        <v>1301</v>
      </c>
      <c r="F7071" s="140" t="s">
        <v>735</v>
      </c>
      <c r="G7071" s="141" t="s">
        <v>6401</v>
      </c>
      <c r="H7071" s="140" t="s">
        <v>6312</v>
      </c>
      <c r="I7071" s="140" t="s">
        <v>6313</v>
      </c>
      <c r="J7071" s="140" t="s">
        <v>6319</v>
      </c>
      <c r="K7071" s="140" t="s">
        <v>6880</v>
      </c>
    </row>
    <row r="7072">
      <c r="A7072" s="140" t="s">
        <v>15144</v>
      </c>
      <c r="B7072" s="140" t="s">
        <v>15267</v>
      </c>
      <c r="C7072" s="140" t="s">
        <v>15268</v>
      </c>
      <c r="D7072" s="140" t="s">
        <v>6318</v>
      </c>
      <c r="E7072" s="140" t="s">
        <v>1301</v>
      </c>
      <c r="F7072" s="140" t="s">
        <v>735</v>
      </c>
      <c r="G7072" s="141" t="s">
        <v>6401</v>
      </c>
      <c r="H7072" s="140" t="s">
        <v>6312</v>
      </c>
      <c r="I7072" s="140" t="s">
        <v>6313</v>
      </c>
      <c r="J7072" s="140" t="s">
        <v>6319</v>
      </c>
      <c r="K7072" s="140" t="s">
        <v>6880</v>
      </c>
    </row>
    <row r="7073">
      <c r="A7073" s="140" t="s">
        <v>15144</v>
      </c>
      <c r="B7073" s="140" t="s">
        <v>2728</v>
      </c>
      <c r="C7073" s="140" t="s">
        <v>15269</v>
      </c>
      <c r="D7073" s="140" t="s">
        <v>6318</v>
      </c>
      <c r="E7073" s="140" t="s">
        <v>1301</v>
      </c>
      <c r="F7073" s="140" t="s">
        <v>735</v>
      </c>
      <c r="G7073" s="141" t="s">
        <v>6668</v>
      </c>
      <c r="H7073" s="140" t="s">
        <v>6330</v>
      </c>
      <c r="I7073" s="140" t="s">
        <v>6313</v>
      </c>
      <c r="J7073" s="140" t="s">
        <v>6319</v>
      </c>
      <c r="K7073" s="140" t="s">
        <v>6880</v>
      </c>
    </row>
    <row r="7074">
      <c r="A7074" s="140" t="s">
        <v>15144</v>
      </c>
      <c r="B7074" s="140" t="s">
        <v>3008</v>
      </c>
      <c r="C7074" s="140" t="s">
        <v>15270</v>
      </c>
      <c r="D7074" s="140" t="s">
        <v>6318</v>
      </c>
      <c r="E7074" s="140" t="s">
        <v>1301</v>
      </c>
      <c r="F7074" s="140" t="s">
        <v>735</v>
      </c>
      <c r="G7074" s="141" t="s">
        <v>6668</v>
      </c>
      <c r="H7074" s="140" t="s">
        <v>6330</v>
      </c>
      <c r="I7074" s="140" t="s">
        <v>6313</v>
      </c>
      <c r="J7074" s="140" t="s">
        <v>6319</v>
      </c>
      <c r="K7074" s="140" t="s">
        <v>6880</v>
      </c>
    </row>
    <row r="7075">
      <c r="A7075" s="140" t="s">
        <v>15144</v>
      </c>
      <c r="B7075" s="140" t="s">
        <v>3004</v>
      </c>
      <c r="C7075" s="140" t="s">
        <v>15271</v>
      </c>
      <c r="D7075" s="140" t="s">
        <v>6318</v>
      </c>
      <c r="E7075" s="140" t="s">
        <v>1301</v>
      </c>
      <c r="F7075" s="140" t="s">
        <v>735</v>
      </c>
      <c r="G7075" s="141" t="s">
        <v>6664</v>
      </c>
      <c r="H7075" s="140" t="s">
        <v>6330</v>
      </c>
      <c r="I7075" s="140" t="s">
        <v>6313</v>
      </c>
      <c r="J7075" s="140" t="s">
        <v>6319</v>
      </c>
      <c r="K7075" s="140" t="s">
        <v>6880</v>
      </c>
    </row>
    <row r="7076">
      <c r="A7076" s="140" t="s">
        <v>15144</v>
      </c>
      <c r="B7076" s="140" t="s">
        <v>3006</v>
      </c>
      <c r="C7076" s="140" t="s">
        <v>15272</v>
      </c>
      <c r="D7076" s="140" t="s">
        <v>6318</v>
      </c>
      <c r="E7076" s="140" t="s">
        <v>1301</v>
      </c>
      <c r="F7076" s="140" t="s">
        <v>735</v>
      </c>
      <c r="G7076" s="141" t="s">
        <v>6664</v>
      </c>
      <c r="H7076" s="140" t="s">
        <v>6330</v>
      </c>
      <c r="I7076" s="140" t="s">
        <v>6313</v>
      </c>
      <c r="J7076" s="140" t="s">
        <v>6319</v>
      </c>
      <c r="K7076" s="140" t="s">
        <v>6880</v>
      </c>
    </row>
    <row r="7077">
      <c r="A7077" s="140" t="s">
        <v>15144</v>
      </c>
      <c r="B7077" s="140" t="s">
        <v>15273</v>
      </c>
      <c r="C7077" s="140" t="s">
        <v>15274</v>
      </c>
      <c r="D7077" s="140" t="s">
        <v>6318</v>
      </c>
      <c r="E7077" s="140" t="s">
        <v>1301</v>
      </c>
      <c r="F7077" s="140" t="s">
        <v>735</v>
      </c>
      <c r="G7077" s="141" t="s">
        <v>6401</v>
      </c>
      <c r="H7077" s="140" t="s">
        <v>6330</v>
      </c>
      <c r="I7077" s="140" t="s">
        <v>6313</v>
      </c>
      <c r="J7077" s="140" t="s">
        <v>6319</v>
      </c>
      <c r="K7077" s="140" t="s">
        <v>6880</v>
      </c>
    </row>
    <row r="7078">
      <c r="A7078" s="140" t="s">
        <v>15144</v>
      </c>
      <c r="B7078" s="140" t="s">
        <v>15275</v>
      </c>
      <c r="C7078" s="140" t="s">
        <v>15276</v>
      </c>
      <c r="D7078" s="140" t="s">
        <v>6318</v>
      </c>
      <c r="E7078" s="140" t="s">
        <v>1301</v>
      </c>
      <c r="F7078" s="140" t="s">
        <v>735</v>
      </c>
      <c r="G7078" s="141" t="s">
        <v>6401</v>
      </c>
      <c r="H7078" s="140" t="s">
        <v>6312</v>
      </c>
      <c r="I7078" s="140" t="s">
        <v>6313</v>
      </c>
      <c r="J7078" s="140" t="s">
        <v>6319</v>
      </c>
      <c r="K7078" s="140" t="s">
        <v>6880</v>
      </c>
    </row>
    <row r="7079">
      <c r="A7079" s="140" t="s">
        <v>15144</v>
      </c>
      <c r="B7079" s="140" t="s">
        <v>15277</v>
      </c>
      <c r="C7079" s="140" t="s">
        <v>15278</v>
      </c>
      <c r="D7079" s="140" t="s">
        <v>6318</v>
      </c>
      <c r="E7079" s="140" t="s">
        <v>1301</v>
      </c>
      <c r="F7079" s="140" t="s">
        <v>735</v>
      </c>
      <c r="G7079" s="141" t="s">
        <v>6664</v>
      </c>
      <c r="H7079" s="140" t="s">
        <v>6312</v>
      </c>
      <c r="I7079" s="140" t="s">
        <v>6313</v>
      </c>
      <c r="J7079" s="140" t="s">
        <v>6319</v>
      </c>
      <c r="K7079" s="140" t="s">
        <v>6880</v>
      </c>
    </row>
    <row r="7080">
      <c r="A7080" s="140" t="s">
        <v>15144</v>
      </c>
      <c r="B7080" s="140" t="s">
        <v>5608</v>
      </c>
      <c r="C7080" s="140" t="s">
        <v>15279</v>
      </c>
      <c r="D7080" s="140" t="s">
        <v>6318</v>
      </c>
      <c r="E7080" s="140" t="s">
        <v>1301</v>
      </c>
      <c r="F7080" s="140" t="s">
        <v>735</v>
      </c>
      <c r="G7080" s="141" t="s">
        <v>6401</v>
      </c>
      <c r="H7080" s="140" t="s">
        <v>6330</v>
      </c>
      <c r="I7080" s="140" t="s">
        <v>6313</v>
      </c>
      <c r="J7080" s="140" t="s">
        <v>6319</v>
      </c>
      <c r="K7080" s="140" t="s">
        <v>6880</v>
      </c>
    </row>
    <row r="7081">
      <c r="A7081" s="140" t="s">
        <v>15144</v>
      </c>
      <c r="B7081" s="140" t="s">
        <v>15280</v>
      </c>
      <c r="C7081" s="140" t="s">
        <v>15281</v>
      </c>
      <c r="D7081" s="140" t="s">
        <v>6318</v>
      </c>
      <c r="E7081" s="140" t="s">
        <v>1301</v>
      </c>
      <c r="F7081" s="140" t="s">
        <v>735</v>
      </c>
      <c r="G7081" s="141" t="s">
        <v>6401</v>
      </c>
      <c r="H7081" s="140" t="s">
        <v>6312</v>
      </c>
      <c r="I7081" s="140" t="s">
        <v>6313</v>
      </c>
      <c r="J7081" s="140" t="s">
        <v>6319</v>
      </c>
      <c r="K7081" s="140" t="s">
        <v>6880</v>
      </c>
    </row>
    <row r="7082">
      <c r="A7082" s="140" t="s">
        <v>15144</v>
      </c>
      <c r="B7082" s="140" t="s">
        <v>15282</v>
      </c>
      <c r="C7082" s="140" t="s">
        <v>15283</v>
      </c>
      <c r="D7082" s="140" t="s">
        <v>6318</v>
      </c>
      <c r="E7082" s="140" t="s">
        <v>1301</v>
      </c>
      <c r="F7082" s="140" t="s">
        <v>735</v>
      </c>
      <c r="G7082" s="141" t="s">
        <v>6401</v>
      </c>
      <c r="H7082" s="140" t="s">
        <v>6312</v>
      </c>
      <c r="I7082" s="140" t="s">
        <v>6313</v>
      </c>
      <c r="J7082" s="140" t="s">
        <v>6319</v>
      </c>
      <c r="K7082" s="140" t="s">
        <v>6880</v>
      </c>
    </row>
    <row r="7083">
      <c r="A7083" s="140" t="s">
        <v>15144</v>
      </c>
      <c r="B7083" s="140" t="s">
        <v>15284</v>
      </c>
      <c r="C7083" s="140" t="s">
        <v>15285</v>
      </c>
      <c r="D7083" s="140" t="s">
        <v>6318</v>
      </c>
      <c r="E7083" s="140" t="s">
        <v>1301</v>
      </c>
      <c r="F7083" s="140" t="s">
        <v>735</v>
      </c>
      <c r="G7083" s="141" t="s">
        <v>6401</v>
      </c>
      <c r="H7083" s="140" t="s">
        <v>6312</v>
      </c>
      <c r="I7083" s="140" t="s">
        <v>6313</v>
      </c>
      <c r="J7083" s="140" t="s">
        <v>6319</v>
      </c>
      <c r="K7083" s="140" t="s">
        <v>6880</v>
      </c>
    </row>
    <row r="7084">
      <c r="A7084" s="140" t="s">
        <v>15144</v>
      </c>
      <c r="B7084" s="140" t="s">
        <v>3133</v>
      </c>
      <c r="C7084" s="140" t="s">
        <v>15286</v>
      </c>
      <c r="D7084" s="140" t="s">
        <v>6318</v>
      </c>
      <c r="E7084" s="140" t="s">
        <v>1301</v>
      </c>
      <c r="F7084" s="140" t="s">
        <v>735</v>
      </c>
      <c r="G7084" s="141" t="s">
        <v>6668</v>
      </c>
      <c r="H7084" s="140" t="s">
        <v>6312</v>
      </c>
      <c r="I7084" s="140" t="s">
        <v>6313</v>
      </c>
      <c r="J7084" s="140" t="s">
        <v>6319</v>
      </c>
      <c r="K7084" s="140" t="s">
        <v>6880</v>
      </c>
    </row>
    <row r="7085">
      <c r="A7085" s="140" t="s">
        <v>15144</v>
      </c>
      <c r="B7085" s="140" t="s">
        <v>15287</v>
      </c>
      <c r="C7085" s="140" t="s">
        <v>15286</v>
      </c>
      <c r="D7085" s="140" t="s">
        <v>6318</v>
      </c>
      <c r="E7085" s="140" t="s">
        <v>1301</v>
      </c>
      <c r="F7085" s="140" t="s">
        <v>735</v>
      </c>
      <c r="G7085" s="141" t="s">
        <v>6304</v>
      </c>
      <c r="H7085" s="140" t="s">
        <v>6312</v>
      </c>
      <c r="I7085" s="140" t="s">
        <v>6527</v>
      </c>
      <c r="J7085" s="140" t="s">
        <v>6319</v>
      </c>
      <c r="K7085" s="140" t="s">
        <v>6880</v>
      </c>
    </row>
    <row r="7086">
      <c r="A7086" s="140" t="s">
        <v>15144</v>
      </c>
      <c r="B7086" s="140" t="s">
        <v>15288</v>
      </c>
      <c r="C7086" s="140" t="s">
        <v>15289</v>
      </c>
      <c r="D7086" s="140" t="s">
        <v>6318</v>
      </c>
      <c r="E7086" s="140" t="s">
        <v>1301</v>
      </c>
      <c r="F7086" s="140" t="s">
        <v>735</v>
      </c>
      <c r="G7086" s="141" t="s">
        <v>6401</v>
      </c>
      <c r="H7086" s="140" t="s">
        <v>6312</v>
      </c>
      <c r="I7086" s="140" t="s">
        <v>6313</v>
      </c>
      <c r="J7086" s="140" t="s">
        <v>6319</v>
      </c>
      <c r="K7086" s="140" t="s">
        <v>6880</v>
      </c>
    </row>
    <row r="7087">
      <c r="A7087" s="140" t="s">
        <v>15144</v>
      </c>
      <c r="B7087" s="140" t="s">
        <v>15290</v>
      </c>
      <c r="C7087" s="140" t="s">
        <v>15291</v>
      </c>
      <c r="D7087" s="140" t="s">
        <v>6318</v>
      </c>
      <c r="E7087" s="140" t="s">
        <v>1301</v>
      </c>
      <c r="F7087" s="140" t="s">
        <v>735</v>
      </c>
      <c r="G7087" s="141" t="s">
        <v>6311</v>
      </c>
      <c r="H7087" s="140" t="s">
        <v>6330</v>
      </c>
      <c r="I7087" s="140" t="s">
        <v>6313</v>
      </c>
      <c r="J7087" s="140" t="s">
        <v>6319</v>
      </c>
      <c r="K7087" s="140" t="s">
        <v>6880</v>
      </c>
    </row>
    <row r="7088">
      <c r="A7088" s="140" t="s">
        <v>15144</v>
      </c>
      <c r="B7088" s="140" t="s">
        <v>15292</v>
      </c>
      <c r="C7088" s="140" t="s">
        <v>15291</v>
      </c>
      <c r="D7088" s="140" t="s">
        <v>6318</v>
      </c>
      <c r="E7088" s="140" t="s">
        <v>1301</v>
      </c>
      <c r="F7088" s="140" t="s">
        <v>735</v>
      </c>
      <c r="G7088" s="141" t="s">
        <v>6311</v>
      </c>
      <c r="H7088" s="140" t="s">
        <v>6330</v>
      </c>
      <c r="I7088" s="140" t="s">
        <v>6313</v>
      </c>
      <c r="J7088" s="140" t="s">
        <v>6319</v>
      </c>
      <c r="K7088" s="140" t="s">
        <v>6880</v>
      </c>
    </row>
    <row r="7089">
      <c r="A7089" s="140" t="s">
        <v>15144</v>
      </c>
      <c r="B7089" s="140" t="s">
        <v>3000</v>
      </c>
      <c r="C7089" s="140" t="s">
        <v>15293</v>
      </c>
      <c r="D7089" s="140" t="s">
        <v>6318</v>
      </c>
      <c r="E7089" s="140" t="s">
        <v>1301</v>
      </c>
      <c r="F7089" s="140" t="s">
        <v>735</v>
      </c>
      <c r="G7089" s="141" t="s">
        <v>6668</v>
      </c>
      <c r="H7089" s="140" t="s">
        <v>6330</v>
      </c>
      <c r="I7089" s="140" t="s">
        <v>6313</v>
      </c>
      <c r="J7089" s="140" t="s">
        <v>6319</v>
      </c>
      <c r="K7089" s="140" t="s">
        <v>6880</v>
      </c>
    </row>
    <row r="7090">
      <c r="A7090" s="140" t="s">
        <v>15144</v>
      </c>
      <c r="B7090" s="140" t="s">
        <v>3002</v>
      </c>
      <c r="C7090" s="140" t="s">
        <v>15294</v>
      </c>
      <c r="D7090" s="140" t="s">
        <v>6318</v>
      </c>
      <c r="E7090" s="140" t="s">
        <v>1301</v>
      </c>
      <c r="F7090" s="140" t="s">
        <v>735</v>
      </c>
      <c r="G7090" s="141" t="s">
        <v>6668</v>
      </c>
      <c r="H7090" s="140" t="s">
        <v>6330</v>
      </c>
      <c r="I7090" s="140" t="s">
        <v>6313</v>
      </c>
      <c r="J7090" s="140" t="s">
        <v>6319</v>
      </c>
      <c r="K7090" s="140" t="s">
        <v>6880</v>
      </c>
    </row>
    <row r="7091">
      <c r="A7091" s="140" t="s">
        <v>15144</v>
      </c>
      <c r="B7091" s="140" t="s">
        <v>5641</v>
      </c>
      <c r="C7091" s="140" t="s">
        <v>15295</v>
      </c>
      <c r="D7091" s="140" t="s">
        <v>6318</v>
      </c>
      <c r="E7091" s="140" t="s">
        <v>1301</v>
      </c>
      <c r="F7091" s="140" t="s">
        <v>735</v>
      </c>
      <c r="G7091" s="141" t="s">
        <v>6401</v>
      </c>
      <c r="H7091" s="140" t="s">
        <v>6330</v>
      </c>
      <c r="I7091" s="140" t="s">
        <v>6313</v>
      </c>
      <c r="J7091" s="140" t="s">
        <v>6319</v>
      </c>
      <c r="K7091" s="140" t="s">
        <v>6880</v>
      </c>
    </row>
    <row r="7092">
      <c r="A7092" s="140" t="s">
        <v>15144</v>
      </c>
      <c r="B7092" s="140" t="s">
        <v>5643</v>
      </c>
      <c r="C7092" s="140" t="s">
        <v>15296</v>
      </c>
      <c r="D7092" s="140" t="s">
        <v>6318</v>
      </c>
      <c r="E7092" s="140" t="s">
        <v>1301</v>
      </c>
      <c r="F7092" s="140" t="s">
        <v>735</v>
      </c>
      <c r="G7092" s="141" t="s">
        <v>6401</v>
      </c>
      <c r="H7092" s="140" t="s">
        <v>6330</v>
      </c>
      <c r="I7092" s="140" t="s">
        <v>6313</v>
      </c>
      <c r="J7092" s="140" t="s">
        <v>6319</v>
      </c>
      <c r="K7092" s="140" t="s">
        <v>6880</v>
      </c>
    </row>
    <row r="7093">
      <c r="A7093" s="140" t="s">
        <v>15144</v>
      </c>
      <c r="B7093" s="140" t="s">
        <v>15297</v>
      </c>
      <c r="C7093" s="140" t="s">
        <v>15298</v>
      </c>
      <c r="D7093" s="140" t="s">
        <v>6318</v>
      </c>
      <c r="E7093" s="140" t="s">
        <v>1301</v>
      </c>
      <c r="F7093" s="140" t="s">
        <v>735</v>
      </c>
      <c r="G7093" s="141" t="s">
        <v>6401</v>
      </c>
      <c r="H7093" s="140" t="s">
        <v>6330</v>
      </c>
      <c r="I7093" s="140" t="s">
        <v>6313</v>
      </c>
      <c r="J7093" s="140" t="s">
        <v>6319</v>
      </c>
      <c r="K7093" s="140" t="s">
        <v>6880</v>
      </c>
    </row>
    <row r="7094">
      <c r="A7094" s="140" t="s">
        <v>15144</v>
      </c>
      <c r="B7094" s="140" t="s">
        <v>3281</v>
      </c>
      <c r="C7094" s="140" t="s">
        <v>15299</v>
      </c>
      <c r="D7094" s="140" t="s">
        <v>6318</v>
      </c>
      <c r="E7094" s="140" t="s">
        <v>1301</v>
      </c>
      <c r="F7094" s="140" t="s">
        <v>735</v>
      </c>
      <c r="G7094" s="141" t="s">
        <v>6668</v>
      </c>
      <c r="H7094" s="140" t="s">
        <v>6312</v>
      </c>
      <c r="I7094" s="140" t="s">
        <v>6313</v>
      </c>
      <c r="J7094" s="140" t="s">
        <v>6319</v>
      </c>
      <c r="K7094" s="140" t="s">
        <v>6880</v>
      </c>
    </row>
    <row r="7095">
      <c r="A7095" s="140" t="s">
        <v>15144</v>
      </c>
      <c r="B7095" s="140" t="s">
        <v>15300</v>
      </c>
      <c r="C7095" s="140" t="s">
        <v>15301</v>
      </c>
      <c r="D7095" s="140" t="s">
        <v>6318</v>
      </c>
      <c r="E7095" s="140" t="s">
        <v>1301</v>
      </c>
      <c r="F7095" s="140" t="s">
        <v>735</v>
      </c>
      <c r="G7095" s="141" t="s">
        <v>6401</v>
      </c>
      <c r="H7095" s="140" t="s">
        <v>6312</v>
      </c>
      <c r="I7095" s="140" t="s">
        <v>6313</v>
      </c>
      <c r="J7095" s="140" t="s">
        <v>6319</v>
      </c>
      <c r="K7095" s="140" t="s">
        <v>6880</v>
      </c>
    </row>
    <row r="7096">
      <c r="A7096" s="140" t="s">
        <v>15144</v>
      </c>
      <c r="B7096" s="140" t="s">
        <v>3509</v>
      </c>
      <c r="C7096" s="140" t="s">
        <v>15302</v>
      </c>
      <c r="D7096" s="140" t="s">
        <v>6318</v>
      </c>
      <c r="E7096" s="140" t="s">
        <v>1301</v>
      </c>
      <c r="F7096" s="140" t="s">
        <v>735</v>
      </c>
      <c r="G7096" s="141" t="s">
        <v>6401</v>
      </c>
      <c r="H7096" s="140" t="s">
        <v>6312</v>
      </c>
      <c r="I7096" s="140" t="s">
        <v>6313</v>
      </c>
      <c r="J7096" s="140" t="s">
        <v>6319</v>
      </c>
      <c r="K7096" s="140" t="s">
        <v>6880</v>
      </c>
    </row>
    <row r="7097">
      <c r="A7097" s="140" t="s">
        <v>15144</v>
      </c>
      <c r="B7097" s="140" t="s">
        <v>15303</v>
      </c>
      <c r="C7097" s="140" t="s">
        <v>15304</v>
      </c>
      <c r="D7097" s="140" t="s">
        <v>6318</v>
      </c>
      <c r="E7097" s="140" t="s">
        <v>1301</v>
      </c>
      <c r="F7097" s="140" t="s">
        <v>735</v>
      </c>
      <c r="G7097" s="141" t="s">
        <v>6401</v>
      </c>
      <c r="H7097" s="140" t="s">
        <v>6312</v>
      </c>
      <c r="I7097" s="140" t="s">
        <v>6313</v>
      </c>
      <c r="J7097" s="140" t="s">
        <v>6319</v>
      </c>
      <c r="K7097" s="140" t="s">
        <v>6880</v>
      </c>
    </row>
    <row r="7098">
      <c r="A7098" s="140" t="s">
        <v>15144</v>
      </c>
      <c r="B7098" s="140" t="s">
        <v>15305</v>
      </c>
      <c r="C7098" s="140" t="s">
        <v>15306</v>
      </c>
      <c r="D7098" s="140" t="s">
        <v>6318</v>
      </c>
      <c r="E7098" s="140" t="s">
        <v>1301</v>
      </c>
      <c r="F7098" s="140" t="s">
        <v>735</v>
      </c>
      <c r="G7098" s="141" t="s">
        <v>6311</v>
      </c>
      <c r="H7098" s="140" t="s">
        <v>6330</v>
      </c>
      <c r="I7098" s="140" t="s">
        <v>6313</v>
      </c>
      <c r="J7098" s="140" t="s">
        <v>6319</v>
      </c>
      <c r="K7098" s="140" t="s">
        <v>6880</v>
      </c>
    </row>
    <row r="7099">
      <c r="A7099" s="140" t="s">
        <v>15144</v>
      </c>
      <c r="B7099" s="140" t="s">
        <v>15307</v>
      </c>
      <c r="C7099" s="140" t="s">
        <v>15306</v>
      </c>
      <c r="D7099" s="140" t="s">
        <v>6318</v>
      </c>
      <c r="E7099" s="140" t="s">
        <v>1301</v>
      </c>
      <c r="F7099" s="140" t="s">
        <v>735</v>
      </c>
      <c r="G7099" s="141" t="s">
        <v>6311</v>
      </c>
      <c r="H7099" s="140" t="s">
        <v>6330</v>
      </c>
      <c r="I7099" s="140" t="s">
        <v>6313</v>
      </c>
      <c r="J7099" s="140" t="s">
        <v>6319</v>
      </c>
      <c r="K7099" s="140" t="s">
        <v>6880</v>
      </c>
    </row>
    <row r="7100">
      <c r="A7100" s="140" t="s">
        <v>15144</v>
      </c>
      <c r="B7100" s="140" t="s">
        <v>15308</v>
      </c>
      <c r="C7100" s="140" t="s">
        <v>15306</v>
      </c>
      <c r="D7100" s="140" t="s">
        <v>6318</v>
      </c>
      <c r="E7100" s="140" t="s">
        <v>1301</v>
      </c>
      <c r="F7100" s="140" t="s">
        <v>735</v>
      </c>
      <c r="G7100" s="141" t="s">
        <v>6311</v>
      </c>
      <c r="H7100" s="140" t="s">
        <v>6330</v>
      </c>
      <c r="I7100" s="140" t="s">
        <v>6313</v>
      </c>
      <c r="J7100" s="140" t="s">
        <v>6319</v>
      </c>
      <c r="K7100" s="140" t="s">
        <v>6880</v>
      </c>
    </row>
    <row r="7101">
      <c r="A7101" s="140" t="s">
        <v>15144</v>
      </c>
      <c r="B7101" s="140" t="s">
        <v>15309</v>
      </c>
      <c r="C7101" s="140" t="s">
        <v>15310</v>
      </c>
      <c r="D7101" s="140" t="s">
        <v>6318</v>
      </c>
      <c r="E7101" s="140" t="s">
        <v>1301</v>
      </c>
      <c r="F7101" s="140" t="s">
        <v>735</v>
      </c>
      <c r="G7101" s="141" t="s">
        <v>6311</v>
      </c>
      <c r="H7101" s="140" t="s">
        <v>6330</v>
      </c>
      <c r="I7101" s="140" t="s">
        <v>6313</v>
      </c>
      <c r="J7101" s="140" t="s">
        <v>6319</v>
      </c>
      <c r="K7101" s="140" t="s">
        <v>6880</v>
      </c>
    </row>
    <row r="7102">
      <c r="A7102" s="140" t="s">
        <v>15144</v>
      </c>
      <c r="B7102" s="140" t="s">
        <v>15311</v>
      </c>
      <c r="C7102" s="140" t="s">
        <v>15312</v>
      </c>
      <c r="D7102" s="140" t="s">
        <v>6318</v>
      </c>
      <c r="E7102" s="140" t="s">
        <v>1301</v>
      </c>
      <c r="F7102" s="140" t="s">
        <v>8108</v>
      </c>
      <c r="G7102" s="141" t="s">
        <v>6311</v>
      </c>
      <c r="H7102" s="140" t="s">
        <v>6330</v>
      </c>
      <c r="I7102" s="140" t="s">
        <v>6313</v>
      </c>
      <c r="J7102" s="140" t="s">
        <v>6319</v>
      </c>
      <c r="K7102" s="140" t="s">
        <v>6880</v>
      </c>
    </row>
    <row r="7103">
      <c r="A7103" s="140" t="s">
        <v>15144</v>
      </c>
      <c r="B7103" s="140" t="s">
        <v>15313</v>
      </c>
      <c r="C7103" s="140" t="s">
        <v>15312</v>
      </c>
      <c r="D7103" s="140" t="s">
        <v>6318</v>
      </c>
      <c r="E7103" s="140" t="s">
        <v>1301</v>
      </c>
      <c r="F7103" s="140" t="s">
        <v>8108</v>
      </c>
      <c r="G7103" s="141" t="s">
        <v>6311</v>
      </c>
      <c r="H7103" s="140" t="s">
        <v>6330</v>
      </c>
      <c r="I7103" s="140" t="s">
        <v>6313</v>
      </c>
      <c r="J7103" s="140" t="s">
        <v>6319</v>
      </c>
      <c r="K7103" s="140" t="s">
        <v>6880</v>
      </c>
    </row>
    <row r="7104">
      <c r="A7104" s="140" t="s">
        <v>15144</v>
      </c>
      <c r="B7104" s="140" t="s">
        <v>15314</v>
      </c>
      <c r="C7104" s="140" t="s">
        <v>15315</v>
      </c>
      <c r="D7104" s="140" t="s">
        <v>6318</v>
      </c>
      <c r="E7104" s="140" t="s">
        <v>1301</v>
      </c>
      <c r="F7104" s="140" t="s">
        <v>8108</v>
      </c>
      <c r="G7104" s="141" t="s">
        <v>6311</v>
      </c>
      <c r="H7104" s="140" t="s">
        <v>6330</v>
      </c>
      <c r="I7104" s="140" t="s">
        <v>6313</v>
      </c>
      <c r="J7104" s="140" t="s">
        <v>6319</v>
      </c>
      <c r="K7104" s="140" t="s">
        <v>6880</v>
      </c>
    </row>
    <row r="7105">
      <c r="A7105" s="140" t="s">
        <v>15144</v>
      </c>
      <c r="B7105" s="140" t="s">
        <v>15316</v>
      </c>
      <c r="C7105" s="140" t="s">
        <v>15315</v>
      </c>
      <c r="D7105" s="140" t="s">
        <v>6318</v>
      </c>
      <c r="E7105" s="140" t="s">
        <v>1301</v>
      </c>
      <c r="F7105" s="140" t="s">
        <v>8108</v>
      </c>
      <c r="G7105" s="141" t="s">
        <v>6311</v>
      </c>
      <c r="H7105" s="140" t="s">
        <v>6330</v>
      </c>
      <c r="I7105" s="140" t="s">
        <v>6313</v>
      </c>
      <c r="J7105" s="140" t="s">
        <v>6319</v>
      </c>
      <c r="K7105" s="140" t="s">
        <v>6880</v>
      </c>
    </row>
    <row r="7106">
      <c r="A7106" s="140" t="s">
        <v>15144</v>
      </c>
      <c r="B7106" s="140" t="s">
        <v>15317</v>
      </c>
      <c r="C7106" s="140" t="s">
        <v>15318</v>
      </c>
      <c r="D7106" s="140" t="s">
        <v>6318</v>
      </c>
      <c r="E7106" s="140" t="s">
        <v>1301</v>
      </c>
      <c r="F7106" s="140" t="s">
        <v>8108</v>
      </c>
      <c r="G7106" s="141" t="s">
        <v>6311</v>
      </c>
      <c r="H7106" s="140" t="s">
        <v>6330</v>
      </c>
      <c r="I7106" s="140" t="s">
        <v>6313</v>
      </c>
      <c r="J7106" s="140" t="s">
        <v>6319</v>
      </c>
      <c r="K7106" s="140" t="s">
        <v>6880</v>
      </c>
    </row>
    <row r="7107">
      <c r="A7107" s="140" t="s">
        <v>15144</v>
      </c>
      <c r="B7107" s="140" t="s">
        <v>15319</v>
      </c>
      <c r="C7107" s="140" t="s">
        <v>15318</v>
      </c>
      <c r="D7107" s="140" t="s">
        <v>6318</v>
      </c>
      <c r="E7107" s="140" t="s">
        <v>1301</v>
      </c>
      <c r="F7107" s="140" t="s">
        <v>8108</v>
      </c>
      <c r="G7107" s="141" t="s">
        <v>6311</v>
      </c>
      <c r="H7107" s="140" t="s">
        <v>6330</v>
      </c>
      <c r="I7107" s="140" t="s">
        <v>6313</v>
      </c>
      <c r="J7107" s="140" t="s">
        <v>6319</v>
      </c>
      <c r="K7107" s="140" t="s">
        <v>6880</v>
      </c>
    </row>
    <row r="7108">
      <c r="A7108" s="140" t="s">
        <v>15144</v>
      </c>
      <c r="B7108" s="140" t="s">
        <v>15320</v>
      </c>
      <c r="C7108" s="140" t="s">
        <v>15321</v>
      </c>
      <c r="D7108" s="140" t="s">
        <v>6318</v>
      </c>
      <c r="E7108" s="140" t="s">
        <v>1301</v>
      </c>
      <c r="F7108" s="140" t="s">
        <v>8108</v>
      </c>
      <c r="G7108" s="141" t="s">
        <v>6311</v>
      </c>
      <c r="H7108" s="140" t="s">
        <v>6330</v>
      </c>
      <c r="I7108" s="140" t="s">
        <v>6313</v>
      </c>
      <c r="J7108" s="140" t="s">
        <v>6319</v>
      </c>
      <c r="K7108" s="140" t="s">
        <v>6880</v>
      </c>
    </row>
    <row r="7109">
      <c r="A7109" s="140" t="s">
        <v>15144</v>
      </c>
      <c r="B7109" s="140" t="s">
        <v>15322</v>
      </c>
      <c r="C7109" s="140" t="s">
        <v>15321</v>
      </c>
      <c r="D7109" s="140" t="s">
        <v>6318</v>
      </c>
      <c r="E7109" s="140" t="s">
        <v>1301</v>
      </c>
      <c r="F7109" s="140" t="s">
        <v>8108</v>
      </c>
      <c r="G7109" s="141" t="s">
        <v>6311</v>
      </c>
      <c r="H7109" s="140" t="s">
        <v>6330</v>
      </c>
      <c r="I7109" s="140" t="s">
        <v>6313</v>
      </c>
      <c r="J7109" s="140" t="s">
        <v>6319</v>
      </c>
      <c r="K7109" s="140" t="s">
        <v>6880</v>
      </c>
    </row>
    <row r="7110">
      <c r="A7110" s="140" t="s">
        <v>15144</v>
      </c>
      <c r="B7110" s="140" t="s">
        <v>2879</v>
      </c>
      <c r="C7110" s="140" t="s">
        <v>15323</v>
      </c>
      <c r="D7110" s="140" t="s">
        <v>6318</v>
      </c>
      <c r="E7110" s="140" t="s">
        <v>1301</v>
      </c>
      <c r="F7110" s="140" t="s">
        <v>8108</v>
      </c>
      <c r="G7110" s="141" t="s">
        <v>6668</v>
      </c>
      <c r="H7110" s="140" t="s">
        <v>6330</v>
      </c>
      <c r="I7110" s="140" t="s">
        <v>6313</v>
      </c>
      <c r="J7110" s="140" t="s">
        <v>6319</v>
      </c>
      <c r="K7110" s="140" t="s">
        <v>6880</v>
      </c>
    </row>
    <row r="7111">
      <c r="A7111" s="140" t="s">
        <v>15144</v>
      </c>
      <c r="B7111" s="140" t="s">
        <v>3014</v>
      </c>
      <c r="C7111" s="140" t="s">
        <v>15324</v>
      </c>
      <c r="D7111" s="140" t="s">
        <v>6318</v>
      </c>
      <c r="E7111" s="140" t="s">
        <v>1301</v>
      </c>
      <c r="F7111" s="140" t="s">
        <v>8108</v>
      </c>
      <c r="G7111" s="141" t="s">
        <v>6668</v>
      </c>
      <c r="H7111" s="140" t="s">
        <v>6330</v>
      </c>
      <c r="I7111" s="140" t="s">
        <v>6313</v>
      </c>
      <c r="J7111" s="140" t="s">
        <v>6319</v>
      </c>
      <c r="K7111" s="140" t="s">
        <v>6880</v>
      </c>
    </row>
    <row r="7112">
      <c r="A7112" s="140" t="s">
        <v>15144</v>
      </c>
      <c r="B7112" s="140" t="s">
        <v>3141</v>
      </c>
      <c r="C7112" s="140" t="s">
        <v>15325</v>
      </c>
      <c r="D7112" s="140" t="s">
        <v>6318</v>
      </c>
      <c r="E7112" s="140" t="s">
        <v>1301</v>
      </c>
      <c r="F7112" s="140" t="s">
        <v>8108</v>
      </c>
      <c r="G7112" s="141" t="s">
        <v>6668</v>
      </c>
      <c r="H7112" s="140" t="s">
        <v>6312</v>
      </c>
      <c r="I7112" s="140" t="s">
        <v>6313</v>
      </c>
      <c r="J7112" s="140" t="s">
        <v>6319</v>
      </c>
      <c r="K7112" s="140" t="s">
        <v>6880</v>
      </c>
    </row>
    <row r="7113">
      <c r="A7113" s="140" t="s">
        <v>15144</v>
      </c>
      <c r="B7113" s="140" t="s">
        <v>15326</v>
      </c>
      <c r="C7113" s="140" t="s">
        <v>15325</v>
      </c>
      <c r="D7113" s="140" t="s">
        <v>6318</v>
      </c>
      <c r="E7113" s="140" t="s">
        <v>1301</v>
      </c>
      <c r="F7113" s="140" t="s">
        <v>8108</v>
      </c>
      <c r="G7113" s="141" t="s">
        <v>6304</v>
      </c>
      <c r="H7113" s="140" t="s">
        <v>6312</v>
      </c>
      <c r="I7113" s="140" t="s">
        <v>6527</v>
      </c>
      <c r="J7113" s="140" t="s">
        <v>6319</v>
      </c>
      <c r="K7113" s="140" t="s">
        <v>6880</v>
      </c>
    </row>
    <row r="7114">
      <c r="A7114" s="140" t="s">
        <v>15144</v>
      </c>
      <c r="B7114" s="140">
        <v>184957.0</v>
      </c>
      <c r="C7114" s="140" t="s">
        <v>15327</v>
      </c>
      <c r="D7114" s="140" t="s">
        <v>6318</v>
      </c>
      <c r="E7114" s="140" t="s">
        <v>1301</v>
      </c>
      <c r="F7114" s="140" t="s">
        <v>8108</v>
      </c>
      <c r="G7114" s="141" t="s">
        <v>6668</v>
      </c>
      <c r="H7114" s="140" t="s">
        <v>6330</v>
      </c>
      <c r="I7114" s="140" t="s">
        <v>6313</v>
      </c>
      <c r="J7114" s="140" t="s">
        <v>6319</v>
      </c>
      <c r="K7114" s="140" t="s">
        <v>6880</v>
      </c>
    </row>
    <row r="7115">
      <c r="A7115" s="140" t="s">
        <v>15144</v>
      </c>
      <c r="B7115" s="140" t="s">
        <v>15328</v>
      </c>
      <c r="C7115" s="140" t="s">
        <v>15327</v>
      </c>
      <c r="D7115" s="140" t="s">
        <v>6318</v>
      </c>
      <c r="E7115" s="140" t="s">
        <v>1301</v>
      </c>
      <c r="F7115" s="140" t="s">
        <v>8108</v>
      </c>
      <c r="G7115" s="141" t="s">
        <v>6304</v>
      </c>
      <c r="H7115" s="140" t="s">
        <v>6312</v>
      </c>
      <c r="I7115" s="140" t="s">
        <v>6527</v>
      </c>
      <c r="J7115" s="140" t="s">
        <v>6319</v>
      </c>
      <c r="K7115" s="140" t="s">
        <v>6880</v>
      </c>
    </row>
    <row r="7116">
      <c r="A7116" s="140" t="s">
        <v>15144</v>
      </c>
      <c r="B7116" s="140" t="s">
        <v>6757</v>
      </c>
      <c r="C7116" s="140" t="s">
        <v>15329</v>
      </c>
      <c r="D7116" s="140" t="s">
        <v>6318</v>
      </c>
      <c r="E7116" s="140" t="s">
        <v>1301</v>
      </c>
      <c r="F7116" s="140" t="s">
        <v>8108</v>
      </c>
      <c r="G7116" s="141" t="s">
        <v>6401</v>
      </c>
      <c r="H7116" s="140" t="s">
        <v>6312</v>
      </c>
      <c r="I7116" s="140" t="s">
        <v>6313</v>
      </c>
      <c r="J7116" s="140" t="s">
        <v>6319</v>
      </c>
      <c r="K7116" s="140" t="s">
        <v>6880</v>
      </c>
    </row>
    <row r="7117">
      <c r="A7117" s="140" t="s">
        <v>15330</v>
      </c>
      <c r="B7117" s="140" t="s">
        <v>15331</v>
      </c>
      <c r="C7117" s="140" t="s">
        <v>15332</v>
      </c>
      <c r="D7117" s="140" t="s">
        <v>7347</v>
      </c>
      <c r="E7117" s="140" t="s">
        <v>513</v>
      </c>
      <c r="F7117" s="140" t="s">
        <v>13825</v>
      </c>
      <c r="G7117" s="141" t="s">
        <v>6401</v>
      </c>
      <c r="H7117" s="140" t="s">
        <v>6312</v>
      </c>
      <c r="I7117" s="140" t="s">
        <v>6313</v>
      </c>
      <c r="J7117" s="140" t="s">
        <v>6314</v>
      </c>
      <c r="K7117" s="140" t="s">
        <v>9070</v>
      </c>
    </row>
    <row r="7118">
      <c r="A7118" s="140" t="s">
        <v>15333</v>
      </c>
      <c r="B7118" s="140">
        <v>33199.0</v>
      </c>
      <c r="C7118" s="140" t="s">
        <v>15334</v>
      </c>
      <c r="D7118" s="140" t="s">
        <v>6309</v>
      </c>
      <c r="E7118" s="140" t="s">
        <v>6310</v>
      </c>
      <c r="F7118" s="140" t="s">
        <v>6310</v>
      </c>
      <c r="G7118" s="141" t="s">
        <v>6311</v>
      </c>
      <c r="H7118" s="140" t="s">
        <v>6312</v>
      </c>
      <c r="I7118" s="140" t="s">
        <v>6313</v>
      </c>
      <c r="J7118" s="140" t="s">
        <v>6314</v>
      </c>
      <c r="K7118" s="140" t="s">
        <v>6315</v>
      </c>
    </row>
    <row r="7119">
      <c r="A7119" s="140" t="s">
        <v>15335</v>
      </c>
      <c r="B7119" s="140" t="s">
        <v>15336</v>
      </c>
      <c r="C7119" s="140" t="s">
        <v>15337</v>
      </c>
      <c r="D7119" s="140" t="s">
        <v>6601</v>
      </c>
      <c r="E7119" s="140">
        <v>0.0</v>
      </c>
      <c r="F7119" s="140" t="s">
        <v>8181</v>
      </c>
      <c r="G7119" s="141" t="s">
        <v>6401</v>
      </c>
      <c r="H7119" s="140" t="s">
        <v>6312</v>
      </c>
      <c r="I7119" s="140" t="s">
        <v>6313</v>
      </c>
      <c r="J7119" s="140" t="s">
        <v>6314</v>
      </c>
      <c r="K7119" s="140" t="s">
        <v>7023</v>
      </c>
    </row>
    <row r="7120">
      <c r="A7120" s="140" t="s">
        <v>15335</v>
      </c>
      <c r="B7120" s="140" t="s">
        <v>15338</v>
      </c>
      <c r="C7120" s="140" t="s">
        <v>15339</v>
      </c>
      <c r="D7120" s="140" t="s">
        <v>6309</v>
      </c>
      <c r="E7120" s="140">
        <v>0.0</v>
      </c>
      <c r="F7120" s="140" t="s">
        <v>7613</v>
      </c>
      <c r="G7120" s="141" t="s">
        <v>6401</v>
      </c>
      <c r="H7120" s="140" t="s">
        <v>6312</v>
      </c>
      <c r="I7120" s="140" t="s">
        <v>6313</v>
      </c>
      <c r="J7120" s="140" t="s">
        <v>6314</v>
      </c>
      <c r="K7120" s="140" t="s">
        <v>7023</v>
      </c>
    </row>
    <row r="7121">
      <c r="A7121" s="140" t="s">
        <v>15335</v>
      </c>
      <c r="B7121" s="140" t="s">
        <v>15340</v>
      </c>
      <c r="C7121" s="140" t="s">
        <v>15341</v>
      </c>
      <c r="D7121" s="140" t="s">
        <v>6309</v>
      </c>
      <c r="E7121" s="140">
        <v>0.0</v>
      </c>
      <c r="F7121" s="140" t="s">
        <v>7613</v>
      </c>
      <c r="G7121" s="141" t="s">
        <v>6401</v>
      </c>
      <c r="H7121" s="140" t="s">
        <v>6312</v>
      </c>
      <c r="I7121" s="140" t="s">
        <v>6313</v>
      </c>
      <c r="J7121" s="140" t="s">
        <v>6314</v>
      </c>
      <c r="K7121" s="140" t="s">
        <v>7023</v>
      </c>
    </row>
    <row r="7122">
      <c r="A7122" s="140" t="s">
        <v>15335</v>
      </c>
      <c r="B7122" s="140" t="s">
        <v>15342</v>
      </c>
      <c r="C7122" s="140" t="s">
        <v>15343</v>
      </c>
      <c r="D7122" s="140" t="s">
        <v>6740</v>
      </c>
      <c r="E7122" s="140" t="s">
        <v>6741</v>
      </c>
      <c r="F7122" s="140" t="s">
        <v>7680</v>
      </c>
      <c r="G7122" s="141" t="s">
        <v>6401</v>
      </c>
      <c r="H7122" s="140" t="s">
        <v>6312</v>
      </c>
      <c r="I7122" s="140" t="s">
        <v>6313</v>
      </c>
      <c r="J7122" s="140" t="s">
        <v>6314</v>
      </c>
      <c r="K7122" s="140" t="s">
        <v>7023</v>
      </c>
    </row>
    <row r="7123">
      <c r="A7123" s="140" t="s">
        <v>15335</v>
      </c>
      <c r="B7123" s="140" t="s">
        <v>15344</v>
      </c>
      <c r="C7123" s="140" t="s">
        <v>15345</v>
      </c>
      <c r="D7123" s="140" t="s">
        <v>6740</v>
      </c>
      <c r="E7123" s="140" t="s">
        <v>13648</v>
      </c>
      <c r="F7123" s="140" t="s">
        <v>15346</v>
      </c>
      <c r="G7123" s="141" t="s">
        <v>6401</v>
      </c>
      <c r="H7123" s="140" t="s">
        <v>6312</v>
      </c>
      <c r="I7123" s="140" t="s">
        <v>6313</v>
      </c>
      <c r="J7123" s="140" t="s">
        <v>6314</v>
      </c>
      <c r="K7123" s="140" t="s">
        <v>7023</v>
      </c>
    </row>
    <row r="7124">
      <c r="A7124" s="140" t="s">
        <v>15335</v>
      </c>
      <c r="B7124" s="140" t="s">
        <v>15347</v>
      </c>
      <c r="C7124" s="140" t="s">
        <v>15348</v>
      </c>
      <c r="D7124" s="140" t="s">
        <v>6740</v>
      </c>
      <c r="E7124" s="140" t="s">
        <v>15002</v>
      </c>
      <c r="F7124" s="140" t="s">
        <v>15346</v>
      </c>
      <c r="G7124" s="141" t="s">
        <v>6401</v>
      </c>
      <c r="H7124" s="140" t="s">
        <v>6312</v>
      </c>
      <c r="I7124" s="140" t="s">
        <v>6313</v>
      </c>
      <c r="J7124" s="140" t="s">
        <v>6314</v>
      </c>
      <c r="K7124" s="140" t="s">
        <v>7023</v>
      </c>
    </row>
    <row r="7125">
      <c r="A7125" s="140" t="s">
        <v>15335</v>
      </c>
      <c r="B7125" s="144" t="s">
        <v>15349</v>
      </c>
      <c r="C7125" s="140" t="s">
        <v>15350</v>
      </c>
      <c r="D7125" s="140" t="s">
        <v>6740</v>
      </c>
      <c r="E7125" s="140" t="s">
        <v>15002</v>
      </c>
      <c r="F7125" s="140" t="s">
        <v>15346</v>
      </c>
      <c r="G7125" s="141" t="s">
        <v>6401</v>
      </c>
      <c r="H7125" s="140" t="s">
        <v>6312</v>
      </c>
      <c r="I7125" s="140" t="s">
        <v>6313</v>
      </c>
      <c r="J7125" s="140" t="s">
        <v>6314</v>
      </c>
      <c r="K7125" s="140" t="s">
        <v>7023</v>
      </c>
    </row>
    <row r="7126">
      <c r="A7126" s="140" t="s">
        <v>15335</v>
      </c>
      <c r="B7126" s="140" t="s">
        <v>15351</v>
      </c>
      <c r="C7126" s="140" t="s">
        <v>15352</v>
      </c>
      <c r="D7126" s="140" t="s">
        <v>6740</v>
      </c>
      <c r="E7126" s="140" t="s">
        <v>15002</v>
      </c>
      <c r="F7126" s="140" t="s">
        <v>15003</v>
      </c>
      <c r="G7126" s="141" t="s">
        <v>6401</v>
      </c>
      <c r="H7126" s="140" t="s">
        <v>6312</v>
      </c>
      <c r="I7126" s="140" t="s">
        <v>6313</v>
      </c>
      <c r="J7126" s="140" t="s">
        <v>6314</v>
      </c>
      <c r="K7126" s="140" t="s">
        <v>7023</v>
      </c>
    </row>
    <row r="7127">
      <c r="A7127" s="140" t="s">
        <v>15335</v>
      </c>
      <c r="B7127" s="140" t="s">
        <v>15353</v>
      </c>
      <c r="C7127" s="140" t="s">
        <v>15354</v>
      </c>
      <c r="D7127" s="140" t="s">
        <v>6740</v>
      </c>
      <c r="E7127" s="140" t="s">
        <v>13963</v>
      </c>
      <c r="F7127" s="140" t="s">
        <v>13963</v>
      </c>
      <c r="G7127" s="141" t="s">
        <v>6401</v>
      </c>
      <c r="H7127" s="140" t="s">
        <v>6312</v>
      </c>
      <c r="I7127" s="140" t="s">
        <v>6313</v>
      </c>
      <c r="J7127" s="140" t="s">
        <v>6314</v>
      </c>
      <c r="K7127" s="140" t="s">
        <v>7023</v>
      </c>
    </row>
    <row r="7128">
      <c r="A7128" s="140" t="s">
        <v>15335</v>
      </c>
      <c r="B7128" s="140" t="s">
        <v>15355</v>
      </c>
      <c r="C7128" s="140" t="s">
        <v>15356</v>
      </c>
      <c r="D7128" s="140" t="s">
        <v>6740</v>
      </c>
      <c r="E7128" s="140" t="s">
        <v>13963</v>
      </c>
      <c r="F7128" s="140" t="s">
        <v>13963</v>
      </c>
      <c r="G7128" s="141" t="s">
        <v>6401</v>
      </c>
      <c r="H7128" s="140" t="s">
        <v>6312</v>
      </c>
      <c r="I7128" s="140" t="s">
        <v>6313</v>
      </c>
      <c r="J7128" s="140" t="s">
        <v>6314</v>
      </c>
      <c r="K7128" s="140" t="s">
        <v>7023</v>
      </c>
    </row>
    <row r="7129">
      <c r="A7129" s="140" t="s">
        <v>15335</v>
      </c>
      <c r="B7129" s="140" t="s">
        <v>15357</v>
      </c>
      <c r="C7129" s="140" t="s">
        <v>15358</v>
      </c>
      <c r="D7129" s="140" t="s">
        <v>6740</v>
      </c>
      <c r="E7129" s="140" t="s">
        <v>13963</v>
      </c>
      <c r="F7129" s="140" t="s">
        <v>13963</v>
      </c>
      <c r="G7129" s="141" t="s">
        <v>6401</v>
      </c>
      <c r="H7129" s="140" t="s">
        <v>6312</v>
      </c>
      <c r="I7129" s="140" t="s">
        <v>6313</v>
      </c>
      <c r="J7129" s="140" t="s">
        <v>6314</v>
      </c>
      <c r="K7129" s="140" t="s">
        <v>7023</v>
      </c>
    </row>
    <row r="7130">
      <c r="A7130" s="140" t="s">
        <v>15335</v>
      </c>
      <c r="B7130" s="140" t="s">
        <v>15359</v>
      </c>
      <c r="C7130" s="140" t="s">
        <v>15360</v>
      </c>
      <c r="D7130" s="140" t="s">
        <v>6740</v>
      </c>
      <c r="E7130" s="140" t="s">
        <v>13963</v>
      </c>
      <c r="F7130" s="140" t="s">
        <v>13963</v>
      </c>
      <c r="G7130" s="141" t="s">
        <v>6401</v>
      </c>
      <c r="H7130" s="140" t="s">
        <v>6312</v>
      </c>
      <c r="I7130" s="140" t="s">
        <v>6313</v>
      </c>
      <c r="J7130" s="140" t="s">
        <v>6314</v>
      </c>
      <c r="K7130" s="140" t="s">
        <v>7023</v>
      </c>
    </row>
    <row r="7131">
      <c r="A7131" s="140" t="s">
        <v>15335</v>
      </c>
      <c r="B7131" s="140" t="s">
        <v>15361</v>
      </c>
      <c r="C7131" s="140" t="s">
        <v>15362</v>
      </c>
      <c r="D7131" s="140" t="s">
        <v>6740</v>
      </c>
      <c r="E7131" s="140" t="s">
        <v>13963</v>
      </c>
      <c r="F7131" s="140" t="s">
        <v>13963</v>
      </c>
      <c r="G7131" s="141" t="s">
        <v>6401</v>
      </c>
      <c r="H7131" s="140" t="s">
        <v>6312</v>
      </c>
      <c r="I7131" s="140" t="s">
        <v>6313</v>
      </c>
      <c r="J7131" s="140" t="s">
        <v>6314</v>
      </c>
      <c r="K7131" s="140" t="s">
        <v>7023</v>
      </c>
    </row>
    <row r="7132">
      <c r="A7132" s="140" t="s">
        <v>15335</v>
      </c>
      <c r="B7132" s="140" t="s">
        <v>15363</v>
      </c>
      <c r="C7132" s="140" t="s">
        <v>15364</v>
      </c>
      <c r="D7132" s="140" t="s">
        <v>6740</v>
      </c>
      <c r="E7132" s="140" t="s">
        <v>13963</v>
      </c>
      <c r="F7132" s="140" t="s">
        <v>13963</v>
      </c>
      <c r="G7132" s="141" t="s">
        <v>6401</v>
      </c>
      <c r="H7132" s="140" t="s">
        <v>6312</v>
      </c>
      <c r="I7132" s="140" t="s">
        <v>6313</v>
      </c>
      <c r="J7132" s="140" t="s">
        <v>6314</v>
      </c>
      <c r="K7132" s="140" t="s">
        <v>7023</v>
      </c>
    </row>
    <row r="7133">
      <c r="A7133" s="140" t="s">
        <v>15335</v>
      </c>
      <c r="B7133" s="140" t="s">
        <v>15365</v>
      </c>
      <c r="C7133" s="140" t="s">
        <v>15366</v>
      </c>
      <c r="D7133" s="140" t="s">
        <v>6740</v>
      </c>
      <c r="E7133" s="140" t="s">
        <v>13963</v>
      </c>
      <c r="F7133" s="140" t="s">
        <v>13963</v>
      </c>
      <c r="G7133" s="141" t="s">
        <v>6401</v>
      </c>
      <c r="H7133" s="140" t="s">
        <v>6312</v>
      </c>
      <c r="I7133" s="140" t="s">
        <v>6313</v>
      </c>
      <c r="J7133" s="140" t="s">
        <v>6314</v>
      </c>
      <c r="K7133" s="140" t="s">
        <v>7023</v>
      </c>
    </row>
    <row r="7134">
      <c r="A7134" s="140" t="s">
        <v>15335</v>
      </c>
      <c r="B7134" s="140" t="s">
        <v>15367</v>
      </c>
      <c r="C7134" s="140" t="s">
        <v>15368</v>
      </c>
      <c r="D7134" s="140" t="s">
        <v>6740</v>
      </c>
      <c r="E7134" s="140" t="s">
        <v>13963</v>
      </c>
      <c r="F7134" s="140" t="s">
        <v>13963</v>
      </c>
      <c r="G7134" s="141" t="s">
        <v>6401</v>
      </c>
      <c r="H7134" s="140" t="s">
        <v>6312</v>
      </c>
      <c r="I7134" s="140" t="s">
        <v>6313</v>
      </c>
      <c r="J7134" s="140" t="s">
        <v>6314</v>
      </c>
      <c r="K7134" s="140" t="s">
        <v>7023</v>
      </c>
    </row>
    <row r="7135">
      <c r="A7135" s="140" t="s">
        <v>15335</v>
      </c>
      <c r="B7135" s="140" t="s">
        <v>15369</v>
      </c>
      <c r="C7135" s="140" t="s">
        <v>15370</v>
      </c>
      <c r="D7135" s="140" t="s">
        <v>6740</v>
      </c>
      <c r="E7135" s="140" t="s">
        <v>13963</v>
      </c>
      <c r="F7135" s="140" t="s">
        <v>13963</v>
      </c>
      <c r="G7135" s="141" t="s">
        <v>6401</v>
      </c>
      <c r="H7135" s="140" t="s">
        <v>6312</v>
      </c>
      <c r="I7135" s="140" t="s">
        <v>6313</v>
      </c>
      <c r="J7135" s="140" t="s">
        <v>6314</v>
      </c>
      <c r="K7135" s="140" t="s">
        <v>7023</v>
      </c>
    </row>
    <row r="7136">
      <c r="A7136" s="140" t="s">
        <v>15335</v>
      </c>
      <c r="B7136" s="140" t="s">
        <v>15371</v>
      </c>
      <c r="C7136" s="140" t="s">
        <v>15372</v>
      </c>
      <c r="D7136" s="140" t="s">
        <v>6740</v>
      </c>
      <c r="E7136" s="140" t="s">
        <v>13963</v>
      </c>
      <c r="F7136" s="140" t="s">
        <v>13963</v>
      </c>
      <c r="G7136" s="141" t="s">
        <v>6401</v>
      </c>
      <c r="H7136" s="140" t="s">
        <v>6312</v>
      </c>
      <c r="I7136" s="140" t="s">
        <v>6313</v>
      </c>
      <c r="J7136" s="140" t="s">
        <v>6314</v>
      </c>
      <c r="K7136" s="140" t="s">
        <v>7023</v>
      </c>
    </row>
    <row r="7137">
      <c r="A7137" s="140" t="s">
        <v>15335</v>
      </c>
      <c r="B7137" s="140" t="s">
        <v>15373</v>
      </c>
      <c r="C7137" s="140" t="s">
        <v>15374</v>
      </c>
      <c r="D7137" s="140" t="s">
        <v>6740</v>
      </c>
      <c r="E7137" s="140" t="s">
        <v>13963</v>
      </c>
      <c r="F7137" s="140" t="s">
        <v>13963</v>
      </c>
      <c r="G7137" s="141" t="s">
        <v>6401</v>
      </c>
      <c r="H7137" s="140" t="s">
        <v>6312</v>
      </c>
      <c r="I7137" s="140" t="s">
        <v>6313</v>
      </c>
      <c r="J7137" s="140" t="s">
        <v>6314</v>
      </c>
      <c r="K7137" s="140" t="s">
        <v>7023</v>
      </c>
    </row>
    <row r="7138">
      <c r="A7138" s="140" t="s">
        <v>15335</v>
      </c>
      <c r="B7138" s="140" t="s">
        <v>15375</v>
      </c>
      <c r="C7138" s="140" t="s">
        <v>15376</v>
      </c>
      <c r="D7138" s="140" t="s">
        <v>6740</v>
      </c>
      <c r="E7138" s="140" t="s">
        <v>13963</v>
      </c>
      <c r="F7138" s="140" t="s">
        <v>13963</v>
      </c>
      <c r="G7138" s="141" t="s">
        <v>6401</v>
      </c>
      <c r="H7138" s="140" t="s">
        <v>6312</v>
      </c>
      <c r="I7138" s="140" t="s">
        <v>6313</v>
      </c>
      <c r="J7138" s="140" t="s">
        <v>6314</v>
      </c>
      <c r="K7138" s="140" t="s">
        <v>7023</v>
      </c>
    </row>
    <row r="7139">
      <c r="A7139" s="140" t="s">
        <v>15335</v>
      </c>
      <c r="B7139" s="140" t="s">
        <v>15377</v>
      </c>
      <c r="C7139" s="140" t="s">
        <v>15378</v>
      </c>
      <c r="D7139" s="140" t="s">
        <v>6740</v>
      </c>
      <c r="E7139" s="140" t="s">
        <v>13963</v>
      </c>
      <c r="F7139" s="140" t="s">
        <v>13963</v>
      </c>
      <c r="G7139" s="141" t="s">
        <v>6401</v>
      </c>
      <c r="H7139" s="140" t="s">
        <v>6312</v>
      </c>
      <c r="I7139" s="140" t="s">
        <v>6313</v>
      </c>
      <c r="J7139" s="140" t="s">
        <v>6314</v>
      </c>
      <c r="K7139" s="140" t="s">
        <v>7023</v>
      </c>
    </row>
    <row r="7140">
      <c r="A7140" s="140" t="s">
        <v>15335</v>
      </c>
      <c r="B7140" s="140" t="s">
        <v>15379</v>
      </c>
      <c r="C7140" s="140" t="s">
        <v>15380</v>
      </c>
      <c r="D7140" s="140" t="s">
        <v>6740</v>
      </c>
      <c r="E7140" s="140" t="s">
        <v>15381</v>
      </c>
      <c r="F7140" s="140" t="s">
        <v>15346</v>
      </c>
      <c r="G7140" s="141" t="s">
        <v>6401</v>
      </c>
      <c r="H7140" s="140" t="s">
        <v>6312</v>
      </c>
      <c r="I7140" s="140" t="s">
        <v>6313</v>
      </c>
      <c r="J7140" s="140" t="s">
        <v>6314</v>
      </c>
      <c r="K7140" s="140" t="s">
        <v>7023</v>
      </c>
    </row>
    <row r="7141">
      <c r="A7141" s="140" t="s">
        <v>1503</v>
      </c>
      <c r="B7141" s="140" t="s">
        <v>1555</v>
      </c>
      <c r="C7141" s="140" t="s">
        <v>1554</v>
      </c>
      <c r="D7141" s="140" t="s">
        <v>6318</v>
      </c>
      <c r="E7141" s="140" t="s">
        <v>598</v>
      </c>
      <c r="F7141" s="140" t="s">
        <v>2199</v>
      </c>
      <c r="G7141" s="141" t="s">
        <v>6311</v>
      </c>
      <c r="H7141" s="140" t="s">
        <v>6330</v>
      </c>
      <c r="I7141" s="140" t="s">
        <v>6313</v>
      </c>
      <c r="J7141" s="140" t="s">
        <v>6319</v>
      </c>
      <c r="K7141" s="140" t="s">
        <v>1573</v>
      </c>
    </row>
    <row r="7142">
      <c r="A7142" s="140" t="s">
        <v>1503</v>
      </c>
      <c r="B7142" s="140" t="s">
        <v>1557</v>
      </c>
      <c r="C7142" s="140" t="s">
        <v>1556</v>
      </c>
      <c r="D7142" s="140" t="s">
        <v>6318</v>
      </c>
      <c r="E7142" s="140" t="s">
        <v>598</v>
      </c>
      <c r="F7142" s="140" t="s">
        <v>2199</v>
      </c>
      <c r="G7142" s="141" t="s">
        <v>6311</v>
      </c>
      <c r="H7142" s="140" t="s">
        <v>6330</v>
      </c>
      <c r="I7142" s="140" t="s">
        <v>6313</v>
      </c>
      <c r="J7142" s="140" t="s">
        <v>6319</v>
      </c>
      <c r="K7142" s="140" t="s">
        <v>1573</v>
      </c>
    </row>
    <row r="7143">
      <c r="A7143" s="140" t="s">
        <v>1503</v>
      </c>
      <c r="B7143" s="140" t="s">
        <v>1559</v>
      </c>
      <c r="C7143" s="140" t="s">
        <v>1558</v>
      </c>
      <c r="D7143" s="140" t="s">
        <v>6318</v>
      </c>
      <c r="E7143" s="140" t="s">
        <v>598</v>
      </c>
      <c r="F7143" s="140" t="s">
        <v>2199</v>
      </c>
      <c r="G7143" s="141" t="s">
        <v>6311</v>
      </c>
      <c r="H7143" s="140" t="s">
        <v>6330</v>
      </c>
      <c r="I7143" s="140" t="s">
        <v>6313</v>
      </c>
      <c r="J7143" s="140" t="s">
        <v>6319</v>
      </c>
      <c r="K7143" s="140" t="s">
        <v>1573</v>
      </c>
    </row>
    <row r="7144">
      <c r="A7144" s="140" t="s">
        <v>1503</v>
      </c>
      <c r="B7144" s="140" t="s">
        <v>1561</v>
      </c>
      <c r="C7144" s="140" t="s">
        <v>1560</v>
      </c>
      <c r="D7144" s="140" t="s">
        <v>6318</v>
      </c>
      <c r="E7144" s="140" t="s">
        <v>598</v>
      </c>
      <c r="F7144" s="140" t="s">
        <v>2199</v>
      </c>
      <c r="G7144" s="141" t="s">
        <v>6311</v>
      </c>
      <c r="H7144" s="140" t="s">
        <v>6330</v>
      </c>
      <c r="I7144" s="140" t="s">
        <v>6313</v>
      </c>
      <c r="J7144" s="140" t="s">
        <v>6319</v>
      </c>
      <c r="K7144" s="140" t="s">
        <v>1573</v>
      </c>
    </row>
    <row r="7145">
      <c r="A7145" s="140" t="s">
        <v>1503</v>
      </c>
      <c r="B7145" s="140" t="s">
        <v>1509</v>
      </c>
      <c r="C7145" s="140" t="s">
        <v>1508</v>
      </c>
      <c r="D7145" s="140" t="s">
        <v>6318</v>
      </c>
      <c r="E7145" s="140" t="s">
        <v>598</v>
      </c>
      <c r="F7145" s="140" t="s">
        <v>599</v>
      </c>
      <c r="G7145" s="141" t="s">
        <v>6311</v>
      </c>
      <c r="H7145" s="140" t="s">
        <v>6330</v>
      </c>
      <c r="I7145" s="140" t="s">
        <v>6313</v>
      </c>
      <c r="J7145" s="140" t="s">
        <v>6319</v>
      </c>
      <c r="K7145" s="140" t="s">
        <v>1573</v>
      </c>
    </row>
    <row r="7146">
      <c r="A7146" s="140" t="s">
        <v>1503</v>
      </c>
      <c r="B7146" s="140" t="s">
        <v>1505</v>
      </c>
      <c r="C7146" s="140" t="s">
        <v>1504</v>
      </c>
      <c r="D7146" s="140" t="s">
        <v>6318</v>
      </c>
      <c r="E7146" s="140" t="s">
        <v>598</v>
      </c>
      <c r="F7146" s="140" t="s">
        <v>599</v>
      </c>
      <c r="G7146" s="141" t="s">
        <v>6311</v>
      </c>
      <c r="H7146" s="140" t="s">
        <v>6330</v>
      </c>
      <c r="I7146" s="140" t="s">
        <v>6313</v>
      </c>
      <c r="J7146" s="140" t="s">
        <v>6319</v>
      </c>
      <c r="K7146" s="140" t="s">
        <v>1573</v>
      </c>
    </row>
    <row r="7147">
      <c r="A7147" s="140" t="s">
        <v>1503</v>
      </c>
      <c r="B7147" s="140" t="s">
        <v>1527</v>
      </c>
      <c r="C7147" s="140" t="s">
        <v>1526</v>
      </c>
      <c r="D7147" s="140" t="s">
        <v>6318</v>
      </c>
      <c r="E7147" s="140" t="s">
        <v>598</v>
      </c>
      <c r="F7147" s="140" t="s">
        <v>599</v>
      </c>
      <c r="G7147" s="141" t="s">
        <v>6311</v>
      </c>
      <c r="H7147" s="140" t="s">
        <v>6330</v>
      </c>
      <c r="I7147" s="140" t="s">
        <v>6313</v>
      </c>
      <c r="J7147" s="140" t="s">
        <v>6319</v>
      </c>
      <c r="K7147" s="140" t="s">
        <v>1573</v>
      </c>
    </row>
    <row r="7148">
      <c r="A7148" s="140" t="s">
        <v>1503</v>
      </c>
      <c r="B7148" s="140" t="s">
        <v>1507</v>
      </c>
      <c r="C7148" s="140" t="s">
        <v>1506</v>
      </c>
      <c r="D7148" s="140" t="s">
        <v>6318</v>
      </c>
      <c r="E7148" s="140" t="s">
        <v>598</v>
      </c>
      <c r="F7148" s="140" t="s">
        <v>599</v>
      </c>
      <c r="G7148" s="141" t="s">
        <v>6311</v>
      </c>
      <c r="H7148" s="140" t="s">
        <v>6330</v>
      </c>
      <c r="I7148" s="140" t="s">
        <v>6313</v>
      </c>
      <c r="J7148" s="140" t="s">
        <v>6319</v>
      </c>
      <c r="K7148" s="140" t="s">
        <v>1573</v>
      </c>
    </row>
    <row r="7149">
      <c r="A7149" s="140" t="s">
        <v>1503</v>
      </c>
      <c r="B7149" s="140" t="s">
        <v>1525</v>
      </c>
      <c r="C7149" s="140" t="s">
        <v>1524</v>
      </c>
      <c r="D7149" s="140" t="s">
        <v>6318</v>
      </c>
      <c r="E7149" s="140" t="s">
        <v>598</v>
      </c>
      <c r="F7149" s="140" t="s">
        <v>599</v>
      </c>
      <c r="G7149" s="141" t="s">
        <v>6311</v>
      </c>
      <c r="H7149" s="140" t="s">
        <v>6330</v>
      </c>
      <c r="I7149" s="140" t="s">
        <v>6313</v>
      </c>
      <c r="J7149" s="140" t="s">
        <v>6319</v>
      </c>
      <c r="K7149" s="140" t="s">
        <v>1573</v>
      </c>
    </row>
    <row r="7150">
      <c r="A7150" s="140" t="s">
        <v>1503</v>
      </c>
      <c r="B7150" s="140" t="s">
        <v>1513</v>
      </c>
      <c r="C7150" s="140" t="s">
        <v>1512</v>
      </c>
      <c r="D7150" s="140" t="s">
        <v>6318</v>
      </c>
      <c r="E7150" s="140" t="s">
        <v>598</v>
      </c>
      <c r="F7150" s="140" t="s">
        <v>599</v>
      </c>
      <c r="G7150" s="141" t="s">
        <v>6311</v>
      </c>
      <c r="H7150" s="140" t="s">
        <v>6330</v>
      </c>
      <c r="I7150" s="140" t="s">
        <v>6313</v>
      </c>
      <c r="J7150" s="140" t="s">
        <v>6319</v>
      </c>
      <c r="K7150" s="140" t="s">
        <v>1573</v>
      </c>
    </row>
    <row r="7151">
      <c r="A7151" s="140" t="s">
        <v>1503</v>
      </c>
      <c r="B7151" s="140" t="s">
        <v>1531</v>
      </c>
      <c r="C7151" s="140" t="s">
        <v>1530</v>
      </c>
      <c r="D7151" s="140" t="s">
        <v>6318</v>
      </c>
      <c r="E7151" s="140" t="s">
        <v>598</v>
      </c>
      <c r="F7151" s="140" t="s">
        <v>599</v>
      </c>
      <c r="G7151" s="141" t="s">
        <v>6311</v>
      </c>
      <c r="H7151" s="140" t="s">
        <v>6330</v>
      </c>
      <c r="I7151" s="140" t="s">
        <v>6313</v>
      </c>
      <c r="J7151" s="140" t="s">
        <v>6319</v>
      </c>
      <c r="K7151" s="140" t="s">
        <v>1573</v>
      </c>
    </row>
    <row r="7152">
      <c r="A7152" s="140" t="s">
        <v>1503</v>
      </c>
      <c r="B7152" s="140" t="s">
        <v>1529</v>
      </c>
      <c r="C7152" s="140" t="s">
        <v>1528</v>
      </c>
      <c r="D7152" s="140" t="s">
        <v>6318</v>
      </c>
      <c r="E7152" s="140" t="s">
        <v>598</v>
      </c>
      <c r="F7152" s="140" t="s">
        <v>599</v>
      </c>
      <c r="G7152" s="141" t="s">
        <v>6311</v>
      </c>
      <c r="H7152" s="140" t="s">
        <v>6330</v>
      </c>
      <c r="I7152" s="140" t="s">
        <v>6313</v>
      </c>
      <c r="J7152" s="140" t="s">
        <v>6319</v>
      </c>
      <c r="K7152" s="140" t="s">
        <v>1573</v>
      </c>
    </row>
    <row r="7153">
      <c r="A7153" s="140" t="s">
        <v>1503</v>
      </c>
      <c r="B7153" s="140" t="s">
        <v>1511</v>
      </c>
      <c r="C7153" s="140" t="s">
        <v>1510</v>
      </c>
      <c r="D7153" s="140" t="s">
        <v>6318</v>
      </c>
      <c r="E7153" s="140" t="s">
        <v>598</v>
      </c>
      <c r="F7153" s="140" t="s">
        <v>599</v>
      </c>
      <c r="G7153" s="141" t="s">
        <v>6311</v>
      </c>
      <c r="H7153" s="140" t="s">
        <v>6330</v>
      </c>
      <c r="I7153" s="140" t="s">
        <v>6313</v>
      </c>
      <c r="J7153" s="140" t="s">
        <v>6319</v>
      </c>
      <c r="K7153" s="140" t="s">
        <v>1573</v>
      </c>
    </row>
    <row r="7154">
      <c r="A7154" s="140" t="s">
        <v>1503</v>
      </c>
      <c r="B7154" s="140" t="s">
        <v>1515</v>
      </c>
      <c r="C7154" s="140" t="s">
        <v>1514</v>
      </c>
      <c r="D7154" s="140" t="s">
        <v>6318</v>
      </c>
      <c r="E7154" s="140" t="s">
        <v>598</v>
      </c>
      <c r="F7154" s="140" t="s">
        <v>599</v>
      </c>
      <c r="G7154" s="141" t="s">
        <v>6311</v>
      </c>
      <c r="H7154" s="140" t="s">
        <v>6330</v>
      </c>
      <c r="I7154" s="140" t="s">
        <v>6313</v>
      </c>
      <c r="J7154" s="140" t="s">
        <v>6319</v>
      </c>
      <c r="K7154" s="140" t="s">
        <v>1573</v>
      </c>
    </row>
    <row r="7155">
      <c r="A7155" s="140" t="s">
        <v>1503</v>
      </c>
      <c r="B7155" s="140" t="s">
        <v>1521</v>
      </c>
      <c r="C7155" s="140" t="s">
        <v>1520</v>
      </c>
      <c r="D7155" s="140" t="s">
        <v>6318</v>
      </c>
      <c r="E7155" s="140" t="s">
        <v>598</v>
      </c>
      <c r="F7155" s="140" t="s">
        <v>599</v>
      </c>
      <c r="G7155" s="141" t="s">
        <v>6311</v>
      </c>
      <c r="H7155" s="140" t="s">
        <v>6330</v>
      </c>
      <c r="I7155" s="140" t="s">
        <v>6313</v>
      </c>
      <c r="J7155" s="140" t="s">
        <v>6319</v>
      </c>
      <c r="K7155" s="140" t="s">
        <v>1573</v>
      </c>
    </row>
    <row r="7156">
      <c r="A7156" s="140" t="s">
        <v>1503</v>
      </c>
      <c r="B7156" s="140" t="s">
        <v>1519</v>
      </c>
      <c r="C7156" s="140" t="s">
        <v>1518</v>
      </c>
      <c r="D7156" s="140" t="s">
        <v>6318</v>
      </c>
      <c r="E7156" s="140" t="s">
        <v>598</v>
      </c>
      <c r="F7156" s="140" t="s">
        <v>599</v>
      </c>
      <c r="G7156" s="141" t="s">
        <v>6311</v>
      </c>
      <c r="H7156" s="140" t="s">
        <v>6330</v>
      </c>
      <c r="I7156" s="140" t="s">
        <v>6313</v>
      </c>
      <c r="J7156" s="140" t="s">
        <v>6319</v>
      </c>
      <c r="K7156" s="140" t="s">
        <v>1573</v>
      </c>
    </row>
    <row r="7157">
      <c r="A7157" s="140" t="s">
        <v>1503</v>
      </c>
      <c r="B7157" s="140" t="s">
        <v>1517</v>
      </c>
      <c r="C7157" s="140" t="s">
        <v>1516</v>
      </c>
      <c r="D7157" s="140" t="s">
        <v>6318</v>
      </c>
      <c r="E7157" s="140" t="s">
        <v>598</v>
      </c>
      <c r="F7157" s="140" t="s">
        <v>599</v>
      </c>
      <c r="G7157" s="141" t="s">
        <v>6311</v>
      </c>
      <c r="H7157" s="140" t="s">
        <v>6330</v>
      </c>
      <c r="I7157" s="140" t="s">
        <v>6313</v>
      </c>
      <c r="J7157" s="140" t="s">
        <v>6319</v>
      </c>
      <c r="K7157" s="140" t="s">
        <v>1573</v>
      </c>
    </row>
    <row r="7158">
      <c r="A7158" s="140" t="s">
        <v>1503</v>
      </c>
      <c r="B7158" s="140" t="s">
        <v>1523</v>
      </c>
      <c r="C7158" s="140" t="s">
        <v>1522</v>
      </c>
      <c r="D7158" s="140" t="s">
        <v>6318</v>
      </c>
      <c r="E7158" s="140" t="s">
        <v>598</v>
      </c>
      <c r="F7158" s="140" t="s">
        <v>599</v>
      </c>
      <c r="G7158" s="141" t="s">
        <v>6311</v>
      </c>
      <c r="H7158" s="140" t="s">
        <v>6330</v>
      </c>
      <c r="I7158" s="140" t="s">
        <v>6313</v>
      </c>
      <c r="J7158" s="140" t="s">
        <v>6319</v>
      </c>
      <c r="K7158" s="140" t="s">
        <v>1573</v>
      </c>
    </row>
    <row r="7159">
      <c r="A7159" s="140" t="s">
        <v>1503</v>
      </c>
      <c r="B7159" s="140" t="s">
        <v>1539</v>
      </c>
      <c r="C7159" s="140" t="s">
        <v>1538</v>
      </c>
      <c r="D7159" s="140" t="s">
        <v>6318</v>
      </c>
      <c r="E7159" s="140" t="s">
        <v>1225</v>
      </c>
      <c r="F7159" s="140" t="s">
        <v>1286</v>
      </c>
      <c r="G7159" s="141" t="s">
        <v>6311</v>
      </c>
      <c r="H7159" s="140" t="s">
        <v>6330</v>
      </c>
      <c r="I7159" s="140" t="s">
        <v>6313</v>
      </c>
      <c r="J7159" s="140" t="s">
        <v>6319</v>
      </c>
      <c r="K7159" s="140" t="s">
        <v>1573</v>
      </c>
    </row>
    <row r="7160">
      <c r="A7160" s="140" t="s">
        <v>1503</v>
      </c>
      <c r="B7160" s="140" t="s">
        <v>1541</v>
      </c>
      <c r="C7160" s="140" t="s">
        <v>1540</v>
      </c>
      <c r="D7160" s="140" t="s">
        <v>6318</v>
      </c>
      <c r="E7160" s="140" t="s">
        <v>1225</v>
      </c>
      <c r="F7160" s="140" t="s">
        <v>1286</v>
      </c>
      <c r="G7160" s="141" t="s">
        <v>6311</v>
      </c>
      <c r="H7160" s="140" t="s">
        <v>6330</v>
      </c>
      <c r="I7160" s="140" t="s">
        <v>6313</v>
      </c>
      <c r="J7160" s="140" t="s">
        <v>6319</v>
      </c>
      <c r="K7160" s="140" t="s">
        <v>1573</v>
      </c>
    </row>
    <row r="7161">
      <c r="A7161" s="140" t="s">
        <v>1503</v>
      </c>
      <c r="B7161" s="140" t="s">
        <v>1549</v>
      </c>
      <c r="C7161" s="140" t="s">
        <v>1548</v>
      </c>
      <c r="D7161" s="140" t="s">
        <v>6318</v>
      </c>
      <c r="E7161" s="140" t="s">
        <v>1225</v>
      </c>
      <c r="F7161" s="140" t="s">
        <v>1286</v>
      </c>
      <c r="G7161" s="141" t="s">
        <v>6311</v>
      </c>
      <c r="H7161" s="140" t="s">
        <v>6330</v>
      </c>
      <c r="I7161" s="140" t="s">
        <v>6313</v>
      </c>
      <c r="J7161" s="140" t="s">
        <v>6319</v>
      </c>
      <c r="K7161" s="140" t="s">
        <v>1573</v>
      </c>
    </row>
    <row r="7162">
      <c r="A7162" s="140" t="s">
        <v>1503</v>
      </c>
      <c r="B7162" s="140" t="s">
        <v>1547</v>
      </c>
      <c r="C7162" s="140" t="s">
        <v>1546</v>
      </c>
      <c r="D7162" s="140" t="s">
        <v>6318</v>
      </c>
      <c r="E7162" s="140" t="s">
        <v>1225</v>
      </c>
      <c r="F7162" s="140" t="s">
        <v>1286</v>
      </c>
      <c r="G7162" s="141" t="s">
        <v>6311</v>
      </c>
      <c r="H7162" s="140" t="s">
        <v>6330</v>
      </c>
      <c r="I7162" s="140" t="s">
        <v>6313</v>
      </c>
      <c r="J7162" s="140" t="s">
        <v>6319</v>
      </c>
      <c r="K7162" s="140" t="s">
        <v>1573</v>
      </c>
    </row>
    <row r="7163">
      <c r="A7163" s="140" t="s">
        <v>15382</v>
      </c>
      <c r="B7163" s="143">
        <v>1.63415E12</v>
      </c>
      <c r="C7163" s="140" t="s">
        <v>15383</v>
      </c>
      <c r="D7163" s="140" t="s">
        <v>224</v>
      </c>
      <c r="E7163" s="140" t="s">
        <v>7685</v>
      </c>
      <c r="F7163" s="140" t="s">
        <v>7733</v>
      </c>
      <c r="G7163" s="141" t="s">
        <v>6401</v>
      </c>
      <c r="H7163" s="140" t="s">
        <v>6312</v>
      </c>
      <c r="I7163" s="140" t="s">
        <v>6313</v>
      </c>
      <c r="J7163" s="140" t="s">
        <v>6314</v>
      </c>
      <c r="K7163" s="140" t="s">
        <v>8954</v>
      </c>
    </row>
    <row r="7164">
      <c r="A7164" s="140" t="s">
        <v>15382</v>
      </c>
      <c r="B7164" s="143">
        <v>1.63415E12</v>
      </c>
      <c r="C7164" s="140" t="s">
        <v>15384</v>
      </c>
      <c r="D7164" s="140" t="s">
        <v>224</v>
      </c>
      <c r="E7164" s="140" t="s">
        <v>7685</v>
      </c>
      <c r="F7164" s="140" t="s">
        <v>7733</v>
      </c>
      <c r="G7164" s="141" t="s">
        <v>6401</v>
      </c>
      <c r="H7164" s="140" t="s">
        <v>6312</v>
      </c>
      <c r="I7164" s="140" t="s">
        <v>6313</v>
      </c>
      <c r="J7164" s="140" t="s">
        <v>6314</v>
      </c>
      <c r="K7164" s="140" t="s">
        <v>8954</v>
      </c>
    </row>
    <row r="7165">
      <c r="A7165" s="140" t="s">
        <v>15382</v>
      </c>
      <c r="B7165" s="143">
        <v>1.63415E12</v>
      </c>
      <c r="C7165" s="140" t="s">
        <v>15385</v>
      </c>
      <c r="D7165" s="140" t="s">
        <v>224</v>
      </c>
      <c r="E7165" s="140" t="s">
        <v>7685</v>
      </c>
      <c r="F7165" s="140" t="s">
        <v>7733</v>
      </c>
      <c r="G7165" s="141" t="s">
        <v>6401</v>
      </c>
      <c r="H7165" s="140" t="s">
        <v>6312</v>
      </c>
      <c r="I7165" s="140" t="s">
        <v>6313</v>
      </c>
      <c r="J7165" s="140" t="s">
        <v>6314</v>
      </c>
      <c r="K7165" s="140" t="s">
        <v>8954</v>
      </c>
    </row>
    <row r="7166">
      <c r="A7166" s="140" t="s">
        <v>15382</v>
      </c>
      <c r="B7166" s="143">
        <v>1.63415E12</v>
      </c>
      <c r="C7166" s="140" t="s">
        <v>15386</v>
      </c>
      <c r="D7166" s="140" t="s">
        <v>224</v>
      </c>
      <c r="E7166" s="140" t="s">
        <v>7685</v>
      </c>
      <c r="F7166" s="140" t="s">
        <v>7733</v>
      </c>
      <c r="G7166" s="141" t="s">
        <v>6401</v>
      </c>
      <c r="H7166" s="140" t="s">
        <v>6312</v>
      </c>
      <c r="I7166" s="140" t="s">
        <v>6313</v>
      </c>
      <c r="J7166" s="140" t="s">
        <v>6314</v>
      </c>
      <c r="K7166" s="140" t="s">
        <v>8954</v>
      </c>
    </row>
    <row r="7167">
      <c r="A7167" s="140" t="s">
        <v>15382</v>
      </c>
      <c r="B7167" s="143">
        <v>1.63415E12</v>
      </c>
      <c r="C7167" s="140" t="s">
        <v>15387</v>
      </c>
      <c r="D7167" s="140" t="s">
        <v>224</v>
      </c>
      <c r="E7167" s="140" t="s">
        <v>7685</v>
      </c>
      <c r="F7167" s="140" t="s">
        <v>7733</v>
      </c>
      <c r="G7167" s="141" t="s">
        <v>6401</v>
      </c>
      <c r="H7167" s="140" t="s">
        <v>6312</v>
      </c>
      <c r="I7167" s="140" t="s">
        <v>6313</v>
      </c>
      <c r="J7167" s="140" t="s">
        <v>6314</v>
      </c>
      <c r="K7167" s="140" t="s">
        <v>8954</v>
      </c>
    </row>
    <row r="7168">
      <c r="A7168" s="140" t="s">
        <v>15382</v>
      </c>
      <c r="B7168" s="143">
        <v>1.63415E12</v>
      </c>
      <c r="C7168" s="140" t="s">
        <v>15388</v>
      </c>
      <c r="D7168" s="140" t="s">
        <v>224</v>
      </c>
      <c r="E7168" s="140" t="s">
        <v>7685</v>
      </c>
      <c r="F7168" s="140" t="s">
        <v>7733</v>
      </c>
      <c r="G7168" s="141" t="s">
        <v>6401</v>
      </c>
      <c r="H7168" s="140" t="s">
        <v>6312</v>
      </c>
      <c r="I7168" s="140" t="s">
        <v>6313</v>
      </c>
      <c r="J7168" s="140" t="s">
        <v>6314</v>
      </c>
      <c r="K7168" s="140" t="s">
        <v>8954</v>
      </c>
    </row>
    <row r="7169">
      <c r="A7169" s="140" t="s">
        <v>15382</v>
      </c>
      <c r="B7169" s="143">
        <v>1.63415E12</v>
      </c>
      <c r="C7169" s="140" t="s">
        <v>15389</v>
      </c>
      <c r="D7169" s="140" t="s">
        <v>224</v>
      </c>
      <c r="E7169" s="140" t="s">
        <v>7685</v>
      </c>
      <c r="F7169" s="140" t="s">
        <v>7733</v>
      </c>
      <c r="G7169" s="141" t="s">
        <v>6401</v>
      </c>
      <c r="H7169" s="140" t="s">
        <v>6312</v>
      </c>
      <c r="I7169" s="140" t="s">
        <v>6313</v>
      </c>
      <c r="J7169" s="140" t="s">
        <v>6314</v>
      </c>
      <c r="K7169" s="140" t="s">
        <v>8954</v>
      </c>
    </row>
    <row r="7170">
      <c r="A7170" s="140" t="s">
        <v>15390</v>
      </c>
      <c r="B7170" s="140" t="s">
        <v>15391</v>
      </c>
      <c r="C7170" s="140" t="s">
        <v>15392</v>
      </c>
      <c r="D7170" s="140" t="s">
        <v>6718</v>
      </c>
      <c r="E7170" s="140" t="s">
        <v>140</v>
      </c>
      <c r="F7170" s="140" t="s">
        <v>7674</v>
      </c>
      <c r="G7170" s="141" t="s">
        <v>6401</v>
      </c>
      <c r="H7170" s="140" t="s">
        <v>6312</v>
      </c>
      <c r="I7170" s="140" t="s">
        <v>6313</v>
      </c>
      <c r="J7170" s="140" t="s">
        <v>6314</v>
      </c>
      <c r="K7170" s="140" t="s">
        <v>15393</v>
      </c>
    </row>
    <row r="7171">
      <c r="A7171" s="140" t="s">
        <v>15390</v>
      </c>
      <c r="B7171" s="140" t="s">
        <v>5463</v>
      </c>
      <c r="C7171" s="140" t="s">
        <v>15394</v>
      </c>
      <c r="D7171" s="140" t="s">
        <v>6718</v>
      </c>
      <c r="E7171" s="140" t="s">
        <v>140</v>
      </c>
      <c r="F7171" s="140" t="s">
        <v>7674</v>
      </c>
      <c r="G7171" s="141" t="s">
        <v>6401</v>
      </c>
      <c r="H7171" s="140" t="s">
        <v>6312</v>
      </c>
      <c r="I7171" s="140" t="s">
        <v>6313</v>
      </c>
      <c r="J7171" s="140" t="s">
        <v>6314</v>
      </c>
      <c r="K7171" s="140" t="s">
        <v>15393</v>
      </c>
    </row>
    <row r="7172">
      <c r="A7172" s="140" t="s">
        <v>15390</v>
      </c>
      <c r="B7172" s="140" t="s">
        <v>15395</v>
      </c>
      <c r="C7172" s="140" t="s">
        <v>15396</v>
      </c>
      <c r="D7172" s="140" t="s">
        <v>6718</v>
      </c>
      <c r="E7172" s="140" t="s">
        <v>140</v>
      </c>
      <c r="F7172" s="140" t="s">
        <v>7674</v>
      </c>
      <c r="G7172" s="141" t="s">
        <v>6401</v>
      </c>
      <c r="H7172" s="140" t="s">
        <v>6312</v>
      </c>
      <c r="I7172" s="140" t="s">
        <v>6313</v>
      </c>
      <c r="J7172" s="140" t="s">
        <v>6314</v>
      </c>
      <c r="K7172" s="140" t="s">
        <v>15393</v>
      </c>
    </row>
    <row r="7173">
      <c r="A7173" s="140" t="s">
        <v>15390</v>
      </c>
      <c r="B7173" s="140" t="s">
        <v>15397</v>
      </c>
      <c r="C7173" s="140" t="s">
        <v>15398</v>
      </c>
      <c r="D7173" s="140" t="s">
        <v>6718</v>
      </c>
      <c r="E7173" s="140" t="s">
        <v>140</v>
      </c>
      <c r="F7173" s="140" t="s">
        <v>7674</v>
      </c>
      <c r="G7173" s="141" t="s">
        <v>6401</v>
      </c>
      <c r="H7173" s="140" t="s">
        <v>6312</v>
      </c>
      <c r="I7173" s="140" t="s">
        <v>6313</v>
      </c>
      <c r="J7173" s="140" t="s">
        <v>6314</v>
      </c>
      <c r="K7173" s="140" t="s">
        <v>15393</v>
      </c>
    </row>
    <row r="7174">
      <c r="A7174" s="140" t="s">
        <v>15390</v>
      </c>
      <c r="B7174" s="140" t="s">
        <v>15399</v>
      </c>
      <c r="C7174" s="140" t="s">
        <v>15400</v>
      </c>
      <c r="D7174" s="140" t="s">
        <v>6718</v>
      </c>
      <c r="E7174" s="140" t="s">
        <v>6719</v>
      </c>
      <c r="F7174" s="140" t="s">
        <v>10414</v>
      </c>
      <c r="G7174" s="141" t="s">
        <v>6401</v>
      </c>
      <c r="H7174" s="140" t="s">
        <v>6312</v>
      </c>
      <c r="I7174" s="140" t="s">
        <v>6313</v>
      </c>
      <c r="J7174" s="140" t="s">
        <v>6314</v>
      </c>
      <c r="K7174" s="140" t="s">
        <v>15393</v>
      </c>
    </row>
    <row r="7175">
      <c r="A7175" s="140" t="s">
        <v>15390</v>
      </c>
      <c r="B7175" s="140" t="s">
        <v>15401</v>
      </c>
      <c r="C7175" s="140" t="s">
        <v>15402</v>
      </c>
      <c r="D7175" s="140" t="s">
        <v>6718</v>
      </c>
      <c r="E7175" s="140" t="s">
        <v>6719</v>
      </c>
      <c r="F7175" s="140" t="s">
        <v>6720</v>
      </c>
      <c r="G7175" s="141" t="s">
        <v>6401</v>
      </c>
      <c r="H7175" s="140" t="s">
        <v>6312</v>
      </c>
      <c r="I7175" s="140" t="s">
        <v>6313</v>
      </c>
      <c r="J7175" s="140" t="s">
        <v>6314</v>
      </c>
      <c r="K7175" s="140" t="s">
        <v>15393</v>
      </c>
    </row>
    <row r="7176">
      <c r="A7176" s="140" t="s">
        <v>15390</v>
      </c>
      <c r="B7176" s="140" t="s">
        <v>15403</v>
      </c>
      <c r="C7176" s="140" t="s">
        <v>15404</v>
      </c>
      <c r="D7176" s="140" t="s">
        <v>6718</v>
      </c>
      <c r="E7176" s="140" t="s">
        <v>6719</v>
      </c>
      <c r="F7176" s="140" t="s">
        <v>8813</v>
      </c>
      <c r="G7176" s="141" t="s">
        <v>6401</v>
      </c>
      <c r="H7176" s="140" t="s">
        <v>6312</v>
      </c>
      <c r="I7176" s="140" t="s">
        <v>6313</v>
      </c>
      <c r="J7176" s="140" t="s">
        <v>6314</v>
      </c>
      <c r="K7176" s="140" t="s">
        <v>15393</v>
      </c>
    </row>
    <row r="7177">
      <c r="A7177" s="140" t="s">
        <v>15390</v>
      </c>
      <c r="B7177" s="140" t="s">
        <v>15405</v>
      </c>
      <c r="C7177" s="140" t="s">
        <v>15406</v>
      </c>
      <c r="D7177" s="140" t="s">
        <v>6718</v>
      </c>
      <c r="E7177" s="140" t="s">
        <v>6719</v>
      </c>
      <c r="F7177" s="140" t="s">
        <v>15407</v>
      </c>
      <c r="G7177" s="141" t="s">
        <v>6401</v>
      </c>
      <c r="H7177" s="140" t="s">
        <v>6312</v>
      </c>
      <c r="I7177" s="140" t="s">
        <v>6313</v>
      </c>
      <c r="J7177" s="140" t="s">
        <v>6314</v>
      </c>
      <c r="K7177" s="140" t="s">
        <v>15393</v>
      </c>
    </row>
    <row r="7178">
      <c r="A7178" s="140" t="s">
        <v>15390</v>
      </c>
      <c r="B7178" s="140" t="s">
        <v>15408</v>
      </c>
      <c r="C7178" s="140" t="s">
        <v>15409</v>
      </c>
      <c r="D7178" s="140" t="s">
        <v>6718</v>
      </c>
      <c r="E7178" s="140" t="s">
        <v>6719</v>
      </c>
      <c r="F7178" s="140" t="s">
        <v>15407</v>
      </c>
      <c r="G7178" s="141" t="s">
        <v>6401</v>
      </c>
      <c r="H7178" s="140" t="s">
        <v>6312</v>
      </c>
      <c r="I7178" s="140" t="s">
        <v>6313</v>
      </c>
      <c r="J7178" s="140" t="s">
        <v>6314</v>
      </c>
      <c r="K7178" s="140" t="s">
        <v>15393</v>
      </c>
    </row>
    <row r="7179">
      <c r="A7179" s="140" t="s">
        <v>15390</v>
      </c>
      <c r="B7179" s="140" t="s">
        <v>15410</v>
      </c>
      <c r="C7179" s="140" t="s">
        <v>15411</v>
      </c>
      <c r="D7179" s="140" t="s">
        <v>6718</v>
      </c>
      <c r="E7179" s="140" t="s">
        <v>6719</v>
      </c>
      <c r="F7179" s="140" t="s">
        <v>224</v>
      </c>
      <c r="G7179" s="141" t="s">
        <v>6401</v>
      </c>
      <c r="H7179" s="140" t="s">
        <v>6312</v>
      </c>
      <c r="I7179" s="140" t="s">
        <v>6313</v>
      </c>
      <c r="J7179" s="140" t="s">
        <v>6314</v>
      </c>
      <c r="K7179" s="140" t="s">
        <v>15393</v>
      </c>
    </row>
    <row r="7180">
      <c r="A7180" s="140" t="s">
        <v>15390</v>
      </c>
      <c r="B7180" s="140" t="s">
        <v>15412</v>
      </c>
      <c r="C7180" s="140" t="s">
        <v>15413</v>
      </c>
      <c r="D7180" s="140" t="s">
        <v>6718</v>
      </c>
      <c r="E7180" s="140" t="s">
        <v>6719</v>
      </c>
      <c r="F7180" s="140" t="s">
        <v>15414</v>
      </c>
      <c r="G7180" s="141" t="s">
        <v>6401</v>
      </c>
      <c r="H7180" s="140" t="s">
        <v>6312</v>
      </c>
      <c r="I7180" s="140" t="s">
        <v>6313</v>
      </c>
      <c r="J7180" s="140" t="s">
        <v>6314</v>
      </c>
      <c r="K7180" s="140" t="s">
        <v>15393</v>
      </c>
    </row>
    <row r="7181">
      <c r="A7181" s="140" t="s">
        <v>15390</v>
      </c>
      <c r="B7181" s="140" t="s">
        <v>15415</v>
      </c>
      <c r="C7181" s="140" t="s">
        <v>15416</v>
      </c>
      <c r="D7181" s="140" t="s">
        <v>6718</v>
      </c>
      <c r="E7181" s="140" t="s">
        <v>6719</v>
      </c>
      <c r="F7181" s="140" t="s">
        <v>15414</v>
      </c>
      <c r="G7181" s="141" t="s">
        <v>6401</v>
      </c>
      <c r="H7181" s="140" t="s">
        <v>6312</v>
      </c>
      <c r="I7181" s="140" t="s">
        <v>6313</v>
      </c>
      <c r="J7181" s="140" t="s">
        <v>6314</v>
      </c>
      <c r="K7181" s="140" t="s">
        <v>15393</v>
      </c>
    </row>
    <row r="7182">
      <c r="A7182" s="140" t="s">
        <v>5885</v>
      </c>
      <c r="B7182" s="140" t="s">
        <v>15417</v>
      </c>
      <c r="C7182" s="140" t="s">
        <v>15418</v>
      </c>
      <c r="D7182" s="140" t="s">
        <v>6318</v>
      </c>
      <c r="E7182" s="140" t="s">
        <v>6323</v>
      </c>
      <c r="F7182" s="140" t="s">
        <v>9129</v>
      </c>
      <c r="G7182" s="141" t="s">
        <v>6311</v>
      </c>
      <c r="H7182" s="140" t="s">
        <v>6312</v>
      </c>
      <c r="I7182" s="140" t="s">
        <v>6313</v>
      </c>
      <c r="J7182" s="140" t="s">
        <v>6314</v>
      </c>
      <c r="K7182" s="140" t="s">
        <v>6320</v>
      </c>
    </row>
    <row r="7183">
      <c r="A7183" s="140" t="s">
        <v>5885</v>
      </c>
      <c r="B7183" s="140" t="s">
        <v>6033</v>
      </c>
      <c r="C7183" s="140" t="s">
        <v>15419</v>
      </c>
      <c r="D7183" s="140" t="s">
        <v>6318</v>
      </c>
      <c r="E7183" s="140" t="s">
        <v>6323</v>
      </c>
      <c r="F7183" s="140" t="s">
        <v>9129</v>
      </c>
      <c r="G7183" s="141" t="s">
        <v>6311</v>
      </c>
      <c r="H7183" s="140" t="s">
        <v>6312</v>
      </c>
      <c r="I7183" s="140" t="s">
        <v>6313</v>
      </c>
      <c r="J7183" s="140" t="s">
        <v>6314</v>
      </c>
      <c r="K7183" s="140" t="s">
        <v>6320</v>
      </c>
    </row>
    <row r="7184">
      <c r="A7184" s="140" t="s">
        <v>5885</v>
      </c>
      <c r="B7184" s="140" t="s">
        <v>6035</v>
      </c>
      <c r="C7184" s="140" t="s">
        <v>15420</v>
      </c>
      <c r="D7184" s="140" t="s">
        <v>6318</v>
      </c>
      <c r="E7184" s="140" t="s">
        <v>6323</v>
      </c>
      <c r="F7184" s="140" t="s">
        <v>9129</v>
      </c>
      <c r="G7184" s="141" t="s">
        <v>6311</v>
      </c>
      <c r="H7184" s="140" t="s">
        <v>6312</v>
      </c>
      <c r="I7184" s="140" t="s">
        <v>6313</v>
      </c>
      <c r="J7184" s="140" t="s">
        <v>6314</v>
      </c>
      <c r="K7184" s="140" t="s">
        <v>6320</v>
      </c>
    </row>
    <row r="7185">
      <c r="A7185" s="140" t="s">
        <v>5885</v>
      </c>
      <c r="B7185" s="140" t="s">
        <v>15421</v>
      </c>
      <c r="C7185" s="140" t="s">
        <v>15422</v>
      </c>
      <c r="D7185" s="140" t="s">
        <v>6318</v>
      </c>
      <c r="E7185" s="140" t="s">
        <v>6323</v>
      </c>
      <c r="F7185" s="140" t="s">
        <v>9129</v>
      </c>
      <c r="G7185" s="141" t="s">
        <v>6311</v>
      </c>
      <c r="H7185" s="140" t="s">
        <v>6312</v>
      </c>
      <c r="I7185" s="140" t="s">
        <v>6313</v>
      </c>
      <c r="J7185" s="140" t="s">
        <v>6314</v>
      </c>
      <c r="K7185" s="140" t="s">
        <v>6320</v>
      </c>
    </row>
    <row r="7186">
      <c r="A7186" s="140" t="s">
        <v>5885</v>
      </c>
      <c r="B7186" s="140" t="s">
        <v>15423</v>
      </c>
      <c r="C7186" s="140" t="s">
        <v>15424</v>
      </c>
      <c r="D7186" s="140" t="s">
        <v>6318</v>
      </c>
      <c r="E7186" s="140" t="s">
        <v>6323</v>
      </c>
      <c r="F7186" s="140" t="s">
        <v>9129</v>
      </c>
      <c r="G7186" s="141" t="s">
        <v>6311</v>
      </c>
      <c r="H7186" s="140" t="s">
        <v>6312</v>
      </c>
      <c r="I7186" s="140" t="s">
        <v>6313</v>
      </c>
      <c r="J7186" s="140" t="s">
        <v>6314</v>
      </c>
      <c r="K7186" s="140" t="s">
        <v>6320</v>
      </c>
    </row>
    <row r="7187">
      <c r="A7187" s="140" t="s">
        <v>5885</v>
      </c>
      <c r="B7187" s="140" t="s">
        <v>15425</v>
      </c>
      <c r="C7187" s="140" t="s">
        <v>15426</v>
      </c>
      <c r="D7187" s="140" t="s">
        <v>6318</v>
      </c>
      <c r="E7187" s="140" t="s">
        <v>6323</v>
      </c>
      <c r="F7187" s="140" t="s">
        <v>9129</v>
      </c>
      <c r="G7187" s="141" t="s">
        <v>6311</v>
      </c>
      <c r="H7187" s="140" t="s">
        <v>6312</v>
      </c>
      <c r="I7187" s="140" t="s">
        <v>6313</v>
      </c>
      <c r="J7187" s="140" t="s">
        <v>6314</v>
      </c>
      <c r="K7187" s="140" t="s">
        <v>6320</v>
      </c>
    </row>
    <row r="7188">
      <c r="A7188" s="140" t="s">
        <v>5885</v>
      </c>
      <c r="B7188" s="140" t="s">
        <v>5886</v>
      </c>
      <c r="C7188" s="140" t="s">
        <v>15427</v>
      </c>
      <c r="D7188" s="140" t="s">
        <v>6318</v>
      </c>
      <c r="E7188" s="140" t="s">
        <v>6323</v>
      </c>
      <c r="F7188" s="140" t="s">
        <v>9129</v>
      </c>
      <c r="G7188" s="141" t="s">
        <v>6311</v>
      </c>
      <c r="H7188" s="140" t="s">
        <v>6312</v>
      </c>
      <c r="I7188" s="140" t="s">
        <v>6313</v>
      </c>
      <c r="J7188" s="140" t="s">
        <v>6314</v>
      </c>
      <c r="K7188" s="140" t="s">
        <v>6320</v>
      </c>
    </row>
    <row r="7189">
      <c r="A7189" s="140" t="s">
        <v>5885</v>
      </c>
      <c r="B7189" s="140" t="s">
        <v>15428</v>
      </c>
      <c r="C7189" s="140" t="s">
        <v>15429</v>
      </c>
      <c r="D7189" s="140" t="s">
        <v>6318</v>
      </c>
      <c r="E7189" s="140" t="s">
        <v>6323</v>
      </c>
      <c r="F7189" s="140" t="s">
        <v>9129</v>
      </c>
      <c r="G7189" s="141" t="s">
        <v>6311</v>
      </c>
      <c r="H7189" s="140" t="s">
        <v>6312</v>
      </c>
      <c r="I7189" s="140" t="s">
        <v>6313</v>
      </c>
      <c r="J7189" s="140" t="s">
        <v>6314</v>
      </c>
      <c r="K7189" s="140" t="s">
        <v>6320</v>
      </c>
    </row>
    <row r="7190">
      <c r="A7190" s="140" t="s">
        <v>15430</v>
      </c>
      <c r="B7190" s="140">
        <v>33038.0</v>
      </c>
      <c r="C7190" s="140" t="s">
        <v>15431</v>
      </c>
      <c r="D7190" s="140" t="s">
        <v>6309</v>
      </c>
      <c r="E7190" s="140" t="s">
        <v>6310</v>
      </c>
      <c r="F7190" s="140" t="s">
        <v>6310</v>
      </c>
      <c r="G7190" s="141" t="s">
        <v>6311</v>
      </c>
      <c r="H7190" s="140" t="s">
        <v>6312</v>
      </c>
      <c r="I7190" s="140" t="s">
        <v>6313</v>
      </c>
      <c r="J7190" s="140" t="s">
        <v>6314</v>
      </c>
      <c r="K7190" s="140" t="s">
        <v>6315</v>
      </c>
    </row>
    <row r="7191">
      <c r="A7191" s="140" t="s">
        <v>15430</v>
      </c>
      <c r="B7191" s="140">
        <v>33050.0</v>
      </c>
      <c r="C7191" s="140" t="s">
        <v>15432</v>
      </c>
      <c r="D7191" s="140" t="s">
        <v>6309</v>
      </c>
      <c r="E7191" s="140" t="s">
        <v>56</v>
      </c>
      <c r="F7191" s="140" t="s">
        <v>64</v>
      </c>
      <c r="G7191" s="141" t="s">
        <v>6311</v>
      </c>
      <c r="H7191" s="140" t="s">
        <v>6312</v>
      </c>
      <c r="I7191" s="140" t="s">
        <v>6313</v>
      </c>
      <c r="J7191" s="140" t="s">
        <v>6314</v>
      </c>
      <c r="K7191" s="140" t="s">
        <v>6315</v>
      </c>
    </row>
    <row r="7192">
      <c r="A7192" s="140" t="s">
        <v>15430</v>
      </c>
      <c r="B7192" s="140">
        <v>33037.0</v>
      </c>
      <c r="C7192" s="140" t="s">
        <v>15433</v>
      </c>
      <c r="D7192" s="140" t="s">
        <v>6309</v>
      </c>
      <c r="E7192" s="140" t="s">
        <v>56</v>
      </c>
      <c r="F7192" s="140" t="s">
        <v>64</v>
      </c>
      <c r="G7192" s="141" t="s">
        <v>6311</v>
      </c>
      <c r="H7192" s="140" t="s">
        <v>6312</v>
      </c>
      <c r="I7192" s="140" t="s">
        <v>6313</v>
      </c>
      <c r="J7192" s="140" t="s">
        <v>6314</v>
      </c>
      <c r="K7192" s="140" t="s">
        <v>6315</v>
      </c>
    </row>
    <row r="7193">
      <c r="A7193" s="140" t="s">
        <v>15434</v>
      </c>
      <c r="B7193" s="140" t="s">
        <v>15435</v>
      </c>
      <c r="C7193" s="140" t="s">
        <v>15436</v>
      </c>
      <c r="D7193" s="140" t="s">
        <v>7874</v>
      </c>
      <c r="E7193" s="140" t="s">
        <v>7879</v>
      </c>
      <c r="F7193" s="140" t="s">
        <v>9838</v>
      </c>
      <c r="G7193" s="141" t="s">
        <v>6401</v>
      </c>
      <c r="H7193" s="140" t="s">
        <v>6312</v>
      </c>
      <c r="I7193" s="140" t="s">
        <v>6313</v>
      </c>
      <c r="J7193" s="140" t="s">
        <v>6314</v>
      </c>
      <c r="K7193" s="140" t="s">
        <v>7349</v>
      </c>
    </row>
    <row r="7194">
      <c r="A7194" s="140" t="s">
        <v>15434</v>
      </c>
      <c r="B7194" s="140" t="s">
        <v>15437</v>
      </c>
      <c r="C7194" s="140" t="s">
        <v>15438</v>
      </c>
      <c r="D7194" s="140" t="s">
        <v>7874</v>
      </c>
      <c r="E7194" s="140" t="s">
        <v>7879</v>
      </c>
      <c r="F7194" s="140" t="s">
        <v>9838</v>
      </c>
      <c r="G7194" s="141" t="s">
        <v>6401</v>
      </c>
      <c r="H7194" s="140" t="s">
        <v>6312</v>
      </c>
      <c r="I7194" s="140" t="s">
        <v>6313</v>
      </c>
      <c r="J7194" s="140" t="s">
        <v>6314</v>
      </c>
      <c r="K7194" s="140" t="s">
        <v>7349</v>
      </c>
    </row>
    <row r="7195">
      <c r="A7195" s="140" t="s">
        <v>15439</v>
      </c>
      <c r="B7195" s="140" t="s">
        <v>15440</v>
      </c>
      <c r="C7195" s="140" t="s">
        <v>15441</v>
      </c>
      <c r="D7195" s="140" t="s">
        <v>7347</v>
      </c>
      <c r="E7195" s="140">
        <v>0.0</v>
      </c>
      <c r="F7195" s="140" t="s">
        <v>7348</v>
      </c>
      <c r="G7195" s="141" t="s">
        <v>6401</v>
      </c>
      <c r="H7195" s="140" t="s">
        <v>6312</v>
      </c>
      <c r="I7195" s="140" t="s">
        <v>6313</v>
      </c>
      <c r="J7195" s="140" t="s">
        <v>6314</v>
      </c>
      <c r="K7195" s="140" t="s">
        <v>9070</v>
      </c>
    </row>
    <row r="7196">
      <c r="A7196" s="140" t="s">
        <v>15442</v>
      </c>
      <c r="B7196" s="140" t="s">
        <v>15443</v>
      </c>
      <c r="C7196" s="140" t="s">
        <v>15444</v>
      </c>
      <c r="D7196" s="140" t="s">
        <v>7874</v>
      </c>
      <c r="E7196" s="140" t="s">
        <v>7879</v>
      </c>
      <c r="F7196" s="140" t="s">
        <v>7880</v>
      </c>
      <c r="G7196" s="141" t="s">
        <v>6401</v>
      </c>
      <c r="H7196" s="140" t="s">
        <v>6312</v>
      </c>
      <c r="I7196" s="140" t="s">
        <v>6313</v>
      </c>
      <c r="J7196" s="140" t="s">
        <v>6314</v>
      </c>
      <c r="K7196" s="140" t="s">
        <v>15445</v>
      </c>
    </row>
    <row r="7197">
      <c r="A7197" s="140" t="s">
        <v>15442</v>
      </c>
      <c r="B7197" s="140" t="s">
        <v>15446</v>
      </c>
      <c r="C7197" s="140" t="s">
        <v>15447</v>
      </c>
      <c r="D7197" s="140" t="s">
        <v>7874</v>
      </c>
      <c r="E7197" s="140" t="s">
        <v>7879</v>
      </c>
      <c r="F7197" s="140" t="s">
        <v>7880</v>
      </c>
      <c r="G7197" s="141" t="s">
        <v>6401</v>
      </c>
      <c r="H7197" s="140" t="s">
        <v>6312</v>
      </c>
      <c r="I7197" s="140" t="s">
        <v>6313</v>
      </c>
      <c r="J7197" s="140" t="s">
        <v>6314</v>
      </c>
      <c r="K7197" s="140" t="s">
        <v>15445</v>
      </c>
    </row>
    <row r="7198">
      <c r="A7198" s="140" t="s">
        <v>15442</v>
      </c>
      <c r="B7198" s="140" t="s">
        <v>15448</v>
      </c>
      <c r="C7198" s="140" t="s">
        <v>15449</v>
      </c>
      <c r="D7198" s="140" t="s">
        <v>7874</v>
      </c>
      <c r="E7198" s="140" t="s">
        <v>7879</v>
      </c>
      <c r="F7198" s="140" t="s">
        <v>7880</v>
      </c>
      <c r="G7198" s="141" t="s">
        <v>6401</v>
      </c>
      <c r="H7198" s="140" t="s">
        <v>6312</v>
      </c>
      <c r="I7198" s="140" t="s">
        <v>6313</v>
      </c>
      <c r="J7198" s="140" t="s">
        <v>6314</v>
      </c>
      <c r="K7198" s="140" t="s">
        <v>15445</v>
      </c>
    </row>
    <row r="7199">
      <c r="A7199" s="140" t="s">
        <v>15442</v>
      </c>
      <c r="B7199" s="140" t="s">
        <v>15450</v>
      </c>
      <c r="C7199" s="140" t="s">
        <v>15451</v>
      </c>
      <c r="D7199" s="140" t="s">
        <v>7874</v>
      </c>
      <c r="E7199" s="140" t="s">
        <v>7879</v>
      </c>
      <c r="F7199" s="140" t="s">
        <v>7880</v>
      </c>
      <c r="G7199" s="141" t="s">
        <v>6401</v>
      </c>
      <c r="H7199" s="140" t="s">
        <v>6312</v>
      </c>
      <c r="I7199" s="140" t="s">
        <v>6313</v>
      </c>
      <c r="J7199" s="140" t="s">
        <v>6314</v>
      </c>
      <c r="K7199" s="140" t="s">
        <v>15445</v>
      </c>
    </row>
    <row r="7200">
      <c r="A7200" s="140" t="s">
        <v>15442</v>
      </c>
      <c r="B7200" s="140" t="s">
        <v>15452</v>
      </c>
      <c r="C7200" s="140" t="s">
        <v>15453</v>
      </c>
      <c r="D7200" s="140" t="s">
        <v>7874</v>
      </c>
      <c r="E7200" s="140" t="s">
        <v>7879</v>
      </c>
      <c r="F7200" s="140" t="s">
        <v>15454</v>
      </c>
      <c r="G7200" s="141" t="s">
        <v>6401</v>
      </c>
      <c r="H7200" s="140" t="s">
        <v>6312</v>
      </c>
      <c r="I7200" s="140" t="s">
        <v>6313</v>
      </c>
      <c r="J7200" s="140" t="s">
        <v>6314</v>
      </c>
      <c r="K7200" s="140" t="s">
        <v>15445</v>
      </c>
    </row>
    <row r="7201">
      <c r="A7201" s="140" t="s">
        <v>15442</v>
      </c>
      <c r="B7201" s="140" t="s">
        <v>15455</v>
      </c>
      <c r="C7201" s="140" t="s">
        <v>15456</v>
      </c>
      <c r="D7201" s="140" t="s">
        <v>7874</v>
      </c>
      <c r="E7201" s="140" t="s">
        <v>7879</v>
      </c>
      <c r="F7201" s="140" t="s">
        <v>7888</v>
      </c>
      <c r="G7201" s="141" t="s">
        <v>6401</v>
      </c>
      <c r="H7201" s="140" t="s">
        <v>6312</v>
      </c>
      <c r="I7201" s="140" t="s">
        <v>6313</v>
      </c>
      <c r="J7201" s="140" t="s">
        <v>6314</v>
      </c>
      <c r="K7201" s="140" t="s">
        <v>15445</v>
      </c>
    </row>
    <row r="7202">
      <c r="A7202" s="140" t="s">
        <v>15442</v>
      </c>
      <c r="B7202" s="140" t="s">
        <v>15457</v>
      </c>
      <c r="C7202" s="140" t="s">
        <v>15458</v>
      </c>
      <c r="D7202" s="140" t="s">
        <v>7874</v>
      </c>
      <c r="E7202" s="140" t="s">
        <v>7879</v>
      </c>
      <c r="F7202" s="140" t="s">
        <v>7888</v>
      </c>
      <c r="G7202" s="141" t="s">
        <v>6401</v>
      </c>
      <c r="H7202" s="140" t="s">
        <v>6312</v>
      </c>
      <c r="I7202" s="140" t="s">
        <v>6313</v>
      </c>
      <c r="J7202" s="140" t="s">
        <v>6314</v>
      </c>
      <c r="K7202" s="140" t="s">
        <v>15445</v>
      </c>
    </row>
    <row r="7203">
      <c r="A7203" s="140" t="s">
        <v>15442</v>
      </c>
      <c r="B7203" s="140" t="s">
        <v>15459</v>
      </c>
      <c r="C7203" s="140" t="s">
        <v>15460</v>
      </c>
      <c r="D7203" s="140" t="s">
        <v>7874</v>
      </c>
      <c r="E7203" s="140" t="s">
        <v>7879</v>
      </c>
      <c r="F7203" s="140" t="s">
        <v>7888</v>
      </c>
      <c r="G7203" s="141" t="s">
        <v>6401</v>
      </c>
      <c r="H7203" s="140" t="s">
        <v>6312</v>
      </c>
      <c r="I7203" s="140" t="s">
        <v>6313</v>
      </c>
      <c r="J7203" s="140" t="s">
        <v>6314</v>
      </c>
      <c r="K7203" s="140" t="s">
        <v>15445</v>
      </c>
    </row>
    <row r="7204">
      <c r="A7204" s="140" t="s">
        <v>15442</v>
      </c>
      <c r="B7204" s="140" t="s">
        <v>15461</v>
      </c>
      <c r="C7204" s="140" t="s">
        <v>15462</v>
      </c>
      <c r="D7204" s="140" t="s">
        <v>7874</v>
      </c>
      <c r="E7204" s="140" t="s">
        <v>7879</v>
      </c>
      <c r="F7204" s="140" t="s">
        <v>7888</v>
      </c>
      <c r="G7204" s="141" t="s">
        <v>6401</v>
      </c>
      <c r="H7204" s="140" t="s">
        <v>6312</v>
      </c>
      <c r="I7204" s="140" t="s">
        <v>6313</v>
      </c>
      <c r="J7204" s="140" t="s">
        <v>6314</v>
      </c>
      <c r="K7204" s="140" t="s">
        <v>15445</v>
      </c>
    </row>
    <row r="7205">
      <c r="A7205" s="140" t="s">
        <v>15442</v>
      </c>
      <c r="B7205" s="140" t="s">
        <v>5528</v>
      </c>
      <c r="C7205" s="140" t="s">
        <v>15463</v>
      </c>
      <c r="D7205" s="140" t="s">
        <v>7874</v>
      </c>
      <c r="E7205" s="140" t="s">
        <v>7879</v>
      </c>
      <c r="F7205" s="140" t="s">
        <v>7888</v>
      </c>
      <c r="G7205" s="141" t="s">
        <v>6401</v>
      </c>
      <c r="H7205" s="140" t="s">
        <v>6312</v>
      </c>
      <c r="I7205" s="140" t="s">
        <v>6313</v>
      </c>
      <c r="J7205" s="140" t="s">
        <v>6314</v>
      </c>
      <c r="K7205" s="140" t="s">
        <v>15445</v>
      </c>
    </row>
    <row r="7206">
      <c r="A7206" s="140" t="s">
        <v>15442</v>
      </c>
      <c r="B7206" s="140" t="s">
        <v>15464</v>
      </c>
      <c r="C7206" s="140" t="s">
        <v>15465</v>
      </c>
      <c r="D7206" s="140" t="s">
        <v>7874</v>
      </c>
      <c r="E7206" s="140" t="s">
        <v>7879</v>
      </c>
      <c r="F7206" s="140" t="s">
        <v>7890</v>
      </c>
      <c r="G7206" s="141" t="s">
        <v>6401</v>
      </c>
      <c r="H7206" s="140" t="s">
        <v>6312</v>
      </c>
      <c r="I7206" s="140" t="s">
        <v>6313</v>
      </c>
      <c r="J7206" s="140" t="s">
        <v>6314</v>
      </c>
      <c r="K7206" s="140" t="s">
        <v>15445</v>
      </c>
    </row>
    <row r="7207">
      <c r="A7207" s="140" t="s">
        <v>15442</v>
      </c>
      <c r="B7207" s="140" t="s">
        <v>15466</v>
      </c>
      <c r="C7207" s="140" t="s">
        <v>15467</v>
      </c>
      <c r="D7207" s="140" t="s">
        <v>7874</v>
      </c>
      <c r="E7207" s="140" t="s">
        <v>7879</v>
      </c>
      <c r="F7207" s="140" t="s">
        <v>15468</v>
      </c>
      <c r="G7207" s="141" t="s">
        <v>6401</v>
      </c>
      <c r="H7207" s="140" t="s">
        <v>6312</v>
      </c>
      <c r="I7207" s="140" t="s">
        <v>6313</v>
      </c>
      <c r="J7207" s="140" t="s">
        <v>6314</v>
      </c>
      <c r="K7207" s="140" t="s">
        <v>15445</v>
      </c>
    </row>
    <row r="7208">
      <c r="A7208" s="140" t="s">
        <v>15442</v>
      </c>
      <c r="B7208" s="140" t="s">
        <v>5522</v>
      </c>
      <c r="C7208" s="140" t="s">
        <v>15469</v>
      </c>
      <c r="D7208" s="140" t="s">
        <v>7874</v>
      </c>
      <c r="E7208" s="140" t="s">
        <v>7879</v>
      </c>
      <c r="F7208" s="140" t="s">
        <v>15468</v>
      </c>
      <c r="G7208" s="141" t="s">
        <v>6401</v>
      </c>
      <c r="H7208" s="140" t="s">
        <v>6312</v>
      </c>
      <c r="I7208" s="140" t="s">
        <v>6313</v>
      </c>
      <c r="J7208" s="140" t="s">
        <v>6314</v>
      </c>
      <c r="K7208" s="140" t="s">
        <v>15445</v>
      </c>
    </row>
    <row r="7209">
      <c r="A7209" s="140" t="s">
        <v>15442</v>
      </c>
      <c r="B7209" s="140" t="s">
        <v>15470</v>
      </c>
      <c r="C7209" s="140" t="s">
        <v>15471</v>
      </c>
      <c r="D7209" s="140" t="s">
        <v>7874</v>
      </c>
      <c r="E7209" s="140" t="s">
        <v>7879</v>
      </c>
      <c r="F7209" s="140" t="s">
        <v>15468</v>
      </c>
      <c r="G7209" s="141" t="s">
        <v>6401</v>
      </c>
      <c r="H7209" s="140" t="s">
        <v>6312</v>
      </c>
      <c r="I7209" s="140" t="s">
        <v>6313</v>
      </c>
      <c r="J7209" s="140" t="s">
        <v>6314</v>
      </c>
      <c r="K7209" s="140" t="s">
        <v>15445</v>
      </c>
    </row>
    <row r="7210">
      <c r="A7210" s="140" t="s">
        <v>15442</v>
      </c>
      <c r="B7210" s="140" t="s">
        <v>15472</v>
      </c>
      <c r="C7210" s="140" t="s">
        <v>15473</v>
      </c>
      <c r="D7210" s="140" t="s">
        <v>7874</v>
      </c>
      <c r="E7210" s="140" t="s">
        <v>7879</v>
      </c>
      <c r="F7210" s="140" t="s">
        <v>15468</v>
      </c>
      <c r="G7210" s="141" t="s">
        <v>6401</v>
      </c>
      <c r="H7210" s="140" t="s">
        <v>6312</v>
      </c>
      <c r="I7210" s="140" t="s">
        <v>6313</v>
      </c>
      <c r="J7210" s="140" t="s">
        <v>6314</v>
      </c>
      <c r="K7210" s="140" t="s">
        <v>15445</v>
      </c>
    </row>
    <row r="7211">
      <c r="A7211" s="140" t="s">
        <v>15442</v>
      </c>
      <c r="B7211" s="140" t="s">
        <v>15474</v>
      </c>
      <c r="C7211" s="140" t="s">
        <v>15475</v>
      </c>
      <c r="D7211" s="140" t="s">
        <v>7874</v>
      </c>
      <c r="E7211" s="140" t="s">
        <v>7879</v>
      </c>
      <c r="F7211" s="140" t="s">
        <v>15468</v>
      </c>
      <c r="G7211" s="141" t="s">
        <v>6401</v>
      </c>
      <c r="H7211" s="140" t="s">
        <v>6312</v>
      </c>
      <c r="I7211" s="140" t="s">
        <v>6313</v>
      </c>
      <c r="J7211" s="140" t="s">
        <v>6314</v>
      </c>
      <c r="K7211" s="140" t="s">
        <v>15445</v>
      </c>
    </row>
    <row r="7212">
      <c r="A7212" s="140" t="s">
        <v>15442</v>
      </c>
      <c r="B7212" s="140" t="s">
        <v>15476</v>
      </c>
      <c r="C7212" s="140" t="s">
        <v>15477</v>
      </c>
      <c r="D7212" s="140" t="s">
        <v>7874</v>
      </c>
      <c r="E7212" s="140" t="s">
        <v>7879</v>
      </c>
      <c r="F7212" s="140" t="s">
        <v>15468</v>
      </c>
      <c r="G7212" s="141" t="s">
        <v>6401</v>
      </c>
      <c r="H7212" s="140" t="s">
        <v>6312</v>
      </c>
      <c r="I7212" s="140" t="s">
        <v>6313</v>
      </c>
      <c r="J7212" s="140" t="s">
        <v>6314</v>
      </c>
      <c r="K7212" s="140" t="s">
        <v>15445</v>
      </c>
    </row>
    <row r="7213">
      <c r="A7213" s="140" t="s">
        <v>15442</v>
      </c>
      <c r="B7213" s="140" t="s">
        <v>15478</v>
      </c>
      <c r="C7213" s="140" t="s">
        <v>15479</v>
      </c>
      <c r="D7213" s="140" t="s">
        <v>7874</v>
      </c>
      <c r="E7213" s="140" t="s">
        <v>7879</v>
      </c>
      <c r="F7213" s="140" t="s">
        <v>15468</v>
      </c>
      <c r="G7213" s="141" t="s">
        <v>6401</v>
      </c>
      <c r="H7213" s="140" t="s">
        <v>6312</v>
      </c>
      <c r="I7213" s="140" t="s">
        <v>6313</v>
      </c>
      <c r="J7213" s="140" t="s">
        <v>6314</v>
      </c>
      <c r="K7213" s="140" t="s">
        <v>15445</v>
      </c>
    </row>
    <row r="7214">
      <c r="A7214" s="140" t="s">
        <v>15442</v>
      </c>
      <c r="B7214" s="140" t="s">
        <v>5518</v>
      </c>
      <c r="C7214" s="140" t="s">
        <v>15480</v>
      </c>
      <c r="D7214" s="140" t="s">
        <v>7874</v>
      </c>
      <c r="E7214" s="140" t="s">
        <v>7879</v>
      </c>
      <c r="F7214" s="140" t="s">
        <v>15468</v>
      </c>
      <c r="G7214" s="141" t="s">
        <v>6401</v>
      </c>
      <c r="H7214" s="140" t="s">
        <v>6312</v>
      </c>
      <c r="I7214" s="140" t="s">
        <v>6313</v>
      </c>
      <c r="J7214" s="140" t="s">
        <v>6314</v>
      </c>
      <c r="K7214" s="140" t="s">
        <v>15445</v>
      </c>
    </row>
    <row r="7215">
      <c r="A7215" s="140" t="s">
        <v>15442</v>
      </c>
      <c r="B7215" s="140" t="s">
        <v>15481</v>
      </c>
      <c r="C7215" s="140" t="s">
        <v>15482</v>
      </c>
      <c r="D7215" s="140" t="s">
        <v>7874</v>
      </c>
      <c r="E7215" s="140" t="s">
        <v>7879</v>
      </c>
      <c r="F7215" s="140" t="s">
        <v>15468</v>
      </c>
      <c r="G7215" s="141" t="s">
        <v>6401</v>
      </c>
      <c r="H7215" s="140" t="s">
        <v>6312</v>
      </c>
      <c r="I7215" s="140" t="s">
        <v>6313</v>
      </c>
      <c r="J7215" s="140" t="s">
        <v>6314</v>
      </c>
      <c r="K7215" s="140" t="s">
        <v>15445</v>
      </c>
    </row>
    <row r="7216">
      <c r="A7216" s="140" t="s">
        <v>15442</v>
      </c>
      <c r="B7216" s="140" t="s">
        <v>5520</v>
      </c>
      <c r="C7216" s="140" t="s">
        <v>15483</v>
      </c>
      <c r="D7216" s="140" t="s">
        <v>7874</v>
      </c>
      <c r="E7216" s="140" t="s">
        <v>7879</v>
      </c>
      <c r="F7216" s="140" t="s">
        <v>15468</v>
      </c>
      <c r="G7216" s="141" t="s">
        <v>6401</v>
      </c>
      <c r="H7216" s="140" t="s">
        <v>6312</v>
      </c>
      <c r="I7216" s="140" t="s">
        <v>6313</v>
      </c>
      <c r="J7216" s="140" t="s">
        <v>6314</v>
      </c>
      <c r="K7216" s="140" t="s">
        <v>15445</v>
      </c>
    </row>
    <row r="7217">
      <c r="A7217" s="140" t="s">
        <v>15442</v>
      </c>
      <c r="B7217" s="140" t="s">
        <v>15484</v>
      </c>
      <c r="C7217" s="140" t="s">
        <v>15485</v>
      </c>
      <c r="D7217" s="140" t="s">
        <v>7874</v>
      </c>
      <c r="E7217" s="140" t="s">
        <v>7879</v>
      </c>
      <c r="F7217" s="140" t="s">
        <v>15468</v>
      </c>
      <c r="G7217" s="141" t="s">
        <v>6401</v>
      </c>
      <c r="H7217" s="140" t="s">
        <v>6312</v>
      </c>
      <c r="I7217" s="140" t="s">
        <v>6313</v>
      </c>
      <c r="J7217" s="140" t="s">
        <v>6314</v>
      </c>
      <c r="K7217" s="140" t="s">
        <v>15445</v>
      </c>
    </row>
    <row r="7218">
      <c r="A7218" s="140" t="s">
        <v>15442</v>
      </c>
      <c r="B7218" s="140" t="s">
        <v>15486</v>
      </c>
      <c r="C7218" s="140" t="s">
        <v>15487</v>
      </c>
      <c r="D7218" s="140" t="s">
        <v>7874</v>
      </c>
      <c r="E7218" s="140" t="s">
        <v>7879</v>
      </c>
      <c r="F7218" s="140" t="s">
        <v>15468</v>
      </c>
      <c r="G7218" s="141" t="s">
        <v>6401</v>
      </c>
      <c r="H7218" s="140" t="s">
        <v>6312</v>
      </c>
      <c r="I7218" s="140" t="s">
        <v>6313</v>
      </c>
      <c r="J7218" s="140" t="s">
        <v>6314</v>
      </c>
      <c r="K7218" s="140" t="s">
        <v>15445</v>
      </c>
    </row>
    <row r="7219">
      <c r="A7219" s="140" t="s">
        <v>15442</v>
      </c>
      <c r="B7219" s="140" t="s">
        <v>15488</v>
      </c>
      <c r="C7219" s="140" t="s">
        <v>15489</v>
      </c>
      <c r="D7219" s="140" t="s">
        <v>7874</v>
      </c>
      <c r="E7219" s="140" t="s">
        <v>7879</v>
      </c>
      <c r="F7219" s="140" t="s">
        <v>15468</v>
      </c>
      <c r="G7219" s="141" t="s">
        <v>6401</v>
      </c>
      <c r="H7219" s="140" t="s">
        <v>6312</v>
      </c>
      <c r="I7219" s="140" t="s">
        <v>6313</v>
      </c>
      <c r="J7219" s="140" t="s">
        <v>6314</v>
      </c>
      <c r="K7219" s="140" t="s">
        <v>15445</v>
      </c>
    </row>
    <row r="7220">
      <c r="A7220" s="140" t="s">
        <v>15442</v>
      </c>
      <c r="B7220" s="140" t="s">
        <v>15490</v>
      </c>
      <c r="C7220" s="140" t="s">
        <v>15491</v>
      </c>
      <c r="D7220" s="140" t="s">
        <v>7874</v>
      </c>
      <c r="E7220" s="140" t="s">
        <v>7879</v>
      </c>
      <c r="F7220" s="140" t="s">
        <v>15468</v>
      </c>
      <c r="G7220" s="141" t="s">
        <v>6401</v>
      </c>
      <c r="H7220" s="140" t="s">
        <v>6312</v>
      </c>
      <c r="I7220" s="140" t="s">
        <v>6313</v>
      </c>
      <c r="J7220" s="140" t="s">
        <v>6314</v>
      </c>
      <c r="K7220" s="140" t="s">
        <v>15445</v>
      </c>
    </row>
    <row r="7221">
      <c r="A7221" s="140" t="s">
        <v>15442</v>
      </c>
      <c r="B7221" s="140" t="s">
        <v>15492</v>
      </c>
      <c r="C7221" s="140" t="s">
        <v>15493</v>
      </c>
      <c r="D7221" s="140" t="s">
        <v>7874</v>
      </c>
      <c r="E7221" s="140" t="s">
        <v>7879</v>
      </c>
      <c r="F7221" s="140" t="s">
        <v>15468</v>
      </c>
      <c r="G7221" s="141" t="s">
        <v>6401</v>
      </c>
      <c r="H7221" s="140" t="s">
        <v>6312</v>
      </c>
      <c r="I7221" s="140" t="s">
        <v>6313</v>
      </c>
      <c r="J7221" s="140" t="s">
        <v>6314</v>
      </c>
      <c r="K7221" s="140" t="s">
        <v>15445</v>
      </c>
    </row>
    <row r="7222">
      <c r="A7222" s="140" t="s">
        <v>15442</v>
      </c>
      <c r="B7222" s="140" t="s">
        <v>15494</v>
      </c>
      <c r="C7222" s="140" t="s">
        <v>15495</v>
      </c>
      <c r="D7222" s="140" t="s">
        <v>7874</v>
      </c>
      <c r="E7222" s="140" t="s">
        <v>7879</v>
      </c>
      <c r="F7222" s="140" t="s">
        <v>15468</v>
      </c>
      <c r="G7222" s="141" t="s">
        <v>6401</v>
      </c>
      <c r="H7222" s="140" t="s">
        <v>6312</v>
      </c>
      <c r="I7222" s="140" t="s">
        <v>6313</v>
      </c>
      <c r="J7222" s="140" t="s">
        <v>6314</v>
      </c>
      <c r="K7222" s="140" t="s">
        <v>15445</v>
      </c>
    </row>
    <row r="7223">
      <c r="A7223" s="140" t="s">
        <v>15442</v>
      </c>
      <c r="B7223" s="140" t="s">
        <v>15496</v>
      </c>
      <c r="C7223" s="140" t="s">
        <v>15497</v>
      </c>
      <c r="D7223" s="140" t="s">
        <v>7874</v>
      </c>
      <c r="E7223" s="140" t="s">
        <v>7879</v>
      </c>
      <c r="F7223" s="140" t="s">
        <v>15468</v>
      </c>
      <c r="G7223" s="141" t="s">
        <v>6401</v>
      </c>
      <c r="H7223" s="140" t="s">
        <v>6312</v>
      </c>
      <c r="I7223" s="140" t="s">
        <v>6313</v>
      </c>
      <c r="J7223" s="140" t="s">
        <v>6314</v>
      </c>
      <c r="K7223" s="140" t="s">
        <v>15445</v>
      </c>
    </row>
    <row r="7224">
      <c r="A7224" s="140" t="s">
        <v>15442</v>
      </c>
      <c r="B7224" s="140" t="s">
        <v>15498</v>
      </c>
      <c r="C7224" s="140" t="s">
        <v>15499</v>
      </c>
      <c r="D7224" s="140" t="s">
        <v>7874</v>
      </c>
      <c r="E7224" s="140" t="s">
        <v>7879</v>
      </c>
      <c r="F7224" s="140" t="s">
        <v>15468</v>
      </c>
      <c r="G7224" s="141" t="s">
        <v>6401</v>
      </c>
      <c r="H7224" s="140" t="s">
        <v>6312</v>
      </c>
      <c r="I7224" s="140" t="s">
        <v>6313</v>
      </c>
      <c r="J7224" s="140" t="s">
        <v>6314</v>
      </c>
      <c r="K7224" s="140" t="s">
        <v>15445</v>
      </c>
    </row>
    <row r="7225">
      <c r="A7225" s="140" t="s">
        <v>15442</v>
      </c>
      <c r="B7225" s="140" t="s">
        <v>15500</v>
      </c>
      <c r="C7225" s="140" t="s">
        <v>15501</v>
      </c>
      <c r="D7225" s="140" t="s">
        <v>7874</v>
      </c>
      <c r="E7225" s="140" t="s">
        <v>7879</v>
      </c>
      <c r="F7225" s="140" t="s">
        <v>15468</v>
      </c>
      <c r="G7225" s="141" t="s">
        <v>6401</v>
      </c>
      <c r="H7225" s="140" t="s">
        <v>6312</v>
      </c>
      <c r="I7225" s="140" t="s">
        <v>6313</v>
      </c>
      <c r="J7225" s="140" t="s">
        <v>6314</v>
      </c>
      <c r="K7225" s="140" t="s">
        <v>15445</v>
      </c>
    </row>
    <row r="7226">
      <c r="A7226" s="140" t="s">
        <v>15442</v>
      </c>
      <c r="B7226" s="140" t="s">
        <v>15502</v>
      </c>
      <c r="C7226" s="140" t="s">
        <v>15503</v>
      </c>
      <c r="D7226" s="140" t="s">
        <v>7874</v>
      </c>
      <c r="E7226" s="140" t="s">
        <v>7879</v>
      </c>
      <c r="F7226" s="140" t="s">
        <v>15468</v>
      </c>
      <c r="G7226" s="141" t="s">
        <v>6401</v>
      </c>
      <c r="H7226" s="140" t="s">
        <v>6312</v>
      </c>
      <c r="I7226" s="140" t="s">
        <v>6313</v>
      </c>
      <c r="J7226" s="140" t="s">
        <v>6314</v>
      </c>
      <c r="K7226" s="140" t="s">
        <v>15445</v>
      </c>
    </row>
    <row r="7227">
      <c r="A7227" s="140" t="s">
        <v>15442</v>
      </c>
      <c r="B7227" s="140" t="s">
        <v>15504</v>
      </c>
      <c r="C7227" s="140" t="s">
        <v>15505</v>
      </c>
      <c r="D7227" s="140" t="s">
        <v>7874</v>
      </c>
      <c r="E7227" s="140" t="s">
        <v>7879</v>
      </c>
      <c r="F7227" s="140" t="s">
        <v>15468</v>
      </c>
      <c r="G7227" s="141" t="s">
        <v>6401</v>
      </c>
      <c r="H7227" s="140" t="s">
        <v>6312</v>
      </c>
      <c r="I7227" s="140" t="s">
        <v>6313</v>
      </c>
      <c r="J7227" s="140" t="s">
        <v>6314</v>
      </c>
      <c r="K7227" s="140" t="s">
        <v>15445</v>
      </c>
    </row>
    <row r="7228">
      <c r="A7228" s="140" t="s">
        <v>15442</v>
      </c>
      <c r="B7228" s="140" t="s">
        <v>15506</v>
      </c>
      <c r="C7228" s="140" t="s">
        <v>15507</v>
      </c>
      <c r="D7228" s="140" t="s">
        <v>7874</v>
      </c>
      <c r="E7228" s="140" t="s">
        <v>7879</v>
      </c>
      <c r="F7228" s="140" t="s">
        <v>15468</v>
      </c>
      <c r="G7228" s="141" t="s">
        <v>6401</v>
      </c>
      <c r="H7228" s="140" t="s">
        <v>6312</v>
      </c>
      <c r="I7228" s="140" t="s">
        <v>6313</v>
      </c>
      <c r="J7228" s="140" t="s">
        <v>6314</v>
      </c>
      <c r="K7228" s="140" t="s">
        <v>15445</v>
      </c>
    </row>
    <row r="7229">
      <c r="A7229" s="140" t="s">
        <v>15442</v>
      </c>
      <c r="B7229" s="140" t="s">
        <v>15508</v>
      </c>
      <c r="C7229" s="140" t="s">
        <v>15509</v>
      </c>
      <c r="D7229" s="140" t="s">
        <v>7874</v>
      </c>
      <c r="E7229" s="140" t="s">
        <v>7879</v>
      </c>
      <c r="F7229" s="140" t="s">
        <v>15468</v>
      </c>
      <c r="G7229" s="141" t="s">
        <v>6401</v>
      </c>
      <c r="H7229" s="140" t="s">
        <v>6312</v>
      </c>
      <c r="I7229" s="140" t="s">
        <v>6313</v>
      </c>
      <c r="J7229" s="140" t="s">
        <v>6314</v>
      </c>
      <c r="K7229" s="140" t="s">
        <v>15445</v>
      </c>
    </row>
    <row r="7230">
      <c r="A7230" s="140" t="s">
        <v>15442</v>
      </c>
      <c r="B7230" s="140" t="s">
        <v>5524</v>
      </c>
      <c r="C7230" s="140" t="s">
        <v>15510</v>
      </c>
      <c r="D7230" s="140" t="s">
        <v>7874</v>
      </c>
      <c r="E7230" s="140" t="s">
        <v>7879</v>
      </c>
      <c r="F7230" s="140" t="s">
        <v>15468</v>
      </c>
      <c r="G7230" s="141" t="s">
        <v>6401</v>
      </c>
      <c r="H7230" s="140" t="s">
        <v>6312</v>
      </c>
      <c r="I7230" s="140" t="s">
        <v>6313</v>
      </c>
      <c r="J7230" s="140" t="s">
        <v>6314</v>
      </c>
      <c r="K7230" s="140" t="s">
        <v>15445</v>
      </c>
    </row>
    <row r="7231">
      <c r="A7231" s="140" t="s">
        <v>15442</v>
      </c>
      <c r="B7231" s="140" t="s">
        <v>5526</v>
      </c>
      <c r="C7231" s="140" t="s">
        <v>15511</v>
      </c>
      <c r="D7231" s="140" t="s">
        <v>7874</v>
      </c>
      <c r="E7231" s="140" t="s">
        <v>7879</v>
      </c>
      <c r="F7231" s="140" t="s">
        <v>15468</v>
      </c>
      <c r="G7231" s="141" t="s">
        <v>6401</v>
      </c>
      <c r="H7231" s="140" t="s">
        <v>6312</v>
      </c>
      <c r="I7231" s="140" t="s">
        <v>6313</v>
      </c>
      <c r="J7231" s="140" t="s">
        <v>6314</v>
      </c>
      <c r="K7231" s="140" t="s">
        <v>15445</v>
      </c>
    </row>
    <row r="7232">
      <c r="A7232" s="140" t="s">
        <v>15512</v>
      </c>
      <c r="B7232" s="140" t="s">
        <v>15513</v>
      </c>
      <c r="C7232" s="140" t="s">
        <v>15514</v>
      </c>
      <c r="D7232" s="140" t="s">
        <v>7347</v>
      </c>
      <c r="E7232" s="140">
        <v>0.0</v>
      </c>
      <c r="F7232" s="140" t="s">
        <v>7348</v>
      </c>
      <c r="G7232" s="141" t="s">
        <v>6401</v>
      </c>
      <c r="H7232" s="140" t="s">
        <v>6312</v>
      </c>
      <c r="I7232" s="140" t="s">
        <v>6313</v>
      </c>
      <c r="J7232" s="140" t="s">
        <v>6314</v>
      </c>
      <c r="K7232" s="140" t="s">
        <v>9070</v>
      </c>
    </row>
    <row r="7233">
      <c r="A7233" s="140" t="s">
        <v>1437</v>
      </c>
      <c r="B7233" s="140" t="s">
        <v>1446</v>
      </c>
      <c r="C7233" s="140" t="s">
        <v>15515</v>
      </c>
      <c r="D7233" s="140" t="s">
        <v>9064</v>
      </c>
      <c r="E7233" s="140" t="s">
        <v>1438</v>
      </c>
      <c r="F7233" s="140" t="s">
        <v>1439</v>
      </c>
      <c r="G7233" s="141" t="s">
        <v>6311</v>
      </c>
      <c r="H7233" s="140" t="s">
        <v>6330</v>
      </c>
      <c r="I7233" s="140" t="s">
        <v>6313</v>
      </c>
      <c r="J7233" s="140" t="s">
        <v>6319</v>
      </c>
      <c r="K7233" s="140" t="s">
        <v>1573</v>
      </c>
    </row>
    <row r="7234">
      <c r="A7234" s="140" t="s">
        <v>1437</v>
      </c>
      <c r="B7234" s="140" t="s">
        <v>1444</v>
      </c>
      <c r="C7234" s="140" t="s">
        <v>2201</v>
      </c>
      <c r="D7234" s="140" t="s">
        <v>9064</v>
      </c>
      <c r="E7234" s="140" t="s">
        <v>1438</v>
      </c>
      <c r="F7234" s="140" t="s">
        <v>1439</v>
      </c>
      <c r="G7234" s="141" t="s">
        <v>6401</v>
      </c>
      <c r="H7234" s="140" t="s">
        <v>6330</v>
      </c>
      <c r="I7234" s="140" t="s">
        <v>6313</v>
      </c>
      <c r="J7234" s="140" t="s">
        <v>6319</v>
      </c>
      <c r="K7234" s="140" t="s">
        <v>1573</v>
      </c>
    </row>
    <row r="7235">
      <c r="A7235" s="140" t="s">
        <v>1437</v>
      </c>
      <c r="B7235" s="143">
        <v>1.66086E12</v>
      </c>
      <c r="C7235" s="140" t="s">
        <v>2203</v>
      </c>
      <c r="D7235" s="140" t="s">
        <v>9064</v>
      </c>
      <c r="E7235" s="140" t="s">
        <v>1438</v>
      </c>
      <c r="F7235" s="140" t="s">
        <v>1439</v>
      </c>
      <c r="G7235" s="141" t="s">
        <v>6664</v>
      </c>
      <c r="H7235" s="140" t="s">
        <v>6330</v>
      </c>
      <c r="I7235" s="140" t="s">
        <v>6313</v>
      </c>
      <c r="J7235" s="140" t="s">
        <v>6319</v>
      </c>
      <c r="K7235" s="140" t="s">
        <v>1573</v>
      </c>
    </row>
    <row r="7236">
      <c r="A7236" s="140" t="s">
        <v>1437</v>
      </c>
      <c r="B7236" s="143">
        <v>1.6566E12</v>
      </c>
      <c r="C7236" s="140" t="s">
        <v>2205</v>
      </c>
      <c r="D7236" s="140" t="s">
        <v>9064</v>
      </c>
      <c r="E7236" s="140" t="s">
        <v>1438</v>
      </c>
      <c r="F7236" s="140" t="s">
        <v>1439</v>
      </c>
      <c r="G7236" s="141" t="s">
        <v>6742</v>
      </c>
      <c r="H7236" s="140" t="s">
        <v>6330</v>
      </c>
      <c r="I7236" s="140" t="s">
        <v>6313</v>
      </c>
      <c r="J7236" s="140" t="s">
        <v>6319</v>
      </c>
      <c r="K7236" s="140" t="s">
        <v>1573</v>
      </c>
    </row>
    <row r="7237">
      <c r="A7237" s="140" t="s">
        <v>1437</v>
      </c>
      <c r="B7237" s="140" t="s">
        <v>15516</v>
      </c>
      <c r="C7237" s="140" t="s">
        <v>15517</v>
      </c>
      <c r="D7237" s="140" t="s">
        <v>9064</v>
      </c>
      <c r="E7237" s="140" t="s">
        <v>1438</v>
      </c>
      <c r="F7237" s="140" t="s">
        <v>1439</v>
      </c>
      <c r="G7237" s="141" t="s">
        <v>6304</v>
      </c>
      <c r="H7237" s="140" t="s">
        <v>6312</v>
      </c>
      <c r="I7237" s="140" t="s">
        <v>6527</v>
      </c>
      <c r="J7237" s="140" t="s">
        <v>6319</v>
      </c>
      <c r="K7237" s="140" t="s">
        <v>1573</v>
      </c>
    </row>
    <row r="7238">
      <c r="A7238" s="140" t="s">
        <v>1437</v>
      </c>
      <c r="B7238" s="140" t="s">
        <v>2207</v>
      </c>
      <c r="C7238" s="140" t="s">
        <v>2209</v>
      </c>
      <c r="D7238" s="140" t="s">
        <v>9064</v>
      </c>
      <c r="E7238" s="140" t="s">
        <v>1438</v>
      </c>
      <c r="F7238" s="140" t="s">
        <v>1439</v>
      </c>
      <c r="G7238" s="141" t="s">
        <v>6311</v>
      </c>
      <c r="H7238" s="140" t="s">
        <v>6330</v>
      </c>
      <c r="I7238" s="140" t="s">
        <v>6313</v>
      </c>
      <c r="J7238" s="140" t="s">
        <v>6319</v>
      </c>
      <c r="K7238" s="140" t="s">
        <v>1573</v>
      </c>
    </row>
    <row r="7239">
      <c r="A7239" s="140" t="s">
        <v>1437</v>
      </c>
      <c r="B7239" s="140" t="s">
        <v>15518</v>
      </c>
      <c r="C7239" s="140" t="s">
        <v>15519</v>
      </c>
      <c r="D7239" s="140" t="s">
        <v>9064</v>
      </c>
      <c r="E7239" s="140" t="s">
        <v>1438</v>
      </c>
      <c r="F7239" s="140" t="s">
        <v>1439</v>
      </c>
      <c r="G7239" s="141" t="s">
        <v>6304</v>
      </c>
      <c r="H7239" s="140" t="s">
        <v>6312</v>
      </c>
      <c r="I7239" s="140" t="s">
        <v>6527</v>
      </c>
      <c r="J7239" s="140" t="s">
        <v>6319</v>
      </c>
      <c r="K7239" s="140" t="s">
        <v>1573</v>
      </c>
    </row>
    <row r="7240">
      <c r="A7240" s="140" t="s">
        <v>1437</v>
      </c>
      <c r="B7240" s="143">
        <v>6.78983E13</v>
      </c>
      <c r="C7240" s="140" t="s">
        <v>15520</v>
      </c>
      <c r="D7240" s="140" t="s">
        <v>9064</v>
      </c>
      <c r="E7240" s="140" t="s">
        <v>1438</v>
      </c>
      <c r="F7240" s="140" t="s">
        <v>1439</v>
      </c>
      <c r="G7240" s="141" t="s">
        <v>6401</v>
      </c>
      <c r="H7240" s="140" t="s">
        <v>6312</v>
      </c>
      <c r="I7240" s="140" t="s">
        <v>6313</v>
      </c>
      <c r="J7240" s="140" t="s">
        <v>6319</v>
      </c>
      <c r="K7240" s="140" t="s">
        <v>1573</v>
      </c>
    </row>
    <row r="7241">
      <c r="A7241" s="140" t="s">
        <v>1437</v>
      </c>
      <c r="B7241" s="140" t="s">
        <v>2210</v>
      </c>
      <c r="C7241" s="140" t="s">
        <v>2213</v>
      </c>
      <c r="D7241" s="140" t="s">
        <v>9064</v>
      </c>
      <c r="E7241" s="140" t="s">
        <v>1438</v>
      </c>
      <c r="F7241" s="140" t="s">
        <v>2211</v>
      </c>
      <c r="G7241" s="141" t="s">
        <v>6311</v>
      </c>
      <c r="H7241" s="140" t="s">
        <v>6330</v>
      </c>
      <c r="I7241" s="140" t="s">
        <v>6313</v>
      </c>
      <c r="J7241" s="140" t="s">
        <v>6319</v>
      </c>
      <c r="K7241" s="140" t="s">
        <v>1573</v>
      </c>
    </row>
    <row r="7242">
      <c r="A7242" s="140" t="s">
        <v>1437</v>
      </c>
      <c r="B7242" s="143">
        <v>1.65843E12</v>
      </c>
      <c r="C7242" s="140" t="s">
        <v>15521</v>
      </c>
      <c r="D7242" s="140" t="s">
        <v>9064</v>
      </c>
      <c r="E7242" s="140" t="s">
        <v>1449</v>
      </c>
      <c r="F7242" s="140" t="s">
        <v>1450</v>
      </c>
      <c r="G7242" s="141" t="s">
        <v>6401</v>
      </c>
      <c r="H7242" s="140" t="s">
        <v>6312</v>
      </c>
      <c r="I7242" s="140" t="s">
        <v>6313</v>
      </c>
      <c r="J7242" s="140" t="s">
        <v>6319</v>
      </c>
      <c r="K7242" s="140" t="s">
        <v>1573</v>
      </c>
    </row>
    <row r="7243">
      <c r="A7243" s="140" t="s">
        <v>1437</v>
      </c>
      <c r="B7243" s="143">
        <v>1.65844E12</v>
      </c>
      <c r="C7243" s="140" t="s">
        <v>15522</v>
      </c>
      <c r="D7243" s="140" t="s">
        <v>9064</v>
      </c>
      <c r="E7243" s="140" t="s">
        <v>1449</v>
      </c>
      <c r="F7243" s="140" t="s">
        <v>1450</v>
      </c>
      <c r="G7243" s="141" t="s">
        <v>6401</v>
      </c>
      <c r="H7243" s="140" t="s">
        <v>6312</v>
      </c>
      <c r="I7243" s="140" t="s">
        <v>6313</v>
      </c>
      <c r="J7243" s="140" t="s">
        <v>6319</v>
      </c>
      <c r="K7243" s="140" t="s">
        <v>1573</v>
      </c>
    </row>
    <row r="7244">
      <c r="A7244" s="140" t="s">
        <v>1437</v>
      </c>
      <c r="B7244" s="143">
        <v>6.73275E13</v>
      </c>
      <c r="C7244" s="140" t="s">
        <v>1453</v>
      </c>
      <c r="D7244" s="140" t="s">
        <v>9064</v>
      </c>
      <c r="E7244" s="140" t="s">
        <v>1449</v>
      </c>
      <c r="F7244" s="140" t="s">
        <v>1450</v>
      </c>
      <c r="G7244" s="141" t="s">
        <v>6401</v>
      </c>
      <c r="H7244" s="140" t="s">
        <v>6312</v>
      </c>
      <c r="I7244" s="140" t="s">
        <v>6313</v>
      </c>
      <c r="J7244" s="140" t="s">
        <v>6319</v>
      </c>
      <c r="K7244" s="140" t="s">
        <v>1573</v>
      </c>
    </row>
    <row r="7245">
      <c r="A7245" s="140" t="s">
        <v>1437</v>
      </c>
      <c r="B7245" s="143">
        <v>1.6503E12</v>
      </c>
      <c r="C7245" s="140" t="s">
        <v>2214</v>
      </c>
      <c r="D7245" s="140" t="s">
        <v>9064</v>
      </c>
      <c r="E7245" s="140" t="s">
        <v>1449</v>
      </c>
      <c r="F7245" s="140" t="s">
        <v>1452</v>
      </c>
      <c r="G7245" s="141" t="s">
        <v>6668</v>
      </c>
      <c r="H7245" s="140" t="s">
        <v>6330</v>
      </c>
      <c r="I7245" s="140" t="s">
        <v>6313</v>
      </c>
      <c r="J7245" s="140" t="s">
        <v>6319</v>
      </c>
      <c r="K7245" s="140" t="s">
        <v>1573</v>
      </c>
    </row>
    <row r="7246">
      <c r="A7246" s="140" t="s">
        <v>1437</v>
      </c>
      <c r="B7246" s="140" t="s">
        <v>15523</v>
      </c>
      <c r="C7246" s="140" t="s">
        <v>15522</v>
      </c>
      <c r="D7246" s="140" t="s">
        <v>9064</v>
      </c>
      <c r="E7246" s="140" t="s">
        <v>1449</v>
      </c>
      <c r="F7246" s="140" t="s">
        <v>1452</v>
      </c>
      <c r="G7246" s="141" t="s">
        <v>6304</v>
      </c>
      <c r="H7246" s="140" t="s">
        <v>6312</v>
      </c>
      <c r="I7246" s="140" t="s">
        <v>6527</v>
      </c>
      <c r="J7246" s="140" t="s">
        <v>6319</v>
      </c>
      <c r="K7246" s="140" t="s">
        <v>1573</v>
      </c>
    </row>
    <row r="7247">
      <c r="A7247" s="140" t="s">
        <v>1437</v>
      </c>
      <c r="B7247" s="143">
        <v>1.6503E12</v>
      </c>
      <c r="C7247" s="140" t="s">
        <v>15522</v>
      </c>
      <c r="D7247" s="140" t="s">
        <v>9064</v>
      </c>
      <c r="E7247" s="140" t="s">
        <v>1449</v>
      </c>
      <c r="F7247" s="140" t="s">
        <v>1452</v>
      </c>
      <c r="G7247" s="141" t="s">
        <v>6401</v>
      </c>
      <c r="H7247" s="140" t="s">
        <v>6312</v>
      </c>
      <c r="I7247" s="140" t="s">
        <v>6313</v>
      </c>
      <c r="J7247" s="140" t="s">
        <v>6319</v>
      </c>
      <c r="K7247" s="140" t="s">
        <v>1573</v>
      </c>
    </row>
    <row r="7248">
      <c r="A7248" s="140" t="s">
        <v>1437</v>
      </c>
      <c r="B7248" s="140" t="s">
        <v>15524</v>
      </c>
      <c r="C7248" s="140" t="s">
        <v>15525</v>
      </c>
      <c r="D7248" s="140" t="s">
        <v>9064</v>
      </c>
      <c r="E7248" s="140" t="s">
        <v>1449</v>
      </c>
      <c r="F7248" s="140" t="s">
        <v>1452</v>
      </c>
      <c r="G7248" s="141" t="s">
        <v>6304</v>
      </c>
      <c r="H7248" s="140" t="s">
        <v>6312</v>
      </c>
      <c r="I7248" s="140" t="s">
        <v>6527</v>
      </c>
      <c r="J7248" s="140" t="s">
        <v>6319</v>
      </c>
      <c r="K7248" s="140" t="s">
        <v>1573</v>
      </c>
    </row>
    <row r="7249">
      <c r="A7249" s="140" t="s">
        <v>1437</v>
      </c>
      <c r="B7249" s="140" t="s">
        <v>15526</v>
      </c>
      <c r="C7249" s="140" t="s">
        <v>15527</v>
      </c>
      <c r="D7249" s="140" t="s">
        <v>9064</v>
      </c>
      <c r="E7249" s="140" t="s">
        <v>1449</v>
      </c>
      <c r="F7249" s="140" t="s">
        <v>1452</v>
      </c>
      <c r="G7249" s="141" t="s">
        <v>6304</v>
      </c>
      <c r="H7249" s="140" t="s">
        <v>6312</v>
      </c>
      <c r="I7249" s="140" t="s">
        <v>6527</v>
      </c>
      <c r="J7249" s="140" t="s">
        <v>6319</v>
      </c>
      <c r="K7249" s="140" t="s">
        <v>1573</v>
      </c>
    </row>
    <row r="7250">
      <c r="A7250" s="140" t="s">
        <v>1437</v>
      </c>
      <c r="B7250" s="143">
        <v>1.6503E12</v>
      </c>
      <c r="C7250" s="140" t="s">
        <v>2216</v>
      </c>
      <c r="D7250" s="140" t="s">
        <v>9064</v>
      </c>
      <c r="E7250" s="140" t="s">
        <v>1449</v>
      </c>
      <c r="F7250" s="140" t="s">
        <v>1452</v>
      </c>
      <c r="G7250" s="141" t="s">
        <v>6664</v>
      </c>
      <c r="H7250" s="140" t="s">
        <v>6330</v>
      </c>
      <c r="I7250" s="140" t="s">
        <v>6313</v>
      </c>
      <c r="J7250" s="140" t="s">
        <v>6319</v>
      </c>
      <c r="K7250" s="140" t="s">
        <v>1573</v>
      </c>
    </row>
    <row r="7251">
      <c r="A7251" s="140" t="s">
        <v>1437</v>
      </c>
      <c r="B7251" s="140" t="s">
        <v>2217</v>
      </c>
      <c r="C7251" s="140" t="s">
        <v>2219</v>
      </c>
      <c r="D7251" s="140" t="s">
        <v>9064</v>
      </c>
      <c r="E7251" s="140" t="s">
        <v>1449</v>
      </c>
      <c r="F7251" s="140" t="s">
        <v>1452</v>
      </c>
      <c r="G7251" s="141" t="s">
        <v>6664</v>
      </c>
      <c r="H7251" s="140" t="s">
        <v>6330</v>
      </c>
      <c r="I7251" s="140" t="s">
        <v>6313</v>
      </c>
      <c r="J7251" s="140" t="s">
        <v>6319</v>
      </c>
      <c r="K7251" s="140" t="s">
        <v>1573</v>
      </c>
    </row>
    <row r="7252">
      <c r="A7252" s="140" t="s">
        <v>1437</v>
      </c>
      <c r="B7252" s="143">
        <v>1.6503E12</v>
      </c>
      <c r="C7252" s="140" t="s">
        <v>15528</v>
      </c>
      <c r="D7252" s="140" t="s">
        <v>9064</v>
      </c>
      <c r="E7252" s="140" t="s">
        <v>1449</v>
      </c>
      <c r="F7252" s="140" t="s">
        <v>15529</v>
      </c>
      <c r="G7252" s="141" t="s">
        <v>6401</v>
      </c>
      <c r="H7252" s="140" t="s">
        <v>6314</v>
      </c>
      <c r="I7252" s="140" t="s">
        <v>6313</v>
      </c>
      <c r="J7252" s="140" t="s">
        <v>6319</v>
      </c>
      <c r="K7252" s="140" t="s">
        <v>1573</v>
      </c>
    </row>
    <row r="7253">
      <c r="A7253" s="140" t="s">
        <v>1437</v>
      </c>
      <c r="B7253" s="143">
        <v>1.6503E12</v>
      </c>
      <c r="C7253" s="140" t="s">
        <v>15530</v>
      </c>
      <c r="D7253" s="140" t="s">
        <v>9064</v>
      </c>
      <c r="E7253" s="140" t="s">
        <v>1449</v>
      </c>
      <c r="F7253" s="140" t="s">
        <v>15529</v>
      </c>
      <c r="G7253" s="141" t="s">
        <v>6401</v>
      </c>
      <c r="H7253" s="140" t="s">
        <v>6312</v>
      </c>
      <c r="I7253" s="140" t="s">
        <v>6313</v>
      </c>
      <c r="J7253" s="140" t="s">
        <v>6319</v>
      </c>
      <c r="K7253" s="140" t="s">
        <v>1573</v>
      </c>
    </row>
    <row r="7254">
      <c r="A7254" s="140" t="s">
        <v>1437</v>
      </c>
      <c r="B7254" s="143">
        <v>6.9746E13</v>
      </c>
      <c r="C7254" s="140" t="s">
        <v>15531</v>
      </c>
      <c r="D7254" s="140" t="s">
        <v>9064</v>
      </c>
      <c r="E7254" s="140" t="s">
        <v>1449</v>
      </c>
      <c r="F7254" s="140" t="s">
        <v>1455</v>
      </c>
      <c r="G7254" s="141" t="s">
        <v>6401</v>
      </c>
      <c r="H7254" s="140" t="s">
        <v>6314</v>
      </c>
      <c r="I7254" s="140" t="s">
        <v>6313</v>
      </c>
      <c r="J7254" s="140" t="s">
        <v>6319</v>
      </c>
      <c r="K7254" s="140" t="s">
        <v>1573</v>
      </c>
    </row>
    <row r="7255">
      <c r="A7255" s="140" t="s">
        <v>1437</v>
      </c>
      <c r="B7255" s="143">
        <v>7.07144E13</v>
      </c>
      <c r="C7255" s="140" t="s">
        <v>15532</v>
      </c>
      <c r="D7255" s="140" t="s">
        <v>9064</v>
      </c>
      <c r="E7255" s="140" t="s">
        <v>1449</v>
      </c>
      <c r="F7255" s="140" t="s">
        <v>1455</v>
      </c>
      <c r="G7255" s="141" t="s">
        <v>6401</v>
      </c>
      <c r="H7255" s="140" t="s">
        <v>6314</v>
      </c>
      <c r="I7255" s="140" t="s">
        <v>6313</v>
      </c>
      <c r="J7255" s="140" t="s">
        <v>6319</v>
      </c>
      <c r="K7255" s="140" t="s">
        <v>1573</v>
      </c>
    </row>
    <row r="7256">
      <c r="A7256" s="140" t="s">
        <v>1437</v>
      </c>
      <c r="B7256" s="143">
        <v>6.9746E13</v>
      </c>
      <c r="C7256" s="140" t="s">
        <v>2220</v>
      </c>
      <c r="D7256" s="140" t="s">
        <v>9064</v>
      </c>
      <c r="E7256" s="140" t="s">
        <v>1449</v>
      </c>
      <c r="F7256" s="140" t="s">
        <v>1455</v>
      </c>
      <c r="G7256" s="141" t="s">
        <v>15533</v>
      </c>
      <c r="H7256" s="140" t="s">
        <v>6330</v>
      </c>
      <c r="I7256" s="140" t="s">
        <v>6313</v>
      </c>
      <c r="J7256" s="140" t="s">
        <v>6319</v>
      </c>
      <c r="K7256" s="140" t="s">
        <v>1573</v>
      </c>
    </row>
    <row r="7257">
      <c r="A7257" s="140" t="s">
        <v>1437</v>
      </c>
      <c r="B7257" s="143">
        <v>1.6503E12</v>
      </c>
      <c r="C7257" s="140" t="s">
        <v>15534</v>
      </c>
      <c r="D7257" s="140" t="s">
        <v>9064</v>
      </c>
      <c r="E7257" s="154" t="s">
        <v>1449</v>
      </c>
      <c r="F7257" s="154" t="s">
        <v>1457</v>
      </c>
      <c r="G7257" s="141" t="s">
        <v>6401</v>
      </c>
      <c r="H7257" s="140" t="s">
        <v>6312</v>
      </c>
      <c r="I7257" s="140" t="s">
        <v>6313</v>
      </c>
      <c r="J7257" s="140" t="s">
        <v>6319</v>
      </c>
      <c r="K7257" s="140" t="s">
        <v>1573</v>
      </c>
    </row>
    <row r="7258">
      <c r="A7258" s="140" t="s">
        <v>1437</v>
      </c>
      <c r="B7258" s="143">
        <v>6.79078E13</v>
      </c>
      <c r="C7258" s="140" t="s">
        <v>15535</v>
      </c>
      <c r="D7258" s="140" t="s">
        <v>9064</v>
      </c>
      <c r="E7258" s="140" t="s">
        <v>1449</v>
      </c>
      <c r="F7258" s="140" t="s">
        <v>1457</v>
      </c>
      <c r="G7258" s="141" t="s">
        <v>6401</v>
      </c>
      <c r="H7258" s="140" t="s">
        <v>6312</v>
      </c>
      <c r="I7258" s="140" t="s">
        <v>6313</v>
      </c>
      <c r="J7258" s="140" t="s">
        <v>6319</v>
      </c>
      <c r="K7258" s="140" t="s">
        <v>1573</v>
      </c>
    </row>
    <row r="7259">
      <c r="A7259" s="140" t="s">
        <v>1437</v>
      </c>
      <c r="B7259" s="143">
        <v>1.6503E12</v>
      </c>
      <c r="C7259" s="140" t="s">
        <v>2221</v>
      </c>
      <c r="D7259" s="140" t="s">
        <v>9064</v>
      </c>
      <c r="E7259" s="140" t="s">
        <v>1449</v>
      </c>
      <c r="F7259" s="140" t="s">
        <v>1457</v>
      </c>
      <c r="G7259" s="141" t="s">
        <v>6668</v>
      </c>
      <c r="H7259" s="140" t="s">
        <v>6330</v>
      </c>
      <c r="I7259" s="140" t="s">
        <v>6313</v>
      </c>
      <c r="J7259" s="140" t="s">
        <v>6319</v>
      </c>
      <c r="K7259" s="140" t="s">
        <v>1573</v>
      </c>
    </row>
    <row r="7260">
      <c r="A7260" s="140" t="s">
        <v>1437</v>
      </c>
      <c r="B7260" s="140" t="s">
        <v>1464</v>
      </c>
      <c r="C7260" s="140" t="s">
        <v>2225</v>
      </c>
      <c r="D7260" s="140" t="s">
        <v>9064</v>
      </c>
      <c r="E7260" s="140" t="s">
        <v>513</v>
      </c>
      <c r="F7260" s="140" t="s">
        <v>15536</v>
      </c>
      <c r="G7260" s="141" t="s">
        <v>6401</v>
      </c>
      <c r="H7260" s="140" t="s">
        <v>6330</v>
      </c>
      <c r="I7260" s="140" t="s">
        <v>6313</v>
      </c>
      <c r="J7260" s="140" t="s">
        <v>6319</v>
      </c>
      <c r="K7260" s="140" t="s">
        <v>1573</v>
      </c>
    </row>
    <row r="7261">
      <c r="A7261" s="140" t="s">
        <v>1437</v>
      </c>
      <c r="B7261" s="140" t="s">
        <v>1462</v>
      </c>
      <c r="C7261" s="140" t="s">
        <v>2224</v>
      </c>
      <c r="D7261" s="140" t="s">
        <v>9064</v>
      </c>
      <c r="E7261" s="140" t="s">
        <v>513</v>
      </c>
      <c r="F7261" s="140" t="s">
        <v>10254</v>
      </c>
      <c r="G7261" s="141" t="s">
        <v>6668</v>
      </c>
      <c r="H7261" s="140" t="s">
        <v>6330</v>
      </c>
      <c r="I7261" s="140" t="s">
        <v>6313</v>
      </c>
      <c r="J7261" s="140" t="s">
        <v>6319</v>
      </c>
      <c r="K7261" s="140" t="s">
        <v>1573</v>
      </c>
    </row>
    <row r="7262">
      <c r="A7262" s="140" t="s">
        <v>1437</v>
      </c>
      <c r="B7262" s="143">
        <v>1.66086E12</v>
      </c>
      <c r="C7262" s="140" t="s">
        <v>11486</v>
      </c>
      <c r="D7262" s="140" t="s">
        <v>9064</v>
      </c>
      <c r="E7262" s="140" t="s">
        <v>513</v>
      </c>
      <c r="F7262" s="140" t="s">
        <v>519</v>
      </c>
      <c r="G7262" s="141" t="s">
        <v>6742</v>
      </c>
      <c r="H7262" s="140" t="s">
        <v>6312</v>
      </c>
      <c r="I7262" s="140" t="s">
        <v>6313</v>
      </c>
      <c r="J7262" s="140" t="s">
        <v>6319</v>
      </c>
      <c r="K7262" s="140" t="s">
        <v>1573</v>
      </c>
    </row>
    <row r="7263">
      <c r="A7263" s="140" t="s">
        <v>1437</v>
      </c>
      <c r="B7263" s="140" t="s">
        <v>1468</v>
      </c>
      <c r="C7263" s="140" t="s">
        <v>2227</v>
      </c>
      <c r="D7263" s="140" t="s">
        <v>9064</v>
      </c>
      <c r="E7263" s="140" t="s">
        <v>1465</v>
      </c>
      <c r="F7263" s="140" t="s">
        <v>1466</v>
      </c>
      <c r="G7263" s="141" t="s">
        <v>6668</v>
      </c>
      <c r="H7263" s="140" t="s">
        <v>6330</v>
      </c>
      <c r="I7263" s="140" t="s">
        <v>6313</v>
      </c>
      <c r="J7263" s="140" t="s">
        <v>6319</v>
      </c>
      <c r="K7263" s="140" t="s">
        <v>1573</v>
      </c>
    </row>
    <row r="7264">
      <c r="A7264" s="140" t="s">
        <v>1437</v>
      </c>
      <c r="B7264" s="140" t="s">
        <v>1473</v>
      </c>
      <c r="C7264" s="140" t="s">
        <v>2228</v>
      </c>
      <c r="D7264" s="140" t="s">
        <v>9064</v>
      </c>
      <c r="E7264" s="140" t="s">
        <v>1465</v>
      </c>
      <c r="F7264" s="140" t="s">
        <v>1471</v>
      </c>
      <c r="G7264" s="141" t="s">
        <v>6742</v>
      </c>
      <c r="H7264" s="140" t="s">
        <v>6312</v>
      </c>
      <c r="I7264" s="140" t="s">
        <v>6313</v>
      </c>
      <c r="J7264" s="140" t="s">
        <v>6319</v>
      </c>
      <c r="K7264" s="140" t="s">
        <v>1573</v>
      </c>
    </row>
    <row r="7265">
      <c r="A7265" s="140" t="s">
        <v>15537</v>
      </c>
      <c r="B7265" s="140">
        <v>20993.0</v>
      </c>
      <c r="C7265" s="140" t="s">
        <v>15538</v>
      </c>
      <c r="D7265" s="140" t="s">
        <v>6309</v>
      </c>
      <c r="E7265" s="140" t="s">
        <v>21</v>
      </c>
      <c r="F7265" s="140" t="s">
        <v>15539</v>
      </c>
      <c r="G7265" s="141" t="s">
        <v>6311</v>
      </c>
      <c r="H7265" s="140" t="s">
        <v>6312</v>
      </c>
      <c r="I7265" s="140" t="s">
        <v>6313</v>
      </c>
      <c r="J7265" s="140" t="s">
        <v>6314</v>
      </c>
      <c r="K7265" s="140" t="s">
        <v>6315</v>
      </c>
    </row>
    <row r="7266">
      <c r="A7266" s="140" t="s">
        <v>15537</v>
      </c>
      <c r="B7266" s="140">
        <v>26714.0</v>
      </c>
      <c r="C7266" s="140" t="s">
        <v>15540</v>
      </c>
      <c r="D7266" s="140" t="s">
        <v>6309</v>
      </c>
      <c r="E7266" s="140" t="s">
        <v>21</v>
      </c>
      <c r="F7266" s="140" t="s">
        <v>15539</v>
      </c>
      <c r="G7266" s="141" t="s">
        <v>6311</v>
      </c>
      <c r="H7266" s="140" t="s">
        <v>6312</v>
      </c>
      <c r="I7266" s="140" t="s">
        <v>6313</v>
      </c>
      <c r="J7266" s="140" t="s">
        <v>6314</v>
      </c>
      <c r="K7266" s="140" t="s">
        <v>6315</v>
      </c>
    </row>
    <row r="7267">
      <c r="A7267" s="140" t="s">
        <v>15537</v>
      </c>
      <c r="B7267" s="140">
        <v>26713.0</v>
      </c>
      <c r="C7267" s="140" t="s">
        <v>15541</v>
      </c>
      <c r="D7267" s="140" t="s">
        <v>6309</v>
      </c>
      <c r="E7267" s="140" t="s">
        <v>21</v>
      </c>
      <c r="F7267" s="140" t="s">
        <v>15539</v>
      </c>
      <c r="G7267" s="141" t="s">
        <v>6311</v>
      </c>
      <c r="H7267" s="140" t="s">
        <v>6312</v>
      </c>
      <c r="I7267" s="140" t="s">
        <v>6313</v>
      </c>
      <c r="J7267" s="140" t="s">
        <v>6314</v>
      </c>
      <c r="K7267" s="140" t="s">
        <v>6315</v>
      </c>
    </row>
    <row r="7268">
      <c r="A7268" s="140" t="s">
        <v>15537</v>
      </c>
      <c r="B7268" s="140">
        <v>27498.0</v>
      </c>
      <c r="C7268" s="140" t="s">
        <v>15542</v>
      </c>
      <c r="D7268" s="140" t="s">
        <v>6309</v>
      </c>
      <c r="E7268" s="140" t="s">
        <v>21</v>
      </c>
      <c r="F7268" s="140" t="s">
        <v>15539</v>
      </c>
      <c r="G7268" s="141" t="s">
        <v>6311</v>
      </c>
      <c r="H7268" s="140" t="s">
        <v>6312</v>
      </c>
      <c r="I7268" s="140" t="s">
        <v>6313</v>
      </c>
      <c r="J7268" s="140" t="s">
        <v>6314</v>
      </c>
      <c r="K7268" s="140" t="s">
        <v>6315</v>
      </c>
    </row>
    <row r="7269">
      <c r="A7269" s="140" t="s">
        <v>15537</v>
      </c>
      <c r="B7269" s="140">
        <v>26712.0</v>
      </c>
      <c r="C7269" s="140" t="s">
        <v>15543</v>
      </c>
      <c r="D7269" s="140" t="s">
        <v>6309</v>
      </c>
      <c r="E7269" s="140" t="s">
        <v>21</v>
      </c>
      <c r="F7269" s="140" t="s">
        <v>15539</v>
      </c>
      <c r="G7269" s="141" t="s">
        <v>6311</v>
      </c>
      <c r="H7269" s="140" t="s">
        <v>6312</v>
      </c>
      <c r="I7269" s="140" t="s">
        <v>6313</v>
      </c>
      <c r="J7269" s="140" t="s">
        <v>6314</v>
      </c>
      <c r="K7269" s="140" t="s">
        <v>6315</v>
      </c>
    </row>
    <row r="7270">
      <c r="A7270" s="140" t="s">
        <v>15537</v>
      </c>
      <c r="B7270" s="140">
        <v>27693.0</v>
      </c>
      <c r="C7270" s="140" t="s">
        <v>15544</v>
      </c>
      <c r="D7270" s="140" t="s">
        <v>6309</v>
      </c>
      <c r="E7270" s="140" t="s">
        <v>21</v>
      </c>
      <c r="F7270" s="140" t="s">
        <v>15539</v>
      </c>
      <c r="G7270" s="141" t="s">
        <v>6311</v>
      </c>
      <c r="H7270" s="140" t="s">
        <v>6312</v>
      </c>
      <c r="I7270" s="140" t="s">
        <v>6313</v>
      </c>
      <c r="J7270" s="140" t="s">
        <v>6314</v>
      </c>
      <c r="K7270" s="140" t="s">
        <v>6315</v>
      </c>
    </row>
    <row r="7271">
      <c r="A7271" s="140" t="s">
        <v>15537</v>
      </c>
      <c r="B7271" s="140">
        <v>34208.0</v>
      </c>
      <c r="C7271" s="140" t="s">
        <v>15545</v>
      </c>
      <c r="D7271" s="140" t="s">
        <v>6309</v>
      </c>
      <c r="E7271" s="140" t="s">
        <v>21</v>
      </c>
      <c r="F7271" s="140" t="s">
        <v>15539</v>
      </c>
      <c r="G7271" s="141" t="s">
        <v>6311</v>
      </c>
      <c r="H7271" s="140" t="s">
        <v>6312</v>
      </c>
      <c r="I7271" s="140" t="s">
        <v>6313</v>
      </c>
      <c r="J7271" s="140" t="s">
        <v>6314</v>
      </c>
      <c r="K7271" s="140" t="s">
        <v>6315</v>
      </c>
    </row>
    <row r="7272">
      <c r="A7272" s="140" t="s">
        <v>15537</v>
      </c>
      <c r="B7272" s="140">
        <v>20994.0</v>
      </c>
      <c r="C7272" s="140" t="s">
        <v>15546</v>
      </c>
      <c r="D7272" s="140" t="s">
        <v>6309</v>
      </c>
      <c r="E7272" s="140" t="s">
        <v>21</v>
      </c>
      <c r="F7272" s="140" t="s">
        <v>15539</v>
      </c>
      <c r="G7272" s="141" t="s">
        <v>6311</v>
      </c>
      <c r="H7272" s="140" t="s">
        <v>6312</v>
      </c>
      <c r="I7272" s="140" t="s">
        <v>6313</v>
      </c>
      <c r="J7272" s="140" t="s">
        <v>6314</v>
      </c>
      <c r="K7272" s="140" t="s">
        <v>6315</v>
      </c>
    </row>
    <row r="7273">
      <c r="A7273" s="140" t="s">
        <v>15537</v>
      </c>
      <c r="B7273" s="140">
        <v>21660.0</v>
      </c>
      <c r="C7273" s="140" t="s">
        <v>15547</v>
      </c>
      <c r="D7273" s="140" t="s">
        <v>6309</v>
      </c>
      <c r="E7273" s="140" t="s">
        <v>21</v>
      </c>
      <c r="F7273" s="140" t="s">
        <v>15539</v>
      </c>
      <c r="G7273" s="141" t="s">
        <v>6311</v>
      </c>
      <c r="H7273" s="140" t="s">
        <v>6312</v>
      </c>
      <c r="I7273" s="140" t="s">
        <v>6313</v>
      </c>
      <c r="J7273" s="140" t="s">
        <v>6314</v>
      </c>
      <c r="K7273" s="140" t="s">
        <v>6315</v>
      </c>
    </row>
    <row r="7274">
      <c r="A7274" s="140" t="s">
        <v>15537</v>
      </c>
      <c r="B7274" s="140">
        <v>21658.0</v>
      </c>
      <c r="C7274" s="140" t="s">
        <v>15548</v>
      </c>
      <c r="D7274" s="140" t="s">
        <v>6309</v>
      </c>
      <c r="E7274" s="140" t="s">
        <v>21</v>
      </c>
      <c r="F7274" s="140" t="s">
        <v>15539</v>
      </c>
      <c r="G7274" s="141" t="s">
        <v>6311</v>
      </c>
      <c r="H7274" s="140" t="s">
        <v>6312</v>
      </c>
      <c r="I7274" s="140" t="s">
        <v>6313</v>
      </c>
      <c r="J7274" s="140" t="s">
        <v>6314</v>
      </c>
      <c r="K7274" s="140" t="s">
        <v>6315</v>
      </c>
    </row>
    <row r="7275">
      <c r="A7275" s="140" t="s">
        <v>15537</v>
      </c>
      <c r="B7275" s="140">
        <v>26520.0</v>
      </c>
      <c r="C7275" s="140" t="s">
        <v>15549</v>
      </c>
      <c r="D7275" s="140" t="s">
        <v>6309</v>
      </c>
      <c r="E7275" s="140" t="s">
        <v>21</v>
      </c>
      <c r="F7275" s="140" t="s">
        <v>15539</v>
      </c>
      <c r="G7275" s="141" t="s">
        <v>6311</v>
      </c>
      <c r="H7275" s="140" t="s">
        <v>6312</v>
      </c>
      <c r="I7275" s="140" t="s">
        <v>6313</v>
      </c>
      <c r="J7275" s="140" t="s">
        <v>6314</v>
      </c>
      <c r="K7275" s="140" t="s">
        <v>6315</v>
      </c>
    </row>
    <row r="7276">
      <c r="A7276" s="140" t="s">
        <v>15537</v>
      </c>
      <c r="B7276" s="140">
        <v>26049.0</v>
      </c>
      <c r="C7276" s="140" t="s">
        <v>15550</v>
      </c>
      <c r="D7276" s="140" t="s">
        <v>6309</v>
      </c>
      <c r="E7276" s="140" t="s">
        <v>21</v>
      </c>
      <c r="F7276" s="140" t="s">
        <v>15539</v>
      </c>
      <c r="G7276" s="141" t="s">
        <v>6311</v>
      </c>
      <c r="H7276" s="140" t="s">
        <v>6312</v>
      </c>
      <c r="I7276" s="140" t="s">
        <v>6313</v>
      </c>
      <c r="J7276" s="140" t="s">
        <v>6314</v>
      </c>
      <c r="K7276" s="140" t="s">
        <v>6315</v>
      </c>
    </row>
    <row r="7277">
      <c r="A7277" s="140" t="s">
        <v>15537</v>
      </c>
      <c r="B7277" s="140">
        <v>21661.0</v>
      </c>
      <c r="C7277" s="140" t="s">
        <v>15551</v>
      </c>
      <c r="D7277" s="140" t="s">
        <v>6309</v>
      </c>
      <c r="E7277" s="140" t="s">
        <v>21</v>
      </c>
      <c r="F7277" s="140" t="s">
        <v>15539</v>
      </c>
      <c r="G7277" s="141" t="s">
        <v>6311</v>
      </c>
      <c r="H7277" s="140" t="s">
        <v>6312</v>
      </c>
      <c r="I7277" s="140" t="s">
        <v>6313</v>
      </c>
      <c r="J7277" s="140" t="s">
        <v>6314</v>
      </c>
      <c r="K7277" s="140" t="s">
        <v>6315</v>
      </c>
    </row>
    <row r="7278">
      <c r="A7278" s="140" t="s">
        <v>15537</v>
      </c>
      <c r="B7278" s="140">
        <v>30282.0</v>
      </c>
      <c r="C7278" s="140" t="s">
        <v>15552</v>
      </c>
      <c r="D7278" s="140" t="s">
        <v>6309</v>
      </c>
      <c r="E7278" s="140" t="s">
        <v>21</v>
      </c>
      <c r="F7278" s="140" t="s">
        <v>15539</v>
      </c>
      <c r="G7278" s="141" t="s">
        <v>6311</v>
      </c>
      <c r="H7278" s="140" t="s">
        <v>6312</v>
      </c>
      <c r="I7278" s="140" t="s">
        <v>6313</v>
      </c>
      <c r="J7278" s="140" t="s">
        <v>6314</v>
      </c>
      <c r="K7278" s="140" t="s">
        <v>6315</v>
      </c>
    </row>
    <row r="7279">
      <c r="A7279" s="140" t="s">
        <v>15537</v>
      </c>
      <c r="B7279" s="140">
        <v>20992.0</v>
      </c>
      <c r="C7279" s="140" t="s">
        <v>15553</v>
      </c>
      <c r="D7279" s="140" t="s">
        <v>6309</v>
      </c>
      <c r="E7279" s="140" t="s">
        <v>21</v>
      </c>
      <c r="F7279" s="140" t="s">
        <v>15539</v>
      </c>
      <c r="G7279" s="141" t="s">
        <v>6311</v>
      </c>
      <c r="H7279" s="140" t="s">
        <v>6312</v>
      </c>
      <c r="I7279" s="140" t="s">
        <v>6313</v>
      </c>
      <c r="J7279" s="140" t="s">
        <v>6314</v>
      </c>
      <c r="K7279" s="140" t="s">
        <v>6315</v>
      </c>
    </row>
    <row r="7280">
      <c r="A7280" s="140" t="s">
        <v>15554</v>
      </c>
      <c r="B7280" s="140">
        <v>27816.0</v>
      </c>
      <c r="C7280" s="140" t="s">
        <v>15555</v>
      </c>
      <c r="D7280" s="140" t="s">
        <v>6309</v>
      </c>
      <c r="E7280" s="140" t="s">
        <v>21</v>
      </c>
      <c r="F7280" s="140" t="s">
        <v>15539</v>
      </c>
      <c r="G7280" s="141" t="s">
        <v>6311</v>
      </c>
      <c r="H7280" s="140" t="s">
        <v>6312</v>
      </c>
      <c r="I7280" s="140" t="s">
        <v>6313</v>
      </c>
      <c r="J7280" s="140" t="s">
        <v>6314</v>
      </c>
      <c r="K7280" s="140" t="s">
        <v>6315</v>
      </c>
    </row>
    <row r="7281">
      <c r="A7281" s="140" t="s">
        <v>15554</v>
      </c>
      <c r="B7281" s="140">
        <v>21666.0</v>
      </c>
      <c r="C7281" s="140" t="s">
        <v>15556</v>
      </c>
      <c r="D7281" s="140" t="s">
        <v>6309</v>
      </c>
      <c r="E7281" s="140" t="s">
        <v>21</v>
      </c>
      <c r="F7281" s="140" t="s">
        <v>15539</v>
      </c>
      <c r="G7281" s="141" t="s">
        <v>6311</v>
      </c>
      <c r="H7281" s="140" t="s">
        <v>6312</v>
      </c>
      <c r="I7281" s="140" t="s">
        <v>6313</v>
      </c>
      <c r="J7281" s="140" t="s">
        <v>6314</v>
      </c>
      <c r="K7281" s="140" t="s">
        <v>6315</v>
      </c>
    </row>
    <row r="7282">
      <c r="A7282" s="140" t="s">
        <v>15554</v>
      </c>
      <c r="B7282" s="140">
        <v>27815.0</v>
      </c>
      <c r="C7282" s="140" t="s">
        <v>15557</v>
      </c>
      <c r="D7282" s="140" t="s">
        <v>6309</v>
      </c>
      <c r="E7282" s="140" t="s">
        <v>21</v>
      </c>
      <c r="F7282" s="140" t="s">
        <v>15539</v>
      </c>
      <c r="G7282" s="141" t="s">
        <v>6311</v>
      </c>
      <c r="H7282" s="140" t="s">
        <v>6312</v>
      </c>
      <c r="I7282" s="140" t="s">
        <v>6313</v>
      </c>
      <c r="J7282" s="140" t="s">
        <v>6314</v>
      </c>
      <c r="K7282" s="140" t="s">
        <v>6315</v>
      </c>
    </row>
    <row r="7283">
      <c r="A7283" s="140" t="s">
        <v>15554</v>
      </c>
      <c r="B7283" s="140">
        <v>26509.0</v>
      </c>
      <c r="C7283" s="140" t="s">
        <v>15558</v>
      </c>
      <c r="D7283" s="140" t="s">
        <v>6309</v>
      </c>
      <c r="E7283" s="140" t="s">
        <v>21</v>
      </c>
      <c r="F7283" s="140" t="s">
        <v>15539</v>
      </c>
      <c r="G7283" s="141" t="s">
        <v>6311</v>
      </c>
      <c r="H7283" s="140" t="s">
        <v>6312</v>
      </c>
      <c r="I7283" s="140" t="s">
        <v>6313</v>
      </c>
      <c r="J7283" s="140" t="s">
        <v>6314</v>
      </c>
      <c r="K7283" s="140" t="s">
        <v>6315</v>
      </c>
    </row>
    <row r="7284">
      <c r="A7284" s="140" t="s">
        <v>15554</v>
      </c>
      <c r="B7284" s="140">
        <v>27814.0</v>
      </c>
      <c r="C7284" s="140" t="s">
        <v>15559</v>
      </c>
      <c r="D7284" s="140" t="s">
        <v>6309</v>
      </c>
      <c r="E7284" s="140" t="s">
        <v>21</v>
      </c>
      <c r="F7284" s="140" t="s">
        <v>15539</v>
      </c>
      <c r="G7284" s="141" t="s">
        <v>6311</v>
      </c>
      <c r="H7284" s="140" t="s">
        <v>6312</v>
      </c>
      <c r="I7284" s="140" t="s">
        <v>6313</v>
      </c>
      <c r="J7284" s="140" t="s">
        <v>6314</v>
      </c>
      <c r="K7284" s="140" t="s">
        <v>6315</v>
      </c>
    </row>
    <row r="7285">
      <c r="A7285" s="140" t="s">
        <v>15554</v>
      </c>
      <c r="B7285" s="140">
        <v>34211.0</v>
      </c>
      <c r="C7285" s="140" t="s">
        <v>15560</v>
      </c>
      <c r="D7285" s="140" t="s">
        <v>6309</v>
      </c>
      <c r="E7285" s="140" t="s">
        <v>21</v>
      </c>
      <c r="F7285" s="140" t="s">
        <v>15539</v>
      </c>
      <c r="G7285" s="141" t="s">
        <v>6311</v>
      </c>
      <c r="H7285" s="140" t="s">
        <v>6312</v>
      </c>
      <c r="I7285" s="140" t="s">
        <v>6313</v>
      </c>
      <c r="J7285" s="140" t="s">
        <v>6314</v>
      </c>
      <c r="K7285" s="140" t="s">
        <v>6315</v>
      </c>
    </row>
    <row r="7286">
      <c r="A7286" s="140" t="s">
        <v>15561</v>
      </c>
      <c r="B7286" s="140" t="s">
        <v>15562</v>
      </c>
      <c r="C7286" s="140" t="s">
        <v>15563</v>
      </c>
      <c r="D7286" s="140" t="s">
        <v>6318</v>
      </c>
      <c r="E7286" s="140" t="s">
        <v>598</v>
      </c>
      <c r="F7286" s="140" t="s">
        <v>599</v>
      </c>
      <c r="G7286" s="141" t="s">
        <v>6401</v>
      </c>
      <c r="H7286" s="140" t="s">
        <v>6312</v>
      </c>
      <c r="I7286" s="140" t="s">
        <v>6313</v>
      </c>
      <c r="J7286" s="140" t="s">
        <v>6314</v>
      </c>
      <c r="K7286" s="140" t="s">
        <v>15564</v>
      </c>
    </row>
    <row r="7287">
      <c r="A7287" s="140" t="s">
        <v>15561</v>
      </c>
      <c r="B7287" s="140" t="s">
        <v>15565</v>
      </c>
      <c r="C7287" s="140" t="s">
        <v>15566</v>
      </c>
      <c r="D7287" s="140" t="s">
        <v>6318</v>
      </c>
      <c r="E7287" s="140" t="s">
        <v>598</v>
      </c>
      <c r="F7287" s="140" t="s">
        <v>599</v>
      </c>
      <c r="G7287" s="141" t="s">
        <v>6401</v>
      </c>
      <c r="H7287" s="140" t="s">
        <v>6312</v>
      </c>
      <c r="I7287" s="140" t="s">
        <v>6313</v>
      </c>
      <c r="J7287" s="140" t="s">
        <v>6314</v>
      </c>
      <c r="K7287" s="140" t="s">
        <v>15564</v>
      </c>
    </row>
    <row r="7288">
      <c r="A7288" s="140" t="s">
        <v>15561</v>
      </c>
      <c r="B7288" s="140" t="s">
        <v>15567</v>
      </c>
      <c r="C7288" s="140" t="s">
        <v>15568</v>
      </c>
      <c r="D7288" s="140" t="s">
        <v>6318</v>
      </c>
      <c r="E7288" s="140" t="s">
        <v>598</v>
      </c>
      <c r="F7288" s="140" t="s">
        <v>599</v>
      </c>
      <c r="G7288" s="141" t="s">
        <v>6401</v>
      </c>
      <c r="H7288" s="140" t="s">
        <v>6312</v>
      </c>
      <c r="I7288" s="140" t="s">
        <v>6313</v>
      </c>
      <c r="J7288" s="140" t="s">
        <v>6314</v>
      </c>
      <c r="K7288" s="140" t="s">
        <v>15564</v>
      </c>
    </row>
    <row r="7289">
      <c r="A7289" s="140" t="s">
        <v>15561</v>
      </c>
      <c r="B7289" s="140" t="s">
        <v>15569</v>
      </c>
      <c r="C7289" s="140" t="s">
        <v>15570</v>
      </c>
      <c r="D7289" s="140" t="s">
        <v>6318</v>
      </c>
      <c r="E7289" s="140" t="s">
        <v>598</v>
      </c>
      <c r="F7289" s="140" t="s">
        <v>599</v>
      </c>
      <c r="G7289" s="141" t="s">
        <v>6401</v>
      </c>
      <c r="H7289" s="140" t="s">
        <v>6312</v>
      </c>
      <c r="I7289" s="140" t="s">
        <v>6313</v>
      </c>
      <c r="J7289" s="140" t="s">
        <v>6314</v>
      </c>
      <c r="K7289" s="140" t="s">
        <v>15564</v>
      </c>
    </row>
    <row r="7290">
      <c r="A7290" s="140" t="s">
        <v>15561</v>
      </c>
      <c r="B7290" s="140" t="s">
        <v>15571</v>
      </c>
      <c r="C7290" s="140" t="s">
        <v>15572</v>
      </c>
      <c r="D7290" s="140" t="s">
        <v>6318</v>
      </c>
      <c r="E7290" s="140" t="s">
        <v>598</v>
      </c>
      <c r="F7290" s="140" t="s">
        <v>599</v>
      </c>
      <c r="G7290" s="141" t="s">
        <v>6401</v>
      </c>
      <c r="H7290" s="140" t="s">
        <v>6312</v>
      </c>
      <c r="I7290" s="140" t="s">
        <v>6313</v>
      </c>
      <c r="J7290" s="140" t="s">
        <v>6314</v>
      </c>
      <c r="K7290" s="140" t="s">
        <v>15564</v>
      </c>
    </row>
    <row r="7291">
      <c r="A7291" s="140" t="s">
        <v>15561</v>
      </c>
      <c r="B7291" s="140" t="s">
        <v>2869</v>
      </c>
      <c r="C7291" s="140" t="s">
        <v>15573</v>
      </c>
      <c r="D7291" s="140" t="s">
        <v>6318</v>
      </c>
      <c r="E7291" s="140" t="s">
        <v>598</v>
      </c>
      <c r="F7291" s="140" t="s">
        <v>599</v>
      </c>
      <c r="G7291" s="141" t="s">
        <v>6401</v>
      </c>
      <c r="H7291" s="140" t="s">
        <v>6312</v>
      </c>
      <c r="I7291" s="140" t="s">
        <v>6313</v>
      </c>
      <c r="J7291" s="140" t="s">
        <v>6314</v>
      </c>
      <c r="K7291" s="140" t="s">
        <v>15564</v>
      </c>
    </row>
    <row r="7292">
      <c r="A7292" s="140" t="s">
        <v>15561</v>
      </c>
      <c r="B7292" s="140" t="s">
        <v>15574</v>
      </c>
      <c r="C7292" s="140" t="s">
        <v>15575</v>
      </c>
      <c r="D7292" s="140" t="s">
        <v>6318</v>
      </c>
      <c r="E7292" s="140" t="s">
        <v>598</v>
      </c>
      <c r="F7292" s="140" t="s">
        <v>599</v>
      </c>
      <c r="G7292" s="141" t="s">
        <v>6401</v>
      </c>
      <c r="H7292" s="140" t="s">
        <v>6312</v>
      </c>
      <c r="I7292" s="140" t="s">
        <v>6313</v>
      </c>
      <c r="J7292" s="140" t="s">
        <v>6314</v>
      </c>
      <c r="K7292" s="140" t="s">
        <v>15564</v>
      </c>
    </row>
    <row r="7293">
      <c r="A7293" s="140" t="s">
        <v>15561</v>
      </c>
      <c r="B7293" s="140" t="s">
        <v>2865</v>
      </c>
      <c r="C7293" s="140" t="s">
        <v>15576</v>
      </c>
      <c r="D7293" s="140" t="s">
        <v>6318</v>
      </c>
      <c r="E7293" s="140" t="s">
        <v>598</v>
      </c>
      <c r="F7293" s="140" t="s">
        <v>599</v>
      </c>
      <c r="G7293" s="141" t="s">
        <v>6401</v>
      </c>
      <c r="H7293" s="140" t="s">
        <v>6312</v>
      </c>
      <c r="I7293" s="140" t="s">
        <v>6313</v>
      </c>
      <c r="J7293" s="140" t="s">
        <v>6314</v>
      </c>
      <c r="K7293" s="140" t="s">
        <v>15564</v>
      </c>
    </row>
    <row r="7294">
      <c r="A7294" s="140" t="s">
        <v>15561</v>
      </c>
      <c r="B7294" s="140" t="s">
        <v>2871</v>
      </c>
      <c r="C7294" s="140" t="s">
        <v>15577</v>
      </c>
      <c r="D7294" s="140" t="s">
        <v>6318</v>
      </c>
      <c r="E7294" s="140" t="s">
        <v>598</v>
      </c>
      <c r="F7294" s="140" t="s">
        <v>599</v>
      </c>
      <c r="G7294" s="141" t="s">
        <v>6401</v>
      </c>
      <c r="H7294" s="140" t="s">
        <v>6312</v>
      </c>
      <c r="I7294" s="140" t="s">
        <v>6313</v>
      </c>
      <c r="J7294" s="140" t="s">
        <v>6314</v>
      </c>
      <c r="K7294" s="140" t="s">
        <v>15564</v>
      </c>
    </row>
    <row r="7295">
      <c r="A7295" s="140" t="s">
        <v>15561</v>
      </c>
      <c r="B7295" s="140" t="s">
        <v>2867</v>
      </c>
      <c r="C7295" s="140" t="s">
        <v>15578</v>
      </c>
      <c r="D7295" s="140" t="s">
        <v>6318</v>
      </c>
      <c r="E7295" s="140" t="s">
        <v>598</v>
      </c>
      <c r="F7295" s="140" t="s">
        <v>599</v>
      </c>
      <c r="G7295" s="141" t="s">
        <v>6401</v>
      </c>
      <c r="H7295" s="140" t="s">
        <v>6312</v>
      </c>
      <c r="I7295" s="140" t="s">
        <v>6313</v>
      </c>
      <c r="J7295" s="140" t="s">
        <v>6314</v>
      </c>
      <c r="K7295" s="140" t="s">
        <v>15564</v>
      </c>
    </row>
    <row r="7296">
      <c r="A7296" s="140" t="s">
        <v>15561</v>
      </c>
      <c r="B7296" s="140" t="s">
        <v>15579</v>
      </c>
      <c r="C7296" s="140" t="s">
        <v>15580</v>
      </c>
      <c r="D7296" s="140" t="s">
        <v>6318</v>
      </c>
      <c r="E7296" s="140" t="s">
        <v>598</v>
      </c>
      <c r="F7296" s="140" t="s">
        <v>599</v>
      </c>
      <c r="G7296" s="141" t="s">
        <v>6401</v>
      </c>
      <c r="H7296" s="140" t="s">
        <v>6312</v>
      </c>
      <c r="I7296" s="140" t="s">
        <v>6313</v>
      </c>
      <c r="J7296" s="140" t="s">
        <v>6314</v>
      </c>
      <c r="K7296" s="140" t="s">
        <v>15564</v>
      </c>
    </row>
    <row r="7297">
      <c r="A7297" s="140" t="s">
        <v>15561</v>
      </c>
      <c r="B7297" s="140" t="s">
        <v>15581</v>
      </c>
      <c r="C7297" s="140" t="s">
        <v>15582</v>
      </c>
      <c r="D7297" s="140" t="s">
        <v>6318</v>
      </c>
      <c r="E7297" s="140" t="s">
        <v>598</v>
      </c>
      <c r="F7297" s="140" t="s">
        <v>599</v>
      </c>
      <c r="G7297" s="141" t="s">
        <v>6401</v>
      </c>
      <c r="H7297" s="140" t="s">
        <v>6312</v>
      </c>
      <c r="I7297" s="140" t="s">
        <v>6313</v>
      </c>
      <c r="J7297" s="140" t="s">
        <v>6314</v>
      </c>
      <c r="K7297" s="140" t="s">
        <v>15564</v>
      </c>
    </row>
    <row r="7298">
      <c r="A7298" s="140" t="s">
        <v>15561</v>
      </c>
      <c r="B7298" s="140" t="s">
        <v>15583</v>
      </c>
      <c r="C7298" s="140" t="s">
        <v>15584</v>
      </c>
      <c r="D7298" s="140" t="s">
        <v>6318</v>
      </c>
      <c r="E7298" s="140" t="s">
        <v>598</v>
      </c>
      <c r="F7298" s="140" t="s">
        <v>599</v>
      </c>
      <c r="G7298" s="141" t="s">
        <v>6401</v>
      </c>
      <c r="H7298" s="140" t="s">
        <v>6312</v>
      </c>
      <c r="I7298" s="140" t="s">
        <v>6313</v>
      </c>
      <c r="J7298" s="140" t="s">
        <v>6314</v>
      </c>
      <c r="K7298" s="140" t="s">
        <v>15564</v>
      </c>
    </row>
    <row r="7299">
      <c r="A7299" s="140" t="s">
        <v>15561</v>
      </c>
      <c r="B7299" s="140" t="s">
        <v>15585</v>
      </c>
      <c r="C7299" s="140" t="s">
        <v>15586</v>
      </c>
      <c r="D7299" s="140" t="s">
        <v>6318</v>
      </c>
      <c r="E7299" s="140" t="s">
        <v>598</v>
      </c>
      <c r="F7299" s="140" t="s">
        <v>599</v>
      </c>
      <c r="G7299" s="141" t="s">
        <v>6401</v>
      </c>
      <c r="H7299" s="140" t="s">
        <v>6312</v>
      </c>
      <c r="I7299" s="140" t="s">
        <v>6313</v>
      </c>
      <c r="J7299" s="140" t="s">
        <v>6314</v>
      </c>
      <c r="K7299" s="140" t="s">
        <v>15564</v>
      </c>
    </row>
    <row r="7300">
      <c r="A7300" s="140" t="s">
        <v>15561</v>
      </c>
      <c r="B7300" s="140" t="s">
        <v>15587</v>
      </c>
      <c r="C7300" s="140" t="s">
        <v>15588</v>
      </c>
      <c r="D7300" s="140" t="s">
        <v>6318</v>
      </c>
      <c r="E7300" s="140" t="s">
        <v>598</v>
      </c>
      <c r="F7300" s="140" t="s">
        <v>599</v>
      </c>
      <c r="G7300" s="141" t="s">
        <v>6401</v>
      </c>
      <c r="H7300" s="140" t="s">
        <v>6312</v>
      </c>
      <c r="I7300" s="140" t="s">
        <v>6313</v>
      </c>
      <c r="J7300" s="140" t="s">
        <v>6314</v>
      </c>
      <c r="K7300" s="140" t="s">
        <v>15564</v>
      </c>
    </row>
    <row r="7301">
      <c r="A7301" s="140" t="s">
        <v>15561</v>
      </c>
      <c r="B7301" s="140" t="s">
        <v>15589</v>
      </c>
      <c r="C7301" s="140" t="s">
        <v>15588</v>
      </c>
      <c r="D7301" s="140" t="s">
        <v>6318</v>
      </c>
      <c r="E7301" s="140" t="s">
        <v>598</v>
      </c>
      <c r="F7301" s="140" t="s">
        <v>599</v>
      </c>
      <c r="G7301" s="141" t="s">
        <v>6401</v>
      </c>
      <c r="H7301" s="140" t="s">
        <v>6312</v>
      </c>
      <c r="I7301" s="140" t="s">
        <v>6313</v>
      </c>
      <c r="J7301" s="140" t="s">
        <v>6314</v>
      </c>
      <c r="K7301" s="140" t="s">
        <v>15564</v>
      </c>
    </row>
    <row r="7302">
      <c r="A7302" s="140" t="s">
        <v>15561</v>
      </c>
      <c r="B7302" s="140" t="s">
        <v>15590</v>
      </c>
      <c r="C7302" s="140" t="s">
        <v>15588</v>
      </c>
      <c r="D7302" s="140" t="s">
        <v>6318</v>
      </c>
      <c r="E7302" s="140" t="s">
        <v>598</v>
      </c>
      <c r="F7302" s="140" t="s">
        <v>599</v>
      </c>
      <c r="G7302" s="141" t="s">
        <v>6401</v>
      </c>
      <c r="H7302" s="140" t="s">
        <v>6312</v>
      </c>
      <c r="I7302" s="140" t="s">
        <v>6313</v>
      </c>
      <c r="J7302" s="140" t="s">
        <v>6314</v>
      </c>
      <c r="K7302" s="140" t="s">
        <v>15564</v>
      </c>
    </row>
    <row r="7303">
      <c r="A7303" s="140" t="s">
        <v>15561</v>
      </c>
      <c r="B7303" s="140" t="s">
        <v>15591</v>
      </c>
      <c r="C7303" s="140" t="s">
        <v>15592</v>
      </c>
      <c r="D7303" s="140" t="s">
        <v>6318</v>
      </c>
      <c r="E7303" s="140" t="s">
        <v>598</v>
      </c>
      <c r="F7303" s="140" t="s">
        <v>735</v>
      </c>
      <c r="G7303" s="141" t="s">
        <v>6401</v>
      </c>
      <c r="H7303" s="140" t="s">
        <v>6312</v>
      </c>
      <c r="I7303" s="140" t="s">
        <v>6313</v>
      </c>
      <c r="J7303" s="140" t="s">
        <v>6314</v>
      </c>
      <c r="K7303" s="140" t="s">
        <v>15564</v>
      </c>
    </row>
    <row r="7304">
      <c r="A7304" s="140" t="s">
        <v>15561</v>
      </c>
      <c r="B7304" s="140" t="s">
        <v>15593</v>
      </c>
      <c r="C7304" s="140" t="s">
        <v>15594</v>
      </c>
      <c r="D7304" s="140" t="s">
        <v>6318</v>
      </c>
      <c r="E7304" s="140" t="s">
        <v>598</v>
      </c>
      <c r="F7304" s="140" t="s">
        <v>735</v>
      </c>
      <c r="G7304" s="141" t="s">
        <v>6401</v>
      </c>
      <c r="H7304" s="140" t="s">
        <v>6312</v>
      </c>
      <c r="I7304" s="140" t="s">
        <v>6313</v>
      </c>
      <c r="J7304" s="140" t="s">
        <v>6314</v>
      </c>
      <c r="K7304" s="140" t="s">
        <v>15564</v>
      </c>
    </row>
    <row r="7305">
      <c r="A7305" s="140" t="s">
        <v>15561</v>
      </c>
      <c r="B7305" s="140" t="s">
        <v>15595</v>
      </c>
      <c r="C7305" s="140" t="s">
        <v>15596</v>
      </c>
      <c r="D7305" s="140" t="s">
        <v>6318</v>
      </c>
      <c r="E7305" s="140" t="s">
        <v>598</v>
      </c>
      <c r="F7305" s="140" t="s">
        <v>735</v>
      </c>
      <c r="G7305" s="141" t="s">
        <v>6401</v>
      </c>
      <c r="H7305" s="140" t="s">
        <v>6312</v>
      </c>
      <c r="I7305" s="140" t="s">
        <v>6313</v>
      </c>
      <c r="J7305" s="140" t="s">
        <v>6314</v>
      </c>
      <c r="K7305" s="140" t="s">
        <v>15564</v>
      </c>
    </row>
    <row r="7306">
      <c r="A7306" s="140" t="s">
        <v>15561</v>
      </c>
      <c r="B7306" s="140" t="s">
        <v>15597</v>
      </c>
      <c r="C7306" s="140" t="s">
        <v>15598</v>
      </c>
      <c r="D7306" s="140" t="s">
        <v>6318</v>
      </c>
      <c r="E7306" s="140" t="s">
        <v>598</v>
      </c>
      <c r="F7306" s="140" t="s">
        <v>735</v>
      </c>
      <c r="G7306" s="141" t="s">
        <v>6401</v>
      </c>
      <c r="H7306" s="140" t="s">
        <v>6312</v>
      </c>
      <c r="I7306" s="140" t="s">
        <v>6313</v>
      </c>
      <c r="J7306" s="140" t="s">
        <v>6314</v>
      </c>
      <c r="K7306" s="140" t="s">
        <v>15564</v>
      </c>
    </row>
    <row r="7307">
      <c r="A7307" s="140" t="s">
        <v>15561</v>
      </c>
      <c r="B7307" s="140" t="s">
        <v>15599</v>
      </c>
      <c r="C7307" s="140" t="s">
        <v>15600</v>
      </c>
      <c r="D7307" s="140" t="s">
        <v>6318</v>
      </c>
      <c r="E7307" s="140" t="s">
        <v>598</v>
      </c>
      <c r="F7307" s="140" t="s">
        <v>735</v>
      </c>
      <c r="G7307" s="141" t="s">
        <v>6401</v>
      </c>
      <c r="H7307" s="140" t="s">
        <v>6312</v>
      </c>
      <c r="I7307" s="140" t="s">
        <v>6313</v>
      </c>
      <c r="J7307" s="140" t="s">
        <v>6314</v>
      </c>
      <c r="K7307" s="140" t="s">
        <v>15564</v>
      </c>
    </row>
    <row r="7308">
      <c r="A7308" s="140" t="s">
        <v>15561</v>
      </c>
      <c r="B7308" s="140" t="s">
        <v>15601</v>
      </c>
      <c r="C7308" s="140" t="s">
        <v>15602</v>
      </c>
      <c r="D7308" s="140" t="s">
        <v>6318</v>
      </c>
      <c r="E7308" s="140" t="s">
        <v>598</v>
      </c>
      <c r="F7308" s="140" t="s">
        <v>735</v>
      </c>
      <c r="G7308" s="141" t="s">
        <v>6401</v>
      </c>
      <c r="H7308" s="140" t="s">
        <v>6312</v>
      </c>
      <c r="I7308" s="140" t="s">
        <v>6313</v>
      </c>
      <c r="J7308" s="140" t="s">
        <v>6314</v>
      </c>
      <c r="K7308" s="140" t="s">
        <v>15564</v>
      </c>
    </row>
    <row r="7309">
      <c r="A7309" s="140" t="s">
        <v>15561</v>
      </c>
      <c r="B7309" s="140" t="s">
        <v>3354</v>
      </c>
      <c r="C7309" s="140" t="s">
        <v>15603</v>
      </c>
      <c r="D7309" s="140" t="s">
        <v>6318</v>
      </c>
      <c r="E7309" s="140" t="s">
        <v>598</v>
      </c>
      <c r="F7309" s="140" t="s">
        <v>735</v>
      </c>
      <c r="G7309" s="141" t="s">
        <v>6401</v>
      </c>
      <c r="H7309" s="140" t="s">
        <v>6312</v>
      </c>
      <c r="I7309" s="140" t="s">
        <v>6313</v>
      </c>
      <c r="J7309" s="140" t="s">
        <v>6314</v>
      </c>
      <c r="K7309" s="140" t="s">
        <v>15564</v>
      </c>
    </row>
    <row r="7310">
      <c r="A7310" s="140" t="s">
        <v>15561</v>
      </c>
      <c r="B7310" s="140" t="s">
        <v>15604</v>
      </c>
      <c r="C7310" s="140" t="s">
        <v>15605</v>
      </c>
      <c r="D7310" s="140" t="s">
        <v>6318</v>
      </c>
      <c r="E7310" s="140" t="s">
        <v>598</v>
      </c>
      <c r="F7310" s="140" t="s">
        <v>735</v>
      </c>
      <c r="G7310" s="141" t="s">
        <v>6401</v>
      </c>
      <c r="H7310" s="140" t="s">
        <v>6312</v>
      </c>
      <c r="I7310" s="140" t="s">
        <v>6313</v>
      </c>
      <c r="J7310" s="140" t="s">
        <v>6314</v>
      </c>
      <c r="K7310" s="140" t="s">
        <v>15564</v>
      </c>
    </row>
    <row r="7311">
      <c r="A7311" s="140" t="s">
        <v>15561</v>
      </c>
      <c r="B7311" s="140" t="s">
        <v>15606</v>
      </c>
      <c r="C7311" s="140" t="s">
        <v>15607</v>
      </c>
      <c r="D7311" s="140" t="s">
        <v>6318</v>
      </c>
      <c r="E7311" s="140" t="s">
        <v>598</v>
      </c>
      <c r="F7311" s="140" t="s">
        <v>735</v>
      </c>
      <c r="G7311" s="141" t="s">
        <v>6401</v>
      </c>
      <c r="H7311" s="140" t="s">
        <v>6312</v>
      </c>
      <c r="I7311" s="140" t="s">
        <v>6313</v>
      </c>
      <c r="J7311" s="140" t="s">
        <v>6314</v>
      </c>
      <c r="K7311" s="140" t="s">
        <v>15564</v>
      </c>
    </row>
    <row r="7312">
      <c r="A7312" s="140" t="s">
        <v>15561</v>
      </c>
      <c r="B7312" s="140" t="s">
        <v>15608</v>
      </c>
      <c r="C7312" s="140" t="s">
        <v>15609</v>
      </c>
      <c r="D7312" s="140" t="s">
        <v>6318</v>
      </c>
      <c r="E7312" s="140" t="s">
        <v>598</v>
      </c>
      <c r="F7312" s="140" t="s">
        <v>735</v>
      </c>
      <c r="G7312" s="141" t="s">
        <v>6401</v>
      </c>
      <c r="H7312" s="140" t="s">
        <v>6312</v>
      </c>
      <c r="I7312" s="140" t="s">
        <v>6313</v>
      </c>
      <c r="J7312" s="140" t="s">
        <v>6314</v>
      </c>
      <c r="K7312" s="140" t="s">
        <v>15564</v>
      </c>
    </row>
    <row r="7313">
      <c r="A7313" s="140" t="s">
        <v>15561</v>
      </c>
      <c r="B7313" s="140" t="s">
        <v>15610</v>
      </c>
      <c r="C7313" s="140" t="s">
        <v>15611</v>
      </c>
      <c r="D7313" s="140" t="s">
        <v>6318</v>
      </c>
      <c r="E7313" s="140" t="s">
        <v>598</v>
      </c>
      <c r="F7313" s="140" t="s">
        <v>735</v>
      </c>
      <c r="G7313" s="141" t="s">
        <v>6401</v>
      </c>
      <c r="H7313" s="140" t="s">
        <v>6312</v>
      </c>
      <c r="I7313" s="140" t="s">
        <v>6313</v>
      </c>
      <c r="J7313" s="140" t="s">
        <v>6314</v>
      </c>
      <c r="K7313" s="140" t="s">
        <v>15564</v>
      </c>
    </row>
    <row r="7314">
      <c r="A7314" s="140" t="s">
        <v>15561</v>
      </c>
      <c r="B7314" s="140" t="s">
        <v>15612</v>
      </c>
      <c r="C7314" s="140" t="s">
        <v>15613</v>
      </c>
      <c r="D7314" s="140" t="s">
        <v>6318</v>
      </c>
      <c r="E7314" s="140" t="s">
        <v>598</v>
      </c>
      <c r="F7314" s="140" t="s">
        <v>735</v>
      </c>
      <c r="G7314" s="141" t="s">
        <v>6401</v>
      </c>
      <c r="H7314" s="140" t="s">
        <v>6312</v>
      </c>
      <c r="I7314" s="140" t="s">
        <v>6313</v>
      </c>
      <c r="J7314" s="140" t="s">
        <v>6314</v>
      </c>
      <c r="K7314" s="140" t="s">
        <v>15564</v>
      </c>
    </row>
    <row r="7315">
      <c r="A7315" s="140" t="s">
        <v>15561</v>
      </c>
      <c r="B7315" s="140" t="s">
        <v>15614</v>
      </c>
      <c r="C7315" s="140" t="s">
        <v>15615</v>
      </c>
      <c r="D7315" s="140" t="s">
        <v>6318</v>
      </c>
      <c r="E7315" s="140" t="s">
        <v>598</v>
      </c>
      <c r="F7315" s="140" t="s">
        <v>735</v>
      </c>
      <c r="G7315" s="141" t="s">
        <v>6401</v>
      </c>
      <c r="H7315" s="140" t="s">
        <v>6312</v>
      </c>
      <c r="I7315" s="140" t="s">
        <v>6313</v>
      </c>
      <c r="J7315" s="140" t="s">
        <v>6314</v>
      </c>
      <c r="K7315" s="140" t="s">
        <v>15564</v>
      </c>
    </row>
    <row r="7316">
      <c r="A7316" s="140" t="s">
        <v>15561</v>
      </c>
      <c r="B7316" s="140" t="s">
        <v>15616</v>
      </c>
      <c r="C7316" s="140" t="s">
        <v>15617</v>
      </c>
      <c r="D7316" s="140" t="s">
        <v>6318</v>
      </c>
      <c r="E7316" s="140" t="s">
        <v>598</v>
      </c>
      <c r="F7316" s="140" t="s">
        <v>735</v>
      </c>
      <c r="G7316" s="141" t="s">
        <v>6401</v>
      </c>
      <c r="H7316" s="140" t="s">
        <v>6312</v>
      </c>
      <c r="I7316" s="140" t="s">
        <v>6313</v>
      </c>
      <c r="J7316" s="140" t="s">
        <v>6314</v>
      </c>
      <c r="K7316" s="140" t="s">
        <v>15564</v>
      </c>
    </row>
    <row r="7317">
      <c r="A7317" s="140" t="s">
        <v>15561</v>
      </c>
      <c r="B7317" s="140" t="s">
        <v>15618</v>
      </c>
      <c r="C7317" s="140" t="s">
        <v>15619</v>
      </c>
      <c r="D7317" s="140" t="s">
        <v>6318</v>
      </c>
      <c r="E7317" s="140" t="s">
        <v>598</v>
      </c>
      <c r="F7317" s="140" t="s">
        <v>735</v>
      </c>
      <c r="G7317" s="141" t="s">
        <v>6401</v>
      </c>
      <c r="H7317" s="140" t="s">
        <v>6312</v>
      </c>
      <c r="I7317" s="140" t="s">
        <v>6313</v>
      </c>
      <c r="J7317" s="140" t="s">
        <v>6314</v>
      </c>
      <c r="K7317" s="140" t="s">
        <v>15564</v>
      </c>
    </row>
    <row r="7318">
      <c r="A7318" s="140" t="s">
        <v>15561</v>
      </c>
      <c r="B7318" s="140" t="s">
        <v>15620</v>
      </c>
      <c r="C7318" s="140" t="s">
        <v>15621</v>
      </c>
      <c r="D7318" s="140" t="s">
        <v>6318</v>
      </c>
      <c r="E7318" s="140" t="s">
        <v>598</v>
      </c>
      <c r="F7318" s="140" t="s">
        <v>735</v>
      </c>
      <c r="G7318" s="141" t="s">
        <v>6401</v>
      </c>
      <c r="H7318" s="140" t="s">
        <v>6312</v>
      </c>
      <c r="I7318" s="140" t="s">
        <v>6313</v>
      </c>
      <c r="J7318" s="140" t="s">
        <v>6314</v>
      </c>
      <c r="K7318" s="140" t="s">
        <v>15564</v>
      </c>
    </row>
    <row r="7319">
      <c r="A7319" s="140" t="s">
        <v>15561</v>
      </c>
      <c r="B7319" s="140" t="s">
        <v>15622</v>
      </c>
      <c r="C7319" s="140" t="s">
        <v>15623</v>
      </c>
      <c r="D7319" s="140" t="s">
        <v>6318</v>
      </c>
      <c r="E7319" s="140" t="s">
        <v>598</v>
      </c>
      <c r="F7319" s="140" t="s">
        <v>735</v>
      </c>
      <c r="G7319" s="141" t="s">
        <v>6401</v>
      </c>
      <c r="H7319" s="140" t="s">
        <v>6312</v>
      </c>
      <c r="I7319" s="140" t="s">
        <v>6313</v>
      </c>
      <c r="J7319" s="140" t="s">
        <v>6314</v>
      </c>
      <c r="K7319" s="140" t="s">
        <v>15564</v>
      </c>
    </row>
    <row r="7320">
      <c r="A7320" s="140" t="s">
        <v>15624</v>
      </c>
      <c r="B7320" s="140">
        <v>22585.0</v>
      </c>
      <c r="C7320" s="140" t="s">
        <v>15625</v>
      </c>
      <c r="D7320" s="140" t="s">
        <v>6309</v>
      </c>
      <c r="E7320" s="140" t="s">
        <v>21</v>
      </c>
      <c r="F7320" s="140" t="s">
        <v>15539</v>
      </c>
      <c r="G7320" s="141" t="s">
        <v>6311</v>
      </c>
      <c r="H7320" s="140" t="s">
        <v>6312</v>
      </c>
      <c r="I7320" s="140" t="s">
        <v>6313</v>
      </c>
      <c r="J7320" s="140" t="s">
        <v>6314</v>
      </c>
      <c r="K7320" s="140" t="s">
        <v>6315</v>
      </c>
    </row>
    <row r="7321">
      <c r="A7321" s="140" t="s">
        <v>15624</v>
      </c>
      <c r="B7321" s="140">
        <v>21638.0</v>
      </c>
      <c r="C7321" s="140" t="s">
        <v>15626</v>
      </c>
      <c r="D7321" s="140" t="s">
        <v>6309</v>
      </c>
      <c r="E7321" s="140" t="s">
        <v>6310</v>
      </c>
      <c r="F7321" s="140" t="s">
        <v>6310</v>
      </c>
      <c r="G7321" s="141" t="s">
        <v>6311</v>
      </c>
      <c r="H7321" s="140" t="s">
        <v>6312</v>
      </c>
      <c r="I7321" s="140" t="s">
        <v>6313</v>
      </c>
      <c r="J7321" s="140" t="s">
        <v>6314</v>
      </c>
      <c r="K7321" s="140" t="s">
        <v>6315</v>
      </c>
    </row>
    <row r="7322">
      <c r="A7322" s="140" t="s">
        <v>15624</v>
      </c>
      <c r="B7322" s="140">
        <v>30277.0</v>
      </c>
      <c r="C7322" s="140" t="s">
        <v>15627</v>
      </c>
      <c r="D7322" s="140" t="s">
        <v>6309</v>
      </c>
      <c r="E7322" s="140" t="s">
        <v>21</v>
      </c>
      <c r="F7322" s="140" t="s">
        <v>15539</v>
      </c>
      <c r="G7322" s="141" t="s">
        <v>6311</v>
      </c>
      <c r="H7322" s="140" t="s">
        <v>6312</v>
      </c>
      <c r="I7322" s="140" t="s">
        <v>6313</v>
      </c>
      <c r="J7322" s="140" t="s">
        <v>6314</v>
      </c>
      <c r="K7322" s="140" t="s">
        <v>6315</v>
      </c>
    </row>
    <row r="7323">
      <c r="A7323" s="140" t="s">
        <v>15624</v>
      </c>
      <c r="B7323" s="140">
        <v>34183.0</v>
      </c>
      <c r="C7323" s="140" t="s">
        <v>15628</v>
      </c>
      <c r="D7323" s="140" t="s">
        <v>6309</v>
      </c>
      <c r="E7323" s="140" t="s">
        <v>21</v>
      </c>
      <c r="F7323" s="140" t="s">
        <v>15539</v>
      </c>
      <c r="G7323" s="141" t="s">
        <v>6311</v>
      </c>
      <c r="H7323" s="140" t="s">
        <v>6312</v>
      </c>
      <c r="I7323" s="140" t="s">
        <v>6313</v>
      </c>
      <c r="J7323" s="140" t="s">
        <v>6314</v>
      </c>
      <c r="K7323" s="140" t="s">
        <v>6315</v>
      </c>
    </row>
    <row r="7324">
      <c r="A7324" s="140" t="s">
        <v>15624</v>
      </c>
      <c r="B7324" s="140">
        <v>34184.0</v>
      </c>
      <c r="C7324" s="140" t="s">
        <v>15629</v>
      </c>
      <c r="D7324" s="140" t="s">
        <v>6309</v>
      </c>
      <c r="E7324" s="140" t="s">
        <v>21</v>
      </c>
      <c r="F7324" s="140" t="s">
        <v>15539</v>
      </c>
      <c r="G7324" s="141" t="s">
        <v>6311</v>
      </c>
      <c r="H7324" s="140" t="s">
        <v>6312</v>
      </c>
      <c r="I7324" s="140" t="s">
        <v>6313</v>
      </c>
      <c r="J7324" s="140" t="s">
        <v>6314</v>
      </c>
      <c r="K7324" s="140" t="s">
        <v>6315</v>
      </c>
    </row>
    <row r="7325">
      <c r="A7325" s="140" t="s">
        <v>15624</v>
      </c>
      <c r="B7325" s="140">
        <v>21678.0</v>
      </c>
      <c r="C7325" s="140" t="s">
        <v>15630</v>
      </c>
      <c r="D7325" s="140" t="s">
        <v>6309</v>
      </c>
      <c r="E7325" s="140" t="s">
        <v>56</v>
      </c>
      <c r="F7325" s="140" t="s">
        <v>64</v>
      </c>
      <c r="G7325" s="141" t="s">
        <v>6311</v>
      </c>
      <c r="H7325" s="140" t="s">
        <v>6312</v>
      </c>
      <c r="I7325" s="140" t="s">
        <v>6313</v>
      </c>
      <c r="J7325" s="140" t="s">
        <v>6314</v>
      </c>
      <c r="K7325" s="140" t="s">
        <v>6315</v>
      </c>
    </row>
    <row r="7326">
      <c r="A7326" s="140" t="s">
        <v>15631</v>
      </c>
      <c r="B7326" s="140">
        <v>36408.0</v>
      </c>
      <c r="C7326" s="140" t="s">
        <v>15632</v>
      </c>
      <c r="D7326" s="140" t="s">
        <v>6309</v>
      </c>
      <c r="E7326" s="140" t="s">
        <v>6310</v>
      </c>
      <c r="F7326" s="140" t="s">
        <v>6310</v>
      </c>
      <c r="G7326" s="141" t="s">
        <v>6311</v>
      </c>
      <c r="H7326" s="140" t="s">
        <v>6312</v>
      </c>
      <c r="I7326" s="140" t="s">
        <v>6313</v>
      </c>
      <c r="J7326" s="140" t="s">
        <v>6314</v>
      </c>
      <c r="K7326" s="140" t="s">
        <v>6315</v>
      </c>
    </row>
    <row r="7327">
      <c r="A7327" s="140" t="s">
        <v>15631</v>
      </c>
      <c r="B7327" s="140">
        <v>36409.0</v>
      </c>
      <c r="C7327" s="140" t="s">
        <v>15633</v>
      </c>
      <c r="D7327" s="140" t="s">
        <v>6309</v>
      </c>
      <c r="E7327" s="140" t="s">
        <v>6310</v>
      </c>
      <c r="F7327" s="140" t="s">
        <v>6310</v>
      </c>
      <c r="G7327" s="141" t="s">
        <v>6311</v>
      </c>
      <c r="H7327" s="140" t="s">
        <v>6312</v>
      </c>
      <c r="I7327" s="140" t="s">
        <v>6313</v>
      </c>
      <c r="J7327" s="140" t="s">
        <v>6314</v>
      </c>
      <c r="K7327" s="140" t="s">
        <v>6315</v>
      </c>
    </row>
    <row r="7328">
      <c r="A7328" s="140" t="s">
        <v>15631</v>
      </c>
      <c r="B7328" s="140">
        <v>36407.0</v>
      </c>
      <c r="C7328" s="140" t="s">
        <v>15634</v>
      </c>
      <c r="D7328" s="140" t="s">
        <v>6309</v>
      </c>
      <c r="E7328" s="140" t="s">
        <v>6310</v>
      </c>
      <c r="F7328" s="140" t="s">
        <v>6310</v>
      </c>
      <c r="G7328" s="141" t="s">
        <v>6311</v>
      </c>
      <c r="H7328" s="140" t="s">
        <v>6312</v>
      </c>
      <c r="I7328" s="140" t="s">
        <v>6313</v>
      </c>
      <c r="J7328" s="140" t="s">
        <v>6314</v>
      </c>
      <c r="K7328" s="140" t="s">
        <v>6315</v>
      </c>
    </row>
    <row r="7329">
      <c r="A7329" s="140" t="s">
        <v>15631</v>
      </c>
      <c r="B7329" s="140">
        <v>36406.0</v>
      </c>
      <c r="C7329" s="140" t="s">
        <v>15635</v>
      </c>
      <c r="D7329" s="140" t="s">
        <v>6309</v>
      </c>
      <c r="E7329" s="140" t="s">
        <v>6310</v>
      </c>
      <c r="F7329" s="140" t="s">
        <v>6310</v>
      </c>
      <c r="G7329" s="141" t="s">
        <v>6311</v>
      </c>
      <c r="H7329" s="140" t="s">
        <v>6312</v>
      </c>
      <c r="I7329" s="140" t="s">
        <v>6313</v>
      </c>
      <c r="J7329" s="140" t="s">
        <v>6314</v>
      </c>
      <c r="K7329" s="140" t="s">
        <v>6315</v>
      </c>
    </row>
    <row r="7330">
      <c r="A7330" s="140"/>
      <c r="B7330" s="140"/>
      <c r="C7330" s="140"/>
      <c r="D7330" s="140"/>
      <c r="E7330" s="140"/>
      <c r="F7330" s="140"/>
      <c r="G7330" s="141"/>
      <c r="H7330" s="140"/>
      <c r="I7330" s="140"/>
      <c r="J7330" s="140"/>
      <c r="K7330" s="140"/>
    </row>
    <row r="7331">
      <c r="A7331" s="140"/>
      <c r="B7331" s="140"/>
      <c r="C7331" s="140"/>
      <c r="D7331" s="140"/>
      <c r="E7331" s="140"/>
      <c r="F7331" s="140"/>
      <c r="G7331" s="141"/>
      <c r="H7331" s="140"/>
      <c r="I7331" s="140"/>
      <c r="J7331" s="140"/>
      <c r="K7331" s="140"/>
    </row>
    <row r="7332">
      <c r="A7332" s="140"/>
      <c r="B7332" s="140"/>
      <c r="C7332" s="140"/>
      <c r="D7332" s="140"/>
      <c r="E7332" s="140"/>
      <c r="F7332" s="140"/>
      <c r="G7332" s="141"/>
      <c r="H7332" s="140"/>
      <c r="I7332" s="140"/>
      <c r="J7332" s="140"/>
      <c r="K7332" s="140"/>
    </row>
    <row r="7333">
      <c r="A7333" s="140"/>
      <c r="B7333" s="140"/>
      <c r="C7333" s="140"/>
      <c r="D7333" s="140"/>
      <c r="E7333" s="140"/>
      <c r="F7333" s="140"/>
      <c r="G7333" s="141"/>
      <c r="H7333" s="140"/>
      <c r="I7333" s="140"/>
      <c r="J7333" s="140"/>
      <c r="K7333" s="140"/>
    </row>
    <row r="7334">
      <c r="A7334" s="140"/>
      <c r="B7334" s="140"/>
      <c r="C7334" s="140"/>
      <c r="D7334" s="140"/>
      <c r="E7334" s="140"/>
      <c r="F7334" s="140"/>
      <c r="G7334" s="141"/>
      <c r="H7334" s="140"/>
      <c r="I7334" s="140"/>
      <c r="J7334" s="140"/>
      <c r="K7334" s="140"/>
    </row>
    <row r="7335">
      <c r="A7335" s="140"/>
      <c r="B7335" s="140"/>
      <c r="C7335" s="140"/>
      <c r="D7335" s="140"/>
      <c r="E7335" s="140"/>
      <c r="F7335" s="140"/>
      <c r="G7335" s="141"/>
      <c r="H7335" s="140"/>
      <c r="I7335" s="140"/>
      <c r="J7335" s="140"/>
      <c r="K7335" s="140"/>
    </row>
    <row r="7336">
      <c r="A7336" s="140"/>
      <c r="B7336" s="140"/>
      <c r="C7336" s="140"/>
      <c r="D7336" s="140"/>
      <c r="E7336" s="140"/>
      <c r="F7336" s="140"/>
      <c r="G7336" s="141"/>
      <c r="H7336" s="140"/>
      <c r="I7336" s="140"/>
      <c r="J7336" s="140"/>
      <c r="K7336" s="140"/>
    </row>
    <row r="7337">
      <c r="A7337" s="140"/>
      <c r="B7337" s="140"/>
      <c r="C7337" s="140"/>
      <c r="D7337" s="140"/>
      <c r="E7337" s="140"/>
      <c r="F7337" s="140"/>
      <c r="G7337" s="141"/>
      <c r="H7337" s="140"/>
      <c r="I7337" s="140"/>
      <c r="J7337" s="140"/>
      <c r="K7337" s="140"/>
    </row>
    <row r="7338">
      <c r="A7338" s="140"/>
      <c r="B7338" s="140"/>
      <c r="C7338" s="140"/>
      <c r="D7338" s="140"/>
      <c r="E7338" s="140"/>
      <c r="F7338" s="140"/>
      <c r="G7338" s="141"/>
      <c r="H7338" s="140"/>
      <c r="I7338" s="140"/>
      <c r="J7338" s="140"/>
      <c r="K7338" s="140"/>
    </row>
    <row r="7339">
      <c r="A7339" s="140"/>
      <c r="B7339" s="140"/>
      <c r="C7339" s="140"/>
      <c r="D7339" s="140"/>
      <c r="E7339" s="140"/>
      <c r="F7339" s="140"/>
      <c r="G7339" s="141"/>
      <c r="H7339" s="140"/>
      <c r="I7339" s="140"/>
      <c r="J7339" s="140"/>
      <c r="K7339" s="140"/>
    </row>
    <row r="7340">
      <c r="A7340" s="140"/>
      <c r="B7340" s="140"/>
      <c r="C7340" s="140"/>
      <c r="D7340" s="140"/>
      <c r="E7340" s="140"/>
      <c r="F7340" s="140"/>
      <c r="G7340" s="141"/>
      <c r="H7340" s="140"/>
      <c r="I7340" s="140"/>
      <c r="J7340" s="140"/>
      <c r="K7340" s="140"/>
    </row>
    <row r="7341">
      <c r="A7341" s="140"/>
      <c r="B7341" s="140"/>
      <c r="C7341" s="140"/>
      <c r="D7341" s="140"/>
      <c r="E7341" s="140"/>
      <c r="F7341" s="140"/>
      <c r="G7341" s="141"/>
      <c r="H7341" s="140"/>
      <c r="I7341" s="140"/>
      <c r="J7341" s="140"/>
      <c r="K7341" s="140"/>
    </row>
    <row r="7342">
      <c r="A7342" s="140"/>
      <c r="B7342" s="140"/>
      <c r="C7342" s="140"/>
      <c r="D7342" s="140"/>
      <c r="E7342" s="140"/>
      <c r="F7342" s="140"/>
      <c r="G7342" s="141"/>
      <c r="H7342" s="140"/>
      <c r="I7342" s="140"/>
      <c r="J7342" s="140"/>
      <c r="K7342" s="140"/>
    </row>
    <row r="7343">
      <c r="A7343" s="140"/>
      <c r="B7343" s="140"/>
      <c r="C7343" s="140"/>
      <c r="D7343" s="140"/>
      <c r="E7343" s="140"/>
      <c r="F7343" s="140"/>
      <c r="G7343" s="141"/>
      <c r="H7343" s="140"/>
      <c r="I7343" s="140"/>
      <c r="J7343" s="140"/>
      <c r="K7343" s="140"/>
    </row>
    <row r="7344">
      <c r="A7344" s="140"/>
      <c r="B7344" s="140"/>
      <c r="C7344" s="140"/>
      <c r="D7344" s="140"/>
      <c r="E7344" s="140"/>
      <c r="F7344" s="140"/>
      <c r="G7344" s="141"/>
      <c r="H7344" s="140"/>
      <c r="I7344" s="140"/>
      <c r="J7344" s="140"/>
      <c r="K7344" s="140"/>
    </row>
    <row r="7345">
      <c r="A7345" s="140"/>
      <c r="B7345" s="140"/>
      <c r="C7345" s="140"/>
      <c r="D7345" s="140"/>
      <c r="E7345" s="140"/>
      <c r="F7345" s="140"/>
      <c r="G7345" s="141"/>
      <c r="H7345" s="140"/>
      <c r="I7345" s="140"/>
      <c r="J7345" s="140"/>
      <c r="K7345" s="140"/>
    </row>
    <row r="7346">
      <c r="A7346" s="140"/>
      <c r="B7346" s="140"/>
      <c r="C7346" s="140"/>
      <c r="D7346" s="140"/>
      <c r="E7346" s="140"/>
      <c r="F7346" s="140"/>
      <c r="G7346" s="141"/>
      <c r="H7346" s="140"/>
      <c r="I7346" s="140"/>
      <c r="J7346" s="140"/>
      <c r="K7346" s="140"/>
    </row>
    <row r="7347">
      <c r="A7347" s="140"/>
      <c r="B7347" s="140"/>
      <c r="C7347" s="140"/>
      <c r="D7347" s="140"/>
      <c r="E7347" s="140"/>
      <c r="F7347" s="140"/>
      <c r="G7347" s="141"/>
      <c r="H7347" s="140"/>
      <c r="I7347" s="140"/>
      <c r="J7347" s="140"/>
      <c r="K7347" s="140"/>
    </row>
    <row r="7348">
      <c r="A7348" s="140"/>
      <c r="B7348" s="140"/>
      <c r="C7348" s="140"/>
      <c r="D7348" s="140"/>
      <c r="E7348" s="140"/>
      <c r="F7348" s="140"/>
      <c r="G7348" s="141"/>
      <c r="H7348" s="140"/>
      <c r="I7348" s="140"/>
      <c r="J7348" s="140"/>
      <c r="K7348" s="140"/>
    </row>
    <row r="7349">
      <c r="A7349" s="140"/>
      <c r="B7349" s="140"/>
      <c r="C7349" s="140"/>
      <c r="D7349" s="140"/>
      <c r="E7349" s="140"/>
      <c r="F7349" s="140"/>
      <c r="G7349" s="141"/>
      <c r="H7349" s="140"/>
      <c r="I7349" s="140"/>
      <c r="J7349" s="140"/>
      <c r="K7349" s="140"/>
    </row>
    <row r="7350">
      <c r="A7350" s="140"/>
      <c r="B7350" s="140"/>
      <c r="C7350" s="140"/>
      <c r="D7350" s="140"/>
      <c r="E7350" s="140"/>
      <c r="F7350" s="140"/>
      <c r="G7350" s="141"/>
      <c r="H7350" s="140"/>
      <c r="I7350" s="140"/>
      <c r="J7350" s="140"/>
      <c r="K7350" s="140"/>
    </row>
    <row r="7351">
      <c r="A7351" s="140"/>
      <c r="B7351" s="140"/>
      <c r="C7351" s="140"/>
      <c r="D7351" s="140"/>
      <c r="E7351" s="140"/>
      <c r="F7351" s="140"/>
      <c r="G7351" s="141"/>
      <c r="H7351" s="140"/>
      <c r="I7351" s="140"/>
      <c r="J7351" s="140"/>
      <c r="K7351" s="140"/>
    </row>
    <row r="7352">
      <c r="A7352" s="140"/>
      <c r="B7352" s="140"/>
      <c r="C7352" s="140"/>
      <c r="D7352" s="140"/>
      <c r="E7352" s="140"/>
      <c r="F7352" s="140"/>
      <c r="G7352" s="141"/>
      <c r="H7352" s="140"/>
      <c r="I7352" s="140"/>
      <c r="J7352" s="140"/>
      <c r="K7352" s="140"/>
    </row>
    <row r="7353">
      <c r="A7353" s="140"/>
      <c r="B7353" s="140"/>
      <c r="C7353" s="140"/>
      <c r="D7353" s="140"/>
      <c r="E7353" s="140"/>
      <c r="F7353" s="140"/>
      <c r="G7353" s="141"/>
      <c r="H7353" s="140"/>
      <c r="I7353" s="140"/>
      <c r="J7353" s="140"/>
      <c r="K7353" s="140"/>
    </row>
    <row r="7354">
      <c r="A7354" s="140"/>
      <c r="B7354" s="140"/>
      <c r="C7354" s="140"/>
      <c r="D7354" s="140"/>
      <c r="E7354" s="140"/>
      <c r="F7354" s="140"/>
      <c r="G7354" s="141"/>
      <c r="H7354" s="140"/>
      <c r="I7354" s="140"/>
      <c r="J7354" s="140"/>
      <c r="K7354" s="140"/>
    </row>
    <row r="7355">
      <c r="A7355" s="140"/>
      <c r="B7355" s="140"/>
      <c r="C7355" s="140"/>
      <c r="D7355" s="140"/>
      <c r="E7355" s="140"/>
      <c r="F7355" s="140"/>
      <c r="G7355" s="141"/>
      <c r="H7355" s="140"/>
      <c r="I7355" s="140"/>
      <c r="J7355" s="140"/>
      <c r="K7355" s="140"/>
    </row>
    <row r="7356">
      <c r="A7356" s="140"/>
      <c r="B7356" s="140"/>
      <c r="C7356" s="140"/>
      <c r="D7356" s="140"/>
      <c r="E7356" s="140"/>
      <c r="F7356" s="140"/>
      <c r="G7356" s="141"/>
      <c r="H7356" s="140"/>
      <c r="I7356" s="140"/>
      <c r="J7356" s="140"/>
      <c r="K7356" s="140"/>
    </row>
    <row r="7357">
      <c r="A7357" s="140"/>
      <c r="B7357" s="140"/>
      <c r="C7357" s="140"/>
      <c r="D7357" s="140"/>
      <c r="E7357" s="140"/>
      <c r="F7357" s="140"/>
      <c r="G7357" s="141"/>
      <c r="H7357" s="140"/>
      <c r="I7357" s="140"/>
      <c r="J7357" s="140"/>
      <c r="K7357" s="140"/>
    </row>
    <row r="7358">
      <c r="A7358" s="140"/>
      <c r="B7358" s="140"/>
      <c r="C7358" s="140"/>
      <c r="D7358" s="140"/>
      <c r="E7358" s="140"/>
      <c r="F7358" s="140"/>
      <c r="G7358" s="141"/>
      <c r="H7358" s="140"/>
      <c r="I7358" s="140"/>
      <c r="J7358" s="140"/>
      <c r="K7358" s="140"/>
    </row>
    <row r="7359">
      <c r="A7359" s="140"/>
      <c r="B7359" s="140"/>
      <c r="C7359" s="140"/>
      <c r="D7359" s="140"/>
      <c r="E7359" s="140"/>
      <c r="F7359" s="140"/>
      <c r="G7359" s="141"/>
      <c r="H7359" s="140"/>
      <c r="I7359" s="140"/>
      <c r="J7359" s="140"/>
      <c r="K7359" s="140"/>
    </row>
    <row r="7360">
      <c r="A7360" s="140"/>
      <c r="B7360" s="140"/>
      <c r="C7360" s="140"/>
      <c r="D7360" s="140"/>
      <c r="E7360" s="140"/>
      <c r="F7360" s="140"/>
      <c r="G7360" s="141"/>
      <c r="H7360" s="140"/>
      <c r="I7360" s="140"/>
      <c r="J7360" s="140"/>
      <c r="K7360" s="140"/>
    </row>
    <row r="7361">
      <c r="A7361" s="140"/>
      <c r="B7361" s="140"/>
      <c r="C7361" s="140"/>
      <c r="D7361" s="140"/>
      <c r="E7361" s="140"/>
      <c r="F7361" s="140"/>
      <c r="G7361" s="141"/>
      <c r="H7361" s="140"/>
      <c r="I7361" s="140"/>
      <c r="J7361" s="140"/>
      <c r="K7361" s="140"/>
    </row>
    <row r="7362">
      <c r="A7362" s="140"/>
      <c r="B7362" s="140"/>
      <c r="C7362" s="140"/>
      <c r="D7362" s="140"/>
      <c r="E7362" s="140"/>
      <c r="F7362" s="140"/>
      <c r="G7362" s="141"/>
      <c r="H7362" s="140"/>
      <c r="I7362" s="140"/>
      <c r="J7362" s="140"/>
      <c r="K7362" s="140"/>
    </row>
    <row r="7363">
      <c r="A7363" s="140"/>
      <c r="B7363" s="140"/>
      <c r="C7363" s="140"/>
      <c r="D7363" s="140"/>
      <c r="E7363" s="140"/>
      <c r="F7363" s="140"/>
      <c r="G7363" s="141"/>
      <c r="H7363" s="140"/>
      <c r="I7363" s="140"/>
      <c r="J7363" s="140"/>
      <c r="K7363" s="140"/>
    </row>
    <row r="7364">
      <c r="A7364" s="140"/>
      <c r="B7364" s="140"/>
      <c r="C7364" s="140"/>
      <c r="D7364" s="140"/>
      <c r="E7364" s="140"/>
      <c r="F7364" s="140"/>
      <c r="G7364" s="141"/>
      <c r="H7364" s="140"/>
      <c r="I7364" s="140"/>
      <c r="J7364" s="140"/>
      <c r="K7364" s="140"/>
    </row>
    <row r="7365">
      <c r="A7365" s="140"/>
      <c r="B7365" s="140"/>
      <c r="C7365" s="140"/>
      <c r="D7365" s="140"/>
      <c r="E7365" s="140"/>
      <c r="F7365" s="140"/>
      <c r="G7365" s="141"/>
      <c r="H7365" s="140"/>
      <c r="I7365" s="140"/>
      <c r="J7365" s="140"/>
      <c r="K7365" s="140"/>
    </row>
    <row r="7366">
      <c r="A7366" s="140"/>
      <c r="B7366" s="140"/>
      <c r="C7366" s="140"/>
      <c r="D7366" s="140"/>
      <c r="E7366" s="140"/>
      <c r="F7366" s="140"/>
      <c r="G7366" s="141"/>
      <c r="H7366" s="140"/>
      <c r="I7366" s="140"/>
      <c r="J7366" s="140"/>
      <c r="K7366" s="140"/>
    </row>
    <row r="7367">
      <c r="A7367" s="140"/>
      <c r="B7367" s="140"/>
      <c r="C7367" s="140"/>
      <c r="D7367" s="140"/>
      <c r="E7367" s="140"/>
      <c r="F7367" s="140"/>
      <c r="G7367" s="141"/>
      <c r="H7367" s="140"/>
      <c r="I7367" s="140"/>
      <c r="J7367" s="140"/>
      <c r="K7367" s="140"/>
    </row>
    <row r="7368">
      <c r="A7368" s="140"/>
      <c r="B7368" s="140"/>
      <c r="C7368" s="140"/>
      <c r="D7368" s="140"/>
      <c r="E7368" s="140"/>
      <c r="F7368" s="140"/>
      <c r="G7368" s="141"/>
      <c r="H7368" s="140"/>
      <c r="I7368" s="140"/>
      <c r="J7368" s="140"/>
      <c r="K7368" s="140"/>
    </row>
    <row r="7369">
      <c r="A7369" s="140"/>
      <c r="B7369" s="140"/>
      <c r="C7369" s="140"/>
      <c r="D7369" s="140"/>
      <c r="E7369" s="140"/>
      <c r="F7369" s="140"/>
      <c r="G7369" s="141"/>
      <c r="H7369" s="140"/>
      <c r="I7369" s="140"/>
      <c r="J7369" s="140"/>
      <c r="K7369" s="140"/>
    </row>
    <row r="7370">
      <c r="A7370" s="140"/>
      <c r="B7370" s="140"/>
      <c r="C7370" s="140"/>
      <c r="D7370" s="140"/>
      <c r="E7370" s="140"/>
      <c r="F7370" s="140"/>
      <c r="G7370" s="141"/>
      <c r="H7370" s="140"/>
      <c r="I7370" s="140"/>
      <c r="J7370" s="140"/>
      <c r="K7370" s="140"/>
    </row>
    <row r="7371">
      <c r="A7371" s="140"/>
      <c r="B7371" s="140"/>
      <c r="C7371" s="140"/>
      <c r="D7371" s="140"/>
      <c r="E7371" s="140"/>
      <c r="F7371" s="140"/>
      <c r="G7371" s="141"/>
      <c r="H7371" s="140"/>
      <c r="I7371" s="140"/>
      <c r="J7371" s="140"/>
      <c r="K7371" s="140"/>
    </row>
    <row r="7372">
      <c r="A7372" s="140"/>
      <c r="B7372" s="140"/>
      <c r="C7372" s="140"/>
      <c r="D7372" s="140"/>
      <c r="E7372" s="140"/>
      <c r="F7372" s="140"/>
      <c r="G7372" s="141"/>
      <c r="H7372" s="140"/>
      <c r="I7372" s="140"/>
      <c r="J7372" s="140"/>
      <c r="K7372" s="140"/>
    </row>
    <row r="7373">
      <c r="A7373" s="140"/>
      <c r="B7373" s="140"/>
      <c r="C7373" s="140"/>
      <c r="D7373" s="140"/>
      <c r="E7373" s="140"/>
      <c r="F7373" s="140"/>
      <c r="G7373" s="141"/>
      <c r="H7373" s="140"/>
      <c r="I7373" s="140"/>
      <c r="J7373" s="140"/>
      <c r="K7373" s="140"/>
    </row>
    <row r="7374">
      <c r="A7374" s="140"/>
      <c r="B7374" s="140"/>
      <c r="C7374" s="140"/>
      <c r="D7374" s="140"/>
      <c r="E7374" s="140"/>
      <c r="F7374" s="140"/>
      <c r="G7374" s="141"/>
      <c r="H7374" s="140"/>
      <c r="I7374" s="140"/>
      <c r="J7374" s="140"/>
      <c r="K7374" s="140"/>
    </row>
    <row r="7375">
      <c r="A7375" s="140"/>
      <c r="B7375" s="140"/>
      <c r="C7375" s="140"/>
      <c r="D7375" s="140"/>
      <c r="E7375" s="140"/>
      <c r="F7375" s="140"/>
      <c r="G7375" s="141"/>
      <c r="H7375" s="140"/>
      <c r="I7375" s="140"/>
      <c r="J7375" s="140"/>
      <c r="K7375" s="140"/>
    </row>
    <row r="7376">
      <c r="A7376" s="140"/>
      <c r="B7376" s="140"/>
      <c r="C7376" s="140"/>
      <c r="D7376" s="140"/>
      <c r="E7376" s="140"/>
      <c r="F7376" s="140"/>
      <c r="G7376" s="141"/>
      <c r="H7376" s="140"/>
      <c r="I7376" s="140"/>
      <c r="J7376" s="140"/>
      <c r="K7376" s="140"/>
    </row>
    <row r="7377">
      <c r="A7377" s="140"/>
      <c r="B7377" s="140"/>
      <c r="C7377" s="140"/>
      <c r="D7377" s="140"/>
      <c r="E7377" s="140"/>
      <c r="F7377" s="140"/>
      <c r="G7377" s="141"/>
      <c r="H7377" s="140"/>
      <c r="I7377" s="140"/>
      <c r="J7377" s="140"/>
      <c r="K7377" s="140"/>
    </row>
    <row r="7378">
      <c r="A7378" s="140"/>
      <c r="B7378" s="140"/>
      <c r="C7378" s="140"/>
      <c r="D7378" s="140"/>
      <c r="E7378" s="140"/>
      <c r="F7378" s="140"/>
      <c r="G7378" s="141"/>
      <c r="H7378" s="140"/>
      <c r="I7378" s="140"/>
      <c r="J7378" s="140"/>
      <c r="K7378" s="140"/>
    </row>
    <row r="7379">
      <c r="A7379" s="140"/>
      <c r="B7379" s="140"/>
      <c r="C7379" s="140"/>
      <c r="D7379" s="140"/>
      <c r="E7379" s="140"/>
      <c r="F7379" s="140"/>
      <c r="G7379" s="141"/>
      <c r="H7379" s="140"/>
      <c r="I7379" s="140"/>
      <c r="J7379" s="140"/>
      <c r="K7379" s="140"/>
    </row>
    <row r="7380">
      <c r="A7380" s="140"/>
      <c r="B7380" s="140"/>
      <c r="C7380" s="140"/>
      <c r="D7380" s="140"/>
      <c r="E7380" s="140"/>
      <c r="F7380" s="140"/>
      <c r="G7380" s="141"/>
      <c r="H7380" s="140"/>
      <c r="I7380" s="140"/>
      <c r="J7380" s="140"/>
      <c r="K7380" s="140"/>
    </row>
    <row r="7381">
      <c r="A7381" s="140"/>
      <c r="B7381" s="140"/>
      <c r="C7381" s="140"/>
      <c r="D7381" s="140"/>
      <c r="E7381" s="140"/>
      <c r="F7381" s="140"/>
      <c r="G7381" s="141"/>
      <c r="H7381" s="140"/>
      <c r="I7381" s="140"/>
      <c r="J7381" s="140"/>
      <c r="K7381" s="140"/>
    </row>
    <row r="7382">
      <c r="A7382" s="140"/>
      <c r="B7382" s="140"/>
      <c r="C7382" s="140"/>
      <c r="D7382" s="140"/>
      <c r="E7382" s="140"/>
      <c r="F7382" s="140"/>
      <c r="G7382" s="141"/>
      <c r="H7382" s="140"/>
      <c r="I7382" s="140"/>
      <c r="J7382" s="140"/>
      <c r="K7382" s="140"/>
    </row>
    <row r="7383">
      <c r="A7383" s="140"/>
      <c r="B7383" s="140"/>
      <c r="C7383" s="140"/>
      <c r="D7383" s="140"/>
      <c r="E7383" s="140"/>
      <c r="F7383" s="140"/>
      <c r="G7383" s="141"/>
      <c r="H7383" s="140"/>
      <c r="I7383" s="140"/>
      <c r="J7383" s="140"/>
      <c r="K7383" s="140"/>
    </row>
    <row r="7384">
      <c r="A7384" s="140"/>
      <c r="B7384" s="140"/>
      <c r="C7384" s="140"/>
      <c r="D7384" s="140"/>
      <c r="E7384" s="140"/>
      <c r="F7384" s="140"/>
      <c r="G7384" s="141"/>
      <c r="H7384" s="140"/>
      <c r="I7384" s="140"/>
      <c r="J7384" s="140"/>
      <c r="K7384" s="140"/>
    </row>
    <row r="7385">
      <c r="A7385" s="140"/>
      <c r="B7385" s="140"/>
      <c r="C7385" s="140"/>
      <c r="D7385" s="140"/>
      <c r="E7385" s="140"/>
      <c r="F7385" s="140"/>
      <c r="G7385" s="141"/>
      <c r="H7385" s="140"/>
      <c r="I7385" s="140"/>
      <c r="J7385" s="140"/>
      <c r="K7385" s="140"/>
    </row>
    <row r="7386">
      <c r="A7386" s="140"/>
      <c r="B7386" s="140"/>
      <c r="C7386" s="140"/>
      <c r="D7386" s="140"/>
      <c r="E7386" s="140"/>
      <c r="F7386" s="140"/>
      <c r="G7386" s="141"/>
      <c r="H7386" s="140"/>
      <c r="I7386" s="140"/>
      <c r="J7386" s="140"/>
      <c r="K7386" s="140"/>
    </row>
    <row r="7387">
      <c r="A7387" s="140"/>
      <c r="B7387" s="140"/>
      <c r="C7387" s="140"/>
      <c r="D7387" s="140"/>
      <c r="E7387" s="140"/>
      <c r="F7387" s="140"/>
      <c r="G7387" s="141"/>
      <c r="H7387" s="140"/>
      <c r="I7387" s="140"/>
      <c r="J7387" s="140"/>
      <c r="K7387" s="140"/>
    </row>
    <row r="7388">
      <c r="A7388" s="140"/>
      <c r="B7388" s="140"/>
      <c r="C7388" s="140"/>
      <c r="D7388" s="140"/>
      <c r="E7388" s="140"/>
      <c r="F7388" s="140"/>
      <c r="G7388" s="141"/>
      <c r="H7388" s="140"/>
      <c r="I7388" s="140"/>
      <c r="J7388" s="140"/>
      <c r="K7388" s="140"/>
    </row>
    <row r="7389">
      <c r="A7389" s="140"/>
      <c r="B7389" s="140"/>
      <c r="C7389" s="140"/>
      <c r="D7389" s="140"/>
      <c r="E7389" s="140"/>
      <c r="F7389" s="140"/>
      <c r="G7389" s="141"/>
      <c r="H7389" s="140"/>
      <c r="I7389" s="140"/>
      <c r="J7389" s="140"/>
      <c r="K7389" s="140"/>
    </row>
    <row r="7390">
      <c r="A7390" s="140"/>
      <c r="B7390" s="140"/>
      <c r="C7390" s="140"/>
      <c r="D7390" s="140"/>
      <c r="E7390" s="140"/>
      <c r="F7390" s="140"/>
      <c r="G7390" s="141"/>
      <c r="H7390" s="140"/>
      <c r="I7390" s="140"/>
      <c r="J7390" s="140"/>
      <c r="K7390" s="140"/>
    </row>
    <row r="7391">
      <c r="A7391" s="140"/>
      <c r="B7391" s="140"/>
      <c r="C7391" s="140"/>
      <c r="D7391" s="140"/>
      <c r="E7391" s="140"/>
      <c r="F7391" s="140"/>
      <c r="G7391" s="141"/>
      <c r="H7391" s="140"/>
      <c r="I7391" s="140"/>
      <c r="J7391" s="140"/>
      <c r="K7391" s="140"/>
    </row>
    <row r="7392">
      <c r="A7392" s="140"/>
      <c r="B7392" s="140"/>
      <c r="C7392" s="140"/>
      <c r="D7392" s="140"/>
      <c r="E7392" s="140"/>
      <c r="F7392" s="140"/>
      <c r="G7392" s="141"/>
      <c r="H7392" s="140"/>
      <c r="I7392" s="140"/>
      <c r="J7392" s="140"/>
      <c r="K7392" s="140"/>
    </row>
    <row r="7393">
      <c r="A7393" s="140"/>
      <c r="B7393" s="140"/>
      <c r="C7393" s="140"/>
      <c r="D7393" s="140"/>
      <c r="E7393" s="140"/>
      <c r="F7393" s="140"/>
      <c r="G7393" s="141"/>
      <c r="H7393" s="140"/>
      <c r="I7393" s="140"/>
      <c r="J7393" s="140"/>
      <c r="K7393" s="140"/>
    </row>
    <row r="7394">
      <c r="A7394" s="140"/>
      <c r="B7394" s="140"/>
      <c r="C7394" s="140"/>
      <c r="D7394" s="140"/>
      <c r="E7394" s="140"/>
      <c r="F7394" s="140"/>
      <c r="G7394" s="141"/>
      <c r="H7394" s="140"/>
      <c r="I7394" s="140"/>
      <c r="J7394" s="140"/>
      <c r="K7394" s="140"/>
    </row>
    <row r="7395">
      <c r="A7395" s="140"/>
      <c r="B7395" s="140"/>
      <c r="C7395" s="140"/>
      <c r="D7395" s="140"/>
      <c r="E7395" s="140"/>
      <c r="F7395" s="140"/>
      <c r="G7395" s="141"/>
      <c r="H7395" s="140"/>
      <c r="I7395" s="140"/>
      <c r="J7395" s="140"/>
      <c r="K7395" s="140"/>
    </row>
    <row r="7396">
      <c r="A7396" s="140"/>
      <c r="B7396" s="140"/>
      <c r="C7396" s="140"/>
      <c r="D7396" s="140"/>
      <c r="E7396" s="140"/>
      <c r="F7396" s="140"/>
      <c r="G7396" s="141"/>
      <c r="H7396" s="140"/>
      <c r="I7396" s="140"/>
      <c r="J7396" s="140"/>
      <c r="K7396" s="140"/>
    </row>
    <row r="7397">
      <c r="A7397" s="140"/>
      <c r="B7397" s="140"/>
      <c r="C7397" s="140"/>
      <c r="D7397" s="140"/>
      <c r="E7397" s="140"/>
      <c r="F7397" s="140"/>
      <c r="G7397" s="141"/>
      <c r="H7397" s="140"/>
      <c r="I7397" s="140"/>
      <c r="J7397" s="140"/>
      <c r="K7397" s="140"/>
    </row>
    <row r="7398">
      <c r="A7398" s="140"/>
      <c r="B7398" s="140"/>
      <c r="C7398" s="140"/>
      <c r="D7398" s="140"/>
      <c r="E7398" s="140"/>
      <c r="F7398" s="140"/>
      <c r="G7398" s="141"/>
      <c r="H7398" s="140"/>
      <c r="I7398" s="140"/>
      <c r="J7398" s="140"/>
      <c r="K7398" s="140"/>
    </row>
    <row r="7399">
      <c r="A7399" s="140"/>
      <c r="B7399" s="140"/>
      <c r="C7399" s="140"/>
      <c r="D7399" s="140"/>
      <c r="E7399" s="140"/>
      <c r="F7399" s="140"/>
      <c r="G7399" s="141"/>
      <c r="H7399" s="140"/>
      <c r="I7399" s="140"/>
      <c r="J7399" s="140"/>
      <c r="K7399" s="140"/>
    </row>
    <row r="7400">
      <c r="A7400" s="140"/>
      <c r="B7400" s="140"/>
      <c r="C7400" s="140"/>
      <c r="D7400" s="140"/>
      <c r="E7400" s="140"/>
      <c r="F7400" s="140"/>
      <c r="G7400" s="141"/>
      <c r="H7400" s="140"/>
      <c r="I7400" s="140"/>
      <c r="J7400" s="140"/>
      <c r="K7400" s="140"/>
    </row>
    <row r="7401">
      <c r="A7401" s="140"/>
      <c r="B7401" s="140"/>
      <c r="C7401" s="140"/>
      <c r="D7401" s="140"/>
      <c r="E7401" s="140"/>
      <c r="F7401" s="140"/>
      <c r="G7401" s="141"/>
      <c r="H7401" s="140"/>
      <c r="I7401" s="140"/>
      <c r="J7401" s="140"/>
      <c r="K7401" s="140"/>
    </row>
    <row r="7402">
      <c r="A7402" s="140"/>
      <c r="B7402" s="140"/>
      <c r="C7402" s="140"/>
      <c r="D7402" s="140"/>
      <c r="E7402" s="140"/>
      <c r="F7402" s="140"/>
      <c r="G7402" s="141"/>
      <c r="H7402" s="140"/>
      <c r="I7402" s="140"/>
      <c r="J7402" s="140"/>
      <c r="K7402" s="140"/>
    </row>
    <row r="7403">
      <c r="A7403" s="140"/>
      <c r="B7403" s="140"/>
      <c r="C7403" s="140"/>
      <c r="D7403" s="140"/>
      <c r="E7403" s="140"/>
      <c r="F7403" s="140"/>
      <c r="G7403" s="141"/>
      <c r="H7403" s="140"/>
      <c r="I7403" s="140"/>
      <c r="J7403" s="140"/>
      <c r="K7403" s="140"/>
    </row>
    <row r="7404">
      <c r="A7404" s="140"/>
      <c r="B7404" s="140"/>
      <c r="C7404" s="140"/>
      <c r="D7404" s="140"/>
      <c r="E7404" s="140"/>
      <c r="F7404" s="140"/>
      <c r="G7404" s="141"/>
      <c r="H7404" s="140"/>
      <c r="I7404" s="140"/>
      <c r="J7404" s="140"/>
      <c r="K7404" s="140"/>
    </row>
    <row r="7405">
      <c r="A7405" s="140"/>
      <c r="B7405" s="140"/>
      <c r="C7405" s="140"/>
      <c r="D7405" s="140"/>
      <c r="E7405" s="140"/>
      <c r="F7405" s="140"/>
      <c r="G7405" s="141"/>
      <c r="H7405" s="140"/>
      <c r="I7405" s="140"/>
      <c r="J7405" s="140"/>
      <c r="K7405" s="140"/>
    </row>
    <row r="7406">
      <c r="A7406" s="140"/>
      <c r="B7406" s="140"/>
      <c r="C7406" s="140"/>
      <c r="D7406" s="140"/>
      <c r="E7406" s="140"/>
      <c r="F7406" s="140"/>
      <c r="G7406" s="141"/>
      <c r="H7406" s="140"/>
      <c r="I7406" s="140"/>
      <c r="J7406" s="140"/>
      <c r="K7406" s="140"/>
    </row>
    <row r="7407">
      <c r="A7407" s="140"/>
      <c r="B7407" s="140"/>
      <c r="C7407" s="140"/>
      <c r="D7407" s="140"/>
      <c r="E7407" s="140"/>
      <c r="F7407" s="140"/>
      <c r="G7407" s="141"/>
      <c r="H7407" s="140"/>
      <c r="I7407" s="140"/>
      <c r="J7407" s="140"/>
      <c r="K7407" s="140"/>
    </row>
    <row r="7408">
      <c r="A7408" s="140"/>
      <c r="B7408" s="140"/>
      <c r="C7408" s="140"/>
      <c r="D7408" s="140"/>
      <c r="E7408" s="140"/>
      <c r="F7408" s="140"/>
      <c r="G7408" s="141"/>
      <c r="H7408" s="140"/>
      <c r="I7408" s="140"/>
      <c r="J7408" s="140"/>
      <c r="K7408" s="140"/>
    </row>
    <row r="7409">
      <c r="A7409" s="140"/>
      <c r="B7409" s="140"/>
      <c r="C7409" s="140"/>
      <c r="D7409" s="140"/>
      <c r="E7409" s="140"/>
      <c r="F7409" s="140"/>
      <c r="G7409" s="141"/>
      <c r="H7409" s="140"/>
      <c r="I7409" s="140"/>
      <c r="J7409" s="140"/>
      <c r="K7409" s="140"/>
    </row>
    <row r="7410">
      <c r="A7410" s="140"/>
      <c r="B7410" s="140"/>
      <c r="C7410" s="140"/>
      <c r="D7410" s="140"/>
      <c r="E7410" s="140"/>
      <c r="F7410" s="140"/>
      <c r="G7410" s="141"/>
      <c r="H7410" s="140"/>
      <c r="I7410" s="140"/>
      <c r="J7410" s="140"/>
      <c r="K7410" s="140"/>
    </row>
    <row r="7411">
      <c r="A7411" s="140"/>
      <c r="B7411" s="140"/>
      <c r="C7411" s="140"/>
      <c r="D7411" s="140"/>
      <c r="E7411" s="140"/>
      <c r="F7411" s="140"/>
      <c r="G7411" s="141"/>
      <c r="H7411" s="140"/>
      <c r="I7411" s="140"/>
      <c r="J7411" s="140"/>
      <c r="K7411" s="140"/>
    </row>
    <row r="7412">
      <c r="A7412" s="140"/>
      <c r="B7412" s="140"/>
      <c r="C7412" s="140"/>
      <c r="D7412" s="140"/>
      <c r="E7412" s="140"/>
      <c r="F7412" s="140"/>
      <c r="G7412" s="141"/>
      <c r="H7412" s="140"/>
      <c r="I7412" s="140"/>
      <c r="J7412" s="140"/>
      <c r="K7412" s="140"/>
    </row>
    <row r="7413">
      <c r="A7413" s="140"/>
      <c r="B7413" s="140"/>
      <c r="C7413" s="140"/>
      <c r="D7413" s="140"/>
      <c r="E7413" s="140"/>
      <c r="F7413" s="140"/>
      <c r="G7413" s="141"/>
      <c r="H7413" s="140"/>
      <c r="I7413" s="140"/>
      <c r="J7413" s="140"/>
      <c r="K7413" s="140"/>
    </row>
    <row r="7414">
      <c r="A7414" s="140"/>
      <c r="B7414" s="140"/>
      <c r="C7414" s="140"/>
      <c r="D7414" s="140"/>
      <c r="E7414" s="140"/>
      <c r="F7414" s="140"/>
      <c r="G7414" s="141"/>
      <c r="H7414" s="140"/>
      <c r="I7414" s="140"/>
      <c r="J7414" s="140"/>
      <c r="K7414" s="140"/>
    </row>
    <row r="7415">
      <c r="A7415" s="140"/>
      <c r="B7415" s="140"/>
      <c r="C7415" s="140"/>
      <c r="D7415" s="140"/>
      <c r="E7415" s="140"/>
      <c r="F7415" s="140"/>
      <c r="G7415" s="141"/>
      <c r="H7415" s="140"/>
      <c r="I7415" s="140"/>
      <c r="J7415" s="140"/>
      <c r="K7415" s="140"/>
    </row>
    <row r="7416">
      <c r="A7416" s="140"/>
      <c r="B7416" s="140"/>
      <c r="C7416" s="140"/>
      <c r="D7416" s="140"/>
      <c r="E7416" s="140"/>
      <c r="F7416" s="140"/>
      <c r="G7416" s="141"/>
      <c r="H7416" s="140"/>
      <c r="I7416" s="140"/>
      <c r="J7416" s="140"/>
      <c r="K7416" s="140"/>
    </row>
    <row r="7417">
      <c r="A7417" s="140"/>
      <c r="B7417" s="140"/>
      <c r="C7417" s="140"/>
      <c r="D7417" s="140"/>
      <c r="E7417" s="140"/>
      <c r="F7417" s="140"/>
      <c r="G7417" s="141"/>
      <c r="H7417" s="140"/>
      <c r="I7417" s="140"/>
      <c r="J7417" s="140"/>
      <c r="K7417" s="140"/>
    </row>
    <row r="7418">
      <c r="A7418" s="140"/>
      <c r="B7418" s="140"/>
      <c r="C7418" s="140"/>
      <c r="D7418" s="140"/>
      <c r="E7418" s="140"/>
      <c r="F7418" s="140"/>
      <c r="G7418" s="141"/>
      <c r="H7418" s="140"/>
      <c r="I7418" s="140"/>
      <c r="J7418" s="140"/>
      <c r="K7418" s="140"/>
    </row>
    <row r="7419">
      <c r="A7419" s="140"/>
      <c r="B7419" s="140"/>
      <c r="C7419" s="140"/>
      <c r="D7419" s="140"/>
      <c r="E7419" s="140"/>
      <c r="F7419" s="140"/>
      <c r="G7419" s="141"/>
      <c r="H7419" s="140"/>
      <c r="I7419" s="140"/>
      <c r="J7419" s="140"/>
      <c r="K7419" s="140"/>
    </row>
    <row r="7420">
      <c r="A7420" s="140"/>
      <c r="B7420" s="140"/>
      <c r="C7420" s="140"/>
      <c r="D7420" s="140"/>
      <c r="E7420" s="140"/>
      <c r="F7420" s="140"/>
      <c r="G7420" s="141"/>
      <c r="H7420" s="140"/>
      <c r="I7420" s="140"/>
      <c r="J7420" s="140"/>
      <c r="K7420" s="140"/>
    </row>
    <row r="7421">
      <c r="A7421" s="140"/>
      <c r="B7421" s="140"/>
      <c r="C7421" s="140"/>
      <c r="D7421" s="140"/>
      <c r="E7421" s="140"/>
      <c r="F7421" s="140"/>
      <c r="G7421" s="141"/>
      <c r="H7421" s="140"/>
      <c r="I7421" s="140"/>
      <c r="J7421" s="140"/>
      <c r="K7421" s="140"/>
    </row>
    <row r="7422">
      <c r="A7422" s="140"/>
      <c r="B7422" s="140"/>
      <c r="C7422" s="140"/>
      <c r="D7422" s="140"/>
      <c r="E7422" s="140"/>
      <c r="F7422" s="140"/>
      <c r="G7422" s="141"/>
      <c r="H7422" s="140"/>
      <c r="I7422" s="140"/>
      <c r="J7422" s="140"/>
      <c r="K7422" s="140"/>
    </row>
    <row r="7423">
      <c r="A7423" s="140"/>
      <c r="B7423" s="140"/>
      <c r="C7423" s="140"/>
      <c r="D7423" s="140"/>
      <c r="E7423" s="140"/>
      <c r="F7423" s="140"/>
      <c r="G7423" s="141"/>
      <c r="H7423" s="140"/>
      <c r="I7423" s="140"/>
      <c r="J7423" s="140"/>
      <c r="K7423" s="140"/>
    </row>
    <row r="7424">
      <c r="A7424" s="140"/>
      <c r="B7424" s="140"/>
      <c r="C7424" s="140"/>
      <c r="D7424" s="140"/>
      <c r="E7424" s="140"/>
      <c r="F7424" s="140"/>
      <c r="G7424" s="141"/>
      <c r="H7424" s="140"/>
      <c r="I7424" s="140"/>
      <c r="J7424" s="140"/>
      <c r="K7424" s="140"/>
    </row>
    <row r="7425">
      <c r="A7425" s="140"/>
      <c r="B7425" s="140"/>
      <c r="C7425" s="140"/>
      <c r="D7425" s="140"/>
      <c r="E7425" s="140"/>
      <c r="F7425" s="140"/>
      <c r="G7425" s="141"/>
      <c r="H7425" s="140"/>
      <c r="I7425" s="140"/>
      <c r="J7425" s="140"/>
      <c r="K7425" s="140"/>
    </row>
    <row r="7426">
      <c r="A7426" s="140"/>
      <c r="B7426" s="140"/>
      <c r="C7426" s="140"/>
      <c r="D7426" s="140"/>
      <c r="E7426" s="140"/>
      <c r="F7426" s="140"/>
      <c r="G7426" s="141"/>
      <c r="H7426" s="140"/>
      <c r="I7426" s="140"/>
      <c r="J7426" s="140"/>
      <c r="K7426" s="140"/>
    </row>
    <row r="7427">
      <c r="A7427" s="140"/>
      <c r="B7427" s="140"/>
      <c r="C7427" s="140"/>
      <c r="D7427" s="140"/>
      <c r="E7427" s="140"/>
      <c r="F7427" s="140"/>
      <c r="G7427" s="141"/>
      <c r="H7427" s="140"/>
      <c r="I7427" s="140"/>
      <c r="J7427" s="140"/>
      <c r="K7427" s="140"/>
    </row>
    <row r="7428">
      <c r="A7428" s="140"/>
      <c r="B7428" s="140"/>
      <c r="C7428" s="140"/>
      <c r="D7428" s="140"/>
      <c r="E7428" s="140"/>
      <c r="F7428" s="140"/>
      <c r="G7428" s="141"/>
      <c r="H7428" s="140"/>
      <c r="I7428" s="140"/>
      <c r="J7428" s="140"/>
      <c r="K7428" s="140"/>
    </row>
    <row r="7429">
      <c r="A7429" s="140"/>
      <c r="B7429" s="140"/>
      <c r="C7429" s="140"/>
      <c r="D7429" s="140"/>
      <c r="E7429" s="140"/>
      <c r="F7429" s="140"/>
      <c r="G7429" s="141"/>
      <c r="H7429" s="140"/>
      <c r="I7429" s="140"/>
      <c r="J7429" s="140"/>
      <c r="K7429" s="140"/>
    </row>
    <row r="7430">
      <c r="A7430" s="140"/>
      <c r="B7430" s="140"/>
      <c r="C7430" s="140"/>
      <c r="D7430" s="140"/>
      <c r="E7430" s="140"/>
      <c r="F7430" s="140"/>
      <c r="G7430" s="141"/>
      <c r="H7430" s="140"/>
      <c r="I7430" s="140"/>
      <c r="J7430" s="140"/>
      <c r="K7430" s="140"/>
    </row>
    <row r="7431">
      <c r="A7431" s="140"/>
      <c r="B7431" s="140"/>
      <c r="C7431" s="140"/>
      <c r="D7431" s="140"/>
      <c r="E7431" s="140"/>
      <c r="F7431" s="140"/>
      <c r="G7431" s="141"/>
      <c r="H7431" s="140"/>
      <c r="I7431" s="140"/>
      <c r="J7431" s="140"/>
      <c r="K7431" s="140"/>
    </row>
    <row r="7432">
      <c r="A7432" s="140"/>
      <c r="B7432" s="140"/>
      <c r="C7432" s="140"/>
      <c r="D7432" s="140"/>
      <c r="E7432" s="140"/>
      <c r="F7432" s="140"/>
      <c r="G7432" s="141"/>
      <c r="H7432" s="140"/>
      <c r="I7432" s="140"/>
      <c r="J7432" s="140"/>
      <c r="K7432" s="140"/>
    </row>
    <row r="7433">
      <c r="A7433" s="140"/>
      <c r="B7433" s="140"/>
      <c r="C7433" s="140"/>
      <c r="D7433" s="140"/>
      <c r="E7433" s="140"/>
      <c r="F7433" s="140"/>
      <c r="G7433" s="141"/>
      <c r="H7433" s="140"/>
      <c r="I7433" s="140"/>
      <c r="J7433" s="140"/>
      <c r="K7433" s="140"/>
    </row>
    <row r="7434">
      <c r="A7434" s="140"/>
      <c r="B7434" s="140"/>
      <c r="C7434" s="140"/>
      <c r="D7434" s="140"/>
      <c r="E7434" s="140"/>
      <c r="F7434" s="140"/>
      <c r="G7434" s="141"/>
      <c r="H7434" s="140"/>
      <c r="I7434" s="140"/>
      <c r="J7434" s="140"/>
      <c r="K7434" s="140"/>
    </row>
    <row r="7435">
      <c r="A7435" s="140"/>
      <c r="B7435" s="140"/>
      <c r="C7435" s="140"/>
      <c r="D7435" s="140"/>
      <c r="E7435" s="140"/>
      <c r="F7435" s="140"/>
      <c r="G7435" s="141"/>
      <c r="H7435" s="140"/>
      <c r="I7435" s="140"/>
      <c r="J7435" s="140"/>
      <c r="K7435" s="140"/>
    </row>
    <row r="7436">
      <c r="A7436" s="140"/>
      <c r="B7436" s="140"/>
      <c r="C7436" s="140"/>
      <c r="D7436" s="140"/>
      <c r="E7436" s="140"/>
      <c r="F7436" s="140"/>
      <c r="G7436" s="141"/>
      <c r="H7436" s="140"/>
      <c r="I7436" s="140"/>
      <c r="J7436" s="140"/>
      <c r="K7436" s="140"/>
    </row>
    <row r="7437">
      <c r="A7437" s="140"/>
      <c r="B7437" s="140"/>
      <c r="C7437" s="140"/>
      <c r="D7437" s="140"/>
      <c r="E7437" s="140"/>
      <c r="F7437" s="140"/>
      <c r="G7437" s="141"/>
      <c r="H7437" s="140"/>
      <c r="I7437" s="140"/>
      <c r="J7437" s="140"/>
      <c r="K7437" s="140"/>
    </row>
    <row r="7438">
      <c r="A7438" s="140"/>
      <c r="B7438" s="140"/>
      <c r="C7438" s="140"/>
      <c r="D7438" s="140"/>
      <c r="E7438" s="140"/>
      <c r="F7438" s="140"/>
      <c r="G7438" s="141"/>
      <c r="H7438" s="140"/>
      <c r="I7438" s="140"/>
      <c r="J7438" s="140"/>
      <c r="K7438" s="140"/>
    </row>
    <row r="7439">
      <c r="A7439" s="140"/>
      <c r="B7439" s="140"/>
      <c r="C7439" s="140"/>
      <c r="D7439" s="140"/>
      <c r="E7439" s="140"/>
      <c r="F7439" s="140"/>
      <c r="G7439" s="141"/>
      <c r="H7439" s="140"/>
      <c r="I7439" s="140"/>
      <c r="J7439" s="140"/>
      <c r="K7439" s="140"/>
    </row>
    <row r="7440">
      <c r="A7440" s="140"/>
      <c r="B7440" s="140"/>
      <c r="C7440" s="140"/>
      <c r="D7440" s="140"/>
      <c r="E7440" s="140"/>
      <c r="F7440" s="140"/>
      <c r="G7440" s="141"/>
      <c r="H7440" s="140"/>
      <c r="I7440" s="140"/>
      <c r="J7440" s="140"/>
      <c r="K7440" s="140"/>
    </row>
    <row r="7441">
      <c r="A7441" s="140"/>
      <c r="B7441" s="140"/>
      <c r="C7441" s="140"/>
      <c r="D7441" s="140"/>
      <c r="E7441" s="140"/>
      <c r="F7441" s="140"/>
      <c r="G7441" s="141"/>
      <c r="H7441" s="140"/>
      <c r="I7441" s="140"/>
      <c r="J7441" s="140"/>
      <c r="K7441" s="140"/>
    </row>
    <row r="7442">
      <c r="A7442" s="140"/>
      <c r="B7442" s="140"/>
      <c r="C7442" s="140"/>
      <c r="D7442" s="140"/>
      <c r="E7442" s="140"/>
      <c r="F7442" s="140"/>
      <c r="G7442" s="141"/>
      <c r="H7442" s="140"/>
      <c r="I7442" s="140"/>
      <c r="J7442" s="140"/>
      <c r="K7442" s="140"/>
    </row>
    <row r="7443">
      <c r="A7443" s="140"/>
      <c r="B7443" s="140"/>
      <c r="C7443" s="140"/>
      <c r="D7443" s="140"/>
      <c r="E7443" s="140"/>
      <c r="F7443" s="140"/>
      <c r="G7443" s="141"/>
      <c r="H7443" s="140"/>
      <c r="I7443" s="140"/>
      <c r="J7443" s="140"/>
      <c r="K7443" s="140"/>
    </row>
    <row r="7444">
      <c r="A7444" s="140"/>
      <c r="B7444" s="140"/>
      <c r="C7444" s="140"/>
      <c r="D7444" s="140"/>
      <c r="E7444" s="140"/>
      <c r="F7444" s="140"/>
      <c r="G7444" s="141"/>
      <c r="H7444" s="140"/>
      <c r="I7444" s="140"/>
      <c r="J7444" s="140"/>
      <c r="K7444" s="140"/>
    </row>
    <row r="7445">
      <c r="A7445" s="140"/>
      <c r="B7445" s="140"/>
      <c r="C7445" s="140"/>
      <c r="D7445" s="140"/>
      <c r="E7445" s="140"/>
      <c r="F7445" s="140"/>
      <c r="G7445" s="141"/>
      <c r="H7445" s="140"/>
      <c r="I7445" s="140"/>
      <c r="J7445" s="140"/>
      <c r="K7445" s="140"/>
    </row>
    <row r="7446">
      <c r="A7446" s="140"/>
      <c r="B7446" s="140"/>
      <c r="C7446" s="140"/>
      <c r="D7446" s="140"/>
      <c r="E7446" s="140"/>
      <c r="F7446" s="140"/>
      <c r="G7446" s="141"/>
      <c r="H7446" s="140"/>
      <c r="I7446" s="140"/>
      <c r="J7446" s="140"/>
      <c r="K7446" s="140"/>
    </row>
    <row r="7447">
      <c r="A7447" s="140"/>
      <c r="B7447" s="140"/>
      <c r="C7447" s="140"/>
      <c r="D7447" s="140"/>
      <c r="E7447" s="140"/>
      <c r="F7447" s="140"/>
      <c r="G7447" s="141"/>
      <c r="H7447" s="140"/>
      <c r="I7447" s="140"/>
      <c r="J7447" s="140"/>
      <c r="K7447" s="140"/>
    </row>
    <row r="7448">
      <c r="A7448" s="140"/>
      <c r="B7448" s="140"/>
      <c r="C7448" s="140"/>
      <c r="D7448" s="140"/>
      <c r="E7448" s="140"/>
      <c r="F7448" s="140"/>
      <c r="G7448" s="141"/>
      <c r="H7448" s="140"/>
      <c r="I7448" s="140"/>
      <c r="J7448" s="140"/>
      <c r="K7448" s="140"/>
    </row>
    <row r="7449">
      <c r="A7449" s="140"/>
      <c r="B7449" s="140"/>
      <c r="C7449" s="140"/>
      <c r="D7449" s="140"/>
      <c r="E7449" s="140"/>
      <c r="F7449" s="140"/>
      <c r="G7449" s="141"/>
      <c r="H7449" s="140"/>
      <c r="I7449" s="140"/>
      <c r="J7449" s="140"/>
      <c r="K7449" s="140"/>
    </row>
    <row r="7450">
      <c r="A7450" s="140"/>
      <c r="B7450" s="140"/>
      <c r="C7450" s="140"/>
      <c r="D7450" s="140"/>
      <c r="E7450" s="140"/>
      <c r="F7450" s="140"/>
      <c r="G7450" s="141"/>
      <c r="H7450" s="140"/>
      <c r="I7450" s="140"/>
      <c r="J7450" s="140"/>
      <c r="K7450" s="140"/>
    </row>
    <row r="7451">
      <c r="A7451" s="140"/>
      <c r="B7451" s="140"/>
      <c r="C7451" s="140"/>
      <c r="D7451" s="140"/>
      <c r="E7451" s="140"/>
      <c r="F7451" s="140"/>
      <c r="G7451" s="141"/>
      <c r="H7451" s="140"/>
      <c r="I7451" s="140"/>
      <c r="J7451" s="140"/>
      <c r="K7451" s="140"/>
    </row>
    <row r="7452">
      <c r="A7452" s="140"/>
      <c r="B7452" s="140"/>
      <c r="C7452" s="140"/>
      <c r="D7452" s="140"/>
      <c r="E7452" s="140"/>
      <c r="F7452" s="140"/>
      <c r="G7452" s="141"/>
      <c r="H7452" s="140"/>
      <c r="I7452" s="140"/>
      <c r="J7452" s="140"/>
      <c r="K7452" s="140"/>
    </row>
    <row r="7453">
      <c r="A7453" s="140"/>
      <c r="B7453" s="140"/>
      <c r="C7453" s="140"/>
      <c r="D7453" s="140"/>
      <c r="E7453" s="140"/>
      <c r="F7453" s="140"/>
      <c r="G7453" s="141"/>
      <c r="H7453" s="140"/>
      <c r="I7453" s="140"/>
      <c r="J7453" s="140"/>
      <c r="K7453" s="140"/>
    </row>
    <row r="7454">
      <c r="A7454" s="140"/>
      <c r="B7454" s="140"/>
      <c r="C7454" s="140"/>
      <c r="D7454" s="140"/>
      <c r="E7454" s="140"/>
      <c r="F7454" s="140"/>
      <c r="G7454" s="141"/>
      <c r="H7454" s="140"/>
      <c r="I7454" s="140"/>
      <c r="J7454" s="140"/>
      <c r="K7454" s="140"/>
    </row>
    <row r="7455">
      <c r="A7455" s="140"/>
      <c r="B7455" s="140"/>
      <c r="C7455" s="140"/>
      <c r="D7455" s="140"/>
      <c r="E7455" s="140"/>
      <c r="F7455" s="140"/>
      <c r="G7455" s="141"/>
      <c r="H7455" s="140"/>
      <c r="I7455" s="140"/>
      <c r="J7455" s="140"/>
      <c r="K7455" s="140"/>
    </row>
    <row r="7456">
      <c r="A7456" s="140"/>
      <c r="B7456" s="140"/>
      <c r="C7456" s="140"/>
      <c r="D7456" s="140"/>
      <c r="E7456" s="140"/>
      <c r="F7456" s="140"/>
      <c r="G7456" s="141"/>
      <c r="H7456" s="140"/>
      <c r="I7456" s="140"/>
      <c r="J7456" s="140"/>
      <c r="K7456" s="140"/>
    </row>
    <row r="7457">
      <c r="A7457" s="140"/>
      <c r="B7457" s="140"/>
      <c r="C7457" s="140"/>
      <c r="D7457" s="140"/>
      <c r="E7457" s="140"/>
      <c r="F7457" s="140"/>
      <c r="G7457" s="141"/>
      <c r="H7457" s="140"/>
      <c r="I7457" s="140"/>
      <c r="J7457" s="140"/>
      <c r="K7457" s="140"/>
    </row>
    <row r="7458">
      <c r="A7458" s="140"/>
      <c r="B7458" s="140"/>
      <c r="C7458" s="140"/>
      <c r="D7458" s="140"/>
      <c r="E7458" s="140"/>
      <c r="F7458" s="140"/>
      <c r="G7458" s="141"/>
      <c r="H7458" s="140"/>
      <c r="I7458" s="140"/>
      <c r="J7458" s="140"/>
      <c r="K7458" s="140"/>
    </row>
    <row r="7459">
      <c r="A7459" s="140"/>
      <c r="B7459" s="140"/>
      <c r="C7459" s="140"/>
      <c r="D7459" s="140"/>
      <c r="E7459" s="140"/>
      <c r="F7459" s="140"/>
      <c r="G7459" s="141"/>
      <c r="H7459" s="140"/>
      <c r="I7459" s="140"/>
      <c r="J7459" s="140"/>
      <c r="K7459" s="140"/>
    </row>
    <row r="7460">
      <c r="A7460" s="140"/>
      <c r="B7460" s="140"/>
      <c r="C7460" s="140"/>
      <c r="D7460" s="140"/>
      <c r="E7460" s="140"/>
      <c r="F7460" s="140"/>
      <c r="G7460" s="141"/>
      <c r="H7460" s="140"/>
      <c r="I7460" s="140"/>
      <c r="J7460" s="140"/>
      <c r="K7460" s="140"/>
    </row>
    <row r="7461">
      <c r="A7461" s="140"/>
      <c r="B7461" s="140"/>
      <c r="C7461" s="140"/>
      <c r="D7461" s="140"/>
      <c r="E7461" s="140"/>
      <c r="F7461" s="140"/>
      <c r="G7461" s="141"/>
      <c r="H7461" s="140"/>
      <c r="I7461" s="140"/>
      <c r="J7461" s="140"/>
      <c r="K7461" s="140"/>
    </row>
    <row r="7462">
      <c r="A7462" s="140"/>
      <c r="B7462" s="140"/>
      <c r="C7462" s="140"/>
      <c r="D7462" s="140"/>
      <c r="E7462" s="140"/>
      <c r="F7462" s="140"/>
      <c r="G7462" s="141"/>
      <c r="H7462" s="140"/>
      <c r="I7462" s="140"/>
      <c r="J7462" s="140"/>
      <c r="K7462" s="140"/>
    </row>
    <row r="7463">
      <c r="A7463" s="140"/>
      <c r="B7463" s="140"/>
      <c r="C7463" s="140"/>
      <c r="D7463" s="140"/>
      <c r="E7463" s="140"/>
      <c r="F7463" s="140"/>
      <c r="G7463" s="141"/>
      <c r="H7463" s="140"/>
      <c r="I7463" s="140"/>
      <c r="J7463" s="140"/>
      <c r="K7463" s="140"/>
    </row>
    <row r="7464">
      <c r="A7464" s="140"/>
      <c r="B7464" s="140"/>
      <c r="C7464" s="140"/>
      <c r="D7464" s="140"/>
      <c r="E7464" s="140"/>
      <c r="F7464" s="140"/>
      <c r="G7464" s="141"/>
      <c r="H7464" s="140"/>
      <c r="I7464" s="140"/>
      <c r="J7464" s="140"/>
      <c r="K7464" s="140"/>
    </row>
    <row r="7465">
      <c r="A7465" s="140"/>
      <c r="B7465" s="140"/>
      <c r="C7465" s="140"/>
      <c r="D7465" s="140"/>
      <c r="E7465" s="140"/>
      <c r="F7465" s="140"/>
      <c r="G7465" s="141"/>
      <c r="H7465" s="140"/>
      <c r="I7465" s="140"/>
      <c r="J7465" s="140"/>
      <c r="K7465" s="140"/>
    </row>
    <row r="7466">
      <c r="A7466" s="140"/>
      <c r="B7466" s="140"/>
      <c r="C7466" s="140"/>
      <c r="D7466" s="140"/>
      <c r="E7466" s="140"/>
      <c r="F7466" s="140"/>
      <c r="G7466" s="141"/>
      <c r="H7466" s="140"/>
      <c r="I7466" s="140"/>
      <c r="J7466" s="140"/>
      <c r="K7466" s="140"/>
    </row>
    <row r="7467">
      <c r="A7467" s="140"/>
      <c r="B7467" s="140"/>
      <c r="C7467" s="140"/>
      <c r="D7467" s="140"/>
      <c r="E7467" s="140"/>
      <c r="F7467" s="140"/>
      <c r="G7467" s="141"/>
      <c r="H7467" s="140"/>
      <c r="I7467" s="140"/>
      <c r="J7467" s="140"/>
      <c r="K7467" s="140"/>
    </row>
    <row r="7468">
      <c r="A7468" s="140"/>
      <c r="B7468" s="140"/>
      <c r="C7468" s="140"/>
      <c r="D7468" s="140"/>
      <c r="E7468" s="140"/>
      <c r="F7468" s="140"/>
      <c r="G7468" s="141"/>
      <c r="H7468" s="140"/>
      <c r="I7468" s="140"/>
      <c r="J7468" s="140"/>
      <c r="K7468" s="140"/>
    </row>
    <row r="7469">
      <c r="A7469" s="140"/>
      <c r="B7469" s="140"/>
      <c r="C7469" s="140"/>
      <c r="D7469" s="140"/>
      <c r="E7469" s="140"/>
      <c r="F7469" s="140"/>
      <c r="G7469" s="141"/>
      <c r="H7469" s="140"/>
      <c r="I7469" s="140"/>
      <c r="J7469" s="140"/>
      <c r="K7469" s="140"/>
    </row>
    <row r="7470">
      <c r="A7470" s="140"/>
      <c r="B7470" s="140"/>
      <c r="C7470" s="140"/>
      <c r="D7470" s="140"/>
      <c r="E7470" s="140"/>
      <c r="F7470" s="140"/>
      <c r="G7470" s="141"/>
      <c r="H7470" s="140"/>
      <c r="I7470" s="140"/>
      <c r="J7470" s="140"/>
      <c r="K7470" s="140"/>
    </row>
    <row r="7471">
      <c r="A7471" s="140"/>
      <c r="B7471" s="140"/>
      <c r="C7471" s="140"/>
      <c r="D7471" s="140"/>
      <c r="E7471" s="140"/>
      <c r="F7471" s="140"/>
      <c r="G7471" s="141"/>
      <c r="H7471" s="140"/>
      <c r="I7471" s="140"/>
      <c r="J7471" s="140"/>
      <c r="K7471" s="140"/>
    </row>
    <row r="7472">
      <c r="A7472" s="140"/>
      <c r="B7472" s="140"/>
      <c r="C7472" s="140"/>
      <c r="D7472" s="140"/>
      <c r="E7472" s="140"/>
      <c r="F7472" s="140"/>
      <c r="G7472" s="141"/>
      <c r="H7472" s="140"/>
      <c r="I7472" s="140"/>
      <c r="J7472" s="140"/>
      <c r="K7472" s="140"/>
    </row>
    <row r="7473">
      <c r="A7473" s="140"/>
      <c r="B7473" s="140"/>
      <c r="C7473" s="140"/>
      <c r="D7473" s="140"/>
      <c r="E7473" s="140"/>
      <c r="F7473" s="140"/>
      <c r="G7473" s="141"/>
      <c r="H7473" s="140"/>
      <c r="I7473" s="140"/>
      <c r="J7473" s="140"/>
      <c r="K7473" s="140"/>
    </row>
    <row r="7474">
      <c r="A7474" s="140"/>
      <c r="B7474" s="140"/>
      <c r="C7474" s="140"/>
      <c r="D7474" s="140"/>
      <c r="E7474" s="140"/>
      <c r="F7474" s="140"/>
      <c r="G7474" s="141"/>
      <c r="H7474" s="140"/>
      <c r="I7474" s="140"/>
      <c r="J7474" s="140"/>
      <c r="K7474" s="140"/>
    </row>
    <row r="7475">
      <c r="A7475" s="140"/>
      <c r="B7475" s="140"/>
      <c r="C7475" s="140"/>
      <c r="D7475" s="140"/>
      <c r="E7475" s="140"/>
      <c r="F7475" s="140"/>
      <c r="G7475" s="141"/>
      <c r="H7475" s="140"/>
      <c r="I7475" s="140"/>
      <c r="J7475" s="140"/>
      <c r="K7475" s="140"/>
    </row>
    <row r="7476">
      <c r="A7476" s="140"/>
      <c r="B7476" s="140"/>
      <c r="C7476" s="140"/>
      <c r="D7476" s="140"/>
      <c r="E7476" s="140"/>
      <c r="F7476" s="140"/>
      <c r="G7476" s="141"/>
      <c r="H7476" s="140"/>
      <c r="I7476" s="140"/>
      <c r="J7476" s="140"/>
      <c r="K7476" s="140"/>
    </row>
    <row r="7477">
      <c r="A7477" s="140"/>
      <c r="B7477" s="140"/>
      <c r="C7477" s="140"/>
      <c r="D7477" s="140"/>
      <c r="E7477" s="140"/>
      <c r="F7477" s="140"/>
      <c r="G7477" s="141"/>
      <c r="H7477" s="140"/>
      <c r="I7477" s="140"/>
      <c r="J7477" s="140"/>
      <c r="K7477" s="140"/>
    </row>
    <row r="7478">
      <c r="A7478" s="140"/>
      <c r="B7478" s="140"/>
      <c r="C7478" s="140"/>
      <c r="D7478" s="140"/>
      <c r="E7478" s="140"/>
      <c r="F7478" s="140"/>
      <c r="G7478" s="141"/>
      <c r="H7478" s="140"/>
      <c r="I7478" s="140"/>
      <c r="J7478" s="140"/>
      <c r="K7478" s="140"/>
    </row>
    <row r="7479">
      <c r="A7479" s="140"/>
      <c r="B7479" s="140"/>
      <c r="C7479" s="140"/>
      <c r="D7479" s="140"/>
      <c r="E7479" s="140"/>
      <c r="F7479" s="140"/>
      <c r="G7479" s="141"/>
      <c r="H7479" s="140"/>
      <c r="I7479" s="140"/>
      <c r="J7479" s="140"/>
      <c r="K7479" s="140"/>
    </row>
    <row r="7480">
      <c r="A7480" s="140"/>
      <c r="B7480" s="140"/>
      <c r="C7480" s="140"/>
      <c r="D7480" s="140"/>
      <c r="E7480" s="140"/>
      <c r="F7480" s="140"/>
      <c r="G7480" s="141"/>
      <c r="H7480" s="140"/>
      <c r="I7480" s="140"/>
      <c r="J7480" s="140"/>
      <c r="K7480" s="140"/>
    </row>
    <row r="7481">
      <c r="A7481" s="140"/>
      <c r="B7481" s="140"/>
      <c r="C7481" s="140"/>
      <c r="D7481" s="140"/>
      <c r="E7481" s="140"/>
      <c r="F7481" s="140"/>
      <c r="G7481" s="141"/>
      <c r="H7481" s="140"/>
      <c r="I7481" s="140"/>
      <c r="J7481" s="140"/>
      <c r="K7481" s="140"/>
    </row>
    <row r="7482">
      <c r="A7482" s="140"/>
      <c r="B7482" s="140"/>
      <c r="C7482" s="140"/>
      <c r="D7482" s="140"/>
      <c r="E7482" s="140"/>
      <c r="F7482" s="140"/>
      <c r="G7482" s="141"/>
      <c r="H7482" s="140"/>
      <c r="I7482" s="140"/>
      <c r="J7482" s="140"/>
      <c r="K7482" s="140"/>
    </row>
    <row r="7483">
      <c r="A7483" s="140"/>
      <c r="B7483" s="140"/>
      <c r="C7483" s="140"/>
      <c r="D7483" s="140"/>
      <c r="E7483" s="140"/>
      <c r="F7483" s="140"/>
      <c r="G7483" s="141"/>
      <c r="H7483" s="140"/>
      <c r="I7483" s="140"/>
      <c r="J7483" s="140"/>
      <c r="K7483" s="140"/>
    </row>
    <row r="7484">
      <c r="A7484" s="140"/>
      <c r="B7484" s="140"/>
      <c r="C7484" s="140"/>
      <c r="D7484" s="140"/>
      <c r="E7484" s="140"/>
      <c r="F7484" s="140"/>
      <c r="G7484" s="141"/>
      <c r="H7484" s="140"/>
      <c r="I7484" s="140"/>
      <c r="J7484" s="140"/>
      <c r="K7484" s="140"/>
    </row>
    <row r="7485">
      <c r="A7485" s="140"/>
      <c r="B7485" s="140"/>
      <c r="C7485" s="140"/>
      <c r="D7485" s="140"/>
      <c r="E7485" s="140"/>
      <c r="F7485" s="140"/>
      <c r="G7485" s="141"/>
      <c r="H7485" s="140"/>
      <c r="I7485" s="140"/>
      <c r="J7485" s="140"/>
      <c r="K7485" s="140"/>
    </row>
    <row r="7486">
      <c r="A7486" s="140"/>
      <c r="B7486" s="140"/>
      <c r="C7486" s="140"/>
      <c r="D7486" s="140"/>
      <c r="E7486" s="140"/>
      <c r="F7486" s="140"/>
      <c r="G7486" s="141"/>
      <c r="H7486" s="140"/>
      <c r="I7486" s="140"/>
      <c r="J7486" s="140"/>
      <c r="K7486" s="140"/>
    </row>
    <row r="7487">
      <c r="A7487" s="140"/>
      <c r="B7487" s="140"/>
      <c r="C7487" s="140"/>
      <c r="D7487" s="140"/>
      <c r="E7487" s="140"/>
      <c r="F7487" s="140"/>
      <c r="G7487" s="141"/>
      <c r="H7487" s="140"/>
      <c r="I7487" s="140"/>
      <c r="J7487" s="140"/>
      <c r="K7487" s="140"/>
    </row>
    <row r="7488">
      <c r="A7488" s="140"/>
      <c r="B7488" s="140"/>
      <c r="C7488" s="140"/>
      <c r="D7488" s="140"/>
      <c r="E7488" s="140"/>
      <c r="F7488" s="140"/>
      <c r="G7488" s="141"/>
      <c r="H7488" s="140"/>
      <c r="I7488" s="140"/>
      <c r="J7488" s="140"/>
      <c r="K7488" s="140"/>
    </row>
    <row r="7489">
      <c r="A7489" s="140"/>
      <c r="B7489" s="140"/>
      <c r="C7489" s="140"/>
      <c r="D7489" s="140"/>
      <c r="E7489" s="140"/>
      <c r="F7489" s="140"/>
      <c r="G7489" s="141"/>
      <c r="H7489" s="140"/>
      <c r="I7489" s="140"/>
      <c r="J7489" s="140"/>
      <c r="K7489" s="140"/>
    </row>
    <row r="7490">
      <c r="A7490" s="140"/>
      <c r="B7490" s="140"/>
      <c r="C7490" s="140"/>
      <c r="D7490" s="140"/>
      <c r="E7490" s="140"/>
      <c r="F7490" s="140"/>
      <c r="G7490" s="141"/>
      <c r="H7490" s="140"/>
      <c r="I7490" s="140"/>
      <c r="J7490" s="140"/>
      <c r="K7490" s="140"/>
    </row>
    <row r="7491">
      <c r="A7491" s="140"/>
      <c r="B7491" s="140"/>
      <c r="C7491" s="140"/>
      <c r="D7491" s="140"/>
      <c r="E7491" s="140"/>
      <c r="F7491" s="140"/>
      <c r="G7491" s="141"/>
      <c r="H7491" s="140"/>
      <c r="I7491" s="140"/>
      <c r="J7491" s="140"/>
      <c r="K7491" s="140"/>
    </row>
    <row r="7492">
      <c r="A7492" s="140"/>
      <c r="B7492" s="140"/>
      <c r="C7492" s="140"/>
      <c r="D7492" s="140"/>
      <c r="E7492" s="140"/>
      <c r="F7492" s="140"/>
      <c r="G7492" s="141"/>
      <c r="H7492" s="140"/>
      <c r="I7492" s="140"/>
      <c r="J7492" s="140"/>
      <c r="K7492" s="140"/>
    </row>
    <row r="7493">
      <c r="A7493" s="140"/>
      <c r="B7493" s="140"/>
      <c r="C7493" s="140"/>
      <c r="D7493" s="140"/>
      <c r="E7493" s="140"/>
      <c r="F7493" s="140"/>
      <c r="G7493" s="141"/>
      <c r="H7493" s="140"/>
      <c r="I7493" s="140"/>
      <c r="J7493" s="140"/>
      <c r="K7493" s="140"/>
    </row>
    <row r="7494">
      <c r="A7494" s="140"/>
      <c r="B7494" s="140"/>
      <c r="C7494" s="140"/>
      <c r="D7494" s="140"/>
      <c r="E7494" s="140"/>
      <c r="F7494" s="140"/>
      <c r="G7494" s="141"/>
      <c r="H7494" s="140"/>
      <c r="I7494" s="140"/>
      <c r="J7494" s="140"/>
      <c r="K7494" s="140"/>
    </row>
    <row r="7495">
      <c r="A7495" s="140"/>
      <c r="B7495" s="140"/>
      <c r="C7495" s="140"/>
      <c r="D7495" s="140"/>
      <c r="E7495" s="140"/>
      <c r="F7495" s="140"/>
      <c r="G7495" s="141"/>
      <c r="H7495" s="140"/>
      <c r="I7495" s="140"/>
      <c r="J7495" s="140"/>
      <c r="K7495" s="140"/>
    </row>
    <row r="7496">
      <c r="A7496" s="140"/>
      <c r="B7496" s="140"/>
      <c r="C7496" s="140"/>
      <c r="D7496" s="140"/>
      <c r="E7496" s="140"/>
      <c r="F7496" s="140"/>
      <c r="G7496" s="141"/>
      <c r="H7496" s="140"/>
      <c r="I7496" s="140"/>
      <c r="J7496" s="140"/>
      <c r="K7496" s="140"/>
    </row>
    <row r="7497">
      <c r="A7497" s="140"/>
      <c r="B7497" s="140"/>
      <c r="C7497" s="140"/>
      <c r="D7497" s="140"/>
      <c r="E7497" s="140"/>
      <c r="F7497" s="140"/>
      <c r="G7497" s="141"/>
      <c r="H7497" s="140"/>
      <c r="I7497" s="140"/>
      <c r="J7497" s="140"/>
      <c r="K7497" s="140"/>
    </row>
    <row r="7498">
      <c r="A7498" s="140"/>
      <c r="B7498" s="140"/>
      <c r="C7498" s="140"/>
      <c r="D7498" s="140"/>
      <c r="E7498" s="140"/>
      <c r="F7498" s="140"/>
      <c r="G7498" s="141"/>
      <c r="H7498" s="140"/>
      <c r="I7498" s="140"/>
      <c r="J7498" s="140"/>
      <c r="K7498" s="140"/>
    </row>
    <row r="7499">
      <c r="A7499" s="140"/>
      <c r="B7499" s="140"/>
      <c r="C7499" s="140"/>
      <c r="D7499" s="140"/>
      <c r="E7499" s="140"/>
      <c r="F7499" s="140"/>
      <c r="G7499" s="141"/>
      <c r="H7499" s="140"/>
      <c r="I7499" s="140"/>
      <c r="J7499" s="140"/>
      <c r="K7499" s="140"/>
    </row>
    <row r="7500">
      <c r="A7500" s="140"/>
      <c r="B7500" s="140"/>
      <c r="C7500" s="140"/>
      <c r="D7500" s="140"/>
      <c r="E7500" s="140"/>
      <c r="F7500" s="140"/>
      <c r="G7500" s="141"/>
      <c r="H7500" s="140"/>
      <c r="I7500" s="140"/>
      <c r="J7500" s="140"/>
      <c r="K7500" s="140"/>
    </row>
    <row r="7501">
      <c r="A7501" s="140"/>
      <c r="B7501" s="140"/>
      <c r="C7501" s="140"/>
      <c r="D7501" s="140"/>
      <c r="E7501" s="140"/>
      <c r="F7501" s="140"/>
      <c r="G7501" s="141"/>
      <c r="H7501" s="140"/>
      <c r="I7501" s="140"/>
      <c r="J7501" s="140"/>
      <c r="K7501" s="140"/>
    </row>
    <row r="7502">
      <c r="A7502" s="140"/>
      <c r="B7502" s="140"/>
      <c r="C7502" s="140"/>
      <c r="D7502" s="140"/>
      <c r="E7502" s="140"/>
      <c r="F7502" s="140"/>
      <c r="G7502" s="141"/>
      <c r="H7502" s="140"/>
      <c r="I7502" s="140"/>
      <c r="J7502" s="140"/>
      <c r="K7502" s="140"/>
    </row>
    <row r="7503">
      <c r="A7503" s="140"/>
      <c r="B7503" s="140"/>
      <c r="C7503" s="140"/>
      <c r="D7503" s="140"/>
      <c r="E7503" s="140"/>
      <c r="F7503" s="140"/>
      <c r="G7503" s="141"/>
      <c r="H7503" s="140"/>
      <c r="I7503" s="140"/>
      <c r="J7503" s="140"/>
      <c r="K7503" s="140"/>
    </row>
    <row r="7504">
      <c r="A7504" s="140"/>
      <c r="B7504" s="140"/>
      <c r="C7504" s="140"/>
      <c r="D7504" s="140"/>
      <c r="E7504" s="140"/>
      <c r="F7504" s="140"/>
      <c r="G7504" s="141"/>
      <c r="H7504" s="140"/>
      <c r="I7504" s="140"/>
      <c r="J7504" s="140"/>
      <c r="K7504" s="140"/>
    </row>
    <row r="7505">
      <c r="A7505" s="140"/>
      <c r="B7505" s="140"/>
      <c r="C7505" s="140"/>
      <c r="D7505" s="140"/>
      <c r="E7505" s="140"/>
      <c r="F7505" s="140"/>
      <c r="G7505" s="141"/>
      <c r="H7505" s="140"/>
      <c r="I7505" s="140"/>
      <c r="J7505" s="140"/>
      <c r="K7505" s="140"/>
    </row>
    <row r="7506">
      <c r="A7506" s="140"/>
      <c r="B7506" s="140"/>
      <c r="C7506" s="140"/>
      <c r="D7506" s="140"/>
      <c r="E7506" s="140"/>
      <c r="F7506" s="140"/>
      <c r="G7506" s="141"/>
      <c r="H7506" s="140"/>
      <c r="I7506" s="140"/>
      <c r="J7506" s="140"/>
      <c r="K7506" s="140"/>
    </row>
    <row r="7507">
      <c r="A7507" s="140"/>
      <c r="B7507" s="140"/>
      <c r="C7507" s="140"/>
      <c r="D7507" s="140"/>
      <c r="E7507" s="140"/>
      <c r="F7507" s="140"/>
      <c r="G7507" s="141"/>
      <c r="H7507" s="140"/>
      <c r="I7507" s="140"/>
      <c r="J7507" s="140"/>
      <c r="K7507" s="140"/>
    </row>
    <row r="7508">
      <c r="A7508" s="140"/>
      <c r="B7508" s="140"/>
      <c r="C7508" s="140"/>
      <c r="D7508" s="140"/>
      <c r="E7508" s="140"/>
      <c r="F7508" s="140"/>
      <c r="G7508" s="141"/>
      <c r="H7508" s="140"/>
      <c r="I7508" s="140"/>
      <c r="J7508" s="140"/>
      <c r="K7508" s="140"/>
    </row>
    <row r="7509">
      <c r="A7509" s="140"/>
      <c r="B7509" s="140"/>
      <c r="C7509" s="140"/>
      <c r="D7509" s="140"/>
      <c r="E7509" s="140"/>
      <c r="F7509" s="140"/>
      <c r="G7509" s="141"/>
      <c r="H7509" s="140"/>
      <c r="I7509" s="140"/>
      <c r="J7509" s="140"/>
      <c r="K7509" s="140"/>
    </row>
    <row r="7510">
      <c r="A7510" s="140"/>
      <c r="B7510" s="140"/>
      <c r="C7510" s="140"/>
      <c r="D7510" s="140"/>
      <c r="E7510" s="140"/>
      <c r="F7510" s="140"/>
      <c r="G7510" s="141"/>
      <c r="H7510" s="140"/>
      <c r="I7510" s="140"/>
      <c r="J7510" s="140"/>
      <c r="K7510" s="140"/>
    </row>
    <row r="7511">
      <c r="A7511" s="140"/>
      <c r="B7511" s="140"/>
      <c r="C7511" s="140"/>
      <c r="D7511" s="140"/>
      <c r="E7511" s="140"/>
      <c r="F7511" s="140"/>
      <c r="G7511" s="141"/>
      <c r="H7511" s="140"/>
      <c r="I7511" s="140"/>
      <c r="J7511" s="140"/>
      <c r="K7511" s="140"/>
    </row>
    <row r="7512">
      <c r="A7512" s="140"/>
      <c r="B7512" s="140"/>
      <c r="C7512" s="140"/>
      <c r="D7512" s="140"/>
      <c r="E7512" s="140"/>
      <c r="F7512" s="140"/>
      <c r="G7512" s="141"/>
      <c r="H7512" s="140"/>
      <c r="I7512" s="140"/>
      <c r="J7512" s="140"/>
      <c r="K7512" s="140"/>
    </row>
    <row r="7513">
      <c r="A7513" s="140"/>
      <c r="B7513" s="140"/>
      <c r="C7513" s="140"/>
      <c r="D7513" s="140"/>
      <c r="E7513" s="140"/>
      <c r="F7513" s="140"/>
      <c r="G7513" s="141"/>
      <c r="H7513" s="140"/>
      <c r="I7513" s="140"/>
      <c r="J7513" s="140"/>
      <c r="K7513" s="140"/>
    </row>
    <row r="7514">
      <c r="A7514" s="140"/>
      <c r="B7514" s="140"/>
      <c r="C7514" s="140"/>
      <c r="D7514" s="140"/>
      <c r="E7514" s="140"/>
      <c r="F7514" s="140"/>
      <c r="G7514" s="141"/>
      <c r="H7514" s="140"/>
      <c r="I7514" s="140"/>
      <c r="J7514" s="140"/>
      <c r="K7514" s="140"/>
    </row>
    <row r="7515">
      <c r="A7515" s="140"/>
      <c r="B7515" s="140"/>
      <c r="C7515" s="140"/>
      <c r="D7515" s="140"/>
      <c r="E7515" s="140"/>
      <c r="F7515" s="140"/>
      <c r="G7515" s="141"/>
      <c r="H7515" s="140"/>
      <c r="I7515" s="140"/>
      <c r="J7515" s="140"/>
      <c r="K7515" s="140"/>
    </row>
    <row r="7516">
      <c r="A7516" s="140"/>
      <c r="B7516" s="140"/>
      <c r="C7516" s="140"/>
      <c r="D7516" s="140"/>
      <c r="E7516" s="140"/>
      <c r="F7516" s="140"/>
      <c r="G7516" s="141"/>
      <c r="H7516" s="140"/>
      <c r="I7516" s="140"/>
      <c r="J7516" s="140"/>
      <c r="K7516" s="140"/>
    </row>
    <row r="7517">
      <c r="A7517" s="140"/>
      <c r="B7517" s="140"/>
      <c r="C7517" s="140"/>
      <c r="D7517" s="140"/>
      <c r="E7517" s="140"/>
      <c r="F7517" s="140"/>
      <c r="G7517" s="141"/>
      <c r="H7517" s="140"/>
      <c r="I7517" s="140"/>
      <c r="J7517" s="140"/>
      <c r="K7517" s="140"/>
    </row>
    <row r="7518">
      <c r="A7518" s="140"/>
      <c r="B7518" s="140"/>
      <c r="C7518" s="140"/>
      <c r="D7518" s="140"/>
      <c r="E7518" s="140"/>
      <c r="F7518" s="140"/>
      <c r="G7518" s="141"/>
      <c r="H7518" s="140"/>
      <c r="I7518" s="140"/>
      <c r="J7518" s="140"/>
      <c r="K7518" s="140"/>
    </row>
    <row r="7519">
      <c r="A7519" s="140"/>
      <c r="B7519" s="140"/>
      <c r="C7519" s="140"/>
      <c r="D7519" s="140"/>
      <c r="E7519" s="140"/>
      <c r="F7519" s="140"/>
      <c r="G7519" s="141"/>
      <c r="H7519" s="140"/>
      <c r="I7519" s="140"/>
      <c r="J7519" s="140"/>
      <c r="K7519" s="140"/>
    </row>
    <row r="7520">
      <c r="A7520" s="140"/>
      <c r="B7520" s="140"/>
      <c r="C7520" s="140"/>
      <c r="D7520" s="140"/>
      <c r="E7520" s="140"/>
      <c r="F7520" s="140"/>
      <c r="G7520" s="141"/>
      <c r="H7520" s="140"/>
      <c r="I7520" s="140"/>
      <c r="J7520" s="140"/>
      <c r="K7520" s="140"/>
    </row>
    <row r="7521">
      <c r="A7521" s="140"/>
      <c r="B7521" s="140"/>
      <c r="C7521" s="140"/>
      <c r="D7521" s="140"/>
      <c r="E7521" s="140"/>
      <c r="F7521" s="140"/>
      <c r="G7521" s="141"/>
      <c r="H7521" s="140"/>
      <c r="I7521" s="140"/>
      <c r="J7521" s="140"/>
      <c r="K7521" s="140"/>
    </row>
    <row r="7522">
      <c r="A7522" s="140"/>
      <c r="B7522" s="140"/>
      <c r="C7522" s="140"/>
      <c r="D7522" s="140"/>
      <c r="E7522" s="140"/>
      <c r="F7522" s="140"/>
      <c r="G7522" s="141"/>
      <c r="H7522" s="140"/>
      <c r="I7522" s="140"/>
      <c r="J7522" s="140"/>
      <c r="K7522" s="140"/>
    </row>
    <row r="7523">
      <c r="A7523" s="140"/>
      <c r="B7523" s="140"/>
      <c r="C7523" s="140"/>
      <c r="D7523" s="140"/>
      <c r="E7523" s="140"/>
      <c r="F7523" s="140"/>
      <c r="G7523" s="141"/>
      <c r="H7523" s="140"/>
      <c r="I7523" s="140"/>
      <c r="J7523" s="140"/>
      <c r="K7523" s="140"/>
    </row>
    <row r="7524">
      <c r="A7524" s="140"/>
      <c r="B7524" s="140"/>
      <c r="C7524" s="140"/>
      <c r="D7524" s="140"/>
      <c r="E7524" s="140"/>
      <c r="F7524" s="140"/>
      <c r="G7524" s="141"/>
      <c r="H7524" s="140"/>
      <c r="I7524" s="140"/>
      <c r="J7524" s="140"/>
      <c r="K7524" s="140"/>
    </row>
    <row r="7525">
      <c r="A7525" s="140"/>
      <c r="B7525" s="140"/>
      <c r="C7525" s="140"/>
      <c r="D7525" s="140"/>
      <c r="E7525" s="140"/>
      <c r="F7525" s="140"/>
      <c r="G7525" s="141"/>
      <c r="H7525" s="140"/>
      <c r="I7525" s="140"/>
      <c r="J7525" s="140"/>
      <c r="K7525" s="140"/>
    </row>
    <row r="7526">
      <c r="A7526" s="140"/>
      <c r="B7526" s="140"/>
      <c r="C7526" s="140"/>
      <c r="D7526" s="140"/>
      <c r="E7526" s="140"/>
      <c r="F7526" s="140"/>
      <c r="G7526" s="141"/>
      <c r="H7526" s="140"/>
      <c r="I7526" s="140"/>
      <c r="J7526" s="140"/>
      <c r="K7526" s="140"/>
    </row>
    <row r="7527">
      <c r="A7527" s="140"/>
      <c r="B7527" s="140"/>
      <c r="C7527" s="140"/>
      <c r="D7527" s="140"/>
      <c r="E7527" s="140"/>
      <c r="F7527" s="140"/>
      <c r="G7527" s="141"/>
      <c r="H7527" s="140"/>
      <c r="I7527" s="140"/>
      <c r="J7527" s="140"/>
      <c r="K7527" s="140"/>
    </row>
    <row r="7528">
      <c r="A7528" s="140"/>
      <c r="B7528" s="140"/>
      <c r="C7528" s="140"/>
      <c r="D7528" s="140"/>
      <c r="E7528" s="140"/>
      <c r="F7528" s="140"/>
      <c r="G7528" s="141"/>
      <c r="H7528" s="140"/>
      <c r="I7528" s="140"/>
      <c r="J7528" s="140"/>
      <c r="K7528" s="140"/>
    </row>
    <row r="7529">
      <c r="A7529" s="140"/>
      <c r="B7529" s="140"/>
      <c r="C7529" s="140"/>
      <c r="D7529" s="140"/>
      <c r="E7529" s="140"/>
      <c r="F7529" s="140"/>
      <c r="G7529" s="141"/>
      <c r="H7529" s="140"/>
      <c r="I7529" s="140"/>
      <c r="J7529" s="140"/>
      <c r="K7529" s="140"/>
    </row>
    <row r="7530">
      <c r="A7530" s="140"/>
      <c r="B7530" s="140"/>
      <c r="C7530" s="140"/>
      <c r="D7530" s="140"/>
      <c r="E7530" s="140"/>
      <c r="F7530" s="140"/>
      <c r="G7530" s="141"/>
      <c r="H7530" s="140"/>
      <c r="I7530" s="140"/>
      <c r="J7530" s="140"/>
      <c r="K7530" s="140"/>
    </row>
    <row r="7531">
      <c r="A7531" s="140"/>
      <c r="B7531" s="140"/>
      <c r="C7531" s="140"/>
      <c r="D7531" s="140"/>
      <c r="E7531" s="140"/>
      <c r="F7531" s="140"/>
      <c r="G7531" s="141"/>
      <c r="H7531" s="140"/>
      <c r="I7531" s="140"/>
      <c r="J7531" s="140"/>
      <c r="K7531" s="140"/>
    </row>
    <row r="7532">
      <c r="A7532" s="140"/>
      <c r="B7532" s="140"/>
      <c r="C7532" s="140"/>
      <c r="D7532" s="140"/>
      <c r="E7532" s="140"/>
      <c r="F7532" s="140"/>
      <c r="G7532" s="141"/>
      <c r="H7532" s="140"/>
      <c r="I7532" s="140"/>
      <c r="J7532" s="140"/>
      <c r="K7532" s="140"/>
    </row>
    <row r="7533">
      <c r="A7533" s="140"/>
      <c r="B7533" s="140"/>
      <c r="C7533" s="140"/>
      <c r="D7533" s="140"/>
      <c r="E7533" s="140"/>
      <c r="F7533" s="140"/>
      <c r="G7533" s="141"/>
      <c r="H7533" s="140"/>
      <c r="I7533" s="140"/>
      <c r="J7533" s="140"/>
      <c r="K7533" s="140"/>
    </row>
    <row r="7534">
      <c r="A7534" s="140"/>
      <c r="B7534" s="140"/>
      <c r="C7534" s="140"/>
      <c r="D7534" s="140"/>
      <c r="E7534" s="140"/>
      <c r="F7534" s="140"/>
      <c r="G7534" s="141"/>
      <c r="H7534" s="140"/>
      <c r="I7534" s="140"/>
      <c r="J7534" s="140"/>
      <c r="K7534" s="140"/>
    </row>
    <row r="7535">
      <c r="A7535" s="140"/>
      <c r="B7535" s="140"/>
      <c r="C7535" s="140"/>
      <c r="D7535" s="140"/>
      <c r="E7535" s="140"/>
      <c r="F7535" s="140"/>
      <c r="G7535" s="141"/>
      <c r="H7535" s="140"/>
      <c r="I7535" s="140"/>
      <c r="J7535" s="140"/>
      <c r="K7535" s="140"/>
    </row>
    <row r="7536">
      <c r="A7536" s="140"/>
      <c r="B7536" s="140"/>
      <c r="C7536" s="140"/>
      <c r="D7536" s="140"/>
      <c r="E7536" s="140"/>
      <c r="F7536" s="140"/>
      <c r="G7536" s="141"/>
      <c r="H7536" s="140"/>
      <c r="I7536" s="140"/>
      <c r="J7536" s="140"/>
      <c r="K7536" s="140"/>
    </row>
    <row r="7537">
      <c r="A7537" s="140"/>
      <c r="B7537" s="140"/>
      <c r="C7537" s="140"/>
      <c r="D7537" s="140"/>
      <c r="E7537" s="140"/>
      <c r="F7537" s="140"/>
      <c r="G7537" s="141"/>
      <c r="H7537" s="140"/>
      <c r="I7537" s="140"/>
      <c r="J7537" s="140"/>
      <c r="K7537" s="140"/>
    </row>
    <row r="7538">
      <c r="A7538" s="140"/>
      <c r="B7538" s="140"/>
      <c r="C7538" s="140"/>
      <c r="D7538" s="140"/>
      <c r="E7538" s="140"/>
      <c r="F7538" s="140"/>
      <c r="G7538" s="141"/>
      <c r="H7538" s="140"/>
      <c r="I7538" s="140"/>
      <c r="J7538" s="140"/>
      <c r="K7538" s="140"/>
    </row>
    <row r="7539">
      <c r="A7539" s="140"/>
      <c r="B7539" s="140"/>
      <c r="C7539" s="140"/>
      <c r="D7539" s="140"/>
      <c r="E7539" s="140"/>
      <c r="F7539" s="140"/>
      <c r="G7539" s="141"/>
      <c r="H7539" s="140"/>
      <c r="I7539" s="140"/>
      <c r="J7539" s="140"/>
      <c r="K7539" s="140"/>
    </row>
    <row r="7540">
      <c r="A7540" s="140"/>
      <c r="B7540" s="140"/>
      <c r="C7540" s="140"/>
      <c r="D7540" s="140"/>
      <c r="E7540" s="140"/>
      <c r="F7540" s="140"/>
      <c r="G7540" s="141"/>
      <c r="H7540" s="140"/>
      <c r="I7540" s="140"/>
      <c r="J7540" s="140"/>
      <c r="K7540" s="140"/>
    </row>
    <row r="7541">
      <c r="A7541" s="140"/>
      <c r="B7541" s="140"/>
      <c r="C7541" s="140"/>
      <c r="D7541" s="140"/>
      <c r="E7541" s="140"/>
      <c r="F7541" s="140"/>
      <c r="G7541" s="141"/>
      <c r="H7541" s="140"/>
      <c r="I7541" s="140"/>
      <c r="J7541" s="140"/>
      <c r="K7541" s="140"/>
    </row>
    <row r="7542">
      <c r="A7542" s="140"/>
      <c r="B7542" s="140"/>
      <c r="C7542" s="140"/>
      <c r="D7542" s="140"/>
      <c r="E7542" s="140"/>
      <c r="F7542" s="140"/>
      <c r="G7542" s="141"/>
      <c r="H7542" s="140"/>
      <c r="I7542" s="140"/>
      <c r="J7542" s="140"/>
      <c r="K7542" s="140"/>
    </row>
    <row r="7543">
      <c r="A7543" s="140"/>
      <c r="B7543" s="140"/>
      <c r="C7543" s="140"/>
      <c r="D7543" s="140"/>
      <c r="E7543" s="140"/>
      <c r="F7543" s="140"/>
      <c r="G7543" s="141"/>
      <c r="H7543" s="140"/>
      <c r="I7543" s="140"/>
      <c r="J7543" s="140"/>
      <c r="K7543" s="140"/>
    </row>
    <row r="7544">
      <c r="A7544" s="140"/>
      <c r="B7544" s="140"/>
      <c r="C7544" s="140"/>
      <c r="D7544" s="140"/>
      <c r="E7544" s="140"/>
      <c r="F7544" s="140"/>
      <c r="G7544" s="141"/>
      <c r="H7544" s="140"/>
      <c r="I7544" s="140"/>
      <c r="J7544" s="140"/>
      <c r="K7544" s="140"/>
    </row>
    <row r="7545">
      <c r="A7545" s="140"/>
      <c r="B7545" s="140"/>
      <c r="C7545" s="140"/>
      <c r="D7545" s="140"/>
      <c r="E7545" s="140"/>
      <c r="F7545" s="140"/>
      <c r="G7545" s="141"/>
      <c r="H7545" s="140"/>
      <c r="I7545" s="140"/>
      <c r="J7545" s="140"/>
      <c r="K7545" s="140"/>
    </row>
    <row r="7546">
      <c r="A7546" s="140"/>
      <c r="B7546" s="140"/>
      <c r="C7546" s="140"/>
      <c r="D7546" s="140"/>
      <c r="E7546" s="140"/>
      <c r="F7546" s="140"/>
      <c r="G7546" s="141"/>
      <c r="H7546" s="140"/>
      <c r="I7546" s="140"/>
      <c r="J7546" s="140"/>
      <c r="K7546" s="140"/>
    </row>
    <row r="7547">
      <c r="A7547" s="140"/>
      <c r="B7547" s="140"/>
      <c r="C7547" s="140"/>
      <c r="D7547" s="140"/>
      <c r="E7547" s="140"/>
      <c r="F7547" s="140"/>
      <c r="G7547" s="141"/>
      <c r="H7547" s="140"/>
      <c r="I7547" s="140"/>
      <c r="J7547" s="140"/>
      <c r="K7547" s="140"/>
    </row>
    <row r="7548">
      <c r="A7548" s="140"/>
      <c r="B7548" s="140"/>
      <c r="C7548" s="140"/>
      <c r="D7548" s="140"/>
      <c r="E7548" s="140"/>
      <c r="F7548" s="140"/>
      <c r="G7548" s="141"/>
      <c r="H7548" s="140"/>
      <c r="I7548" s="140"/>
      <c r="J7548" s="140"/>
      <c r="K7548" s="140"/>
    </row>
    <row r="7549">
      <c r="A7549" s="140"/>
      <c r="B7549" s="140"/>
      <c r="C7549" s="140"/>
      <c r="D7549" s="140"/>
      <c r="E7549" s="140"/>
      <c r="F7549" s="140"/>
      <c r="G7549" s="141"/>
      <c r="H7549" s="140"/>
      <c r="I7549" s="140"/>
      <c r="J7549" s="140"/>
      <c r="K7549" s="140"/>
    </row>
    <row r="7550">
      <c r="A7550" s="140"/>
      <c r="B7550" s="140"/>
      <c r="C7550" s="140"/>
      <c r="D7550" s="140"/>
      <c r="E7550" s="140"/>
      <c r="F7550" s="140"/>
      <c r="G7550" s="141"/>
      <c r="H7550" s="140"/>
      <c r="I7550" s="140"/>
      <c r="J7550" s="140"/>
      <c r="K7550" s="140"/>
    </row>
    <row r="7551">
      <c r="A7551" s="140"/>
      <c r="B7551" s="140"/>
      <c r="C7551" s="140"/>
      <c r="D7551" s="140"/>
      <c r="E7551" s="140"/>
      <c r="F7551" s="140"/>
      <c r="G7551" s="141"/>
      <c r="H7551" s="140"/>
      <c r="I7551" s="140"/>
      <c r="J7551" s="140"/>
      <c r="K7551" s="140"/>
    </row>
    <row r="7552">
      <c r="A7552" s="140"/>
      <c r="B7552" s="140"/>
      <c r="C7552" s="140"/>
      <c r="D7552" s="140"/>
      <c r="E7552" s="140"/>
      <c r="F7552" s="140"/>
      <c r="G7552" s="141"/>
      <c r="H7552" s="140"/>
      <c r="I7552" s="140"/>
      <c r="J7552" s="140"/>
      <c r="K7552" s="140"/>
    </row>
    <row r="7553">
      <c r="A7553" s="140"/>
      <c r="B7553" s="140"/>
      <c r="C7553" s="140"/>
      <c r="D7553" s="140"/>
      <c r="E7553" s="140"/>
      <c r="F7553" s="140"/>
      <c r="G7553" s="141"/>
      <c r="H7553" s="140"/>
      <c r="I7553" s="140"/>
      <c r="J7553" s="140"/>
      <c r="K7553" s="140"/>
    </row>
    <row r="7554">
      <c r="A7554" s="140"/>
      <c r="B7554" s="140"/>
      <c r="C7554" s="140"/>
      <c r="D7554" s="140"/>
      <c r="E7554" s="140"/>
      <c r="F7554" s="140"/>
      <c r="G7554" s="141"/>
      <c r="H7554" s="140"/>
      <c r="I7554" s="140"/>
      <c r="J7554" s="140"/>
      <c r="K7554" s="140"/>
    </row>
    <row r="7555">
      <c r="A7555" s="140"/>
      <c r="B7555" s="140"/>
      <c r="C7555" s="140"/>
      <c r="D7555" s="140"/>
      <c r="E7555" s="140"/>
      <c r="F7555" s="140"/>
      <c r="G7555" s="141"/>
      <c r="H7555" s="140"/>
      <c r="I7555" s="140"/>
      <c r="J7555" s="140"/>
      <c r="K7555" s="140"/>
    </row>
    <row r="7556">
      <c r="A7556" s="140"/>
      <c r="B7556" s="140"/>
      <c r="C7556" s="140"/>
      <c r="D7556" s="140"/>
      <c r="E7556" s="140"/>
      <c r="F7556" s="140"/>
      <c r="G7556" s="141"/>
      <c r="H7556" s="140"/>
      <c r="I7556" s="140"/>
      <c r="J7556" s="140"/>
      <c r="K7556" s="140"/>
    </row>
    <row r="7557">
      <c r="A7557" s="140"/>
      <c r="B7557" s="140"/>
      <c r="C7557" s="140"/>
      <c r="D7557" s="140"/>
      <c r="E7557" s="140"/>
      <c r="F7557" s="140"/>
      <c r="G7557" s="141"/>
      <c r="H7557" s="140"/>
      <c r="I7557" s="140"/>
      <c r="J7557" s="140"/>
      <c r="K7557" s="140"/>
    </row>
    <row r="7558">
      <c r="A7558" s="140"/>
      <c r="B7558" s="140"/>
      <c r="C7558" s="140"/>
      <c r="D7558" s="140"/>
      <c r="E7558" s="140"/>
      <c r="F7558" s="140"/>
      <c r="G7558" s="141"/>
      <c r="H7558" s="140"/>
      <c r="I7558" s="140"/>
      <c r="J7558" s="140"/>
      <c r="K7558" s="140"/>
    </row>
    <row r="7559">
      <c r="A7559" s="140"/>
      <c r="B7559" s="140"/>
      <c r="C7559" s="140"/>
      <c r="D7559" s="140"/>
      <c r="E7559" s="140"/>
      <c r="F7559" s="140"/>
      <c r="G7559" s="141"/>
      <c r="H7559" s="140"/>
      <c r="I7559" s="140"/>
      <c r="J7559" s="140"/>
      <c r="K7559" s="140"/>
    </row>
    <row r="7560">
      <c r="A7560" s="140"/>
      <c r="B7560" s="140"/>
      <c r="C7560" s="140"/>
      <c r="D7560" s="140"/>
      <c r="E7560" s="140"/>
      <c r="F7560" s="140"/>
      <c r="G7560" s="141"/>
      <c r="H7560" s="140"/>
      <c r="I7560" s="140"/>
      <c r="J7560" s="140"/>
      <c r="K7560" s="140"/>
    </row>
    <row r="7561">
      <c r="A7561" s="140"/>
      <c r="B7561" s="140"/>
      <c r="C7561" s="140"/>
      <c r="D7561" s="140"/>
      <c r="E7561" s="140"/>
      <c r="F7561" s="140"/>
      <c r="G7561" s="141"/>
      <c r="H7561" s="140"/>
      <c r="I7561" s="140"/>
      <c r="J7561" s="140"/>
      <c r="K7561" s="140"/>
    </row>
    <row r="7562">
      <c r="A7562" s="140"/>
      <c r="B7562" s="140"/>
      <c r="C7562" s="140"/>
      <c r="D7562" s="140"/>
      <c r="E7562" s="140"/>
      <c r="F7562" s="140"/>
      <c r="G7562" s="141"/>
      <c r="H7562" s="140"/>
      <c r="I7562" s="140"/>
      <c r="J7562" s="140"/>
      <c r="K7562" s="140"/>
    </row>
    <row r="7563">
      <c r="A7563" s="140"/>
      <c r="B7563" s="140"/>
      <c r="C7563" s="140"/>
      <c r="D7563" s="140"/>
      <c r="E7563" s="140"/>
      <c r="F7563" s="140"/>
      <c r="G7563" s="141"/>
      <c r="H7563" s="140"/>
      <c r="I7563" s="140"/>
      <c r="J7563" s="140"/>
      <c r="K7563" s="140"/>
    </row>
    <row r="7564">
      <c r="A7564" s="140"/>
      <c r="B7564" s="140"/>
      <c r="C7564" s="140"/>
      <c r="D7564" s="140"/>
      <c r="E7564" s="140"/>
      <c r="F7564" s="140"/>
      <c r="G7564" s="141"/>
      <c r="H7564" s="140"/>
      <c r="I7564" s="140"/>
      <c r="J7564" s="140"/>
      <c r="K7564" s="140"/>
    </row>
    <row r="7565">
      <c r="A7565" s="140"/>
      <c r="B7565" s="140"/>
      <c r="C7565" s="140"/>
      <c r="D7565" s="140"/>
      <c r="E7565" s="140"/>
      <c r="F7565" s="140"/>
      <c r="G7565" s="141"/>
      <c r="H7565" s="140"/>
      <c r="I7565" s="140"/>
      <c r="J7565" s="140"/>
      <c r="K7565" s="140"/>
    </row>
    <row r="7566">
      <c r="A7566" s="140"/>
      <c r="B7566" s="140"/>
      <c r="C7566" s="140"/>
      <c r="D7566" s="140"/>
      <c r="E7566" s="140"/>
      <c r="F7566" s="140"/>
      <c r="G7566" s="141"/>
      <c r="H7566" s="140"/>
      <c r="I7566" s="140"/>
      <c r="J7566" s="140"/>
      <c r="K7566" s="140"/>
    </row>
    <row r="7567">
      <c r="A7567" s="140"/>
      <c r="B7567" s="140"/>
      <c r="C7567" s="140"/>
      <c r="D7567" s="140"/>
      <c r="E7567" s="140"/>
      <c r="F7567" s="140"/>
      <c r="G7567" s="141"/>
      <c r="H7567" s="140"/>
      <c r="I7567" s="140"/>
      <c r="J7567" s="140"/>
      <c r="K7567" s="140"/>
    </row>
    <row r="7568">
      <c r="A7568" s="140"/>
      <c r="B7568" s="140"/>
      <c r="C7568" s="140"/>
      <c r="D7568" s="140"/>
      <c r="E7568" s="140"/>
      <c r="F7568" s="140"/>
      <c r="G7568" s="141"/>
      <c r="H7568" s="140"/>
      <c r="I7568" s="140"/>
      <c r="J7568" s="140"/>
      <c r="K7568" s="140"/>
    </row>
    <row r="7569">
      <c r="A7569" s="140"/>
      <c r="B7569" s="140"/>
      <c r="C7569" s="140"/>
      <c r="D7569" s="140"/>
      <c r="E7569" s="140"/>
      <c r="F7569" s="140"/>
      <c r="G7569" s="141"/>
      <c r="H7569" s="140"/>
      <c r="I7569" s="140"/>
      <c r="J7569" s="140"/>
      <c r="K7569" s="140"/>
    </row>
    <row r="7570">
      <c r="A7570" s="140"/>
      <c r="B7570" s="140"/>
      <c r="C7570" s="140"/>
      <c r="D7570" s="140"/>
      <c r="E7570" s="140"/>
      <c r="F7570" s="140"/>
      <c r="G7570" s="141"/>
      <c r="H7570" s="140"/>
      <c r="I7570" s="140"/>
      <c r="J7570" s="140"/>
      <c r="K7570" s="140"/>
    </row>
    <row r="7571">
      <c r="A7571" s="140"/>
      <c r="B7571" s="140"/>
      <c r="C7571" s="140"/>
      <c r="D7571" s="140"/>
      <c r="E7571" s="140"/>
      <c r="F7571" s="140"/>
      <c r="G7571" s="141"/>
      <c r="H7571" s="140"/>
      <c r="I7571" s="140"/>
      <c r="J7571" s="140"/>
      <c r="K7571" s="140"/>
    </row>
    <row r="7572">
      <c r="A7572" s="140"/>
      <c r="B7572" s="140"/>
      <c r="C7572" s="140"/>
      <c r="D7572" s="140"/>
      <c r="E7572" s="140"/>
      <c r="F7572" s="140"/>
      <c r="G7572" s="141"/>
      <c r="H7572" s="140"/>
      <c r="I7572" s="140"/>
      <c r="J7572" s="140"/>
      <c r="K7572" s="140"/>
    </row>
    <row r="7573">
      <c r="A7573" s="140"/>
      <c r="B7573" s="140"/>
      <c r="C7573" s="140"/>
      <c r="D7573" s="140"/>
      <c r="E7573" s="140"/>
      <c r="F7573" s="140"/>
      <c r="G7573" s="141"/>
      <c r="H7573" s="140"/>
      <c r="I7573" s="140"/>
      <c r="J7573" s="140"/>
      <c r="K7573" s="140"/>
    </row>
    <row r="7574">
      <c r="A7574" s="140"/>
      <c r="B7574" s="140"/>
      <c r="C7574" s="140"/>
      <c r="D7574" s="140"/>
      <c r="E7574" s="140"/>
      <c r="F7574" s="140"/>
      <c r="G7574" s="141"/>
      <c r="H7574" s="140"/>
      <c r="I7574" s="140"/>
      <c r="J7574" s="140"/>
      <c r="K7574" s="140"/>
    </row>
    <row r="7575">
      <c r="A7575" s="140"/>
      <c r="B7575" s="140"/>
      <c r="C7575" s="140"/>
      <c r="D7575" s="140"/>
      <c r="E7575" s="140"/>
      <c r="F7575" s="140"/>
      <c r="G7575" s="141"/>
      <c r="H7575" s="140"/>
      <c r="I7575" s="140"/>
      <c r="J7575" s="140"/>
      <c r="K7575" s="140"/>
    </row>
    <row r="7576">
      <c r="A7576" s="140"/>
      <c r="B7576" s="140"/>
      <c r="C7576" s="140"/>
      <c r="D7576" s="140"/>
      <c r="E7576" s="140"/>
      <c r="F7576" s="140"/>
      <c r="G7576" s="141"/>
      <c r="H7576" s="140"/>
      <c r="I7576" s="140"/>
      <c r="J7576" s="140"/>
      <c r="K7576" s="140"/>
    </row>
    <row r="7577">
      <c r="A7577" s="140"/>
      <c r="B7577" s="140"/>
      <c r="C7577" s="140"/>
      <c r="D7577" s="140"/>
      <c r="E7577" s="140"/>
      <c r="F7577" s="140"/>
      <c r="G7577" s="141"/>
      <c r="H7577" s="140"/>
      <c r="I7577" s="140"/>
      <c r="J7577" s="140"/>
      <c r="K7577" s="140"/>
    </row>
    <row r="7578">
      <c r="A7578" s="140"/>
      <c r="B7578" s="140"/>
      <c r="C7578" s="140"/>
      <c r="D7578" s="140"/>
      <c r="E7578" s="140"/>
      <c r="F7578" s="140"/>
      <c r="G7578" s="141"/>
      <c r="H7578" s="140"/>
      <c r="I7578" s="140"/>
      <c r="J7578" s="140"/>
      <c r="K7578" s="140"/>
    </row>
    <row r="7579">
      <c r="A7579" s="140"/>
      <c r="B7579" s="140"/>
      <c r="C7579" s="140"/>
      <c r="D7579" s="140"/>
      <c r="E7579" s="140"/>
      <c r="F7579" s="140"/>
      <c r="G7579" s="141"/>
      <c r="H7579" s="140"/>
      <c r="I7579" s="140"/>
      <c r="J7579" s="140"/>
      <c r="K7579" s="140"/>
    </row>
    <row r="7580">
      <c r="A7580" s="140"/>
      <c r="B7580" s="140"/>
      <c r="C7580" s="140"/>
      <c r="D7580" s="140"/>
      <c r="E7580" s="140"/>
      <c r="F7580" s="140"/>
      <c r="G7580" s="141"/>
      <c r="H7580" s="140"/>
      <c r="I7580" s="140"/>
      <c r="J7580" s="140"/>
      <c r="K7580" s="140"/>
    </row>
    <row r="7581">
      <c r="A7581" s="140"/>
      <c r="B7581" s="140"/>
      <c r="C7581" s="140"/>
      <c r="D7581" s="140"/>
      <c r="E7581" s="140"/>
      <c r="F7581" s="140"/>
      <c r="G7581" s="141"/>
      <c r="H7581" s="140"/>
      <c r="I7581" s="140"/>
      <c r="J7581" s="140"/>
      <c r="K7581" s="140"/>
    </row>
    <row r="7582">
      <c r="A7582" s="140"/>
      <c r="B7582" s="140"/>
      <c r="C7582" s="140"/>
      <c r="D7582" s="140"/>
      <c r="E7582" s="140"/>
      <c r="F7582" s="140"/>
      <c r="G7582" s="141"/>
      <c r="H7582" s="140"/>
      <c r="I7582" s="140"/>
      <c r="J7582" s="140"/>
      <c r="K7582" s="140"/>
    </row>
    <row r="7583">
      <c r="A7583" s="140"/>
      <c r="B7583" s="140"/>
      <c r="C7583" s="140"/>
      <c r="D7583" s="140"/>
      <c r="E7583" s="140"/>
      <c r="F7583" s="140"/>
      <c r="G7583" s="141"/>
      <c r="H7583" s="140"/>
      <c r="I7583" s="140"/>
      <c r="J7583" s="140"/>
      <c r="K7583" s="140"/>
    </row>
    <row r="7584">
      <c r="A7584" s="140"/>
      <c r="B7584" s="140"/>
      <c r="C7584" s="140"/>
      <c r="D7584" s="140"/>
      <c r="E7584" s="140"/>
      <c r="F7584" s="140"/>
      <c r="G7584" s="141"/>
      <c r="H7584" s="140"/>
      <c r="I7584" s="140"/>
      <c r="J7584" s="140"/>
      <c r="K7584" s="140"/>
    </row>
    <row r="7585">
      <c r="A7585" s="140"/>
      <c r="B7585" s="140"/>
      <c r="C7585" s="140"/>
      <c r="D7585" s="140"/>
      <c r="E7585" s="140"/>
      <c r="F7585" s="140"/>
      <c r="G7585" s="141"/>
      <c r="H7585" s="140"/>
      <c r="I7585" s="140"/>
      <c r="J7585" s="140"/>
      <c r="K7585" s="140"/>
    </row>
    <row r="7586">
      <c r="A7586" s="140"/>
      <c r="B7586" s="140"/>
      <c r="C7586" s="140"/>
      <c r="D7586" s="140"/>
      <c r="E7586" s="140"/>
      <c r="F7586" s="140"/>
      <c r="G7586" s="141"/>
      <c r="H7586" s="140"/>
      <c r="I7586" s="140"/>
      <c r="J7586" s="140"/>
      <c r="K7586" s="140"/>
    </row>
    <row r="7587">
      <c r="A7587" s="140"/>
      <c r="B7587" s="140"/>
      <c r="C7587" s="140"/>
      <c r="D7587" s="140"/>
      <c r="E7587" s="140"/>
      <c r="F7587" s="140"/>
      <c r="G7587" s="141"/>
      <c r="H7587" s="140"/>
      <c r="I7587" s="140"/>
      <c r="J7587" s="140"/>
      <c r="K7587" s="140"/>
    </row>
    <row r="7588">
      <c r="A7588" s="140"/>
      <c r="B7588" s="140"/>
      <c r="C7588" s="140"/>
      <c r="D7588" s="140"/>
      <c r="E7588" s="140"/>
      <c r="F7588" s="140"/>
      <c r="G7588" s="141"/>
      <c r="H7588" s="140"/>
      <c r="I7588" s="140"/>
      <c r="J7588" s="140"/>
      <c r="K7588" s="140"/>
    </row>
    <row r="7589">
      <c r="A7589" s="140"/>
      <c r="B7589" s="140"/>
      <c r="C7589" s="140"/>
      <c r="D7589" s="140"/>
      <c r="E7589" s="140"/>
      <c r="F7589" s="140"/>
      <c r="G7589" s="141"/>
      <c r="H7589" s="140"/>
      <c r="I7589" s="140"/>
      <c r="J7589" s="140"/>
      <c r="K7589" s="140"/>
    </row>
    <row r="7590">
      <c r="A7590" s="140"/>
      <c r="B7590" s="140"/>
      <c r="C7590" s="140"/>
      <c r="D7590" s="140"/>
      <c r="E7590" s="140"/>
      <c r="F7590" s="140"/>
      <c r="G7590" s="141"/>
      <c r="H7590" s="140"/>
      <c r="I7590" s="140"/>
      <c r="J7590" s="140"/>
      <c r="K7590" s="140"/>
    </row>
    <row r="7591">
      <c r="A7591" s="140"/>
      <c r="B7591" s="140"/>
      <c r="C7591" s="140"/>
      <c r="D7591" s="140"/>
      <c r="E7591" s="140"/>
      <c r="F7591" s="140"/>
      <c r="G7591" s="141"/>
      <c r="H7591" s="140"/>
      <c r="I7591" s="140"/>
      <c r="J7591" s="140"/>
      <c r="K7591" s="140"/>
    </row>
    <row r="7592">
      <c r="A7592" s="140"/>
      <c r="B7592" s="140"/>
      <c r="C7592" s="140"/>
      <c r="D7592" s="140"/>
      <c r="E7592" s="140"/>
      <c r="F7592" s="140"/>
      <c r="G7592" s="141"/>
      <c r="H7592" s="140"/>
      <c r="I7592" s="140"/>
      <c r="J7592" s="140"/>
      <c r="K7592" s="140"/>
    </row>
    <row r="7593">
      <c r="A7593" s="140"/>
      <c r="B7593" s="140"/>
      <c r="C7593" s="140"/>
      <c r="D7593" s="140"/>
      <c r="E7593" s="140"/>
      <c r="F7593" s="140"/>
      <c r="G7593" s="141"/>
      <c r="H7593" s="140"/>
      <c r="I7593" s="140"/>
      <c r="J7593" s="140"/>
      <c r="K7593" s="140"/>
    </row>
    <row r="7594">
      <c r="A7594" s="140"/>
      <c r="B7594" s="140"/>
      <c r="C7594" s="140"/>
      <c r="D7594" s="140"/>
      <c r="E7594" s="140"/>
      <c r="F7594" s="140"/>
      <c r="G7594" s="141"/>
      <c r="H7594" s="140"/>
      <c r="I7594" s="140"/>
      <c r="J7594" s="140"/>
      <c r="K7594" s="140"/>
    </row>
    <row r="7595">
      <c r="A7595" s="140"/>
      <c r="B7595" s="140"/>
      <c r="C7595" s="140"/>
      <c r="D7595" s="140"/>
      <c r="E7595" s="140"/>
      <c r="F7595" s="140"/>
      <c r="G7595" s="141"/>
      <c r="H7595" s="140"/>
      <c r="I7595" s="140"/>
      <c r="J7595" s="140"/>
      <c r="K7595" s="140"/>
    </row>
    <row r="7596">
      <c r="A7596" s="140"/>
      <c r="B7596" s="140"/>
      <c r="C7596" s="140"/>
      <c r="D7596" s="140"/>
      <c r="E7596" s="140"/>
      <c r="F7596" s="140"/>
      <c r="G7596" s="141"/>
      <c r="H7596" s="140"/>
      <c r="I7596" s="140"/>
      <c r="J7596" s="140"/>
      <c r="K7596" s="140"/>
    </row>
    <row r="7597">
      <c r="A7597" s="140"/>
      <c r="B7597" s="140"/>
      <c r="C7597" s="140"/>
      <c r="D7597" s="140"/>
      <c r="E7597" s="140"/>
      <c r="F7597" s="140"/>
      <c r="G7597" s="141"/>
      <c r="H7597" s="140"/>
      <c r="I7597" s="140"/>
      <c r="J7597" s="140"/>
      <c r="K7597" s="140"/>
    </row>
    <row r="7598">
      <c r="A7598" s="140"/>
      <c r="B7598" s="140"/>
      <c r="C7598" s="140"/>
      <c r="D7598" s="140"/>
      <c r="E7598" s="140"/>
      <c r="F7598" s="140"/>
      <c r="G7598" s="141"/>
      <c r="H7598" s="140"/>
      <c r="I7598" s="140"/>
      <c r="J7598" s="140"/>
      <c r="K7598" s="140"/>
    </row>
    <row r="7599">
      <c r="A7599" s="140"/>
      <c r="B7599" s="140"/>
      <c r="C7599" s="140"/>
      <c r="D7599" s="140"/>
      <c r="E7599" s="140"/>
      <c r="F7599" s="140"/>
      <c r="G7599" s="141"/>
      <c r="H7599" s="140"/>
      <c r="I7599" s="140"/>
      <c r="J7599" s="140"/>
      <c r="K7599" s="140"/>
    </row>
    <row r="7600">
      <c r="A7600" s="140"/>
      <c r="B7600" s="140"/>
      <c r="C7600" s="140"/>
      <c r="D7600" s="140"/>
      <c r="E7600" s="140"/>
      <c r="F7600" s="140"/>
      <c r="G7600" s="141"/>
      <c r="H7600" s="140"/>
      <c r="I7600" s="140"/>
      <c r="J7600" s="140"/>
      <c r="K7600" s="140"/>
    </row>
    <row r="7601">
      <c r="A7601" s="140"/>
      <c r="B7601" s="140"/>
      <c r="C7601" s="140"/>
      <c r="D7601" s="140"/>
      <c r="E7601" s="140"/>
      <c r="F7601" s="140"/>
      <c r="G7601" s="141"/>
      <c r="H7601" s="140"/>
      <c r="I7601" s="140"/>
      <c r="J7601" s="140"/>
      <c r="K7601" s="140"/>
    </row>
    <row r="7602">
      <c r="A7602" s="140"/>
      <c r="B7602" s="140"/>
      <c r="C7602" s="140"/>
      <c r="D7602" s="140"/>
      <c r="E7602" s="140"/>
      <c r="F7602" s="140"/>
      <c r="G7602" s="141"/>
      <c r="H7602" s="140"/>
      <c r="I7602" s="140"/>
      <c r="J7602" s="140"/>
      <c r="K7602" s="140"/>
    </row>
    <row r="7603">
      <c r="A7603" s="140"/>
      <c r="B7603" s="140"/>
      <c r="C7603" s="140"/>
      <c r="D7603" s="140"/>
      <c r="E7603" s="140"/>
      <c r="F7603" s="140"/>
      <c r="G7603" s="141"/>
      <c r="H7603" s="140"/>
      <c r="I7603" s="140"/>
      <c r="J7603" s="140"/>
      <c r="K7603" s="140"/>
    </row>
    <row r="7604">
      <c r="A7604" s="140"/>
      <c r="B7604" s="140"/>
      <c r="C7604" s="140"/>
      <c r="D7604" s="140"/>
      <c r="E7604" s="140"/>
      <c r="F7604" s="140"/>
      <c r="G7604" s="141"/>
      <c r="H7604" s="140"/>
      <c r="I7604" s="140"/>
      <c r="J7604" s="140"/>
      <c r="K7604" s="140"/>
    </row>
    <row r="7605">
      <c r="A7605" s="140"/>
      <c r="B7605" s="140"/>
      <c r="C7605" s="140"/>
      <c r="D7605" s="140"/>
      <c r="E7605" s="140"/>
      <c r="F7605" s="140"/>
      <c r="G7605" s="141"/>
      <c r="H7605" s="140"/>
      <c r="I7605" s="140"/>
      <c r="J7605" s="140"/>
      <c r="K7605" s="140"/>
    </row>
    <row r="7606">
      <c r="A7606" s="140"/>
      <c r="B7606" s="140"/>
      <c r="C7606" s="140"/>
      <c r="D7606" s="140"/>
      <c r="E7606" s="140"/>
      <c r="F7606" s="140"/>
      <c r="G7606" s="141"/>
      <c r="H7606" s="140"/>
      <c r="I7606" s="140"/>
      <c r="J7606" s="140"/>
      <c r="K7606" s="140"/>
    </row>
    <row r="7607">
      <c r="A7607" s="140"/>
      <c r="B7607" s="140"/>
      <c r="C7607" s="140"/>
      <c r="D7607" s="140"/>
      <c r="E7607" s="140"/>
      <c r="F7607" s="140"/>
      <c r="G7607" s="141"/>
      <c r="H7607" s="140"/>
      <c r="I7607" s="140"/>
      <c r="J7607" s="140"/>
      <c r="K7607" s="140"/>
    </row>
    <row r="7608">
      <c r="A7608" s="140"/>
      <c r="B7608" s="140"/>
      <c r="C7608" s="140"/>
      <c r="D7608" s="140"/>
      <c r="E7608" s="140"/>
      <c r="F7608" s="140"/>
      <c r="G7608" s="141"/>
      <c r="H7608" s="140"/>
      <c r="I7608" s="140"/>
      <c r="J7608" s="140"/>
      <c r="K7608" s="140"/>
    </row>
    <row r="7609">
      <c r="A7609" s="140"/>
      <c r="B7609" s="140"/>
      <c r="C7609" s="140"/>
      <c r="D7609" s="140"/>
      <c r="E7609" s="140"/>
      <c r="F7609" s="140"/>
      <c r="G7609" s="141"/>
      <c r="H7609" s="140"/>
      <c r="I7609" s="140"/>
      <c r="J7609" s="140"/>
      <c r="K7609" s="140"/>
    </row>
    <row r="7610">
      <c r="A7610" s="140"/>
      <c r="B7610" s="140"/>
      <c r="C7610" s="140"/>
      <c r="D7610" s="140"/>
      <c r="E7610" s="140"/>
      <c r="F7610" s="140"/>
      <c r="G7610" s="141"/>
      <c r="H7610" s="140"/>
      <c r="I7610" s="140"/>
      <c r="J7610" s="140"/>
      <c r="K7610" s="140"/>
    </row>
    <row r="7611">
      <c r="A7611" s="140"/>
      <c r="B7611" s="140"/>
      <c r="C7611" s="140"/>
      <c r="D7611" s="140"/>
      <c r="E7611" s="140"/>
      <c r="F7611" s="140"/>
      <c r="G7611" s="141"/>
      <c r="H7611" s="140"/>
      <c r="I7611" s="140"/>
      <c r="J7611" s="140"/>
      <c r="K7611" s="140"/>
    </row>
    <row r="7612">
      <c r="A7612" s="140"/>
      <c r="B7612" s="140"/>
      <c r="C7612" s="140"/>
      <c r="D7612" s="140"/>
      <c r="E7612" s="140"/>
      <c r="F7612" s="140"/>
      <c r="G7612" s="141"/>
      <c r="H7612" s="140"/>
      <c r="I7612" s="140"/>
      <c r="J7612" s="140"/>
      <c r="K7612" s="140"/>
    </row>
    <row r="7613">
      <c r="A7613" s="140"/>
      <c r="B7613" s="140"/>
      <c r="C7613" s="140"/>
      <c r="D7613" s="140"/>
      <c r="E7613" s="140"/>
      <c r="F7613" s="140"/>
      <c r="G7613" s="141"/>
      <c r="H7613" s="140"/>
      <c r="I7613" s="140"/>
      <c r="J7613" s="140"/>
      <c r="K7613" s="140"/>
    </row>
    <row r="7614">
      <c r="A7614" s="140"/>
      <c r="B7614" s="140"/>
      <c r="C7614" s="140"/>
      <c r="D7614" s="140"/>
      <c r="E7614" s="140"/>
      <c r="F7614" s="140"/>
      <c r="G7614" s="141"/>
      <c r="H7614" s="140"/>
      <c r="I7614" s="140"/>
      <c r="J7614" s="140"/>
      <c r="K7614" s="140"/>
    </row>
    <row r="7615">
      <c r="A7615" s="140"/>
      <c r="B7615" s="140"/>
      <c r="C7615" s="140"/>
      <c r="D7615" s="140"/>
      <c r="E7615" s="140"/>
      <c r="F7615" s="140"/>
      <c r="G7615" s="141"/>
      <c r="H7615" s="140"/>
      <c r="I7615" s="140"/>
      <c r="J7615" s="140"/>
      <c r="K7615" s="140"/>
    </row>
    <row r="7616">
      <c r="A7616" s="140"/>
      <c r="B7616" s="140"/>
      <c r="C7616" s="140"/>
      <c r="D7616" s="140"/>
      <c r="E7616" s="140"/>
      <c r="F7616" s="140"/>
      <c r="G7616" s="141"/>
      <c r="H7616" s="140"/>
      <c r="I7616" s="140"/>
      <c r="J7616" s="140"/>
      <c r="K7616" s="140"/>
    </row>
    <row r="7617">
      <c r="A7617" s="140"/>
      <c r="B7617" s="140"/>
      <c r="C7617" s="140"/>
      <c r="D7617" s="140"/>
      <c r="E7617" s="140"/>
      <c r="F7617" s="140"/>
      <c r="G7617" s="141"/>
      <c r="H7617" s="140"/>
      <c r="I7617" s="140"/>
      <c r="J7617" s="140"/>
      <c r="K7617" s="140"/>
    </row>
    <row r="7618">
      <c r="A7618" s="140"/>
      <c r="B7618" s="140"/>
      <c r="C7618" s="140"/>
      <c r="D7618" s="140"/>
      <c r="E7618" s="140"/>
      <c r="F7618" s="140"/>
      <c r="G7618" s="141"/>
      <c r="H7618" s="140"/>
      <c r="I7618" s="140"/>
      <c r="J7618" s="140"/>
      <c r="K7618" s="140"/>
    </row>
    <row r="7619">
      <c r="A7619" s="140"/>
      <c r="B7619" s="140"/>
      <c r="C7619" s="140"/>
      <c r="D7619" s="140"/>
      <c r="E7619" s="140"/>
      <c r="F7619" s="140"/>
      <c r="G7619" s="141"/>
      <c r="H7619" s="140"/>
      <c r="I7619" s="140"/>
      <c r="J7619" s="140"/>
      <c r="K7619" s="140"/>
    </row>
    <row r="7620">
      <c r="A7620" s="140"/>
      <c r="B7620" s="140"/>
      <c r="C7620" s="140"/>
      <c r="D7620" s="140"/>
      <c r="E7620" s="140"/>
      <c r="F7620" s="140"/>
      <c r="G7620" s="141"/>
      <c r="H7620" s="140"/>
      <c r="I7620" s="140"/>
      <c r="J7620" s="140"/>
      <c r="K7620" s="140"/>
    </row>
    <row r="7621">
      <c r="A7621" s="140"/>
      <c r="B7621" s="140"/>
      <c r="C7621" s="140"/>
      <c r="D7621" s="140"/>
      <c r="E7621" s="140"/>
      <c r="F7621" s="140"/>
      <c r="G7621" s="141"/>
      <c r="H7621" s="140"/>
      <c r="I7621" s="140"/>
      <c r="J7621" s="140"/>
      <c r="K7621" s="140"/>
    </row>
    <row r="7622">
      <c r="A7622" s="140"/>
      <c r="B7622" s="140"/>
      <c r="C7622" s="140"/>
      <c r="D7622" s="140"/>
      <c r="E7622" s="140"/>
      <c r="F7622" s="140"/>
      <c r="G7622" s="141"/>
      <c r="H7622" s="140"/>
      <c r="I7622" s="140"/>
      <c r="J7622" s="140"/>
      <c r="K7622" s="140"/>
    </row>
    <row r="7623">
      <c r="A7623" s="140"/>
      <c r="B7623" s="140"/>
      <c r="C7623" s="140"/>
      <c r="D7623" s="140"/>
      <c r="E7623" s="140"/>
      <c r="F7623" s="140"/>
      <c r="G7623" s="141"/>
      <c r="H7623" s="140"/>
      <c r="I7623" s="140"/>
      <c r="J7623" s="140"/>
      <c r="K7623" s="140"/>
    </row>
    <row r="7624">
      <c r="A7624" s="140"/>
      <c r="B7624" s="140"/>
      <c r="C7624" s="140"/>
      <c r="D7624" s="140"/>
      <c r="E7624" s="140"/>
      <c r="F7624" s="140"/>
      <c r="G7624" s="141"/>
      <c r="H7624" s="140"/>
      <c r="I7624" s="140"/>
      <c r="J7624" s="140"/>
      <c r="K7624" s="140"/>
    </row>
    <row r="7625">
      <c r="A7625" s="140"/>
      <c r="B7625" s="140"/>
      <c r="C7625" s="140"/>
      <c r="D7625" s="140"/>
      <c r="E7625" s="140"/>
      <c r="F7625" s="140"/>
      <c r="G7625" s="141"/>
      <c r="H7625" s="140"/>
      <c r="I7625" s="140"/>
      <c r="J7625" s="140"/>
      <c r="K7625" s="140"/>
    </row>
    <row r="7626">
      <c r="A7626" s="140"/>
      <c r="B7626" s="140"/>
      <c r="C7626" s="140"/>
      <c r="D7626" s="140"/>
      <c r="E7626" s="140"/>
      <c r="F7626" s="140"/>
      <c r="G7626" s="141"/>
      <c r="H7626" s="140"/>
      <c r="I7626" s="140"/>
      <c r="J7626" s="140"/>
      <c r="K7626" s="140"/>
    </row>
    <row r="7627">
      <c r="A7627" s="140"/>
      <c r="B7627" s="140"/>
      <c r="C7627" s="140"/>
      <c r="D7627" s="140"/>
      <c r="E7627" s="140"/>
      <c r="F7627" s="140"/>
      <c r="G7627" s="141"/>
      <c r="H7627" s="140"/>
      <c r="I7627" s="140"/>
      <c r="J7627" s="140"/>
      <c r="K7627" s="140"/>
    </row>
    <row r="7628">
      <c r="A7628" s="140"/>
      <c r="B7628" s="140"/>
      <c r="C7628" s="140"/>
      <c r="D7628" s="140"/>
      <c r="E7628" s="140"/>
      <c r="F7628" s="140"/>
      <c r="G7628" s="141"/>
      <c r="H7628" s="140"/>
      <c r="I7628" s="140"/>
      <c r="J7628" s="140"/>
      <c r="K7628" s="140"/>
    </row>
    <row r="7629">
      <c r="A7629" s="140"/>
      <c r="B7629" s="140"/>
      <c r="C7629" s="140"/>
      <c r="D7629" s="140"/>
      <c r="E7629" s="140"/>
      <c r="F7629" s="140"/>
      <c r="G7629" s="141"/>
      <c r="H7629" s="140"/>
      <c r="I7629" s="140"/>
      <c r="J7629" s="140"/>
      <c r="K7629" s="140"/>
    </row>
    <row r="7630">
      <c r="A7630" s="140"/>
      <c r="B7630" s="140"/>
      <c r="C7630" s="140"/>
      <c r="D7630" s="140"/>
      <c r="E7630" s="140"/>
      <c r="F7630" s="140"/>
      <c r="G7630" s="141"/>
      <c r="H7630" s="140"/>
      <c r="I7630" s="140"/>
      <c r="J7630" s="140"/>
      <c r="K7630" s="140"/>
    </row>
    <row r="7631">
      <c r="A7631" s="140"/>
      <c r="B7631" s="140"/>
      <c r="C7631" s="140"/>
      <c r="D7631" s="140"/>
      <c r="E7631" s="140"/>
      <c r="F7631" s="140"/>
      <c r="G7631" s="141"/>
      <c r="H7631" s="140"/>
      <c r="I7631" s="140"/>
      <c r="J7631" s="140"/>
      <c r="K7631" s="140"/>
    </row>
    <row r="7632">
      <c r="A7632" s="140"/>
      <c r="B7632" s="140"/>
      <c r="C7632" s="140"/>
      <c r="D7632" s="140"/>
      <c r="E7632" s="140"/>
      <c r="F7632" s="140"/>
      <c r="G7632" s="141"/>
      <c r="H7632" s="140"/>
      <c r="I7632" s="140"/>
      <c r="J7632" s="140"/>
      <c r="K7632" s="140"/>
    </row>
    <row r="7633">
      <c r="A7633" s="140"/>
      <c r="B7633" s="140"/>
      <c r="C7633" s="140"/>
      <c r="D7633" s="140"/>
      <c r="E7633" s="140"/>
      <c r="F7633" s="140"/>
      <c r="G7633" s="141"/>
      <c r="H7633" s="140"/>
      <c r="I7633" s="140"/>
      <c r="J7633" s="140"/>
      <c r="K7633" s="140"/>
    </row>
    <row r="7634">
      <c r="A7634" s="140"/>
      <c r="B7634" s="140"/>
      <c r="C7634" s="140"/>
      <c r="D7634" s="140"/>
      <c r="E7634" s="140"/>
      <c r="F7634" s="140"/>
      <c r="G7634" s="141"/>
      <c r="H7634" s="140"/>
      <c r="I7634" s="140"/>
      <c r="J7634" s="140"/>
      <c r="K7634" s="140"/>
    </row>
    <row r="7635">
      <c r="A7635" s="140"/>
      <c r="B7635" s="140"/>
      <c r="C7635" s="140"/>
      <c r="D7635" s="140"/>
      <c r="E7635" s="140"/>
      <c r="F7635" s="140"/>
      <c r="G7635" s="141"/>
      <c r="H7635" s="140"/>
      <c r="I7635" s="140"/>
      <c r="J7635" s="140"/>
      <c r="K7635" s="140"/>
    </row>
    <row r="7636">
      <c r="A7636" s="140"/>
      <c r="B7636" s="140"/>
      <c r="C7636" s="140"/>
      <c r="D7636" s="140"/>
      <c r="E7636" s="140"/>
      <c r="F7636" s="140"/>
      <c r="G7636" s="141"/>
      <c r="H7636" s="140"/>
      <c r="I7636" s="140"/>
      <c r="J7636" s="140"/>
      <c r="K7636" s="140"/>
    </row>
    <row r="7637">
      <c r="A7637" s="140"/>
      <c r="B7637" s="140"/>
      <c r="C7637" s="140"/>
      <c r="D7637" s="140"/>
      <c r="E7637" s="140"/>
      <c r="F7637" s="140"/>
      <c r="G7637" s="141"/>
      <c r="H7637" s="140"/>
      <c r="I7637" s="140"/>
      <c r="J7637" s="140"/>
      <c r="K7637" s="140"/>
    </row>
    <row r="7638">
      <c r="A7638" s="140"/>
      <c r="B7638" s="140"/>
      <c r="C7638" s="140"/>
      <c r="D7638" s="140"/>
      <c r="E7638" s="140"/>
      <c r="F7638" s="140"/>
      <c r="G7638" s="141"/>
      <c r="H7638" s="140"/>
      <c r="I7638" s="140"/>
      <c r="J7638" s="140"/>
      <c r="K7638" s="140"/>
    </row>
    <row r="7639">
      <c r="A7639" s="140"/>
      <c r="B7639" s="140"/>
      <c r="C7639" s="140"/>
      <c r="D7639" s="140"/>
      <c r="E7639" s="140"/>
      <c r="F7639" s="140"/>
      <c r="G7639" s="141"/>
      <c r="H7639" s="140"/>
      <c r="I7639" s="140"/>
      <c r="J7639" s="140"/>
      <c r="K7639" s="140"/>
    </row>
    <row r="7640">
      <c r="A7640" s="140"/>
      <c r="B7640" s="140"/>
      <c r="C7640" s="140"/>
      <c r="D7640" s="140"/>
      <c r="E7640" s="140"/>
      <c r="F7640" s="140"/>
      <c r="G7640" s="141"/>
      <c r="H7640" s="140"/>
      <c r="I7640" s="140"/>
      <c r="J7640" s="140"/>
      <c r="K7640" s="140"/>
    </row>
    <row r="7641">
      <c r="A7641" s="140"/>
      <c r="B7641" s="140"/>
      <c r="C7641" s="140"/>
      <c r="D7641" s="140"/>
      <c r="E7641" s="140"/>
      <c r="F7641" s="140"/>
      <c r="G7641" s="141"/>
      <c r="H7641" s="140"/>
      <c r="I7641" s="140"/>
      <c r="J7641" s="140"/>
      <c r="K7641" s="140"/>
    </row>
    <row r="7642">
      <c r="A7642" s="140"/>
      <c r="B7642" s="140"/>
      <c r="C7642" s="140"/>
      <c r="D7642" s="140"/>
      <c r="E7642" s="140"/>
      <c r="F7642" s="140"/>
      <c r="G7642" s="141"/>
      <c r="H7642" s="140"/>
      <c r="I7642" s="140"/>
      <c r="J7642" s="140"/>
      <c r="K7642" s="140"/>
    </row>
    <row r="7643">
      <c r="A7643" s="140"/>
      <c r="B7643" s="140"/>
      <c r="C7643" s="140"/>
      <c r="D7643" s="140"/>
      <c r="E7643" s="140"/>
      <c r="F7643" s="140"/>
      <c r="G7643" s="141"/>
      <c r="H7643" s="140"/>
      <c r="I7643" s="140"/>
      <c r="J7643" s="140"/>
      <c r="K7643" s="140"/>
    </row>
    <row r="7644">
      <c r="A7644" s="140"/>
      <c r="B7644" s="140"/>
      <c r="C7644" s="140"/>
      <c r="D7644" s="140"/>
      <c r="E7644" s="140"/>
      <c r="F7644" s="140"/>
      <c r="G7644" s="141"/>
      <c r="H7644" s="140"/>
      <c r="I7644" s="140"/>
      <c r="J7644" s="140"/>
      <c r="K7644" s="140"/>
    </row>
    <row r="7645">
      <c r="A7645" s="140"/>
      <c r="B7645" s="140"/>
      <c r="C7645" s="140"/>
      <c r="D7645" s="140"/>
      <c r="E7645" s="140"/>
      <c r="F7645" s="140"/>
      <c r="G7645" s="141"/>
      <c r="H7645" s="140"/>
      <c r="I7645" s="140"/>
      <c r="J7645" s="140"/>
      <c r="K7645" s="140"/>
    </row>
    <row r="7646">
      <c r="A7646" s="140"/>
      <c r="B7646" s="140"/>
      <c r="C7646" s="140"/>
      <c r="D7646" s="140"/>
      <c r="E7646" s="140"/>
      <c r="F7646" s="140"/>
      <c r="G7646" s="141"/>
      <c r="H7646" s="140"/>
      <c r="I7646" s="140"/>
      <c r="J7646" s="140"/>
      <c r="K7646" s="140"/>
    </row>
    <row r="7647">
      <c r="A7647" s="140"/>
      <c r="B7647" s="140"/>
      <c r="C7647" s="140"/>
      <c r="D7647" s="140"/>
      <c r="E7647" s="140"/>
      <c r="F7647" s="140"/>
      <c r="G7647" s="141"/>
      <c r="H7647" s="140"/>
      <c r="I7647" s="140"/>
      <c r="J7647" s="140"/>
      <c r="K7647" s="140"/>
    </row>
    <row r="7648">
      <c r="A7648" s="140"/>
      <c r="B7648" s="140"/>
      <c r="C7648" s="140"/>
      <c r="D7648" s="140"/>
      <c r="E7648" s="140"/>
      <c r="F7648" s="140"/>
      <c r="G7648" s="141"/>
      <c r="H7648" s="140"/>
      <c r="I7648" s="140"/>
      <c r="J7648" s="140"/>
      <c r="K7648" s="140"/>
    </row>
    <row r="7649">
      <c r="A7649" s="140"/>
      <c r="B7649" s="140"/>
      <c r="C7649" s="140"/>
      <c r="D7649" s="140"/>
      <c r="E7649" s="140"/>
      <c r="F7649" s="140"/>
      <c r="G7649" s="141"/>
      <c r="H7649" s="140"/>
      <c r="I7649" s="140"/>
      <c r="J7649" s="140"/>
      <c r="K7649" s="140"/>
    </row>
    <row r="7650">
      <c r="A7650" s="140"/>
      <c r="B7650" s="140"/>
      <c r="C7650" s="140"/>
      <c r="D7650" s="140"/>
      <c r="E7650" s="140"/>
      <c r="F7650" s="140"/>
      <c r="G7650" s="141"/>
      <c r="H7650" s="140"/>
      <c r="I7650" s="140"/>
      <c r="J7650" s="140"/>
      <c r="K7650" s="140"/>
    </row>
    <row r="7651">
      <c r="A7651" s="140"/>
      <c r="B7651" s="140"/>
      <c r="C7651" s="140"/>
      <c r="D7651" s="140"/>
      <c r="E7651" s="140"/>
      <c r="F7651" s="140"/>
      <c r="G7651" s="141"/>
      <c r="H7651" s="140"/>
      <c r="I7651" s="140"/>
      <c r="J7651" s="140"/>
      <c r="K7651" s="140"/>
    </row>
    <row r="7652">
      <c r="A7652" s="140"/>
      <c r="B7652" s="140"/>
      <c r="C7652" s="140"/>
      <c r="D7652" s="140"/>
      <c r="E7652" s="140"/>
      <c r="F7652" s="140"/>
      <c r="G7652" s="141"/>
      <c r="H7652" s="140"/>
      <c r="I7652" s="140"/>
      <c r="J7652" s="140"/>
      <c r="K7652" s="140"/>
    </row>
    <row r="7653">
      <c r="A7653" s="140"/>
      <c r="B7653" s="140"/>
      <c r="C7653" s="140"/>
      <c r="D7653" s="140"/>
      <c r="E7653" s="140"/>
      <c r="F7653" s="140"/>
      <c r="G7653" s="141"/>
      <c r="H7653" s="140"/>
      <c r="I7653" s="140"/>
      <c r="J7653" s="140"/>
      <c r="K7653" s="140"/>
    </row>
    <row r="7654">
      <c r="A7654" s="140"/>
      <c r="B7654" s="140"/>
      <c r="C7654" s="140"/>
      <c r="D7654" s="140"/>
      <c r="E7654" s="140"/>
      <c r="F7654" s="140"/>
      <c r="G7654" s="141"/>
      <c r="H7654" s="140"/>
      <c r="I7654" s="140"/>
      <c r="J7654" s="140"/>
      <c r="K7654" s="140"/>
    </row>
    <row r="7655">
      <c r="A7655" s="140"/>
      <c r="B7655" s="140"/>
      <c r="C7655" s="140"/>
      <c r="D7655" s="140"/>
      <c r="E7655" s="140"/>
      <c r="F7655" s="140"/>
      <c r="G7655" s="141"/>
      <c r="H7655" s="140"/>
      <c r="I7655" s="140"/>
      <c r="J7655" s="140"/>
      <c r="K7655" s="140"/>
    </row>
    <row r="7656">
      <c r="A7656" s="140"/>
      <c r="B7656" s="140"/>
      <c r="C7656" s="140"/>
      <c r="D7656" s="140"/>
      <c r="E7656" s="140"/>
      <c r="F7656" s="140"/>
      <c r="G7656" s="141"/>
      <c r="H7656" s="140"/>
      <c r="I7656" s="140"/>
      <c r="J7656" s="140"/>
      <c r="K7656" s="140"/>
    </row>
    <row r="7657">
      <c r="A7657" s="140"/>
      <c r="B7657" s="140"/>
      <c r="C7657" s="140"/>
      <c r="D7657" s="140"/>
      <c r="E7657" s="140"/>
      <c r="F7657" s="140"/>
      <c r="G7657" s="141"/>
      <c r="H7657" s="140"/>
      <c r="I7657" s="140"/>
      <c r="J7657" s="140"/>
      <c r="K7657" s="140"/>
    </row>
    <row r="7658">
      <c r="A7658" s="140"/>
      <c r="B7658" s="140"/>
      <c r="C7658" s="140"/>
      <c r="D7658" s="140"/>
      <c r="E7658" s="140"/>
      <c r="F7658" s="140"/>
      <c r="G7658" s="141"/>
      <c r="H7658" s="140"/>
      <c r="I7658" s="140"/>
      <c r="J7658" s="140"/>
      <c r="K7658" s="140"/>
    </row>
    <row r="7659">
      <c r="A7659" s="140"/>
      <c r="B7659" s="140"/>
      <c r="C7659" s="140"/>
      <c r="D7659" s="140"/>
      <c r="E7659" s="140"/>
      <c r="F7659" s="140"/>
      <c r="G7659" s="141"/>
      <c r="H7659" s="140"/>
      <c r="I7659" s="140"/>
      <c r="J7659" s="140"/>
      <c r="K7659" s="140"/>
    </row>
    <row r="7660">
      <c r="A7660" s="140"/>
      <c r="B7660" s="140"/>
      <c r="C7660" s="140"/>
      <c r="D7660" s="140"/>
      <c r="E7660" s="140"/>
      <c r="F7660" s="140"/>
      <c r="G7660" s="141"/>
      <c r="H7660" s="140"/>
      <c r="I7660" s="140"/>
      <c r="J7660" s="140"/>
      <c r="K7660" s="140"/>
    </row>
    <row r="7661">
      <c r="A7661" s="140"/>
      <c r="B7661" s="140"/>
      <c r="C7661" s="140"/>
      <c r="D7661" s="140"/>
      <c r="E7661" s="140"/>
      <c r="F7661" s="140"/>
      <c r="G7661" s="141"/>
      <c r="H7661" s="140"/>
      <c r="I7661" s="140"/>
      <c r="J7661" s="140"/>
      <c r="K7661" s="140"/>
    </row>
    <row r="7662">
      <c r="A7662" s="140"/>
      <c r="B7662" s="140"/>
      <c r="C7662" s="140"/>
      <c r="D7662" s="140"/>
      <c r="E7662" s="140"/>
      <c r="F7662" s="140"/>
      <c r="G7662" s="141"/>
      <c r="H7662" s="140"/>
      <c r="I7662" s="140"/>
      <c r="J7662" s="140"/>
      <c r="K7662" s="140"/>
    </row>
    <row r="7663">
      <c r="A7663" s="140"/>
      <c r="B7663" s="140"/>
      <c r="C7663" s="140"/>
      <c r="D7663" s="140"/>
      <c r="E7663" s="140"/>
      <c r="F7663" s="140"/>
      <c r="G7663" s="141"/>
      <c r="H7663" s="140"/>
      <c r="I7663" s="140"/>
      <c r="J7663" s="140"/>
      <c r="K7663" s="140"/>
    </row>
    <row r="7664">
      <c r="A7664" s="140"/>
      <c r="B7664" s="140"/>
      <c r="C7664" s="140"/>
      <c r="D7664" s="140"/>
      <c r="E7664" s="140"/>
      <c r="F7664" s="140"/>
      <c r="G7664" s="141"/>
      <c r="H7664" s="140"/>
      <c r="I7664" s="140"/>
      <c r="J7664" s="140"/>
      <c r="K7664" s="140"/>
    </row>
    <row r="7665">
      <c r="A7665" s="140"/>
      <c r="B7665" s="140"/>
      <c r="C7665" s="140"/>
      <c r="D7665" s="140"/>
      <c r="E7665" s="140"/>
      <c r="F7665" s="140"/>
      <c r="G7665" s="141"/>
      <c r="H7665" s="140"/>
      <c r="I7665" s="140"/>
      <c r="J7665" s="140"/>
      <c r="K7665" s="140"/>
    </row>
    <row r="7666">
      <c r="A7666" s="140"/>
      <c r="B7666" s="140"/>
      <c r="C7666" s="140"/>
      <c r="D7666" s="140"/>
      <c r="E7666" s="140"/>
      <c r="F7666" s="140"/>
      <c r="G7666" s="141"/>
      <c r="H7666" s="140"/>
      <c r="I7666" s="140"/>
      <c r="J7666" s="140"/>
      <c r="K7666" s="140"/>
    </row>
    <row r="7667">
      <c r="A7667" s="140"/>
      <c r="B7667" s="140"/>
      <c r="C7667" s="140"/>
      <c r="D7667" s="140"/>
      <c r="E7667" s="140"/>
      <c r="F7667" s="140"/>
      <c r="G7667" s="141"/>
      <c r="H7667" s="140"/>
      <c r="I7667" s="140"/>
      <c r="J7667" s="140"/>
      <c r="K7667" s="140"/>
    </row>
    <row r="7668">
      <c r="A7668" s="140"/>
      <c r="B7668" s="140"/>
      <c r="C7668" s="140"/>
      <c r="D7668" s="140"/>
      <c r="E7668" s="140"/>
      <c r="F7668" s="140"/>
      <c r="G7668" s="141"/>
      <c r="H7668" s="140"/>
      <c r="I7668" s="140"/>
      <c r="J7668" s="140"/>
      <c r="K7668" s="140"/>
    </row>
    <row r="7669">
      <c r="A7669" s="140"/>
      <c r="B7669" s="140"/>
      <c r="C7669" s="140"/>
      <c r="D7669" s="140"/>
      <c r="E7669" s="140"/>
      <c r="F7669" s="140"/>
      <c r="G7669" s="141"/>
      <c r="H7669" s="140"/>
      <c r="I7669" s="140"/>
      <c r="J7669" s="140"/>
      <c r="K7669" s="140"/>
    </row>
    <row r="7670">
      <c r="A7670" s="140"/>
      <c r="B7670" s="140"/>
      <c r="C7670" s="140"/>
      <c r="D7670" s="140"/>
      <c r="E7670" s="140"/>
      <c r="F7670" s="140"/>
      <c r="G7670" s="141"/>
      <c r="H7670" s="140"/>
      <c r="I7670" s="140"/>
      <c r="J7670" s="140"/>
      <c r="K7670" s="140"/>
    </row>
    <row r="7671">
      <c r="A7671" s="140"/>
      <c r="B7671" s="140"/>
      <c r="C7671" s="140"/>
      <c r="D7671" s="140"/>
      <c r="E7671" s="140"/>
      <c r="F7671" s="140"/>
      <c r="G7671" s="141"/>
      <c r="H7671" s="140"/>
      <c r="I7671" s="140"/>
      <c r="J7671" s="140"/>
      <c r="K7671" s="140"/>
    </row>
    <row r="7672">
      <c r="A7672" s="140"/>
      <c r="B7672" s="140"/>
      <c r="C7672" s="140"/>
      <c r="D7672" s="140"/>
      <c r="E7672" s="140"/>
      <c r="F7672" s="140"/>
      <c r="G7672" s="141"/>
      <c r="H7672" s="140"/>
      <c r="I7672" s="140"/>
      <c r="J7672" s="140"/>
      <c r="K7672" s="140"/>
    </row>
    <row r="7673">
      <c r="A7673" s="140"/>
      <c r="B7673" s="140"/>
      <c r="C7673" s="140"/>
      <c r="D7673" s="140"/>
      <c r="E7673" s="140"/>
      <c r="F7673" s="140"/>
      <c r="G7673" s="141"/>
      <c r="H7673" s="140"/>
      <c r="I7673" s="140"/>
      <c r="J7673" s="140"/>
      <c r="K7673" s="140"/>
    </row>
    <row r="7674">
      <c r="A7674" s="140"/>
      <c r="B7674" s="140"/>
      <c r="C7674" s="140"/>
      <c r="D7674" s="140"/>
      <c r="E7674" s="140"/>
      <c r="F7674" s="140"/>
      <c r="G7674" s="141"/>
      <c r="H7674" s="140"/>
      <c r="I7674" s="140"/>
      <c r="J7674" s="140"/>
      <c r="K7674" s="140"/>
    </row>
    <row r="7675">
      <c r="A7675" s="140"/>
      <c r="B7675" s="140"/>
      <c r="C7675" s="140"/>
      <c r="D7675" s="140"/>
      <c r="E7675" s="140"/>
      <c r="F7675" s="140"/>
      <c r="G7675" s="141"/>
      <c r="H7675" s="140"/>
      <c r="I7675" s="140"/>
      <c r="J7675" s="140"/>
      <c r="K7675" s="140"/>
    </row>
    <row r="7676">
      <c r="A7676" s="140"/>
      <c r="B7676" s="140"/>
      <c r="C7676" s="140"/>
      <c r="D7676" s="140"/>
      <c r="E7676" s="140"/>
      <c r="F7676" s="140"/>
      <c r="G7676" s="141"/>
      <c r="H7676" s="140"/>
      <c r="I7676" s="140"/>
      <c r="J7676" s="140"/>
      <c r="K7676" s="140"/>
    </row>
    <row r="7677">
      <c r="A7677" s="140"/>
      <c r="B7677" s="140"/>
      <c r="C7677" s="140"/>
      <c r="D7677" s="140"/>
      <c r="E7677" s="140"/>
      <c r="F7677" s="140"/>
      <c r="G7677" s="141"/>
      <c r="H7677" s="140"/>
      <c r="I7677" s="140"/>
      <c r="J7677" s="140"/>
      <c r="K7677" s="140"/>
    </row>
    <row r="7678">
      <c r="A7678" s="140"/>
      <c r="B7678" s="140"/>
      <c r="C7678" s="140"/>
      <c r="D7678" s="140"/>
      <c r="E7678" s="140"/>
      <c r="F7678" s="140"/>
      <c r="G7678" s="141"/>
      <c r="H7678" s="140"/>
      <c r="I7678" s="140"/>
      <c r="J7678" s="140"/>
      <c r="K7678" s="140"/>
    </row>
    <row r="7679">
      <c r="A7679" s="140"/>
      <c r="B7679" s="140"/>
      <c r="C7679" s="140"/>
      <c r="D7679" s="140"/>
      <c r="E7679" s="140"/>
      <c r="F7679" s="140"/>
      <c r="G7679" s="141"/>
      <c r="H7679" s="140"/>
      <c r="I7679" s="140"/>
      <c r="J7679" s="140"/>
      <c r="K7679" s="140"/>
    </row>
    <row r="7680">
      <c r="A7680" s="140"/>
      <c r="B7680" s="140"/>
      <c r="C7680" s="140"/>
      <c r="D7680" s="140"/>
      <c r="E7680" s="140"/>
      <c r="F7680" s="140"/>
      <c r="G7680" s="141"/>
      <c r="H7680" s="140"/>
      <c r="I7680" s="140"/>
      <c r="J7680" s="140"/>
      <c r="K7680" s="140"/>
    </row>
    <row r="7681">
      <c r="A7681" s="140"/>
      <c r="B7681" s="140"/>
      <c r="C7681" s="140"/>
      <c r="D7681" s="140"/>
      <c r="E7681" s="140"/>
      <c r="F7681" s="140"/>
      <c r="G7681" s="141"/>
      <c r="H7681" s="140"/>
      <c r="I7681" s="140"/>
      <c r="J7681" s="140"/>
      <c r="K7681" s="140"/>
    </row>
    <row r="7682">
      <c r="A7682" s="140"/>
      <c r="B7682" s="140"/>
      <c r="C7682" s="140"/>
      <c r="D7682" s="140"/>
      <c r="E7682" s="140"/>
      <c r="F7682" s="140"/>
      <c r="G7682" s="141"/>
      <c r="H7682" s="140"/>
      <c r="I7682" s="140"/>
      <c r="J7682" s="140"/>
      <c r="K7682" s="140"/>
    </row>
    <row r="7683">
      <c r="A7683" s="140"/>
      <c r="B7683" s="140"/>
      <c r="C7683" s="140"/>
      <c r="D7683" s="140"/>
      <c r="E7683" s="140"/>
      <c r="F7683" s="140"/>
      <c r="G7683" s="141"/>
      <c r="H7683" s="140"/>
      <c r="I7683" s="140"/>
      <c r="J7683" s="140"/>
      <c r="K7683" s="140"/>
    </row>
    <row r="7684">
      <c r="A7684" s="140"/>
      <c r="B7684" s="140"/>
      <c r="C7684" s="140"/>
      <c r="D7684" s="140"/>
      <c r="E7684" s="140"/>
      <c r="F7684" s="140"/>
      <c r="G7684" s="141"/>
      <c r="H7684" s="140"/>
      <c r="I7684" s="140"/>
      <c r="J7684" s="140"/>
      <c r="K7684" s="140"/>
    </row>
    <row r="7685">
      <c r="A7685" s="140"/>
      <c r="B7685" s="140"/>
      <c r="C7685" s="140"/>
      <c r="D7685" s="140"/>
      <c r="E7685" s="140"/>
      <c r="F7685" s="140"/>
      <c r="G7685" s="141"/>
      <c r="H7685" s="140"/>
      <c r="I7685" s="140"/>
      <c r="J7685" s="140"/>
      <c r="K7685" s="140"/>
    </row>
    <row r="7686">
      <c r="A7686" s="140"/>
      <c r="B7686" s="140"/>
      <c r="C7686" s="140"/>
      <c r="D7686" s="140"/>
      <c r="E7686" s="140"/>
      <c r="F7686" s="140"/>
      <c r="G7686" s="141"/>
      <c r="H7686" s="140"/>
      <c r="I7686" s="140"/>
      <c r="J7686" s="140"/>
      <c r="K7686" s="140"/>
    </row>
    <row r="7687">
      <c r="A7687" s="140"/>
      <c r="B7687" s="140"/>
      <c r="C7687" s="140"/>
      <c r="D7687" s="140"/>
      <c r="E7687" s="140"/>
      <c r="F7687" s="140"/>
      <c r="G7687" s="141"/>
      <c r="H7687" s="140"/>
      <c r="I7687" s="140"/>
      <c r="J7687" s="140"/>
      <c r="K7687" s="140"/>
    </row>
    <row r="7688">
      <c r="A7688" s="140"/>
      <c r="B7688" s="140"/>
      <c r="C7688" s="140"/>
      <c r="D7688" s="140"/>
      <c r="E7688" s="140"/>
      <c r="F7688" s="140"/>
      <c r="G7688" s="141"/>
      <c r="H7688" s="140"/>
      <c r="I7688" s="140"/>
      <c r="J7688" s="140"/>
      <c r="K7688" s="140"/>
    </row>
    <row r="7689">
      <c r="A7689" s="140"/>
      <c r="B7689" s="140"/>
      <c r="C7689" s="140"/>
      <c r="D7689" s="140"/>
      <c r="E7689" s="140"/>
      <c r="F7689" s="140"/>
      <c r="G7689" s="141"/>
      <c r="H7689" s="140"/>
      <c r="I7689" s="140"/>
      <c r="J7689" s="140"/>
      <c r="K7689" s="140"/>
    </row>
    <row r="7690">
      <c r="A7690" s="140"/>
      <c r="B7690" s="140"/>
      <c r="C7690" s="140"/>
      <c r="D7690" s="140"/>
      <c r="E7690" s="140"/>
      <c r="F7690" s="140"/>
      <c r="G7690" s="141"/>
      <c r="H7690" s="140"/>
      <c r="I7690" s="140"/>
      <c r="J7690" s="140"/>
      <c r="K7690" s="140"/>
    </row>
    <row r="7691">
      <c r="A7691" s="140"/>
      <c r="B7691" s="140"/>
      <c r="C7691" s="140"/>
      <c r="D7691" s="140"/>
      <c r="E7691" s="140"/>
      <c r="F7691" s="140"/>
      <c r="G7691" s="141"/>
      <c r="H7691" s="140"/>
      <c r="I7691" s="140"/>
      <c r="J7691" s="140"/>
      <c r="K7691" s="140"/>
    </row>
    <row r="7692">
      <c r="A7692" s="140"/>
      <c r="B7692" s="140"/>
      <c r="C7692" s="140"/>
      <c r="D7692" s="140"/>
      <c r="E7692" s="140"/>
      <c r="F7692" s="140"/>
      <c r="G7692" s="141"/>
      <c r="H7692" s="140"/>
      <c r="I7692" s="140"/>
      <c r="J7692" s="140"/>
      <c r="K7692" s="140"/>
    </row>
    <row r="7693">
      <c r="A7693" s="140"/>
      <c r="B7693" s="140"/>
      <c r="C7693" s="140"/>
      <c r="D7693" s="140"/>
      <c r="E7693" s="140"/>
      <c r="F7693" s="140"/>
      <c r="G7693" s="141"/>
      <c r="H7693" s="140"/>
      <c r="I7693" s="140"/>
      <c r="J7693" s="140"/>
      <c r="K7693" s="140"/>
    </row>
    <row r="7694">
      <c r="A7694" s="140"/>
      <c r="B7694" s="140"/>
      <c r="C7694" s="140"/>
      <c r="D7694" s="140"/>
      <c r="E7694" s="140"/>
      <c r="F7694" s="140"/>
      <c r="G7694" s="141"/>
      <c r="H7694" s="140"/>
      <c r="I7694" s="140"/>
      <c r="J7694" s="140"/>
      <c r="K7694" s="140"/>
    </row>
    <row r="7695">
      <c r="A7695" s="140"/>
      <c r="B7695" s="140"/>
      <c r="C7695" s="140"/>
      <c r="D7695" s="140"/>
      <c r="E7695" s="140"/>
      <c r="F7695" s="140"/>
      <c r="G7695" s="141"/>
      <c r="H7695" s="140"/>
      <c r="I7695" s="140"/>
      <c r="J7695" s="140"/>
      <c r="K7695" s="140"/>
    </row>
    <row r="7696">
      <c r="A7696" s="140"/>
      <c r="B7696" s="140"/>
      <c r="C7696" s="140"/>
      <c r="D7696" s="140"/>
      <c r="E7696" s="140"/>
      <c r="F7696" s="140"/>
      <c r="G7696" s="141"/>
      <c r="H7696" s="140"/>
      <c r="I7696" s="140"/>
      <c r="J7696" s="140"/>
      <c r="K7696" s="140"/>
    </row>
    <row r="7697">
      <c r="A7697" s="140"/>
      <c r="B7697" s="140"/>
      <c r="C7697" s="140"/>
      <c r="D7697" s="140"/>
      <c r="E7697" s="140"/>
      <c r="F7697" s="140"/>
      <c r="G7697" s="141"/>
      <c r="H7697" s="140"/>
      <c r="I7697" s="140"/>
      <c r="J7697" s="140"/>
      <c r="K7697" s="140"/>
    </row>
    <row r="7698">
      <c r="A7698" s="140"/>
      <c r="B7698" s="140"/>
      <c r="C7698" s="140"/>
      <c r="D7698" s="140"/>
      <c r="E7698" s="140"/>
      <c r="F7698" s="140"/>
      <c r="G7698" s="141"/>
      <c r="H7698" s="140"/>
      <c r="I7698" s="140"/>
      <c r="J7698" s="140"/>
      <c r="K7698" s="140"/>
    </row>
    <row r="7699">
      <c r="A7699" s="140"/>
      <c r="B7699" s="140"/>
      <c r="C7699" s="140"/>
      <c r="D7699" s="140"/>
      <c r="E7699" s="140"/>
      <c r="F7699" s="140"/>
      <c r="G7699" s="141"/>
      <c r="H7699" s="140"/>
      <c r="I7699" s="140"/>
      <c r="J7699" s="140"/>
      <c r="K7699" s="140"/>
    </row>
    <row r="7700">
      <c r="A7700" s="140"/>
      <c r="B7700" s="140"/>
      <c r="C7700" s="140"/>
      <c r="D7700" s="140"/>
      <c r="E7700" s="140"/>
      <c r="F7700" s="140"/>
      <c r="G7700" s="141"/>
      <c r="H7700" s="140"/>
      <c r="I7700" s="140"/>
      <c r="J7700" s="140"/>
      <c r="K7700" s="140"/>
    </row>
    <row r="7701">
      <c r="A7701" s="140"/>
      <c r="B7701" s="140"/>
      <c r="C7701" s="140"/>
      <c r="D7701" s="140"/>
      <c r="E7701" s="140"/>
      <c r="F7701" s="140"/>
      <c r="G7701" s="141"/>
      <c r="H7701" s="140"/>
      <c r="I7701" s="140"/>
      <c r="J7701" s="140"/>
      <c r="K7701" s="140"/>
    </row>
    <row r="7702">
      <c r="A7702" s="140"/>
      <c r="B7702" s="140"/>
      <c r="C7702" s="140"/>
      <c r="D7702" s="140"/>
      <c r="E7702" s="140"/>
      <c r="F7702" s="140"/>
      <c r="G7702" s="141"/>
      <c r="H7702" s="140"/>
      <c r="I7702" s="140"/>
      <c r="J7702" s="140"/>
      <c r="K7702" s="140"/>
    </row>
    <row r="7703">
      <c r="A7703" s="140"/>
      <c r="B7703" s="140"/>
      <c r="C7703" s="140"/>
      <c r="D7703" s="140"/>
      <c r="E7703" s="140"/>
      <c r="F7703" s="140"/>
      <c r="G7703" s="141"/>
      <c r="H7703" s="140"/>
      <c r="I7703" s="140"/>
      <c r="J7703" s="140"/>
      <c r="K7703" s="140"/>
    </row>
    <row r="7704">
      <c r="A7704" s="140"/>
      <c r="B7704" s="140"/>
      <c r="C7704" s="140"/>
      <c r="D7704" s="140"/>
      <c r="E7704" s="140"/>
      <c r="F7704" s="140"/>
      <c r="G7704" s="141"/>
      <c r="H7704" s="140"/>
      <c r="I7704" s="140"/>
      <c r="J7704" s="140"/>
      <c r="K7704" s="140"/>
    </row>
    <row r="7705">
      <c r="A7705" s="140"/>
      <c r="B7705" s="140"/>
      <c r="C7705" s="140"/>
      <c r="D7705" s="140"/>
      <c r="E7705" s="140"/>
      <c r="F7705" s="140"/>
      <c r="G7705" s="141"/>
      <c r="H7705" s="140"/>
      <c r="I7705" s="140"/>
      <c r="J7705" s="140"/>
      <c r="K7705" s="140"/>
    </row>
    <row r="7706">
      <c r="A7706" s="140"/>
      <c r="B7706" s="140"/>
      <c r="C7706" s="140"/>
      <c r="D7706" s="140"/>
      <c r="E7706" s="140"/>
      <c r="F7706" s="140"/>
      <c r="G7706" s="141"/>
      <c r="H7706" s="140"/>
      <c r="I7706" s="140"/>
      <c r="J7706" s="140"/>
      <c r="K7706" s="140"/>
    </row>
    <row r="7707">
      <c r="A7707" s="140"/>
      <c r="B7707" s="140"/>
      <c r="C7707" s="140"/>
      <c r="D7707" s="140"/>
      <c r="E7707" s="140"/>
      <c r="F7707" s="140"/>
      <c r="G7707" s="141"/>
      <c r="H7707" s="140"/>
      <c r="I7707" s="140"/>
      <c r="J7707" s="140"/>
      <c r="K7707" s="140"/>
    </row>
    <row r="7708">
      <c r="A7708" s="140"/>
      <c r="B7708" s="140"/>
      <c r="C7708" s="140"/>
      <c r="D7708" s="140"/>
      <c r="E7708" s="140"/>
      <c r="F7708" s="140"/>
      <c r="G7708" s="141"/>
      <c r="H7708" s="140"/>
      <c r="I7708" s="140"/>
      <c r="J7708" s="140"/>
      <c r="K7708" s="140"/>
    </row>
    <row r="7709">
      <c r="A7709" s="140"/>
      <c r="B7709" s="140"/>
      <c r="C7709" s="140"/>
      <c r="D7709" s="140"/>
      <c r="E7709" s="140"/>
      <c r="F7709" s="140"/>
      <c r="G7709" s="141"/>
      <c r="H7709" s="140"/>
      <c r="I7709" s="140"/>
      <c r="J7709" s="140"/>
      <c r="K7709" s="140"/>
    </row>
    <row r="7710">
      <c r="A7710" s="140"/>
      <c r="B7710" s="140"/>
      <c r="C7710" s="140"/>
      <c r="D7710" s="140"/>
      <c r="E7710" s="140"/>
      <c r="F7710" s="140"/>
      <c r="G7710" s="141"/>
      <c r="H7710" s="140"/>
      <c r="I7710" s="140"/>
      <c r="J7710" s="140"/>
      <c r="K7710" s="140"/>
    </row>
    <row r="7711">
      <c r="A7711" s="140"/>
      <c r="B7711" s="140"/>
      <c r="C7711" s="140"/>
      <c r="D7711" s="140"/>
      <c r="E7711" s="140"/>
      <c r="F7711" s="140"/>
      <c r="G7711" s="141"/>
      <c r="H7711" s="140"/>
      <c r="I7711" s="140"/>
      <c r="J7711" s="140"/>
      <c r="K7711" s="140"/>
    </row>
    <row r="7712">
      <c r="A7712" s="140"/>
      <c r="B7712" s="140"/>
      <c r="C7712" s="140"/>
      <c r="D7712" s="140"/>
      <c r="E7712" s="140"/>
      <c r="F7712" s="140"/>
      <c r="G7712" s="141"/>
      <c r="H7712" s="140"/>
      <c r="I7712" s="140"/>
      <c r="J7712" s="140"/>
      <c r="K7712" s="140"/>
    </row>
    <row r="7713">
      <c r="A7713" s="140"/>
      <c r="B7713" s="140"/>
      <c r="C7713" s="140"/>
      <c r="D7713" s="140"/>
      <c r="E7713" s="140"/>
      <c r="F7713" s="140"/>
      <c r="G7713" s="141"/>
      <c r="H7713" s="140"/>
      <c r="I7713" s="140"/>
      <c r="J7713" s="140"/>
      <c r="K7713" s="140"/>
    </row>
    <row r="7714">
      <c r="A7714" s="140"/>
      <c r="B7714" s="140"/>
      <c r="C7714" s="140"/>
      <c r="D7714" s="140"/>
      <c r="E7714" s="140"/>
      <c r="F7714" s="140"/>
      <c r="G7714" s="141"/>
      <c r="H7714" s="140"/>
      <c r="I7714" s="140"/>
      <c r="J7714" s="140"/>
      <c r="K7714" s="140"/>
    </row>
    <row r="7715">
      <c r="A7715" s="140"/>
      <c r="B7715" s="140"/>
      <c r="C7715" s="140"/>
      <c r="D7715" s="140"/>
      <c r="E7715" s="140"/>
      <c r="F7715" s="140"/>
      <c r="G7715" s="141"/>
      <c r="H7715" s="140"/>
      <c r="I7715" s="140"/>
      <c r="J7715" s="140"/>
      <c r="K7715" s="140"/>
    </row>
    <row r="7716">
      <c r="A7716" s="140"/>
      <c r="B7716" s="140"/>
      <c r="C7716" s="140"/>
      <c r="D7716" s="140"/>
      <c r="E7716" s="140"/>
      <c r="F7716" s="140"/>
      <c r="G7716" s="141"/>
      <c r="H7716" s="140"/>
      <c r="I7716" s="140"/>
      <c r="J7716" s="140"/>
      <c r="K7716" s="140"/>
    </row>
    <row r="7717">
      <c r="A7717" s="140"/>
      <c r="B7717" s="140"/>
      <c r="C7717" s="140"/>
      <c r="D7717" s="140"/>
      <c r="E7717" s="140"/>
      <c r="F7717" s="140"/>
      <c r="G7717" s="141"/>
      <c r="H7717" s="140"/>
      <c r="I7717" s="140"/>
      <c r="J7717" s="140"/>
      <c r="K7717" s="140"/>
    </row>
    <row r="7718">
      <c r="A7718" s="140"/>
      <c r="B7718" s="140"/>
      <c r="C7718" s="140"/>
      <c r="D7718" s="140"/>
      <c r="E7718" s="140"/>
      <c r="F7718" s="140"/>
      <c r="G7718" s="141"/>
      <c r="H7718" s="140"/>
      <c r="I7718" s="140"/>
      <c r="J7718" s="140"/>
      <c r="K7718" s="140"/>
    </row>
    <row r="7719">
      <c r="A7719" s="140"/>
      <c r="B7719" s="140"/>
      <c r="C7719" s="140"/>
      <c r="D7719" s="140"/>
      <c r="E7719" s="140"/>
      <c r="F7719" s="140"/>
      <c r="G7719" s="141"/>
      <c r="H7719" s="140"/>
      <c r="I7719" s="140"/>
      <c r="J7719" s="140"/>
      <c r="K7719" s="140"/>
    </row>
    <row r="7720">
      <c r="A7720" s="140"/>
      <c r="B7720" s="140"/>
      <c r="C7720" s="140"/>
      <c r="D7720" s="140"/>
      <c r="E7720" s="140"/>
      <c r="F7720" s="140"/>
      <c r="G7720" s="141"/>
      <c r="H7720" s="140"/>
      <c r="I7720" s="140"/>
      <c r="J7720" s="140"/>
      <c r="K7720" s="140"/>
    </row>
    <row r="7721">
      <c r="A7721" s="140"/>
      <c r="B7721" s="140"/>
      <c r="C7721" s="140"/>
      <c r="D7721" s="140"/>
      <c r="E7721" s="140"/>
      <c r="F7721" s="140"/>
      <c r="G7721" s="141"/>
      <c r="H7721" s="140"/>
      <c r="I7721" s="140"/>
      <c r="J7721" s="140"/>
      <c r="K7721" s="140"/>
    </row>
    <row r="7722">
      <c r="A7722" s="140"/>
      <c r="B7722" s="140"/>
      <c r="C7722" s="140"/>
      <c r="D7722" s="140"/>
      <c r="E7722" s="140"/>
      <c r="F7722" s="140"/>
      <c r="G7722" s="141"/>
      <c r="H7722" s="140"/>
      <c r="I7722" s="140"/>
      <c r="J7722" s="140"/>
      <c r="K7722" s="140"/>
    </row>
    <row r="7723">
      <c r="A7723" s="140"/>
      <c r="B7723" s="140"/>
      <c r="C7723" s="140"/>
      <c r="D7723" s="140"/>
      <c r="E7723" s="140"/>
      <c r="F7723" s="140"/>
      <c r="G7723" s="141"/>
      <c r="H7723" s="140"/>
      <c r="I7723" s="140"/>
      <c r="J7723" s="140"/>
      <c r="K7723" s="140"/>
    </row>
    <row r="7724">
      <c r="A7724" s="140"/>
      <c r="B7724" s="140"/>
      <c r="C7724" s="140"/>
      <c r="D7724" s="140"/>
      <c r="E7724" s="140"/>
      <c r="F7724" s="140"/>
      <c r="G7724" s="141"/>
      <c r="H7724" s="140"/>
      <c r="I7724" s="140"/>
      <c r="J7724" s="140"/>
      <c r="K7724" s="140"/>
    </row>
    <row r="7725">
      <c r="A7725" s="140"/>
      <c r="B7725" s="140"/>
      <c r="C7725" s="140"/>
      <c r="D7725" s="140"/>
      <c r="E7725" s="140"/>
      <c r="F7725" s="140"/>
      <c r="G7725" s="141"/>
      <c r="H7725" s="140"/>
      <c r="I7725" s="140"/>
      <c r="J7725" s="140"/>
      <c r="K7725" s="140"/>
    </row>
    <row r="7726">
      <c r="A7726" s="140"/>
      <c r="B7726" s="140"/>
      <c r="C7726" s="140"/>
      <c r="D7726" s="140"/>
      <c r="E7726" s="140"/>
      <c r="F7726" s="140"/>
      <c r="G7726" s="141"/>
      <c r="H7726" s="140"/>
      <c r="I7726" s="140"/>
      <c r="J7726" s="140"/>
      <c r="K7726" s="140"/>
    </row>
    <row r="7727">
      <c r="A7727" s="140"/>
      <c r="B7727" s="140"/>
      <c r="C7727" s="140"/>
      <c r="D7727" s="140"/>
      <c r="E7727" s="140"/>
      <c r="F7727" s="140"/>
      <c r="G7727" s="141"/>
      <c r="H7727" s="140"/>
      <c r="I7727" s="140"/>
      <c r="J7727" s="140"/>
      <c r="K7727" s="140"/>
    </row>
    <row r="7728">
      <c r="A7728" s="140"/>
      <c r="B7728" s="140"/>
      <c r="C7728" s="140"/>
      <c r="D7728" s="140"/>
      <c r="E7728" s="140"/>
      <c r="F7728" s="140"/>
      <c r="G7728" s="141"/>
      <c r="H7728" s="140"/>
      <c r="I7728" s="140"/>
      <c r="J7728" s="140"/>
      <c r="K7728" s="140"/>
    </row>
    <row r="7729">
      <c r="A7729" s="140"/>
      <c r="B7729" s="140"/>
      <c r="C7729" s="140"/>
      <c r="D7729" s="140"/>
      <c r="E7729" s="140"/>
      <c r="F7729" s="140"/>
      <c r="G7729" s="141"/>
      <c r="H7729" s="140"/>
      <c r="I7729" s="140"/>
      <c r="J7729" s="140"/>
      <c r="K7729" s="140"/>
    </row>
    <row r="7730">
      <c r="A7730" s="140"/>
      <c r="B7730" s="140"/>
      <c r="C7730" s="140"/>
      <c r="D7730" s="140"/>
      <c r="E7730" s="140"/>
      <c r="F7730" s="140"/>
      <c r="G7730" s="141"/>
      <c r="H7730" s="140"/>
      <c r="I7730" s="140"/>
      <c r="J7730" s="140"/>
      <c r="K7730" s="140"/>
    </row>
    <row r="7731">
      <c r="A7731" s="140"/>
      <c r="B7731" s="140"/>
      <c r="C7731" s="140"/>
      <c r="D7731" s="140"/>
      <c r="E7731" s="140"/>
      <c r="F7731" s="140"/>
      <c r="G7731" s="141"/>
      <c r="H7731" s="140"/>
      <c r="I7731" s="140"/>
      <c r="J7731" s="140"/>
      <c r="K7731" s="140"/>
    </row>
    <row r="7732">
      <c r="A7732" s="140"/>
      <c r="B7732" s="140"/>
      <c r="C7732" s="140"/>
      <c r="D7732" s="140"/>
      <c r="E7732" s="140"/>
      <c r="F7732" s="140"/>
      <c r="G7732" s="141"/>
      <c r="H7732" s="140"/>
      <c r="I7732" s="140"/>
      <c r="J7732" s="140"/>
      <c r="K7732" s="140"/>
    </row>
    <row r="7733">
      <c r="A7733" s="140"/>
      <c r="B7733" s="140"/>
      <c r="C7733" s="140"/>
      <c r="D7733" s="140"/>
      <c r="E7733" s="140"/>
      <c r="F7733" s="140"/>
      <c r="G7733" s="141"/>
      <c r="H7733" s="140"/>
      <c r="I7733" s="140"/>
      <c r="J7733" s="140"/>
      <c r="K7733" s="140"/>
    </row>
    <row r="7734">
      <c r="A7734" s="140"/>
      <c r="B7734" s="140"/>
      <c r="C7734" s="140"/>
      <c r="D7734" s="140"/>
      <c r="E7734" s="140"/>
      <c r="F7734" s="140"/>
      <c r="G7734" s="141"/>
      <c r="H7734" s="140"/>
      <c r="I7734" s="140"/>
      <c r="J7734" s="140"/>
      <c r="K7734" s="140"/>
    </row>
    <row r="7735">
      <c r="A7735" s="140"/>
      <c r="B7735" s="140"/>
      <c r="C7735" s="140"/>
      <c r="D7735" s="140"/>
      <c r="E7735" s="140"/>
      <c r="F7735" s="140"/>
      <c r="G7735" s="141"/>
      <c r="H7735" s="140"/>
      <c r="I7735" s="140"/>
      <c r="J7735" s="140"/>
      <c r="K7735" s="140"/>
    </row>
    <row r="7736">
      <c r="A7736" s="140"/>
      <c r="B7736" s="140"/>
      <c r="C7736" s="140"/>
      <c r="D7736" s="140"/>
      <c r="E7736" s="140"/>
      <c r="F7736" s="140"/>
      <c r="G7736" s="141"/>
      <c r="H7736" s="140"/>
      <c r="I7736" s="140"/>
      <c r="J7736" s="140"/>
      <c r="K7736" s="140"/>
    </row>
    <row r="7737">
      <c r="A7737" s="140"/>
      <c r="B7737" s="140"/>
      <c r="C7737" s="140"/>
      <c r="D7737" s="140"/>
      <c r="E7737" s="140"/>
      <c r="F7737" s="140"/>
      <c r="G7737" s="141"/>
      <c r="H7737" s="140"/>
      <c r="I7737" s="140"/>
      <c r="J7737" s="140"/>
      <c r="K7737" s="140"/>
    </row>
    <row r="7738">
      <c r="A7738" s="140"/>
      <c r="B7738" s="140"/>
      <c r="C7738" s="140"/>
      <c r="D7738" s="140"/>
      <c r="E7738" s="140"/>
      <c r="F7738" s="140"/>
      <c r="G7738" s="141"/>
      <c r="H7738" s="140"/>
      <c r="I7738" s="140"/>
      <c r="J7738" s="140"/>
      <c r="K7738" s="140"/>
    </row>
    <row r="7739">
      <c r="A7739" s="140"/>
      <c r="B7739" s="140"/>
      <c r="C7739" s="140"/>
      <c r="D7739" s="140"/>
      <c r="E7739" s="140"/>
      <c r="F7739" s="140"/>
      <c r="G7739" s="141"/>
      <c r="H7739" s="140"/>
      <c r="I7739" s="140"/>
      <c r="J7739" s="140"/>
      <c r="K7739" s="140"/>
    </row>
    <row r="7740">
      <c r="A7740" s="140"/>
      <c r="B7740" s="140"/>
      <c r="C7740" s="140"/>
      <c r="D7740" s="140"/>
      <c r="E7740" s="140"/>
      <c r="F7740" s="140"/>
      <c r="G7740" s="141"/>
      <c r="H7740" s="140"/>
      <c r="I7740" s="140"/>
      <c r="J7740" s="140"/>
      <c r="K7740" s="140"/>
    </row>
    <row r="7741">
      <c r="A7741" s="140"/>
      <c r="B7741" s="140"/>
      <c r="C7741" s="140"/>
      <c r="D7741" s="140"/>
      <c r="E7741" s="140"/>
      <c r="F7741" s="140"/>
      <c r="G7741" s="141"/>
      <c r="H7741" s="140"/>
      <c r="I7741" s="140"/>
      <c r="J7741" s="140"/>
      <c r="K7741" s="140"/>
    </row>
    <row r="7742">
      <c r="A7742" s="140"/>
      <c r="B7742" s="140"/>
      <c r="C7742" s="140"/>
      <c r="D7742" s="140"/>
      <c r="E7742" s="140"/>
      <c r="F7742" s="140"/>
      <c r="G7742" s="141"/>
      <c r="H7742" s="140"/>
      <c r="I7742" s="140"/>
      <c r="J7742" s="140"/>
      <c r="K7742" s="140"/>
    </row>
    <row r="7743">
      <c r="A7743" s="140"/>
      <c r="B7743" s="140"/>
      <c r="C7743" s="140"/>
      <c r="D7743" s="140"/>
      <c r="E7743" s="140"/>
      <c r="F7743" s="140"/>
      <c r="G7743" s="141"/>
      <c r="H7743" s="140"/>
      <c r="I7743" s="140"/>
      <c r="J7743" s="140"/>
      <c r="K7743" s="140"/>
    </row>
    <row r="7744">
      <c r="A7744" s="140"/>
      <c r="B7744" s="140"/>
      <c r="C7744" s="140"/>
      <c r="D7744" s="140"/>
      <c r="E7744" s="140"/>
      <c r="F7744" s="140"/>
      <c r="G7744" s="141"/>
      <c r="H7744" s="140"/>
      <c r="I7744" s="140"/>
      <c r="J7744" s="140"/>
      <c r="K7744" s="140"/>
    </row>
    <row r="7745">
      <c r="A7745" s="140"/>
      <c r="B7745" s="140"/>
      <c r="C7745" s="140"/>
      <c r="D7745" s="140"/>
      <c r="E7745" s="140"/>
      <c r="F7745" s="140"/>
      <c r="G7745" s="141"/>
      <c r="H7745" s="140"/>
      <c r="I7745" s="140"/>
      <c r="J7745" s="140"/>
      <c r="K7745" s="140"/>
    </row>
    <row r="7746">
      <c r="A7746" s="140"/>
      <c r="B7746" s="140"/>
      <c r="C7746" s="140"/>
      <c r="D7746" s="140"/>
      <c r="E7746" s="140"/>
      <c r="F7746" s="140"/>
      <c r="G7746" s="141"/>
      <c r="H7746" s="140"/>
      <c r="I7746" s="140"/>
      <c r="J7746" s="140"/>
      <c r="K7746" s="140"/>
    </row>
    <row r="7747">
      <c r="A7747" s="140"/>
      <c r="B7747" s="140"/>
      <c r="C7747" s="140"/>
      <c r="D7747" s="140"/>
      <c r="E7747" s="140"/>
      <c r="F7747" s="140"/>
      <c r="G7747" s="141"/>
      <c r="H7747" s="140"/>
      <c r="I7747" s="140"/>
      <c r="J7747" s="140"/>
      <c r="K7747" s="140"/>
    </row>
    <row r="7748">
      <c r="A7748" s="140"/>
      <c r="B7748" s="140"/>
      <c r="C7748" s="140"/>
      <c r="D7748" s="140"/>
      <c r="E7748" s="140"/>
      <c r="F7748" s="140"/>
      <c r="G7748" s="141"/>
      <c r="H7748" s="140"/>
      <c r="I7748" s="140"/>
      <c r="J7748" s="140"/>
      <c r="K7748" s="140"/>
    </row>
    <row r="7749">
      <c r="A7749" s="140"/>
      <c r="B7749" s="140"/>
      <c r="C7749" s="140"/>
      <c r="D7749" s="140"/>
      <c r="E7749" s="140"/>
      <c r="F7749" s="140"/>
      <c r="G7749" s="141"/>
      <c r="H7749" s="140"/>
      <c r="I7749" s="140"/>
      <c r="J7749" s="140"/>
      <c r="K7749" s="140"/>
    </row>
    <row r="7750">
      <c r="A7750" s="140"/>
      <c r="B7750" s="140"/>
      <c r="C7750" s="140"/>
      <c r="D7750" s="140"/>
      <c r="E7750" s="140"/>
      <c r="F7750" s="140"/>
      <c r="G7750" s="141"/>
      <c r="H7750" s="140"/>
      <c r="I7750" s="140"/>
      <c r="J7750" s="140"/>
      <c r="K7750" s="140"/>
    </row>
    <row r="7751">
      <c r="A7751" s="140"/>
      <c r="B7751" s="140"/>
      <c r="C7751" s="140"/>
      <c r="D7751" s="140"/>
      <c r="E7751" s="140"/>
      <c r="F7751" s="140"/>
      <c r="G7751" s="141"/>
      <c r="H7751" s="140"/>
      <c r="I7751" s="140"/>
      <c r="J7751" s="140"/>
      <c r="K7751" s="140"/>
    </row>
    <row r="7752">
      <c r="A7752" s="140"/>
      <c r="B7752" s="140"/>
      <c r="C7752" s="140"/>
      <c r="D7752" s="140"/>
      <c r="E7752" s="140"/>
      <c r="F7752" s="140"/>
      <c r="G7752" s="141"/>
      <c r="H7752" s="140"/>
      <c r="I7752" s="140"/>
      <c r="J7752" s="140"/>
      <c r="K7752" s="140"/>
    </row>
    <row r="7753">
      <c r="A7753" s="140"/>
      <c r="B7753" s="140"/>
      <c r="C7753" s="140"/>
      <c r="D7753" s="140"/>
      <c r="E7753" s="140"/>
      <c r="F7753" s="140"/>
      <c r="G7753" s="141"/>
      <c r="H7753" s="140"/>
      <c r="I7753" s="140"/>
      <c r="J7753" s="140"/>
      <c r="K7753" s="140"/>
    </row>
    <row r="7754">
      <c r="A7754" s="140"/>
      <c r="B7754" s="140"/>
      <c r="C7754" s="140"/>
      <c r="D7754" s="140"/>
      <c r="E7754" s="140"/>
      <c r="F7754" s="140"/>
      <c r="G7754" s="141"/>
      <c r="H7754" s="140"/>
      <c r="I7754" s="140"/>
      <c r="J7754" s="140"/>
      <c r="K7754" s="140"/>
    </row>
    <row r="7755">
      <c r="A7755" s="140"/>
      <c r="B7755" s="140"/>
      <c r="C7755" s="140"/>
      <c r="D7755" s="140"/>
      <c r="E7755" s="140"/>
      <c r="F7755" s="140"/>
      <c r="G7755" s="141"/>
      <c r="H7755" s="140"/>
      <c r="I7755" s="140"/>
      <c r="J7755" s="140"/>
      <c r="K7755" s="140"/>
    </row>
    <row r="7756">
      <c r="A7756" s="140"/>
      <c r="B7756" s="140"/>
      <c r="C7756" s="140"/>
      <c r="D7756" s="140"/>
      <c r="E7756" s="140"/>
      <c r="F7756" s="140"/>
      <c r="G7756" s="141"/>
      <c r="H7756" s="140"/>
      <c r="I7756" s="140"/>
      <c r="J7756" s="140"/>
      <c r="K7756" s="140"/>
    </row>
    <row r="7757">
      <c r="A7757" s="140"/>
      <c r="B7757" s="140"/>
      <c r="C7757" s="140"/>
      <c r="D7757" s="140"/>
      <c r="E7757" s="140"/>
      <c r="F7757" s="140"/>
      <c r="G7757" s="141"/>
      <c r="H7757" s="140"/>
      <c r="I7757" s="140"/>
      <c r="J7757" s="140"/>
      <c r="K7757" s="140"/>
    </row>
    <row r="7758">
      <c r="A7758" s="140"/>
      <c r="B7758" s="140"/>
      <c r="C7758" s="140"/>
      <c r="D7758" s="140"/>
      <c r="E7758" s="140"/>
      <c r="F7758" s="140"/>
      <c r="G7758" s="141"/>
      <c r="H7758" s="140"/>
      <c r="I7758" s="140"/>
      <c r="J7758" s="140"/>
      <c r="K7758" s="140"/>
    </row>
    <row r="7759">
      <c r="A7759" s="140"/>
      <c r="B7759" s="140"/>
      <c r="C7759" s="140"/>
      <c r="D7759" s="140"/>
      <c r="E7759" s="140"/>
      <c r="F7759" s="140"/>
      <c r="G7759" s="141"/>
      <c r="H7759" s="140"/>
      <c r="I7759" s="140"/>
      <c r="J7759" s="140"/>
      <c r="K7759" s="140"/>
    </row>
    <row r="7760">
      <c r="A7760" s="140"/>
      <c r="B7760" s="140"/>
      <c r="C7760" s="140"/>
      <c r="D7760" s="140"/>
      <c r="E7760" s="140"/>
      <c r="F7760" s="140"/>
      <c r="G7760" s="141"/>
      <c r="H7760" s="140"/>
      <c r="I7760" s="140"/>
      <c r="J7760" s="140"/>
      <c r="K7760" s="140"/>
    </row>
    <row r="7761">
      <c r="A7761" s="140"/>
      <c r="B7761" s="140"/>
      <c r="C7761" s="140"/>
      <c r="D7761" s="140"/>
      <c r="E7761" s="140"/>
      <c r="F7761" s="140"/>
      <c r="G7761" s="141"/>
      <c r="H7761" s="140"/>
      <c r="I7761" s="140"/>
      <c r="J7761" s="140"/>
      <c r="K7761" s="140"/>
    </row>
    <row r="7762">
      <c r="A7762" s="140"/>
      <c r="B7762" s="140"/>
      <c r="C7762" s="140"/>
      <c r="D7762" s="140"/>
      <c r="E7762" s="140"/>
      <c r="F7762" s="140"/>
      <c r="G7762" s="141"/>
      <c r="H7762" s="140"/>
      <c r="I7762" s="140"/>
      <c r="J7762" s="140"/>
      <c r="K7762" s="140"/>
    </row>
    <row r="7763">
      <c r="A7763" s="140"/>
      <c r="B7763" s="140"/>
      <c r="C7763" s="140"/>
      <c r="D7763" s="140"/>
      <c r="E7763" s="140"/>
      <c r="F7763" s="140"/>
      <c r="G7763" s="141"/>
      <c r="H7763" s="140"/>
      <c r="I7763" s="140"/>
      <c r="J7763" s="140"/>
      <c r="K7763" s="140"/>
    </row>
    <row r="7764">
      <c r="A7764" s="140"/>
      <c r="B7764" s="140"/>
      <c r="C7764" s="140"/>
      <c r="D7764" s="140"/>
      <c r="E7764" s="140"/>
      <c r="F7764" s="140"/>
      <c r="G7764" s="141"/>
      <c r="H7764" s="140"/>
      <c r="I7764" s="140"/>
      <c r="J7764" s="140"/>
      <c r="K7764" s="140"/>
    </row>
    <row r="7765">
      <c r="A7765" s="140"/>
      <c r="B7765" s="140"/>
      <c r="C7765" s="140"/>
      <c r="D7765" s="140"/>
      <c r="E7765" s="140"/>
      <c r="F7765" s="140"/>
      <c r="G7765" s="141"/>
      <c r="H7765" s="140"/>
      <c r="I7765" s="140"/>
      <c r="J7765" s="140"/>
      <c r="K7765" s="140"/>
    </row>
    <row r="7766">
      <c r="A7766" s="140"/>
      <c r="B7766" s="140"/>
      <c r="C7766" s="140"/>
      <c r="D7766" s="140"/>
      <c r="E7766" s="140"/>
      <c r="F7766" s="140"/>
      <c r="G7766" s="141"/>
      <c r="H7766" s="140"/>
      <c r="I7766" s="140"/>
      <c r="J7766" s="140"/>
      <c r="K7766" s="140"/>
    </row>
    <row r="7767">
      <c r="A7767" s="140"/>
      <c r="B7767" s="140"/>
      <c r="C7767" s="140"/>
      <c r="D7767" s="140"/>
      <c r="E7767" s="140"/>
      <c r="F7767" s="140"/>
      <c r="G7767" s="141"/>
      <c r="H7767" s="140"/>
      <c r="I7767" s="140"/>
      <c r="J7767" s="140"/>
      <c r="K7767" s="140"/>
    </row>
    <row r="7768">
      <c r="A7768" s="140"/>
      <c r="B7768" s="140"/>
      <c r="C7768" s="140"/>
      <c r="D7768" s="140"/>
      <c r="E7768" s="140"/>
      <c r="F7768" s="140"/>
      <c r="G7768" s="141"/>
      <c r="H7768" s="140"/>
      <c r="I7768" s="140"/>
      <c r="J7768" s="140"/>
      <c r="K7768" s="140"/>
    </row>
    <row r="7769">
      <c r="A7769" s="140"/>
      <c r="B7769" s="140"/>
      <c r="C7769" s="140"/>
      <c r="D7769" s="140"/>
      <c r="E7769" s="140"/>
      <c r="F7769" s="140"/>
      <c r="G7769" s="141"/>
      <c r="H7769" s="140"/>
      <c r="I7769" s="140"/>
      <c r="J7769" s="140"/>
      <c r="K7769" s="140"/>
    </row>
    <row r="7770">
      <c r="A7770" s="140"/>
      <c r="B7770" s="140"/>
      <c r="C7770" s="140"/>
      <c r="D7770" s="140"/>
      <c r="E7770" s="140"/>
      <c r="F7770" s="140"/>
      <c r="G7770" s="141"/>
      <c r="H7770" s="140"/>
      <c r="I7770" s="140"/>
      <c r="J7770" s="140"/>
      <c r="K7770" s="140"/>
    </row>
    <row r="7771">
      <c r="A7771" s="140"/>
      <c r="B7771" s="140"/>
      <c r="C7771" s="140"/>
      <c r="D7771" s="140"/>
      <c r="E7771" s="140"/>
      <c r="F7771" s="140"/>
      <c r="G7771" s="141"/>
      <c r="H7771" s="140"/>
      <c r="I7771" s="140"/>
      <c r="J7771" s="140"/>
      <c r="K7771" s="140"/>
    </row>
    <row r="7772">
      <c r="A7772" s="140"/>
      <c r="B7772" s="140"/>
      <c r="C7772" s="140"/>
      <c r="D7772" s="140"/>
      <c r="E7772" s="140"/>
      <c r="F7772" s="140"/>
      <c r="G7772" s="141"/>
      <c r="H7772" s="140"/>
      <c r="I7772" s="140"/>
      <c r="J7772" s="140"/>
      <c r="K7772" s="140"/>
    </row>
    <row r="7773">
      <c r="A7773" s="140"/>
      <c r="B7773" s="140"/>
      <c r="C7773" s="140"/>
      <c r="D7773" s="140"/>
      <c r="E7773" s="140"/>
      <c r="F7773" s="140"/>
      <c r="G7773" s="141"/>
      <c r="H7773" s="140"/>
      <c r="I7773" s="140"/>
      <c r="J7773" s="140"/>
      <c r="K7773" s="140"/>
    </row>
    <row r="7774">
      <c r="A7774" s="140"/>
      <c r="B7774" s="140"/>
      <c r="C7774" s="140"/>
      <c r="D7774" s="140"/>
      <c r="E7774" s="140"/>
      <c r="F7774" s="140"/>
      <c r="G7774" s="141"/>
      <c r="H7774" s="140"/>
      <c r="I7774" s="140"/>
      <c r="J7774" s="140"/>
      <c r="K7774" s="140"/>
    </row>
    <row r="7775">
      <c r="A7775" s="140"/>
      <c r="B7775" s="140"/>
      <c r="C7775" s="140"/>
      <c r="D7775" s="140"/>
      <c r="E7775" s="140"/>
      <c r="F7775" s="140"/>
      <c r="G7775" s="141"/>
      <c r="H7775" s="140"/>
      <c r="I7775" s="140"/>
      <c r="J7775" s="140"/>
      <c r="K7775" s="140"/>
    </row>
    <row r="7776">
      <c r="A7776" s="140"/>
      <c r="B7776" s="140"/>
      <c r="C7776" s="140"/>
      <c r="D7776" s="140"/>
      <c r="E7776" s="140"/>
      <c r="F7776" s="140"/>
      <c r="G7776" s="141"/>
      <c r="H7776" s="140"/>
      <c r="I7776" s="140"/>
      <c r="J7776" s="140"/>
      <c r="K7776" s="140"/>
    </row>
    <row r="7777">
      <c r="A7777" s="140"/>
      <c r="B7777" s="140"/>
      <c r="C7777" s="140"/>
      <c r="D7777" s="140"/>
      <c r="E7777" s="140"/>
      <c r="F7777" s="140"/>
      <c r="G7777" s="141"/>
      <c r="H7777" s="140"/>
      <c r="I7777" s="140"/>
      <c r="J7777" s="140"/>
      <c r="K7777" s="140"/>
    </row>
    <row r="7778">
      <c r="A7778" s="140"/>
      <c r="B7778" s="140"/>
      <c r="C7778" s="140"/>
      <c r="D7778" s="140"/>
      <c r="E7778" s="140"/>
      <c r="F7778" s="140"/>
      <c r="G7778" s="141"/>
      <c r="H7778" s="140"/>
      <c r="I7778" s="140"/>
      <c r="J7778" s="140"/>
      <c r="K7778" s="140"/>
    </row>
    <row r="7779">
      <c r="A7779" s="140"/>
      <c r="B7779" s="140"/>
      <c r="C7779" s="140"/>
      <c r="D7779" s="140"/>
      <c r="E7779" s="140"/>
      <c r="F7779" s="140"/>
      <c r="G7779" s="141"/>
      <c r="H7779" s="140"/>
      <c r="I7779" s="140"/>
      <c r="J7779" s="140"/>
      <c r="K7779" s="140"/>
    </row>
    <row r="7780">
      <c r="A7780" s="140"/>
      <c r="B7780" s="140"/>
      <c r="C7780" s="140"/>
      <c r="D7780" s="140"/>
      <c r="E7780" s="140"/>
      <c r="F7780" s="140"/>
      <c r="G7780" s="141"/>
      <c r="H7780" s="140"/>
      <c r="I7780" s="140"/>
      <c r="J7780" s="140"/>
      <c r="K7780" s="140"/>
    </row>
    <row r="7781">
      <c r="A7781" s="140"/>
      <c r="B7781" s="140"/>
      <c r="C7781" s="140"/>
      <c r="D7781" s="140"/>
      <c r="E7781" s="140"/>
      <c r="F7781" s="140"/>
      <c r="G7781" s="141"/>
      <c r="H7781" s="140"/>
      <c r="I7781" s="140"/>
      <c r="J7781" s="140"/>
      <c r="K7781" s="140"/>
    </row>
    <row r="7782">
      <c r="A7782" s="140"/>
      <c r="B7782" s="140"/>
      <c r="C7782" s="140"/>
      <c r="D7782" s="140"/>
      <c r="E7782" s="140"/>
      <c r="F7782" s="140"/>
      <c r="G7782" s="141"/>
      <c r="H7782" s="140"/>
      <c r="I7782" s="140"/>
      <c r="J7782" s="140"/>
      <c r="K7782" s="140"/>
    </row>
    <row r="7783">
      <c r="A7783" s="140"/>
      <c r="B7783" s="140"/>
      <c r="C7783" s="140"/>
      <c r="D7783" s="140"/>
      <c r="E7783" s="140"/>
      <c r="F7783" s="140"/>
      <c r="G7783" s="141"/>
      <c r="H7783" s="140"/>
      <c r="I7783" s="140"/>
      <c r="J7783" s="140"/>
      <c r="K7783" s="140"/>
    </row>
    <row r="7784">
      <c r="A7784" s="140"/>
      <c r="B7784" s="140"/>
      <c r="C7784" s="140"/>
      <c r="D7784" s="140"/>
      <c r="E7784" s="140"/>
      <c r="F7784" s="140"/>
      <c r="G7784" s="141"/>
      <c r="H7784" s="140"/>
      <c r="I7784" s="140"/>
      <c r="J7784" s="140"/>
      <c r="K7784" s="140"/>
    </row>
    <row r="7785">
      <c r="A7785" s="140"/>
      <c r="B7785" s="140"/>
      <c r="C7785" s="140"/>
      <c r="D7785" s="140"/>
      <c r="E7785" s="140"/>
      <c r="F7785" s="140"/>
      <c r="G7785" s="141"/>
      <c r="H7785" s="140"/>
      <c r="I7785" s="140"/>
      <c r="J7785" s="140"/>
      <c r="K7785" s="140"/>
    </row>
    <row r="7786">
      <c r="A7786" s="140"/>
      <c r="B7786" s="140"/>
      <c r="C7786" s="140"/>
      <c r="D7786" s="140"/>
      <c r="E7786" s="140"/>
      <c r="F7786" s="140"/>
      <c r="G7786" s="141"/>
      <c r="H7786" s="140"/>
      <c r="I7786" s="140"/>
      <c r="J7786" s="140"/>
      <c r="K7786" s="140"/>
    </row>
    <row r="7787">
      <c r="A7787" s="140"/>
      <c r="B7787" s="140"/>
      <c r="C7787" s="140"/>
      <c r="D7787" s="140"/>
      <c r="E7787" s="140"/>
      <c r="F7787" s="140"/>
      <c r="G7787" s="141"/>
      <c r="H7787" s="140"/>
      <c r="I7787" s="140"/>
      <c r="J7787" s="140"/>
      <c r="K7787" s="140"/>
    </row>
    <row r="7788">
      <c r="A7788" s="140"/>
      <c r="B7788" s="140"/>
      <c r="C7788" s="140"/>
      <c r="D7788" s="140"/>
      <c r="E7788" s="140"/>
      <c r="F7788" s="140"/>
      <c r="G7788" s="141"/>
      <c r="H7788" s="140"/>
      <c r="I7788" s="140"/>
      <c r="J7788" s="140"/>
      <c r="K7788" s="140"/>
    </row>
    <row r="7789">
      <c r="A7789" s="140"/>
      <c r="B7789" s="140"/>
      <c r="C7789" s="140"/>
      <c r="D7789" s="140"/>
      <c r="E7789" s="140"/>
      <c r="F7789" s="140"/>
      <c r="G7789" s="141"/>
      <c r="H7789" s="140"/>
      <c r="I7789" s="140"/>
      <c r="J7789" s="140"/>
      <c r="K7789" s="140"/>
    </row>
    <row r="7790">
      <c r="A7790" s="140"/>
      <c r="B7790" s="140"/>
      <c r="C7790" s="140"/>
      <c r="D7790" s="140"/>
      <c r="E7790" s="140"/>
      <c r="F7790" s="140"/>
      <c r="G7790" s="141"/>
      <c r="H7790" s="140"/>
      <c r="I7790" s="140"/>
      <c r="J7790" s="140"/>
      <c r="K7790" s="140"/>
    </row>
    <row r="7791">
      <c r="A7791" s="140"/>
      <c r="B7791" s="140"/>
      <c r="C7791" s="140"/>
      <c r="D7791" s="140"/>
      <c r="E7791" s="140"/>
      <c r="F7791" s="140"/>
      <c r="G7791" s="141"/>
      <c r="H7791" s="140"/>
      <c r="I7791" s="140"/>
      <c r="J7791" s="140"/>
      <c r="K7791" s="140"/>
    </row>
    <row r="7792">
      <c r="A7792" s="140"/>
      <c r="B7792" s="140"/>
      <c r="C7792" s="140"/>
      <c r="D7792" s="140"/>
      <c r="E7792" s="140"/>
      <c r="F7792" s="140"/>
      <c r="G7792" s="141"/>
      <c r="H7792" s="140"/>
      <c r="I7792" s="140"/>
      <c r="J7792" s="140"/>
      <c r="K7792" s="140"/>
    </row>
    <row r="7793">
      <c r="A7793" s="140"/>
      <c r="B7793" s="140"/>
      <c r="C7793" s="140"/>
      <c r="D7793" s="140"/>
      <c r="E7793" s="140"/>
      <c r="F7793" s="140"/>
      <c r="G7793" s="141"/>
      <c r="H7793" s="140"/>
      <c r="I7793" s="140"/>
      <c r="J7793" s="140"/>
      <c r="K7793" s="140"/>
    </row>
    <row r="7794">
      <c r="A7794" s="140"/>
      <c r="B7794" s="140"/>
      <c r="C7794" s="140"/>
      <c r="D7794" s="140"/>
      <c r="E7794" s="140"/>
      <c r="F7794" s="140"/>
      <c r="G7794" s="141"/>
      <c r="H7794" s="140"/>
      <c r="I7794" s="140"/>
      <c r="J7794" s="140"/>
      <c r="K7794" s="140"/>
    </row>
    <row r="7795">
      <c r="A7795" s="140"/>
      <c r="B7795" s="140"/>
      <c r="C7795" s="140"/>
      <c r="D7795" s="140"/>
      <c r="E7795" s="140"/>
      <c r="F7795" s="140"/>
      <c r="G7795" s="141"/>
      <c r="H7795" s="140"/>
      <c r="I7795" s="140"/>
      <c r="J7795" s="140"/>
      <c r="K7795" s="140"/>
    </row>
    <row r="7796">
      <c r="A7796" s="140"/>
      <c r="B7796" s="140"/>
      <c r="C7796" s="140"/>
      <c r="D7796" s="140"/>
      <c r="E7796" s="140"/>
      <c r="F7796" s="140"/>
      <c r="G7796" s="141"/>
      <c r="H7796" s="140"/>
      <c r="I7796" s="140"/>
      <c r="J7796" s="140"/>
      <c r="K7796" s="140"/>
    </row>
    <row r="7797">
      <c r="A7797" s="140"/>
      <c r="B7797" s="140"/>
      <c r="C7797" s="140"/>
      <c r="D7797" s="140"/>
      <c r="E7797" s="140"/>
      <c r="F7797" s="140"/>
      <c r="G7797" s="141"/>
      <c r="H7797" s="140"/>
      <c r="I7797" s="140"/>
      <c r="J7797" s="140"/>
      <c r="K7797" s="140"/>
    </row>
    <row r="7798">
      <c r="A7798" s="140"/>
      <c r="B7798" s="140"/>
      <c r="C7798" s="140"/>
      <c r="D7798" s="140"/>
      <c r="E7798" s="140"/>
      <c r="F7798" s="140"/>
      <c r="G7798" s="141"/>
      <c r="H7798" s="140"/>
      <c r="I7798" s="140"/>
      <c r="J7798" s="140"/>
      <c r="K7798" s="140"/>
    </row>
    <row r="7799">
      <c r="A7799" s="140"/>
      <c r="B7799" s="140"/>
      <c r="C7799" s="140"/>
      <c r="D7799" s="140"/>
      <c r="E7799" s="140"/>
      <c r="F7799" s="140"/>
      <c r="G7799" s="141"/>
      <c r="H7799" s="140"/>
      <c r="I7799" s="140"/>
      <c r="J7799" s="140"/>
      <c r="K7799" s="140"/>
    </row>
    <row r="7800">
      <c r="A7800" s="140"/>
      <c r="B7800" s="140"/>
      <c r="C7800" s="140"/>
      <c r="D7800" s="140"/>
      <c r="E7800" s="140"/>
      <c r="F7800" s="140"/>
      <c r="G7800" s="141"/>
      <c r="H7800" s="140"/>
      <c r="I7800" s="140"/>
      <c r="J7800" s="140"/>
      <c r="K7800" s="140"/>
    </row>
    <row r="7801">
      <c r="A7801" s="140"/>
      <c r="B7801" s="140"/>
      <c r="C7801" s="140"/>
      <c r="D7801" s="140"/>
      <c r="E7801" s="140"/>
      <c r="F7801" s="140"/>
      <c r="G7801" s="141"/>
      <c r="H7801" s="140"/>
      <c r="I7801" s="140"/>
      <c r="J7801" s="140"/>
      <c r="K7801" s="140"/>
    </row>
    <row r="7802">
      <c r="A7802" s="140"/>
      <c r="B7802" s="140"/>
      <c r="C7802" s="140"/>
      <c r="D7802" s="140"/>
      <c r="E7802" s="140"/>
      <c r="F7802" s="140"/>
      <c r="G7802" s="141"/>
      <c r="H7802" s="140"/>
      <c r="I7802" s="140"/>
      <c r="J7802" s="140"/>
      <c r="K7802" s="140"/>
    </row>
    <row r="7803">
      <c r="A7803" s="140"/>
      <c r="B7803" s="140"/>
      <c r="C7803" s="140"/>
      <c r="D7803" s="140"/>
      <c r="E7803" s="140"/>
      <c r="F7803" s="140"/>
      <c r="G7803" s="141"/>
      <c r="H7803" s="140"/>
      <c r="I7803" s="140"/>
      <c r="J7803" s="140"/>
      <c r="K7803" s="140"/>
    </row>
    <row r="7804">
      <c r="A7804" s="140"/>
      <c r="B7804" s="140"/>
      <c r="C7804" s="140"/>
      <c r="D7804" s="140"/>
      <c r="E7804" s="140"/>
      <c r="F7804" s="140"/>
      <c r="G7804" s="141"/>
      <c r="H7804" s="140"/>
      <c r="I7804" s="140"/>
      <c r="J7804" s="140"/>
      <c r="K7804" s="140"/>
    </row>
    <row r="7805">
      <c r="A7805" s="140"/>
      <c r="B7805" s="140"/>
      <c r="C7805" s="140"/>
      <c r="D7805" s="140"/>
      <c r="E7805" s="140"/>
      <c r="F7805" s="140"/>
      <c r="G7805" s="141"/>
      <c r="H7805" s="140"/>
      <c r="I7805" s="140"/>
      <c r="J7805" s="140"/>
      <c r="K7805" s="140"/>
    </row>
    <row r="7806">
      <c r="A7806" s="140"/>
      <c r="B7806" s="140"/>
      <c r="C7806" s="140"/>
      <c r="D7806" s="140"/>
      <c r="E7806" s="140"/>
      <c r="F7806" s="140"/>
      <c r="G7806" s="141"/>
      <c r="H7806" s="140"/>
      <c r="I7806" s="140"/>
      <c r="J7806" s="140"/>
      <c r="K7806" s="140"/>
    </row>
    <row r="7807">
      <c r="A7807" s="140"/>
      <c r="B7807" s="140"/>
      <c r="C7807" s="140"/>
      <c r="D7807" s="140"/>
      <c r="E7807" s="140"/>
      <c r="F7807" s="140"/>
      <c r="G7807" s="141"/>
      <c r="H7807" s="140"/>
      <c r="I7807" s="140"/>
      <c r="J7807" s="140"/>
      <c r="K7807" s="140"/>
    </row>
    <row r="7808">
      <c r="A7808" s="140"/>
      <c r="B7808" s="140"/>
      <c r="C7808" s="140"/>
      <c r="D7808" s="140"/>
      <c r="E7808" s="140"/>
      <c r="F7808" s="140"/>
      <c r="G7808" s="141"/>
      <c r="H7808" s="140"/>
      <c r="I7808" s="140"/>
      <c r="J7808" s="140"/>
      <c r="K7808" s="140"/>
    </row>
    <row r="7809">
      <c r="A7809" s="140"/>
      <c r="B7809" s="140"/>
      <c r="C7809" s="140"/>
      <c r="D7809" s="140"/>
      <c r="E7809" s="140"/>
      <c r="F7809" s="140"/>
      <c r="G7809" s="141"/>
      <c r="H7809" s="140"/>
      <c r="I7809" s="140"/>
      <c r="J7809" s="140"/>
      <c r="K7809" s="140"/>
    </row>
    <row r="7810">
      <c r="A7810" s="140"/>
      <c r="B7810" s="140"/>
      <c r="C7810" s="140"/>
      <c r="D7810" s="140"/>
      <c r="E7810" s="140"/>
      <c r="F7810" s="140"/>
      <c r="G7810" s="141"/>
      <c r="H7810" s="140"/>
      <c r="I7810" s="140"/>
      <c r="J7810" s="140"/>
      <c r="K7810" s="140"/>
    </row>
    <row r="7811">
      <c r="A7811" s="140"/>
      <c r="B7811" s="140"/>
      <c r="C7811" s="140"/>
      <c r="D7811" s="140"/>
      <c r="E7811" s="140"/>
      <c r="F7811" s="140"/>
      <c r="G7811" s="141"/>
      <c r="H7811" s="140"/>
      <c r="I7811" s="140"/>
      <c r="J7811" s="140"/>
      <c r="K7811" s="140"/>
    </row>
    <row r="7812">
      <c r="A7812" s="140"/>
      <c r="B7812" s="140"/>
      <c r="C7812" s="140"/>
      <c r="D7812" s="140"/>
      <c r="E7812" s="140"/>
      <c r="F7812" s="140"/>
      <c r="G7812" s="141"/>
      <c r="H7812" s="140"/>
      <c r="I7812" s="140"/>
      <c r="J7812" s="140"/>
      <c r="K7812" s="140"/>
    </row>
    <row r="7813">
      <c r="A7813" s="140"/>
      <c r="B7813" s="140"/>
      <c r="C7813" s="140"/>
      <c r="D7813" s="140"/>
      <c r="E7813" s="140"/>
      <c r="F7813" s="140"/>
      <c r="G7813" s="141"/>
      <c r="H7813" s="140"/>
      <c r="I7813" s="140"/>
      <c r="J7813" s="140"/>
      <c r="K7813" s="140"/>
    </row>
    <row r="7814">
      <c r="A7814" s="140"/>
      <c r="B7814" s="140"/>
      <c r="C7814" s="140"/>
      <c r="D7814" s="140"/>
      <c r="E7814" s="140"/>
      <c r="F7814" s="140"/>
      <c r="G7814" s="141"/>
      <c r="H7814" s="140"/>
      <c r="I7814" s="140"/>
      <c r="J7814" s="140"/>
      <c r="K7814" s="140"/>
    </row>
    <row r="7815">
      <c r="A7815" s="140"/>
      <c r="B7815" s="140"/>
      <c r="C7815" s="140"/>
      <c r="D7815" s="140"/>
      <c r="E7815" s="140"/>
      <c r="F7815" s="140"/>
      <c r="G7815" s="141"/>
      <c r="H7815" s="140"/>
      <c r="I7815" s="140"/>
      <c r="J7815" s="140"/>
      <c r="K7815" s="140"/>
    </row>
    <row r="7816">
      <c r="A7816" s="140"/>
      <c r="B7816" s="140"/>
      <c r="C7816" s="140"/>
      <c r="D7816" s="140"/>
      <c r="E7816" s="140"/>
      <c r="F7816" s="140"/>
      <c r="G7816" s="141"/>
      <c r="H7816" s="140"/>
      <c r="I7816" s="140"/>
      <c r="J7816" s="140"/>
      <c r="K7816" s="140"/>
    </row>
    <row r="7817">
      <c r="A7817" s="140"/>
      <c r="B7817" s="140"/>
      <c r="C7817" s="140"/>
      <c r="D7817" s="140"/>
      <c r="E7817" s="140"/>
      <c r="F7817" s="140"/>
      <c r="G7817" s="141"/>
      <c r="H7817" s="140"/>
      <c r="I7817" s="140"/>
      <c r="J7817" s="140"/>
      <c r="K7817" s="140"/>
    </row>
    <row r="7818">
      <c r="A7818" s="140"/>
      <c r="B7818" s="140"/>
      <c r="C7818" s="140"/>
      <c r="D7818" s="140"/>
      <c r="E7818" s="140"/>
      <c r="F7818" s="140"/>
      <c r="G7818" s="141"/>
      <c r="H7818" s="140"/>
      <c r="I7818" s="140"/>
      <c r="J7818" s="140"/>
      <c r="K7818" s="140"/>
    </row>
    <row r="7819">
      <c r="A7819" s="140"/>
      <c r="B7819" s="140"/>
      <c r="C7819" s="140"/>
      <c r="D7819" s="140"/>
      <c r="E7819" s="140"/>
      <c r="F7819" s="140"/>
      <c r="G7819" s="141"/>
      <c r="H7819" s="140"/>
      <c r="I7819" s="140"/>
      <c r="J7819" s="140"/>
      <c r="K7819" s="140"/>
    </row>
    <row r="7820">
      <c r="A7820" s="140"/>
      <c r="B7820" s="140"/>
      <c r="C7820" s="140"/>
      <c r="D7820" s="140"/>
      <c r="E7820" s="140"/>
      <c r="F7820" s="140"/>
      <c r="G7820" s="141"/>
      <c r="H7820" s="140"/>
      <c r="I7820" s="140"/>
      <c r="J7820" s="140"/>
      <c r="K7820" s="140"/>
    </row>
    <row r="7821">
      <c r="A7821" s="140"/>
      <c r="B7821" s="140"/>
      <c r="C7821" s="140"/>
      <c r="D7821" s="140"/>
      <c r="E7821" s="140"/>
      <c r="F7821" s="140"/>
      <c r="G7821" s="141"/>
      <c r="H7821" s="140"/>
      <c r="I7821" s="140"/>
      <c r="J7821" s="140"/>
      <c r="K7821" s="140"/>
    </row>
    <row r="7822">
      <c r="A7822" s="140"/>
      <c r="B7822" s="140"/>
      <c r="C7822" s="140"/>
      <c r="D7822" s="140"/>
      <c r="E7822" s="140"/>
      <c r="F7822" s="140"/>
      <c r="G7822" s="141"/>
      <c r="H7822" s="140"/>
      <c r="I7822" s="140"/>
      <c r="J7822" s="140"/>
      <c r="K7822" s="140"/>
    </row>
    <row r="7823">
      <c r="A7823" s="140"/>
      <c r="B7823" s="140"/>
      <c r="C7823" s="140"/>
      <c r="D7823" s="140"/>
      <c r="E7823" s="140"/>
      <c r="F7823" s="140"/>
      <c r="G7823" s="141"/>
      <c r="H7823" s="140"/>
      <c r="I7823" s="140"/>
      <c r="J7823" s="140"/>
      <c r="K7823" s="140"/>
    </row>
    <row r="7824">
      <c r="A7824" s="140"/>
      <c r="B7824" s="140"/>
      <c r="C7824" s="140"/>
      <c r="D7824" s="140"/>
      <c r="E7824" s="140"/>
      <c r="F7824" s="140"/>
      <c r="G7824" s="141"/>
      <c r="H7824" s="140"/>
      <c r="I7824" s="140"/>
      <c r="J7824" s="140"/>
      <c r="K7824" s="140"/>
    </row>
    <row r="7825">
      <c r="A7825" s="140"/>
      <c r="B7825" s="140"/>
      <c r="C7825" s="140"/>
      <c r="D7825" s="140"/>
      <c r="E7825" s="140"/>
      <c r="F7825" s="140"/>
      <c r="G7825" s="141"/>
      <c r="H7825" s="140"/>
      <c r="I7825" s="140"/>
      <c r="J7825" s="140"/>
      <c r="K7825" s="140"/>
    </row>
    <row r="7826">
      <c r="A7826" s="140"/>
      <c r="B7826" s="140"/>
      <c r="C7826" s="140"/>
      <c r="D7826" s="140"/>
      <c r="E7826" s="140"/>
      <c r="F7826" s="140"/>
      <c r="G7826" s="141"/>
      <c r="H7826" s="140"/>
      <c r="I7826" s="140"/>
      <c r="J7826" s="140"/>
      <c r="K7826" s="140"/>
    </row>
    <row r="7827">
      <c r="A7827" s="140"/>
      <c r="B7827" s="140"/>
      <c r="C7827" s="140"/>
      <c r="D7827" s="140"/>
      <c r="E7827" s="140"/>
      <c r="F7827" s="140"/>
      <c r="G7827" s="141"/>
      <c r="H7827" s="140"/>
      <c r="I7827" s="140"/>
      <c r="J7827" s="140"/>
      <c r="K7827" s="140"/>
    </row>
    <row r="7828">
      <c r="A7828" s="140"/>
      <c r="B7828" s="140"/>
      <c r="C7828" s="140"/>
      <c r="D7828" s="140"/>
      <c r="E7828" s="140"/>
      <c r="F7828" s="140"/>
      <c r="G7828" s="141"/>
      <c r="H7828" s="140"/>
      <c r="I7828" s="140"/>
      <c r="J7828" s="140"/>
      <c r="K7828" s="140"/>
    </row>
    <row r="7829">
      <c r="A7829" s="140"/>
      <c r="B7829" s="140"/>
      <c r="C7829" s="140"/>
      <c r="D7829" s="140"/>
      <c r="E7829" s="140"/>
      <c r="F7829" s="140"/>
      <c r="G7829" s="141"/>
      <c r="H7829" s="140"/>
      <c r="I7829" s="140"/>
      <c r="J7829" s="140"/>
      <c r="K7829" s="140"/>
    </row>
    <row r="7830">
      <c r="A7830" s="140"/>
      <c r="B7830" s="140"/>
      <c r="C7830" s="140"/>
      <c r="D7830" s="140"/>
      <c r="E7830" s="140"/>
      <c r="F7830" s="140"/>
      <c r="G7830" s="141"/>
      <c r="H7830" s="140"/>
      <c r="I7830" s="140"/>
      <c r="J7830" s="140"/>
      <c r="K7830" s="140"/>
    </row>
    <row r="7831">
      <c r="A7831" s="140"/>
      <c r="B7831" s="140"/>
      <c r="C7831" s="140"/>
      <c r="D7831" s="140"/>
      <c r="E7831" s="140"/>
      <c r="F7831" s="140"/>
      <c r="G7831" s="141"/>
      <c r="H7831" s="140"/>
      <c r="I7831" s="140"/>
      <c r="J7831" s="140"/>
      <c r="K7831" s="140"/>
    </row>
    <row r="7832">
      <c r="A7832" s="140"/>
      <c r="B7832" s="140"/>
      <c r="C7832" s="140"/>
      <c r="D7832" s="140"/>
      <c r="E7832" s="140"/>
      <c r="F7832" s="140"/>
      <c r="G7832" s="141"/>
      <c r="H7832" s="140"/>
      <c r="I7832" s="140"/>
      <c r="J7832" s="140"/>
      <c r="K7832" s="140"/>
    </row>
    <row r="7833">
      <c r="A7833" s="140"/>
      <c r="B7833" s="140"/>
      <c r="C7833" s="140"/>
      <c r="D7833" s="140"/>
      <c r="E7833" s="140"/>
      <c r="F7833" s="140"/>
      <c r="G7833" s="141"/>
      <c r="H7833" s="140"/>
      <c r="I7833" s="140"/>
      <c r="J7833" s="140"/>
      <c r="K7833" s="140"/>
    </row>
    <row r="7834">
      <c r="A7834" s="140"/>
      <c r="B7834" s="140"/>
      <c r="C7834" s="140"/>
      <c r="D7834" s="140"/>
      <c r="E7834" s="140"/>
      <c r="F7834" s="140"/>
      <c r="G7834" s="141"/>
      <c r="H7834" s="140"/>
      <c r="I7834" s="140"/>
      <c r="J7834" s="140"/>
      <c r="K7834" s="140"/>
    </row>
    <row r="7835">
      <c r="A7835" s="140"/>
      <c r="B7835" s="140"/>
      <c r="C7835" s="140"/>
      <c r="D7835" s="140"/>
      <c r="E7835" s="140"/>
      <c r="F7835" s="140"/>
      <c r="G7835" s="141"/>
      <c r="H7835" s="140"/>
      <c r="I7835" s="140"/>
      <c r="J7835" s="140"/>
      <c r="K7835" s="140"/>
    </row>
    <row r="7836">
      <c r="A7836" s="140"/>
      <c r="B7836" s="140"/>
      <c r="C7836" s="140"/>
      <c r="D7836" s="140"/>
      <c r="E7836" s="140"/>
      <c r="F7836" s="140"/>
      <c r="G7836" s="141"/>
      <c r="H7836" s="140"/>
      <c r="I7836" s="140"/>
      <c r="J7836" s="140"/>
      <c r="K7836" s="140"/>
    </row>
    <row r="7837">
      <c r="A7837" s="140"/>
      <c r="B7837" s="140"/>
      <c r="C7837" s="140"/>
      <c r="D7837" s="140"/>
      <c r="E7837" s="140"/>
      <c r="F7837" s="140"/>
      <c r="G7837" s="141"/>
      <c r="H7837" s="140"/>
      <c r="I7837" s="140"/>
      <c r="J7837" s="140"/>
      <c r="K7837" s="140"/>
    </row>
    <row r="7838">
      <c r="A7838" s="140"/>
      <c r="B7838" s="140"/>
      <c r="C7838" s="140"/>
      <c r="D7838" s="140"/>
      <c r="E7838" s="140"/>
      <c r="F7838" s="140"/>
      <c r="G7838" s="141"/>
      <c r="H7838" s="140"/>
      <c r="I7838" s="140"/>
      <c r="J7838" s="140"/>
      <c r="K7838" s="140"/>
    </row>
    <row r="7839">
      <c r="A7839" s="140"/>
      <c r="B7839" s="140"/>
      <c r="C7839" s="140"/>
      <c r="D7839" s="140"/>
      <c r="E7839" s="140"/>
      <c r="F7839" s="140"/>
      <c r="G7839" s="141"/>
      <c r="H7839" s="140"/>
      <c r="I7839" s="140"/>
      <c r="J7839" s="140"/>
      <c r="K7839" s="140"/>
    </row>
    <row r="7840">
      <c r="A7840" s="140"/>
      <c r="B7840" s="140"/>
      <c r="C7840" s="140"/>
      <c r="D7840" s="140"/>
      <c r="E7840" s="140"/>
      <c r="F7840" s="140"/>
      <c r="G7840" s="141"/>
      <c r="H7840" s="140"/>
      <c r="I7840" s="140"/>
      <c r="J7840" s="140"/>
      <c r="K7840" s="140"/>
    </row>
    <row r="7841">
      <c r="A7841" s="140"/>
      <c r="B7841" s="140"/>
      <c r="C7841" s="140"/>
      <c r="D7841" s="140"/>
      <c r="E7841" s="140"/>
      <c r="F7841" s="140"/>
      <c r="G7841" s="141"/>
      <c r="H7841" s="140"/>
      <c r="I7841" s="140"/>
      <c r="J7841" s="140"/>
      <c r="K7841" s="140"/>
    </row>
    <row r="7842">
      <c r="A7842" s="140"/>
      <c r="B7842" s="140"/>
      <c r="C7842" s="140"/>
      <c r="D7842" s="140"/>
      <c r="E7842" s="140"/>
      <c r="F7842" s="140"/>
      <c r="G7842" s="141"/>
      <c r="H7842" s="140"/>
      <c r="I7842" s="140"/>
      <c r="J7842" s="140"/>
      <c r="K7842" s="140"/>
    </row>
    <row r="7843">
      <c r="A7843" s="140"/>
      <c r="B7843" s="140"/>
      <c r="C7843" s="140"/>
      <c r="D7843" s="140"/>
      <c r="E7843" s="140"/>
      <c r="F7843" s="140"/>
      <c r="G7843" s="141"/>
      <c r="H7843" s="140"/>
      <c r="I7843" s="140"/>
      <c r="J7843" s="140"/>
      <c r="K7843" s="140"/>
    </row>
    <row r="7844">
      <c r="A7844" s="140"/>
      <c r="B7844" s="140"/>
      <c r="C7844" s="140"/>
      <c r="D7844" s="140"/>
      <c r="E7844" s="140"/>
      <c r="F7844" s="140"/>
      <c r="G7844" s="141"/>
      <c r="H7844" s="140"/>
      <c r="I7844" s="140"/>
      <c r="J7844" s="140"/>
      <c r="K7844" s="140"/>
    </row>
    <row r="7845">
      <c r="A7845" s="140"/>
      <c r="B7845" s="140"/>
      <c r="C7845" s="140"/>
      <c r="D7845" s="140"/>
      <c r="E7845" s="140"/>
      <c r="F7845" s="140"/>
      <c r="G7845" s="141"/>
      <c r="H7845" s="140"/>
      <c r="I7845" s="140"/>
      <c r="J7845" s="140"/>
      <c r="K7845" s="140"/>
    </row>
    <row r="7846">
      <c r="A7846" s="140"/>
      <c r="B7846" s="140"/>
      <c r="C7846" s="140"/>
      <c r="D7846" s="140"/>
      <c r="E7846" s="140"/>
      <c r="F7846" s="140"/>
      <c r="G7846" s="141"/>
      <c r="H7846" s="140"/>
      <c r="I7846" s="140"/>
      <c r="J7846" s="140"/>
      <c r="K7846" s="140"/>
    </row>
    <row r="7847">
      <c r="A7847" s="140"/>
      <c r="B7847" s="140"/>
      <c r="C7847" s="140"/>
      <c r="D7847" s="140"/>
      <c r="E7847" s="140"/>
      <c r="F7847" s="140"/>
      <c r="G7847" s="141"/>
      <c r="H7847" s="140"/>
      <c r="I7847" s="140"/>
      <c r="J7847" s="140"/>
      <c r="K7847" s="140"/>
    </row>
    <row r="7848">
      <c r="A7848" s="140"/>
      <c r="B7848" s="140"/>
      <c r="C7848" s="140"/>
      <c r="D7848" s="140"/>
      <c r="E7848" s="140"/>
      <c r="F7848" s="140"/>
      <c r="G7848" s="141"/>
      <c r="H7848" s="140"/>
      <c r="I7848" s="140"/>
      <c r="J7848" s="140"/>
      <c r="K7848" s="140"/>
    </row>
    <row r="7849">
      <c r="A7849" s="140"/>
      <c r="B7849" s="140"/>
      <c r="C7849" s="140"/>
      <c r="D7849" s="140"/>
      <c r="E7849" s="140"/>
      <c r="F7849" s="140"/>
      <c r="G7849" s="141"/>
      <c r="H7849" s="140"/>
      <c r="I7849" s="140"/>
      <c r="J7849" s="140"/>
      <c r="K7849" s="140"/>
    </row>
    <row r="7850">
      <c r="A7850" s="140"/>
      <c r="B7850" s="140"/>
      <c r="C7850" s="140"/>
      <c r="D7850" s="140"/>
      <c r="E7850" s="140"/>
      <c r="F7850" s="140"/>
      <c r="G7850" s="141"/>
      <c r="H7850" s="140"/>
      <c r="I7850" s="140"/>
      <c r="J7850" s="140"/>
      <c r="K7850" s="140"/>
    </row>
    <row r="7851">
      <c r="A7851" s="140"/>
      <c r="B7851" s="140"/>
      <c r="C7851" s="140"/>
      <c r="D7851" s="140"/>
      <c r="E7851" s="140"/>
      <c r="F7851" s="140"/>
      <c r="G7851" s="141"/>
      <c r="H7851" s="140"/>
      <c r="I7851" s="140"/>
      <c r="J7851" s="140"/>
      <c r="K7851" s="140"/>
    </row>
    <row r="7852">
      <c r="A7852" s="140"/>
      <c r="B7852" s="140"/>
      <c r="C7852" s="140"/>
      <c r="D7852" s="140"/>
      <c r="E7852" s="140"/>
      <c r="F7852" s="140"/>
      <c r="G7852" s="141"/>
      <c r="H7852" s="140"/>
      <c r="I7852" s="140"/>
      <c r="J7852" s="140"/>
      <c r="K7852" s="140"/>
    </row>
    <row r="7853">
      <c r="A7853" s="140"/>
      <c r="B7853" s="140"/>
      <c r="C7853" s="140"/>
      <c r="D7853" s="140"/>
      <c r="E7853" s="140"/>
      <c r="F7853" s="140"/>
      <c r="G7853" s="141"/>
      <c r="H7853" s="140"/>
      <c r="I7853" s="140"/>
      <c r="J7853" s="140"/>
      <c r="K7853" s="140"/>
    </row>
    <row r="7854">
      <c r="A7854" s="140"/>
      <c r="B7854" s="140"/>
      <c r="C7854" s="140"/>
      <c r="D7854" s="140"/>
      <c r="E7854" s="140"/>
      <c r="F7854" s="140"/>
      <c r="G7854" s="141"/>
      <c r="H7854" s="140"/>
      <c r="I7854" s="140"/>
      <c r="J7854" s="140"/>
      <c r="K7854" s="140"/>
    </row>
    <row r="7855">
      <c r="A7855" s="140"/>
      <c r="B7855" s="140"/>
      <c r="C7855" s="140"/>
      <c r="D7855" s="140"/>
      <c r="E7855" s="140"/>
      <c r="F7855" s="140"/>
      <c r="G7855" s="141"/>
      <c r="H7855" s="140"/>
      <c r="I7855" s="140"/>
      <c r="J7855" s="140"/>
      <c r="K7855" s="140"/>
    </row>
    <row r="7856">
      <c r="A7856" s="140"/>
      <c r="B7856" s="140"/>
      <c r="C7856" s="140"/>
      <c r="D7856" s="140"/>
      <c r="E7856" s="140"/>
      <c r="F7856" s="140"/>
      <c r="G7856" s="141"/>
      <c r="H7856" s="140"/>
      <c r="I7856" s="140"/>
      <c r="J7856" s="140"/>
      <c r="K7856" s="140"/>
    </row>
    <row r="7857">
      <c r="A7857" s="140"/>
      <c r="B7857" s="140"/>
      <c r="C7857" s="140"/>
      <c r="D7857" s="140"/>
      <c r="E7857" s="140"/>
      <c r="F7857" s="140"/>
      <c r="G7857" s="141"/>
      <c r="H7857" s="140"/>
      <c r="I7857" s="140"/>
      <c r="J7857" s="140"/>
      <c r="K7857" s="140"/>
    </row>
    <row r="7858">
      <c r="A7858" s="140"/>
      <c r="B7858" s="140"/>
      <c r="C7858" s="140"/>
      <c r="D7858" s="140"/>
      <c r="E7858" s="140"/>
      <c r="F7858" s="140"/>
      <c r="G7858" s="141"/>
      <c r="H7858" s="140"/>
      <c r="I7858" s="140"/>
      <c r="J7858" s="140"/>
      <c r="K7858" s="140"/>
    </row>
    <row r="7859">
      <c r="A7859" s="140"/>
      <c r="B7859" s="140"/>
      <c r="C7859" s="140"/>
      <c r="D7859" s="140"/>
      <c r="E7859" s="140"/>
      <c r="F7859" s="140"/>
      <c r="G7859" s="141"/>
      <c r="H7859" s="140"/>
      <c r="I7859" s="140"/>
      <c r="J7859" s="140"/>
      <c r="K7859" s="140"/>
    </row>
    <row r="7860">
      <c r="A7860" s="140"/>
      <c r="B7860" s="140"/>
      <c r="C7860" s="140"/>
      <c r="D7860" s="140"/>
      <c r="E7860" s="140"/>
      <c r="F7860" s="140"/>
      <c r="G7860" s="141"/>
      <c r="H7860" s="140"/>
      <c r="I7860" s="140"/>
      <c r="J7860" s="140"/>
      <c r="K7860" s="140"/>
    </row>
    <row r="7861">
      <c r="A7861" s="140"/>
      <c r="B7861" s="140"/>
      <c r="C7861" s="140"/>
      <c r="D7861" s="140"/>
      <c r="E7861" s="140"/>
      <c r="F7861" s="140"/>
      <c r="G7861" s="141"/>
      <c r="H7861" s="140"/>
      <c r="I7861" s="140"/>
      <c r="J7861" s="140"/>
      <c r="K7861" s="140"/>
    </row>
    <row r="7862">
      <c r="A7862" s="140"/>
      <c r="B7862" s="140"/>
      <c r="C7862" s="140"/>
      <c r="D7862" s="140"/>
      <c r="E7862" s="140"/>
      <c r="F7862" s="140"/>
      <c r="G7862" s="141"/>
      <c r="H7862" s="140"/>
      <c r="I7862" s="140"/>
      <c r="J7862" s="140"/>
      <c r="K7862" s="140"/>
    </row>
    <row r="7863">
      <c r="A7863" s="140"/>
      <c r="B7863" s="140"/>
      <c r="C7863" s="140"/>
      <c r="D7863" s="140"/>
      <c r="E7863" s="140"/>
      <c r="F7863" s="140"/>
      <c r="G7863" s="141"/>
      <c r="H7863" s="140"/>
      <c r="I7863" s="140"/>
      <c r="J7863" s="140"/>
      <c r="K7863" s="140"/>
    </row>
    <row r="7864">
      <c r="A7864" s="140"/>
      <c r="B7864" s="140"/>
      <c r="C7864" s="140"/>
      <c r="D7864" s="140"/>
      <c r="E7864" s="140"/>
      <c r="F7864" s="140"/>
      <c r="G7864" s="141"/>
      <c r="H7864" s="140"/>
      <c r="I7864" s="140"/>
      <c r="J7864" s="140"/>
      <c r="K7864" s="140"/>
    </row>
    <row r="7865">
      <c r="A7865" s="140"/>
      <c r="B7865" s="140"/>
      <c r="C7865" s="140"/>
      <c r="D7865" s="140"/>
      <c r="E7865" s="140"/>
      <c r="F7865" s="140"/>
      <c r="G7865" s="141"/>
      <c r="H7865" s="140"/>
      <c r="I7865" s="140"/>
      <c r="J7865" s="140"/>
      <c r="K7865" s="140"/>
    </row>
    <row r="7866">
      <c r="A7866" s="140"/>
      <c r="B7866" s="140"/>
      <c r="C7866" s="140"/>
      <c r="D7866" s="140"/>
      <c r="E7866" s="140"/>
      <c r="F7866" s="140"/>
      <c r="G7866" s="141"/>
      <c r="H7866" s="140"/>
      <c r="I7866" s="140"/>
      <c r="J7866" s="140"/>
      <c r="K7866" s="140"/>
    </row>
    <row r="7867">
      <c r="A7867" s="140"/>
      <c r="B7867" s="140"/>
      <c r="C7867" s="140"/>
      <c r="D7867" s="140"/>
      <c r="E7867" s="140"/>
      <c r="F7867" s="140"/>
      <c r="G7867" s="141"/>
      <c r="H7867" s="140"/>
      <c r="I7867" s="140"/>
      <c r="J7867" s="140"/>
      <c r="K7867" s="140"/>
    </row>
    <row r="7868">
      <c r="A7868" s="140"/>
      <c r="B7868" s="140"/>
      <c r="C7868" s="140"/>
      <c r="D7868" s="140"/>
      <c r="E7868" s="140"/>
      <c r="F7868" s="140"/>
      <c r="G7868" s="141"/>
      <c r="H7868" s="140"/>
      <c r="I7868" s="140"/>
      <c r="J7868" s="140"/>
      <c r="K7868" s="140"/>
    </row>
    <row r="7869">
      <c r="A7869" s="140"/>
      <c r="B7869" s="140"/>
      <c r="C7869" s="140"/>
      <c r="D7869" s="140"/>
      <c r="E7869" s="140"/>
      <c r="F7869" s="140"/>
      <c r="G7869" s="141"/>
      <c r="H7869" s="140"/>
      <c r="I7869" s="140"/>
      <c r="J7869" s="140"/>
      <c r="K7869" s="140"/>
    </row>
    <row r="7870">
      <c r="A7870" s="140"/>
      <c r="B7870" s="140"/>
      <c r="C7870" s="140"/>
      <c r="D7870" s="140"/>
      <c r="E7870" s="140"/>
      <c r="F7870" s="140"/>
      <c r="G7870" s="141"/>
      <c r="H7870" s="140"/>
      <c r="I7870" s="140"/>
      <c r="J7870" s="140"/>
      <c r="K7870" s="140"/>
    </row>
    <row r="7871">
      <c r="A7871" s="140"/>
      <c r="B7871" s="140"/>
      <c r="C7871" s="140"/>
      <c r="D7871" s="140"/>
      <c r="E7871" s="140"/>
      <c r="F7871" s="140"/>
      <c r="G7871" s="141"/>
      <c r="H7871" s="140"/>
      <c r="I7871" s="140"/>
      <c r="J7871" s="140"/>
      <c r="K7871" s="140"/>
    </row>
    <row r="7872">
      <c r="A7872" s="140"/>
      <c r="B7872" s="140"/>
      <c r="C7872" s="140"/>
      <c r="D7872" s="140"/>
      <c r="E7872" s="140"/>
      <c r="F7872" s="140"/>
      <c r="G7872" s="141"/>
      <c r="H7872" s="140"/>
      <c r="I7872" s="140"/>
      <c r="J7872" s="140"/>
      <c r="K7872" s="140"/>
    </row>
    <row r="7873">
      <c r="A7873" s="140"/>
      <c r="B7873" s="140"/>
      <c r="C7873" s="140"/>
      <c r="D7873" s="140"/>
      <c r="E7873" s="140"/>
      <c r="F7873" s="140"/>
      <c r="G7873" s="141"/>
      <c r="H7873" s="140"/>
      <c r="I7873" s="140"/>
      <c r="J7873" s="140"/>
      <c r="K7873" s="140"/>
    </row>
    <row r="7874">
      <c r="A7874" s="140"/>
      <c r="B7874" s="140"/>
      <c r="C7874" s="140"/>
      <c r="D7874" s="140"/>
      <c r="E7874" s="140"/>
      <c r="F7874" s="140"/>
      <c r="G7874" s="141"/>
      <c r="H7874" s="140"/>
      <c r="I7874" s="140"/>
      <c r="J7874" s="140"/>
      <c r="K7874" s="140"/>
    </row>
    <row r="7875">
      <c r="A7875" s="140"/>
      <c r="B7875" s="140"/>
      <c r="C7875" s="140"/>
      <c r="D7875" s="140"/>
      <c r="E7875" s="140"/>
      <c r="F7875" s="140"/>
      <c r="G7875" s="141"/>
      <c r="H7875" s="140"/>
      <c r="I7875" s="140"/>
      <c r="J7875" s="140"/>
      <c r="K7875" s="140"/>
    </row>
    <row r="7876">
      <c r="A7876" s="140"/>
      <c r="B7876" s="140"/>
      <c r="C7876" s="140"/>
      <c r="D7876" s="140"/>
      <c r="E7876" s="140"/>
      <c r="F7876" s="140"/>
      <c r="G7876" s="141"/>
      <c r="H7876" s="140"/>
      <c r="I7876" s="140"/>
      <c r="J7876" s="140"/>
      <c r="K7876" s="140"/>
    </row>
    <row r="7877">
      <c r="A7877" s="140"/>
      <c r="B7877" s="140"/>
      <c r="C7877" s="140"/>
      <c r="D7877" s="140"/>
      <c r="E7877" s="140"/>
      <c r="F7877" s="140"/>
      <c r="G7877" s="141"/>
      <c r="H7877" s="140"/>
      <c r="I7877" s="140"/>
      <c r="J7877" s="140"/>
      <c r="K7877" s="140"/>
    </row>
    <row r="7878">
      <c r="A7878" s="140"/>
      <c r="B7878" s="140"/>
      <c r="C7878" s="140"/>
      <c r="D7878" s="140"/>
      <c r="E7878" s="140"/>
      <c r="F7878" s="140"/>
      <c r="G7878" s="141"/>
      <c r="H7878" s="140"/>
      <c r="I7878" s="140"/>
      <c r="J7878" s="140"/>
      <c r="K7878" s="140"/>
    </row>
    <row r="7879">
      <c r="A7879" s="140"/>
      <c r="B7879" s="140"/>
      <c r="C7879" s="140"/>
      <c r="D7879" s="140"/>
      <c r="E7879" s="140"/>
      <c r="F7879" s="140"/>
      <c r="G7879" s="141"/>
      <c r="H7879" s="140"/>
      <c r="I7879" s="140"/>
      <c r="J7879" s="140"/>
      <c r="K7879" s="140"/>
    </row>
    <row r="7880">
      <c r="A7880" s="140"/>
      <c r="B7880" s="140"/>
      <c r="C7880" s="140"/>
      <c r="D7880" s="140"/>
      <c r="E7880" s="140"/>
      <c r="F7880" s="140"/>
      <c r="G7880" s="141"/>
      <c r="H7880" s="140"/>
      <c r="I7880" s="140"/>
      <c r="J7880" s="140"/>
      <c r="K7880" s="140"/>
    </row>
    <row r="7881">
      <c r="A7881" s="140"/>
      <c r="B7881" s="140"/>
      <c r="C7881" s="140"/>
      <c r="D7881" s="140"/>
      <c r="E7881" s="140"/>
      <c r="F7881" s="140"/>
      <c r="G7881" s="141"/>
      <c r="H7881" s="140"/>
      <c r="I7881" s="140"/>
      <c r="J7881" s="140"/>
      <c r="K7881" s="140"/>
    </row>
    <row r="7882">
      <c r="A7882" s="140"/>
      <c r="B7882" s="140"/>
      <c r="C7882" s="140"/>
      <c r="D7882" s="140"/>
      <c r="E7882" s="140"/>
      <c r="F7882" s="140"/>
      <c r="G7882" s="141"/>
      <c r="H7882" s="140"/>
      <c r="I7882" s="140"/>
      <c r="J7882" s="140"/>
      <c r="K7882" s="140"/>
    </row>
    <row r="7883">
      <c r="A7883" s="140"/>
      <c r="B7883" s="140"/>
      <c r="C7883" s="140"/>
      <c r="D7883" s="140"/>
      <c r="E7883" s="140"/>
      <c r="F7883" s="140"/>
      <c r="G7883" s="141"/>
      <c r="H7883" s="140"/>
      <c r="I7883" s="140"/>
      <c r="J7883" s="140"/>
      <c r="K7883" s="140"/>
    </row>
    <row r="7884">
      <c r="A7884" s="140"/>
      <c r="B7884" s="140"/>
      <c r="C7884" s="140"/>
      <c r="D7884" s="140"/>
      <c r="E7884" s="140"/>
      <c r="F7884" s="140"/>
      <c r="G7884" s="141"/>
      <c r="H7884" s="140"/>
      <c r="I7884" s="140"/>
      <c r="J7884" s="140"/>
      <c r="K7884" s="140"/>
    </row>
    <row r="7885">
      <c r="A7885" s="140"/>
      <c r="B7885" s="140"/>
      <c r="C7885" s="140"/>
      <c r="D7885" s="140"/>
      <c r="E7885" s="140"/>
      <c r="F7885" s="140"/>
      <c r="G7885" s="141"/>
      <c r="H7885" s="140"/>
      <c r="I7885" s="140"/>
      <c r="J7885" s="140"/>
      <c r="K7885" s="140"/>
    </row>
    <row r="7886">
      <c r="A7886" s="140"/>
      <c r="B7886" s="140"/>
      <c r="C7886" s="140"/>
      <c r="D7886" s="140"/>
      <c r="E7886" s="140"/>
      <c r="F7886" s="140"/>
      <c r="G7886" s="141"/>
      <c r="H7886" s="140"/>
      <c r="I7886" s="140"/>
      <c r="J7886" s="140"/>
      <c r="K7886" s="140"/>
    </row>
    <row r="7887">
      <c r="A7887" s="140"/>
      <c r="B7887" s="140"/>
      <c r="C7887" s="140"/>
      <c r="D7887" s="140"/>
      <c r="E7887" s="140"/>
      <c r="F7887" s="140"/>
      <c r="G7887" s="141"/>
      <c r="H7887" s="140"/>
      <c r="I7887" s="140"/>
      <c r="J7887" s="140"/>
      <c r="K7887" s="140"/>
    </row>
    <row r="7888">
      <c r="A7888" s="140"/>
      <c r="B7888" s="140"/>
      <c r="C7888" s="140"/>
      <c r="D7888" s="140"/>
      <c r="E7888" s="140"/>
      <c r="F7888" s="140"/>
      <c r="G7888" s="141"/>
      <c r="H7888" s="140"/>
      <c r="I7888" s="140"/>
      <c r="J7888" s="140"/>
      <c r="K7888" s="140"/>
    </row>
    <row r="7889">
      <c r="A7889" s="140"/>
      <c r="B7889" s="140"/>
      <c r="C7889" s="140"/>
      <c r="D7889" s="140"/>
      <c r="E7889" s="140"/>
      <c r="F7889" s="140"/>
      <c r="G7889" s="141"/>
      <c r="H7889" s="140"/>
      <c r="I7889" s="140"/>
      <c r="J7889" s="140"/>
      <c r="K7889" s="140"/>
    </row>
    <row r="7890">
      <c r="A7890" s="140"/>
      <c r="B7890" s="140"/>
      <c r="C7890" s="140"/>
      <c r="D7890" s="140"/>
      <c r="E7890" s="140"/>
      <c r="F7890" s="140"/>
      <c r="G7890" s="141"/>
      <c r="H7890" s="140"/>
      <c r="I7890" s="140"/>
      <c r="J7890" s="140"/>
      <c r="K7890" s="140"/>
    </row>
    <row r="7891">
      <c r="A7891" s="140"/>
      <c r="B7891" s="140"/>
      <c r="C7891" s="140"/>
      <c r="D7891" s="140"/>
      <c r="E7891" s="140"/>
      <c r="F7891" s="140"/>
      <c r="G7891" s="141"/>
      <c r="H7891" s="140"/>
      <c r="I7891" s="140"/>
      <c r="J7891" s="140"/>
      <c r="K7891" s="140"/>
    </row>
    <row r="7892">
      <c r="A7892" s="140"/>
      <c r="B7892" s="140"/>
      <c r="C7892" s="140"/>
      <c r="D7892" s="140"/>
      <c r="E7892" s="140"/>
      <c r="F7892" s="140"/>
      <c r="G7892" s="141"/>
      <c r="H7892" s="140"/>
      <c r="I7892" s="140"/>
      <c r="J7892" s="140"/>
      <c r="K7892" s="140"/>
    </row>
    <row r="7893">
      <c r="A7893" s="140"/>
      <c r="B7893" s="140"/>
      <c r="C7893" s="140"/>
      <c r="D7893" s="140"/>
      <c r="E7893" s="140"/>
      <c r="F7893" s="140"/>
      <c r="G7893" s="141"/>
      <c r="H7893" s="140"/>
      <c r="I7893" s="140"/>
      <c r="J7893" s="140"/>
      <c r="K7893" s="140"/>
    </row>
    <row r="7894">
      <c r="A7894" s="140"/>
      <c r="B7894" s="140"/>
      <c r="C7894" s="140"/>
      <c r="D7894" s="140"/>
      <c r="E7894" s="140"/>
      <c r="F7894" s="140"/>
      <c r="G7894" s="141"/>
      <c r="H7894" s="140"/>
      <c r="I7894" s="140"/>
      <c r="J7894" s="140"/>
      <c r="K7894" s="140"/>
    </row>
    <row r="7895">
      <c r="A7895" s="140"/>
      <c r="B7895" s="140"/>
      <c r="C7895" s="140"/>
      <c r="D7895" s="140"/>
      <c r="E7895" s="140"/>
      <c r="F7895" s="140"/>
      <c r="G7895" s="141"/>
      <c r="H7895" s="140"/>
      <c r="I7895" s="140"/>
      <c r="J7895" s="140"/>
      <c r="K7895" s="140"/>
    </row>
    <row r="7896">
      <c r="A7896" s="140"/>
      <c r="B7896" s="140"/>
      <c r="C7896" s="140"/>
      <c r="D7896" s="140"/>
      <c r="E7896" s="140"/>
      <c r="F7896" s="140"/>
      <c r="G7896" s="141"/>
      <c r="H7896" s="140"/>
      <c r="I7896" s="140"/>
      <c r="J7896" s="140"/>
      <c r="K7896" s="140"/>
    </row>
    <row r="7897">
      <c r="A7897" s="140"/>
      <c r="B7897" s="140"/>
      <c r="C7897" s="140"/>
      <c r="D7897" s="140"/>
      <c r="E7897" s="140"/>
      <c r="F7897" s="140"/>
      <c r="G7897" s="141"/>
      <c r="H7897" s="140"/>
      <c r="I7897" s="140"/>
      <c r="J7897" s="140"/>
      <c r="K7897" s="140"/>
    </row>
    <row r="7898">
      <c r="A7898" s="140"/>
      <c r="B7898" s="140"/>
      <c r="C7898" s="140"/>
      <c r="D7898" s="140"/>
      <c r="E7898" s="140"/>
      <c r="F7898" s="140"/>
      <c r="G7898" s="141"/>
      <c r="H7898" s="140"/>
      <c r="I7898" s="140"/>
      <c r="J7898" s="140"/>
      <c r="K7898" s="140"/>
    </row>
    <row r="7899">
      <c r="A7899" s="140"/>
      <c r="B7899" s="140"/>
      <c r="C7899" s="140"/>
      <c r="D7899" s="140"/>
      <c r="E7899" s="140"/>
      <c r="F7899" s="140"/>
      <c r="G7899" s="141"/>
      <c r="H7899" s="140"/>
      <c r="I7899" s="140"/>
      <c r="J7899" s="140"/>
      <c r="K7899" s="140"/>
    </row>
    <row r="7900">
      <c r="A7900" s="140"/>
      <c r="B7900" s="140"/>
      <c r="C7900" s="140"/>
      <c r="D7900" s="140"/>
      <c r="E7900" s="140"/>
      <c r="F7900" s="140"/>
      <c r="G7900" s="141"/>
      <c r="H7900" s="140"/>
      <c r="I7900" s="140"/>
      <c r="J7900" s="140"/>
      <c r="K7900" s="140"/>
    </row>
    <row r="7901">
      <c r="A7901" s="140"/>
      <c r="B7901" s="140"/>
      <c r="C7901" s="140"/>
      <c r="D7901" s="140"/>
      <c r="E7901" s="140"/>
      <c r="F7901" s="140"/>
      <c r="G7901" s="141"/>
      <c r="H7901" s="140"/>
      <c r="I7901" s="140"/>
      <c r="J7901" s="140"/>
      <c r="K7901" s="140"/>
    </row>
    <row r="7902">
      <c r="A7902" s="140"/>
      <c r="B7902" s="140"/>
      <c r="C7902" s="140"/>
      <c r="D7902" s="140"/>
      <c r="E7902" s="140"/>
      <c r="F7902" s="140"/>
      <c r="G7902" s="141"/>
      <c r="H7902" s="140"/>
      <c r="I7902" s="140"/>
      <c r="J7902" s="140"/>
      <c r="K7902" s="140"/>
    </row>
    <row r="7903">
      <c r="A7903" s="140"/>
      <c r="B7903" s="140"/>
      <c r="C7903" s="140"/>
      <c r="D7903" s="140"/>
      <c r="E7903" s="140"/>
      <c r="F7903" s="140"/>
      <c r="G7903" s="141"/>
      <c r="H7903" s="140"/>
      <c r="I7903" s="140"/>
      <c r="J7903" s="140"/>
      <c r="K7903" s="140"/>
    </row>
    <row r="7904">
      <c r="A7904" s="140"/>
      <c r="B7904" s="140"/>
      <c r="C7904" s="140"/>
      <c r="D7904" s="140"/>
      <c r="E7904" s="140"/>
      <c r="F7904" s="140"/>
      <c r="G7904" s="141"/>
      <c r="H7904" s="140"/>
      <c r="I7904" s="140"/>
      <c r="J7904" s="140"/>
      <c r="K7904" s="140"/>
    </row>
    <row r="7905">
      <c r="A7905" s="140"/>
      <c r="B7905" s="140"/>
      <c r="C7905" s="140"/>
      <c r="D7905" s="140"/>
      <c r="E7905" s="140"/>
      <c r="F7905" s="140"/>
      <c r="G7905" s="141"/>
      <c r="H7905" s="140"/>
      <c r="I7905" s="140"/>
      <c r="J7905" s="140"/>
      <c r="K7905" s="140"/>
    </row>
    <row r="7906">
      <c r="A7906" s="140"/>
      <c r="B7906" s="140"/>
      <c r="C7906" s="140"/>
      <c r="D7906" s="140"/>
      <c r="E7906" s="140"/>
      <c r="F7906" s="140"/>
      <c r="G7906" s="141"/>
      <c r="H7906" s="140"/>
      <c r="I7906" s="140"/>
      <c r="J7906" s="140"/>
      <c r="K7906" s="140"/>
    </row>
    <row r="7907">
      <c r="A7907" s="140"/>
      <c r="B7907" s="140"/>
      <c r="C7907" s="140"/>
      <c r="D7907" s="140"/>
      <c r="E7907" s="140"/>
      <c r="F7907" s="140"/>
      <c r="G7907" s="141"/>
      <c r="H7907" s="140"/>
      <c r="I7907" s="140"/>
      <c r="J7907" s="140"/>
      <c r="K7907" s="140"/>
    </row>
    <row r="7908">
      <c r="A7908" s="140"/>
      <c r="B7908" s="140"/>
      <c r="C7908" s="140"/>
      <c r="D7908" s="140"/>
      <c r="E7908" s="140"/>
      <c r="F7908" s="140"/>
      <c r="G7908" s="141"/>
      <c r="H7908" s="140"/>
      <c r="I7908" s="140"/>
      <c r="J7908" s="140"/>
      <c r="K7908" s="140"/>
    </row>
    <row r="7909">
      <c r="A7909" s="140"/>
      <c r="B7909" s="140"/>
      <c r="C7909" s="140"/>
      <c r="D7909" s="140"/>
      <c r="E7909" s="140"/>
      <c r="F7909" s="140"/>
      <c r="G7909" s="141"/>
      <c r="H7909" s="140"/>
      <c r="I7909" s="140"/>
      <c r="J7909" s="140"/>
      <c r="K7909" s="140"/>
    </row>
    <row r="7910">
      <c r="A7910" s="140"/>
      <c r="B7910" s="140"/>
      <c r="C7910" s="140"/>
      <c r="D7910" s="140"/>
      <c r="E7910" s="140"/>
      <c r="F7910" s="140"/>
      <c r="G7910" s="141"/>
      <c r="H7910" s="140"/>
      <c r="I7910" s="140"/>
      <c r="J7910" s="140"/>
      <c r="K7910" s="140"/>
    </row>
    <row r="7911">
      <c r="A7911" s="140"/>
      <c r="B7911" s="140"/>
      <c r="C7911" s="140"/>
      <c r="D7911" s="140"/>
      <c r="E7911" s="140"/>
      <c r="F7911" s="140"/>
      <c r="G7911" s="141"/>
      <c r="H7911" s="140"/>
      <c r="I7911" s="140"/>
      <c r="J7911" s="140"/>
      <c r="K7911" s="140"/>
    </row>
    <row r="7912">
      <c r="A7912" s="140"/>
      <c r="B7912" s="140"/>
      <c r="C7912" s="140"/>
      <c r="D7912" s="140"/>
      <c r="E7912" s="140"/>
      <c r="F7912" s="140"/>
      <c r="G7912" s="141"/>
      <c r="H7912" s="140"/>
      <c r="I7912" s="140"/>
      <c r="J7912" s="140"/>
      <c r="K7912" s="140"/>
    </row>
    <row r="7913">
      <c r="A7913" s="140"/>
      <c r="B7913" s="140"/>
      <c r="C7913" s="140"/>
      <c r="D7913" s="140"/>
      <c r="E7913" s="140"/>
      <c r="F7913" s="140"/>
      <c r="G7913" s="141"/>
      <c r="H7913" s="140"/>
      <c r="I7913" s="140"/>
      <c r="J7913" s="140"/>
      <c r="K7913" s="140"/>
    </row>
    <row r="7914">
      <c r="A7914" s="140"/>
      <c r="B7914" s="140"/>
      <c r="C7914" s="140"/>
      <c r="D7914" s="140"/>
      <c r="E7914" s="140"/>
      <c r="F7914" s="140"/>
      <c r="G7914" s="141"/>
      <c r="H7914" s="140"/>
      <c r="I7914" s="140"/>
      <c r="J7914" s="140"/>
      <c r="K7914" s="140"/>
    </row>
    <row r="7915">
      <c r="A7915" s="140"/>
      <c r="B7915" s="140"/>
      <c r="C7915" s="140"/>
      <c r="D7915" s="140"/>
      <c r="E7915" s="140"/>
      <c r="F7915" s="140"/>
      <c r="G7915" s="141"/>
      <c r="H7915" s="140"/>
      <c r="I7915" s="140"/>
      <c r="J7915" s="140"/>
      <c r="K7915" s="140"/>
    </row>
    <row r="7916">
      <c r="A7916" s="140"/>
      <c r="B7916" s="140"/>
      <c r="C7916" s="140"/>
      <c r="D7916" s="140"/>
      <c r="E7916" s="140"/>
      <c r="F7916" s="140"/>
      <c r="G7916" s="141"/>
      <c r="H7916" s="140"/>
      <c r="I7916" s="140"/>
      <c r="J7916" s="140"/>
      <c r="K7916" s="140"/>
    </row>
    <row r="7917">
      <c r="A7917" s="140"/>
      <c r="B7917" s="140"/>
      <c r="C7917" s="140"/>
      <c r="D7917" s="140"/>
      <c r="E7917" s="140"/>
      <c r="F7917" s="140"/>
      <c r="G7917" s="141"/>
      <c r="H7917" s="140"/>
      <c r="I7917" s="140"/>
      <c r="J7917" s="140"/>
      <c r="K7917" s="140"/>
    </row>
    <row r="7918">
      <c r="A7918" s="140"/>
      <c r="B7918" s="140"/>
      <c r="C7918" s="140"/>
      <c r="D7918" s="140"/>
      <c r="E7918" s="140"/>
      <c r="F7918" s="140"/>
      <c r="G7918" s="141"/>
      <c r="H7918" s="140"/>
      <c r="I7918" s="140"/>
      <c r="J7918" s="140"/>
      <c r="K7918" s="140"/>
    </row>
    <row r="7919">
      <c r="A7919" s="140"/>
      <c r="B7919" s="140"/>
      <c r="C7919" s="140"/>
      <c r="D7919" s="140"/>
      <c r="E7919" s="140"/>
      <c r="F7919" s="140"/>
      <c r="G7919" s="141"/>
      <c r="H7919" s="140"/>
      <c r="I7919" s="140"/>
      <c r="J7919" s="140"/>
      <c r="K7919" s="140"/>
    </row>
    <row r="7920">
      <c r="A7920" s="140"/>
      <c r="B7920" s="140"/>
      <c r="C7920" s="140"/>
      <c r="D7920" s="140"/>
      <c r="E7920" s="140"/>
      <c r="F7920" s="140"/>
      <c r="G7920" s="141"/>
      <c r="H7920" s="140"/>
      <c r="I7920" s="140"/>
      <c r="J7920" s="140"/>
      <c r="K7920" s="140"/>
    </row>
    <row r="7921">
      <c r="A7921" s="140"/>
      <c r="B7921" s="140"/>
      <c r="C7921" s="140"/>
      <c r="D7921" s="140"/>
      <c r="E7921" s="140"/>
      <c r="F7921" s="140"/>
      <c r="G7921" s="141"/>
      <c r="H7921" s="140"/>
      <c r="I7921" s="140"/>
      <c r="J7921" s="140"/>
      <c r="K7921" s="140"/>
    </row>
    <row r="7922">
      <c r="A7922" s="140"/>
      <c r="B7922" s="140"/>
      <c r="C7922" s="140"/>
      <c r="D7922" s="140"/>
      <c r="E7922" s="140"/>
      <c r="F7922" s="140"/>
      <c r="G7922" s="141"/>
      <c r="H7922" s="140"/>
      <c r="I7922" s="140"/>
      <c r="J7922" s="140"/>
      <c r="K7922" s="140"/>
    </row>
    <row r="7923">
      <c r="A7923" s="140"/>
      <c r="B7923" s="140"/>
      <c r="C7923" s="140"/>
      <c r="D7923" s="140"/>
      <c r="E7923" s="140"/>
      <c r="F7923" s="140"/>
      <c r="G7923" s="141"/>
      <c r="H7923" s="140"/>
      <c r="I7923" s="140"/>
      <c r="J7923" s="140"/>
      <c r="K7923" s="140"/>
    </row>
    <row r="7924">
      <c r="A7924" s="140"/>
      <c r="B7924" s="140"/>
      <c r="C7924" s="140"/>
      <c r="D7924" s="140"/>
      <c r="E7924" s="140"/>
      <c r="F7924" s="140"/>
      <c r="G7924" s="141"/>
      <c r="H7924" s="140"/>
      <c r="I7924" s="140"/>
      <c r="J7924" s="140"/>
      <c r="K7924" s="140"/>
    </row>
    <row r="7925">
      <c r="A7925" s="140"/>
      <c r="B7925" s="140"/>
      <c r="C7925" s="140"/>
      <c r="D7925" s="140"/>
      <c r="E7925" s="140"/>
      <c r="F7925" s="140"/>
      <c r="G7925" s="141"/>
      <c r="H7925" s="140"/>
      <c r="I7925" s="140"/>
      <c r="J7925" s="140"/>
      <c r="K7925" s="140"/>
    </row>
    <row r="7926">
      <c r="A7926" s="140"/>
      <c r="B7926" s="140"/>
      <c r="C7926" s="140"/>
      <c r="D7926" s="140"/>
      <c r="E7926" s="140"/>
      <c r="F7926" s="140"/>
      <c r="G7926" s="141"/>
      <c r="H7926" s="140"/>
      <c r="I7926" s="140"/>
      <c r="J7926" s="140"/>
      <c r="K7926" s="140"/>
    </row>
    <row r="7927">
      <c r="A7927" s="140"/>
      <c r="B7927" s="140"/>
      <c r="C7927" s="140"/>
      <c r="D7927" s="140"/>
      <c r="E7927" s="140"/>
      <c r="F7927" s="140"/>
      <c r="G7927" s="141"/>
      <c r="H7927" s="140"/>
      <c r="I7927" s="140"/>
      <c r="J7927" s="140"/>
      <c r="K7927" s="140"/>
    </row>
    <row r="7928">
      <c r="A7928" s="140"/>
      <c r="B7928" s="140"/>
      <c r="C7928" s="140"/>
      <c r="D7928" s="140"/>
      <c r="E7928" s="140"/>
      <c r="F7928" s="140"/>
      <c r="G7928" s="141"/>
      <c r="H7928" s="140"/>
      <c r="I7928" s="140"/>
      <c r="J7928" s="140"/>
      <c r="K7928" s="140"/>
    </row>
    <row r="7929">
      <c r="A7929" s="140"/>
      <c r="B7929" s="140"/>
      <c r="C7929" s="140"/>
      <c r="D7929" s="140"/>
      <c r="E7929" s="140"/>
      <c r="F7929" s="140"/>
      <c r="G7929" s="141"/>
      <c r="H7929" s="140"/>
      <c r="I7929" s="140"/>
      <c r="J7929" s="140"/>
      <c r="K7929" s="140"/>
    </row>
    <row r="7930">
      <c r="A7930" s="140"/>
      <c r="B7930" s="140"/>
      <c r="C7930" s="140"/>
      <c r="D7930" s="140"/>
      <c r="E7930" s="140"/>
      <c r="F7930" s="140"/>
      <c r="G7930" s="141"/>
      <c r="H7930" s="140"/>
      <c r="I7930" s="140"/>
      <c r="J7930" s="140"/>
      <c r="K7930" s="140"/>
    </row>
    <row r="7931">
      <c r="A7931" s="140"/>
      <c r="B7931" s="140"/>
      <c r="C7931" s="140"/>
      <c r="D7931" s="140"/>
      <c r="E7931" s="140"/>
      <c r="F7931" s="140"/>
      <c r="G7931" s="141"/>
      <c r="H7931" s="140"/>
      <c r="I7931" s="140"/>
      <c r="J7931" s="140"/>
      <c r="K7931" s="140"/>
    </row>
    <row r="7932">
      <c r="A7932" s="140"/>
      <c r="B7932" s="140"/>
      <c r="C7932" s="140"/>
      <c r="D7932" s="140"/>
      <c r="E7932" s="140"/>
      <c r="F7932" s="140"/>
      <c r="G7932" s="141"/>
      <c r="H7932" s="140"/>
      <c r="I7932" s="140"/>
      <c r="J7932" s="140"/>
      <c r="K7932" s="140"/>
    </row>
    <row r="7933">
      <c r="A7933" s="140"/>
      <c r="B7933" s="140"/>
      <c r="C7933" s="140"/>
      <c r="D7933" s="140"/>
      <c r="E7933" s="140"/>
      <c r="F7933" s="140"/>
      <c r="G7933" s="141"/>
      <c r="H7933" s="140"/>
      <c r="I7933" s="140"/>
      <c r="J7933" s="140"/>
      <c r="K7933" s="140"/>
    </row>
    <row r="7934">
      <c r="A7934" s="140"/>
      <c r="B7934" s="140"/>
      <c r="C7934" s="140"/>
      <c r="D7934" s="140"/>
      <c r="E7934" s="140"/>
      <c r="F7934" s="140"/>
      <c r="G7934" s="141"/>
      <c r="H7934" s="140"/>
      <c r="I7934" s="140"/>
      <c r="J7934" s="140"/>
      <c r="K7934" s="140"/>
    </row>
    <row r="7935">
      <c r="A7935" s="140"/>
      <c r="B7935" s="140"/>
      <c r="C7935" s="140"/>
      <c r="D7935" s="140"/>
      <c r="E7935" s="140"/>
      <c r="F7935" s="140"/>
      <c r="G7935" s="141"/>
      <c r="H7935" s="140"/>
      <c r="I7935" s="140"/>
      <c r="J7935" s="140"/>
      <c r="K7935" s="140"/>
    </row>
    <row r="7936">
      <c r="A7936" s="140"/>
      <c r="B7936" s="140"/>
      <c r="C7936" s="140"/>
      <c r="D7936" s="140"/>
      <c r="E7936" s="140"/>
      <c r="F7936" s="140"/>
      <c r="G7936" s="141"/>
      <c r="H7936" s="140"/>
      <c r="I7936" s="140"/>
      <c r="J7936" s="140"/>
      <c r="K7936" s="140"/>
    </row>
    <row r="7937">
      <c r="A7937" s="140"/>
      <c r="B7937" s="140"/>
      <c r="C7937" s="140"/>
      <c r="D7937" s="140"/>
      <c r="E7937" s="140"/>
      <c r="F7937" s="140"/>
      <c r="G7937" s="141"/>
      <c r="H7937" s="140"/>
      <c r="I7937" s="140"/>
      <c r="J7937" s="140"/>
      <c r="K7937" s="140"/>
    </row>
    <row r="7938">
      <c r="A7938" s="140"/>
      <c r="B7938" s="140"/>
      <c r="C7938" s="140"/>
      <c r="D7938" s="140"/>
      <c r="E7938" s="140"/>
      <c r="F7938" s="140"/>
      <c r="G7938" s="141"/>
      <c r="H7938" s="140"/>
      <c r="I7938" s="140"/>
      <c r="J7938" s="140"/>
      <c r="K7938" s="140"/>
    </row>
    <row r="7939">
      <c r="A7939" s="140"/>
      <c r="B7939" s="140"/>
      <c r="C7939" s="140"/>
      <c r="D7939" s="140"/>
      <c r="E7939" s="140"/>
      <c r="F7939" s="140"/>
      <c r="G7939" s="141"/>
      <c r="H7939" s="140"/>
      <c r="I7939" s="140"/>
      <c r="J7939" s="140"/>
      <c r="K7939" s="140"/>
    </row>
    <row r="7940">
      <c r="A7940" s="140"/>
      <c r="B7940" s="140"/>
      <c r="C7940" s="140"/>
      <c r="D7940" s="140"/>
      <c r="E7940" s="140"/>
      <c r="F7940" s="140"/>
      <c r="G7940" s="141"/>
      <c r="H7940" s="140"/>
      <c r="I7940" s="140"/>
      <c r="J7940" s="140"/>
      <c r="K7940" s="140"/>
    </row>
    <row r="7941">
      <c r="A7941" s="140"/>
      <c r="B7941" s="140"/>
      <c r="C7941" s="140"/>
      <c r="D7941" s="140"/>
      <c r="E7941" s="140"/>
      <c r="F7941" s="140"/>
      <c r="G7941" s="141"/>
      <c r="H7941" s="140"/>
      <c r="I7941" s="140"/>
      <c r="J7941" s="140"/>
      <c r="K7941" s="140"/>
    </row>
    <row r="7942">
      <c r="A7942" s="140"/>
      <c r="B7942" s="140"/>
      <c r="C7942" s="140"/>
      <c r="D7942" s="140"/>
      <c r="E7942" s="140"/>
      <c r="F7942" s="140"/>
      <c r="G7942" s="141"/>
      <c r="H7942" s="140"/>
      <c r="I7942" s="140"/>
      <c r="J7942" s="140"/>
      <c r="K7942" s="140"/>
    </row>
    <row r="7943">
      <c r="A7943" s="140"/>
      <c r="B7943" s="140"/>
      <c r="C7943" s="140"/>
      <c r="D7943" s="140"/>
      <c r="E7943" s="140"/>
      <c r="F7943" s="140"/>
      <c r="G7943" s="141"/>
      <c r="H7943" s="140"/>
      <c r="I7943" s="140"/>
      <c r="J7943" s="140"/>
      <c r="K7943" s="140"/>
    </row>
    <row r="7944">
      <c r="A7944" s="140"/>
      <c r="B7944" s="140"/>
      <c r="C7944" s="140"/>
      <c r="D7944" s="140"/>
      <c r="E7944" s="140"/>
      <c r="F7944" s="140"/>
      <c r="G7944" s="141"/>
      <c r="H7944" s="140"/>
      <c r="I7944" s="140"/>
      <c r="J7944" s="140"/>
      <c r="K7944" s="140"/>
    </row>
    <row r="7945">
      <c r="A7945" s="140"/>
      <c r="B7945" s="140"/>
      <c r="C7945" s="140"/>
      <c r="D7945" s="140"/>
      <c r="E7945" s="140"/>
      <c r="F7945" s="140"/>
      <c r="G7945" s="141"/>
      <c r="H7945" s="140"/>
      <c r="I7945" s="140"/>
      <c r="J7945" s="140"/>
      <c r="K7945" s="140"/>
    </row>
    <row r="7946">
      <c r="A7946" s="140"/>
      <c r="B7946" s="140"/>
      <c r="C7946" s="140"/>
      <c r="D7946" s="140"/>
      <c r="E7946" s="140"/>
      <c r="F7946" s="140"/>
      <c r="G7946" s="141"/>
      <c r="H7946" s="140"/>
      <c r="I7946" s="140"/>
      <c r="J7946" s="140"/>
      <c r="K7946" s="140"/>
    </row>
    <row r="7947">
      <c r="A7947" s="140"/>
      <c r="B7947" s="140"/>
      <c r="C7947" s="140"/>
      <c r="D7947" s="140"/>
      <c r="E7947" s="140"/>
      <c r="F7947" s="140"/>
      <c r="G7947" s="141"/>
      <c r="H7947" s="140"/>
      <c r="I7947" s="140"/>
      <c r="J7947" s="140"/>
      <c r="K7947" s="140"/>
    </row>
    <row r="7948">
      <c r="A7948" s="140"/>
      <c r="B7948" s="140"/>
      <c r="C7948" s="140"/>
      <c r="D7948" s="140"/>
      <c r="E7948" s="140"/>
      <c r="F7948" s="140"/>
      <c r="G7948" s="141"/>
      <c r="H7948" s="140"/>
      <c r="I7948" s="140"/>
      <c r="J7948" s="140"/>
      <c r="K7948" s="140"/>
    </row>
    <row r="7949">
      <c r="A7949" s="140"/>
      <c r="B7949" s="140"/>
      <c r="C7949" s="140"/>
      <c r="D7949" s="140"/>
      <c r="E7949" s="140"/>
      <c r="F7949" s="140"/>
      <c r="G7949" s="141"/>
      <c r="H7949" s="140"/>
      <c r="I7949" s="140"/>
      <c r="J7949" s="140"/>
      <c r="K7949" s="140"/>
    </row>
    <row r="7950">
      <c r="A7950" s="140"/>
      <c r="B7950" s="140"/>
      <c r="C7950" s="140"/>
      <c r="D7950" s="140"/>
      <c r="E7950" s="140"/>
      <c r="F7950" s="140"/>
      <c r="G7950" s="141"/>
      <c r="H7950" s="140"/>
      <c r="I7950" s="140"/>
      <c r="J7950" s="140"/>
      <c r="K7950" s="140"/>
    </row>
    <row r="7951">
      <c r="A7951" s="140"/>
      <c r="B7951" s="140"/>
      <c r="C7951" s="140"/>
      <c r="D7951" s="140"/>
      <c r="E7951" s="140"/>
      <c r="F7951" s="140"/>
      <c r="G7951" s="141"/>
      <c r="H7951" s="140"/>
      <c r="I7951" s="140"/>
      <c r="J7951" s="140"/>
      <c r="K7951" s="140"/>
    </row>
    <row r="7952">
      <c r="A7952" s="140"/>
      <c r="B7952" s="140"/>
      <c r="C7952" s="140"/>
      <c r="D7952" s="140"/>
      <c r="E7952" s="140"/>
      <c r="F7952" s="140"/>
      <c r="G7952" s="141"/>
      <c r="H7952" s="140"/>
      <c r="I7952" s="140"/>
      <c r="J7952" s="140"/>
      <c r="K7952" s="140"/>
    </row>
    <row r="7953">
      <c r="A7953" s="140"/>
      <c r="B7953" s="140"/>
      <c r="C7953" s="140"/>
      <c r="D7953" s="140"/>
      <c r="E7953" s="140"/>
      <c r="F7953" s="140"/>
      <c r="G7953" s="141"/>
      <c r="H7953" s="140"/>
      <c r="I7953" s="140"/>
      <c r="J7953" s="140"/>
      <c r="K7953" s="140"/>
    </row>
    <row r="7954">
      <c r="A7954" s="140"/>
      <c r="B7954" s="140"/>
      <c r="C7954" s="140"/>
      <c r="D7954" s="140"/>
      <c r="E7954" s="140"/>
      <c r="F7954" s="140"/>
      <c r="G7954" s="141"/>
      <c r="H7954" s="140"/>
      <c r="I7954" s="140"/>
      <c r="J7954" s="140"/>
      <c r="K7954" s="140"/>
    </row>
    <row r="7955">
      <c r="A7955" s="140"/>
      <c r="B7955" s="140"/>
      <c r="C7955" s="140"/>
      <c r="D7955" s="140"/>
      <c r="E7955" s="140"/>
      <c r="F7955" s="140"/>
      <c r="G7955" s="141"/>
      <c r="H7955" s="140"/>
      <c r="I7955" s="140"/>
      <c r="J7955" s="140"/>
      <c r="K7955" s="140"/>
    </row>
    <row r="7956">
      <c r="A7956" s="140"/>
      <c r="B7956" s="140"/>
      <c r="C7956" s="140"/>
      <c r="D7956" s="140"/>
      <c r="E7956" s="140"/>
      <c r="F7956" s="140"/>
      <c r="G7956" s="141"/>
      <c r="H7956" s="140"/>
      <c r="I7956" s="140"/>
      <c r="J7956" s="140"/>
      <c r="K7956" s="140"/>
    </row>
    <row r="7957">
      <c r="A7957" s="140"/>
      <c r="B7957" s="140"/>
      <c r="C7957" s="140"/>
      <c r="D7957" s="140"/>
      <c r="E7957" s="140"/>
      <c r="F7957" s="140"/>
      <c r="G7957" s="141"/>
      <c r="H7957" s="140"/>
      <c r="I7957" s="140"/>
      <c r="J7957" s="140"/>
      <c r="K7957" s="140"/>
    </row>
    <row r="7958">
      <c r="A7958" s="140"/>
      <c r="B7958" s="140"/>
      <c r="C7958" s="140"/>
      <c r="D7958" s="140"/>
      <c r="E7958" s="140"/>
      <c r="F7958" s="140"/>
      <c r="G7958" s="141"/>
      <c r="H7958" s="140"/>
      <c r="I7958" s="140"/>
      <c r="J7958" s="140"/>
      <c r="K7958" s="140"/>
    </row>
    <row r="7959">
      <c r="A7959" s="140"/>
      <c r="B7959" s="140"/>
      <c r="C7959" s="140"/>
      <c r="D7959" s="140"/>
      <c r="E7959" s="140"/>
      <c r="F7959" s="140"/>
      <c r="G7959" s="141"/>
      <c r="H7959" s="140"/>
      <c r="I7959" s="140"/>
      <c r="J7959" s="140"/>
      <c r="K7959" s="140"/>
    </row>
    <row r="7960">
      <c r="A7960" s="140"/>
      <c r="B7960" s="140"/>
      <c r="C7960" s="140"/>
      <c r="D7960" s="140"/>
      <c r="E7960" s="140"/>
      <c r="F7960" s="140"/>
      <c r="G7960" s="141"/>
      <c r="H7960" s="140"/>
      <c r="I7960" s="140"/>
      <c r="J7960" s="140"/>
      <c r="K7960" s="140"/>
    </row>
    <row r="7961">
      <c r="A7961" s="140"/>
      <c r="B7961" s="140"/>
      <c r="C7961" s="140"/>
      <c r="D7961" s="140"/>
      <c r="E7961" s="140"/>
      <c r="F7961" s="140"/>
      <c r="G7961" s="141"/>
      <c r="H7961" s="140"/>
      <c r="I7961" s="140"/>
      <c r="J7961" s="140"/>
      <c r="K7961" s="140"/>
    </row>
    <row r="7962">
      <c r="A7962" s="140"/>
      <c r="B7962" s="140"/>
      <c r="C7962" s="140"/>
      <c r="D7962" s="140"/>
      <c r="E7962" s="140"/>
      <c r="F7962" s="140"/>
      <c r="G7962" s="141"/>
      <c r="H7962" s="140"/>
      <c r="I7962" s="140"/>
      <c r="J7962" s="140"/>
      <c r="K7962" s="140"/>
    </row>
    <row r="7963">
      <c r="A7963" s="140"/>
      <c r="B7963" s="140"/>
      <c r="C7963" s="140"/>
      <c r="D7963" s="140"/>
      <c r="E7963" s="140"/>
      <c r="F7963" s="140"/>
      <c r="G7963" s="141"/>
      <c r="H7963" s="140"/>
      <c r="I7963" s="140"/>
      <c r="J7963" s="140"/>
      <c r="K7963" s="140"/>
    </row>
    <row r="7964">
      <c r="A7964" s="140"/>
      <c r="B7964" s="140"/>
      <c r="C7964" s="140"/>
      <c r="D7964" s="140"/>
      <c r="E7964" s="140"/>
      <c r="F7964" s="140"/>
      <c r="G7964" s="141"/>
      <c r="H7964" s="140"/>
      <c r="I7964" s="140"/>
      <c r="J7964" s="140"/>
      <c r="K7964" s="140"/>
    </row>
    <row r="7965">
      <c r="A7965" s="140"/>
      <c r="B7965" s="140"/>
      <c r="C7965" s="140"/>
      <c r="D7965" s="140"/>
      <c r="E7965" s="140"/>
      <c r="F7965" s="140"/>
      <c r="G7965" s="141"/>
      <c r="H7965" s="140"/>
      <c r="I7965" s="140"/>
      <c r="J7965" s="140"/>
      <c r="K7965" s="140"/>
    </row>
    <row r="7966">
      <c r="A7966" s="140"/>
      <c r="B7966" s="140"/>
      <c r="C7966" s="140"/>
      <c r="D7966" s="140"/>
      <c r="E7966" s="140"/>
      <c r="F7966" s="140"/>
      <c r="G7966" s="141"/>
      <c r="H7966" s="140"/>
      <c r="I7966" s="140"/>
      <c r="J7966" s="140"/>
      <c r="K7966" s="140"/>
    </row>
    <row r="7967">
      <c r="A7967" s="140"/>
      <c r="B7967" s="140"/>
      <c r="C7967" s="140"/>
      <c r="D7967" s="140"/>
      <c r="E7967" s="140"/>
      <c r="F7967" s="140"/>
      <c r="G7967" s="141"/>
      <c r="H7967" s="140"/>
      <c r="I7967" s="140"/>
      <c r="J7967" s="140"/>
      <c r="K7967" s="140"/>
    </row>
    <row r="7968">
      <c r="A7968" s="140"/>
      <c r="B7968" s="140"/>
      <c r="C7968" s="140"/>
      <c r="D7968" s="140"/>
      <c r="E7968" s="140"/>
      <c r="F7968" s="140"/>
      <c r="G7968" s="141"/>
      <c r="H7968" s="140"/>
      <c r="I7968" s="140"/>
      <c r="J7968" s="140"/>
      <c r="K7968" s="140"/>
    </row>
    <row r="7969">
      <c r="A7969" s="140"/>
      <c r="B7969" s="140"/>
      <c r="C7969" s="140"/>
      <c r="D7969" s="140"/>
      <c r="E7969" s="140"/>
      <c r="F7969" s="140"/>
      <c r="G7969" s="141"/>
      <c r="H7969" s="140"/>
      <c r="I7969" s="140"/>
      <c r="J7969" s="140"/>
      <c r="K7969" s="140"/>
    </row>
    <row r="7970">
      <c r="A7970" s="140"/>
      <c r="B7970" s="140"/>
      <c r="C7970" s="140"/>
      <c r="D7970" s="140"/>
      <c r="E7970" s="140"/>
      <c r="F7970" s="140"/>
      <c r="G7970" s="141"/>
      <c r="H7970" s="140"/>
      <c r="I7970" s="140"/>
      <c r="J7970" s="140"/>
      <c r="K7970" s="140"/>
    </row>
    <row r="7971">
      <c r="A7971" s="140"/>
      <c r="B7971" s="140"/>
      <c r="C7971" s="140"/>
      <c r="D7971" s="140"/>
      <c r="E7971" s="140"/>
      <c r="F7971" s="140"/>
      <c r="G7971" s="141"/>
      <c r="H7971" s="140"/>
      <c r="I7971" s="140"/>
      <c r="J7971" s="140"/>
      <c r="K7971" s="140"/>
    </row>
    <row r="7972">
      <c r="A7972" s="140"/>
      <c r="B7972" s="140"/>
      <c r="C7972" s="140"/>
      <c r="D7972" s="140"/>
      <c r="E7972" s="140"/>
      <c r="F7972" s="140"/>
      <c r="G7972" s="141"/>
      <c r="H7972" s="140"/>
      <c r="I7972" s="140"/>
      <c r="J7972" s="140"/>
      <c r="K7972" s="140"/>
    </row>
    <row r="7973">
      <c r="A7973" s="140"/>
      <c r="B7973" s="140"/>
      <c r="C7973" s="140"/>
      <c r="D7973" s="140"/>
      <c r="E7973" s="140"/>
      <c r="F7973" s="140"/>
      <c r="G7973" s="141"/>
      <c r="H7973" s="140"/>
      <c r="I7973" s="140"/>
      <c r="J7973" s="140"/>
      <c r="K7973" s="140"/>
    </row>
    <row r="7974">
      <c r="A7974" s="140"/>
      <c r="B7974" s="140"/>
      <c r="C7974" s="140"/>
      <c r="D7974" s="140"/>
      <c r="E7974" s="140"/>
      <c r="F7974" s="140"/>
      <c r="G7974" s="141"/>
      <c r="H7974" s="140"/>
      <c r="I7974" s="140"/>
      <c r="J7974" s="140"/>
      <c r="K7974" s="140"/>
    </row>
    <row r="7975">
      <c r="A7975" s="140"/>
      <c r="B7975" s="140"/>
      <c r="C7975" s="140"/>
      <c r="D7975" s="140"/>
      <c r="E7975" s="140"/>
      <c r="F7975" s="140"/>
      <c r="G7975" s="141"/>
      <c r="H7975" s="140"/>
      <c r="I7975" s="140"/>
      <c r="J7975" s="140"/>
      <c r="K7975" s="140"/>
    </row>
    <row r="7976">
      <c r="A7976" s="140"/>
      <c r="B7976" s="140"/>
      <c r="C7976" s="140"/>
      <c r="D7976" s="140"/>
      <c r="E7976" s="140"/>
      <c r="F7976" s="140"/>
      <c r="G7976" s="141"/>
      <c r="H7976" s="140"/>
      <c r="I7976" s="140"/>
      <c r="J7976" s="140"/>
      <c r="K7976" s="140"/>
    </row>
    <row r="7977">
      <c r="A7977" s="140"/>
      <c r="B7977" s="140"/>
      <c r="C7977" s="140"/>
      <c r="D7977" s="140"/>
      <c r="E7977" s="140"/>
      <c r="F7977" s="140"/>
      <c r="G7977" s="141"/>
      <c r="H7977" s="140"/>
      <c r="I7977" s="140"/>
      <c r="J7977" s="140"/>
      <c r="K7977" s="140"/>
    </row>
    <row r="7978">
      <c r="A7978" s="140"/>
      <c r="B7978" s="140"/>
      <c r="C7978" s="140"/>
      <c r="D7978" s="140"/>
      <c r="E7978" s="140"/>
      <c r="F7978" s="140"/>
      <c r="G7978" s="141"/>
      <c r="H7978" s="140"/>
      <c r="I7978" s="140"/>
      <c r="J7978" s="140"/>
      <c r="K7978" s="140"/>
    </row>
    <row r="7979">
      <c r="A7979" s="140"/>
      <c r="B7979" s="140"/>
      <c r="C7979" s="140"/>
      <c r="D7979" s="140"/>
      <c r="E7979" s="140"/>
      <c r="F7979" s="140"/>
      <c r="G7979" s="141"/>
      <c r="H7979" s="140"/>
      <c r="I7979" s="140"/>
      <c r="J7979" s="140"/>
      <c r="K7979" s="140"/>
    </row>
    <row r="7980">
      <c r="A7980" s="140"/>
      <c r="B7980" s="140"/>
      <c r="C7980" s="140"/>
      <c r="D7980" s="140"/>
      <c r="E7980" s="140"/>
      <c r="F7980" s="140"/>
      <c r="G7980" s="141"/>
      <c r="H7980" s="140"/>
      <c r="I7980" s="140"/>
      <c r="J7980" s="140"/>
      <c r="K7980" s="140"/>
    </row>
    <row r="7981">
      <c r="A7981" s="140"/>
      <c r="B7981" s="140"/>
      <c r="C7981" s="140"/>
      <c r="D7981" s="140"/>
      <c r="E7981" s="140"/>
      <c r="F7981" s="140"/>
      <c r="G7981" s="141"/>
      <c r="H7981" s="140"/>
      <c r="I7981" s="140"/>
      <c r="J7981" s="140"/>
      <c r="K7981" s="140"/>
    </row>
    <row r="7982">
      <c r="A7982" s="140"/>
      <c r="B7982" s="140"/>
      <c r="C7982" s="140"/>
      <c r="D7982" s="140"/>
      <c r="E7982" s="140"/>
      <c r="F7982" s="140"/>
      <c r="G7982" s="141"/>
      <c r="H7982" s="140"/>
      <c r="I7982" s="140"/>
      <c r="J7982" s="140"/>
      <c r="K7982" s="140"/>
    </row>
    <row r="7983">
      <c r="A7983" s="140"/>
      <c r="B7983" s="140"/>
      <c r="C7983" s="140"/>
      <c r="D7983" s="140"/>
      <c r="E7983" s="140"/>
      <c r="F7983" s="140"/>
      <c r="G7983" s="141"/>
      <c r="H7983" s="140"/>
      <c r="I7983" s="140"/>
      <c r="J7983" s="140"/>
      <c r="K7983" s="140"/>
    </row>
    <row r="7984">
      <c r="A7984" s="140"/>
      <c r="B7984" s="140"/>
      <c r="C7984" s="140"/>
      <c r="D7984" s="140"/>
      <c r="E7984" s="140"/>
      <c r="F7984" s="140"/>
      <c r="G7984" s="141"/>
      <c r="H7984" s="140"/>
      <c r="I7984" s="140"/>
      <c r="J7984" s="140"/>
      <c r="K7984" s="140"/>
    </row>
    <row r="7985">
      <c r="A7985" s="140"/>
      <c r="B7985" s="140"/>
      <c r="C7985" s="140"/>
      <c r="D7985" s="140"/>
      <c r="E7985" s="140"/>
      <c r="F7985" s="140"/>
      <c r="G7985" s="141"/>
      <c r="H7985" s="140"/>
      <c r="I7985" s="140"/>
      <c r="J7985" s="140"/>
      <c r="K7985" s="140"/>
    </row>
    <row r="7986">
      <c r="A7986" s="140"/>
      <c r="B7986" s="140"/>
      <c r="C7986" s="140"/>
      <c r="D7986" s="140"/>
      <c r="E7986" s="140"/>
      <c r="F7986" s="140"/>
      <c r="G7986" s="141"/>
      <c r="H7986" s="140"/>
      <c r="I7986" s="140"/>
      <c r="J7986" s="140"/>
      <c r="K7986" s="140"/>
    </row>
    <row r="7987">
      <c r="A7987" s="140"/>
      <c r="B7987" s="140"/>
      <c r="C7987" s="140"/>
      <c r="D7987" s="140"/>
      <c r="E7987" s="140"/>
      <c r="F7987" s="140"/>
      <c r="G7987" s="141"/>
      <c r="H7987" s="140"/>
      <c r="I7987" s="140"/>
      <c r="J7987" s="140"/>
      <c r="K7987" s="140"/>
    </row>
    <row r="7988">
      <c r="A7988" s="140"/>
      <c r="B7988" s="140"/>
      <c r="C7988" s="140"/>
      <c r="D7988" s="140"/>
      <c r="E7988" s="140"/>
      <c r="F7988" s="140"/>
      <c r="G7988" s="141"/>
      <c r="H7988" s="140"/>
      <c r="I7988" s="140"/>
      <c r="J7988" s="140"/>
      <c r="K7988" s="140"/>
    </row>
    <row r="7989">
      <c r="A7989" s="140"/>
      <c r="B7989" s="140"/>
      <c r="C7989" s="140"/>
      <c r="D7989" s="140"/>
      <c r="E7989" s="140"/>
      <c r="F7989" s="140"/>
      <c r="G7989" s="141"/>
      <c r="H7989" s="140"/>
      <c r="I7989" s="140"/>
      <c r="J7989" s="140"/>
      <c r="K7989" s="140"/>
    </row>
    <row r="7990">
      <c r="A7990" s="140"/>
      <c r="B7990" s="140"/>
      <c r="C7990" s="140"/>
      <c r="D7990" s="140"/>
      <c r="E7990" s="140"/>
      <c r="F7990" s="140"/>
      <c r="G7990" s="141"/>
      <c r="H7990" s="140"/>
      <c r="I7990" s="140"/>
      <c r="J7990" s="140"/>
      <c r="K7990" s="140"/>
    </row>
    <row r="7991">
      <c r="A7991" s="140"/>
      <c r="B7991" s="140"/>
      <c r="C7991" s="140"/>
      <c r="D7991" s="140"/>
      <c r="E7991" s="140"/>
      <c r="F7991" s="140"/>
      <c r="G7991" s="141"/>
      <c r="H7991" s="140"/>
      <c r="I7991" s="140"/>
      <c r="J7991" s="140"/>
      <c r="K7991" s="140"/>
    </row>
    <row r="7992">
      <c r="A7992" s="140"/>
      <c r="B7992" s="140"/>
      <c r="C7992" s="140"/>
      <c r="D7992" s="140"/>
      <c r="E7992" s="140"/>
      <c r="F7992" s="140"/>
      <c r="G7992" s="141"/>
      <c r="H7992" s="140"/>
      <c r="I7992" s="140"/>
      <c r="J7992" s="140"/>
      <c r="K7992" s="140"/>
    </row>
    <row r="7993">
      <c r="A7993" s="140"/>
      <c r="B7993" s="140"/>
      <c r="C7993" s="140"/>
      <c r="D7993" s="140"/>
      <c r="E7993" s="140"/>
      <c r="F7993" s="140"/>
      <c r="G7993" s="141"/>
      <c r="H7993" s="140"/>
      <c r="I7993" s="140"/>
      <c r="J7993" s="140"/>
      <c r="K7993" s="140"/>
    </row>
    <row r="7994">
      <c r="A7994" s="140"/>
      <c r="B7994" s="140"/>
      <c r="C7994" s="140"/>
      <c r="D7994" s="140"/>
      <c r="E7994" s="140"/>
      <c r="F7994" s="140"/>
      <c r="G7994" s="141"/>
      <c r="H7994" s="140"/>
      <c r="I7994" s="140"/>
      <c r="J7994" s="140"/>
      <c r="K7994" s="140"/>
    </row>
    <row r="7995">
      <c r="A7995" s="140"/>
      <c r="B7995" s="140"/>
      <c r="C7995" s="140"/>
      <c r="D7995" s="140"/>
      <c r="E7995" s="140"/>
      <c r="F7995" s="140"/>
      <c r="G7995" s="141"/>
      <c r="H7995" s="140"/>
      <c r="I7995" s="140"/>
      <c r="J7995" s="140"/>
      <c r="K7995" s="140"/>
    </row>
    <row r="7996">
      <c r="A7996" s="140"/>
      <c r="B7996" s="140"/>
      <c r="C7996" s="140"/>
      <c r="D7996" s="140"/>
      <c r="E7996" s="140"/>
      <c r="F7996" s="140"/>
      <c r="G7996" s="141"/>
      <c r="H7996" s="140"/>
      <c r="I7996" s="140"/>
      <c r="J7996" s="140"/>
      <c r="K7996" s="140"/>
    </row>
    <row r="7997">
      <c r="A7997" s="140"/>
      <c r="B7997" s="140"/>
      <c r="C7997" s="140"/>
      <c r="D7997" s="140"/>
      <c r="E7997" s="140"/>
      <c r="F7997" s="140"/>
      <c r="G7997" s="141"/>
      <c r="H7997" s="140"/>
      <c r="I7997" s="140"/>
      <c r="J7997" s="140"/>
      <c r="K7997" s="140"/>
    </row>
    <row r="7998">
      <c r="A7998" s="140"/>
      <c r="B7998" s="140"/>
      <c r="C7998" s="140"/>
      <c r="D7998" s="140"/>
      <c r="E7998" s="140"/>
      <c r="F7998" s="140"/>
      <c r="G7998" s="141"/>
      <c r="H7998" s="140"/>
      <c r="I7998" s="140"/>
      <c r="J7998" s="140"/>
      <c r="K7998" s="140"/>
    </row>
    <row r="7999">
      <c r="A7999" s="140"/>
      <c r="B7999" s="140"/>
      <c r="C7999" s="140"/>
      <c r="D7999" s="140"/>
      <c r="E7999" s="140"/>
      <c r="F7999" s="140"/>
      <c r="G7999" s="141"/>
      <c r="H7999" s="140"/>
      <c r="I7999" s="140"/>
      <c r="J7999" s="140"/>
      <c r="K7999" s="140"/>
    </row>
    <row r="8000">
      <c r="A8000" s="140"/>
      <c r="B8000" s="140"/>
      <c r="C8000" s="140"/>
      <c r="D8000" s="140"/>
      <c r="E8000" s="140"/>
      <c r="F8000" s="140"/>
      <c r="G8000" s="141"/>
      <c r="H8000" s="140"/>
      <c r="I8000" s="140"/>
      <c r="J8000" s="140"/>
      <c r="K8000" s="140"/>
    </row>
    <row r="8001">
      <c r="A8001" s="140"/>
      <c r="B8001" s="140"/>
      <c r="C8001" s="140"/>
      <c r="D8001" s="140"/>
      <c r="E8001" s="140"/>
      <c r="F8001" s="140"/>
      <c r="G8001" s="141"/>
      <c r="H8001" s="140"/>
      <c r="I8001" s="140"/>
      <c r="J8001" s="140"/>
      <c r="K8001" s="140"/>
    </row>
    <row r="8002">
      <c r="A8002" s="140"/>
      <c r="B8002" s="140"/>
      <c r="C8002" s="140"/>
      <c r="D8002" s="140"/>
      <c r="E8002" s="140"/>
      <c r="F8002" s="140"/>
      <c r="G8002" s="141"/>
      <c r="H8002" s="140"/>
      <c r="I8002" s="140"/>
      <c r="J8002" s="140"/>
      <c r="K8002" s="140"/>
    </row>
    <row r="8003">
      <c r="A8003" s="140"/>
      <c r="B8003" s="140"/>
      <c r="C8003" s="140"/>
      <c r="D8003" s="140"/>
      <c r="E8003" s="140"/>
      <c r="F8003" s="140"/>
      <c r="G8003" s="141"/>
      <c r="H8003" s="140"/>
      <c r="I8003" s="140"/>
      <c r="J8003" s="140"/>
      <c r="K8003" s="140"/>
    </row>
    <row r="8004">
      <c r="A8004" s="140"/>
      <c r="B8004" s="140"/>
      <c r="C8004" s="140"/>
      <c r="D8004" s="140"/>
      <c r="E8004" s="140"/>
      <c r="F8004" s="140"/>
      <c r="G8004" s="141"/>
      <c r="H8004" s="140"/>
      <c r="I8004" s="140"/>
      <c r="J8004" s="140"/>
      <c r="K8004" s="140"/>
    </row>
    <row r="8005">
      <c r="A8005" s="140"/>
      <c r="B8005" s="140"/>
      <c r="C8005" s="140"/>
      <c r="D8005" s="140"/>
      <c r="E8005" s="140"/>
      <c r="F8005" s="140"/>
      <c r="G8005" s="141"/>
      <c r="H8005" s="140"/>
      <c r="I8005" s="140"/>
      <c r="J8005" s="140"/>
      <c r="K8005" s="140"/>
    </row>
    <row r="8006">
      <c r="A8006" s="140"/>
      <c r="B8006" s="140"/>
      <c r="C8006" s="140"/>
      <c r="D8006" s="140"/>
      <c r="E8006" s="140"/>
      <c r="F8006" s="140"/>
      <c r="G8006" s="141"/>
      <c r="H8006" s="140"/>
      <c r="I8006" s="140"/>
      <c r="J8006" s="140"/>
      <c r="K8006" s="140"/>
    </row>
    <row r="8007">
      <c r="A8007" s="140"/>
      <c r="B8007" s="140"/>
      <c r="C8007" s="140"/>
      <c r="D8007" s="140"/>
      <c r="E8007" s="140"/>
      <c r="F8007" s="140"/>
      <c r="G8007" s="141"/>
      <c r="H8007" s="140"/>
      <c r="I8007" s="140"/>
      <c r="J8007" s="140"/>
      <c r="K8007" s="140"/>
    </row>
    <row r="8008">
      <c r="A8008" s="140"/>
      <c r="B8008" s="140"/>
      <c r="C8008" s="140"/>
      <c r="D8008" s="140"/>
      <c r="E8008" s="140"/>
      <c r="F8008" s="140"/>
      <c r="G8008" s="141"/>
      <c r="H8008" s="140"/>
      <c r="I8008" s="140"/>
      <c r="J8008" s="140"/>
      <c r="K8008" s="140"/>
    </row>
    <row r="8009">
      <c r="A8009" s="140"/>
      <c r="B8009" s="140"/>
      <c r="C8009" s="140"/>
      <c r="D8009" s="140"/>
      <c r="E8009" s="140"/>
      <c r="F8009" s="140"/>
      <c r="G8009" s="141"/>
      <c r="H8009" s="140"/>
      <c r="I8009" s="140"/>
      <c r="J8009" s="140"/>
      <c r="K8009" s="140"/>
    </row>
    <row r="8010">
      <c r="A8010" s="140"/>
      <c r="B8010" s="140"/>
      <c r="C8010" s="140"/>
      <c r="D8010" s="140"/>
      <c r="E8010" s="140"/>
      <c r="F8010" s="140"/>
      <c r="G8010" s="141"/>
      <c r="H8010" s="140"/>
      <c r="I8010" s="140"/>
      <c r="J8010" s="140"/>
      <c r="K8010" s="140"/>
    </row>
    <row r="8011">
      <c r="A8011" s="140"/>
      <c r="B8011" s="140"/>
      <c r="C8011" s="140"/>
      <c r="D8011" s="140"/>
      <c r="E8011" s="140"/>
      <c r="F8011" s="140"/>
      <c r="G8011" s="141"/>
      <c r="H8011" s="140"/>
      <c r="I8011" s="140"/>
      <c r="J8011" s="140"/>
      <c r="K8011" s="140"/>
    </row>
    <row r="8012">
      <c r="A8012" s="140"/>
      <c r="B8012" s="140"/>
      <c r="C8012" s="140"/>
      <c r="D8012" s="140"/>
      <c r="E8012" s="140"/>
      <c r="F8012" s="140"/>
      <c r="G8012" s="141"/>
      <c r="H8012" s="140"/>
      <c r="I8012" s="140"/>
      <c r="J8012" s="140"/>
      <c r="K8012" s="140"/>
    </row>
    <row r="8013">
      <c r="A8013" s="140"/>
      <c r="B8013" s="140"/>
      <c r="C8013" s="140"/>
      <c r="D8013" s="140"/>
      <c r="E8013" s="140"/>
      <c r="F8013" s="140"/>
      <c r="G8013" s="141"/>
      <c r="H8013" s="140"/>
      <c r="I8013" s="140"/>
      <c r="J8013" s="140"/>
      <c r="K8013" s="140"/>
    </row>
    <row r="8014">
      <c r="A8014" s="140"/>
      <c r="B8014" s="140"/>
      <c r="C8014" s="140"/>
      <c r="D8014" s="140"/>
      <c r="E8014" s="140"/>
      <c r="F8014" s="140"/>
      <c r="G8014" s="141"/>
      <c r="H8014" s="140"/>
      <c r="I8014" s="140"/>
      <c r="J8014" s="140"/>
      <c r="K8014" s="140"/>
    </row>
    <row r="8015">
      <c r="A8015" s="140"/>
      <c r="B8015" s="140"/>
      <c r="C8015" s="140"/>
      <c r="D8015" s="140"/>
      <c r="E8015" s="140"/>
      <c r="F8015" s="140"/>
      <c r="G8015" s="141"/>
      <c r="H8015" s="140"/>
      <c r="I8015" s="140"/>
      <c r="J8015" s="140"/>
      <c r="K8015" s="140"/>
    </row>
    <row r="8016">
      <c r="A8016" s="140"/>
      <c r="B8016" s="140"/>
      <c r="C8016" s="140"/>
      <c r="D8016" s="140"/>
      <c r="E8016" s="140"/>
      <c r="F8016" s="140"/>
      <c r="G8016" s="141"/>
      <c r="H8016" s="140"/>
      <c r="I8016" s="140"/>
      <c r="J8016" s="140"/>
      <c r="K8016" s="140"/>
    </row>
    <row r="8017">
      <c r="A8017" s="140"/>
      <c r="B8017" s="140"/>
      <c r="C8017" s="140"/>
      <c r="D8017" s="140"/>
      <c r="E8017" s="140"/>
      <c r="F8017" s="140"/>
      <c r="G8017" s="141"/>
      <c r="H8017" s="140"/>
      <c r="I8017" s="140"/>
      <c r="J8017" s="140"/>
      <c r="K8017" s="140"/>
    </row>
    <row r="8018">
      <c r="A8018" s="140"/>
      <c r="B8018" s="140"/>
      <c r="C8018" s="140"/>
      <c r="D8018" s="140"/>
      <c r="E8018" s="140"/>
      <c r="F8018" s="140"/>
      <c r="G8018" s="141"/>
      <c r="H8018" s="140"/>
      <c r="I8018" s="140"/>
      <c r="J8018" s="140"/>
      <c r="K8018" s="140"/>
    </row>
    <row r="8019">
      <c r="A8019" s="140"/>
      <c r="B8019" s="140"/>
      <c r="C8019" s="140"/>
      <c r="D8019" s="140"/>
      <c r="E8019" s="140"/>
      <c r="F8019" s="140"/>
      <c r="G8019" s="141"/>
      <c r="H8019" s="140"/>
      <c r="I8019" s="140"/>
      <c r="J8019" s="140"/>
      <c r="K8019" s="140"/>
    </row>
    <row r="8020">
      <c r="A8020" s="140"/>
      <c r="B8020" s="140"/>
      <c r="C8020" s="140"/>
      <c r="D8020" s="140"/>
      <c r="E8020" s="140"/>
      <c r="F8020" s="140"/>
      <c r="G8020" s="141"/>
      <c r="H8020" s="140"/>
      <c r="I8020" s="140"/>
      <c r="J8020" s="140"/>
      <c r="K8020" s="140"/>
    </row>
    <row r="8021">
      <c r="A8021" s="140"/>
      <c r="B8021" s="140"/>
      <c r="C8021" s="140"/>
      <c r="D8021" s="140"/>
      <c r="E8021" s="140"/>
      <c r="F8021" s="140"/>
      <c r="G8021" s="141"/>
      <c r="H8021" s="140"/>
      <c r="I8021" s="140"/>
      <c r="J8021" s="140"/>
      <c r="K8021" s="140"/>
    </row>
    <row r="8022">
      <c r="A8022" s="140"/>
      <c r="B8022" s="140"/>
      <c r="C8022" s="140"/>
      <c r="D8022" s="140"/>
      <c r="E8022" s="140"/>
      <c r="F8022" s="140"/>
      <c r="G8022" s="141"/>
      <c r="H8022" s="140"/>
      <c r="I8022" s="140"/>
      <c r="J8022" s="140"/>
      <c r="K8022" s="140"/>
    </row>
    <row r="8023">
      <c r="A8023" s="140"/>
      <c r="B8023" s="140"/>
      <c r="C8023" s="140"/>
      <c r="D8023" s="140"/>
      <c r="E8023" s="140"/>
      <c r="F8023" s="140"/>
      <c r="G8023" s="141"/>
      <c r="H8023" s="140"/>
      <c r="I8023" s="140"/>
      <c r="J8023" s="140"/>
      <c r="K8023" s="140"/>
    </row>
    <row r="8024">
      <c r="A8024" s="140"/>
      <c r="B8024" s="140"/>
      <c r="C8024" s="140"/>
      <c r="D8024" s="140"/>
      <c r="E8024" s="140"/>
      <c r="F8024" s="140"/>
      <c r="G8024" s="141"/>
      <c r="H8024" s="140"/>
      <c r="I8024" s="140"/>
      <c r="J8024" s="140"/>
      <c r="K8024" s="140"/>
    </row>
    <row r="8025">
      <c r="A8025" s="140"/>
      <c r="B8025" s="140"/>
      <c r="C8025" s="140"/>
      <c r="D8025" s="140"/>
      <c r="E8025" s="140"/>
      <c r="F8025" s="140"/>
      <c r="G8025" s="141"/>
      <c r="H8025" s="140"/>
      <c r="I8025" s="140"/>
      <c r="J8025" s="140"/>
      <c r="K8025" s="140"/>
    </row>
    <row r="8026">
      <c r="A8026" s="140"/>
      <c r="B8026" s="140"/>
      <c r="C8026" s="140"/>
      <c r="D8026" s="140"/>
      <c r="E8026" s="140"/>
      <c r="F8026" s="140"/>
      <c r="G8026" s="141"/>
      <c r="H8026" s="140"/>
      <c r="I8026" s="140"/>
      <c r="J8026" s="140"/>
      <c r="K8026" s="140"/>
    </row>
    <row r="8027">
      <c r="A8027" s="140"/>
      <c r="B8027" s="140"/>
      <c r="C8027" s="140"/>
      <c r="D8027" s="140"/>
      <c r="E8027" s="140"/>
      <c r="F8027" s="140"/>
      <c r="G8027" s="141"/>
      <c r="H8027" s="140"/>
      <c r="I8027" s="140"/>
      <c r="J8027" s="140"/>
      <c r="K8027" s="140"/>
    </row>
    <row r="8028">
      <c r="A8028" s="140"/>
      <c r="B8028" s="140"/>
      <c r="C8028" s="140"/>
      <c r="D8028" s="140"/>
      <c r="E8028" s="140"/>
      <c r="F8028" s="140"/>
      <c r="G8028" s="141"/>
      <c r="H8028" s="140"/>
      <c r="I8028" s="140"/>
      <c r="J8028" s="140"/>
      <c r="K8028" s="140"/>
    </row>
    <row r="8029">
      <c r="A8029" s="140"/>
      <c r="B8029" s="140"/>
      <c r="C8029" s="140"/>
      <c r="D8029" s="140"/>
      <c r="E8029" s="140"/>
      <c r="F8029" s="140"/>
      <c r="G8029" s="141"/>
      <c r="H8029" s="140"/>
      <c r="I8029" s="140"/>
      <c r="J8029" s="140"/>
      <c r="K8029" s="140"/>
    </row>
    <row r="8030">
      <c r="A8030" s="140"/>
      <c r="B8030" s="140"/>
      <c r="C8030" s="140"/>
      <c r="D8030" s="140"/>
      <c r="E8030" s="140"/>
      <c r="F8030" s="140"/>
      <c r="G8030" s="141"/>
      <c r="H8030" s="140"/>
      <c r="I8030" s="140"/>
      <c r="J8030" s="140"/>
      <c r="K8030" s="140"/>
    </row>
    <row r="8031">
      <c r="A8031" s="140"/>
      <c r="B8031" s="140"/>
      <c r="C8031" s="140"/>
      <c r="D8031" s="140"/>
      <c r="E8031" s="140"/>
      <c r="F8031" s="140"/>
      <c r="G8031" s="141"/>
      <c r="H8031" s="140"/>
      <c r="I8031" s="140"/>
      <c r="J8031" s="140"/>
      <c r="K8031" s="140"/>
    </row>
    <row r="8032">
      <c r="A8032" s="140"/>
      <c r="B8032" s="140"/>
      <c r="C8032" s="140"/>
      <c r="D8032" s="140"/>
      <c r="E8032" s="140"/>
      <c r="F8032" s="140"/>
      <c r="G8032" s="141"/>
      <c r="H8032" s="140"/>
      <c r="I8032" s="140"/>
      <c r="J8032" s="140"/>
      <c r="K8032" s="140"/>
    </row>
    <row r="8033">
      <c r="A8033" s="140"/>
      <c r="B8033" s="140"/>
      <c r="C8033" s="140"/>
      <c r="D8033" s="140"/>
      <c r="E8033" s="140"/>
      <c r="F8033" s="140"/>
      <c r="G8033" s="141"/>
      <c r="H8033" s="140"/>
      <c r="I8033" s="140"/>
      <c r="J8033" s="140"/>
      <c r="K8033" s="140"/>
    </row>
    <row r="8034">
      <c r="A8034" s="140"/>
      <c r="B8034" s="140"/>
      <c r="C8034" s="140"/>
      <c r="D8034" s="140"/>
      <c r="E8034" s="140"/>
      <c r="F8034" s="140"/>
      <c r="G8034" s="141"/>
      <c r="H8034" s="140"/>
      <c r="I8034" s="140"/>
      <c r="J8034" s="140"/>
      <c r="K8034" s="140"/>
    </row>
    <row r="8035">
      <c r="A8035" s="140"/>
      <c r="B8035" s="140"/>
      <c r="C8035" s="140"/>
      <c r="D8035" s="140"/>
      <c r="E8035" s="140"/>
      <c r="F8035" s="140"/>
      <c r="G8035" s="141"/>
      <c r="H8035" s="140"/>
      <c r="I8035" s="140"/>
      <c r="J8035" s="140"/>
      <c r="K8035" s="140"/>
    </row>
    <row r="8036">
      <c r="A8036" s="140"/>
      <c r="B8036" s="140"/>
      <c r="C8036" s="140"/>
      <c r="D8036" s="140"/>
      <c r="E8036" s="140"/>
      <c r="F8036" s="140"/>
      <c r="G8036" s="141"/>
      <c r="H8036" s="140"/>
      <c r="I8036" s="140"/>
      <c r="J8036" s="140"/>
      <c r="K8036" s="140"/>
    </row>
    <row r="8037">
      <c r="A8037" s="140"/>
      <c r="B8037" s="140"/>
      <c r="C8037" s="140"/>
      <c r="D8037" s="140"/>
      <c r="E8037" s="140"/>
      <c r="F8037" s="140"/>
      <c r="G8037" s="141"/>
      <c r="H8037" s="140"/>
      <c r="I8037" s="140"/>
      <c r="J8037" s="140"/>
      <c r="K8037" s="140"/>
    </row>
    <row r="8038">
      <c r="A8038" s="140"/>
      <c r="B8038" s="140"/>
      <c r="C8038" s="140"/>
      <c r="D8038" s="140"/>
      <c r="E8038" s="140"/>
      <c r="F8038" s="140"/>
      <c r="G8038" s="141"/>
      <c r="H8038" s="140"/>
      <c r="I8038" s="140"/>
      <c r="J8038" s="140"/>
      <c r="K8038" s="140"/>
    </row>
    <row r="8039">
      <c r="A8039" s="140"/>
      <c r="B8039" s="140"/>
      <c r="C8039" s="140"/>
      <c r="D8039" s="140"/>
      <c r="E8039" s="140"/>
      <c r="F8039" s="140"/>
      <c r="G8039" s="141"/>
      <c r="H8039" s="140"/>
      <c r="I8039" s="140"/>
      <c r="J8039" s="140"/>
      <c r="K8039" s="140"/>
    </row>
    <row r="8040">
      <c r="A8040" s="140"/>
      <c r="B8040" s="140"/>
      <c r="C8040" s="140"/>
      <c r="D8040" s="140"/>
      <c r="E8040" s="140"/>
      <c r="F8040" s="140"/>
      <c r="G8040" s="141"/>
      <c r="H8040" s="140"/>
      <c r="I8040" s="140"/>
      <c r="J8040" s="140"/>
      <c r="K8040" s="140"/>
    </row>
    <row r="8041">
      <c r="A8041" s="140"/>
      <c r="B8041" s="140"/>
      <c r="C8041" s="140"/>
      <c r="D8041" s="140"/>
      <c r="E8041" s="140"/>
      <c r="F8041" s="140"/>
      <c r="G8041" s="141"/>
      <c r="H8041" s="140"/>
      <c r="I8041" s="140"/>
      <c r="J8041" s="140"/>
      <c r="K8041" s="140"/>
    </row>
    <row r="8042">
      <c r="A8042" s="140"/>
      <c r="B8042" s="140"/>
      <c r="C8042" s="140"/>
      <c r="D8042" s="140"/>
      <c r="E8042" s="140"/>
      <c r="F8042" s="140"/>
      <c r="G8042" s="141"/>
      <c r="H8042" s="140"/>
      <c r="I8042" s="140"/>
      <c r="J8042" s="140"/>
      <c r="K8042" s="140"/>
    </row>
    <row r="8043">
      <c r="A8043" s="140"/>
      <c r="B8043" s="140"/>
      <c r="C8043" s="140"/>
      <c r="D8043" s="140"/>
      <c r="E8043" s="140"/>
      <c r="F8043" s="140"/>
      <c r="G8043" s="141"/>
      <c r="H8043" s="140"/>
      <c r="I8043" s="140"/>
      <c r="J8043" s="140"/>
      <c r="K8043" s="140"/>
    </row>
    <row r="8044">
      <c r="A8044" s="140"/>
      <c r="B8044" s="140"/>
      <c r="C8044" s="140"/>
      <c r="D8044" s="140"/>
      <c r="E8044" s="140"/>
      <c r="F8044" s="140"/>
      <c r="G8044" s="141"/>
      <c r="H8044" s="140"/>
      <c r="I8044" s="140"/>
      <c r="J8044" s="140"/>
      <c r="K8044" s="140"/>
    </row>
    <row r="8045">
      <c r="A8045" s="140"/>
      <c r="B8045" s="140"/>
      <c r="C8045" s="140"/>
      <c r="D8045" s="140"/>
      <c r="E8045" s="140"/>
      <c r="F8045" s="140"/>
      <c r="G8045" s="141"/>
      <c r="H8045" s="140"/>
      <c r="I8045" s="140"/>
      <c r="J8045" s="140"/>
      <c r="K8045" s="140"/>
    </row>
    <row r="8046">
      <c r="A8046" s="140"/>
      <c r="B8046" s="140"/>
      <c r="C8046" s="140"/>
      <c r="D8046" s="140"/>
      <c r="E8046" s="140"/>
      <c r="F8046" s="140"/>
      <c r="G8046" s="141"/>
      <c r="H8046" s="140"/>
      <c r="I8046" s="140"/>
      <c r="J8046" s="140"/>
      <c r="K8046" s="140"/>
    </row>
    <row r="8047">
      <c r="A8047" s="140"/>
      <c r="B8047" s="140"/>
      <c r="C8047" s="140"/>
      <c r="D8047" s="140"/>
      <c r="E8047" s="140"/>
      <c r="F8047" s="140"/>
      <c r="G8047" s="141"/>
      <c r="H8047" s="140"/>
      <c r="I8047" s="140"/>
      <c r="J8047" s="140"/>
      <c r="K8047" s="140"/>
    </row>
    <row r="8048">
      <c r="A8048" s="140"/>
      <c r="B8048" s="140"/>
      <c r="C8048" s="140"/>
      <c r="D8048" s="140"/>
      <c r="E8048" s="140"/>
      <c r="F8048" s="140"/>
      <c r="G8048" s="141"/>
      <c r="H8048" s="140"/>
      <c r="I8048" s="140"/>
      <c r="J8048" s="140"/>
      <c r="K8048" s="140"/>
    </row>
    <row r="8049">
      <c r="A8049" s="140"/>
      <c r="B8049" s="140"/>
      <c r="C8049" s="140"/>
      <c r="D8049" s="140"/>
      <c r="E8049" s="140"/>
      <c r="F8049" s="140"/>
      <c r="G8049" s="141"/>
      <c r="H8049" s="140"/>
      <c r="I8049" s="140"/>
      <c r="J8049" s="140"/>
      <c r="K8049" s="140"/>
    </row>
    <row r="8050">
      <c r="A8050" s="140"/>
      <c r="B8050" s="140"/>
      <c r="C8050" s="140"/>
      <c r="D8050" s="140"/>
      <c r="E8050" s="140"/>
      <c r="F8050" s="140"/>
      <c r="G8050" s="141"/>
      <c r="H8050" s="140"/>
      <c r="I8050" s="140"/>
      <c r="J8050" s="140"/>
      <c r="K8050" s="140"/>
    </row>
    <row r="8051">
      <c r="A8051" s="140"/>
      <c r="B8051" s="140"/>
      <c r="C8051" s="140"/>
      <c r="D8051" s="140"/>
      <c r="E8051" s="140"/>
      <c r="F8051" s="140"/>
      <c r="G8051" s="141"/>
      <c r="H8051" s="140"/>
      <c r="I8051" s="140"/>
      <c r="J8051" s="140"/>
      <c r="K8051" s="140"/>
    </row>
    <row r="8052">
      <c r="A8052" s="140"/>
      <c r="B8052" s="140"/>
      <c r="C8052" s="140"/>
      <c r="D8052" s="140"/>
      <c r="E8052" s="140"/>
      <c r="F8052" s="140"/>
      <c r="G8052" s="141"/>
      <c r="H8052" s="140"/>
      <c r="I8052" s="140"/>
      <c r="J8052" s="140"/>
      <c r="K8052" s="140"/>
    </row>
    <row r="8053">
      <c r="A8053" s="140"/>
      <c r="B8053" s="140"/>
      <c r="C8053" s="140"/>
      <c r="D8053" s="140"/>
      <c r="E8053" s="140"/>
      <c r="F8053" s="140"/>
      <c r="G8053" s="141"/>
      <c r="H8053" s="140"/>
      <c r="I8053" s="140"/>
      <c r="J8053" s="140"/>
      <c r="K8053" s="140"/>
    </row>
    <row r="8054">
      <c r="A8054" s="140"/>
      <c r="B8054" s="140"/>
      <c r="C8054" s="140"/>
      <c r="D8054" s="140"/>
      <c r="E8054" s="140"/>
      <c r="F8054" s="140"/>
      <c r="G8054" s="141"/>
      <c r="H8054" s="140"/>
      <c r="I8054" s="140"/>
      <c r="J8054" s="140"/>
      <c r="K8054" s="140"/>
    </row>
    <row r="8055">
      <c r="A8055" s="140"/>
      <c r="B8055" s="140"/>
      <c r="C8055" s="140"/>
      <c r="D8055" s="140"/>
      <c r="E8055" s="140"/>
      <c r="F8055" s="140"/>
      <c r="G8055" s="141"/>
      <c r="H8055" s="140"/>
      <c r="I8055" s="140"/>
      <c r="J8055" s="140"/>
      <c r="K8055" s="140"/>
    </row>
    <row r="8056">
      <c r="A8056" s="140"/>
      <c r="B8056" s="140"/>
      <c r="C8056" s="140"/>
      <c r="D8056" s="140"/>
      <c r="E8056" s="140"/>
      <c r="F8056" s="140"/>
      <c r="G8056" s="141"/>
      <c r="H8056" s="140"/>
      <c r="I8056" s="140"/>
      <c r="J8056" s="140"/>
      <c r="K8056" s="140"/>
    </row>
    <row r="8057">
      <c r="A8057" s="140"/>
      <c r="B8057" s="140"/>
      <c r="C8057" s="140"/>
      <c r="D8057" s="140"/>
      <c r="E8057" s="140"/>
      <c r="F8057" s="140"/>
      <c r="G8057" s="141"/>
      <c r="H8057" s="140"/>
      <c r="I8057" s="140"/>
      <c r="J8057" s="140"/>
      <c r="K8057" s="140"/>
    </row>
    <row r="8058">
      <c r="A8058" s="140"/>
      <c r="B8058" s="140"/>
      <c r="C8058" s="140"/>
      <c r="D8058" s="140"/>
      <c r="E8058" s="140"/>
      <c r="F8058" s="140"/>
      <c r="G8058" s="141"/>
      <c r="H8058" s="140"/>
      <c r="I8058" s="140"/>
      <c r="J8058" s="140"/>
      <c r="K8058" s="140"/>
    </row>
    <row r="8059">
      <c r="A8059" s="140"/>
      <c r="B8059" s="140"/>
      <c r="C8059" s="140"/>
      <c r="D8059" s="140"/>
      <c r="E8059" s="140"/>
      <c r="F8059" s="140"/>
      <c r="G8059" s="141"/>
      <c r="H8059" s="140"/>
      <c r="I8059" s="140"/>
      <c r="J8059" s="140"/>
      <c r="K8059" s="140"/>
    </row>
    <row r="8060">
      <c r="A8060" s="140"/>
      <c r="B8060" s="140"/>
      <c r="C8060" s="140"/>
      <c r="D8060" s="140"/>
      <c r="E8060" s="140"/>
      <c r="F8060" s="140"/>
      <c r="G8060" s="141"/>
      <c r="H8060" s="140"/>
      <c r="I8060" s="140"/>
      <c r="J8060" s="140"/>
      <c r="K8060" s="140"/>
    </row>
    <row r="8061">
      <c r="A8061" s="140"/>
      <c r="B8061" s="140"/>
      <c r="C8061" s="140"/>
      <c r="D8061" s="140"/>
      <c r="E8061" s="140"/>
      <c r="F8061" s="140"/>
      <c r="G8061" s="141"/>
      <c r="H8061" s="140"/>
      <c r="I8061" s="140"/>
      <c r="J8061" s="140"/>
      <c r="K8061" s="140"/>
    </row>
    <row r="8062">
      <c r="A8062" s="140"/>
      <c r="B8062" s="140"/>
      <c r="C8062" s="140"/>
      <c r="D8062" s="140"/>
      <c r="E8062" s="140"/>
      <c r="F8062" s="140"/>
      <c r="G8062" s="141"/>
      <c r="H8062" s="140"/>
      <c r="I8062" s="140"/>
      <c r="J8062" s="140"/>
      <c r="K8062" s="140"/>
    </row>
    <row r="8063">
      <c r="A8063" s="140"/>
      <c r="B8063" s="140"/>
      <c r="C8063" s="140"/>
      <c r="D8063" s="140"/>
      <c r="E8063" s="140"/>
      <c r="F8063" s="140"/>
      <c r="G8063" s="141"/>
      <c r="H8063" s="140"/>
      <c r="I8063" s="140"/>
      <c r="J8063" s="140"/>
      <c r="K8063" s="140"/>
    </row>
    <row r="8064">
      <c r="A8064" s="140"/>
      <c r="B8064" s="140"/>
      <c r="C8064" s="140"/>
      <c r="D8064" s="140"/>
      <c r="E8064" s="140"/>
      <c r="F8064" s="140"/>
      <c r="G8064" s="141"/>
      <c r="H8064" s="140"/>
      <c r="I8064" s="140"/>
      <c r="J8064" s="140"/>
      <c r="K8064" s="140"/>
    </row>
    <row r="8065">
      <c r="A8065" s="140"/>
      <c r="B8065" s="140"/>
      <c r="C8065" s="140"/>
      <c r="D8065" s="140"/>
      <c r="E8065" s="140"/>
      <c r="F8065" s="140"/>
      <c r="G8065" s="141"/>
      <c r="H8065" s="140"/>
      <c r="I8065" s="140"/>
      <c r="J8065" s="140"/>
      <c r="K8065" s="140"/>
    </row>
    <row r="8066">
      <c r="A8066" s="140"/>
      <c r="B8066" s="140"/>
      <c r="C8066" s="140"/>
      <c r="D8066" s="140"/>
      <c r="E8066" s="140"/>
      <c r="F8066" s="140"/>
      <c r="G8066" s="141"/>
      <c r="H8066" s="140"/>
      <c r="I8066" s="140"/>
      <c r="J8066" s="140"/>
      <c r="K8066" s="140"/>
    </row>
    <row r="8067">
      <c r="A8067" s="140"/>
      <c r="B8067" s="140"/>
      <c r="C8067" s="140"/>
      <c r="D8067" s="140"/>
      <c r="E8067" s="140"/>
      <c r="F8067" s="140"/>
      <c r="G8067" s="141"/>
      <c r="H8067" s="140"/>
      <c r="I8067" s="140"/>
      <c r="J8067" s="140"/>
      <c r="K8067" s="140"/>
    </row>
    <row r="8068">
      <c r="A8068" s="140"/>
      <c r="B8068" s="140"/>
      <c r="C8068" s="140"/>
      <c r="D8068" s="140"/>
      <c r="E8068" s="140"/>
      <c r="F8068" s="140"/>
      <c r="G8068" s="141"/>
      <c r="H8068" s="140"/>
      <c r="I8068" s="140"/>
      <c r="J8068" s="140"/>
      <c r="K8068" s="140"/>
    </row>
    <row r="8069">
      <c r="A8069" s="140"/>
      <c r="B8069" s="140"/>
      <c r="C8069" s="140"/>
      <c r="D8069" s="140"/>
      <c r="E8069" s="140"/>
      <c r="F8069" s="140"/>
      <c r="G8069" s="141"/>
      <c r="H8069" s="140"/>
      <c r="I8069" s="140"/>
      <c r="J8069" s="140"/>
      <c r="K8069" s="140"/>
    </row>
    <row r="8070">
      <c r="A8070" s="140"/>
      <c r="B8070" s="140"/>
      <c r="C8070" s="140"/>
      <c r="D8070" s="140"/>
      <c r="E8070" s="140"/>
      <c r="F8070" s="140"/>
      <c r="G8070" s="141"/>
      <c r="H8070" s="140"/>
      <c r="I8070" s="140"/>
      <c r="J8070" s="140"/>
      <c r="K8070" s="140"/>
    </row>
    <row r="8071">
      <c r="A8071" s="140"/>
      <c r="B8071" s="140"/>
      <c r="C8071" s="140"/>
      <c r="D8071" s="140"/>
      <c r="E8071" s="140"/>
      <c r="F8071" s="140"/>
      <c r="G8071" s="141"/>
      <c r="H8071" s="140"/>
      <c r="I8071" s="140"/>
      <c r="J8071" s="140"/>
      <c r="K8071" s="140"/>
    </row>
    <row r="8072">
      <c r="A8072" s="140"/>
      <c r="B8072" s="140"/>
      <c r="C8072" s="140"/>
      <c r="D8072" s="140"/>
      <c r="E8072" s="140"/>
      <c r="F8072" s="140"/>
      <c r="G8072" s="141"/>
      <c r="H8072" s="140"/>
      <c r="I8072" s="140"/>
      <c r="J8072" s="140"/>
      <c r="K8072" s="140"/>
    </row>
    <row r="8073">
      <c r="A8073" s="140"/>
      <c r="B8073" s="140"/>
      <c r="C8073" s="140"/>
      <c r="D8073" s="140"/>
      <c r="E8073" s="140"/>
      <c r="F8073" s="140"/>
      <c r="G8073" s="141"/>
      <c r="H8073" s="140"/>
      <c r="I8073" s="140"/>
      <c r="J8073" s="140"/>
      <c r="K8073" s="140"/>
    </row>
    <row r="8074">
      <c r="A8074" s="140"/>
      <c r="B8074" s="140"/>
      <c r="C8074" s="140"/>
      <c r="D8074" s="140"/>
      <c r="E8074" s="140"/>
      <c r="F8074" s="140"/>
      <c r="G8074" s="141"/>
      <c r="H8074" s="140"/>
      <c r="I8074" s="140"/>
      <c r="J8074" s="140"/>
      <c r="K8074" s="140"/>
    </row>
    <row r="8075">
      <c r="A8075" s="140"/>
      <c r="B8075" s="140"/>
      <c r="C8075" s="140"/>
      <c r="D8075" s="140"/>
      <c r="E8075" s="140"/>
      <c r="F8075" s="140"/>
      <c r="G8075" s="141"/>
      <c r="H8075" s="140"/>
      <c r="I8075" s="140"/>
      <c r="J8075" s="140"/>
      <c r="K8075" s="140"/>
    </row>
    <row r="8076">
      <c r="A8076" s="140"/>
      <c r="B8076" s="140"/>
      <c r="C8076" s="140"/>
      <c r="D8076" s="140"/>
      <c r="E8076" s="140"/>
      <c r="F8076" s="140"/>
      <c r="G8076" s="141"/>
      <c r="H8076" s="140"/>
      <c r="I8076" s="140"/>
      <c r="J8076" s="140"/>
      <c r="K8076" s="140"/>
    </row>
    <row r="8077">
      <c r="A8077" s="140"/>
      <c r="B8077" s="140"/>
      <c r="C8077" s="140"/>
      <c r="D8077" s="140"/>
      <c r="E8077" s="140"/>
      <c r="F8077" s="140"/>
      <c r="G8077" s="141"/>
      <c r="H8077" s="140"/>
      <c r="I8077" s="140"/>
      <c r="J8077" s="140"/>
      <c r="K8077" s="140"/>
    </row>
    <row r="8078">
      <c r="A8078" s="140"/>
      <c r="B8078" s="140"/>
      <c r="C8078" s="140"/>
      <c r="D8078" s="140"/>
      <c r="E8078" s="140"/>
      <c r="F8078" s="140"/>
      <c r="G8078" s="141"/>
      <c r="H8078" s="140"/>
      <c r="I8078" s="140"/>
      <c r="J8078" s="140"/>
      <c r="K8078" s="140"/>
    </row>
    <row r="8079">
      <c r="A8079" s="140"/>
      <c r="B8079" s="140"/>
      <c r="C8079" s="140"/>
      <c r="D8079" s="140"/>
      <c r="E8079" s="140"/>
      <c r="F8079" s="140"/>
      <c r="G8079" s="141"/>
      <c r="H8079" s="140"/>
      <c r="I8079" s="140"/>
      <c r="J8079" s="140"/>
      <c r="K8079" s="140"/>
    </row>
    <row r="8080">
      <c r="A8080" s="140"/>
      <c r="B8080" s="140"/>
      <c r="C8080" s="140"/>
      <c r="D8080" s="140"/>
      <c r="E8080" s="140"/>
      <c r="F8080" s="140"/>
      <c r="G8080" s="141"/>
      <c r="H8080" s="140"/>
      <c r="I8080" s="140"/>
      <c r="J8080" s="140"/>
      <c r="K8080" s="140"/>
    </row>
    <row r="8081">
      <c r="A8081" s="140"/>
      <c r="B8081" s="140"/>
      <c r="C8081" s="140"/>
      <c r="D8081" s="140"/>
      <c r="E8081" s="140"/>
      <c r="F8081" s="140"/>
      <c r="G8081" s="141"/>
      <c r="H8081" s="140"/>
      <c r="I8081" s="140"/>
      <c r="J8081" s="140"/>
      <c r="K8081" s="140"/>
    </row>
    <row r="8082">
      <c r="A8082" s="140"/>
      <c r="B8082" s="140"/>
      <c r="C8082" s="140"/>
      <c r="D8082" s="140"/>
      <c r="E8082" s="140"/>
      <c r="F8082" s="140"/>
      <c r="G8082" s="141"/>
      <c r="H8082" s="140"/>
      <c r="I8082" s="140"/>
      <c r="J8082" s="140"/>
      <c r="K8082" s="140"/>
    </row>
    <row r="8083">
      <c r="A8083" s="140"/>
      <c r="B8083" s="140"/>
      <c r="C8083" s="140"/>
      <c r="D8083" s="140"/>
      <c r="E8083" s="140"/>
      <c r="F8083" s="140"/>
      <c r="G8083" s="141"/>
      <c r="H8083" s="140"/>
      <c r="I8083" s="140"/>
      <c r="J8083" s="140"/>
      <c r="K8083" s="140"/>
    </row>
    <row r="8084">
      <c r="A8084" s="140"/>
      <c r="B8084" s="140"/>
      <c r="C8084" s="140"/>
      <c r="D8084" s="140"/>
      <c r="E8084" s="140"/>
      <c r="F8084" s="140"/>
      <c r="G8084" s="141"/>
      <c r="H8084" s="140"/>
      <c r="I8084" s="140"/>
      <c r="J8084" s="140"/>
      <c r="K8084" s="140"/>
    </row>
    <row r="8085">
      <c r="A8085" s="140"/>
      <c r="B8085" s="140"/>
      <c r="C8085" s="140"/>
      <c r="D8085" s="140"/>
      <c r="E8085" s="140"/>
      <c r="F8085" s="140"/>
      <c r="G8085" s="141"/>
      <c r="H8085" s="140"/>
      <c r="I8085" s="140"/>
      <c r="J8085" s="140"/>
      <c r="K8085" s="140"/>
    </row>
    <row r="8086">
      <c r="A8086" s="140"/>
      <c r="B8086" s="140"/>
      <c r="C8086" s="140"/>
      <c r="D8086" s="140"/>
      <c r="E8086" s="140"/>
      <c r="F8086" s="140"/>
      <c r="G8086" s="141"/>
      <c r="H8086" s="140"/>
      <c r="I8086" s="140"/>
      <c r="J8086" s="140"/>
      <c r="K8086" s="140"/>
    </row>
    <row r="8087">
      <c r="A8087" s="140"/>
      <c r="B8087" s="140"/>
      <c r="C8087" s="140"/>
      <c r="D8087" s="140"/>
      <c r="E8087" s="140"/>
      <c r="F8087" s="140"/>
      <c r="G8087" s="141"/>
      <c r="H8087" s="140"/>
      <c r="I8087" s="140"/>
      <c r="J8087" s="140"/>
      <c r="K8087" s="140"/>
    </row>
    <row r="8088">
      <c r="A8088" s="140"/>
      <c r="B8088" s="140"/>
      <c r="C8088" s="140"/>
      <c r="D8088" s="140"/>
      <c r="E8088" s="140"/>
      <c r="F8088" s="140"/>
      <c r="G8088" s="141"/>
      <c r="H8088" s="140"/>
      <c r="I8088" s="140"/>
      <c r="J8088" s="140"/>
      <c r="K8088" s="140"/>
    </row>
    <row r="8089">
      <c r="A8089" s="140"/>
      <c r="B8089" s="140"/>
      <c r="C8089" s="140"/>
      <c r="D8089" s="140"/>
      <c r="E8089" s="140"/>
      <c r="F8089" s="140"/>
      <c r="G8089" s="141"/>
      <c r="H8089" s="140"/>
      <c r="I8089" s="140"/>
      <c r="J8089" s="140"/>
      <c r="K8089" s="140"/>
    </row>
    <row r="8090">
      <c r="A8090" s="140"/>
      <c r="B8090" s="140"/>
      <c r="C8090" s="140"/>
      <c r="D8090" s="140"/>
      <c r="E8090" s="140"/>
      <c r="F8090" s="140"/>
      <c r="G8090" s="141"/>
      <c r="H8090" s="140"/>
      <c r="I8090" s="140"/>
      <c r="J8090" s="140"/>
      <c r="K8090" s="140"/>
    </row>
    <row r="8091">
      <c r="A8091" s="140"/>
      <c r="B8091" s="140"/>
      <c r="C8091" s="140"/>
      <c r="D8091" s="140"/>
      <c r="E8091" s="140"/>
      <c r="F8091" s="140"/>
      <c r="G8091" s="141"/>
      <c r="H8091" s="140"/>
      <c r="I8091" s="140"/>
      <c r="J8091" s="140"/>
      <c r="K8091" s="140"/>
    </row>
    <row r="8092">
      <c r="A8092" s="140"/>
      <c r="B8092" s="140"/>
      <c r="C8092" s="140"/>
      <c r="D8092" s="140"/>
      <c r="E8092" s="140"/>
      <c r="F8092" s="140"/>
      <c r="G8092" s="141"/>
      <c r="H8092" s="140"/>
      <c r="I8092" s="140"/>
      <c r="J8092" s="140"/>
      <c r="K8092" s="140"/>
    </row>
    <row r="8093">
      <c r="A8093" s="140"/>
      <c r="B8093" s="140"/>
      <c r="C8093" s="140"/>
      <c r="D8093" s="140"/>
      <c r="E8093" s="140"/>
      <c r="F8093" s="140"/>
      <c r="G8093" s="141"/>
      <c r="H8093" s="140"/>
      <c r="I8093" s="140"/>
      <c r="J8093" s="140"/>
      <c r="K8093" s="140"/>
    </row>
    <row r="8094">
      <c r="A8094" s="140"/>
      <c r="B8094" s="140"/>
      <c r="C8094" s="140"/>
      <c r="D8094" s="140"/>
      <c r="E8094" s="140"/>
      <c r="F8094" s="140"/>
      <c r="G8094" s="141"/>
      <c r="H8094" s="140"/>
      <c r="I8094" s="140"/>
      <c r="J8094" s="140"/>
      <c r="K8094" s="140"/>
    </row>
    <row r="8095">
      <c r="A8095" s="140"/>
      <c r="B8095" s="140"/>
      <c r="C8095" s="140"/>
      <c r="D8095" s="140"/>
      <c r="E8095" s="140"/>
      <c r="F8095" s="140"/>
      <c r="G8095" s="141"/>
      <c r="H8095" s="140"/>
      <c r="I8095" s="140"/>
      <c r="J8095" s="140"/>
      <c r="K8095" s="140"/>
    </row>
    <row r="8096">
      <c r="A8096" s="140"/>
      <c r="B8096" s="140"/>
      <c r="C8096" s="140"/>
      <c r="D8096" s="140"/>
      <c r="E8096" s="140"/>
      <c r="F8096" s="140"/>
      <c r="G8096" s="141"/>
      <c r="H8096" s="140"/>
      <c r="I8096" s="140"/>
      <c r="J8096" s="140"/>
      <c r="K8096" s="140"/>
    </row>
    <row r="8097">
      <c r="A8097" s="140"/>
      <c r="B8097" s="140"/>
      <c r="C8097" s="140"/>
      <c r="D8097" s="140"/>
      <c r="E8097" s="140"/>
      <c r="F8097" s="140"/>
      <c r="G8097" s="141"/>
      <c r="H8097" s="140"/>
      <c r="I8097" s="140"/>
      <c r="J8097" s="140"/>
      <c r="K8097" s="140"/>
    </row>
    <row r="8098">
      <c r="A8098" s="140"/>
      <c r="B8098" s="140"/>
      <c r="C8098" s="140"/>
      <c r="D8098" s="140"/>
      <c r="E8098" s="140"/>
      <c r="F8098" s="140"/>
      <c r="G8098" s="141"/>
      <c r="H8098" s="140"/>
      <c r="I8098" s="140"/>
      <c r="J8098" s="140"/>
      <c r="K8098" s="140"/>
    </row>
    <row r="8099">
      <c r="A8099" s="140"/>
      <c r="B8099" s="140"/>
      <c r="C8099" s="140"/>
      <c r="D8099" s="140"/>
      <c r="E8099" s="140"/>
      <c r="F8099" s="140"/>
      <c r="G8099" s="141"/>
      <c r="H8099" s="140"/>
      <c r="I8099" s="140"/>
      <c r="J8099" s="140"/>
      <c r="K8099" s="140"/>
    </row>
    <row r="8100">
      <c r="A8100" s="140"/>
      <c r="B8100" s="140"/>
      <c r="C8100" s="140"/>
      <c r="D8100" s="140"/>
      <c r="E8100" s="140"/>
      <c r="F8100" s="140"/>
      <c r="G8100" s="141"/>
      <c r="H8100" s="140"/>
      <c r="I8100" s="140"/>
      <c r="J8100" s="140"/>
      <c r="K8100" s="140"/>
    </row>
    <row r="8101">
      <c r="A8101" s="140"/>
      <c r="B8101" s="140"/>
      <c r="C8101" s="140"/>
      <c r="D8101" s="140"/>
      <c r="E8101" s="140"/>
      <c r="F8101" s="140"/>
      <c r="G8101" s="141"/>
      <c r="H8101" s="140"/>
      <c r="I8101" s="140"/>
      <c r="J8101" s="140"/>
      <c r="K8101" s="140"/>
    </row>
    <row r="8102">
      <c r="A8102" s="140"/>
      <c r="B8102" s="140"/>
      <c r="C8102" s="140"/>
      <c r="D8102" s="140"/>
      <c r="E8102" s="140"/>
      <c r="F8102" s="140"/>
      <c r="G8102" s="141"/>
      <c r="H8102" s="140"/>
      <c r="I8102" s="140"/>
      <c r="J8102" s="140"/>
      <c r="K8102" s="140"/>
    </row>
    <row r="8103">
      <c r="A8103" s="140"/>
      <c r="B8103" s="140"/>
      <c r="C8103" s="140"/>
      <c r="D8103" s="140"/>
      <c r="E8103" s="140"/>
      <c r="F8103" s="140"/>
      <c r="G8103" s="141"/>
      <c r="H8103" s="140"/>
      <c r="I8103" s="140"/>
      <c r="J8103" s="140"/>
      <c r="K8103" s="140"/>
    </row>
    <row r="8104">
      <c r="A8104" s="140"/>
      <c r="B8104" s="140"/>
      <c r="C8104" s="140"/>
      <c r="D8104" s="140"/>
      <c r="E8104" s="140"/>
      <c r="F8104" s="140"/>
      <c r="G8104" s="141"/>
      <c r="H8104" s="140"/>
      <c r="I8104" s="140"/>
      <c r="J8104" s="140"/>
      <c r="K8104" s="140"/>
    </row>
    <row r="8105">
      <c r="A8105" s="140"/>
      <c r="B8105" s="140"/>
      <c r="C8105" s="140"/>
      <c r="D8105" s="140"/>
      <c r="E8105" s="140"/>
      <c r="F8105" s="140"/>
      <c r="G8105" s="141"/>
      <c r="H8105" s="140"/>
      <c r="I8105" s="140"/>
      <c r="J8105" s="140"/>
      <c r="K8105" s="140"/>
    </row>
    <row r="8106">
      <c r="A8106" s="140"/>
      <c r="B8106" s="140"/>
      <c r="C8106" s="140"/>
      <c r="D8106" s="140"/>
      <c r="E8106" s="140"/>
      <c r="F8106" s="140"/>
      <c r="G8106" s="141"/>
      <c r="H8106" s="140"/>
      <c r="I8106" s="140"/>
      <c r="J8106" s="140"/>
      <c r="K8106" s="140"/>
    </row>
    <row r="8107">
      <c r="A8107" s="140"/>
      <c r="B8107" s="140"/>
      <c r="C8107" s="140"/>
      <c r="D8107" s="140"/>
      <c r="E8107" s="140"/>
      <c r="F8107" s="140"/>
      <c r="G8107" s="141"/>
      <c r="H8107" s="140"/>
      <c r="I8107" s="140"/>
      <c r="J8107" s="140"/>
      <c r="K8107" s="140"/>
    </row>
    <row r="8108">
      <c r="A8108" s="140"/>
      <c r="B8108" s="140"/>
      <c r="C8108" s="140"/>
      <c r="D8108" s="140"/>
      <c r="E8108" s="140"/>
      <c r="F8108" s="140"/>
      <c r="G8108" s="141"/>
      <c r="H8108" s="140"/>
      <c r="I8108" s="140"/>
      <c r="J8108" s="140"/>
      <c r="K8108" s="140"/>
    </row>
    <row r="8109">
      <c r="A8109" s="140"/>
      <c r="B8109" s="140"/>
      <c r="C8109" s="140"/>
      <c r="D8109" s="140"/>
      <c r="E8109" s="140"/>
      <c r="F8109" s="140"/>
      <c r="G8109" s="141"/>
      <c r="H8109" s="140"/>
      <c r="I8109" s="140"/>
      <c r="J8109" s="140"/>
      <c r="K8109" s="140"/>
    </row>
    <row r="8110">
      <c r="A8110" s="140"/>
      <c r="B8110" s="140"/>
      <c r="C8110" s="140"/>
      <c r="D8110" s="140"/>
      <c r="E8110" s="140"/>
      <c r="F8110" s="140"/>
      <c r="G8110" s="141"/>
      <c r="H8110" s="140"/>
      <c r="I8110" s="140"/>
      <c r="J8110" s="140"/>
      <c r="K8110" s="140"/>
    </row>
    <row r="8111">
      <c r="A8111" s="140"/>
      <c r="B8111" s="140"/>
      <c r="C8111" s="140"/>
      <c r="D8111" s="140"/>
      <c r="E8111" s="140"/>
      <c r="F8111" s="140"/>
      <c r="G8111" s="141"/>
      <c r="H8111" s="140"/>
      <c r="I8111" s="140"/>
      <c r="J8111" s="140"/>
      <c r="K8111" s="140"/>
    </row>
    <row r="8112">
      <c r="A8112" s="140"/>
      <c r="B8112" s="140"/>
      <c r="C8112" s="140"/>
      <c r="D8112" s="140"/>
      <c r="E8112" s="140"/>
      <c r="F8112" s="140"/>
      <c r="G8112" s="141"/>
      <c r="H8112" s="140"/>
      <c r="I8112" s="140"/>
      <c r="J8112" s="140"/>
      <c r="K8112" s="140"/>
    </row>
    <row r="8113">
      <c r="A8113" s="140"/>
      <c r="B8113" s="140"/>
      <c r="C8113" s="140"/>
      <c r="D8113" s="140"/>
      <c r="E8113" s="140"/>
      <c r="F8113" s="140"/>
      <c r="G8113" s="141"/>
      <c r="H8113" s="140"/>
      <c r="I8113" s="140"/>
      <c r="J8113" s="140"/>
      <c r="K8113" s="140"/>
    </row>
    <row r="8114">
      <c r="A8114" s="140"/>
      <c r="B8114" s="140"/>
      <c r="C8114" s="140"/>
      <c r="D8114" s="140"/>
      <c r="E8114" s="140"/>
      <c r="F8114" s="140"/>
      <c r="G8114" s="141"/>
      <c r="H8114" s="140"/>
      <c r="I8114" s="140"/>
      <c r="J8114" s="140"/>
      <c r="K8114" s="140"/>
    </row>
    <row r="8115">
      <c r="A8115" s="140"/>
      <c r="B8115" s="140"/>
      <c r="C8115" s="140"/>
      <c r="D8115" s="140"/>
      <c r="E8115" s="140"/>
      <c r="F8115" s="140"/>
      <c r="G8115" s="141"/>
      <c r="H8115" s="140"/>
      <c r="I8115" s="140"/>
      <c r="J8115" s="140"/>
      <c r="K8115" s="140"/>
    </row>
    <row r="8116">
      <c r="A8116" s="140"/>
      <c r="B8116" s="140"/>
      <c r="C8116" s="140"/>
      <c r="D8116" s="140"/>
      <c r="E8116" s="140"/>
      <c r="F8116" s="140"/>
      <c r="G8116" s="141"/>
      <c r="H8116" s="140"/>
      <c r="I8116" s="140"/>
      <c r="J8116" s="140"/>
      <c r="K8116" s="140"/>
    </row>
    <row r="8117">
      <c r="A8117" s="140"/>
      <c r="B8117" s="140"/>
      <c r="C8117" s="140"/>
      <c r="D8117" s="140"/>
      <c r="E8117" s="140"/>
      <c r="F8117" s="140"/>
      <c r="G8117" s="141"/>
      <c r="H8117" s="140"/>
      <c r="I8117" s="140"/>
      <c r="J8117" s="140"/>
      <c r="K8117" s="140"/>
    </row>
    <row r="8118">
      <c r="A8118" s="140"/>
      <c r="B8118" s="140"/>
      <c r="C8118" s="140"/>
      <c r="D8118" s="140"/>
      <c r="E8118" s="140"/>
      <c r="F8118" s="140"/>
      <c r="G8118" s="141"/>
      <c r="H8118" s="140"/>
      <c r="I8118" s="140"/>
      <c r="J8118" s="140"/>
      <c r="K8118" s="140"/>
    </row>
    <row r="8119">
      <c r="A8119" s="140"/>
      <c r="B8119" s="140"/>
      <c r="C8119" s="140"/>
      <c r="D8119" s="140"/>
      <c r="E8119" s="140"/>
      <c r="F8119" s="140"/>
      <c r="G8119" s="141"/>
      <c r="H8119" s="140"/>
      <c r="I8119" s="140"/>
      <c r="J8119" s="140"/>
      <c r="K8119" s="140"/>
    </row>
    <row r="8120">
      <c r="A8120" s="140"/>
      <c r="B8120" s="140"/>
      <c r="C8120" s="140"/>
      <c r="D8120" s="140"/>
      <c r="E8120" s="140"/>
      <c r="F8120" s="140"/>
      <c r="G8120" s="141"/>
      <c r="H8120" s="140"/>
      <c r="I8120" s="140"/>
      <c r="J8120" s="140"/>
      <c r="K8120" s="140"/>
    </row>
    <row r="8121">
      <c r="A8121" s="140"/>
      <c r="B8121" s="140"/>
      <c r="C8121" s="140"/>
      <c r="D8121" s="140"/>
      <c r="E8121" s="140"/>
      <c r="F8121" s="140"/>
      <c r="G8121" s="141"/>
      <c r="H8121" s="140"/>
      <c r="I8121" s="140"/>
      <c r="J8121" s="140"/>
      <c r="K8121" s="140"/>
    </row>
    <row r="8122">
      <c r="A8122" s="140"/>
      <c r="B8122" s="140"/>
      <c r="C8122" s="140"/>
      <c r="D8122" s="140"/>
      <c r="E8122" s="140"/>
      <c r="F8122" s="140"/>
      <c r="G8122" s="141"/>
      <c r="H8122" s="140"/>
      <c r="I8122" s="140"/>
      <c r="J8122" s="140"/>
      <c r="K8122" s="140"/>
    </row>
    <row r="8123">
      <c r="A8123" s="140"/>
      <c r="B8123" s="140"/>
      <c r="C8123" s="140"/>
      <c r="D8123" s="140"/>
      <c r="E8123" s="140"/>
      <c r="F8123" s="140"/>
      <c r="G8123" s="141"/>
      <c r="H8123" s="140"/>
      <c r="I8123" s="140"/>
      <c r="J8123" s="140"/>
      <c r="K8123" s="140"/>
    </row>
    <row r="8124">
      <c r="A8124" s="140"/>
      <c r="B8124" s="140"/>
      <c r="C8124" s="140"/>
      <c r="D8124" s="140"/>
      <c r="E8124" s="140"/>
      <c r="F8124" s="140"/>
      <c r="G8124" s="141"/>
      <c r="H8124" s="140"/>
      <c r="I8124" s="140"/>
      <c r="J8124" s="140"/>
      <c r="K8124" s="140"/>
    </row>
    <row r="8125">
      <c r="A8125" s="140"/>
      <c r="B8125" s="140"/>
      <c r="C8125" s="140"/>
      <c r="D8125" s="140"/>
      <c r="E8125" s="140"/>
      <c r="F8125" s="140"/>
      <c r="G8125" s="141"/>
      <c r="H8125" s="140"/>
      <c r="I8125" s="140"/>
      <c r="J8125" s="140"/>
      <c r="K8125" s="140"/>
    </row>
    <row r="8126">
      <c r="A8126" s="140"/>
      <c r="B8126" s="140"/>
      <c r="C8126" s="140"/>
      <c r="D8126" s="140"/>
      <c r="E8126" s="140"/>
      <c r="F8126" s="140"/>
      <c r="G8126" s="141"/>
      <c r="H8126" s="140"/>
      <c r="I8126" s="140"/>
      <c r="J8126" s="140"/>
      <c r="K8126" s="140"/>
    </row>
    <row r="8127">
      <c r="A8127" s="140"/>
      <c r="B8127" s="140"/>
      <c r="C8127" s="140"/>
      <c r="D8127" s="140"/>
      <c r="E8127" s="140"/>
      <c r="F8127" s="140"/>
      <c r="G8127" s="141"/>
      <c r="H8127" s="140"/>
      <c r="I8127" s="140"/>
      <c r="J8127" s="140"/>
      <c r="K8127" s="140"/>
    </row>
    <row r="8128">
      <c r="A8128" s="140"/>
      <c r="B8128" s="140"/>
      <c r="C8128" s="140"/>
      <c r="D8128" s="140"/>
      <c r="E8128" s="140"/>
      <c r="F8128" s="140"/>
      <c r="G8128" s="141"/>
      <c r="H8128" s="140"/>
      <c r="I8128" s="140"/>
      <c r="J8128" s="140"/>
      <c r="K8128" s="140"/>
    </row>
    <row r="8129">
      <c r="A8129" s="140"/>
      <c r="B8129" s="140"/>
      <c r="C8129" s="140"/>
      <c r="D8129" s="140"/>
      <c r="E8129" s="140"/>
      <c r="F8129" s="140"/>
      <c r="G8129" s="141"/>
      <c r="H8129" s="140"/>
      <c r="I8129" s="140"/>
      <c r="J8129" s="140"/>
      <c r="K8129" s="140"/>
    </row>
    <row r="8130">
      <c r="A8130" s="140"/>
      <c r="B8130" s="140"/>
      <c r="C8130" s="140"/>
      <c r="D8130" s="140"/>
      <c r="E8130" s="140"/>
      <c r="F8130" s="140"/>
      <c r="G8130" s="141"/>
      <c r="H8130" s="140"/>
      <c r="I8130" s="140"/>
      <c r="J8130" s="140"/>
      <c r="K8130" s="140"/>
    </row>
    <row r="8131">
      <c r="A8131" s="140"/>
      <c r="B8131" s="140"/>
      <c r="C8131" s="140"/>
      <c r="D8131" s="140"/>
      <c r="E8131" s="140"/>
      <c r="F8131" s="140"/>
      <c r="G8131" s="141"/>
      <c r="H8131" s="140"/>
      <c r="I8131" s="140"/>
      <c r="J8131" s="140"/>
      <c r="K8131" s="140"/>
    </row>
    <row r="8132">
      <c r="A8132" s="140"/>
      <c r="B8132" s="140"/>
      <c r="C8132" s="140"/>
      <c r="D8132" s="140"/>
      <c r="E8132" s="140"/>
      <c r="F8132" s="140"/>
      <c r="G8132" s="141"/>
      <c r="H8132" s="140"/>
      <c r="I8132" s="140"/>
      <c r="J8132" s="140"/>
      <c r="K8132" s="140"/>
    </row>
    <row r="8133">
      <c r="A8133" s="140"/>
      <c r="B8133" s="140"/>
      <c r="C8133" s="140"/>
      <c r="D8133" s="140"/>
      <c r="E8133" s="140"/>
      <c r="F8133" s="140"/>
      <c r="G8133" s="141"/>
      <c r="H8133" s="140"/>
      <c r="I8133" s="140"/>
      <c r="J8133" s="140"/>
      <c r="K8133" s="140"/>
    </row>
    <row r="8134">
      <c r="A8134" s="140"/>
      <c r="B8134" s="140"/>
      <c r="C8134" s="140"/>
      <c r="D8134" s="140"/>
      <c r="E8134" s="140"/>
      <c r="F8134" s="140"/>
      <c r="G8134" s="141"/>
      <c r="H8134" s="140"/>
      <c r="I8134" s="140"/>
      <c r="J8134" s="140"/>
      <c r="K8134" s="140"/>
    </row>
    <row r="8135">
      <c r="A8135" s="140"/>
      <c r="B8135" s="140"/>
      <c r="C8135" s="140"/>
      <c r="D8135" s="140"/>
      <c r="E8135" s="140"/>
      <c r="F8135" s="140"/>
      <c r="G8135" s="141"/>
      <c r="H8135" s="140"/>
      <c r="I8135" s="140"/>
      <c r="J8135" s="140"/>
      <c r="K8135" s="140"/>
    </row>
    <row r="8136">
      <c r="A8136" s="140"/>
      <c r="B8136" s="140"/>
      <c r="C8136" s="140"/>
      <c r="D8136" s="140"/>
      <c r="E8136" s="140"/>
      <c r="F8136" s="140"/>
      <c r="G8136" s="141"/>
      <c r="H8136" s="140"/>
      <c r="I8136" s="140"/>
      <c r="J8136" s="140"/>
      <c r="K8136" s="140"/>
    </row>
    <row r="8137">
      <c r="A8137" s="140"/>
      <c r="B8137" s="140"/>
      <c r="C8137" s="140"/>
      <c r="D8137" s="140"/>
      <c r="E8137" s="140"/>
      <c r="F8137" s="140"/>
      <c r="G8137" s="141"/>
      <c r="H8137" s="140"/>
      <c r="I8137" s="140"/>
      <c r="J8137" s="140"/>
      <c r="K8137" s="140"/>
    </row>
    <row r="8138">
      <c r="A8138" s="140"/>
      <c r="B8138" s="140"/>
      <c r="C8138" s="140"/>
      <c r="D8138" s="140"/>
      <c r="E8138" s="140"/>
      <c r="F8138" s="140"/>
      <c r="G8138" s="141"/>
      <c r="H8138" s="140"/>
      <c r="I8138" s="140"/>
      <c r="J8138" s="140"/>
      <c r="K8138" s="140"/>
    </row>
    <row r="8139">
      <c r="A8139" s="140"/>
      <c r="B8139" s="140"/>
      <c r="C8139" s="140"/>
      <c r="D8139" s="140"/>
      <c r="E8139" s="140"/>
      <c r="F8139" s="140"/>
      <c r="G8139" s="141"/>
      <c r="H8139" s="140"/>
      <c r="I8139" s="140"/>
      <c r="J8139" s="140"/>
      <c r="K8139" s="140"/>
    </row>
    <row r="8140">
      <c r="A8140" s="140"/>
      <c r="B8140" s="140"/>
      <c r="C8140" s="140"/>
      <c r="D8140" s="140"/>
      <c r="E8140" s="140"/>
      <c r="F8140" s="140"/>
      <c r="G8140" s="141"/>
      <c r="H8140" s="140"/>
      <c r="I8140" s="140"/>
      <c r="J8140" s="140"/>
      <c r="K8140" s="140"/>
    </row>
    <row r="8141">
      <c r="A8141" s="140"/>
      <c r="B8141" s="140"/>
      <c r="C8141" s="140"/>
      <c r="D8141" s="140"/>
      <c r="E8141" s="140"/>
      <c r="F8141" s="140"/>
      <c r="G8141" s="141"/>
      <c r="H8141" s="140"/>
      <c r="I8141" s="140"/>
      <c r="J8141" s="140"/>
      <c r="K8141" s="140"/>
    </row>
    <row r="8142">
      <c r="A8142" s="140"/>
      <c r="B8142" s="140"/>
      <c r="C8142" s="140"/>
      <c r="D8142" s="140"/>
      <c r="E8142" s="140"/>
      <c r="F8142" s="140"/>
      <c r="G8142" s="141"/>
      <c r="H8142" s="140"/>
      <c r="I8142" s="140"/>
      <c r="J8142" s="140"/>
      <c r="K8142" s="140"/>
    </row>
    <row r="8143">
      <c r="A8143" s="140"/>
      <c r="B8143" s="140"/>
      <c r="C8143" s="140"/>
      <c r="D8143" s="140"/>
      <c r="E8143" s="140"/>
      <c r="F8143" s="140"/>
      <c r="G8143" s="141"/>
      <c r="H8143" s="140"/>
      <c r="I8143" s="140"/>
      <c r="J8143" s="140"/>
      <c r="K8143" s="140"/>
    </row>
    <row r="8144">
      <c r="A8144" s="140"/>
      <c r="B8144" s="140"/>
      <c r="C8144" s="140"/>
      <c r="D8144" s="140"/>
      <c r="E8144" s="140"/>
      <c r="F8144" s="140"/>
      <c r="G8144" s="141"/>
      <c r="H8144" s="140"/>
      <c r="I8144" s="140"/>
      <c r="J8144" s="140"/>
      <c r="K8144" s="140"/>
    </row>
    <row r="8145">
      <c r="A8145" s="140"/>
      <c r="B8145" s="140"/>
      <c r="C8145" s="140"/>
      <c r="D8145" s="140"/>
      <c r="E8145" s="140"/>
      <c r="F8145" s="140"/>
      <c r="G8145" s="141"/>
      <c r="H8145" s="140"/>
      <c r="I8145" s="140"/>
      <c r="J8145" s="140"/>
      <c r="K8145" s="140"/>
    </row>
    <row r="8146">
      <c r="A8146" s="140"/>
      <c r="B8146" s="140"/>
      <c r="C8146" s="140"/>
      <c r="D8146" s="140"/>
      <c r="E8146" s="140"/>
      <c r="F8146" s="140"/>
      <c r="G8146" s="141"/>
      <c r="H8146" s="140"/>
      <c r="I8146" s="140"/>
      <c r="J8146" s="140"/>
      <c r="K8146" s="140"/>
    </row>
    <row r="8147">
      <c r="A8147" s="140"/>
      <c r="B8147" s="140"/>
      <c r="C8147" s="140"/>
      <c r="D8147" s="140"/>
      <c r="E8147" s="140"/>
      <c r="F8147" s="140"/>
      <c r="G8147" s="141"/>
      <c r="H8147" s="140"/>
      <c r="I8147" s="140"/>
      <c r="J8147" s="140"/>
      <c r="K8147" s="140"/>
    </row>
    <row r="8148">
      <c r="A8148" s="140"/>
      <c r="B8148" s="140"/>
      <c r="C8148" s="140"/>
      <c r="D8148" s="140"/>
      <c r="E8148" s="140"/>
      <c r="F8148" s="140"/>
      <c r="G8148" s="141"/>
      <c r="H8148" s="140"/>
      <c r="I8148" s="140"/>
      <c r="J8148" s="140"/>
      <c r="K8148" s="140"/>
    </row>
    <row r="8149">
      <c r="A8149" s="140"/>
      <c r="B8149" s="140"/>
      <c r="C8149" s="140"/>
      <c r="D8149" s="140"/>
      <c r="E8149" s="140"/>
      <c r="F8149" s="140"/>
      <c r="G8149" s="141"/>
      <c r="H8149" s="140"/>
      <c r="I8149" s="140"/>
      <c r="J8149" s="140"/>
      <c r="K8149" s="140"/>
    </row>
    <row r="8150">
      <c r="A8150" s="140"/>
      <c r="B8150" s="140"/>
      <c r="C8150" s="140"/>
      <c r="D8150" s="140"/>
      <c r="E8150" s="140"/>
      <c r="F8150" s="140"/>
      <c r="G8150" s="141"/>
      <c r="H8150" s="140"/>
      <c r="I8150" s="140"/>
      <c r="J8150" s="140"/>
      <c r="K8150" s="140"/>
    </row>
    <row r="8151">
      <c r="A8151" s="140"/>
      <c r="B8151" s="140"/>
      <c r="C8151" s="140"/>
      <c r="D8151" s="140"/>
      <c r="E8151" s="140"/>
      <c r="F8151" s="140"/>
      <c r="G8151" s="141"/>
      <c r="H8151" s="140"/>
      <c r="I8151" s="140"/>
      <c r="J8151" s="140"/>
      <c r="K8151" s="140"/>
    </row>
    <row r="8152">
      <c r="A8152" s="140"/>
      <c r="B8152" s="140"/>
      <c r="C8152" s="140"/>
      <c r="D8152" s="140"/>
      <c r="E8152" s="140"/>
      <c r="F8152" s="140"/>
      <c r="G8152" s="141"/>
      <c r="H8152" s="140"/>
      <c r="I8152" s="140"/>
      <c r="J8152" s="140"/>
      <c r="K8152" s="140"/>
    </row>
    <row r="8153">
      <c r="A8153" s="140"/>
      <c r="B8153" s="140"/>
      <c r="C8153" s="140"/>
      <c r="D8153" s="140"/>
      <c r="E8153" s="140"/>
      <c r="F8153" s="140"/>
      <c r="G8153" s="141"/>
      <c r="H8153" s="140"/>
      <c r="I8153" s="140"/>
      <c r="J8153" s="140"/>
      <c r="K8153" s="140"/>
    </row>
    <row r="8154">
      <c r="A8154" s="140"/>
      <c r="B8154" s="140"/>
      <c r="C8154" s="140"/>
      <c r="D8154" s="140"/>
      <c r="E8154" s="140"/>
      <c r="F8154" s="140"/>
      <c r="G8154" s="141"/>
      <c r="H8154" s="140"/>
      <c r="I8154" s="140"/>
      <c r="J8154" s="140"/>
      <c r="K8154" s="140"/>
    </row>
    <row r="8155">
      <c r="A8155" s="140"/>
      <c r="B8155" s="140"/>
      <c r="C8155" s="140"/>
      <c r="D8155" s="140"/>
      <c r="E8155" s="140"/>
      <c r="F8155" s="140"/>
      <c r="G8155" s="141"/>
      <c r="H8155" s="140"/>
      <c r="I8155" s="140"/>
      <c r="J8155" s="140"/>
      <c r="K8155" s="140"/>
    </row>
    <row r="8156">
      <c r="A8156" s="140"/>
      <c r="B8156" s="140"/>
      <c r="C8156" s="140"/>
      <c r="D8156" s="140"/>
      <c r="E8156" s="140"/>
      <c r="F8156" s="140"/>
      <c r="G8156" s="141"/>
      <c r="H8156" s="140"/>
      <c r="I8156" s="140"/>
      <c r="J8156" s="140"/>
      <c r="K8156" s="140"/>
    </row>
    <row r="8157">
      <c r="A8157" s="140"/>
      <c r="B8157" s="140"/>
      <c r="C8157" s="140"/>
      <c r="D8157" s="140"/>
      <c r="E8157" s="140"/>
      <c r="F8157" s="140"/>
      <c r="G8157" s="141"/>
      <c r="H8157" s="140"/>
      <c r="I8157" s="140"/>
      <c r="J8157" s="140"/>
      <c r="K8157" s="140"/>
    </row>
    <row r="8158">
      <c r="A8158" s="140"/>
      <c r="B8158" s="140"/>
      <c r="C8158" s="140"/>
      <c r="D8158" s="140"/>
      <c r="E8158" s="140"/>
      <c r="F8158" s="140"/>
      <c r="G8158" s="141"/>
      <c r="H8158" s="140"/>
      <c r="I8158" s="140"/>
      <c r="J8158" s="140"/>
      <c r="K8158" s="140"/>
    </row>
    <row r="8159">
      <c r="A8159" s="140"/>
      <c r="B8159" s="140"/>
      <c r="C8159" s="140"/>
      <c r="D8159" s="140"/>
      <c r="E8159" s="140"/>
      <c r="F8159" s="140"/>
      <c r="G8159" s="141"/>
      <c r="H8159" s="140"/>
      <c r="I8159" s="140"/>
      <c r="J8159" s="140"/>
      <c r="K8159" s="140"/>
    </row>
    <row r="8160">
      <c r="A8160" s="140"/>
      <c r="B8160" s="140"/>
      <c r="C8160" s="140"/>
      <c r="D8160" s="140"/>
      <c r="E8160" s="140"/>
      <c r="F8160" s="140"/>
      <c r="G8160" s="141"/>
      <c r="H8160" s="140"/>
      <c r="I8160" s="140"/>
      <c r="J8160" s="140"/>
      <c r="K8160" s="140"/>
    </row>
    <row r="8161">
      <c r="A8161" s="140"/>
      <c r="B8161" s="140"/>
      <c r="C8161" s="140"/>
      <c r="D8161" s="140"/>
      <c r="E8161" s="140"/>
      <c r="F8161" s="140"/>
      <c r="G8161" s="141"/>
      <c r="H8161" s="140"/>
      <c r="I8161" s="140"/>
      <c r="J8161" s="140"/>
      <c r="K8161" s="140"/>
    </row>
    <row r="8162">
      <c r="A8162" s="140"/>
      <c r="B8162" s="140"/>
      <c r="C8162" s="140"/>
      <c r="D8162" s="140"/>
      <c r="E8162" s="140"/>
      <c r="F8162" s="140"/>
      <c r="G8162" s="141"/>
      <c r="H8162" s="140"/>
      <c r="I8162" s="140"/>
      <c r="J8162" s="140"/>
      <c r="K8162" s="140"/>
    </row>
    <row r="8163">
      <c r="A8163" s="140"/>
      <c r="B8163" s="140"/>
      <c r="C8163" s="140"/>
      <c r="D8163" s="140"/>
      <c r="E8163" s="140"/>
      <c r="F8163" s="140"/>
      <c r="G8163" s="141"/>
      <c r="H8163" s="140"/>
      <c r="I8163" s="140"/>
      <c r="J8163" s="140"/>
      <c r="K8163" s="140"/>
    </row>
    <row r="8164">
      <c r="A8164" s="140"/>
      <c r="B8164" s="140"/>
      <c r="C8164" s="140"/>
      <c r="D8164" s="140"/>
      <c r="E8164" s="140"/>
      <c r="F8164" s="140"/>
      <c r="G8164" s="141"/>
      <c r="H8164" s="140"/>
      <c r="I8164" s="140"/>
      <c r="J8164" s="140"/>
      <c r="K8164" s="140"/>
    </row>
    <row r="8165">
      <c r="A8165" s="140"/>
      <c r="B8165" s="140"/>
      <c r="C8165" s="140"/>
      <c r="D8165" s="140"/>
      <c r="E8165" s="140"/>
      <c r="F8165" s="140"/>
      <c r="G8165" s="141"/>
      <c r="H8165" s="140"/>
      <c r="I8165" s="140"/>
      <c r="J8165" s="140"/>
      <c r="K8165" s="140"/>
    </row>
    <row r="8166">
      <c r="A8166" s="140"/>
      <c r="B8166" s="140"/>
      <c r="C8166" s="140"/>
      <c r="D8166" s="140"/>
      <c r="E8166" s="140"/>
      <c r="F8166" s="140"/>
      <c r="G8166" s="141"/>
      <c r="H8166" s="140"/>
      <c r="I8166" s="140"/>
      <c r="J8166" s="140"/>
      <c r="K8166" s="140"/>
    </row>
    <row r="8167">
      <c r="A8167" s="140"/>
      <c r="B8167" s="140"/>
      <c r="C8167" s="140"/>
      <c r="D8167" s="140"/>
      <c r="E8167" s="140"/>
      <c r="F8167" s="140"/>
      <c r="G8167" s="141"/>
      <c r="H8167" s="140"/>
      <c r="I8167" s="140"/>
      <c r="J8167" s="140"/>
      <c r="K8167" s="140"/>
    </row>
    <row r="8168">
      <c r="A8168" s="140"/>
      <c r="B8168" s="140"/>
      <c r="C8168" s="140"/>
      <c r="D8168" s="140"/>
      <c r="E8168" s="140"/>
      <c r="F8168" s="140"/>
      <c r="G8168" s="141"/>
      <c r="H8168" s="140"/>
      <c r="I8168" s="140"/>
      <c r="J8168" s="140"/>
      <c r="K8168" s="140"/>
    </row>
    <row r="8169">
      <c r="A8169" s="140"/>
      <c r="B8169" s="140"/>
      <c r="C8169" s="140"/>
      <c r="D8169" s="140"/>
      <c r="E8169" s="140"/>
      <c r="F8169" s="140"/>
      <c r="G8169" s="141"/>
      <c r="H8169" s="140"/>
      <c r="I8169" s="140"/>
      <c r="J8169" s="140"/>
      <c r="K8169" s="140"/>
    </row>
    <row r="8170">
      <c r="A8170" s="140"/>
      <c r="B8170" s="140"/>
      <c r="C8170" s="140"/>
      <c r="D8170" s="140"/>
      <c r="E8170" s="140"/>
      <c r="F8170" s="140"/>
      <c r="G8170" s="141"/>
      <c r="H8170" s="140"/>
      <c r="I8170" s="140"/>
      <c r="J8170" s="140"/>
      <c r="K8170" s="140"/>
    </row>
    <row r="8171">
      <c r="A8171" s="140"/>
      <c r="B8171" s="140"/>
      <c r="C8171" s="140"/>
      <c r="D8171" s="140"/>
      <c r="E8171" s="140"/>
      <c r="F8171" s="140"/>
      <c r="G8171" s="141"/>
      <c r="H8171" s="140"/>
      <c r="I8171" s="140"/>
      <c r="J8171" s="140"/>
      <c r="K8171" s="140"/>
    </row>
    <row r="8172">
      <c r="A8172" s="140"/>
      <c r="B8172" s="140"/>
      <c r="C8172" s="140"/>
      <c r="D8172" s="140"/>
      <c r="E8172" s="140"/>
      <c r="F8172" s="140"/>
      <c r="G8172" s="141"/>
      <c r="H8172" s="140"/>
      <c r="I8172" s="140"/>
      <c r="J8172" s="140"/>
      <c r="K8172" s="140"/>
    </row>
    <row r="8173">
      <c r="A8173" s="140"/>
      <c r="B8173" s="140"/>
      <c r="C8173" s="140"/>
      <c r="D8173" s="140"/>
      <c r="E8173" s="140"/>
      <c r="F8173" s="140"/>
      <c r="G8173" s="141"/>
      <c r="H8173" s="140"/>
      <c r="I8173" s="140"/>
      <c r="J8173" s="140"/>
      <c r="K8173" s="140"/>
    </row>
    <row r="8174">
      <c r="A8174" s="140"/>
      <c r="B8174" s="140"/>
      <c r="C8174" s="140"/>
      <c r="D8174" s="140"/>
      <c r="E8174" s="140"/>
      <c r="F8174" s="140"/>
      <c r="G8174" s="141"/>
      <c r="H8174" s="140"/>
      <c r="I8174" s="140"/>
      <c r="J8174" s="140"/>
      <c r="K8174" s="140"/>
    </row>
    <row r="8175">
      <c r="A8175" s="140"/>
      <c r="B8175" s="140"/>
      <c r="C8175" s="140"/>
      <c r="D8175" s="140"/>
      <c r="E8175" s="140"/>
      <c r="F8175" s="140"/>
      <c r="G8175" s="141"/>
      <c r="H8175" s="140"/>
      <c r="I8175" s="140"/>
      <c r="J8175" s="140"/>
      <c r="K8175" s="140"/>
    </row>
    <row r="8176">
      <c r="A8176" s="140"/>
      <c r="B8176" s="140"/>
      <c r="C8176" s="140"/>
      <c r="D8176" s="140"/>
      <c r="E8176" s="140"/>
      <c r="F8176" s="140"/>
      <c r="G8176" s="141"/>
      <c r="H8176" s="140"/>
      <c r="I8176" s="140"/>
      <c r="J8176" s="140"/>
      <c r="K8176" s="140"/>
    </row>
    <row r="8177">
      <c r="A8177" s="140"/>
      <c r="B8177" s="140"/>
      <c r="C8177" s="140"/>
      <c r="D8177" s="140"/>
      <c r="E8177" s="140"/>
      <c r="F8177" s="140"/>
      <c r="G8177" s="141"/>
      <c r="H8177" s="140"/>
      <c r="I8177" s="140"/>
      <c r="J8177" s="140"/>
      <c r="K8177" s="140"/>
    </row>
    <row r="8178">
      <c r="A8178" s="140"/>
      <c r="B8178" s="140"/>
      <c r="C8178" s="140"/>
      <c r="D8178" s="140"/>
      <c r="E8178" s="140"/>
      <c r="F8178" s="140"/>
      <c r="G8178" s="141"/>
      <c r="H8178" s="140"/>
      <c r="I8178" s="140"/>
      <c r="J8178" s="140"/>
      <c r="K8178" s="140"/>
    </row>
    <row r="8179">
      <c r="A8179" s="140"/>
      <c r="B8179" s="140"/>
      <c r="C8179" s="140"/>
      <c r="D8179" s="140"/>
      <c r="E8179" s="140"/>
      <c r="F8179" s="140"/>
      <c r="G8179" s="141"/>
      <c r="H8179" s="140"/>
      <c r="I8179" s="140"/>
      <c r="J8179" s="140"/>
      <c r="K8179" s="140"/>
    </row>
    <row r="8180">
      <c r="A8180" s="140"/>
      <c r="B8180" s="140"/>
      <c r="C8180" s="140"/>
      <c r="D8180" s="140"/>
      <c r="E8180" s="140"/>
      <c r="F8180" s="140"/>
      <c r="G8180" s="141"/>
      <c r="H8180" s="140"/>
      <c r="I8180" s="140"/>
      <c r="J8180" s="140"/>
      <c r="K8180" s="140"/>
    </row>
    <row r="8181">
      <c r="A8181" s="140"/>
      <c r="B8181" s="140"/>
      <c r="C8181" s="140"/>
      <c r="D8181" s="140"/>
      <c r="E8181" s="140"/>
      <c r="F8181" s="140"/>
      <c r="G8181" s="141"/>
      <c r="H8181" s="140"/>
      <c r="I8181" s="140"/>
      <c r="J8181" s="140"/>
      <c r="K8181" s="140"/>
    </row>
    <row r="8182">
      <c r="A8182" s="140"/>
      <c r="B8182" s="140"/>
      <c r="C8182" s="140"/>
      <c r="D8182" s="140"/>
      <c r="E8182" s="140"/>
      <c r="F8182" s="140"/>
      <c r="G8182" s="141"/>
      <c r="H8182" s="140"/>
      <c r="I8182" s="140"/>
      <c r="J8182" s="140"/>
      <c r="K8182" s="140"/>
    </row>
    <row r="8183">
      <c r="A8183" s="140"/>
      <c r="B8183" s="140"/>
      <c r="C8183" s="140"/>
      <c r="D8183" s="140"/>
      <c r="E8183" s="140"/>
      <c r="F8183" s="140"/>
      <c r="G8183" s="141"/>
      <c r="H8183" s="140"/>
      <c r="I8183" s="140"/>
      <c r="J8183" s="140"/>
      <c r="K8183" s="140"/>
    </row>
    <row r="8184">
      <c r="A8184" s="140"/>
      <c r="B8184" s="140"/>
      <c r="C8184" s="140"/>
      <c r="D8184" s="140"/>
      <c r="E8184" s="140"/>
      <c r="F8184" s="140"/>
      <c r="G8184" s="141"/>
      <c r="H8184" s="140"/>
      <c r="I8184" s="140"/>
      <c r="J8184" s="140"/>
      <c r="K8184" s="140"/>
    </row>
    <row r="8185">
      <c r="A8185" s="140"/>
      <c r="B8185" s="140"/>
      <c r="C8185" s="140"/>
      <c r="D8185" s="140"/>
      <c r="E8185" s="140"/>
      <c r="F8185" s="140"/>
      <c r="G8185" s="141"/>
      <c r="H8185" s="140"/>
      <c r="I8185" s="140"/>
      <c r="J8185" s="140"/>
      <c r="K8185" s="140"/>
    </row>
    <row r="8186">
      <c r="A8186" s="140"/>
      <c r="B8186" s="140"/>
      <c r="C8186" s="140"/>
      <c r="D8186" s="140"/>
      <c r="E8186" s="140"/>
      <c r="F8186" s="140"/>
      <c r="G8186" s="141"/>
      <c r="H8186" s="140"/>
      <c r="I8186" s="140"/>
      <c r="J8186" s="140"/>
      <c r="K8186" s="140"/>
    </row>
    <row r="8187">
      <c r="A8187" s="140"/>
      <c r="B8187" s="140"/>
      <c r="C8187" s="140"/>
      <c r="D8187" s="140"/>
      <c r="E8187" s="140"/>
      <c r="F8187" s="140"/>
      <c r="G8187" s="141"/>
      <c r="H8187" s="140"/>
      <c r="I8187" s="140"/>
      <c r="J8187" s="140"/>
      <c r="K8187" s="140"/>
    </row>
    <row r="8188">
      <c r="A8188" s="140"/>
      <c r="B8188" s="140"/>
      <c r="C8188" s="140"/>
      <c r="D8188" s="140"/>
      <c r="E8188" s="140"/>
      <c r="F8188" s="140"/>
      <c r="G8188" s="141"/>
      <c r="H8188" s="140"/>
      <c r="I8188" s="140"/>
      <c r="J8188" s="140"/>
      <c r="K8188" s="140"/>
    </row>
    <row r="8189">
      <c r="A8189" s="140"/>
      <c r="B8189" s="140"/>
      <c r="C8189" s="140"/>
      <c r="D8189" s="140"/>
      <c r="E8189" s="140"/>
      <c r="F8189" s="140"/>
      <c r="G8189" s="141"/>
      <c r="H8189" s="140"/>
      <c r="I8189" s="140"/>
      <c r="J8189" s="140"/>
      <c r="K8189" s="140"/>
    </row>
    <row r="8190">
      <c r="A8190" s="140"/>
      <c r="B8190" s="140"/>
      <c r="C8190" s="140"/>
      <c r="D8190" s="140"/>
      <c r="E8190" s="140"/>
      <c r="F8190" s="140"/>
      <c r="G8190" s="141"/>
      <c r="H8190" s="140"/>
      <c r="I8190" s="140"/>
      <c r="J8190" s="140"/>
      <c r="K8190" s="140"/>
    </row>
    <row r="8191">
      <c r="A8191" s="140"/>
      <c r="B8191" s="140"/>
      <c r="C8191" s="140"/>
      <c r="D8191" s="140"/>
      <c r="E8191" s="140"/>
      <c r="F8191" s="140"/>
      <c r="G8191" s="141"/>
      <c r="H8191" s="140"/>
      <c r="I8191" s="140"/>
      <c r="J8191" s="140"/>
      <c r="K8191" s="140"/>
    </row>
    <row r="8192">
      <c r="A8192" s="140"/>
      <c r="B8192" s="140"/>
      <c r="C8192" s="140"/>
      <c r="D8192" s="140"/>
      <c r="E8192" s="140"/>
      <c r="F8192" s="140"/>
      <c r="G8192" s="141"/>
      <c r="H8192" s="140"/>
      <c r="I8192" s="140"/>
      <c r="J8192" s="140"/>
      <c r="K8192" s="140"/>
    </row>
    <row r="8193">
      <c r="A8193" s="140"/>
      <c r="B8193" s="140"/>
      <c r="C8193" s="140"/>
      <c r="D8193" s="140"/>
      <c r="E8193" s="140"/>
      <c r="F8193" s="140"/>
      <c r="G8193" s="141"/>
      <c r="H8193" s="140"/>
      <c r="I8193" s="140"/>
      <c r="J8193" s="140"/>
      <c r="K8193" s="140"/>
    </row>
    <row r="8194">
      <c r="A8194" s="140"/>
      <c r="B8194" s="140"/>
      <c r="C8194" s="140"/>
      <c r="D8194" s="140"/>
      <c r="E8194" s="140"/>
      <c r="F8194" s="140"/>
      <c r="G8194" s="141"/>
      <c r="H8194" s="140"/>
      <c r="I8194" s="140"/>
      <c r="J8194" s="140"/>
      <c r="K8194" s="140"/>
    </row>
    <row r="8195">
      <c r="A8195" s="140"/>
      <c r="B8195" s="140"/>
      <c r="C8195" s="140"/>
      <c r="D8195" s="140"/>
      <c r="E8195" s="140"/>
      <c r="F8195" s="140"/>
      <c r="G8195" s="141"/>
      <c r="H8195" s="140"/>
      <c r="I8195" s="140"/>
      <c r="J8195" s="140"/>
      <c r="K8195" s="140"/>
    </row>
    <row r="8196">
      <c r="A8196" s="140"/>
      <c r="B8196" s="140"/>
      <c r="C8196" s="140"/>
      <c r="D8196" s="140"/>
      <c r="E8196" s="140"/>
      <c r="F8196" s="140"/>
      <c r="G8196" s="141"/>
      <c r="H8196" s="140"/>
      <c r="I8196" s="140"/>
      <c r="J8196" s="140"/>
      <c r="K8196" s="140"/>
    </row>
    <row r="8197">
      <c r="A8197" s="140"/>
      <c r="B8197" s="140"/>
      <c r="C8197" s="140"/>
      <c r="D8197" s="140"/>
      <c r="E8197" s="140"/>
      <c r="F8197" s="140"/>
      <c r="G8197" s="141"/>
      <c r="H8197" s="140"/>
      <c r="I8197" s="140"/>
      <c r="J8197" s="140"/>
      <c r="K8197" s="140"/>
    </row>
    <row r="8198">
      <c r="A8198" s="140"/>
      <c r="B8198" s="140"/>
      <c r="C8198" s="140"/>
      <c r="D8198" s="140"/>
      <c r="E8198" s="140"/>
      <c r="F8198" s="140"/>
      <c r="G8198" s="141"/>
      <c r="H8198" s="140"/>
      <c r="I8198" s="140"/>
      <c r="J8198" s="140"/>
      <c r="K8198" s="140"/>
    </row>
    <row r="8199">
      <c r="A8199" s="140"/>
      <c r="B8199" s="140"/>
      <c r="C8199" s="140"/>
      <c r="D8199" s="140"/>
      <c r="E8199" s="140"/>
      <c r="F8199" s="140"/>
      <c r="G8199" s="141"/>
      <c r="H8199" s="140"/>
      <c r="I8199" s="140"/>
      <c r="J8199" s="140"/>
      <c r="K8199" s="140"/>
    </row>
    <row r="8200">
      <c r="A8200" s="140"/>
      <c r="B8200" s="140"/>
      <c r="C8200" s="140"/>
      <c r="D8200" s="140"/>
      <c r="E8200" s="140"/>
      <c r="F8200" s="140"/>
      <c r="G8200" s="141"/>
      <c r="H8200" s="140"/>
      <c r="I8200" s="140"/>
      <c r="J8200" s="140"/>
      <c r="K8200" s="140"/>
    </row>
    <row r="8201">
      <c r="A8201" s="140"/>
      <c r="B8201" s="140"/>
      <c r="C8201" s="140"/>
      <c r="D8201" s="140"/>
      <c r="E8201" s="140"/>
      <c r="F8201" s="140"/>
      <c r="G8201" s="141"/>
      <c r="H8201" s="140"/>
      <c r="I8201" s="140"/>
      <c r="J8201" s="140"/>
      <c r="K8201" s="140"/>
    </row>
    <row r="8202">
      <c r="A8202" s="140"/>
      <c r="B8202" s="140"/>
      <c r="C8202" s="140"/>
      <c r="D8202" s="140"/>
      <c r="E8202" s="140"/>
      <c r="F8202" s="140"/>
      <c r="G8202" s="141"/>
      <c r="H8202" s="140"/>
      <c r="I8202" s="140"/>
      <c r="J8202" s="140"/>
      <c r="K8202" s="140"/>
    </row>
    <row r="8203">
      <c r="A8203" s="140"/>
      <c r="B8203" s="140"/>
      <c r="C8203" s="140"/>
      <c r="D8203" s="140"/>
      <c r="E8203" s="140"/>
      <c r="F8203" s="140"/>
      <c r="G8203" s="141"/>
      <c r="H8203" s="140"/>
      <c r="I8203" s="140"/>
      <c r="J8203" s="140"/>
      <c r="K8203" s="140"/>
    </row>
    <row r="8204">
      <c r="A8204" s="140"/>
      <c r="B8204" s="140"/>
      <c r="C8204" s="140"/>
      <c r="D8204" s="140"/>
      <c r="E8204" s="140"/>
      <c r="F8204" s="140"/>
      <c r="G8204" s="141"/>
      <c r="H8204" s="140"/>
      <c r="I8204" s="140"/>
      <c r="J8204" s="140"/>
      <c r="K8204" s="140"/>
    </row>
    <row r="8205">
      <c r="A8205" s="140"/>
      <c r="B8205" s="140"/>
      <c r="C8205" s="140"/>
      <c r="D8205" s="140"/>
      <c r="E8205" s="140"/>
      <c r="F8205" s="140"/>
      <c r="G8205" s="141"/>
      <c r="H8205" s="140"/>
      <c r="I8205" s="140"/>
      <c r="J8205" s="140"/>
      <c r="K8205" s="140"/>
    </row>
    <row r="8206">
      <c r="A8206" s="140"/>
      <c r="B8206" s="140"/>
      <c r="C8206" s="140"/>
      <c r="D8206" s="140"/>
      <c r="E8206" s="140"/>
      <c r="F8206" s="140"/>
      <c r="G8206" s="141"/>
      <c r="H8206" s="140"/>
      <c r="I8206" s="140"/>
      <c r="J8206" s="140"/>
      <c r="K8206" s="140"/>
    </row>
    <row r="8207">
      <c r="A8207" s="140"/>
      <c r="B8207" s="140"/>
      <c r="C8207" s="140"/>
      <c r="D8207" s="140"/>
      <c r="E8207" s="140"/>
      <c r="F8207" s="140"/>
      <c r="G8207" s="141"/>
      <c r="H8207" s="140"/>
      <c r="I8207" s="140"/>
      <c r="J8207" s="140"/>
      <c r="K8207" s="140"/>
    </row>
    <row r="8208">
      <c r="A8208" s="140"/>
      <c r="B8208" s="140"/>
      <c r="C8208" s="140"/>
      <c r="D8208" s="140"/>
      <c r="E8208" s="140"/>
      <c r="F8208" s="140"/>
      <c r="G8208" s="141"/>
      <c r="H8208" s="140"/>
      <c r="I8208" s="140"/>
      <c r="J8208" s="140"/>
      <c r="K8208" s="140"/>
    </row>
    <row r="8209">
      <c r="A8209" s="140"/>
      <c r="B8209" s="140"/>
      <c r="C8209" s="140"/>
      <c r="D8209" s="140"/>
      <c r="E8209" s="140"/>
      <c r="F8209" s="140"/>
      <c r="G8209" s="141"/>
      <c r="H8209" s="140"/>
      <c r="I8209" s="140"/>
      <c r="J8209" s="140"/>
      <c r="K8209" s="140"/>
    </row>
    <row r="8210">
      <c r="A8210" s="140"/>
      <c r="B8210" s="140"/>
      <c r="C8210" s="140"/>
      <c r="D8210" s="140"/>
      <c r="E8210" s="140"/>
      <c r="F8210" s="140"/>
      <c r="G8210" s="141"/>
      <c r="H8210" s="140"/>
      <c r="I8210" s="140"/>
      <c r="J8210" s="140"/>
      <c r="K8210" s="140"/>
    </row>
    <row r="8211">
      <c r="A8211" s="140"/>
      <c r="B8211" s="140"/>
      <c r="C8211" s="140"/>
      <c r="D8211" s="140"/>
      <c r="E8211" s="140"/>
      <c r="F8211" s="140"/>
      <c r="G8211" s="141"/>
      <c r="H8211" s="140"/>
      <c r="I8211" s="140"/>
      <c r="J8211" s="140"/>
      <c r="K8211" s="140"/>
    </row>
    <row r="8212">
      <c r="A8212" s="140"/>
      <c r="B8212" s="140"/>
      <c r="C8212" s="140"/>
      <c r="D8212" s="140"/>
      <c r="E8212" s="140"/>
      <c r="F8212" s="140"/>
      <c r="G8212" s="141"/>
      <c r="H8212" s="140"/>
      <c r="I8212" s="140"/>
      <c r="J8212" s="140"/>
      <c r="K8212" s="140"/>
    </row>
    <row r="8213">
      <c r="A8213" s="140"/>
      <c r="B8213" s="140"/>
      <c r="C8213" s="140"/>
      <c r="D8213" s="140"/>
      <c r="E8213" s="140"/>
      <c r="F8213" s="140"/>
      <c r="G8213" s="141"/>
      <c r="H8213" s="140"/>
      <c r="I8213" s="140"/>
      <c r="J8213" s="140"/>
      <c r="K8213" s="140"/>
    </row>
    <row r="8214">
      <c r="A8214" s="140"/>
      <c r="B8214" s="140"/>
      <c r="C8214" s="140"/>
      <c r="D8214" s="140"/>
      <c r="E8214" s="140"/>
      <c r="F8214" s="140"/>
      <c r="G8214" s="141"/>
      <c r="H8214" s="140"/>
      <c r="I8214" s="140"/>
      <c r="J8214" s="140"/>
      <c r="K8214" s="140"/>
    </row>
    <row r="8215">
      <c r="A8215" s="140"/>
      <c r="B8215" s="140"/>
      <c r="C8215" s="140"/>
      <c r="D8215" s="140"/>
      <c r="E8215" s="140"/>
      <c r="F8215" s="140"/>
      <c r="G8215" s="141"/>
      <c r="H8215" s="140"/>
      <c r="I8215" s="140"/>
      <c r="J8215" s="140"/>
      <c r="K8215" s="140"/>
    </row>
    <row r="8216">
      <c r="A8216" s="140"/>
      <c r="B8216" s="140"/>
      <c r="C8216" s="140"/>
      <c r="D8216" s="140"/>
      <c r="E8216" s="140"/>
      <c r="F8216" s="140"/>
      <c r="G8216" s="141"/>
      <c r="H8216" s="140"/>
      <c r="I8216" s="140"/>
      <c r="J8216" s="140"/>
      <c r="K8216" s="140"/>
    </row>
    <row r="8217">
      <c r="A8217" s="140"/>
      <c r="B8217" s="140"/>
      <c r="C8217" s="140"/>
      <c r="D8217" s="140"/>
      <c r="E8217" s="140"/>
      <c r="F8217" s="140"/>
      <c r="G8217" s="141"/>
      <c r="H8217" s="140"/>
      <c r="I8217" s="140"/>
      <c r="J8217" s="140"/>
      <c r="K8217" s="140"/>
    </row>
    <row r="8218">
      <c r="A8218" s="140"/>
      <c r="B8218" s="140"/>
      <c r="C8218" s="140"/>
      <c r="D8218" s="140"/>
      <c r="E8218" s="140"/>
      <c r="F8218" s="140"/>
      <c r="G8218" s="141"/>
      <c r="H8218" s="140"/>
      <c r="I8218" s="140"/>
      <c r="J8218" s="140"/>
      <c r="K8218" s="140"/>
    </row>
    <row r="8219">
      <c r="A8219" s="140"/>
      <c r="B8219" s="140"/>
      <c r="C8219" s="140"/>
      <c r="D8219" s="140"/>
      <c r="E8219" s="140"/>
      <c r="F8219" s="140"/>
      <c r="G8219" s="141"/>
      <c r="H8219" s="140"/>
      <c r="I8219" s="140"/>
      <c r="J8219" s="140"/>
      <c r="K8219" s="140"/>
    </row>
    <row r="8220">
      <c r="A8220" s="140"/>
      <c r="B8220" s="140"/>
      <c r="C8220" s="140"/>
      <c r="D8220" s="140"/>
      <c r="E8220" s="140"/>
      <c r="F8220" s="140"/>
      <c r="G8220" s="141"/>
      <c r="H8220" s="140"/>
      <c r="I8220" s="140"/>
      <c r="J8220" s="140"/>
      <c r="K8220" s="140"/>
    </row>
    <row r="8221">
      <c r="A8221" s="140"/>
      <c r="B8221" s="140"/>
      <c r="C8221" s="140"/>
      <c r="D8221" s="140"/>
      <c r="E8221" s="140"/>
      <c r="F8221" s="140"/>
      <c r="G8221" s="141"/>
      <c r="H8221" s="140"/>
      <c r="I8221" s="140"/>
      <c r="J8221" s="140"/>
      <c r="K8221" s="140"/>
    </row>
    <row r="8222">
      <c r="A8222" s="140"/>
      <c r="B8222" s="140"/>
      <c r="C8222" s="140"/>
      <c r="D8222" s="140"/>
      <c r="E8222" s="140"/>
      <c r="F8222" s="140"/>
      <c r="G8222" s="141"/>
      <c r="H8222" s="140"/>
      <c r="I8222" s="140"/>
      <c r="J8222" s="140"/>
      <c r="K8222" s="140"/>
    </row>
    <row r="8223">
      <c r="A8223" s="140"/>
      <c r="B8223" s="140"/>
      <c r="C8223" s="140"/>
      <c r="D8223" s="140"/>
      <c r="E8223" s="140"/>
      <c r="F8223" s="140"/>
      <c r="G8223" s="141"/>
      <c r="H8223" s="140"/>
      <c r="I8223" s="140"/>
      <c r="J8223" s="140"/>
      <c r="K8223" s="140"/>
    </row>
    <row r="8224">
      <c r="A8224" s="140"/>
      <c r="B8224" s="140"/>
      <c r="C8224" s="140"/>
      <c r="D8224" s="140"/>
      <c r="E8224" s="140"/>
      <c r="F8224" s="140"/>
      <c r="G8224" s="141"/>
      <c r="H8224" s="140"/>
      <c r="I8224" s="140"/>
      <c r="J8224" s="140"/>
      <c r="K8224" s="140"/>
    </row>
    <row r="8225">
      <c r="A8225" s="140"/>
      <c r="B8225" s="140"/>
      <c r="C8225" s="140"/>
      <c r="D8225" s="140"/>
      <c r="E8225" s="140"/>
      <c r="F8225" s="140"/>
      <c r="G8225" s="141"/>
      <c r="H8225" s="140"/>
      <c r="I8225" s="140"/>
      <c r="J8225" s="140"/>
      <c r="K8225" s="140"/>
    </row>
    <row r="8226">
      <c r="A8226" s="140"/>
      <c r="B8226" s="140"/>
      <c r="C8226" s="140"/>
      <c r="D8226" s="140"/>
      <c r="E8226" s="140"/>
      <c r="F8226" s="140"/>
      <c r="G8226" s="141"/>
      <c r="H8226" s="140"/>
      <c r="I8226" s="140"/>
      <c r="J8226" s="140"/>
      <c r="K8226" s="140"/>
    </row>
    <row r="8227">
      <c r="A8227" s="140"/>
      <c r="B8227" s="140"/>
      <c r="C8227" s="140"/>
      <c r="D8227" s="140"/>
      <c r="E8227" s="140"/>
      <c r="F8227" s="140"/>
      <c r="G8227" s="141"/>
      <c r="H8227" s="140"/>
      <c r="I8227" s="140"/>
      <c r="J8227" s="140"/>
      <c r="K8227" s="140"/>
    </row>
    <row r="8228">
      <c r="A8228" s="140"/>
      <c r="B8228" s="140"/>
      <c r="C8228" s="140"/>
      <c r="D8228" s="140"/>
      <c r="E8228" s="140"/>
      <c r="F8228" s="140"/>
      <c r="G8228" s="141"/>
      <c r="H8228" s="140"/>
      <c r="I8228" s="140"/>
      <c r="J8228" s="140"/>
      <c r="K8228" s="140"/>
    </row>
    <row r="8229">
      <c r="A8229" s="140"/>
      <c r="B8229" s="140"/>
      <c r="C8229" s="140"/>
      <c r="D8229" s="140"/>
      <c r="E8229" s="140"/>
      <c r="F8229" s="140"/>
      <c r="G8229" s="141"/>
      <c r="H8229" s="140"/>
      <c r="I8229" s="140"/>
      <c r="J8229" s="140"/>
      <c r="K8229" s="140"/>
    </row>
    <row r="8230">
      <c r="A8230" s="140"/>
      <c r="B8230" s="140"/>
      <c r="C8230" s="140"/>
      <c r="D8230" s="140"/>
      <c r="E8230" s="140"/>
      <c r="F8230" s="140"/>
      <c r="G8230" s="141"/>
      <c r="H8230" s="140"/>
      <c r="I8230" s="140"/>
      <c r="J8230" s="140"/>
      <c r="K8230" s="140"/>
    </row>
    <row r="8231">
      <c r="A8231" s="140"/>
      <c r="B8231" s="140"/>
      <c r="C8231" s="140"/>
      <c r="D8231" s="140"/>
      <c r="E8231" s="140"/>
      <c r="F8231" s="140"/>
      <c r="G8231" s="141"/>
      <c r="H8231" s="140"/>
      <c r="I8231" s="140"/>
      <c r="J8231" s="140"/>
      <c r="K8231" s="140"/>
    </row>
    <row r="8232">
      <c r="A8232" s="140"/>
      <c r="B8232" s="140"/>
      <c r="C8232" s="140"/>
      <c r="D8232" s="140"/>
      <c r="E8232" s="140"/>
      <c r="F8232" s="140"/>
      <c r="G8232" s="141"/>
      <c r="H8232" s="140"/>
      <c r="I8232" s="140"/>
      <c r="J8232" s="140"/>
      <c r="K8232" s="140"/>
    </row>
    <row r="8233">
      <c r="A8233" s="140"/>
      <c r="B8233" s="140"/>
      <c r="C8233" s="140"/>
      <c r="D8233" s="140"/>
      <c r="E8233" s="140"/>
      <c r="F8233" s="140"/>
      <c r="G8233" s="141"/>
      <c r="H8233" s="140"/>
      <c r="I8233" s="140"/>
      <c r="J8233" s="140"/>
      <c r="K8233" s="140"/>
    </row>
    <row r="8234">
      <c r="A8234" s="140"/>
      <c r="B8234" s="140"/>
      <c r="C8234" s="140"/>
      <c r="D8234" s="140"/>
      <c r="E8234" s="140"/>
      <c r="F8234" s="140"/>
      <c r="G8234" s="141"/>
      <c r="H8234" s="140"/>
      <c r="I8234" s="140"/>
      <c r="J8234" s="140"/>
      <c r="K8234" s="140"/>
    </row>
    <row r="8235">
      <c r="A8235" s="140"/>
      <c r="B8235" s="140"/>
      <c r="C8235" s="140"/>
      <c r="D8235" s="140"/>
      <c r="E8235" s="140"/>
      <c r="F8235" s="140"/>
      <c r="G8235" s="141"/>
      <c r="H8235" s="140"/>
      <c r="I8235" s="140"/>
      <c r="J8235" s="140"/>
      <c r="K8235" s="140"/>
    </row>
    <row r="8236">
      <c r="A8236" s="140"/>
      <c r="B8236" s="140"/>
      <c r="C8236" s="140"/>
      <c r="D8236" s="140"/>
      <c r="E8236" s="140"/>
      <c r="F8236" s="140"/>
      <c r="G8236" s="141"/>
      <c r="H8236" s="140"/>
      <c r="I8236" s="140"/>
      <c r="J8236" s="140"/>
      <c r="K8236" s="140"/>
    </row>
    <row r="8237">
      <c r="A8237" s="140"/>
      <c r="B8237" s="140"/>
      <c r="C8237" s="140"/>
      <c r="D8237" s="140"/>
      <c r="E8237" s="140"/>
      <c r="F8237" s="140"/>
      <c r="G8237" s="141"/>
      <c r="H8237" s="140"/>
      <c r="I8237" s="140"/>
      <c r="J8237" s="140"/>
      <c r="K8237" s="140"/>
    </row>
    <row r="8238">
      <c r="A8238" s="140"/>
      <c r="B8238" s="140"/>
      <c r="C8238" s="140"/>
      <c r="D8238" s="140"/>
      <c r="E8238" s="140"/>
      <c r="F8238" s="140"/>
      <c r="G8238" s="141"/>
      <c r="H8238" s="140"/>
      <c r="I8238" s="140"/>
      <c r="J8238" s="140"/>
      <c r="K8238" s="140"/>
    </row>
    <row r="8239">
      <c r="A8239" s="140"/>
      <c r="B8239" s="140"/>
      <c r="C8239" s="140"/>
      <c r="D8239" s="140"/>
      <c r="E8239" s="140"/>
      <c r="F8239" s="140"/>
      <c r="G8239" s="141"/>
      <c r="H8239" s="140"/>
      <c r="I8239" s="140"/>
      <c r="J8239" s="140"/>
      <c r="K8239" s="140"/>
    </row>
    <row r="8240">
      <c r="A8240" s="140"/>
      <c r="B8240" s="140"/>
      <c r="C8240" s="140"/>
      <c r="D8240" s="140"/>
      <c r="E8240" s="140"/>
      <c r="F8240" s="140"/>
      <c r="G8240" s="141"/>
      <c r="H8240" s="140"/>
      <c r="I8240" s="140"/>
      <c r="J8240" s="140"/>
      <c r="K8240" s="140"/>
    </row>
    <row r="8241">
      <c r="A8241" s="140"/>
      <c r="B8241" s="140"/>
      <c r="C8241" s="140"/>
      <c r="D8241" s="140"/>
      <c r="E8241" s="140"/>
      <c r="F8241" s="140"/>
      <c r="G8241" s="141"/>
      <c r="H8241" s="140"/>
      <c r="I8241" s="140"/>
      <c r="J8241" s="140"/>
      <c r="K8241" s="140"/>
    </row>
    <row r="8242">
      <c r="A8242" s="140"/>
      <c r="B8242" s="140"/>
      <c r="C8242" s="140"/>
      <c r="D8242" s="140"/>
      <c r="E8242" s="140"/>
      <c r="F8242" s="140"/>
      <c r="G8242" s="141"/>
      <c r="H8242" s="140"/>
      <c r="I8242" s="140"/>
      <c r="J8242" s="140"/>
      <c r="K8242" s="140"/>
    </row>
    <row r="8243">
      <c r="A8243" s="140"/>
      <c r="B8243" s="140"/>
      <c r="C8243" s="140"/>
      <c r="D8243" s="140"/>
      <c r="E8243" s="140"/>
      <c r="F8243" s="140"/>
      <c r="G8243" s="141"/>
      <c r="H8243" s="140"/>
      <c r="I8243" s="140"/>
      <c r="J8243" s="140"/>
      <c r="K8243" s="140"/>
    </row>
    <row r="8244">
      <c r="A8244" s="140"/>
      <c r="B8244" s="140"/>
      <c r="C8244" s="140"/>
      <c r="D8244" s="140"/>
      <c r="E8244" s="140"/>
      <c r="F8244" s="140"/>
      <c r="G8244" s="141"/>
      <c r="H8244" s="140"/>
      <c r="I8244" s="140"/>
      <c r="J8244" s="140"/>
      <c r="K8244" s="140"/>
    </row>
    <row r="8245">
      <c r="A8245" s="140"/>
      <c r="B8245" s="140"/>
      <c r="C8245" s="140"/>
      <c r="D8245" s="140"/>
      <c r="E8245" s="140"/>
      <c r="F8245" s="140"/>
      <c r="G8245" s="141"/>
      <c r="H8245" s="140"/>
      <c r="I8245" s="140"/>
      <c r="J8245" s="140"/>
      <c r="K8245" s="140"/>
    </row>
    <row r="8246">
      <c r="A8246" s="140"/>
      <c r="B8246" s="140"/>
      <c r="C8246" s="140"/>
      <c r="D8246" s="140"/>
      <c r="E8246" s="140"/>
      <c r="F8246" s="140"/>
      <c r="G8246" s="141"/>
      <c r="H8246" s="140"/>
      <c r="I8246" s="140"/>
      <c r="J8246" s="140"/>
      <c r="K8246" s="140"/>
    </row>
    <row r="8247">
      <c r="A8247" s="140"/>
      <c r="B8247" s="140"/>
      <c r="C8247" s="140"/>
      <c r="D8247" s="140"/>
      <c r="E8247" s="140"/>
      <c r="F8247" s="140"/>
      <c r="G8247" s="141"/>
      <c r="H8247" s="140"/>
      <c r="I8247" s="140"/>
      <c r="J8247" s="140"/>
      <c r="K8247" s="140"/>
    </row>
    <row r="8248">
      <c r="A8248" s="140"/>
      <c r="B8248" s="140"/>
      <c r="C8248" s="140"/>
      <c r="D8248" s="140"/>
      <c r="E8248" s="140"/>
      <c r="F8248" s="140"/>
      <c r="G8248" s="141"/>
      <c r="H8248" s="140"/>
      <c r="I8248" s="140"/>
      <c r="J8248" s="140"/>
      <c r="K8248" s="140"/>
    </row>
    <row r="8249">
      <c r="A8249" s="140"/>
      <c r="B8249" s="140"/>
      <c r="C8249" s="140"/>
      <c r="D8249" s="140"/>
      <c r="E8249" s="140"/>
      <c r="F8249" s="140"/>
      <c r="G8249" s="141"/>
      <c r="H8249" s="140"/>
      <c r="I8249" s="140"/>
      <c r="J8249" s="140"/>
      <c r="K8249" s="140"/>
    </row>
    <row r="8250">
      <c r="A8250" s="140"/>
      <c r="B8250" s="140"/>
      <c r="C8250" s="140"/>
      <c r="D8250" s="140"/>
      <c r="E8250" s="140"/>
      <c r="F8250" s="140"/>
      <c r="G8250" s="141"/>
      <c r="H8250" s="140"/>
      <c r="I8250" s="140"/>
      <c r="J8250" s="140"/>
      <c r="K8250" s="140"/>
    </row>
    <row r="8251">
      <c r="A8251" s="140"/>
      <c r="B8251" s="140"/>
      <c r="C8251" s="140"/>
      <c r="D8251" s="140"/>
      <c r="E8251" s="140"/>
      <c r="F8251" s="140"/>
      <c r="G8251" s="141"/>
      <c r="H8251" s="140"/>
      <c r="I8251" s="140"/>
      <c r="J8251" s="140"/>
      <c r="K8251" s="140"/>
    </row>
    <row r="8252">
      <c r="A8252" s="140"/>
      <c r="B8252" s="140"/>
      <c r="C8252" s="140"/>
      <c r="D8252" s="140"/>
      <c r="E8252" s="140"/>
      <c r="F8252" s="140"/>
      <c r="G8252" s="141"/>
      <c r="H8252" s="140"/>
      <c r="I8252" s="140"/>
      <c r="J8252" s="140"/>
      <c r="K8252" s="140"/>
    </row>
    <row r="8253">
      <c r="A8253" s="140"/>
      <c r="B8253" s="140"/>
      <c r="C8253" s="140"/>
      <c r="D8253" s="140"/>
      <c r="E8253" s="140"/>
      <c r="F8253" s="140"/>
      <c r="G8253" s="141"/>
      <c r="H8253" s="140"/>
      <c r="I8253" s="140"/>
      <c r="J8253" s="140"/>
      <c r="K8253" s="140"/>
    </row>
    <row r="8254">
      <c r="A8254" s="140"/>
      <c r="B8254" s="140"/>
      <c r="C8254" s="140"/>
      <c r="D8254" s="140"/>
      <c r="E8254" s="140"/>
      <c r="F8254" s="140"/>
      <c r="G8254" s="141"/>
      <c r="H8254" s="140"/>
      <c r="I8254" s="140"/>
      <c r="J8254" s="140"/>
      <c r="K8254" s="140"/>
    </row>
    <row r="8255">
      <c r="A8255" s="140"/>
      <c r="B8255" s="140"/>
      <c r="C8255" s="140"/>
      <c r="D8255" s="140"/>
      <c r="E8255" s="140"/>
      <c r="F8255" s="140"/>
      <c r="G8255" s="141"/>
      <c r="H8255" s="140"/>
      <c r="I8255" s="140"/>
      <c r="J8255" s="140"/>
      <c r="K8255" s="140"/>
    </row>
    <row r="8256">
      <c r="A8256" s="140"/>
      <c r="B8256" s="140"/>
      <c r="C8256" s="140"/>
      <c r="D8256" s="140"/>
      <c r="E8256" s="140"/>
      <c r="F8256" s="140"/>
      <c r="G8256" s="141"/>
      <c r="H8256" s="140"/>
      <c r="I8256" s="140"/>
      <c r="J8256" s="140"/>
      <c r="K8256" s="140"/>
    </row>
    <row r="8257">
      <c r="A8257" s="140"/>
      <c r="B8257" s="140"/>
      <c r="C8257" s="140"/>
      <c r="D8257" s="140"/>
      <c r="E8257" s="140"/>
      <c r="F8257" s="140"/>
      <c r="G8257" s="141"/>
      <c r="H8257" s="140"/>
      <c r="I8257" s="140"/>
      <c r="J8257" s="140"/>
      <c r="K8257" s="140"/>
    </row>
    <row r="8258">
      <c r="A8258" s="140"/>
      <c r="B8258" s="140"/>
      <c r="C8258" s="140"/>
      <c r="D8258" s="140"/>
      <c r="E8258" s="140"/>
      <c r="F8258" s="140"/>
      <c r="G8258" s="141"/>
      <c r="H8258" s="140"/>
      <c r="I8258" s="140"/>
      <c r="J8258" s="140"/>
      <c r="K8258" s="140"/>
    </row>
    <row r="8259">
      <c r="A8259" s="140"/>
      <c r="B8259" s="140"/>
      <c r="C8259" s="140"/>
      <c r="D8259" s="140"/>
      <c r="E8259" s="140"/>
      <c r="F8259" s="140"/>
      <c r="G8259" s="141"/>
      <c r="H8259" s="140"/>
      <c r="I8259" s="140"/>
      <c r="J8259" s="140"/>
      <c r="K8259" s="140"/>
    </row>
    <row r="8260">
      <c r="A8260" s="140"/>
      <c r="B8260" s="140"/>
      <c r="C8260" s="140"/>
      <c r="D8260" s="140"/>
      <c r="E8260" s="140"/>
      <c r="F8260" s="140"/>
      <c r="G8260" s="141"/>
      <c r="H8260" s="140"/>
      <c r="I8260" s="140"/>
      <c r="J8260" s="140"/>
      <c r="K8260" s="140"/>
    </row>
    <row r="8261">
      <c r="A8261" s="140"/>
      <c r="B8261" s="140"/>
      <c r="C8261" s="140"/>
      <c r="D8261" s="140"/>
      <c r="E8261" s="140"/>
      <c r="F8261" s="140"/>
      <c r="G8261" s="141"/>
      <c r="H8261" s="140"/>
      <c r="I8261" s="140"/>
      <c r="J8261" s="140"/>
      <c r="K8261" s="140"/>
    </row>
    <row r="8262">
      <c r="A8262" s="140"/>
      <c r="B8262" s="140"/>
      <c r="C8262" s="140"/>
      <c r="D8262" s="140"/>
      <c r="E8262" s="140"/>
      <c r="F8262" s="140"/>
      <c r="G8262" s="141"/>
      <c r="H8262" s="140"/>
      <c r="I8262" s="140"/>
      <c r="J8262" s="140"/>
      <c r="K8262" s="140"/>
    </row>
    <row r="8263">
      <c r="A8263" s="140"/>
      <c r="B8263" s="140"/>
      <c r="C8263" s="140"/>
      <c r="D8263" s="140"/>
      <c r="E8263" s="140"/>
      <c r="F8263" s="140"/>
      <c r="G8263" s="141"/>
      <c r="H8263" s="140"/>
      <c r="I8263" s="140"/>
      <c r="J8263" s="140"/>
      <c r="K8263" s="140"/>
    </row>
    <row r="8264">
      <c r="A8264" s="140"/>
      <c r="B8264" s="140"/>
      <c r="C8264" s="140"/>
      <c r="D8264" s="140"/>
      <c r="E8264" s="140"/>
      <c r="F8264" s="140"/>
      <c r="G8264" s="141"/>
      <c r="H8264" s="140"/>
      <c r="I8264" s="140"/>
      <c r="J8264" s="140"/>
      <c r="K8264" s="140"/>
    </row>
    <row r="8265">
      <c r="A8265" s="140"/>
      <c r="B8265" s="140"/>
      <c r="C8265" s="140"/>
      <c r="D8265" s="140"/>
      <c r="E8265" s="140"/>
      <c r="F8265" s="140"/>
      <c r="G8265" s="141"/>
      <c r="H8265" s="140"/>
      <c r="I8265" s="140"/>
      <c r="J8265" s="140"/>
      <c r="K8265" s="140"/>
    </row>
    <row r="8266">
      <c r="A8266" s="140"/>
      <c r="B8266" s="140"/>
      <c r="C8266" s="140"/>
      <c r="D8266" s="140"/>
      <c r="E8266" s="140"/>
      <c r="F8266" s="140"/>
      <c r="G8266" s="141"/>
      <c r="H8266" s="140"/>
      <c r="I8266" s="140"/>
      <c r="J8266" s="140"/>
      <c r="K8266" s="140"/>
    </row>
    <row r="8267">
      <c r="A8267" s="140"/>
      <c r="B8267" s="140"/>
      <c r="C8267" s="140"/>
      <c r="D8267" s="140"/>
      <c r="E8267" s="140"/>
      <c r="F8267" s="140"/>
      <c r="G8267" s="141"/>
      <c r="H8267" s="140"/>
      <c r="I8267" s="140"/>
      <c r="J8267" s="140"/>
      <c r="K8267" s="140"/>
    </row>
    <row r="8268">
      <c r="A8268" s="140"/>
      <c r="B8268" s="140"/>
      <c r="C8268" s="140"/>
      <c r="D8268" s="140"/>
      <c r="E8268" s="140"/>
      <c r="F8268" s="140"/>
      <c r="G8268" s="141"/>
      <c r="H8268" s="140"/>
      <c r="I8268" s="140"/>
      <c r="J8268" s="140"/>
      <c r="K8268" s="140"/>
    </row>
    <row r="8269">
      <c r="A8269" s="140"/>
      <c r="B8269" s="140"/>
      <c r="C8269" s="140"/>
      <c r="D8269" s="140"/>
      <c r="E8269" s="140"/>
      <c r="F8269" s="140"/>
      <c r="G8269" s="141"/>
      <c r="H8269" s="140"/>
      <c r="I8269" s="140"/>
      <c r="J8269" s="140"/>
      <c r="K8269" s="140"/>
    </row>
    <row r="8270">
      <c r="A8270" s="140"/>
      <c r="B8270" s="140"/>
      <c r="C8270" s="140"/>
      <c r="D8270" s="140"/>
      <c r="E8270" s="140"/>
      <c r="F8270" s="140"/>
      <c r="G8270" s="141"/>
      <c r="H8270" s="140"/>
      <c r="I8270" s="140"/>
      <c r="J8270" s="140"/>
      <c r="K8270" s="140"/>
    </row>
    <row r="8271">
      <c r="A8271" s="140"/>
      <c r="B8271" s="140"/>
      <c r="C8271" s="140"/>
      <c r="D8271" s="140"/>
      <c r="E8271" s="140"/>
      <c r="F8271" s="140"/>
      <c r="G8271" s="141"/>
      <c r="H8271" s="140"/>
      <c r="I8271" s="140"/>
      <c r="J8271" s="140"/>
      <c r="K8271" s="140"/>
    </row>
    <row r="8272">
      <c r="A8272" s="140"/>
      <c r="B8272" s="140"/>
      <c r="C8272" s="140"/>
      <c r="D8272" s="140"/>
      <c r="E8272" s="140"/>
      <c r="F8272" s="140"/>
      <c r="G8272" s="141"/>
      <c r="H8272" s="140"/>
      <c r="I8272" s="140"/>
      <c r="J8272" s="140"/>
      <c r="K8272" s="140"/>
    </row>
    <row r="8273">
      <c r="A8273" s="140"/>
      <c r="B8273" s="140"/>
      <c r="C8273" s="140"/>
      <c r="D8273" s="140"/>
      <c r="E8273" s="140"/>
      <c r="F8273" s="140"/>
      <c r="G8273" s="141"/>
      <c r="H8273" s="140"/>
      <c r="I8273" s="140"/>
      <c r="J8273" s="140"/>
      <c r="K8273" s="140"/>
    </row>
    <row r="8274">
      <c r="A8274" s="140"/>
      <c r="B8274" s="140"/>
      <c r="C8274" s="140"/>
      <c r="D8274" s="140"/>
      <c r="E8274" s="140"/>
      <c r="F8274" s="140"/>
      <c r="G8274" s="141"/>
      <c r="H8274" s="140"/>
      <c r="I8274" s="140"/>
      <c r="J8274" s="140"/>
      <c r="K8274" s="140"/>
    </row>
    <row r="8275">
      <c r="A8275" s="140"/>
      <c r="B8275" s="140"/>
      <c r="C8275" s="140"/>
      <c r="D8275" s="140"/>
      <c r="E8275" s="140"/>
      <c r="F8275" s="140"/>
      <c r="G8275" s="141"/>
      <c r="H8275" s="140"/>
      <c r="I8275" s="140"/>
      <c r="J8275" s="140"/>
      <c r="K8275" s="140"/>
    </row>
    <row r="8276">
      <c r="A8276" s="140"/>
      <c r="B8276" s="140"/>
      <c r="C8276" s="140"/>
      <c r="D8276" s="140"/>
      <c r="E8276" s="140"/>
      <c r="F8276" s="140"/>
      <c r="G8276" s="141"/>
      <c r="H8276" s="140"/>
      <c r="I8276" s="140"/>
      <c r="J8276" s="140"/>
      <c r="K8276" s="140"/>
    </row>
    <row r="8277">
      <c r="A8277" s="140"/>
      <c r="B8277" s="140"/>
      <c r="C8277" s="140"/>
      <c r="D8277" s="140"/>
      <c r="E8277" s="140"/>
      <c r="F8277" s="140"/>
      <c r="G8277" s="141"/>
      <c r="H8277" s="140"/>
      <c r="I8277" s="140"/>
      <c r="J8277" s="140"/>
      <c r="K8277" s="140"/>
    </row>
    <row r="8278">
      <c r="A8278" s="140"/>
      <c r="B8278" s="140"/>
      <c r="C8278" s="140"/>
      <c r="D8278" s="140"/>
      <c r="E8278" s="140"/>
      <c r="F8278" s="140"/>
      <c r="G8278" s="141"/>
      <c r="H8278" s="140"/>
      <c r="I8278" s="140"/>
      <c r="J8278" s="140"/>
      <c r="K8278" s="140"/>
    </row>
    <row r="8279">
      <c r="A8279" s="140"/>
      <c r="B8279" s="140"/>
      <c r="C8279" s="140"/>
      <c r="D8279" s="140"/>
      <c r="E8279" s="140"/>
      <c r="F8279" s="140"/>
      <c r="G8279" s="141"/>
      <c r="H8279" s="140"/>
      <c r="I8279" s="140"/>
      <c r="J8279" s="140"/>
      <c r="K8279" s="140"/>
    </row>
    <row r="8280">
      <c r="A8280" s="140"/>
      <c r="B8280" s="140"/>
      <c r="C8280" s="140"/>
      <c r="D8280" s="140"/>
      <c r="E8280" s="140"/>
      <c r="F8280" s="140"/>
      <c r="G8280" s="141"/>
      <c r="H8280" s="140"/>
      <c r="I8280" s="140"/>
      <c r="J8280" s="140"/>
      <c r="K8280" s="140"/>
    </row>
    <row r="8281">
      <c r="A8281" s="140"/>
      <c r="B8281" s="140"/>
      <c r="C8281" s="140"/>
      <c r="D8281" s="140"/>
      <c r="E8281" s="140"/>
      <c r="F8281" s="140"/>
      <c r="G8281" s="141"/>
      <c r="H8281" s="140"/>
      <c r="I8281" s="140"/>
      <c r="J8281" s="140"/>
      <c r="K8281" s="140"/>
    </row>
    <row r="8282">
      <c r="A8282" s="140"/>
      <c r="B8282" s="140"/>
      <c r="C8282" s="140"/>
      <c r="D8282" s="140"/>
      <c r="E8282" s="140"/>
      <c r="F8282" s="140"/>
      <c r="G8282" s="141"/>
      <c r="H8282" s="140"/>
      <c r="I8282" s="140"/>
      <c r="J8282" s="140"/>
      <c r="K8282" s="140"/>
    </row>
    <row r="8283">
      <c r="A8283" s="140"/>
      <c r="B8283" s="140"/>
      <c r="C8283" s="140"/>
      <c r="D8283" s="140"/>
      <c r="E8283" s="140"/>
      <c r="F8283" s="140"/>
      <c r="G8283" s="141"/>
      <c r="H8283" s="140"/>
      <c r="I8283" s="140"/>
      <c r="J8283" s="140"/>
      <c r="K8283" s="140"/>
    </row>
    <row r="8284">
      <c r="A8284" s="140"/>
      <c r="B8284" s="140"/>
      <c r="C8284" s="140"/>
      <c r="D8284" s="140"/>
      <c r="E8284" s="140"/>
      <c r="F8284" s="140"/>
      <c r="G8284" s="141"/>
      <c r="H8284" s="140"/>
      <c r="I8284" s="140"/>
      <c r="J8284" s="140"/>
      <c r="K8284" s="140"/>
    </row>
    <row r="8285">
      <c r="A8285" s="140"/>
      <c r="B8285" s="140"/>
      <c r="C8285" s="140"/>
      <c r="D8285" s="140"/>
      <c r="E8285" s="140"/>
      <c r="F8285" s="140"/>
      <c r="G8285" s="141"/>
      <c r="H8285" s="140"/>
      <c r="I8285" s="140"/>
      <c r="J8285" s="140"/>
      <c r="K8285" s="140"/>
    </row>
    <row r="8286">
      <c r="A8286" s="140"/>
      <c r="B8286" s="140"/>
      <c r="C8286" s="140"/>
      <c r="D8286" s="140"/>
      <c r="E8286" s="140"/>
      <c r="F8286" s="140"/>
      <c r="G8286" s="141"/>
      <c r="H8286" s="140"/>
      <c r="I8286" s="140"/>
      <c r="J8286" s="140"/>
      <c r="K8286" s="140"/>
    </row>
    <row r="8287">
      <c r="A8287" s="140"/>
      <c r="B8287" s="140"/>
      <c r="C8287" s="140"/>
      <c r="D8287" s="140"/>
      <c r="E8287" s="140"/>
      <c r="F8287" s="140"/>
      <c r="G8287" s="141"/>
      <c r="H8287" s="140"/>
      <c r="I8287" s="140"/>
      <c r="J8287" s="140"/>
      <c r="K8287" s="140"/>
    </row>
    <row r="8288">
      <c r="A8288" s="140"/>
      <c r="B8288" s="140"/>
      <c r="C8288" s="140"/>
      <c r="D8288" s="140"/>
      <c r="E8288" s="140"/>
      <c r="F8288" s="140"/>
      <c r="G8288" s="141"/>
      <c r="H8288" s="140"/>
      <c r="I8288" s="140"/>
      <c r="J8288" s="140"/>
      <c r="K8288" s="140"/>
    </row>
    <row r="8289">
      <c r="A8289" s="140"/>
      <c r="B8289" s="140"/>
      <c r="C8289" s="140"/>
      <c r="D8289" s="140"/>
      <c r="E8289" s="140"/>
      <c r="F8289" s="140"/>
      <c r="G8289" s="141"/>
      <c r="H8289" s="140"/>
      <c r="I8289" s="140"/>
      <c r="J8289" s="140"/>
      <c r="K8289" s="140"/>
    </row>
    <row r="8290">
      <c r="A8290" s="140"/>
      <c r="B8290" s="140"/>
      <c r="C8290" s="140"/>
      <c r="D8290" s="140"/>
      <c r="E8290" s="140"/>
      <c r="F8290" s="140"/>
      <c r="G8290" s="141"/>
      <c r="H8290" s="140"/>
      <c r="I8290" s="140"/>
      <c r="J8290" s="140"/>
      <c r="K8290" s="140"/>
    </row>
    <row r="8291">
      <c r="A8291" s="140"/>
      <c r="B8291" s="140"/>
      <c r="C8291" s="140"/>
      <c r="D8291" s="140"/>
      <c r="E8291" s="140"/>
      <c r="F8291" s="140"/>
      <c r="G8291" s="141"/>
      <c r="H8291" s="140"/>
      <c r="I8291" s="140"/>
      <c r="J8291" s="140"/>
      <c r="K8291" s="140"/>
    </row>
    <row r="8292">
      <c r="A8292" s="140"/>
      <c r="B8292" s="140"/>
      <c r="C8292" s="140"/>
      <c r="D8292" s="140"/>
      <c r="E8292" s="140"/>
      <c r="F8292" s="140"/>
      <c r="G8292" s="141"/>
      <c r="H8292" s="140"/>
      <c r="I8292" s="140"/>
      <c r="J8292" s="140"/>
      <c r="K8292" s="140"/>
    </row>
    <row r="8293">
      <c r="A8293" s="140"/>
      <c r="B8293" s="140"/>
      <c r="C8293" s="140"/>
      <c r="D8293" s="140"/>
      <c r="E8293" s="140"/>
      <c r="F8293" s="140"/>
      <c r="G8293" s="141"/>
      <c r="H8293" s="140"/>
      <c r="I8293" s="140"/>
      <c r="J8293" s="140"/>
      <c r="K8293" s="140"/>
    </row>
    <row r="8294">
      <c r="A8294" s="140"/>
      <c r="B8294" s="140"/>
      <c r="C8294" s="140"/>
      <c r="D8294" s="140"/>
      <c r="E8294" s="140"/>
      <c r="F8294" s="140"/>
      <c r="G8294" s="141"/>
      <c r="H8294" s="140"/>
      <c r="I8294" s="140"/>
      <c r="J8294" s="140"/>
      <c r="K8294" s="140"/>
    </row>
    <row r="8295">
      <c r="A8295" s="140"/>
      <c r="B8295" s="140"/>
      <c r="C8295" s="140"/>
      <c r="D8295" s="140"/>
      <c r="E8295" s="140"/>
      <c r="F8295" s="140"/>
      <c r="G8295" s="141"/>
      <c r="H8295" s="140"/>
      <c r="I8295" s="140"/>
      <c r="J8295" s="140"/>
      <c r="K8295" s="140"/>
    </row>
    <row r="8296">
      <c r="A8296" s="140"/>
      <c r="B8296" s="140"/>
      <c r="C8296" s="140"/>
      <c r="D8296" s="140"/>
      <c r="E8296" s="140"/>
      <c r="F8296" s="140"/>
      <c r="G8296" s="141"/>
      <c r="H8296" s="140"/>
      <c r="I8296" s="140"/>
      <c r="J8296" s="140"/>
      <c r="K8296" s="140"/>
    </row>
    <row r="8297">
      <c r="A8297" s="140"/>
      <c r="B8297" s="140"/>
      <c r="C8297" s="140"/>
      <c r="D8297" s="140"/>
      <c r="E8297" s="140"/>
      <c r="F8297" s="140"/>
      <c r="G8297" s="141"/>
      <c r="H8297" s="140"/>
      <c r="I8297" s="140"/>
      <c r="J8297" s="140"/>
      <c r="K8297" s="140"/>
    </row>
    <row r="8298">
      <c r="A8298" s="140"/>
      <c r="B8298" s="140"/>
      <c r="C8298" s="140"/>
      <c r="D8298" s="140"/>
      <c r="E8298" s="140"/>
      <c r="F8298" s="140"/>
      <c r="G8298" s="141"/>
      <c r="H8298" s="140"/>
      <c r="I8298" s="140"/>
      <c r="J8298" s="140"/>
      <c r="K8298" s="140"/>
    </row>
    <row r="8299">
      <c r="A8299" s="140"/>
      <c r="B8299" s="140"/>
      <c r="C8299" s="140"/>
      <c r="D8299" s="140"/>
      <c r="E8299" s="140"/>
      <c r="F8299" s="140"/>
      <c r="G8299" s="141"/>
      <c r="H8299" s="140"/>
      <c r="I8299" s="140"/>
      <c r="J8299" s="140"/>
      <c r="K8299" s="140"/>
    </row>
    <row r="8300">
      <c r="A8300" s="140"/>
      <c r="B8300" s="140"/>
      <c r="C8300" s="140"/>
      <c r="D8300" s="140"/>
      <c r="E8300" s="140"/>
      <c r="F8300" s="140"/>
      <c r="G8300" s="141"/>
      <c r="H8300" s="140"/>
      <c r="I8300" s="140"/>
      <c r="J8300" s="140"/>
      <c r="K8300" s="140"/>
    </row>
    <row r="8301">
      <c r="A8301" s="140"/>
      <c r="B8301" s="140"/>
      <c r="C8301" s="140"/>
      <c r="D8301" s="140"/>
      <c r="E8301" s="140"/>
      <c r="F8301" s="140"/>
      <c r="G8301" s="141"/>
      <c r="H8301" s="140"/>
      <c r="I8301" s="140"/>
      <c r="J8301" s="140"/>
      <c r="K8301" s="140"/>
    </row>
    <row r="8302">
      <c r="A8302" s="140"/>
      <c r="B8302" s="140"/>
      <c r="C8302" s="140"/>
      <c r="D8302" s="140"/>
      <c r="E8302" s="140"/>
      <c r="F8302" s="140"/>
      <c r="G8302" s="141"/>
      <c r="H8302" s="140"/>
      <c r="I8302" s="140"/>
      <c r="J8302" s="140"/>
      <c r="K8302" s="140"/>
    </row>
    <row r="8303">
      <c r="A8303" s="140"/>
      <c r="B8303" s="140"/>
      <c r="C8303" s="140"/>
      <c r="D8303" s="140"/>
      <c r="E8303" s="140"/>
      <c r="F8303" s="140"/>
      <c r="G8303" s="141"/>
      <c r="H8303" s="140"/>
      <c r="I8303" s="140"/>
      <c r="J8303" s="140"/>
      <c r="K8303" s="140"/>
    </row>
    <row r="8304">
      <c r="A8304" s="140"/>
      <c r="B8304" s="140"/>
      <c r="C8304" s="140"/>
      <c r="D8304" s="140"/>
      <c r="E8304" s="140"/>
      <c r="F8304" s="140"/>
      <c r="G8304" s="141"/>
      <c r="H8304" s="140"/>
      <c r="I8304" s="140"/>
      <c r="J8304" s="140"/>
      <c r="K8304" s="140"/>
    </row>
    <row r="8305">
      <c r="A8305" s="140"/>
      <c r="B8305" s="140"/>
      <c r="C8305" s="140"/>
      <c r="D8305" s="140"/>
      <c r="E8305" s="140"/>
      <c r="F8305" s="140"/>
      <c r="G8305" s="141"/>
      <c r="H8305" s="140"/>
      <c r="I8305" s="140"/>
      <c r="J8305" s="140"/>
      <c r="K8305" s="140"/>
    </row>
    <row r="8306">
      <c r="A8306" s="140"/>
      <c r="B8306" s="140"/>
      <c r="C8306" s="140"/>
      <c r="D8306" s="140"/>
      <c r="E8306" s="140"/>
      <c r="F8306" s="140"/>
      <c r="G8306" s="141"/>
      <c r="H8306" s="140"/>
      <c r="I8306" s="140"/>
      <c r="J8306" s="140"/>
      <c r="K8306" s="140"/>
    </row>
    <row r="8307">
      <c r="A8307" s="140"/>
      <c r="B8307" s="140"/>
      <c r="C8307" s="140"/>
      <c r="D8307" s="140"/>
      <c r="E8307" s="140"/>
      <c r="F8307" s="140"/>
      <c r="G8307" s="141"/>
      <c r="H8307" s="140"/>
      <c r="I8307" s="140"/>
      <c r="J8307" s="140"/>
      <c r="K8307" s="140"/>
    </row>
    <row r="8308">
      <c r="A8308" s="140"/>
      <c r="B8308" s="140"/>
      <c r="C8308" s="140"/>
      <c r="D8308" s="140"/>
      <c r="E8308" s="140"/>
      <c r="F8308" s="140"/>
      <c r="G8308" s="141"/>
      <c r="H8308" s="140"/>
      <c r="I8308" s="140"/>
      <c r="J8308" s="140"/>
      <c r="K8308" s="140"/>
    </row>
    <row r="8309">
      <c r="A8309" s="140"/>
      <c r="B8309" s="140"/>
      <c r="C8309" s="140"/>
      <c r="D8309" s="140"/>
      <c r="E8309" s="140"/>
      <c r="F8309" s="140"/>
      <c r="G8309" s="141"/>
      <c r="H8309" s="140"/>
      <c r="I8309" s="140"/>
      <c r="J8309" s="140"/>
      <c r="K8309" s="140"/>
    </row>
    <row r="8310">
      <c r="A8310" s="140"/>
      <c r="B8310" s="140"/>
      <c r="C8310" s="140"/>
      <c r="D8310" s="140"/>
      <c r="E8310" s="140"/>
      <c r="F8310" s="140"/>
      <c r="G8310" s="141"/>
      <c r="H8310" s="140"/>
      <c r="I8310" s="140"/>
      <c r="J8310" s="140"/>
      <c r="K8310" s="140"/>
    </row>
    <row r="8311">
      <c r="A8311" s="140"/>
      <c r="B8311" s="140"/>
      <c r="C8311" s="140"/>
      <c r="D8311" s="140"/>
      <c r="E8311" s="140"/>
      <c r="F8311" s="140"/>
      <c r="G8311" s="141"/>
      <c r="H8311" s="140"/>
      <c r="I8311" s="140"/>
      <c r="J8311" s="140"/>
      <c r="K8311" s="140"/>
    </row>
    <row r="8312">
      <c r="A8312" s="140"/>
      <c r="B8312" s="140"/>
      <c r="C8312" s="140"/>
      <c r="D8312" s="140"/>
      <c r="E8312" s="140"/>
      <c r="F8312" s="140"/>
      <c r="G8312" s="141"/>
      <c r="H8312" s="140"/>
      <c r="I8312" s="140"/>
      <c r="J8312" s="140"/>
      <c r="K8312" s="140"/>
    </row>
    <row r="8313">
      <c r="A8313" s="140"/>
      <c r="B8313" s="140"/>
      <c r="C8313" s="140"/>
      <c r="D8313" s="140"/>
      <c r="E8313" s="140"/>
      <c r="F8313" s="140"/>
      <c r="G8313" s="141"/>
      <c r="H8313" s="140"/>
      <c r="I8313" s="140"/>
      <c r="J8313" s="140"/>
      <c r="K8313" s="140"/>
    </row>
    <row r="8314">
      <c r="A8314" s="140"/>
      <c r="B8314" s="140"/>
      <c r="C8314" s="140"/>
      <c r="D8314" s="140"/>
      <c r="E8314" s="140"/>
      <c r="F8314" s="140"/>
      <c r="G8314" s="141"/>
      <c r="H8314" s="140"/>
      <c r="I8314" s="140"/>
      <c r="J8314" s="140"/>
      <c r="K8314" s="140"/>
    </row>
    <row r="8315">
      <c r="A8315" s="140"/>
      <c r="B8315" s="140"/>
      <c r="C8315" s="140"/>
      <c r="D8315" s="140"/>
      <c r="E8315" s="140"/>
      <c r="F8315" s="140"/>
      <c r="G8315" s="141"/>
      <c r="H8315" s="140"/>
      <c r="I8315" s="140"/>
      <c r="J8315" s="140"/>
      <c r="K8315" s="140"/>
    </row>
    <row r="8316">
      <c r="A8316" s="140"/>
      <c r="B8316" s="140"/>
      <c r="C8316" s="140"/>
      <c r="D8316" s="140"/>
      <c r="E8316" s="140"/>
      <c r="F8316" s="140"/>
      <c r="G8316" s="141"/>
      <c r="H8316" s="140"/>
      <c r="I8316" s="140"/>
      <c r="J8316" s="140"/>
      <c r="K8316" s="140"/>
    </row>
    <row r="8317">
      <c r="A8317" s="140"/>
      <c r="B8317" s="140"/>
      <c r="C8317" s="140"/>
      <c r="D8317" s="140"/>
      <c r="E8317" s="140"/>
      <c r="F8317" s="140"/>
      <c r="G8317" s="141"/>
      <c r="H8317" s="140"/>
      <c r="I8317" s="140"/>
      <c r="J8317" s="140"/>
      <c r="K8317" s="140"/>
    </row>
    <row r="8318">
      <c r="A8318" s="140"/>
      <c r="B8318" s="140"/>
      <c r="C8318" s="140"/>
      <c r="D8318" s="140"/>
      <c r="E8318" s="140"/>
      <c r="F8318" s="140"/>
      <c r="G8318" s="141"/>
      <c r="H8318" s="140"/>
      <c r="I8318" s="140"/>
      <c r="J8318" s="140"/>
      <c r="K8318" s="140"/>
    </row>
    <row r="8319">
      <c r="A8319" s="140"/>
      <c r="B8319" s="140"/>
      <c r="C8319" s="140"/>
      <c r="D8319" s="140"/>
      <c r="E8319" s="140"/>
      <c r="F8319" s="140"/>
      <c r="G8319" s="141"/>
      <c r="H8319" s="140"/>
      <c r="I8319" s="140"/>
      <c r="J8319" s="140"/>
      <c r="K8319" s="140"/>
    </row>
    <row r="8320">
      <c r="A8320" s="140"/>
      <c r="B8320" s="140"/>
      <c r="C8320" s="140"/>
      <c r="D8320" s="140"/>
      <c r="E8320" s="140"/>
      <c r="F8320" s="140"/>
      <c r="G8320" s="141"/>
      <c r="H8320" s="140"/>
      <c r="I8320" s="140"/>
      <c r="J8320" s="140"/>
      <c r="K8320" s="140"/>
    </row>
    <row r="8321">
      <c r="A8321" s="140"/>
      <c r="B8321" s="140"/>
      <c r="C8321" s="140"/>
      <c r="D8321" s="140"/>
      <c r="E8321" s="140"/>
      <c r="F8321" s="140"/>
      <c r="G8321" s="141"/>
      <c r="H8321" s="140"/>
      <c r="I8321" s="140"/>
      <c r="J8321" s="140"/>
      <c r="K8321" s="140"/>
    </row>
    <row r="8322">
      <c r="A8322" s="140"/>
      <c r="B8322" s="140"/>
      <c r="C8322" s="140"/>
      <c r="D8322" s="140"/>
      <c r="E8322" s="140"/>
      <c r="F8322" s="140"/>
      <c r="G8322" s="141"/>
      <c r="H8322" s="140"/>
      <c r="I8322" s="140"/>
      <c r="J8322" s="140"/>
      <c r="K8322" s="140"/>
    </row>
    <row r="8323">
      <c r="A8323" s="140"/>
      <c r="B8323" s="140"/>
      <c r="C8323" s="140"/>
      <c r="D8323" s="140"/>
      <c r="E8323" s="140"/>
      <c r="F8323" s="140"/>
      <c r="G8323" s="141"/>
      <c r="H8323" s="140"/>
      <c r="I8323" s="140"/>
      <c r="J8323" s="140"/>
      <c r="K8323" s="140"/>
    </row>
    <row r="8324">
      <c r="A8324" s="140"/>
      <c r="B8324" s="140"/>
      <c r="C8324" s="140"/>
      <c r="D8324" s="140"/>
      <c r="E8324" s="140"/>
      <c r="F8324" s="140"/>
      <c r="G8324" s="141"/>
      <c r="H8324" s="140"/>
      <c r="I8324" s="140"/>
      <c r="J8324" s="140"/>
      <c r="K8324" s="140"/>
    </row>
    <row r="8325">
      <c r="A8325" s="140"/>
      <c r="B8325" s="140"/>
      <c r="C8325" s="140"/>
      <c r="D8325" s="140"/>
      <c r="E8325" s="140"/>
      <c r="F8325" s="140"/>
      <c r="G8325" s="141"/>
      <c r="H8325" s="140"/>
      <c r="I8325" s="140"/>
      <c r="J8325" s="140"/>
      <c r="K8325" s="140"/>
    </row>
    <row r="8326">
      <c r="A8326" s="140"/>
      <c r="B8326" s="140"/>
      <c r="C8326" s="140"/>
      <c r="D8326" s="140"/>
      <c r="E8326" s="140"/>
      <c r="F8326" s="140"/>
      <c r="G8326" s="141"/>
      <c r="H8326" s="140"/>
      <c r="I8326" s="140"/>
      <c r="J8326" s="140"/>
      <c r="K8326" s="140"/>
    </row>
    <row r="8327">
      <c r="A8327" s="140"/>
      <c r="B8327" s="140"/>
      <c r="C8327" s="140"/>
      <c r="D8327" s="140"/>
      <c r="E8327" s="140"/>
      <c r="F8327" s="140"/>
      <c r="G8327" s="141"/>
      <c r="H8327" s="140"/>
      <c r="I8327" s="140"/>
      <c r="J8327" s="140"/>
      <c r="K8327" s="140"/>
    </row>
    <row r="8328">
      <c r="A8328" s="140"/>
      <c r="B8328" s="140"/>
      <c r="C8328" s="140"/>
      <c r="D8328" s="140"/>
      <c r="E8328" s="140"/>
      <c r="F8328" s="140"/>
      <c r="G8328" s="141"/>
      <c r="H8328" s="140"/>
      <c r="I8328" s="140"/>
      <c r="J8328" s="140"/>
      <c r="K8328" s="140"/>
    </row>
    <row r="8329">
      <c r="A8329" s="140"/>
      <c r="B8329" s="140"/>
      <c r="C8329" s="140"/>
      <c r="D8329" s="140"/>
      <c r="E8329" s="140"/>
      <c r="F8329" s="140"/>
      <c r="G8329" s="141"/>
      <c r="H8329" s="140"/>
      <c r="I8329" s="140"/>
      <c r="J8329" s="140"/>
      <c r="K8329" s="140"/>
    </row>
    <row r="8330">
      <c r="A8330" s="140"/>
      <c r="B8330" s="140"/>
      <c r="C8330" s="140"/>
      <c r="D8330" s="140"/>
      <c r="E8330" s="140"/>
      <c r="F8330" s="140"/>
      <c r="G8330" s="141"/>
      <c r="H8330" s="140"/>
      <c r="I8330" s="140"/>
      <c r="J8330" s="140"/>
      <c r="K8330" s="140"/>
    </row>
    <row r="8331">
      <c r="A8331" s="140"/>
      <c r="B8331" s="140"/>
      <c r="C8331" s="140"/>
      <c r="D8331" s="140"/>
      <c r="E8331" s="140"/>
      <c r="F8331" s="140"/>
      <c r="G8331" s="141"/>
      <c r="H8331" s="140"/>
      <c r="I8331" s="140"/>
      <c r="J8331" s="140"/>
      <c r="K8331" s="140"/>
    </row>
    <row r="8332">
      <c r="A8332" s="140"/>
      <c r="B8332" s="140"/>
      <c r="C8332" s="140"/>
      <c r="D8332" s="140"/>
      <c r="E8332" s="140"/>
      <c r="F8332" s="140"/>
      <c r="G8332" s="141"/>
      <c r="H8332" s="140"/>
      <c r="I8332" s="140"/>
      <c r="J8332" s="140"/>
      <c r="K8332" s="140"/>
    </row>
    <row r="8333">
      <c r="A8333" s="140"/>
      <c r="B8333" s="140"/>
      <c r="C8333" s="140"/>
      <c r="D8333" s="140"/>
      <c r="E8333" s="140"/>
      <c r="F8333" s="140"/>
      <c r="G8333" s="141"/>
      <c r="H8333" s="140"/>
      <c r="I8333" s="140"/>
      <c r="J8333" s="140"/>
      <c r="K8333" s="140"/>
    </row>
    <row r="8334">
      <c r="A8334" s="140"/>
      <c r="B8334" s="140"/>
      <c r="C8334" s="140"/>
      <c r="D8334" s="140"/>
      <c r="E8334" s="140"/>
      <c r="F8334" s="140"/>
      <c r="G8334" s="141"/>
      <c r="H8334" s="140"/>
      <c r="I8334" s="140"/>
      <c r="J8334" s="140"/>
      <c r="K8334" s="140"/>
    </row>
    <row r="8335">
      <c r="A8335" s="140"/>
      <c r="B8335" s="140"/>
      <c r="C8335" s="140"/>
      <c r="D8335" s="140"/>
      <c r="E8335" s="140"/>
      <c r="F8335" s="140"/>
      <c r="G8335" s="141"/>
      <c r="H8335" s="140"/>
      <c r="I8335" s="140"/>
      <c r="J8335" s="140"/>
      <c r="K8335" s="140"/>
    </row>
    <row r="8336">
      <c r="A8336" s="140"/>
      <c r="B8336" s="140"/>
      <c r="C8336" s="140"/>
      <c r="D8336" s="140"/>
      <c r="E8336" s="140"/>
      <c r="F8336" s="140"/>
      <c r="G8336" s="141"/>
      <c r="H8336" s="140"/>
      <c r="I8336" s="140"/>
      <c r="J8336" s="140"/>
      <c r="K8336" s="140"/>
    </row>
    <row r="8337">
      <c r="A8337" s="140"/>
      <c r="B8337" s="140"/>
      <c r="C8337" s="140"/>
      <c r="D8337" s="140"/>
      <c r="E8337" s="140"/>
      <c r="F8337" s="140"/>
      <c r="G8337" s="141"/>
      <c r="H8337" s="140"/>
      <c r="I8337" s="140"/>
      <c r="J8337" s="140"/>
      <c r="K8337" s="140"/>
    </row>
    <row r="8338">
      <c r="A8338" s="140"/>
      <c r="B8338" s="140"/>
      <c r="C8338" s="140"/>
      <c r="D8338" s="140"/>
      <c r="E8338" s="140"/>
      <c r="F8338" s="140"/>
      <c r="G8338" s="141"/>
      <c r="H8338" s="140"/>
      <c r="I8338" s="140"/>
      <c r="J8338" s="140"/>
      <c r="K8338" s="140"/>
    </row>
  </sheetData>
  <autoFilter ref="$A$1:$Z$7338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55" t="s">
        <v>15636</v>
      </c>
      <c r="B1" s="155" t="s">
        <v>15637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</row>
    <row r="2">
      <c r="A2" s="155" t="s">
        <v>15638</v>
      </c>
      <c r="B2" s="155" t="s">
        <v>15639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</row>
    <row r="3">
      <c r="A3" s="155" t="s">
        <v>15640</v>
      </c>
      <c r="B3" s="155" t="s">
        <v>15641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</row>
    <row r="4">
      <c r="A4" s="155" t="s">
        <v>15642</v>
      </c>
      <c r="B4" s="155" t="s">
        <v>15643</v>
      </c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</row>
    <row r="5">
      <c r="A5" s="155" t="s">
        <v>15644</v>
      </c>
      <c r="B5" s="155" t="s">
        <v>15645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</row>
    <row r="6">
      <c r="A6" s="155" t="s">
        <v>15646</v>
      </c>
      <c r="B6" s="155" t="s">
        <v>15647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</row>
    <row r="7">
      <c r="A7" s="155" t="s">
        <v>15648</v>
      </c>
      <c r="B7" s="155" t="s">
        <v>15649</v>
      </c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</row>
    <row r="8">
      <c r="A8" s="155" t="s">
        <v>15650</v>
      </c>
      <c r="B8" s="155" t="s">
        <v>15651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</row>
    <row r="9">
      <c r="A9" s="155" t="s">
        <v>15652</v>
      </c>
      <c r="B9" s="155" t="s">
        <v>15651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</row>
    <row r="10">
      <c r="A10" s="155" t="s">
        <v>15653</v>
      </c>
      <c r="B10" s="155" t="s">
        <v>15533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</row>
    <row r="11">
      <c r="A11" s="155" t="s">
        <v>15654</v>
      </c>
      <c r="B11" s="155" t="s">
        <v>15533</v>
      </c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</row>
    <row r="12">
      <c r="A12" s="155" t="s">
        <v>15655</v>
      </c>
      <c r="B12" s="155" t="s">
        <v>15533</v>
      </c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</row>
    <row r="13">
      <c r="A13" s="155" t="s">
        <v>15656</v>
      </c>
      <c r="B13" s="155" t="s">
        <v>15533</v>
      </c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</row>
    <row r="14">
      <c r="A14" s="155" t="s">
        <v>15657</v>
      </c>
      <c r="B14" s="155" t="s">
        <v>15533</v>
      </c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</row>
    <row r="15">
      <c r="A15" s="155" t="s">
        <v>15658</v>
      </c>
      <c r="B15" s="155" t="s">
        <v>15533</v>
      </c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</row>
    <row r="16">
      <c r="A16" s="155" t="s">
        <v>15659</v>
      </c>
      <c r="B16" s="155" t="s">
        <v>15660</v>
      </c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</row>
    <row r="17">
      <c r="A17" s="155" t="s">
        <v>15661</v>
      </c>
      <c r="B17" s="155" t="s">
        <v>15662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</row>
    <row r="18">
      <c r="A18" s="155" t="s">
        <v>15663</v>
      </c>
      <c r="B18" s="155" t="s">
        <v>15664</v>
      </c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</row>
    <row r="19">
      <c r="A19" s="155" t="s">
        <v>15665</v>
      </c>
      <c r="B19" s="155" t="s">
        <v>15664</v>
      </c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</row>
    <row r="20">
      <c r="A20" s="155" t="s">
        <v>15666</v>
      </c>
      <c r="B20" s="155" t="s">
        <v>15664</v>
      </c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</row>
    <row r="21">
      <c r="A21" s="155" t="s">
        <v>15667</v>
      </c>
      <c r="B21" s="155" t="s">
        <v>15664</v>
      </c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</row>
    <row r="22">
      <c r="A22" s="155" t="s">
        <v>15668</v>
      </c>
      <c r="B22" s="155" t="s">
        <v>15664</v>
      </c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</row>
    <row r="23">
      <c r="A23" s="155" t="s">
        <v>15669</v>
      </c>
      <c r="B23" s="155" t="s">
        <v>15664</v>
      </c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</row>
    <row r="24">
      <c r="A24" s="155" t="s">
        <v>15670</v>
      </c>
      <c r="B24" s="155" t="s">
        <v>15671</v>
      </c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</row>
    <row r="25">
      <c r="A25" s="155" t="s">
        <v>15672</v>
      </c>
      <c r="B25" s="155" t="s">
        <v>15671</v>
      </c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</row>
    <row r="26">
      <c r="A26" s="155" t="s">
        <v>15673</v>
      </c>
      <c r="B26" s="155" t="s">
        <v>15671</v>
      </c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</row>
    <row r="27">
      <c r="A27" s="155" t="s">
        <v>15674</v>
      </c>
      <c r="B27" s="155" t="s">
        <v>15671</v>
      </c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</row>
    <row r="28">
      <c r="A28" s="155" t="s">
        <v>15675</v>
      </c>
      <c r="B28" s="155" t="s">
        <v>15676</v>
      </c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</row>
    <row r="29">
      <c r="A29" s="155" t="s">
        <v>15677</v>
      </c>
      <c r="B29" s="155" t="s">
        <v>15678</v>
      </c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</row>
    <row r="30">
      <c r="A30" s="155" t="s">
        <v>15679</v>
      </c>
      <c r="B30" s="155" t="s">
        <v>15680</v>
      </c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</row>
    <row r="31">
      <c r="A31" s="155" t="s">
        <v>15681</v>
      </c>
      <c r="B31" s="155" t="s">
        <v>15682</v>
      </c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</row>
    <row r="32">
      <c r="A32" s="155" t="s">
        <v>15683</v>
      </c>
      <c r="B32" s="155" t="s">
        <v>15682</v>
      </c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</row>
    <row r="33">
      <c r="A33" s="155" t="s">
        <v>15684</v>
      </c>
      <c r="B33" s="155" t="s">
        <v>15682</v>
      </c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</row>
    <row r="34">
      <c r="A34" s="155" t="s">
        <v>15685</v>
      </c>
      <c r="B34" s="155" t="s">
        <v>15682</v>
      </c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</row>
    <row r="35">
      <c r="A35" s="155" t="s">
        <v>15686</v>
      </c>
      <c r="B35" s="155" t="s">
        <v>15682</v>
      </c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</row>
    <row r="36">
      <c r="A36" s="155" t="s">
        <v>15687</v>
      </c>
      <c r="B36" s="155" t="s">
        <v>15682</v>
      </c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</row>
    <row r="37">
      <c r="A37" s="155" t="s">
        <v>15688</v>
      </c>
      <c r="B37" s="155" t="s">
        <v>15682</v>
      </c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</row>
    <row r="38">
      <c r="A38" s="155" t="s">
        <v>15689</v>
      </c>
      <c r="B38" s="155" t="s">
        <v>15682</v>
      </c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</row>
    <row r="39">
      <c r="A39" s="155" t="s">
        <v>15690</v>
      </c>
      <c r="B39" s="155" t="s">
        <v>15682</v>
      </c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</row>
    <row r="40">
      <c r="A40" s="155" t="s">
        <v>15691</v>
      </c>
      <c r="B40" s="155" t="s">
        <v>15682</v>
      </c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</row>
    <row r="41">
      <c r="A41" s="155" t="s">
        <v>15692</v>
      </c>
      <c r="B41" s="155" t="s">
        <v>15682</v>
      </c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</row>
    <row r="42">
      <c r="A42" s="155" t="s">
        <v>15693</v>
      </c>
      <c r="B42" s="155" t="s">
        <v>15682</v>
      </c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</row>
    <row r="43">
      <c r="A43" s="155" t="s">
        <v>15694</v>
      </c>
      <c r="B43" s="155" t="s">
        <v>15682</v>
      </c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</row>
    <row r="44">
      <c r="A44" s="155" t="s">
        <v>15695</v>
      </c>
      <c r="B44" s="155" t="s">
        <v>15682</v>
      </c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</row>
    <row r="45">
      <c r="A45" s="155" t="s">
        <v>15696</v>
      </c>
      <c r="B45" s="155" t="s">
        <v>15682</v>
      </c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</row>
    <row r="46">
      <c r="A46" s="155" t="s">
        <v>15697</v>
      </c>
      <c r="B46" s="155" t="s">
        <v>15682</v>
      </c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</row>
    <row r="47">
      <c r="A47" s="155" t="s">
        <v>15698</v>
      </c>
      <c r="B47" s="155" t="s">
        <v>15682</v>
      </c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</row>
    <row r="48">
      <c r="A48" s="155" t="s">
        <v>15699</v>
      </c>
      <c r="B48" s="155" t="s">
        <v>15682</v>
      </c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</row>
    <row r="49">
      <c r="A49" s="155" t="s">
        <v>15700</v>
      </c>
      <c r="B49" s="155" t="s">
        <v>15682</v>
      </c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</row>
    <row r="50">
      <c r="A50" s="155" t="s">
        <v>15701</v>
      </c>
      <c r="B50" s="155" t="s">
        <v>15682</v>
      </c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</row>
    <row r="51">
      <c r="A51" s="155" t="s">
        <v>15702</v>
      </c>
      <c r="B51" s="155" t="s">
        <v>15682</v>
      </c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</row>
    <row r="52">
      <c r="A52" s="155" t="s">
        <v>15703</v>
      </c>
      <c r="B52" s="155" t="s">
        <v>15682</v>
      </c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</row>
    <row r="53">
      <c r="A53" s="155" t="s">
        <v>15704</v>
      </c>
      <c r="B53" s="155" t="s">
        <v>15682</v>
      </c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</row>
    <row r="54">
      <c r="A54" s="155" t="s">
        <v>15705</v>
      </c>
      <c r="B54" s="155" t="s">
        <v>15682</v>
      </c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</row>
    <row r="55">
      <c r="A55" s="155" t="s">
        <v>15706</v>
      </c>
      <c r="B55" s="155" t="s">
        <v>15682</v>
      </c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</row>
    <row r="56">
      <c r="A56" s="155" t="s">
        <v>15707</v>
      </c>
      <c r="B56" s="155" t="s">
        <v>15708</v>
      </c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</row>
    <row r="57">
      <c r="A57" s="155" t="s">
        <v>15709</v>
      </c>
      <c r="B57" s="155" t="s">
        <v>15710</v>
      </c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</row>
    <row r="58">
      <c r="A58" s="155" t="s">
        <v>15711</v>
      </c>
      <c r="B58" s="155" t="s">
        <v>15712</v>
      </c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</row>
    <row r="59">
      <c r="A59" s="155" t="s">
        <v>15713</v>
      </c>
      <c r="B59" s="155" t="s">
        <v>15714</v>
      </c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</row>
    <row r="60">
      <c r="A60" s="155" t="s">
        <v>15715</v>
      </c>
      <c r="B60" s="155" t="s">
        <v>15716</v>
      </c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</row>
    <row r="61">
      <c r="A61" s="155" t="s">
        <v>15717</v>
      </c>
      <c r="B61" s="155" t="s">
        <v>15718</v>
      </c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</row>
    <row r="62">
      <c r="A62" s="155" t="s">
        <v>15718</v>
      </c>
      <c r="B62" s="155" t="s">
        <v>15718</v>
      </c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</row>
    <row r="63">
      <c r="A63" s="155" t="s">
        <v>15719</v>
      </c>
      <c r="B63" s="155" t="s">
        <v>15720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</row>
    <row r="64">
      <c r="A64" s="155" t="s">
        <v>15721</v>
      </c>
      <c r="B64" s="155" t="s">
        <v>15722</v>
      </c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</row>
    <row r="65">
      <c r="A65" s="155" t="s">
        <v>15723</v>
      </c>
      <c r="B65" s="155" t="s">
        <v>11057</v>
      </c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</row>
    <row r="66">
      <c r="A66" s="155" t="s">
        <v>15724</v>
      </c>
      <c r="B66" s="155" t="s">
        <v>15725</v>
      </c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</row>
    <row r="67">
      <c r="A67" s="155" t="s">
        <v>15726</v>
      </c>
      <c r="B67" s="155" t="s">
        <v>15725</v>
      </c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</row>
    <row r="68">
      <c r="A68" s="155" t="s">
        <v>15727</v>
      </c>
      <c r="B68" s="155" t="s">
        <v>15725</v>
      </c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</row>
    <row r="69">
      <c r="A69" s="155" t="s">
        <v>15728</v>
      </c>
      <c r="B69" s="155" t="s">
        <v>15729</v>
      </c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</row>
    <row r="70">
      <c r="A70" s="155" t="s">
        <v>15730</v>
      </c>
      <c r="B70" s="155" t="s">
        <v>15729</v>
      </c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</row>
    <row r="71">
      <c r="A71" s="155" t="s">
        <v>15731</v>
      </c>
      <c r="B71" s="155" t="s">
        <v>15732</v>
      </c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</row>
    <row r="72">
      <c r="A72" s="155" t="s">
        <v>15733</v>
      </c>
      <c r="B72" s="155" t="s">
        <v>15734</v>
      </c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</row>
    <row r="73">
      <c r="A73" s="155" t="s">
        <v>15735</v>
      </c>
      <c r="B73" s="155" t="s">
        <v>15734</v>
      </c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</row>
    <row r="74">
      <c r="A74" s="155" t="s">
        <v>15736</v>
      </c>
      <c r="B74" s="155" t="s">
        <v>15737</v>
      </c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</row>
    <row r="75">
      <c r="A75" s="155" t="s">
        <v>15738</v>
      </c>
      <c r="B75" s="155" t="s">
        <v>15739</v>
      </c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</row>
    <row r="76">
      <c r="A76" s="155" t="s">
        <v>15740</v>
      </c>
      <c r="B76" s="155" t="s">
        <v>15739</v>
      </c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</row>
    <row r="77">
      <c r="A77" s="155" t="s">
        <v>15741</v>
      </c>
      <c r="B77" s="155" t="s">
        <v>15742</v>
      </c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</row>
    <row r="78">
      <c r="A78" s="155" t="s">
        <v>15743</v>
      </c>
      <c r="B78" s="155" t="s">
        <v>15744</v>
      </c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</row>
    <row r="79">
      <c r="A79" s="155" t="s">
        <v>15745</v>
      </c>
      <c r="B79" s="155" t="s">
        <v>15746</v>
      </c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</row>
    <row r="80">
      <c r="A80" s="155" t="s">
        <v>15747</v>
      </c>
      <c r="B80" s="155" t="s">
        <v>15748</v>
      </c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</row>
    <row r="81">
      <c r="A81" s="155" t="s">
        <v>15749</v>
      </c>
      <c r="B81" s="155" t="s">
        <v>15750</v>
      </c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</row>
    <row r="82">
      <c r="A82" s="155" t="s">
        <v>15751</v>
      </c>
      <c r="B82" s="155" t="s">
        <v>15752</v>
      </c>
      <c r="C82" s="156"/>
      <c r="D82" s="156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</row>
    <row r="83">
      <c r="A83" s="155" t="s">
        <v>15753</v>
      </c>
      <c r="B83" s="155" t="s">
        <v>15754</v>
      </c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</row>
    <row r="84">
      <c r="A84" s="155" t="s">
        <v>15755</v>
      </c>
      <c r="B84" s="155" t="s">
        <v>15754</v>
      </c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</row>
    <row r="85">
      <c r="A85" s="155" t="s">
        <v>15756</v>
      </c>
      <c r="B85" s="155" t="s">
        <v>15757</v>
      </c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</row>
    <row r="86">
      <c r="A86" s="155" t="s">
        <v>15758</v>
      </c>
      <c r="B86" s="155" t="s">
        <v>15759</v>
      </c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</row>
    <row r="87">
      <c r="A87" s="155" t="s">
        <v>15760</v>
      </c>
      <c r="B87" s="155" t="s">
        <v>15761</v>
      </c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</row>
    <row r="88">
      <c r="A88" s="155" t="s">
        <v>15762</v>
      </c>
      <c r="B88" s="155" t="s">
        <v>15682</v>
      </c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</row>
    <row r="89">
      <c r="A89" s="155" t="s">
        <v>15763</v>
      </c>
      <c r="B89" s="155" t="s">
        <v>15764</v>
      </c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</row>
    <row r="90">
      <c r="A90" s="155" t="s">
        <v>15765</v>
      </c>
      <c r="B90" s="155" t="s">
        <v>15662</v>
      </c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</row>
    <row r="91">
      <c r="A91" s="155" t="s">
        <v>15766</v>
      </c>
      <c r="B91" s="155" t="s">
        <v>15767</v>
      </c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</row>
    <row r="92">
      <c r="A92" s="155" t="s">
        <v>15768</v>
      </c>
      <c r="B92" s="155" t="s">
        <v>15769</v>
      </c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</row>
    <row r="93">
      <c r="A93" s="155" t="s">
        <v>15770</v>
      </c>
      <c r="B93" s="155" t="s">
        <v>15682</v>
      </c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</row>
    <row r="94">
      <c r="A94" s="155" t="s">
        <v>15771</v>
      </c>
      <c r="B94" s="155" t="s">
        <v>15682</v>
      </c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</row>
    <row r="95">
      <c r="A95" s="155" t="s">
        <v>15772</v>
      </c>
      <c r="B95" s="155" t="s">
        <v>15773</v>
      </c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</row>
    <row r="96">
      <c r="A96" s="155" t="s">
        <v>15774</v>
      </c>
      <c r="B96" s="155" t="s">
        <v>15775</v>
      </c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</row>
    <row r="97">
      <c r="A97" s="155" t="s">
        <v>15776</v>
      </c>
      <c r="B97" s="155" t="s">
        <v>15682</v>
      </c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</row>
    <row r="98">
      <c r="A98" s="155" t="s">
        <v>15777</v>
      </c>
      <c r="B98" s="155" t="s">
        <v>15778</v>
      </c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</row>
    <row r="99">
      <c r="A99" s="155" t="s">
        <v>15779</v>
      </c>
      <c r="B99" s="155" t="s">
        <v>15678</v>
      </c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</row>
    <row r="100">
      <c r="A100" s="155" t="s">
        <v>15780</v>
      </c>
      <c r="B100" s="155" t="s">
        <v>15781</v>
      </c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</row>
    <row r="101">
      <c r="A101" s="155" t="s">
        <v>15782</v>
      </c>
      <c r="B101" s="155" t="s">
        <v>15783</v>
      </c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</row>
    <row r="102">
      <c r="A102" s="155" t="s">
        <v>15719</v>
      </c>
      <c r="B102" s="155" t="s">
        <v>15784</v>
      </c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</row>
    <row r="103">
      <c r="A103" s="155" t="s">
        <v>15785</v>
      </c>
      <c r="B103" s="155" t="s">
        <v>15786</v>
      </c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</row>
    <row r="104">
      <c r="A104" s="155" t="s">
        <v>15787</v>
      </c>
      <c r="B104" s="155" t="s">
        <v>15787</v>
      </c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</row>
    <row r="105">
      <c r="A105" s="155" t="s">
        <v>15788</v>
      </c>
      <c r="B105" s="155" t="s">
        <v>15788</v>
      </c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</row>
    <row r="106">
      <c r="A106" s="155" t="s">
        <v>15789</v>
      </c>
      <c r="B106" s="155" t="s">
        <v>15649</v>
      </c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</row>
    <row r="107">
      <c r="A107" s="155" t="s">
        <v>15790</v>
      </c>
      <c r="B107" s="155" t="s">
        <v>15791</v>
      </c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</row>
    <row r="108">
      <c r="A108" s="155" t="s">
        <v>15792</v>
      </c>
      <c r="B108" s="155" t="s">
        <v>15793</v>
      </c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</row>
    <row r="109">
      <c r="A109" s="155" t="s">
        <v>15794</v>
      </c>
      <c r="B109" s="155" t="s">
        <v>15533</v>
      </c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</row>
    <row r="110">
      <c r="A110" s="155" t="s">
        <v>15795</v>
      </c>
      <c r="B110" s="155" t="s">
        <v>15682</v>
      </c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</row>
    <row r="111">
      <c r="A111" s="155" t="s">
        <v>15796</v>
      </c>
      <c r="B111" s="155" t="s">
        <v>15797</v>
      </c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</row>
    <row r="112">
      <c r="A112" s="155" t="s">
        <v>15798</v>
      </c>
      <c r="B112" s="155" t="s">
        <v>15682</v>
      </c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</row>
    <row r="113">
      <c r="A113" s="155" t="s">
        <v>15799</v>
      </c>
      <c r="B113" s="155" t="s">
        <v>15734</v>
      </c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</row>
    <row r="114">
      <c r="A114" s="155" t="s">
        <v>15800</v>
      </c>
      <c r="B114" s="155" t="s">
        <v>15801</v>
      </c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</row>
    <row r="115">
      <c r="A115" s="155" t="s">
        <v>15802</v>
      </c>
      <c r="B115" s="155" t="s">
        <v>15803</v>
      </c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</row>
    <row r="116">
      <c r="A116" s="155" t="s">
        <v>15804</v>
      </c>
      <c r="B116" s="155" t="s">
        <v>15805</v>
      </c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</row>
    <row r="117">
      <c r="A117" s="155" t="s">
        <v>15806</v>
      </c>
      <c r="B117" s="155" t="s">
        <v>15807</v>
      </c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</row>
    <row r="118">
      <c r="A118" s="155" t="s">
        <v>15808</v>
      </c>
      <c r="B118" s="155" t="s">
        <v>15809</v>
      </c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</row>
    <row r="119">
      <c r="A119" s="155" t="s">
        <v>15810</v>
      </c>
      <c r="B119" s="155" t="s">
        <v>15784</v>
      </c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</row>
    <row r="120">
      <c r="A120" s="155" t="s">
        <v>15811</v>
      </c>
      <c r="B120" s="155" t="s">
        <v>15678</v>
      </c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</row>
    <row r="121">
      <c r="A121" s="155" t="s">
        <v>15812</v>
      </c>
      <c r="B121" s="155" t="s">
        <v>15781</v>
      </c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</row>
    <row r="122">
      <c r="A122" s="155" t="s">
        <v>15813</v>
      </c>
      <c r="B122" s="155" t="s">
        <v>15814</v>
      </c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</row>
    <row r="123">
      <c r="A123" s="155" t="s">
        <v>15815</v>
      </c>
      <c r="B123" s="155" t="s">
        <v>15814</v>
      </c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</row>
    <row r="124">
      <c r="A124" s="155" t="s">
        <v>15816</v>
      </c>
      <c r="B124" s="155" t="s">
        <v>15781</v>
      </c>
      <c r="C124" s="156"/>
      <c r="D124" s="156"/>
      <c r="E124" s="156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</row>
    <row r="125">
      <c r="A125" s="155" t="s">
        <v>15817</v>
      </c>
      <c r="B125" s="155" t="s">
        <v>15818</v>
      </c>
      <c r="C125" s="156"/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</row>
    <row r="126">
      <c r="A126" s="155" t="s">
        <v>15819</v>
      </c>
      <c r="B126" s="155" t="s">
        <v>15820</v>
      </c>
      <c r="C126" s="156"/>
      <c r="D126" s="156"/>
      <c r="E126" s="156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</row>
    <row r="127">
      <c r="A127" s="155" t="s">
        <v>15821</v>
      </c>
      <c r="B127" s="155" t="s">
        <v>15678</v>
      </c>
      <c r="C127" s="156"/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</row>
    <row r="128">
      <c r="A128" s="155" t="s">
        <v>15822</v>
      </c>
      <c r="B128" s="155" t="s">
        <v>15712</v>
      </c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</row>
    <row r="129">
      <c r="A129" s="155" t="s">
        <v>15823</v>
      </c>
      <c r="B129" s="155" t="s">
        <v>15647</v>
      </c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</row>
    <row r="130">
      <c r="A130" s="155" t="s">
        <v>15824</v>
      </c>
      <c r="B130" s="155" t="s">
        <v>15783</v>
      </c>
      <c r="C130" s="156"/>
      <c r="D130" s="156"/>
      <c r="E130" s="156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</row>
    <row r="131">
      <c r="A131" s="155" t="s">
        <v>15825</v>
      </c>
      <c r="B131" s="155" t="s">
        <v>15826</v>
      </c>
      <c r="C131" s="156"/>
      <c r="D131" s="156"/>
      <c r="E131" s="156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</row>
    <row r="132">
      <c r="A132" s="155" t="s">
        <v>15827</v>
      </c>
      <c r="B132" s="155" t="s">
        <v>15828</v>
      </c>
      <c r="C132" s="156"/>
      <c r="D132" s="156"/>
      <c r="E132" s="156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</row>
    <row r="133">
      <c r="A133" s="155" t="s">
        <v>15829</v>
      </c>
      <c r="B133" s="155" t="s">
        <v>15830</v>
      </c>
      <c r="C133" s="156"/>
      <c r="D133" s="156"/>
      <c r="E133" s="156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</row>
    <row r="134">
      <c r="A134" s="155" t="s">
        <v>15831</v>
      </c>
      <c r="B134" s="155" t="s">
        <v>15832</v>
      </c>
      <c r="C134" s="156"/>
      <c r="D134" s="156"/>
      <c r="E134" s="156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</row>
    <row r="135">
      <c r="A135" s="155" t="s">
        <v>15833</v>
      </c>
      <c r="B135" s="155" t="s">
        <v>15834</v>
      </c>
      <c r="C135" s="156"/>
      <c r="D135" s="156"/>
      <c r="E135" s="156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</row>
    <row r="136">
      <c r="A136" s="155" t="s">
        <v>15835</v>
      </c>
      <c r="B136" s="155" t="s">
        <v>15836</v>
      </c>
      <c r="C136" s="156"/>
      <c r="D136" s="156"/>
      <c r="E136" s="156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</row>
    <row r="137">
      <c r="A137" s="155" t="s">
        <v>15837</v>
      </c>
      <c r="B137" s="155" t="s">
        <v>15838</v>
      </c>
      <c r="C137" s="156"/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</row>
    <row r="138">
      <c r="A138" s="155" t="s">
        <v>15839</v>
      </c>
      <c r="B138" s="155" t="s">
        <v>15840</v>
      </c>
      <c r="C138" s="156"/>
      <c r="D138" s="156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</row>
    <row r="139">
      <c r="A139" s="155" t="s">
        <v>15841</v>
      </c>
      <c r="B139" s="155" t="s">
        <v>15841</v>
      </c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</row>
    <row r="140">
      <c r="A140" s="155" t="s">
        <v>15842</v>
      </c>
      <c r="B140" s="155" t="s">
        <v>15843</v>
      </c>
      <c r="C140" s="156"/>
      <c r="D140" s="156"/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</row>
    <row r="141">
      <c r="A141" s="155" t="s">
        <v>15844</v>
      </c>
      <c r="B141" s="155" t="s">
        <v>15844</v>
      </c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</row>
    <row r="142">
      <c r="A142" s="155" t="s">
        <v>15845</v>
      </c>
      <c r="B142" s="155" t="s">
        <v>15845</v>
      </c>
      <c r="C142" s="156"/>
      <c r="D142" s="156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</row>
    <row r="143">
      <c r="A143" s="155" t="s">
        <v>15846</v>
      </c>
      <c r="B143" s="155" t="s">
        <v>15847</v>
      </c>
      <c r="C143" s="156"/>
      <c r="D143" s="156"/>
      <c r="E143" s="156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</row>
    <row r="144">
      <c r="A144" s="155" t="s">
        <v>15848</v>
      </c>
      <c r="B144" s="155" t="s">
        <v>15849</v>
      </c>
      <c r="C144" s="156"/>
      <c r="D144" s="156"/>
      <c r="E144" s="156"/>
      <c r="F144" s="156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</row>
    <row r="145">
      <c r="A145" s="155" t="s">
        <v>15850</v>
      </c>
      <c r="B145" s="155" t="s">
        <v>15851</v>
      </c>
      <c r="C145" s="156"/>
      <c r="D145" s="156"/>
      <c r="E145" s="156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</row>
    <row r="146">
      <c r="A146" s="155" t="s">
        <v>15852</v>
      </c>
      <c r="B146" s="155" t="s">
        <v>15852</v>
      </c>
      <c r="C146" s="156"/>
      <c r="D146" s="156"/>
      <c r="E146" s="156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</row>
    <row r="147">
      <c r="A147" s="155" t="s">
        <v>15853</v>
      </c>
      <c r="B147" s="155" t="s">
        <v>15854</v>
      </c>
      <c r="C147" s="156"/>
      <c r="D147" s="156"/>
      <c r="E147" s="156"/>
      <c r="F147" s="156"/>
      <c r="G147" s="156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</row>
    <row r="148">
      <c r="A148" s="155" t="s">
        <v>15855</v>
      </c>
      <c r="B148" s="155" t="s">
        <v>15856</v>
      </c>
      <c r="C148" s="156"/>
      <c r="D148" s="156"/>
      <c r="E148" s="156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</row>
    <row r="149">
      <c r="A149" s="155" t="s">
        <v>15857</v>
      </c>
      <c r="B149" s="155" t="s">
        <v>15801</v>
      </c>
      <c r="C149" s="156"/>
      <c r="D149" s="156"/>
      <c r="E149" s="156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</row>
    <row r="150">
      <c r="A150" s="156"/>
      <c r="B150" s="156"/>
      <c r="C150" s="156"/>
      <c r="D150" s="156"/>
      <c r="E150" s="156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</row>
    <row r="151">
      <c r="A151" s="156"/>
      <c r="B151" s="156"/>
      <c r="C151" s="156"/>
      <c r="D151" s="156"/>
      <c r="E151" s="156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</row>
    <row r="152">
      <c r="A152" s="156"/>
      <c r="B152" s="156"/>
      <c r="C152" s="156"/>
      <c r="D152" s="156"/>
      <c r="E152" s="156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</row>
    <row r="153">
      <c r="A153" s="156"/>
      <c r="B153" s="156"/>
      <c r="C153" s="156"/>
      <c r="D153" s="156"/>
      <c r="E153" s="156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</row>
    <row r="154">
      <c r="A154" s="156"/>
      <c r="B154" s="156"/>
      <c r="C154" s="156"/>
      <c r="D154" s="156"/>
      <c r="E154" s="156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</row>
    <row r="155">
      <c r="A155" s="156"/>
      <c r="B155" s="156"/>
      <c r="C155" s="156"/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</row>
    <row r="156">
      <c r="A156" s="156"/>
      <c r="B156" s="156"/>
      <c r="C156" s="156"/>
      <c r="D156" s="156"/>
      <c r="E156" s="156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</row>
    <row r="157">
      <c r="A157" s="156"/>
      <c r="B157" s="156"/>
      <c r="C157" s="156"/>
      <c r="D157" s="156"/>
      <c r="E157" s="156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</row>
    <row r="158">
      <c r="A158" s="156"/>
      <c r="B158" s="156"/>
      <c r="C158" s="156"/>
      <c r="D158" s="156"/>
      <c r="E158" s="156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</row>
    <row r="159">
      <c r="A159" s="156"/>
      <c r="B159" s="156"/>
      <c r="C159" s="156"/>
      <c r="D159" s="156"/>
      <c r="E159" s="156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</row>
    <row r="160">
      <c r="A160" s="156"/>
      <c r="B160" s="156"/>
      <c r="C160" s="156"/>
      <c r="D160" s="156"/>
      <c r="E160" s="156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</row>
    <row r="161">
      <c r="A161" s="156"/>
      <c r="B161" s="156"/>
      <c r="C161" s="156"/>
      <c r="D161" s="156"/>
      <c r="E161" s="156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</row>
    <row r="162">
      <c r="A162" s="156"/>
      <c r="B162" s="156"/>
      <c r="C162" s="156"/>
      <c r="D162" s="156"/>
      <c r="E162" s="156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</row>
    <row r="163">
      <c r="A163" s="156"/>
      <c r="B163" s="156"/>
      <c r="C163" s="156"/>
      <c r="D163" s="156"/>
      <c r="E163" s="156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  <c r="Z163" s="156"/>
    </row>
    <row r="164">
      <c r="A164" s="156"/>
      <c r="B164" s="156"/>
      <c r="C164" s="156"/>
      <c r="D164" s="156"/>
      <c r="E164" s="156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</row>
    <row r="165">
      <c r="A165" s="156"/>
      <c r="B165" s="156"/>
      <c r="C165" s="156"/>
      <c r="D165" s="156"/>
      <c r="E165" s="156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</row>
    <row r="166">
      <c r="A166" s="156"/>
      <c r="B166" s="156"/>
      <c r="C166" s="156"/>
      <c r="D166" s="156"/>
      <c r="E166" s="156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</row>
    <row r="167">
      <c r="A167" s="156"/>
      <c r="B167" s="156"/>
      <c r="C167" s="156"/>
      <c r="D167" s="156"/>
      <c r="E167" s="156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</row>
    <row r="168">
      <c r="A168" s="156"/>
      <c r="B168" s="156"/>
      <c r="C168" s="156"/>
      <c r="D168" s="156"/>
      <c r="E168" s="156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</row>
    <row r="169">
      <c r="A169" s="156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</row>
    <row r="170">
      <c r="A170" s="156"/>
      <c r="B170" s="156"/>
      <c r="C170" s="156"/>
      <c r="D170" s="156"/>
      <c r="E170" s="156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</row>
    <row r="171">
      <c r="A171" s="156"/>
      <c r="B171" s="156"/>
      <c r="C171" s="156"/>
      <c r="D171" s="156"/>
      <c r="E171" s="156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</row>
    <row r="172">
      <c r="A172" s="156"/>
      <c r="B172" s="156"/>
      <c r="C172" s="156"/>
      <c r="D172" s="156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</row>
    <row r="173">
      <c r="A173" s="156"/>
      <c r="B173" s="156"/>
      <c r="C173" s="156"/>
      <c r="D173" s="156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</row>
    <row r="174">
      <c r="A174" s="156"/>
      <c r="B174" s="156"/>
      <c r="C174" s="156"/>
      <c r="D174" s="156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</row>
    <row r="175">
      <c r="A175" s="156"/>
      <c r="B175" s="156"/>
      <c r="C175" s="156"/>
      <c r="D175" s="156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</row>
    <row r="176">
      <c r="A176" s="156"/>
      <c r="B176" s="156"/>
      <c r="C176" s="156"/>
      <c r="D176" s="156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</row>
    <row r="177">
      <c r="A177" s="156"/>
      <c r="B177" s="156"/>
      <c r="C177" s="156"/>
      <c r="D177" s="156"/>
      <c r="E177" s="156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</row>
    <row r="178">
      <c r="A178" s="156"/>
      <c r="B178" s="156"/>
      <c r="C178" s="156"/>
      <c r="D178" s="156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</row>
    <row r="179">
      <c r="A179" s="156"/>
      <c r="B179" s="156"/>
      <c r="C179" s="156"/>
      <c r="D179" s="156"/>
      <c r="E179" s="156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</row>
    <row r="180">
      <c r="A180" s="156"/>
      <c r="B180" s="156"/>
      <c r="C180" s="156"/>
      <c r="D180" s="156"/>
      <c r="E180" s="156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</row>
    <row r="181">
      <c r="A181" s="156"/>
      <c r="B181" s="156"/>
      <c r="C181" s="156"/>
      <c r="D181" s="156"/>
      <c r="E181" s="156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</row>
    <row r="182">
      <c r="A182" s="156"/>
      <c r="B182" s="156"/>
      <c r="C182" s="156"/>
      <c r="D182" s="156"/>
      <c r="E182" s="156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</row>
    <row r="183">
      <c r="A183" s="156"/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</row>
    <row r="184">
      <c r="A184" s="156"/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</row>
    <row r="185">
      <c r="A185" s="156"/>
      <c r="B185" s="156"/>
      <c r="C185" s="156"/>
      <c r="D185" s="156"/>
      <c r="E185" s="156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</row>
    <row r="186">
      <c r="A186" s="156"/>
      <c r="B186" s="156"/>
      <c r="C186" s="156"/>
      <c r="D186" s="156"/>
      <c r="E186" s="156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</row>
    <row r="187">
      <c r="A187" s="156"/>
      <c r="B187" s="156"/>
      <c r="C187" s="156"/>
      <c r="D187" s="156"/>
      <c r="E187" s="156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</row>
    <row r="188">
      <c r="A188" s="156"/>
      <c r="B188" s="156"/>
      <c r="C188" s="156"/>
      <c r="D188" s="156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</row>
    <row r="189">
      <c r="A189" s="156"/>
      <c r="B189" s="156"/>
      <c r="C189" s="156"/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</row>
    <row r="190">
      <c r="A190" s="156"/>
      <c r="B190" s="156"/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</row>
    <row r="191">
      <c r="A191" s="156"/>
      <c r="B191" s="156"/>
      <c r="C191" s="156"/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</row>
    <row r="192">
      <c r="A192" s="156"/>
      <c r="B192" s="156"/>
      <c r="C192" s="156"/>
      <c r="D192" s="156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</row>
    <row r="193">
      <c r="A193" s="156"/>
      <c r="B193" s="156"/>
      <c r="C193" s="156"/>
      <c r="D193" s="156"/>
      <c r="E193" s="156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</row>
    <row r="194">
      <c r="A194" s="156"/>
      <c r="B194" s="156"/>
      <c r="C194" s="156"/>
      <c r="D194" s="156"/>
      <c r="E194" s="156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</row>
    <row r="195">
      <c r="A195" s="156"/>
      <c r="B195" s="156"/>
      <c r="C195" s="156"/>
      <c r="D195" s="156"/>
      <c r="E195" s="156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</row>
    <row r="196">
      <c r="A196" s="156"/>
      <c r="B196" s="156"/>
      <c r="C196" s="156"/>
      <c r="D196" s="156"/>
      <c r="E196" s="156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</row>
    <row r="197">
      <c r="A197" s="156"/>
      <c r="B197" s="156"/>
      <c r="C197" s="156"/>
      <c r="D197" s="156"/>
      <c r="E197" s="156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</row>
    <row r="198">
      <c r="A198" s="156"/>
      <c r="B198" s="156"/>
      <c r="C198" s="156"/>
      <c r="D198" s="156"/>
      <c r="E198" s="156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</row>
    <row r="199">
      <c r="A199" s="156"/>
      <c r="B199" s="156"/>
      <c r="C199" s="156"/>
      <c r="D199" s="156"/>
      <c r="E199" s="156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</row>
    <row r="200">
      <c r="A200" s="156"/>
      <c r="B200" s="156"/>
      <c r="C200" s="156"/>
      <c r="D200" s="156"/>
      <c r="E200" s="156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</row>
    <row r="201">
      <c r="A201" s="156"/>
      <c r="B201" s="156"/>
      <c r="C201" s="156"/>
      <c r="D201" s="156"/>
      <c r="E201" s="156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</row>
    <row r="202">
      <c r="A202" s="156"/>
      <c r="B202" s="156"/>
      <c r="C202" s="156"/>
      <c r="D202" s="156"/>
      <c r="E202" s="156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</row>
    <row r="203">
      <c r="A203" s="156"/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</row>
    <row r="204">
      <c r="A204" s="156"/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</row>
    <row r="205">
      <c r="A205" s="156"/>
      <c r="B205" s="156"/>
      <c r="C205" s="156"/>
      <c r="D205" s="156"/>
      <c r="E205" s="156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</row>
    <row r="206">
      <c r="A206" s="156"/>
      <c r="B206" s="156"/>
      <c r="C206" s="156"/>
      <c r="D206" s="156"/>
      <c r="E206" s="156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</row>
    <row r="207">
      <c r="A207" s="156"/>
      <c r="B207" s="156"/>
      <c r="C207" s="156"/>
      <c r="D207" s="156"/>
      <c r="E207" s="156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</row>
    <row r="208">
      <c r="A208" s="156"/>
      <c r="B208" s="156"/>
      <c r="C208" s="156"/>
      <c r="D208" s="156"/>
      <c r="E208" s="156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</row>
    <row r="209">
      <c r="A209" s="156"/>
      <c r="B209" s="156"/>
      <c r="C209" s="156"/>
      <c r="D209" s="156"/>
      <c r="E209" s="156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</row>
    <row r="210">
      <c r="A210" s="156"/>
      <c r="B210" s="156"/>
      <c r="C210" s="156"/>
      <c r="D210" s="156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</row>
    <row r="211">
      <c r="A211" s="156"/>
      <c r="B211" s="156"/>
      <c r="C211" s="156"/>
      <c r="D211" s="156"/>
      <c r="E211" s="156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</row>
    <row r="212">
      <c r="A212" s="156"/>
      <c r="B212" s="156"/>
      <c r="C212" s="156"/>
      <c r="D212" s="156"/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</row>
    <row r="213">
      <c r="A213" s="156"/>
      <c r="B213" s="156"/>
      <c r="C213" s="156"/>
      <c r="D213" s="156"/>
      <c r="E213" s="156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</row>
    <row r="214">
      <c r="A214" s="156"/>
      <c r="B214" s="156"/>
      <c r="C214" s="156"/>
      <c r="D214" s="156"/>
      <c r="E214" s="156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</row>
    <row r="215">
      <c r="A215" s="156"/>
      <c r="B215" s="156"/>
      <c r="C215" s="156"/>
      <c r="D215" s="156"/>
      <c r="E215" s="156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</row>
    <row r="216">
      <c r="A216" s="156"/>
      <c r="B216" s="156"/>
      <c r="C216" s="156"/>
      <c r="D216" s="156"/>
      <c r="E216" s="156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</row>
    <row r="217">
      <c r="A217" s="156"/>
      <c r="B217" s="156"/>
      <c r="C217" s="156"/>
      <c r="D217" s="156"/>
      <c r="E217" s="156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</row>
    <row r="218">
      <c r="A218" s="156"/>
      <c r="B218" s="156"/>
      <c r="C218" s="156"/>
      <c r="D218" s="156"/>
      <c r="E218" s="156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</row>
    <row r="219">
      <c r="A219" s="156"/>
      <c r="B219" s="156"/>
      <c r="C219" s="156"/>
      <c r="D219" s="156"/>
      <c r="E219" s="156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</row>
    <row r="220">
      <c r="A220" s="156"/>
      <c r="B220" s="156"/>
      <c r="C220" s="156"/>
      <c r="D220" s="156"/>
      <c r="E220" s="156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</row>
    <row r="221">
      <c r="A221" s="156"/>
      <c r="B221" s="156"/>
      <c r="C221" s="156"/>
      <c r="D221" s="156"/>
      <c r="E221" s="156"/>
      <c r="F221" s="156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  <c r="Z221" s="156"/>
    </row>
    <row r="222">
      <c r="A222" s="156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</row>
    <row r="223">
      <c r="A223" s="156"/>
      <c r="B223" s="156"/>
      <c r="C223" s="156"/>
      <c r="D223" s="156"/>
      <c r="E223" s="156"/>
      <c r="F223" s="156"/>
      <c r="G223" s="156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  <c r="Z223" s="156"/>
    </row>
    <row r="224">
      <c r="A224" s="156"/>
      <c r="B224" s="156"/>
      <c r="C224" s="156"/>
      <c r="D224" s="156"/>
      <c r="E224" s="156"/>
      <c r="F224" s="156"/>
      <c r="G224" s="156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  <c r="Y224" s="156"/>
      <c r="Z224" s="156"/>
    </row>
    <row r="225">
      <c r="A225" s="156"/>
      <c r="B225" s="156"/>
      <c r="C225" s="156"/>
      <c r="D225" s="156"/>
      <c r="E225" s="156"/>
      <c r="F225" s="156"/>
      <c r="G225" s="156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  <c r="Z225" s="156"/>
    </row>
    <row r="226">
      <c r="A226" s="156"/>
      <c r="B226" s="156"/>
      <c r="C226" s="156"/>
      <c r="D226" s="156"/>
      <c r="E226" s="156"/>
      <c r="F226" s="156"/>
      <c r="G226" s="156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  <c r="Z226" s="156"/>
    </row>
    <row r="227">
      <c r="A227" s="156"/>
      <c r="B227" s="156"/>
      <c r="C227" s="156"/>
      <c r="D227" s="156"/>
      <c r="E227" s="156"/>
      <c r="F227" s="156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</row>
    <row r="228">
      <c r="A228" s="156"/>
      <c r="B228" s="156"/>
      <c r="C228" s="156"/>
      <c r="D228" s="156"/>
      <c r="E228" s="156"/>
      <c r="F228" s="156"/>
      <c r="G228" s="156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  <c r="Z228" s="156"/>
    </row>
    <row r="229">
      <c r="A229" s="156"/>
      <c r="B229" s="156"/>
      <c r="C229" s="156"/>
      <c r="D229" s="156"/>
      <c r="E229" s="156"/>
      <c r="F229" s="156"/>
      <c r="G229" s="156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  <c r="Z229" s="156"/>
    </row>
    <row r="230">
      <c r="A230" s="156"/>
      <c r="B230" s="156"/>
      <c r="C230" s="156"/>
      <c r="D230" s="156"/>
      <c r="E230" s="156"/>
      <c r="F230" s="156"/>
      <c r="G230" s="156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</row>
    <row r="231">
      <c r="A231" s="156"/>
      <c r="B231" s="156"/>
      <c r="C231" s="156"/>
      <c r="D231" s="156"/>
      <c r="E231" s="156"/>
      <c r="F231" s="156"/>
      <c r="G231" s="156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  <c r="Z231" s="156"/>
    </row>
    <row r="232">
      <c r="A232" s="156"/>
      <c r="B232" s="156"/>
      <c r="C232" s="156"/>
      <c r="D232" s="156"/>
      <c r="E232" s="156"/>
      <c r="F232" s="156"/>
      <c r="G232" s="156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  <c r="Y232" s="156"/>
      <c r="Z232" s="156"/>
    </row>
    <row r="233">
      <c r="A233" s="156"/>
      <c r="B233" s="156"/>
      <c r="C233" s="156"/>
      <c r="D233" s="156"/>
      <c r="E233" s="156"/>
      <c r="F233" s="156"/>
      <c r="G233" s="156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  <c r="Z233" s="156"/>
    </row>
    <row r="234">
      <c r="A234" s="156"/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</row>
    <row r="235">
      <c r="A235" s="156"/>
      <c r="B235" s="156"/>
      <c r="C235" s="156"/>
      <c r="D235" s="156"/>
      <c r="E235" s="156"/>
      <c r="F235" s="156"/>
      <c r="G235" s="156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  <c r="Z235" s="156"/>
    </row>
    <row r="236">
      <c r="A236" s="156"/>
      <c r="B236" s="156"/>
      <c r="C236" s="156"/>
      <c r="D236" s="156"/>
      <c r="E236" s="156"/>
      <c r="F236" s="156"/>
      <c r="G236" s="156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  <c r="Y236" s="156"/>
      <c r="Z236" s="156"/>
    </row>
    <row r="237">
      <c r="A237" s="156"/>
      <c r="B237" s="156"/>
      <c r="C237" s="156"/>
      <c r="D237" s="156"/>
      <c r="E237" s="156"/>
      <c r="F237" s="156"/>
      <c r="G237" s="156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  <c r="Z237" s="156"/>
    </row>
    <row r="238">
      <c r="A238" s="156"/>
      <c r="B238" s="156"/>
      <c r="C238" s="156"/>
      <c r="D238" s="156"/>
      <c r="E238" s="156"/>
      <c r="F238" s="156"/>
      <c r="G238" s="156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  <c r="Y238" s="156"/>
      <c r="Z238" s="156"/>
    </row>
    <row r="239">
      <c r="A239" s="156"/>
      <c r="B239" s="156"/>
      <c r="C239" s="156"/>
      <c r="D239" s="156"/>
      <c r="E239" s="156"/>
      <c r="F239" s="156"/>
      <c r="G239" s="156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  <c r="Z239" s="156"/>
    </row>
    <row r="240">
      <c r="A240" s="156"/>
      <c r="B240" s="156"/>
      <c r="C240" s="156"/>
      <c r="D240" s="156"/>
      <c r="E240" s="156"/>
      <c r="F240" s="156"/>
      <c r="G240" s="156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  <c r="Z240" s="156"/>
    </row>
    <row r="241">
      <c r="A241" s="156"/>
      <c r="B241" s="156"/>
      <c r="C241" s="156"/>
      <c r="D241" s="156"/>
      <c r="E241" s="156"/>
      <c r="F241" s="156"/>
      <c r="G241" s="156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  <c r="Z241" s="156"/>
    </row>
    <row r="242">
      <c r="A242" s="156"/>
      <c r="B242" s="156"/>
      <c r="C242" s="156"/>
      <c r="D242" s="156"/>
      <c r="E242" s="156"/>
      <c r="F242" s="156"/>
      <c r="G242" s="156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</row>
    <row r="243">
      <c r="A243" s="156"/>
      <c r="B243" s="156"/>
      <c r="C243" s="156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</row>
    <row r="244">
      <c r="A244" s="156"/>
      <c r="B244" s="156"/>
      <c r="C244" s="156"/>
      <c r="D244" s="156"/>
      <c r="E244" s="156"/>
      <c r="F244" s="156"/>
      <c r="G244" s="156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  <c r="Y244" s="156"/>
      <c r="Z244" s="156"/>
    </row>
    <row r="245">
      <c r="A245" s="156"/>
      <c r="B245" s="156"/>
      <c r="C245" s="156"/>
      <c r="D245" s="156"/>
      <c r="E245" s="156"/>
      <c r="F245" s="156"/>
      <c r="G245" s="156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  <c r="Y245" s="156"/>
      <c r="Z245" s="156"/>
    </row>
    <row r="246">
      <c r="A246" s="156"/>
      <c r="B246" s="156"/>
      <c r="C246" s="156"/>
      <c r="D246" s="156"/>
      <c r="E246" s="156"/>
      <c r="F246" s="156"/>
      <c r="G246" s="156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  <c r="Y246" s="156"/>
      <c r="Z246" s="156"/>
    </row>
    <row r="247">
      <c r="A247" s="156"/>
      <c r="B247" s="156"/>
      <c r="C247" s="156"/>
      <c r="D247" s="156"/>
      <c r="E247" s="156"/>
      <c r="F247" s="156"/>
      <c r="G247" s="156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  <c r="Y247" s="156"/>
      <c r="Z247" s="156"/>
    </row>
    <row r="248">
      <c r="A248" s="156"/>
      <c r="B248" s="156"/>
      <c r="C248" s="156"/>
      <c r="D248" s="156"/>
      <c r="E248" s="156"/>
      <c r="F248" s="156"/>
      <c r="G248" s="156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  <c r="Y248" s="156"/>
      <c r="Z248" s="156"/>
    </row>
    <row r="249">
      <c r="A249" s="156"/>
      <c r="B249" s="156"/>
      <c r="C249" s="156"/>
      <c r="D249" s="156"/>
      <c r="E249" s="156"/>
      <c r="F249" s="156"/>
      <c r="G249" s="156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  <c r="Y249" s="156"/>
      <c r="Z249" s="156"/>
    </row>
    <row r="250">
      <c r="A250" s="156"/>
      <c r="B250" s="156"/>
      <c r="C250" s="156"/>
      <c r="D250" s="156"/>
      <c r="E250" s="156"/>
      <c r="F250" s="156"/>
      <c r="G250" s="156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  <c r="Y250" s="156"/>
      <c r="Z250" s="156"/>
    </row>
    <row r="251">
      <c r="A251" s="156"/>
      <c r="B251" s="156"/>
      <c r="C251" s="156"/>
      <c r="D251" s="156"/>
      <c r="E251" s="156"/>
      <c r="F251" s="156"/>
      <c r="G251" s="156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  <c r="Y251" s="156"/>
      <c r="Z251" s="156"/>
    </row>
    <row r="252">
      <c r="A252" s="156"/>
      <c r="B252" s="156"/>
      <c r="C252" s="156"/>
      <c r="D252" s="156"/>
      <c r="E252" s="156"/>
      <c r="F252" s="156"/>
      <c r="G252" s="156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  <c r="Y252" s="156"/>
      <c r="Z252" s="156"/>
    </row>
    <row r="253">
      <c r="A253" s="156"/>
      <c r="B253" s="156"/>
      <c r="C253" s="156"/>
      <c r="D253" s="156"/>
      <c r="E253" s="156"/>
      <c r="F253" s="156"/>
      <c r="G253" s="156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  <c r="Y253" s="156"/>
      <c r="Z253" s="156"/>
    </row>
    <row r="254">
      <c r="A254" s="156"/>
      <c r="B254" s="156"/>
      <c r="C254" s="156"/>
      <c r="D254" s="156"/>
      <c r="E254" s="156"/>
      <c r="F254" s="156"/>
      <c r="G254" s="156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  <c r="Y254" s="156"/>
      <c r="Z254" s="156"/>
    </row>
    <row r="255">
      <c r="A255" s="156"/>
      <c r="B255" s="156"/>
      <c r="C255" s="156"/>
      <c r="D255" s="156"/>
      <c r="E255" s="156"/>
      <c r="F255" s="156"/>
      <c r="G255" s="156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  <c r="Y255" s="156"/>
      <c r="Z255" s="156"/>
    </row>
    <row r="256">
      <c r="A256" s="156"/>
      <c r="B256" s="156"/>
      <c r="C256" s="156"/>
      <c r="D256" s="156"/>
      <c r="E256" s="156"/>
      <c r="F256" s="156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</row>
    <row r="257">
      <c r="A257" s="156"/>
      <c r="B257" s="156"/>
      <c r="C257" s="156"/>
      <c r="D257" s="156"/>
      <c r="E257" s="156"/>
      <c r="F257" s="156"/>
      <c r="G257" s="156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  <c r="Y257" s="156"/>
      <c r="Z257" s="156"/>
    </row>
    <row r="258">
      <c r="A258" s="156"/>
      <c r="B258" s="156"/>
      <c r="C258" s="156"/>
      <c r="D258" s="156"/>
      <c r="E258" s="156"/>
      <c r="F258" s="156"/>
      <c r="G258" s="156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  <c r="Y258" s="156"/>
      <c r="Z258" s="156"/>
    </row>
    <row r="259">
      <c r="A259" s="156"/>
      <c r="B259" s="156"/>
      <c r="C259" s="156"/>
      <c r="D259" s="156"/>
      <c r="E259" s="156"/>
      <c r="F259" s="156"/>
      <c r="G259" s="156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  <c r="Z259" s="156"/>
    </row>
    <row r="260">
      <c r="A260" s="156"/>
      <c r="B260" s="156"/>
      <c r="C260" s="156"/>
      <c r="D260" s="156"/>
      <c r="E260" s="156"/>
      <c r="F260" s="156"/>
      <c r="G260" s="156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  <c r="Y260" s="156"/>
      <c r="Z260" s="156"/>
    </row>
    <row r="261">
      <c r="A261" s="156"/>
      <c r="B261" s="156"/>
      <c r="C261" s="156"/>
      <c r="D261" s="156"/>
      <c r="E261" s="156"/>
      <c r="F261" s="156"/>
      <c r="G261" s="156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  <c r="Y261" s="156"/>
      <c r="Z261" s="156"/>
    </row>
    <row r="262">
      <c r="A262" s="156"/>
      <c r="B262" s="156"/>
      <c r="C262" s="156"/>
      <c r="D262" s="156"/>
      <c r="E262" s="156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  <c r="Y262" s="156"/>
      <c r="Z262" s="156"/>
    </row>
    <row r="263">
      <c r="A263" s="156"/>
      <c r="B263" s="156"/>
      <c r="C263" s="156"/>
      <c r="D263" s="156"/>
      <c r="E263" s="156"/>
      <c r="F263" s="156"/>
      <c r="G263" s="156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  <c r="Y263" s="156"/>
      <c r="Z263" s="156"/>
    </row>
    <row r="264">
      <c r="A264" s="156"/>
      <c r="B264" s="156"/>
      <c r="C264" s="156"/>
      <c r="D264" s="156"/>
      <c r="E264" s="156"/>
      <c r="F264" s="156"/>
      <c r="G264" s="156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  <c r="Y264" s="156"/>
      <c r="Z264" s="156"/>
    </row>
    <row r="265">
      <c r="A265" s="156"/>
      <c r="B265" s="156"/>
      <c r="C265" s="156"/>
      <c r="D265" s="156"/>
      <c r="E265" s="156"/>
      <c r="F265" s="156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</row>
    <row r="266">
      <c r="A266" s="156"/>
      <c r="B266" s="156"/>
      <c r="C266" s="156"/>
      <c r="D266" s="156"/>
      <c r="E266" s="156"/>
      <c r="F266" s="156"/>
      <c r="G266" s="156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  <c r="Y266" s="156"/>
      <c r="Z266" s="156"/>
    </row>
    <row r="267">
      <c r="A267" s="156"/>
      <c r="B267" s="156"/>
      <c r="C267" s="156"/>
      <c r="D267" s="156"/>
      <c r="E267" s="156"/>
      <c r="F267" s="156"/>
      <c r="G267" s="156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  <c r="Y267" s="156"/>
      <c r="Z267" s="156"/>
    </row>
    <row r="268">
      <c r="A268" s="156"/>
      <c r="B268" s="156"/>
      <c r="C268" s="156"/>
      <c r="D268" s="156"/>
      <c r="E268" s="156"/>
      <c r="F268" s="156"/>
      <c r="G268" s="156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  <c r="Y268" s="156"/>
      <c r="Z268" s="156"/>
    </row>
    <row r="269">
      <c r="A269" s="156"/>
      <c r="B269" s="156"/>
      <c r="C269" s="156"/>
      <c r="D269" s="156"/>
      <c r="E269" s="156"/>
      <c r="F269" s="156"/>
      <c r="G269" s="156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  <c r="Y269" s="156"/>
      <c r="Z269" s="156"/>
    </row>
    <row r="270">
      <c r="A270" s="156"/>
      <c r="B270" s="156"/>
      <c r="C270" s="156"/>
      <c r="D270" s="156"/>
      <c r="E270" s="156"/>
      <c r="F270" s="156"/>
      <c r="G270" s="156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  <c r="Y270" s="156"/>
      <c r="Z270" s="156"/>
    </row>
    <row r="271">
      <c r="A271" s="156"/>
      <c r="B271" s="156"/>
      <c r="C271" s="156"/>
      <c r="D271" s="156"/>
      <c r="E271" s="156"/>
      <c r="F271" s="156"/>
      <c r="G271" s="156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  <c r="Y271" s="156"/>
      <c r="Z271" s="156"/>
    </row>
    <row r="272">
      <c r="A272" s="156"/>
      <c r="B272" s="156"/>
      <c r="C272" s="156"/>
      <c r="D272" s="156"/>
      <c r="E272" s="156"/>
      <c r="F272" s="156"/>
      <c r="G272" s="156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  <c r="Y272" s="156"/>
      <c r="Z272" s="156"/>
    </row>
    <row r="273">
      <c r="A273" s="156"/>
      <c r="B273" s="156"/>
      <c r="C273" s="156"/>
      <c r="D273" s="156"/>
      <c r="E273" s="156"/>
      <c r="F273" s="156"/>
      <c r="G273" s="156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  <c r="Y273" s="156"/>
      <c r="Z273" s="156"/>
    </row>
    <row r="274">
      <c r="A274" s="156"/>
      <c r="B274" s="156"/>
      <c r="C274" s="156"/>
      <c r="D274" s="156"/>
      <c r="E274" s="156"/>
      <c r="F274" s="156"/>
      <c r="G274" s="156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156"/>
      <c r="Y274" s="156"/>
      <c r="Z274" s="156"/>
    </row>
    <row r="275">
      <c r="A275" s="156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</row>
    <row r="276">
      <c r="A276" s="156"/>
      <c r="B276" s="156"/>
      <c r="C276" s="156"/>
      <c r="D276" s="156"/>
      <c r="E276" s="156"/>
      <c r="F276" s="156"/>
      <c r="G276" s="156"/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  <c r="X276" s="156"/>
      <c r="Y276" s="156"/>
      <c r="Z276" s="156"/>
    </row>
    <row r="277">
      <c r="A277" s="156"/>
      <c r="B277" s="156"/>
      <c r="C277" s="156"/>
      <c r="D277" s="156"/>
      <c r="E277" s="156"/>
      <c r="F277" s="156"/>
      <c r="G277" s="156"/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156"/>
      <c r="Y277" s="156"/>
      <c r="Z277" s="156"/>
    </row>
    <row r="278">
      <c r="A278" s="156"/>
      <c r="B278" s="156"/>
      <c r="C278" s="156"/>
      <c r="D278" s="156"/>
      <c r="E278" s="156"/>
      <c r="F278" s="156"/>
      <c r="G278" s="156"/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  <c r="X278" s="156"/>
      <c r="Y278" s="156"/>
      <c r="Z278" s="156"/>
    </row>
    <row r="279">
      <c r="A279" s="156"/>
      <c r="B279" s="156"/>
      <c r="C279" s="156"/>
      <c r="D279" s="156"/>
      <c r="E279" s="156"/>
      <c r="F279" s="156"/>
      <c r="G279" s="156"/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  <c r="X279" s="156"/>
      <c r="Y279" s="156"/>
      <c r="Z279" s="156"/>
    </row>
    <row r="280">
      <c r="A280" s="156"/>
      <c r="B280" s="156"/>
      <c r="C280" s="156"/>
      <c r="D280" s="156"/>
      <c r="E280" s="156"/>
      <c r="F280" s="156"/>
      <c r="G280" s="156"/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  <c r="Y280" s="156"/>
      <c r="Z280" s="156"/>
    </row>
    <row r="281">
      <c r="A281" s="156"/>
      <c r="B281" s="156"/>
      <c r="C281" s="156"/>
      <c r="D281" s="156"/>
      <c r="E281" s="156"/>
      <c r="F281" s="156"/>
      <c r="G281" s="156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156"/>
      <c r="Y281" s="156"/>
      <c r="Z281" s="156"/>
    </row>
    <row r="282">
      <c r="A282" s="156"/>
      <c r="B282" s="156"/>
      <c r="C282" s="156"/>
      <c r="D282" s="156"/>
      <c r="E282" s="156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  <c r="Y282" s="156"/>
      <c r="Z282" s="156"/>
    </row>
    <row r="283">
      <c r="A283" s="156"/>
      <c r="B283" s="156"/>
      <c r="C283" s="156"/>
      <c r="D283" s="156"/>
      <c r="E283" s="156"/>
      <c r="F283" s="156"/>
      <c r="G283" s="156"/>
      <c r="H283" s="156"/>
      <c r="I283" s="156"/>
      <c r="J283" s="156"/>
      <c r="K283" s="156"/>
      <c r="L283" s="156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  <c r="X283" s="156"/>
      <c r="Y283" s="156"/>
      <c r="Z283" s="156"/>
    </row>
    <row r="284">
      <c r="A284" s="156"/>
      <c r="B284" s="156"/>
      <c r="C284" s="156"/>
      <c r="D284" s="156"/>
      <c r="E284" s="156"/>
      <c r="F284" s="156"/>
      <c r="G284" s="156"/>
      <c r="H284" s="156"/>
      <c r="I284" s="156"/>
      <c r="J284" s="156"/>
      <c r="K284" s="156"/>
      <c r="L284" s="156"/>
      <c r="M284" s="156"/>
      <c r="N284" s="156"/>
      <c r="O284" s="156"/>
      <c r="P284" s="156"/>
      <c r="Q284" s="156"/>
      <c r="R284" s="156"/>
      <c r="S284" s="156"/>
      <c r="T284" s="156"/>
      <c r="U284" s="156"/>
      <c r="V284" s="156"/>
      <c r="W284" s="156"/>
      <c r="X284" s="156"/>
      <c r="Y284" s="156"/>
      <c r="Z284" s="156"/>
    </row>
    <row r="285">
      <c r="A285" s="156"/>
      <c r="B285" s="156"/>
      <c r="C285" s="156"/>
      <c r="D285" s="156"/>
      <c r="E285" s="156"/>
      <c r="F285" s="156"/>
      <c r="G285" s="156"/>
      <c r="H285" s="156"/>
      <c r="I285" s="156"/>
      <c r="J285" s="156"/>
      <c r="K285" s="156"/>
      <c r="L285" s="156"/>
      <c r="M285" s="156"/>
      <c r="N285" s="156"/>
      <c r="O285" s="156"/>
      <c r="P285" s="156"/>
      <c r="Q285" s="156"/>
      <c r="R285" s="156"/>
      <c r="S285" s="156"/>
      <c r="T285" s="156"/>
      <c r="U285" s="156"/>
      <c r="V285" s="156"/>
      <c r="W285" s="156"/>
      <c r="X285" s="156"/>
      <c r="Y285" s="156"/>
      <c r="Z285" s="156"/>
    </row>
    <row r="286">
      <c r="A286" s="156"/>
      <c r="B286" s="156"/>
      <c r="C286" s="156"/>
      <c r="D286" s="156"/>
      <c r="E286" s="156"/>
      <c r="F286" s="156"/>
      <c r="G286" s="156"/>
      <c r="H286" s="156"/>
      <c r="I286" s="156"/>
      <c r="J286" s="156"/>
      <c r="K286" s="156"/>
      <c r="L286" s="156"/>
      <c r="M286" s="156"/>
      <c r="N286" s="156"/>
      <c r="O286" s="156"/>
      <c r="P286" s="156"/>
      <c r="Q286" s="156"/>
      <c r="R286" s="156"/>
      <c r="S286" s="156"/>
      <c r="T286" s="156"/>
      <c r="U286" s="156"/>
      <c r="V286" s="156"/>
      <c r="W286" s="156"/>
      <c r="X286" s="156"/>
      <c r="Y286" s="156"/>
      <c r="Z286" s="156"/>
    </row>
    <row r="287">
      <c r="A287" s="156"/>
      <c r="B287" s="156"/>
      <c r="C287" s="156"/>
      <c r="D287" s="156"/>
      <c r="E287" s="156"/>
      <c r="F287" s="156"/>
      <c r="G287" s="156"/>
      <c r="H287" s="156"/>
      <c r="I287" s="156"/>
      <c r="J287" s="156"/>
      <c r="K287" s="156"/>
      <c r="L287" s="156"/>
      <c r="M287" s="156"/>
      <c r="N287" s="156"/>
      <c r="O287" s="156"/>
      <c r="P287" s="156"/>
      <c r="Q287" s="156"/>
      <c r="R287" s="156"/>
      <c r="S287" s="156"/>
      <c r="T287" s="156"/>
      <c r="U287" s="156"/>
      <c r="V287" s="156"/>
      <c r="W287" s="156"/>
      <c r="X287" s="156"/>
      <c r="Y287" s="156"/>
      <c r="Z287" s="156"/>
    </row>
    <row r="288">
      <c r="A288" s="156"/>
      <c r="B288" s="156"/>
      <c r="C288" s="156"/>
      <c r="D288" s="156"/>
      <c r="E288" s="156"/>
      <c r="F288" s="156"/>
      <c r="G288" s="156"/>
      <c r="H288" s="156"/>
      <c r="I288" s="156"/>
      <c r="J288" s="156"/>
      <c r="K288" s="156"/>
      <c r="L288" s="156"/>
      <c r="M288" s="156"/>
      <c r="N288" s="156"/>
      <c r="O288" s="156"/>
      <c r="P288" s="156"/>
      <c r="Q288" s="156"/>
      <c r="R288" s="156"/>
      <c r="S288" s="156"/>
      <c r="T288" s="156"/>
      <c r="U288" s="156"/>
      <c r="V288" s="156"/>
      <c r="W288" s="156"/>
      <c r="X288" s="156"/>
      <c r="Y288" s="156"/>
      <c r="Z288" s="156"/>
    </row>
    <row r="289">
      <c r="A289" s="156"/>
      <c r="B289" s="156"/>
      <c r="C289" s="156"/>
      <c r="D289" s="156"/>
      <c r="E289" s="156"/>
      <c r="F289" s="156"/>
      <c r="G289" s="156"/>
      <c r="H289" s="156"/>
      <c r="I289" s="156"/>
      <c r="J289" s="156"/>
      <c r="K289" s="156"/>
      <c r="L289" s="156"/>
      <c r="M289" s="156"/>
      <c r="N289" s="156"/>
      <c r="O289" s="156"/>
      <c r="P289" s="156"/>
      <c r="Q289" s="156"/>
      <c r="R289" s="156"/>
      <c r="S289" s="156"/>
      <c r="T289" s="156"/>
      <c r="U289" s="156"/>
      <c r="V289" s="156"/>
      <c r="W289" s="156"/>
      <c r="X289" s="156"/>
      <c r="Y289" s="156"/>
      <c r="Z289" s="156"/>
    </row>
    <row r="290">
      <c r="A290" s="156"/>
      <c r="B290" s="156"/>
      <c r="C290" s="156"/>
      <c r="D290" s="156"/>
      <c r="E290" s="156"/>
      <c r="F290" s="156"/>
      <c r="G290" s="156"/>
      <c r="H290" s="156"/>
      <c r="I290" s="156"/>
      <c r="J290" s="156"/>
      <c r="K290" s="156"/>
      <c r="L290" s="156"/>
      <c r="M290" s="156"/>
      <c r="N290" s="156"/>
      <c r="O290" s="156"/>
      <c r="P290" s="156"/>
      <c r="Q290" s="156"/>
      <c r="R290" s="156"/>
      <c r="S290" s="156"/>
      <c r="T290" s="156"/>
      <c r="U290" s="156"/>
      <c r="V290" s="156"/>
      <c r="W290" s="156"/>
      <c r="X290" s="156"/>
      <c r="Y290" s="156"/>
      <c r="Z290" s="156"/>
    </row>
    <row r="291">
      <c r="A291" s="156"/>
      <c r="B291" s="156"/>
      <c r="C291" s="156"/>
      <c r="D291" s="156"/>
      <c r="E291" s="156"/>
      <c r="F291" s="156"/>
      <c r="G291" s="156"/>
      <c r="H291" s="156"/>
      <c r="I291" s="156"/>
      <c r="J291" s="156"/>
      <c r="K291" s="156"/>
      <c r="L291" s="156"/>
      <c r="M291" s="156"/>
      <c r="N291" s="156"/>
      <c r="O291" s="156"/>
      <c r="P291" s="156"/>
      <c r="Q291" s="156"/>
      <c r="R291" s="156"/>
      <c r="S291" s="156"/>
      <c r="T291" s="156"/>
      <c r="U291" s="156"/>
      <c r="V291" s="156"/>
      <c r="W291" s="156"/>
      <c r="X291" s="156"/>
      <c r="Y291" s="156"/>
      <c r="Z291" s="156"/>
    </row>
    <row r="292">
      <c r="A292" s="156"/>
      <c r="B292" s="156"/>
      <c r="C292" s="156"/>
      <c r="D292" s="156"/>
      <c r="E292" s="156"/>
      <c r="F292" s="156"/>
      <c r="G292" s="156"/>
      <c r="H292" s="156"/>
      <c r="I292" s="156"/>
      <c r="J292" s="156"/>
      <c r="K292" s="156"/>
      <c r="L292" s="156"/>
      <c r="M292" s="156"/>
      <c r="N292" s="156"/>
      <c r="O292" s="156"/>
      <c r="P292" s="156"/>
      <c r="Q292" s="156"/>
      <c r="R292" s="156"/>
      <c r="S292" s="156"/>
      <c r="T292" s="156"/>
      <c r="U292" s="156"/>
      <c r="V292" s="156"/>
      <c r="W292" s="156"/>
      <c r="X292" s="156"/>
      <c r="Y292" s="156"/>
      <c r="Z292" s="156"/>
    </row>
    <row r="293">
      <c r="A293" s="156"/>
      <c r="B293" s="156"/>
      <c r="C293" s="156"/>
      <c r="D293" s="156"/>
      <c r="E293" s="156"/>
      <c r="F293" s="156"/>
      <c r="G293" s="156"/>
      <c r="H293" s="156"/>
      <c r="I293" s="156"/>
      <c r="J293" s="156"/>
      <c r="K293" s="156"/>
      <c r="L293" s="156"/>
      <c r="M293" s="156"/>
      <c r="N293" s="156"/>
      <c r="O293" s="156"/>
      <c r="P293" s="156"/>
      <c r="Q293" s="156"/>
      <c r="R293" s="156"/>
      <c r="S293" s="156"/>
      <c r="T293" s="156"/>
      <c r="U293" s="156"/>
      <c r="V293" s="156"/>
      <c r="W293" s="156"/>
      <c r="X293" s="156"/>
      <c r="Y293" s="156"/>
      <c r="Z293" s="156"/>
    </row>
    <row r="294">
      <c r="A294" s="156"/>
      <c r="B294" s="156"/>
      <c r="C294" s="156"/>
      <c r="D294" s="156"/>
      <c r="E294" s="156"/>
      <c r="F294" s="156"/>
      <c r="G294" s="156"/>
      <c r="H294" s="156"/>
      <c r="I294" s="156"/>
      <c r="J294" s="156"/>
      <c r="K294" s="156"/>
      <c r="L294" s="156"/>
      <c r="M294" s="156"/>
      <c r="N294" s="156"/>
      <c r="O294" s="156"/>
      <c r="P294" s="156"/>
      <c r="Q294" s="156"/>
      <c r="R294" s="156"/>
      <c r="S294" s="156"/>
      <c r="T294" s="156"/>
      <c r="U294" s="156"/>
      <c r="V294" s="156"/>
      <c r="W294" s="156"/>
      <c r="X294" s="156"/>
      <c r="Y294" s="156"/>
      <c r="Z294" s="156"/>
    </row>
    <row r="295">
      <c r="A295" s="156"/>
      <c r="B295" s="156"/>
      <c r="C295" s="156"/>
      <c r="D295" s="156"/>
      <c r="E295" s="156"/>
      <c r="F295" s="156"/>
      <c r="G295" s="156"/>
      <c r="H295" s="156"/>
      <c r="I295" s="156"/>
      <c r="J295" s="156"/>
      <c r="K295" s="156"/>
      <c r="L295" s="156"/>
      <c r="M295" s="156"/>
      <c r="N295" s="156"/>
      <c r="O295" s="156"/>
      <c r="P295" s="156"/>
      <c r="Q295" s="156"/>
      <c r="R295" s="156"/>
      <c r="S295" s="156"/>
      <c r="T295" s="156"/>
      <c r="U295" s="156"/>
      <c r="V295" s="156"/>
      <c r="W295" s="156"/>
      <c r="X295" s="156"/>
      <c r="Y295" s="156"/>
      <c r="Z295" s="156"/>
    </row>
    <row r="296">
      <c r="A296" s="156"/>
      <c r="B296" s="156"/>
      <c r="C296" s="156"/>
      <c r="D296" s="156"/>
      <c r="E296" s="156"/>
      <c r="F296" s="156"/>
      <c r="G296" s="156"/>
      <c r="H296" s="156"/>
      <c r="I296" s="156"/>
      <c r="J296" s="156"/>
      <c r="K296" s="156"/>
      <c r="L296" s="156"/>
      <c r="M296" s="156"/>
      <c r="N296" s="156"/>
      <c r="O296" s="156"/>
      <c r="P296" s="156"/>
      <c r="Q296" s="156"/>
      <c r="R296" s="156"/>
      <c r="S296" s="156"/>
      <c r="T296" s="156"/>
      <c r="U296" s="156"/>
      <c r="V296" s="156"/>
      <c r="W296" s="156"/>
      <c r="X296" s="156"/>
      <c r="Y296" s="156"/>
      <c r="Z296" s="156"/>
    </row>
    <row r="297">
      <c r="A297" s="156"/>
      <c r="B297" s="156"/>
      <c r="C297" s="156"/>
      <c r="D297" s="156"/>
      <c r="E297" s="156"/>
      <c r="F297" s="156"/>
      <c r="G297" s="156"/>
      <c r="H297" s="156"/>
      <c r="I297" s="156"/>
      <c r="J297" s="156"/>
      <c r="K297" s="156"/>
      <c r="L297" s="156"/>
      <c r="M297" s="156"/>
      <c r="N297" s="156"/>
      <c r="O297" s="156"/>
      <c r="P297" s="156"/>
      <c r="Q297" s="156"/>
      <c r="R297" s="156"/>
      <c r="S297" s="156"/>
      <c r="T297" s="156"/>
      <c r="U297" s="156"/>
      <c r="V297" s="156"/>
      <c r="W297" s="156"/>
      <c r="X297" s="156"/>
      <c r="Y297" s="156"/>
      <c r="Z297" s="156"/>
    </row>
    <row r="298">
      <c r="A298" s="156"/>
      <c r="B298" s="156"/>
      <c r="C298" s="156"/>
      <c r="D298" s="156"/>
      <c r="E298" s="156"/>
      <c r="F298" s="156"/>
      <c r="G298" s="156"/>
      <c r="H298" s="156"/>
      <c r="I298" s="156"/>
      <c r="J298" s="156"/>
      <c r="K298" s="156"/>
      <c r="L298" s="156"/>
      <c r="M298" s="156"/>
      <c r="N298" s="156"/>
      <c r="O298" s="156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</row>
    <row r="299">
      <c r="A299" s="156"/>
      <c r="B299" s="156"/>
      <c r="C299" s="156"/>
      <c r="D299" s="156"/>
      <c r="E299" s="156"/>
      <c r="F299" s="156"/>
      <c r="G299" s="156"/>
      <c r="H299" s="156"/>
      <c r="I299" s="156"/>
      <c r="J299" s="156"/>
      <c r="K299" s="156"/>
      <c r="L299" s="156"/>
      <c r="M299" s="156"/>
      <c r="N299" s="156"/>
      <c r="O299" s="156"/>
      <c r="P299" s="156"/>
      <c r="Q299" s="156"/>
      <c r="R299" s="156"/>
      <c r="S299" s="156"/>
      <c r="T299" s="156"/>
      <c r="U299" s="156"/>
      <c r="V299" s="156"/>
      <c r="W299" s="156"/>
      <c r="X299" s="156"/>
      <c r="Y299" s="156"/>
      <c r="Z299" s="156"/>
    </row>
    <row r="300">
      <c r="A300" s="156"/>
      <c r="B300" s="156"/>
      <c r="C300" s="156"/>
      <c r="D300" s="156"/>
      <c r="E300" s="156"/>
      <c r="F300" s="156"/>
      <c r="G300" s="156"/>
      <c r="H300" s="156"/>
      <c r="I300" s="156"/>
      <c r="J300" s="156"/>
      <c r="K300" s="156"/>
      <c r="L300" s="156"/>
      <c r="M300" s="156"/>
      <c r="N300" s="156"/>
      <c r="O300" s="156"/>
      <c r="P300" s="156"/>
      <c r="Q300" s="156"/>
      <c r="R300" s="156"/>
      <c r="S300" s="156"/>
      <c r="T300" s="156"/>
      <c r="U300" s="156"/>
      <c r="V300" s="156"/>
      <c r="W300" s="156"/>
      <c r="X300" s="156"/>
      <c r="Y300" s="156"/>
      <c r="Z300" s="156"/>
    </row>
    <row r="301">
      <c r="A301" s="156"/>
      <c r="B301" s="156"/>
      <c r="C301" s="156"/>
      <c r="D301" s="156"/>
      <c r="E301" s="156"/>
      <c r="F301" s="156"/>
      <c r="G301" s="156"/>
      <c r="H301" s="156"/>
      <c r="I301" s="156"/>
      <c r="J301" s="156"/>
      <c r="K301" s="156"/>
      <c r="L301" s="156"/>
      <c r="M301" s="156"/>
      <c r="N301" s="156"/>
      <c r="O301" s="156"/>
      <c r="P301" s="156"/>
      <c r="Q301" s="156"/>
      <c r="R301" s="156"/>
      <c r="S301" s="156"/>
      <c r="T301" s="156"/>
      <c r="U301" s="156"/>
      <c r="V301" s="156"/>
      <c r="W301" s="156"/>
      <c r="X301" s="156"/>
      <c r="Y301" s="156"/>
      <c r="Z301" s="156"/>
    </row>
    <row r="302">
      <c r="A302" s="156"/>
      <c r="B302" s="156"/>
      <c r="C302" s="156"/>
      <c r="D302" s="156"/>
      <c r="E302" s="156"/>
      <c r="F302" s="156"/>
      <c r="G302" s="156"/>
      <c r="H302" s="156"/>
      <c r="I302" s="156"/>
      <c r="J302" s="156"/>
      <c r="K302" s="156"/>
      <c r="L302" s="156"/>
      <c r="M302" s="156"/>
      <c r="N302" s="156"/>
      <c r="O302" s="156"/>
      <c r="P302" s="156"/>
      <c r="Q302" s="156"/>
      <c r="R302" s="156"/>
      <c r="S302" s="156"/>
      <c r="T302" s="156"/>
      <c r="U302" s="156"/>
      <c r="V302" s="156"/>
      <c r="W302" s="156"/>
      <c r="X302" s="156"/>
      <c r="Y302" s="156"/>
      <c r="Z302" s="156"/>
    </row>
    <row r="303">
      <c r="A303" s="156"/>
      <c r="B303" s="156"/>
      <c r="C303" s="156"/>
      <c r="D303" s="156"/>
      <c r="E303" s="156"/>
      <c r="F303" s="156"/>
      <c r="G303" s="156"/>
      <c r="H303" s="156"/>
      <c r="I303" s="156"/>
      <c r="J303" s="156"/>
      <c r="K303" s="156"/>
      <c r="L303" s="156"/>
      <c r="M303" s="156"/>
      <c r="N303" s="156"/>
      <c r="O303" s="156"/>
      <c r="P303" s="156"/>
      <c r="Q303" s="156"/>
      <c r="R303" s="156"/>
      <c r="S303" s="156"/>
      <c r="T303" s="156"/>
      <c r="U303" s="156"/>
      <c r="V303" s="156"/>
      <c r="W303" s="156"/>
      <c r="X303" s="156"/>
      <c r="Y303" s="156"/>
      <c r="Z303" s="156"/>
    </row>
    <row r="304">
      <c r="A304" s="156"/>
      <c r="B304" s="156"/>
      <c r="C304" s="156"/>
      <c r="D304" s="156"/>
      <c r="E304" s="156"/>
      <c r="F304" s="156"/>
      <c r="G304" s="156"/>
      <c r="H304" s="156"/>
      <c r="I304" s="156"/>
      <c r="J304" s="156"/>
      <c r="K304" s="156"/>
      <c r="L304" s="156"/>
      <c r="M304" s="156"/>
      <c r="N304" s="156"/>
      <c r="O304" s="156"/>
      <c r="P304" s="156"/>
      <c r="Q304" s="156"/>
      <c r="R304" s="156"/>
      <c r="S304" s="156"/>
      <c r="T304" s="156"/>
      <c r="U304" s="156"/>
      <c r="V304" s="156"/>
      <c r="W304" s="156"/>
      <c r="X304" s="156"/>
      <c r="Y304" s="156"/>
      <c r="Z304" s="156"/>
    </row>
    <row r="305">
      <c r="A305" s="156"/>
      <c r="B305" s="156"/>
      <c r="C305" s="156"/>
      <c r="D305" s="156"/>
      <c r="E305" s="156"/>
      <c r="F305" s="156"/>
      <c r="G305" s="156"/>
      <c r="H305" s="156"/>
      <c r="I305" s="156"/>
      <c r="J305" s="156"/>
      <c r="K305" s="156"/>
      <c r="L305" s="156"/>
      <c r="M305" s="156"/>
      <c r="N305" s="156"/>
      <c r="O305" s="156"/>
      <c r="P305" s="156"/>
      <c r="Q305" s="156"/>
      <c r="R305" s="156"/>
      <c r="S305" s="156"/>
      <c r="T305" s="156"/>
      <c r="U305" s="156"/>
      <c r="V305" s="156"/>
      <c r="W305" s="156"/>
      <c r="X305" s="156"/>
      <c r="Y305" s="156"/>
      <c r="Z305" s="156"/>
    </row>
    <row r="306">
      <c r="A306" s="156"/>
      <c r="B306" s="156"/>
      <c r="C306" s="156"/>
      <c r="D306" s="156"/>
      <c r="E306" s="156"/>
      <c r="F306" s="156"/>
      <c r="G306" s="156"/>
      <c r="H306" s="156"/>
      <c r="I306" s="156"/>
      <c r="J306" s="156"/>
      <c r="K306" s="156"/>
      <c r="L306" s="156"/>
      <c r="M306" s="156"/>
      <c r="N306" s="156"/>
      <c r="O306" s="156"/>
      <c r="P306" s="156"/>
      <c r="Q306" s="156"/>
      <c r="R306" s="156"/>
      <c r="S306" s="156"/>
      <c r="T306" s="156"/>
      <c r="U306" s="156"/>
      <c r="V306" s="156"/>
      <c r="W306" s="156"/>
      <c r="X306" s="156"/>
      <c r="Y306" s="156"/>
      <c r="Z306" s="156"/>
    </row>
    <row r="307">
      <c r="A307" s="156"/>
      <c r="B307" s="156"/>
      <c r="C307" s="156"/>
      <c r="D307" s="156"/>
      <c r="E307" s="156"/>
      <c r="F307" s="156"/>
      <c r="G307" s="156"/>
      <c r="H307" s="156"/>
      <c r="I307" s="156"/>
      <c r="J307" s="156"/>
      <c r="K307" s="156"/>
      <c r="L307" s="156"/>
      <c r="M307" s="156"/>
      <c r="N307" s="156"/>
      <c r="O307" s="156"/>
      <c r="P307" s="156"/>
      <c r="Q307" s="156"/>
      <c r="R307" s="156"/>
      <c r="S307" s="156"/>
      <c r="T307" s="156"/>
      <c r="U307" s="156"/>
      <c r="V307" s="156"/>
      <c r="W307" s="156"/>
      <c r="X307" s="156"/>
      <c r="Y307" s="156"/>
      <c r="Z307" s="156"/>
    </row>
    <row r="308">
      <c r="A308" s="156"/>
      <c r="B308" s="156"/>
      <c r="C308" s="156"/>
      <c r="D308" s="156"/>
      <c r="E308" s="156"/>
      <c r="F308" s="156"/>
      <c r="G308" s="156"/>
      <c r="H308" s="156"/>
      <c r="I308" s="156"/>
      <c r="J308" s="156"/>
      <c r="K308" s="156"/>
      <c r="L308" s="156"/>
      <c r="M308" s="156"/>
      <c r="N308" s="156"/>
      <c r="O308" s="156"/>
      <c r="P308" s="156"/>
      <c r="Q308" s="156"/>
      <c r="R308" s="156"/>
      <c r="S308" s="156"/>
      <c r="T308" s="156"/>
      <c r="U308" s="156"/>
      <c r="V308" s="156"/>
      <c r="W308" s="156"/>
      <c r="X308" s="156"/>
      <c r="Y308" s="156"/>
      <c r="Z308" s="156"/>
    </row>
    <row r="309">
      <c r="A309" s="156"/>
      <c r="B309" s="156"/>
      <c r="C309" s="156"/>
      <c r="D309" s="156"/>
      <c r="E309" s="156"/>
      <c r="F309" s="156"/>
      <c r="G309" s="156"/>
      <c r="H309" s="156"/>
      <c r="I309" s="156"/>
      <c r="J309" s="156"/>
      <c r="K309" s="156"/>
      <c r="L309" s="156"/>
      <c r="M309" s="156"/>
      <c r="N309" s="156"/>
      <c r="O309" s="156"/>
      <c r="P309" s="156"/>
      <c r="Q309" s="156"/>
      <c r="R309" s="156"/>
      <c r="S309" s="156"/>
      <c r="T309" s="156"/>
      <c r="U309" s="156"/>
      <c r="V309" s="156"/>
      <c r="W309" s="156"/>
      <c r="X309" s="156"/>
      <c r="Y309" s="156"/>
      <c r="Z309" s="156"/>
    </row>
    <row r="310">
      <c r="A310" s="156"/>
      <c r="B310" s="156"/>
      <c r="C310" s="156"/>
      <c r="D310" s="156"/>
      <c r="E310" s="156"/>
      <c r="F310" s="156"/>
      <c r="G310" s="156"/>
      <c r="H310" s="156"/>
      <c r="I310" s="156"/>
      <c r="J310" s="156"/>
      <c r="K310" s="156"/>
      <c r="L310" s="156"/>
      <c r="M310" s="156"/>
      <c r="N310" s="156"/>
      <c r="O310" s="156"/>
      <c r="P310" s="156"/>
      <c r="Q310" s="156"/>
      <c r="R310" s="156"/>
      <c r="S310" s="156"/>
      <c r="T310" s="156"/>
      <c r="U310" s="156"/>
      <c r="V310" s="156"/>
      <c r="W310" s="156"/>
      <c r="X310" s="156"/>
      <c r="Y310" s="156"/>
      <c r="Z310" s="156"/>
    </row>
    <row r="311">
      <c r="A311" s="156"/>
      <c r="B311" s="156"/>
      <c r="C311" s="156"/>
      <c r="D311" s="156"/>
      <c r="E311" s="156"/>
      <c r="F311" s="156"/>
      <c r="G311" s="156"/>
      <c r="H311" s="156"/>
      <c r="I311" s="156"/>
      <c r="J311" s="156"/>
      <c r="K311" s="156"/>
      <c r="L311" s="156"/>
      <c r="M311" s="156"/>
      <c r="N311" s="156"/>
      <c r="O311" s="156"/>
      <c r="P311" s="156"/>
      <c r="Q311" s="156"/>
      <c r="R311" s="156"/>
      <c r="S311" s="156"/>
      <c r="T311" s="156"/>
      <c r="U311" s="156"/>
      <c r="V311" s="156"/>
      <c r="W311" s="156"/>
      <c r="X311" s="156"/>
      <c r="Y311" s="156"/>
      <c r="Z311" s="156"/>
    </row>
    <row r="312">
      <c r="A312" s="156"/>
      <c r="B312" s="156"/>
      <c r="C312" s="156"/>
      <c r="D312" s="156"/>
      <c r="E312" s="156"/>
      <c r="F312" s="156"/>
      <c r="G312" s="156"/>
      <c r="H312" s="156"/>
      <c r="I312" s="156"/>
      <c r="J312" s="156"/>
      <c r="K312" s="156"/>
      <c r="L312" s="156"/>
      <c r="M312" s="156"/>
      <c r="N312" s="156"/>
      <c r="O312" s="156"/>
      <c r="P312" s="156"/>
      <c r="Q312" s="156"/>
      <c r="R312" s="156"/>
      <c r="S312" s="156"/>
      <c r="T312" s="156"/>
      <c r="U312" s="156"/>
      <c r="V312" s="156"/>
      <c r="W312" s="156"/>
      <c r="X312" s="156"/>
      <c r="Y312" s="156"/>
      <c r="Z312" s="156"/>
    </row>
    <row r="313">
      <c r="A313" s="156"/>
      <c r="B313" s="156"/>
      <c r="C313" s="156"/>
      <c r="D313" s="156"/>
      <c r="E313" s="156"/>
      <c r="F313" s="156"/>
      <c r="G313" s="156"/>
      <c r="H313" s="156"/>
      <c r="I313" s="156"/>
      <c r="J313" s="156"/>
      <c r="K313" s="156"/>
      <c r="L313" s="156"/>
      <c r="M313" s="156"/>
      <c r="N313" s="156"/>
      <c r="O313" s="156"/>
      <c r="P313" s="156"/>
      <c r="Q313" s="156"/>
      <c r="R313" s="156"/>
      <c r="S313" s="156"/>
      <c r="T313" s="156"/>
      <c r="U313" s="156"/>
      <c r="V313" s="156"/>
      <c r="W313" s="156"/>
      <c r="X313" s="156"/>
      <c r="Y313" s="156"/>
      <c r="Z313" s="156"/>
    </row>
    <row r="314">
      <c r="A314" s="156"/>
      <c r="B314" s="156"/>
      <c r="C314" s="156"/>
      <c r="D314" s="156"/>
      <c r="E314" s="156"/>
      <c r="F314" s="156"/>
      <c r="G314" s="156"/>
      <c r="H314" s="156"/>
      <c r="I314" s="156"/>
      <c r="J314" s="156"/>
      <c r="K314" s="156"/>
      <c r="L314" s="156"/>
      <c r="M314" s="156"/>
      <c r="N314" s="156"/>
      <c r="O314" s="156"/>
      <c r="P314" s="156"/>
      <c r="Q314" s="156"/>
      <c r="R314" s="156"/>
      <c r="S314" s="156"/>
      <c r="T314" s="156"/>
      <c r="U314" s="156"/>
      <c r="V314" s="156"/>
      <c r="W314" s="156"/>
      <c r="X314" s="156"/>
      <c r="Y314" s="156"/>
      <c r="Z314" s="156"/>
    </row>
    <row r="315">
      <c r="A315" s="156"/>
      <c r="B315" s="156"/>
      <c r="C315" s="156"/>
      <c r="D315" s="156"/>
      <c r="E315" s="156"/>
      <c r="F315" s="156"/>
      <c r="G315" s="156"/>
      <c r="H315" s="156"/>
      <c r="I315" s="156"/>
      <c r="J315" s="156"/>
      <c r="K315" s="156"/>
      <c r="L315" s="156"/>
      <c r="M315" s="156"/>
      <c r="N315" s="156"/>
      <c r="O315" s="156"/>
      <c r="P315" s="156"/>
      <c r="Q315" s="156"/>
      <c r="R315" s="156"/>
      <c r="S315" s="156"/>
      <c r="T315" s="156"/>
      <c r="U315" s="156"/>
      <c r="V315" s="156"/>
      <c r="W315" s="156"/>
      <c r="X315" s="156"/>
      <c r="Y315" s="156"/>
      <c r="Z315" s="156"/>
    </row>
    <row r="316">
      <c r="A316" s="156"/>
      <c r="B316" s="156"/>
      <c r="C316" s="156"/>
      <c r="D316" s="156"/>
      <c r="E316" s="156"/>
      <c r="F316" s="156"/>
      <c r="G316" s="156"/>
      <c r="H316" s="156"/>
      <c r="I316" s="156"/>
      <c r="J316" s="156"/>
      <c r="K316" s="156"/>
      <c r="L316" s="156"/>
      <c r="M316" s="156"/>
      <c r="N316" s="156"/>
      <c r="O316" s="156"/>
      <c r="P316" s="156"/>
      <c r="Q316" s="156"/>
      <c r="R316" s="156"/>
      <c r="S316" s="156"/>
      <c r="T316" s="156"/>
      <c r="U316" s="156"/>
      <c r="V316" s="156"/>
      <c r="W316" s="156"/>
      <c r="X316" s="156"/>
      <c r="Y316" s="156"/>
      <c r="Z316" s="156"/>
    </row>
    <row r="317">
      <c r="A317" s="156"/>
      <c r="B317" s="156"/>
      <c r="C317" s="156"/>
      <c r="D317" s="156"/>
      <c r="E317" s="156"/>
      <c r="F317" s="156"/>
      <c r="G317" s="156"/>
      <c r="H317" s="156"/>
      <c r="I317" s="156"/>
      <c r="J317" s="156"/>
      <c r="K317" s="156"/>
      <c r="L317" s="156"/>
      <c r="M317" s="156"/>
      <c r="N317" s="156"/>
      <c r="O317" s="156"/>
      <c r="P317" s="156"/>
      <c r="Q317" s="156"/>
      <c r="R317" s="156"/>
      <c r="S317" s="156"/>
      <c r="T317" s="156"/>
      <c r="U317" s="156"/>
      <c r="V317" s="156"/>
      <c r="W317" s="156"/>
      <c r="X317" s="156"/>
      <c r="Y317" s="156"/>
      <c r="Z317" s="156"/>
    </row>
    <row r="318">
      <c r="A318" s="156"/>
      <c r="B318" s="156"/>
      <c r="C318" s="156"/>
      <c r="D318" s="156"/>
      <c r="E318" s="156"/>
      <c r="F318" s="156"/>
      <c r="G318" s="156"/>
      <c r="H318" s="156"/>
      <c r="I318" s="156"/>
      <c r="J318" s="156"/>
      <c r="K318" s="156"/>
      <c r="L318" s="156"/>
      <c r="M318" s="156"/>
      <c r="N318" s="156"/>
      <c r="O318" s="156"/>
      <c r="P318" s="156"/>
      <c r="Q318" s="156"/>
      <c r="R318" s="156"/>
      <c r="S318" s="156"/>
      <c r="T318" s="156"/>
      <c r="U318" s="156"/>
      <c r="V318" s="156"/>
      <c r="W318" s="156"/>
      <c r="X318" s="156"/>
      <c r="Y318" s="156"/>
      <c r="Z318" s="156"/>
    </row>
    <row r="319">
      <c r="A319" s="156"/>
      <c r="B319" s="156"/>
      <c r="C319" s="156"/>
      <c r="D319" s="156"/>
      <c r="E319" s="156"/>
      <c r="F319" s="156"/>
      <c r="G319" s="156"/>
      <c r="H319" s="156"/>
      <c r="I319" s="156"/>
      <c r="J319" s="156"/>
      <c r="K319" s="156"/>
      <c r="L319" s="156"/>
      <c r="M319" s="156"/>
      <c r="N319" s="156"/>
      <c r="O319" s="156"/>
      <c r="P319" s="156"/>
      <c r="Q319" s="156"/>
      <c r="R319" s="156"/>
      <c r="S319" s="156"/>
      <c r="T319" s="156"/>
      <c r="U319" s="156"/>
      <c r="V319" s="156"/>
      <c r="W319" s="156"/>
      <c r="X319" s="156"/>
      <c r="Y319" s="156"/>
      <c r="Z319" s="156"/>
    </row>
    <row r="320">
      <c r="A320" s="156"/>
      <c r="B320" s="156"/>
      <c r="C320" s="156"/>
      <c r="D320" s="156"/>
      <c r="E320" s="156"/>
      <c r="F320" s="156"/>
      <c r="G320" s="156"/>
      <c r="H320" s="156"/>
      <c r="I320" s="156"/>
      <c r="J320" s="156"/>
      <c r="K320" s="156"/>
      <c r="L320" s="156"/>
      <c r="M320" s="156"/>
      <c r="N320" s="156"/>
      <c r="O320" s="156"/>
      <c r="P320" s="156"/>
      <c r="Q320" s="156"/>
      <c r="R320" s="156"/>
      <c r="S320" s="156"/>
      <c r="T320" s="156"/>
      <c r="U320" s="156"/>
      <c r="V320" s="156"/>
      <c r="W320" s="156"/>
      <c r="X320" s="156"/>
      <c r="Y320" s="156"/>
      <c r="Z320" s="156"/>
    </row>
    <row r="321">
      <c r="A321" s="156"/>
      <c r="B321" s="156"/>
      <c r="C321" s="156"/>
      <c r="D321" s="156"/>
      <c r="E321" s="156"/>
      <c r="F321" s="156"/>
      <c r="G321" s="156"/>
      <c r="H321" s="156"/>
      <c r="I321" s="156"/>
      <c r="J321" s="156"/>
      <c r="K321" s="156"/>
      <c r="L321" s="156"/>
      <c r="M321" s="156"/>
      <c r="N321" s="156"/>
      <c r="O321" s="156"/>
      <c r="P321" s="156"/>
      <c r="Q321" s="156"/>
      <c r="R321" s="156"/>
      <c r="S321" s="156"/>
      <c r="T321" s="156"/>
      <c r="U321" s="156"/>
      <c r="V321" s="156"/>
      <c r="W321" s="156"/>
      <c r="X321" s="156"/>
      <c r="Y321" s="156"/>
      <c r="Z321" s="156"/>
    </row>
    <row r="322">
      <c r="A322" s="156"/>
      <c r="B322" s="156"/>
      <c r="C322" s="156"/>
      <c r="D322" s="156"/>
      <c r="E322" s="156"/>
      <c r="F322" s="156"/>
      <c r="G322" s="156"/>
      <c r="H322" s="156"/>
      <c r="I322" s="156"/>
      <c r="J322" s="156"/>
      <c r="K322" s="156"/>
      <c r="L322" s="156"/>
      <c r="M322" s="156"/>
      <c r="N322" s="156"/>
      <c r="O322" s="156"/>
      <c r="P322" s="156"/>
      <c r="Q322" s="156"/>
      <c r="R322" s="156"/>
      <c r="S322" s="156"/>
      <c r="T322" s="156"/>
      <c r="U322" s="156"/>
      <c r="V322" s="156"/>
      <c r="W322" s="156"/>
      <c r="X322" s="156"/>
      <c r="Y322" s="156"/>
      <c r="Z322" s="156"/>
    </row>
    <row r="323">
      <c r="A323" s="156"/>
      <c r="B323" s="156"/>
      <c r="C323" s="156"/>
      <c r="D323" s="156"/>
      <c r="E323" s="156"/>
      <c r="F323" s="156"/>
      <c r="G323" s="156"/>
      <c r="H323" s="156"/>
      <c r="I323" s="156"/>
      <c r="J323" s="156"/>
      <c r="K323" s="156"/>
      <c r="L323" s="156"/>
      <c r="M323" s="156"/>
      <c r="N323" s="156"/>
      <c r="O323" s="156"/>
      <c r="P323" s="156"/>
      <c r="Q323" s="156"/>
      <c r="R323" s="156"/>
      <c r="S323" s="156"/>
      <c r="T323" s="156"/>
      <c r="U323" s="156"/>
      <c r="V323" s="156"/>
      <c r="W323" s="156"/>
      <c r="X323" s="156"/>
      <c r="Y323" s="156"/>
      <c r="Z323" s="156"/>
    </row>
    <row r="324">
      <c r="A324" s="156"/>
      <c r="B324" s="156"/>
      <c r="C324" s="156"/>
      <c r="D324" s="156"/>
      <c r="E324" s="156"/>
      <c r="F324" s="156"/>
      <c r="G324" s="156"/>
      <c r="H324" s="156"/>
      <c r="I324" s="156"/>
      <c r="J324" s="156"/>
      <c r="K324" s="156"/>
      <c r="L324" s="156"/>
      <c r="M324" s="156"/>
      <c r="N324" s="156"/>
      <c r="O324" s="156"/>
      <c r="P324" s="156"/>
      <c r="Q324" s="156"/>
      <c r="R324" s="156"/>
      <c r="S324" s="156"/>
      <c r="T324" s="156"/>
      <c r="U324" s="156"/>
      <c r="V324" s="156"/>
      <c r="W324" s="156"/>
      <c r="X324" s="156"/>
      <c r="Y324" s="156"/>
      <c r="Z324" s="156"/>
    </row>
    <row r="325">
      <c r="A325" s="156"/>
      <c r="B325" s="156"/>
      <c r="C325" s="156"/>
      <c r="D325" s="156"/>
      <c r="E325" s="156"/>
      <c r="F325" s="156"/>
      <c r="G325" s="156"/>
      <c r="H325" s="156"/>
      <c r="I325" s="156"/>
      <c r="J325" s="156"/>
      <c r="K325" s="156"/>
      <c r="L325" s="156"/>
      <c r="M325" s="156"/>
      <c r="N325" s="156"/>
      <c r="O325" s="156"/>
      <c r="P325" s="156"/>
      <c r="Q325" s="156"/>
      <c r="R325" s="156"/>
      <c r="S325" s="156"/>
      <c r="T325" s="156"/>
      <c r="U325" s="156"/>
      <c r="V325" s="156"/>
      <c r="W325" s="156"/>
      <c r="X325" s="156"/>
      <c r="Y325" s="156"/>
      <c r="Z325" s="156"/>
    </row>
    <row r="326">
      <c r="A326" s="156"/>
      <c r="B326" s="156"/>
      <c r="C326" s="156"/>
      <c r="D326" s="156"/>
      <c r="E326" s="156"/>
      <c r="F326" s="156"/>
      <c r="G326" s="156"/>
      <c r="H326" s="156"/>
      <c r="I326" s="156"/>
      <c r="J326" s="156"/>
      <c r="K326" s="156"/>
      <c r="L326" s="156"/>
      <c r="M326" s="156"/>
      <c r="N326" s="156"/>
      <c r="O326" s="156"/>
      <c r="P326" s="156"/>
      <c r="Q326" s="156"/>
      <c r="R326" s="156"/>
      <c r="S326" s="156"/>
      <c r="T326" s="156"/>
      <c r="U326" s="156"/>
      <c r="V326" s="156"/>
      <c r="W326" s="156"/>
      <c r="X326" s="156"/>
      <c r="Y326" s="156"/>
      <c r="Z326" s="156"/>
    </row>
    <row r="327">
      <c r="A327" s="156"/>
      <c r="B327" s="156"/>
      <c r="C327" s="156"/>
      <c r="D327" s="156"/>
      <c r="E327" s="156"/>
      <c r="F327" s="156"/>
      <c r="G327" s="156"/>
      <c r="H327" s="156"/>
      <c r="I327" s="156"/>
      <c r="J327" s="156"/>
      <c r="K327" s="156"/>
      <c r="L327" s="156"/>
      <c r="M327" s="156"/>
      <c r="N327" s="156"/>
      <c r="O327" s="156"/>
      <c r="P327" s="156"/>
      <c r="Q327" s="156"/>
      <c r="R327" s="156"/>
      <c r="S327" s="156"/>
      <c r="T327" s="156"/>
      <c r="U327" s="156"/>
      <c r="V327" s="156"/>
      <c r="W327" s="156"/>
      <c r="X327" s="156"/>
      <c r="Y327" s="156"/>
      <c r="Z327" s="156"/>
    </row>
    <row r="328">
      <c r="A328" s="156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</row>
    <row r="329">
      <c r="A329" s="156"/>
      <c r="B329" s="156"/>
      <c r="C329" s="156"/>
      <c r="D329" s="156"/>
      <c r="E329" s="156"/>
      <c r="F329" s="156"/>
      <c r="G329" s="156"/>
      <c r="H329" s="156"/>
      <c r="I329" s="156"/>
      <c r="J329" s="156"/>
      <c r="K329" s="156"/>
      <c r="L329" s="156"/>
      <c r="M329" s="156"/>
      <c r="N329" s="156"/>
      <c r="O329" s="156"/>
      <c r="P329" s="156"/>
      <c r="Q329" s="156"/>
      <c r="R329" s="156"/>
      <c r="S329" s="156"/>
      <c r="T329" s="156"/>
      <c r="U329" s="156"/>
      <c r="V329" s="156"/>
      <c r="W329" s="156"/>
      <c r="X329" s="156"/>
      <c r="Y329" s="156"/>
      <c r="Z329" s="156"/>
    </row>
    <row r="330">
      <c r="A330" s="156"/>
      <c r="B330" s="156"/>
      <c r="C330" s="156"/>
      <c r="D330" s="156"/>
      <c r="E330" s="156"/>
      <c r="F330" s="156"/>
      <c r="G330" s="156"/>
      <c r="H330" s="156"/>
      <c r="I330" s="156"/>
      <c r="J330" s="156"/>
      <c r="K330" s="156"/>
      <c r="L330" s="156"/>
      <c r="M330" s="156"/>
      <c r="N330" s="156"/>
      <c r="O330" s="156"/>
      <c r="P330" s="156"/>
      <c r="Q330" s="156"/>
      <c r="R330" s="156"/>
      <c r="S330" s="156"/>
      <c r="T330" s="156"/>
      <c r="U330" s="156"/>
      <c r="V330" s="156"/>
      <c r="W330" s="156"/>
      <c r="X330" s="156"/>
      <c r="Y330" s="156"/>
      <c r="Z330" s="156"/>
    </row>
    <row r="331">
      <c r="A331" s="156"/>
      <c r="B331" s="156"/>
      <c r="C331" s="156"/>
      <c r="D331" s="156"/>
      <c r="E331" s="156"/>
      <c r="F331" s="156"/>
      <c r="G331" s="156"/>
      <c r="H331" s="156"/>
      <c r="I331" s="156"/>
      <c r="J331" s="156"/>
      <c r="K331" s="156"/>
      <c r="L331" s="156"/>
      <c r="M331" s="156"/>
      <c r="N331" s="156"/>
      <c r="O331" s="156"/>
      <c r="P331" s="156"/>
      <c r="Q331" s="156"/>
      <c r="R331" s="156"/>
      <c r="S331" s="156"/>
      <c r="T331" s="156"/>
      <c r="U331" s="156"/>
      <c r="V331" s="156"/>
      <c r="W331" s="156"/>
      <c r="X331" s="156"/>
      <c r="Y331" s="156"/>
      <c r="Z331" s="156"/>
    </row>
    <row r="332">
      <c r="A332" s="156"/>
      <c r="B332" s="156"/>
      <c r="C332" s="156"/>
      <c r="D332" s="156"/>
      <c r="E332" s="156"/>
      <c r="F332" s="156"/>
      <c r="G332" s="156"/>
      <c r="H332" s="156"/>
      <c r="I332" s="156"/>
      <c r="J332" s="156"/>
      <c r="K332" s="156"/>
      <c r="L332" s="156"/>
      <c r="M332" s="156"/>
      <c r="N332" s="156"/>
      <c r="O332" s="156"/>
      <c r="P332" s="156"/>
      <c r="Q332" s="156"/>
      <c r="R332" s="156"/>
      <c r="S332" s="156"/>
      <c r="T332" s="156"/>
      <c r="U332" s="156"/>
      <c r="V332" s="156"/>
      <c r="W332" s="156"/>
      <c r="X332" s="156"/>
      <c r="Y332" s="156"/>
      <c r="Z332" s="156"/>
    </row>
    <row r="333">
      <c r="A333" s="156"/>
      <c r="B333" s="156"/>
      <c r="C333" s="156"/>
      <c r="D333" s="156"/>
      <c r="E333" s="156"/>
      <c r="F333" s="156"/>
      <c r="G333" s="156"/>
      <c r="H333" s="156"/>
      <c r="I333" s="156"/>
      <c r="J333" s="156"/>
      <c r="K333" s="156"/>
      <c r="L333" s="156"/>
      <c r="M333" s="156"/>
      <c r="N333" s="156"/>
      <c r="O333" s="156"/>
      <c r="P333" s="156"/>
      <c r="Q333" s="156"/>
      <c r="R333" s="156"/>
      <c r="S333" s="156"/>
      <c r="T333" s="156"/>
      <c r="U333" s="156"/>
      <c r="V333" s="156"/>
      <c r="W333" s="156"/>
      <c r="X333" s="156"/>
      <c r="Y333" s="156"/>
      <c r="Z333" s="156"/>
    </row>
    <row r="334">
      <c r="A334" s="156"/>
      <c r="B334" s="156"/>
      <c r="C334" s="156"/>
      <c r="D334" s="156"/>
      <c r="E334" s="156"/>
      <c r="F334" s="156"/>
      <c r="G334" s="156"/>
      <c r="H334" s="156"/>
      <c r="I334" s="156"/>
      <c r="J334" s="156"/>
      <c r="K334" s="156"/>
      <c r="L334" s="156"/>
      <c r="M334" s="156"/>
      <c r="N334" s="156"/>
      <c r="O334" s="156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</row>
    <row r="335">
      <c r="A335" s="156"/>
      <c r="B335" s="156"/>
      <c r="C335" s="156"/>
      <c r="D335" s="156"/>
      <c r="E335" s="156"/>
      <c r="F335" s="156"/>
      <c r="G335" s="156"/>
      <c r="H335" s="156"/>
      <c r="I335" s="156"/>
      <c r="J335" s="156"/>
      <c r="K335" s="156"/>
      <c r="L335" s="156"/>
      <c r="M335" s="156"/>
      <c r="N335" s="156"/>
      <c r="O335" s="156"/>
      <c r="P335" s="156"/>
      <c r="Q335" s="156"/>
      <c r="R335" s="156"/>
      <c r="S335" s="156"/>
      <c r="T335" s="156"/>
      <c r="U335" s="156"/>
      <c r="V335" s="156"/>
      <c r="W335" s="156"/>
      <c r="X335" s="156"/>
      <c r="Y335" s="156"/>
      <c r="Z335" s="156"/>
    </row>
    <row r="336">
      <c r="A336" s="156"/>
      <c r="B336" s="156"/>
      <c r="C336" s="156"/>
      <c r="D336" s="156"/>
      <c r="E336" s="156"/>
      <c r="F336" s="156"/>
      <c r="G336" s="156"/>
      <c r="H336" s="156"/>
      <c r="I336" s="156"/>
      <c r="J336" s="156"/>
      <c r="K336" s="156"/>
      <c r="L336" s="156"/>
      <c r="M336" s="156"/>
      <c r="N336" s="156"/>
      <c r="O336" s="156"/>
      <c r="P336" s="156"/>
      <c r="Q336" s="156"/>
      <c r="R336" s="156"/>
      <c r="S336" s="156"/>
      <c r="T336" s="156"/>
      <c r="U336" s="156"/>
      <c r="V336" s="156"/>
      <c r="W336" s="156"/>
      <c r="X336" s="156"/>
      <c r="Y336" s="156"/>
      <c r="Z336" s="156"/>
    </row>
    <row r="337">
      <c r="A337" s="156"/>
      <c r="B337" s="156"/>
      <c r="C337" s="156"/>
      <c r="D337" s="156"/>
      <c r="E337" s="156"/>
      <c r="F337" s="156"/>
      <c r="G337" s="156"/>
      <c r="H337" s="156"/>
      <c r="I337" s="156"/>
      <c r="J337" s="156"/>
      <c r="K337" s="156"/>
      <c r="L337" s="156"/>
      <c r="M337" s="156"/>
      <c r="N337" s="156"/>
      <c r="O337" s="156"/>
      <c r="P337" s="156"/>
      <c r="Q337" s="156"/>
      <c r="R337" s="156"/>
      <c r="S337" s="156"/>
      <c r="T337" s="156"/>
      <c r="U337" s="156"/>
      <c r="V337" s="156"/>
      <c r="W337" s="156"/>
      <c r="X337" s="156"/>
      <c r="Y337" s="156"/>
      <c r="Z337" s="156"/>
    </row>
    <row r="338">
      <c r="A338" s="156"/>
      <c r="B338" s="156"/>
      <c r="C338" s="156"/>
      <c r="D338" s="156"/>
      <c r="E338" s="156"/>
      <c r="F338" s="156"/>
      <c r="G338" s="156"/>
      <c r="H338" s="156"/>
      <c r="I338" s="156"/>
      <c r="J338" s="156"/>
      <c r="K338" s="156"/>
      <c r="L338" s="156"/>
      <c r="M338" s="156"/>
      <c r="N338" s="156"/>
      <c r="O338" s="156"/>
      <c r="P338" s="156"/>
      <c r="Q338" s="156"/>
      <c r="R338" s="156"/>
      <c r="S338" s="156"/>
      <c r="T338" s="156"/>
      <c r="U338" s="156"/>
      <c r="V338" s="156"/>
      <c r="W338" s="156"/>
      <c r="X338" s="156"/>
      <c r="Y338" s="156"/>
      <c r="Z338" s="156"/>
    </row>
    <row r="339">
      <c r="A339" s="156"/>
      <c r="B339" s="156"/>
      <c r="C339" s="156"/>
      <c r="D339" s="156"/>
      <c r="E339" s="156"/>
      <c r="F339" s="156"/>
      <c r="G339" s="156"/>
      <c r="H339" s="156"/>
      <c r="I339" s="156"/>
      <c r="J339" s="156"/>
      <c r="K339" s="156"/>
      <c r="L339" s="156"/>
      <c r="M339" s="156"/>
      <c r="N339" s="156"/>
      <c r="O339" s="156"/>
      <c r="P339" s="156"/>
      <c r="Q339" s="156"/>
      <c r="R339" s="156"/>
      <c r="S339" s="156"/>
      <c r="T339" s="156"/>
      <c r="U339" s="156"/>
      <c r="V339" s="156"/>
      <c r="W339" s="156"/>
      <c r="X339" s="156"/>
      <c r="Y339" s="156"/>
      <c r="Z339" s="156"/>
    </row>
    <row r="340">
      <c r="A340" s="156"/>
      <c r="B340" s="156"/>
      <c r="C340" s="156"/>
      <c r="D340" s="156"/>
      <c r="E340" s="156"/>
      <c r="F340" s="156"/>
      <c r="G340" s="156"/>
      <c r="H340" s="156"/>
      <c r="I340" s="156"/>
      <c r="J340" s="156"/>
      <c r="K340" s="156"/>
      <c r="L340" s="156"/>
      <c r="M340" s="156"/>
      <c r="N340" s="156"/>
      <c r="O340" s="156"/>
      <c r="P340" s="156"/>
      <c r="Q340" s="156"/>
      <c r="R340" s="156"/>
      <c r="S340" s="156"/>
      <c r="T340" s="156"/>
      <c r="U340" s="156"/>
      <c r="V340" s="156"/>
      <c r="W340" s="156"/>
      <c r="X340" s="156"/>
      <c r="Y340" s="156"/>
      <c r="Z340" s="156"/>
    </row>
    <row r="341">
      <c r="A341" s="156"/>
      <c r="B341" s="156"/>
      <c r="C341" s="156"/>
      <c r="D341" s="156"/>
      <c r="E341" s="156"/>
      <c r="F341" s="156"/>
      <c r="G341" s="156"/>
      <c r="H341" s="156"/>
      <c r="I341" s="156"/>
      <c r="J341" s="156"/>
      <c r="K341" s="156"/>
      <c r="L341" s="156"/>
      <c r="M341" s="156"/>
      <c r="N341" s="156"/>
      <c r="O341" s="156"/>
      <c r="P341" s="156"/>
      <c r="Q341" s="156"/>
      <c r="R341" s="156"/>
      <c r="S341" s="156"/>
      <c r="T341" s="156"/>
      <c r="U341" s="156"/>
      <c r="V341" s="156"/>
      <c r="W341" s="156"/>
      <c r="X341" s="156"/>
      <c r="Y341" s="156"/>
      <c r="Z341" s="156"/>
    </row>
    <row r="342">
      <c r="A342" s="156"/>
      <c r="B342" s="156"/>
      <c r="C342" s="156"/>
      <c r="D342" s="156"/>
      <c r="E342" s="156"/>
      <c r="F342" s="156"/>
      <c r="G342" s="156"/>
      <c r="H342" s="156"/>
      <c r="I342" s="156"/>
      <c r="J342" s="156"/>
      <c r="K342" s="156"/>
      <c r="L342" s="156"/>
      <c r="M342" s="156"/>
      <c r="N342" s="156"/>
      <c r="O342" s="156"/>
      <c r="P342" s="156"/>
      <c r="Q342" s="156"/>
      <c r="R342" s="156"/>
      <c r="S342" s="156"/>
      <c r="T342" s="156"/>
      <c r="U342" s="156"/>
      <c r="V342" s="156"/>
      <c r="W342" s="156"/>
      <c r="X342" s="156"/>
      <c r="Y342" s="156"/>
      <c r="Z342" s="156"/>
    </row>
    <row r="343">
      <c r="A343" s="156"/>
      <c r="B343" s="156"/>
      <c r="C343" s="156"/>
      <c r="D343" s="156"/>
      <c r="E343" s="156"/>
      <c r="F343" s="156"/>
      <c r="G343" s="156"/>
      <c r="H343" s="156"/>
      <c r="I343" s="156"/>
      <c r="J343" s="156"/>
      <c r="K343" s="156"/>
      <c r="L343" s="156"/>
      <c r="M343" s="156"/>
      <c r="N343" s="156"/>
      <c r="O343" s="156"/>
      <c r="P343" s="156"/>
      <c r="Q343" s="156"/>
      <c r="R343" s="156"/>
      <c r="S343" s="156"/>
      <c r="T343" s="156"/>
      <c r="U343" s="156"/>
      <c r="V343" s="156"/>
      <c r="W343" s="156"/>
      <c r="X343" s="156"/>
      <c r="Y343" s="156"/>
      <c r="Z343" s="156"/>
    </row>
    <row r="344">
      <c r="A344" s="156"/>
      <c r="B344" s="156"/>
      <c r="C344" s="156"/>
      <c r="D344" s="156"/>
      <c r="E344" s="156"/>
      <c r="F344" s="156"/>
      <c r="G344" s="156"/>
      <c r="H344" s="156"/>
      <c r="I344" s="156"/>
      <c r="J344" s="156"/>
      <c r="K344" s="156"/>
      <c r="L344" s="156"/>
      <c r="M344" s="156"/>
      <c r="N344" s="156"/>
      <c r="O344" s="156"/>
      <c r="P344" s="156"/>
      <c r="Q344" s="156"/>
      <c r="R344" s="156"/>
      <c r="S344" s="156"/>
      <c r="T344" s="156"/>
      <c r="U344" s="156"/>
      <c r="V344" s="156"/>
      <c r="W344" s="156"/>
      <c r="X344" s="156"/>
      <c r="Y344" s="156"/>
      <c r="Z344" s="156"/>
    </row>
    <row r="345">
      <c r="A345" s="156"/>
      <c r="B345" s="156"/>
      <c r="C345" s="156"/>
      <c r="D345" s="156"/>
      <c r="E345" s="156"/>
      <c r="F345" s="156"/>
      <c r="G345" s="156"/>
      <c r="H345" s="156"/>
      <c r="I345" s="156"/>
      <c r="J345" s="156"/>
      <c r="K345" s="156"/>
      <c r="L345" s="156"/>
      <c r="M345" s="156"/>
      <c r="N345" s="156"/>
      <c r="O345" s="156"/>
      <c r="P345" s="156"/>
      <c r="Q345" s="156"/>
      <c r="R345" s="156"/>
      <c r="S345" s="156"/>
      <c r="T345" s="156"/>
      <c r="U345" s="156"/>
      <c r="V345" s="156"/>
      <c r="W345" s="156"/>
      <c r="X345" s="156"/>
      <c r="Y345" s="156"/>
      <c r="Z345" s="156"/>
    </row>
    <row r="346">
      <c r="A346" s="156"/>
      <c r="B346" s="156"/>
      <c r="C346" s="156"/>
      <c r="D346" s="156"/>
      <c r="E346" s="156"/>
      <c r="F346" s="156"/>
      <c r="G346" s="156"/>
      <c r="H346" s="156"/>
      <c r="I346" s="156"/>
      <c r="J346" s="156"/>
      <c r="K346" s="156"/>
      <c r="L346" s="156"/>
      <c r="M346" s="156"/>
      <c r="N346" s="156"/>
      <c r="O346" s="156"/>
      <c r="P346" s="156"/>
      <c r="Q346" s="156"/>
      <c r="R346" s="156"/>
      <c r="S346" s="156"/>
      <c r="T346" s="156"/>
      <c r="U346" s="156"/>
      <c r="V346" s="156"/>
      <c r="W346" s="156"/>
      <c r="X346" s="156"/>
      <c r="Y346" s="156"/>
      <c r="Z346" s="156"/>
    </row>
    <row r="347">
      <c r="A347" s="156"/>
      <c r="B347" s="156"/>
      <c r="C347" s="156"/>
      <c r="D347" s="156"/>
      <c r="E347" s="156"/>
      <c r="F347" s="156"/>
      <c r="G347" s="156"/>
      <c r="H347" s="156"/>
      <c r="I347" s="156"/>
      <c r="J347" s="156"/>
      <c r="K347" s="156"/>
      <c r="L347" s="156"/>
      <c r="M347" s="156"/>
      <c r="N347" s="156"/>
      <c r="O347" s="156"/>
      <c r="P347" s="156"/>
      <c r="Q347" s="156"/>
      <c r="R347" s="156"/>
      <c r="S347" s="156"/>
      <c r="T347" s="156"/>
      <c r="U347" s="156"/>
      <c r="V347" s="156"/>
      <c r="W347" s="156"/>
      <c r="X347" s="156"/>
      <c r="Y347" s="156"/>
      <c r="Z347" s="156"/>
    </row>
    <row r="348">
      <c r="A348" s="156"/>
      <c r="B348" s="156"/>
      <c r="C348" s="156"/>
      <c r="D348" s="156"/>
      <c r="E348" s="156"/>
      <c r="F348" s="156"/>
      <c r="G348" s="156"/>
      <c r="H348" s="156"/>
      <c r="I348" s="156"/>
      <c r="J348" s="156"/>
      <c r="K348" s="156"/>
      <c r="L348" s="156"/>
      <c r="M348" s="156"/>
      <c r="N348" s="156"/>
      <c r="O348" s="156"/>
      <c r="P348" s="156"/>
      <c r="Q348" s="156"/>
      <c r="R348" s="156"/>
      <c r="S348" s="156"/>
      <c r="T348" s="156"/>
      <c r="U348" s="156"/>
      <c r="V348" s="156"/>
      <c r="W348" s="156"/>
      <c r="X348" s="156"/>
      <c r="Y348" s="156"/>
      <c r="Z348" s="156"/>
    </row>
    <row r="349">
      <c r="A349" s="156"/>
      <c r="B349" s="156"/>
      <c r="C349" s="156"/>
      <c r="D349" s="156"/>
      <c r="E349" s="156"/>
      <c r="F349" s="156"/>
      <c r="G349" s="156"/>
      <c r="H349" s="156"/>
      <c r="I349" s="156"/>
      <c r="J349" s="156"/>
      <c r="K349" s="156"/>
      <c r="L349" s="156"/>
      <c r="M349" s="156"/>
      <c r="N349" s="156"/>
      <c r="O349" s="156"/>
      <c r="P349" s="156"/>
      <c r="Q349" s="156"/>
      <c r="R349" s="156"/>
      <c r="S349" s="156"/>
      <c r="T349" s="156"/>
      <c r="U349" s="156"/>
      <c r="V349" s="156"/>
      <c r="W349" s="156"/>
      <c r="X349" s="156"/>
      <c r="Y349" s="156"/>
      <c r="Z349" s="156"/>
    </row>
    <row r="350">
      <c r="A350" s="156"/>
      <c r="B350" s="156"/>
      <c r="C350" s="156"/>
      <c r="D350" s="156"/>
      <c r="E350" s="156"/>
      <c r="F350" s="156"/>
      <c r="G350" s="156"/>
      <c r="H350" s="156"/>
      <c r="I350" s="156"/>
      <c r="J350" s="156"/>
      <c r="K350" s="156"/>
      <c r="L350" s="156"/>
      <c r="M350" s="156"/>
      <c r="N350" s="156"/>
      <c r="O350" s="156"/>
      <c r="P350" s="156"/>
      <c r="Q350" s="156"/>
      <c r="R350" s="156"/>
      <c r="S350" s="156"/>
      <c r="T350" s="156"/>
      <c r="U350" s="156"/>
      <c r="V350" s="156"/>
      <c r="W350" s="156"/>
      <c r="X350" s="156"/>
      <c r="Y350" s="156"/>
      <c r="Z350" s="156"/>
    </row>
    <row r="351">
      <c r="A351" s="156"/>
      <c r="B351" s="156"/>
      <c r="C351" s="156"/>
      <c r="D351" s="156"/>
      <c r="E351" s="156"/>
      <c r="F351" s="156"/>
      <c r="G351" s="156"/>
      <c r="H351" s="156"/>
      <c r="I351" s="156"/>
      <c r="J351" s="156"/>
      <c r="K351" s="156"/>
      <c r="L351" s="156"/>
      <c r="M351" s="156"/>
      <c r="N351" s="156"/>
      <c r="O351" s="156"/>
      <c r="P351" s="156"/>
      <c r="Q351" s="156"/>
      <c r="R351" s="156"/>
      <c r="S351" s="156"/>
      <c r="T351" s="156"/>
      <c r="U351" s="156"/>
      <c r="V351" s="156"/>
      <c r="W351" s="156"/>
      <c r="X351" s="156"/>
      <c r="Y351" s="156"/>
      <c r="Z351" s="156"/>
    </row>
    <row r="352">
      <c r="A352" s="156"/>
      <c r="B352" s="156"/>
      <c r="C352" s="156"/>
      <c r="D352" s="156"/>
      <c r="E352" s="156"/>
      <c r="F352" s="156"/>
      <c r="G352" s="156"/>
      <c r="H352" s="156"/>
      <c r="I352" s="156"/>
      <c r="J352" s="156"/>
      <c r="K352" s="156"/>
      <c r="L352" s="156"/>
      <c r="M352" s="156"/>
      <c r="N352" s="156"/>
      <c r="O352" s="156"/>
      <c r="P352" s="156"/>
      <c r="Q352" s="156"/>
      <c r="R352" s="156"/>
      <c r="S352" s="156"/>
      <c r="T352" s="156"/>
      <c r="U352" s="156"/>
      <c r="V352" s="156"/>
      <c r="W352" s="156"/>
      <c r="X352" s="156"/>
      <c r="Y352" s="156"/>
      <c r="Z352" s="156"/>
    </row>
    <row r="353">
      <c r="A353" s="156"/>
      <c r="B353" s="156"/>
      <c r="C353" s="156"/>
      <c r="D353" s="156"/>
      <c r="E353" s="156"/>
      <c r="F353" s="156"/>
      <c r="G353" s="156"/>
      <c r="H353" s="156"/>
      <c r="I353" s="156"/>
      <c r="J353" s="156"/>
      <c r="K353" s="156"/>
      <c r="L353" s="156"/>
      <c r="M353" s="156"/>
      <c r="N353" s="156"/>
      <c r="O353" s="156"/>
      <c r="P353" s="156"/>
      <c r="Q353" s="156"/>
      <c r="R353" s="156"/>
      <c r="S353" s="156"/>
      <c r="T353" s="156"/>
      <c r="U353" s="156"/>
      <c r="V353" s="156"/>
      <c r="W353" s="156"/>
      <c r="X353" s="156"/>
      <c r="Y353" s="156"/>
      <c r="Z353" s="156"/>
    </row>
    <row r="354">
      <c r="A354" s="156"/>
      <c r="B354" s="156"/>
      <c r="C354" s="156"/>
      <c r="D354" s="156"/>
      <c r="E354" s="156"/>
      <c r="F354" s="156"/>
      <c r="G354" s="156"/>
      <c r="H354" s="156"/>
      <c r="I354" s="156"/>
      <c r="J354" s="156"/>
      <c r="K354" s="156"/>
      <c r="L354" s="156"/>
      <c r="M354" s="156"/>
      <c r="N354" s="156"/>
      <c r="O354" s="156"/>
      <c r="P354" s="156"/>
      <c r="Q354" s="156"/>
      <c r="R354" s="156"/>
      <c r="S354" s="156"/>
      <c r="T354" s="156"/>
      <c r="U354" s="156"/>
      <c r="V354" s="156"/>
      <c r="W354" s="156"/>
      <c r="X354" s="156"/>
      <c r="Y354" s="156"/>
      <c r="Z354" s="156"/>
    </row>
    <row r="355">
      <c r="A355" s="156"/>
      <c r="B355" s="156"/>
      <c r="C355" s="156"/>
      <c r="D355" s="156"/>
      <c r="E355" s="156"/>
      <c r="F355" s="156"/>
      <c r="G355" s="156"/>
      <c r="H355" s="156"/>
      <c r="I355" s="156"/>
      <c r="J355" s="156"/>
      <c r="K355" s="156"/>
      <c r="L355" s="156"/>
      <c r="M355" s="156"/>
      <c r="N355" s="156"/>
      <c r="O355" s="156"/>
      <c r="P355" s="156"/>
      <c r="Q355" s="156"/>
      <c r="R355" s="156"/>
      <c r="S355" s="156"/>
      <c r="T355" s="156"/>
      <c r="U355" s="156"/>
      <c r="V355" s="156"/>
      <c r="W355" s="156"/>
      <c r="X355" s="156"/>
      <c r="Y355" s="156"/>
      <c r="Z355" s="156"/>
    </row>
    <row r="356">
      <c r="A356" s="156"/>
      <c r="B356" s="156"/>
      <c r="C356" s="156"/>
      <c r="D356" s="156"/>
      <c r="E356" s="156"/>
      <c r="F356" s="156"/>
      <c r="G356" s="156"/>
      <c r="H356" s="156"/>
      <c r="I356" s="156"/>
      <c r="J356" s="156"/>
      <c r="K356" s="156"/>
      <c r="L356" s="156"/>
      <c r="M356" s="156"/>
      <c r="N356" s="156"/>
      <c r="O356" s="156"/>
      <c r="P356" s="156"/>
      <c r="Q356" s="156"/>
      <c r="R356" s="156"/>
      <c r="S356" s="156"/>
      <c r="T356" s="156"/>
      <c r="U356" s="156"/>
      <c r="V356" s="156"/>
      <c r="W356" s="156"/>
      <c r="X356" s="156"/>
      <c r="Y356" s="156"/>
      <c r="Z356" s="156"/>
    </row>
    <row r="357">
      <c r="A357" s="156"/>
      <c r="B357" s="156"/>
      <c r="C357" s="156"/>
      <c r="D357" s="156"/>
      <c r="E357" s="156"/>
      <c r="F357" s="156"/>
      <c r="G357" s="156"/>
      <c r="H357" s="156"/>
      <c r="I357" s="156"/>
      <c r="J357" s="156"/>
      <c r="K357" s="156"/>
      <c r="L357" s="156"/>
      <c r="M357" s="156"/>
      <c r="N357" s="156"/>
      <c r="O357" s="156"/>
      <c r="P357" s="156"/>
      <c r="Q357" s="156"/>
      <c r="R357" s="156"/>
      <c r="S357" s="156"/>
      <c r="T357" s="156"/>
      <c r="U357" s="156"/>
      <c r="V357" s="156"/>
      <c r="W357" s="156"/>
      <c r="X357" s="156"/>
      <c r="Y357" s="156"/>
      <c r="Z357" s="156"/>
    </row>
    <row r="358">
      <c r="A358" s="156"/>
      <c r="B358" s="156"/>
      <c r="C358" s="156"/>
      <c r="D358" s="156"/>
      <c r="E358" s="156"/>
      <c r="F358" s="156"/>
      <c r="G358" s="156"/>
      <c r="H358" s="156"/>
      <c r="I358" s="156"/>
      <c r="J358" s="156"/>
      <c r="K358" s="156"/>
      <c r="L358" s="156"/>
      <c r="M358" s="156"/>
      <c r="N358" s="156"/>
      <c r="O358" s="156"/>
      <c r="P358" s="156"/>
      <c r="Q358" s="156"/>
      <c r="R358" s="156"/>
      <c r="S358" s="156"/>
      <c r="T358" s="156"/>
      <c r="U358" s="156"/>
      <c r="V358" s="156"/>
      <c r="W358" s="156"/>
      <c r="X358" s="156"/>
      <c r="Y358" s="156"/>
      <c r="Z358" s="156"/>
    </row>
    <row r="359">
      <c r="A359" s="156"/>
      <c r="B359" s="156"/>
      <c r="C359" s="156"/>
      <c r="D359" s="156"/>
      <c r="E359" s="156"/>
      <c r="F359" s="156"/>
      <c r="G359" s="156"/>
      <c r="H359" s="156"/>
      <c r="I359" s="156"/>
      <c r="J359" s="156"/>
      <c r="K359" s="156"/>
      <c r="L359" s="156"/>
      <c r="M359" s="156"/>
      <c r="N359" s="156"/>
      <c r="O359" s="156"/>
      <c r="P359" s="156"/>
      <c r="Q359" s="156"/>
      <c r="R359" s="156"/>
      <c r="S359" s="156"/>
      <c r="T359" s="156"/>
      <c r="U359" s="156"/>
      <c r="V359" s="156"/>
      <c r="W359" s="156"/>
      <c r="X359" s="156"/>
      <c r="Y359" s="156"/>
      <c r="Z359" s="156"/>
    </row>
    <row r="360">
      <c r="A360" s="156"/>
      <c r="B360" s="156"/>
      <c r="C360" s="156"/>
      <c r="D360" s="156"/>
      <c r="E360" s="156"/>
      <c r="F360" s="156"/>
      <c r="G360" s="156"/>
      <c r="H360" s="156"/>
      <c r="I360" s="156"/>
      <c r="J360" s="156"/>
      <c r="K360" s="156"/>
      <c r="L360" s="156"/>
      <c r="M360" s="156"/>
      <c r="N360" s="156"/>
      <c r="O360" s="156"/>
      <c r="P360" s="156"/>
      <c r="Q360" s="156"/>
      <c r="R360" s="156"/>
      <c r="S360" s="156"/>
      <c r="T360" s="156"/>
      <c r="U360" s="156"/>
      <c r="V360" s="156"/>
      <c r="W360" s="156"/>
      <c r="X360" s="156"/>
      <c r="Y360" s="156"/>
      <c r="Z360" s="156"/>
    </row>
    <row r="361">
      <c r="A361" s="156"/>
      <c r="B361" s="156"/>
      <c r="C361" s="156"/>
      <c r="D361" s="156"/>
      <c r="E361" s="156"/>
      <c r="F361" s="156"/>
      <c r="G361" s="156"/>
      <c r="H361" s="156"/>
      <c r="I361" s="156"/>
      <c r="J361" s="156"/>
      <c r="K361" s="156"/>
      <c r="L361" s="156"/>
      <c r="M361" s="156"/>
      <c r="N361" s="156"/>
      <c r="O361" s="156"/>
      <c r="P361" s="156"/>
      <c r="Q361" s="156"/>
      <c r="R361" s="156"/>
      <c r="S361" s="156"/>
      <c r="T361" s="156"/>
      <c r="U361" s="156"/>
      <c r="V361" s="156"/>
      <c r="W361" s="156"/>
      <c r="X361" s="156"/>
      <c r="Y361" s="156"/>
      <c r="Z361" s="156"/>
    </row>
    <row r="362">
      <c r="A362" s="156"/>
      <c r="B362" s="156"/>
      <c r="C362" s="156"/>
      <c r="D362" s="156"/>
      <c r="E362" s="156"/>
      <c r="F362" s="156"/>
      <c r="G362" s="156"/>
      <c r="H362" s="156"/>
      <c r="I362" s="156"/>
      <c r="J362" s="156"/>
      <c r="K362" s="156"/>
      <c r="L362" s="156"/>
      <c r="M362" s="156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156"/>
      <c r="Y362" s="156"/>
      <c r="Z362" s="156"/>
    </row>
    <row r="363">
      <c r="A363" s="156"/>
      <c r="B363" s="156"/>
      <c r="C363" s="156"/>
      <c r="D363" s="156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6"/>
      <c r="R363" s="156"/>
      <c r="S363" s="156"/>
      <c r="T363" s="156"/>
      <c r="U363" s="156"/>
      <c r="V363" s="156"/>
      <c r="W363" s="156"/>
      <c r="X363" s="156"/>
      <c r="Y363" s="156"/>
      <c r="Z363" s="156"/>
    </row>
    <row r="364">
      <c r="A364" s="156"/>
      <c r="B364" s="156"/>
      <c r="C364" s="156"/>
      <c r="D364" s="156"/>
      <c r="E364" s="156"/>
      <c r="F364" s="156"/>
      <c r="G364" s="156"/>
      <c r="H364" s="156"/>
      <c r="I364" s="156"/>
      <c r="J364" s="156"/>
      <c r="K364" s="156"/>
      <c r="L364" s="156"/>
      <c r="M364" s="156"/>
      <c r="N364" s="156"/>
      <c r="O364" s="156"/>
      <c r="P364" s="156"/>
      <c r="Q364" s="156"/>
      <c r="R364" s="156"/>
      <c r="S364" s="156"/>
      <c r="T364" s="156"/>
      <c r="U364" s="156"/>
      <c r="V364" s="156"/>
      <c r="W364" s="156"/>
      <c r="X364" s="156"/>
      <c r="Y364" s="156"/>
      <c r="Z364" s="156"/>
    </row>
    <row r="365">
      <c r="A365" s="156"/>
      <c r="B365" s="156"/>
      <c r="C365" s="156"/>
      <c r="D365" s="156"/>
      <c r="E365" s="156"/>
      <c r="F365" s="156"/>
      <c r="G365" s="156"/>
      <c r="H365" s="156"/>
      <c r="I365" s="156"/>
      <c r="J365" s="156"/>
      <c r="K365" s="156"/>
      <c r="L365" s="156"/>
      <c r="M365" s="156"/>
      <c r="N365" s="156"/>
      <c r="O365" s="156"/>
      <c r="P365" s="156"/>
      <c r="Q365" s="156"/>
      <c r="R365" s="156"/>
      <c r="S365" s="156"/>
      <c r="T365" s="156"/>
      <c r="U365" s="156"/>
      <c r="V365" s="156"/>
      <c r="W365" s="156"/>
      <c r="X365" s="156"/>
      <c r="Y365" s="156"/>
      <c r="Z365" s="156"/>
    </row>
    <row r="366">
      <c r="A366" s="156"/>
      <c r="B366" s="156"/>
      <c r="C366" s="156"/>
      <c r="D366" s="156"/>
      <c r="E366" s="156"/>
      <c r="F366" s="156"/>
      <c r="G366" s="156"/>
      <c r="H366" s="156"/>
      <c r="I366" s="156"/>
      <c r="J366" s="156"/>
      <c r="K366" s="156"/>
      <c r="L366" s="156"/>
      <c r="M366" s="156"/>
      <c r="N366" s="156"/>
      <c r="O366" s="156"/>
      <c r="P366" s="156"/>
      <c r="Q366" s="156"/>
      <c r="R366" s="156"/>
      <c r="S366" s="156"/>
      <c r="T366" s="156"/>
      <c r="U366" s="156"/>
      <c r="V366" s="156"/>
      <c r="W366" s="156"/>
      <c r="X366" s="156"/>
      <c r="Y366" s="156"/>
      <c r="Z366" s="156"/>
    </row>
    <row r="367">
      <c r="A367" s="156"/>
      <c r="B367" s="156"/>
      <c r="C367" s="156"/>
      <c r="D367" s="156"/>
      <c r="E367" s="156"/>
      <c r="F367" s="156"/>
      <c r="G367" s="156"/>
      <c r="H367" s="156"/>
      <c r="I367" s="156"/>
      <c r="J367" s="156"/>
      <c r="K367" s="156"/>
      <c r="L367" s="156"/>
      <c r="M367" s="156"/>
      <c r="N367" s="156"/>
      <c r="O367" s="156"/>
      <c r="P367" s="156"/>
      <c r="Q367" s="156"/>
      <c r="R367" s="156"/>
      <c r="S367" s="156"/>
      <c r="T367" s="156"/>
      <c r="U367" s="156"/>
      <c r="V367" s="156"/>
      <c r="W367" s="156"/>
      <c r="X367" s="156"/>
      <c r="Y367" s="156"/>
      <c r="Z367" s="156"/>
    </row>
    <row r="368">
      <c r="A368" s="156"/>
      <c r="B368" s="156"/>
      <c r="C368" s="156"/>
      <c r="D368" s="156"/>
      <c r="E368" s="156"/>
      <c r="F368" s="156"/>
      <c r="G368" s="156"/>
      <c r="H368" s="156"/>
      <c r="I368" s="156"/>
      <c r="J368" s="156"/>
      <c r="K368" s="156"/>
      <c r="L368" s="156"/>
      <c r="M368" s="156"/>
      <c r="N368" s="156"/>
      <c r="O368" s="156"/>
      <c r="P368" s="156"/>
      <c r="Q368" s="156"/>
      <c r="R368" s="156"/>
      <c r="S368" s="156"/>
      <c r="T368" s="156"/>
      <c r="U368" s="156"/>
      <c r="V368" s="156"/>
      <c r="W368" s="156"/>
      <c r="X368" s="156"/>
      <c r="Y368" s="156"/>
      <c r="Z368" s="156"/>
    </row>
    <row r="369">
      <c r="A369" s="156"/>
      <c r="B369" s="156"/>
      <c r="C369" s="156"/>
      <c r="D369" s="156"/>
      <c r="E369" s="156"/>
      <c r="F369" s="156"/>
      <c r="G369" s="156"/>
      <c r="H369" s="156"/>
      <c r="I369" s="156"/>
      <c r="J369" s="156"/>
      <c r="K369" s="156"/>
      <c r="L369" s="156"/>
      <c r="M369" s="156"/>
      <c r="N369" s="156"/>
      <c r="O369" s="156"/>
      <c r="P369" s="156"/>
      <c r="Q369" s="156"/>
      <c r="R369" s="156"/>
      <c r="S369" s="156"/>
      <c r="T369" s="156"/>
      <c r="U369" s="156"/>
      <c r="V369" s="156"/>
      <c r="W369" s="156"/>
      <c r="X369" s="156"/>
      <c r="Y369" s="156"/>
      <c r="Z369" s="156"/>
    </row>
    <row r="370">
      <c r="A370" s="156"/>
      <c r="B370" s="156"/>
      <c r="C370" s="156"/>
      <c r="D370" s="156"/>
      <c r="E370" s="156"/>
      <c r="F370" s="156"/>
      <c r="G370" s="156"/>
      <c r="H370" s="156"/>
      <c r="I370" s="156"/>
      <c r="J370" s="156"/>
      <c r="K370" s="156"/>
      <c r="L370" s="156"/>
      <c r="M370" s="156"/>
      <c r="N370" s="156"/>
      <c r="O370" s="156"/>
      <c r="P370" s="156"/>
      <c r="Q370" s="156"/>
      <c r="R370" s="156"/>
      <c r="S370" s="156"/>
      <c r="T370" s="156"/>
      <c r="U370" s="156"/>
      <c r="V370" s="156"/>
      <c r="W370" s="156"/>
      <c r="X370" s="156"/>
      <c r="Y370" s="156"/>
      <c r="Z370" s="156"/>
    </row>
    <row r="371">
      <c r="A371" s="156"/>
      <c r="B371" s="156"/>
      <c r="C371" s="156"/>
      <c r="D371" s="156"/>
      <c r="E371" s="156"/>
      <c r="F371" s="156"/>
      <c r="G371" s="156"/>
      <c r="H371" s="156"/>
      <c r="I371" s="156"/>
      <c r="J371" s="156"/>
      <c r="K371" s="156"/>
      <c r="L371" s="156"/>
      <c r="M371" s="156"/>
      <c r="N371" s="156"/>
      <c r="O371" s="156"/>
      <c r="P371" s="156"/>
      <c r="Q371" s="156"/>
      <c r="R371" s="156"/>
      <c r="S371" s="156"/>
      <c r="T371" s="156"/>
      <c r="U371" s="156"/>
      <c r="V371" s="156"/>
      <c r="W371" s="156"/>
      <c r="X371" s="156"/>
      <c r="Y371" s="156"/>
      <c r="Z371" s="156"/>
    </row>
    <row r="372">
      <c r="A372" s="156"/>
      <c r="B372" s="156"/>
      <c r="C372" s="156"/>
      <c r="D372" s="156"/>
      <c r="E372" s="156"/>
      <c r="F372" s="156"/>
      <c r="G372" s="156"/>
      <c r="H372" s="156"/>
      <c r="I372" s="156"/>
      <c r="J372" s="156"/>
      <c r="K372" s="156"/>
      <c r="L372" s="156"/>
      <c r="M372" s="156"/>
      <c r="N372" s="156"/>
      <c r="O372" s="156"/>
      <c r="P372" s="156"/>
      <c r="Q372" s="156"/>
      <c r="R372" s="156"/>
      <c r="S372" s="156"/>
      <c r="T372" s="156"/>
      <c r="U372" s="156"/>
      <c r="V372" s="156"/>
      <c r="W372" s="156"/>
      <c r="X372" s="156"/>
      <c r="Y372" s="156"/>
      <c r="Z372" s="156"/>
    </row>
    <row r="373">
      <c r="A373" s="156"/>
      <c r="B373" s="156"/>
      <c r="C373" s="156"/>
      <c r="D373" s="156"/>
      <c r="E373" s="156"/>
      <c r="F373" s="156"/>
      <c r="G373" s="156"/>
      <c r="H373" s="156"/>
      <c r="I373" s="156"/>
      <c r="J373" s="156"/>
      <c r="K373" s="156"/>
      <c r="L373" s="156"/>
      <c r="M373" s="156"/>
      <c r="N373" s="156"/>
      <c r="O373" s="156"/>
      <c r="P373" s="156"/>
      <c r="Q373" s="156"/>
      <c r="R373" s="156"/>
      <c r="S373" s="156"/>
      <c r="T373" s="156"/>
      <c r="U373" s="156"/>
      <c r="V373" s="156"/>
      <c r="W373" s="156"/>
      <c r="X373" s="156"/>
      <c r="Y373" s="156"/>
      <c r="Z373" s="156"/>
    </row>
    <row r="374">
      <c r="A374" s="156"/>
      <c r="B374" s="156"/>
      <c r="C374" s="156"/>
      <c r="D374" s="156"/>
      <c r="E374" s="156"/>
      <c r="F374" s="156"/>
      <c r="G374" s="156"/>
      <c r="H374" s="156"/>
      <c r="I374" s="156"/>
      <c r="J374" s="156"/>
      <c r="K374" s="156"/>
      <c r="L374" s="156"/>
      <c r="M374" s="156"/>
      <c r="N374" s="156"/>
      <c r="O374" s="156"/>
      <c r="P374" s="156"/>
      <c r="Q374" s="156"/>
      <c r="R374" s="156"/>
      <c r="S374" s="156"/>
      <c r="T374" s="156"/>
      <c r="U374" s="156"/>
      <c r="V374" s="156"/>
      <c r="W374" s="156"/>
      <c r="X374" s="156"/>
      <c r="Y374" s="156"/>
      <c r="Z374" s="156"/>
    </row>
    <row r="375">
      <c r="A375" s="156"/>
      <c r="B375" s="156"/>
      <c r="C375" s="156"/>
      <c r="D375" s="156"/>
      <c r="E375" s="156"/>
      <c r="F375" s="156"/>
      <c r="G375" s="156"/>
      <c r="H375" s="156"/>
      <c r="I375" s="156"/>
      <c r="J375" s="156"/>
      <c r="K375" s="156"/>
      <c r="L375" s="156"/>
      <c r="M375" s="156"/>
      <c r="N375" s="156"/>
      <c r="O375" s="156"/>
      <c r="P375" s="156"/>
      <c r="Q375" s="156"/>
      <c r="R375" s="156"/>
      <c r="S375" s="156"/>
      <c r="T375" s="156"/>
      <c r="U375" s="156"/>
      <c r="V375" s="156"/>
      <c r="W375" s="156"/>
      <c r="X375" s="156"/>
      <c r="Y375" s="156"/>
      <c r="Z375" s="156"/>
    </row>
    <row r="376">
      <c r="A376" s="156"/>
      <c r="B376" s="156"/>
      <c r="C376" s="156"/>
      <c r="D376" s="156"/>
      <c r="E376" s="156"/>
      <c r="F376" s="156"/>
      <c r="G376" s="156"/>
      <c r="H376" s="156"/>
      <c r="I376" s="156"/>
      <c r="J376" s="156"/>
      <c r="K376" s="156"/>
      <c r="L376" s="156"/>
      <c r="M376" s="156"/>
      <c r="N376" s="156"/>
      <c r="O376" s="156"/>
      <c r="P376" s="156"/>
      <c r="Q376" s="156"/>
      <c r="R376" s="156"/>
      <c r="S376" s="156"/>
      <c r="T376" s="156"/>
      <c r="U376" s="156"/>
      <c r="V376" s="156"/>
      <c r="W376" s="156"/>
      <c r="X376" s="156"/>
      <c r="Y376" s="156"/>
      <c r="Z376" s="156"/>
    </row>
    <row r="377">
      <c r="A377" s="156"/>
      <c r="B377" s="156"/>
      <c r="C377" s="156"/>
      <c r="D377" s="156"/>
      <c r="E377" s="156"/>
      <c r="F377" s="156"/>
      <c r="G377" s="156"/>
      <c r="H377" s="156"/>
      <c r="I377" s="156"/>
      <c r="J377" s="156"/>
      <c r="K377" s="156"/>
      <c r="L377" s="156"/>
      <c r="M377" s="156"/>
      <c r="N377" s="156"/>
      <c r="O377" s="156"/>
      <c r="P377" s="156"/>
      <c r="Q377" s="156"/>
      <c r="R377" s="156"/>
      <c r="S377" s="156"/>
      <c r="T377" s="156"/>
      <c r="U377" s="156"/>
      <c r="V377" s="156"/>
      <c r="W377" s="156"/>
      <c r="X377" s="156"/>
      <c r="Y377" s="156"/>
      <c r="Z377" s="156"/>
    </row>
    <row r="378">
      <c r="A378" s="156"/>
      <c r="B378" s="156"/>
      <c r="C378" s="156"/>
      <c r="D378" s="156"/>
      <c r="E378" s="156"/>
      <c r="F378" s="156"/>
      <c r="G378" s="156"/>
      <c r="H378" s="156"/>
      <c r="I378" s="156"/>
      <c r="J378" s="156"/>
      <c r="K378" s="156"/>
      <c r="L378" s="156"/>
      <c r="M378" s="156"/>
      <c r="N378" s="156"/>
      <c r="O378" s="156"/>
      <c r="P378" s="156"/>
      <c r="Q378" s="156"/>
      <c r="R378" s="156"/>
      <c r="S378" s="156"/>
      <c r="T378" s="156"/>
      <c r="U378" s="156"/>
      <c r="V378" s="156"/>
      <c r="W378" s="156"/>
      <c r="X378" s="156"/>
      <c r="Y378" s="156"/>
      <c r="Z378" s="156"/>
    </row>
    <row r="379">
      <c r="A379" s="156"/>
      <c r="B379" s="156"/>
      <c r="C379" s="156"/>
      <c r="D379" s="156"/>
      <c r="E379" s="156"/>
      <c r="F379" s="156"/>
      <c r="G379" s="156"/>
      <c r="H379" s="156"/>
      <c r="I379" s="156"/>
      <c r="J379" s="156"/>
      <c r="K379" s="156"/>
      <c r="L379" s="156"/>
      <c r="M379" s="156"/>
      <c r="N379" s="156"/>
      <c r="O379" s="156"/>
      <c r="P379" s="156"/>
      <c r="Q379" s="156"/>
      <c r="R379" s="156"/>
      <c r="S379" s="156"/>
      <c r="T379" s="156"/>
      <c r="U379" s="156"/>
      <c r="V379" s="156"/>
      <c r="W379" s="156"/>
      <c r="X379" s="156"/>
      <c r="Y379" s="156"/>
      <c r="Z379" s="156"/>
    </row>
    <row r="380">
      <c r="A380" s="156"/>
      <c r="B380" s="156"/>
      <c r="C380" s="156"/>
      <c r="D380" s="156"/>
      <c r="E380" s="156"/>
      <c r="F380" s="156"/>
      <c r="G380" s="156"/>
      <c r="H380" s="156"/>
      <c r="I380" s="156"/>
      <c r="J380" s="156"/>
      <c r="K380" s="156"/>
      <c r="L380" s="156"/>
      <c r="M380" s="156"/>
      <c r="N380" s="156"/>
      <c r="O380" s="156"/>
      <c r="P380" s="156"/>
      <c r="Q380" s="156"/>
      <c r="R380" s="156"/>
      <c r="S380" s="156"/>
      <c r="T380" s="156"/>
      <c r="U380" s="156"/>
      <c r="V380" s="156"/>
      <c r="W380" s="156"/>
      <c r="X380" s="156"/>
      <c r="Y380" s="156"/>
      <c r="Z380" s="156"/>
    </row>
    <row r="381">
      <c r="A381" s="156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</row>
    <row r="382">
      <c r="A382" s="156"/>
      <c r="B382" s="156"/>
      <c r="C382" s="156"/>
      <c r="D382" s="156"/>
      <c r="E382" s="156"/>
      <c r="F382" s="156"/>
      <c r="G382" s="156"/>
      <c r="H382" s="156"/>
      <c r="I382" s="156"/>
      <c r="J382" s="156"/>
      <c r="K382" s="156"/>
      <c r="L382" s="156"/>
      <c r="M382" s="156"/>
      <c r="N382" s="156"/>
      <c r="O382" s="156"/>
      <c r="P382" s="156"/>
      <c r="Q382" s="156"/>
      <c r="R382" s="156"/>
      <c r="S382" s="156"/>
      <c r="T382" s="156"/>
      <c r="U382" s="156"/>
      <c r="V382" s="156"/>
      <c r="W382" s="156"/>
      <c r="X382" s="156"/>
      <c r="Y382" s="156"/>
      <c r="Z382" s="156"/>
    </row>
    <row r="383">
      <c r="A383" s="156"/>
      <c r="B383" s="156"/>
      <c r="C383" s="156"/>
      <c r="D383" s="156"/>
      <c r="E383" s="156"/>
      <c r="F383" s="156"/>
      <c r="G383" s="156"/>
      <c r="H383" s="156"/>
      <c r="I383" s="156"/>
      <c r="J383" s="156"/>
      <c r="K383" s="156"/>
      <c r="L383" s="156"/>
      <c r="M383" s="156"/>
      <c r="N383" s="156"/>
      <c r="O383" s="156"/>
      <c r="P383" s="156"/>
      <c r="Q383" s="156"/>
      <c r="R383" s="156"/>
      <c r="S383" s="156"/>
      <c r="T383" s="156"/>
      <c r="U383" s="156"/>
      <c r="V383" s="156"/>
      <c r="W383" s="156"/>
      <c r="X383" s="156"/>
      <c r="Y383" s="156"/>
      <c r="Z383" s="156"/>
    </row>
    <row r="384">
      <c r="A384" s="156"/>
      <c r="B384" s="156"/>
      <c r="C384" s="156"/>
      <c r="D384" s="156"/>
      <c r="E384" s="156"/>
      <c r="F384" s="156"/>
      <c r="G384" s="156"/>
      <c r="H384" s="156"/>
      <c r="I384" s="156"/>
      <c r="J384" s="156"/>
      <c r="K384" s="156"/>
      <c r="L384" s="156"/>
      <c r="M384" s="156"/>
      <c r="N384" s="156"/>
      <c r="O384" s="156"/>
      <c r="P384" s="156"/>
      <c r="Q384" s="156"/>
      <c r="R384" s="156"/>
      <c r="S384" s="156"/>
      <c r="T384" s="156"/>
      <c r="U384" s="156"/>
      <c r="V384" s="156"/>
      <c r="W384" s="156"/>
      <c r="X384" s="156"/>
      <c r="Y384" s="156"/>
      <c r="Z384" s="156"/>
    </row>
    <row r="385">
      <c r="A385" s="156"/>
      <c r="B385" s="156"/>
      <c r="C385" s="156"/>
      <c r="D385" s="156"/>
      <c r="E385" s="156"/>
      <c r="F385" s="156"/>
      <c r="G385" s="156"/>
      <c r="H385" s="156"/>
      <c r="I385" s="156"/>
      <c r="J385" s="156"/>
      <c r="K385" s="156"/>
      <c r="L385" s="156"/>
      <c r="M385" s="156"/>
      <c r="N385" s="156"/>
      <c r="O385" s="156"/>
      <c r="P385" s="156"/>
      <c r="Q385" s="156"/>
      <c r="R385" s="156"/>
      <c r="S385" s="156"/>
      <c r="T385" s="156"/>
      <c r="U385" s="156"/>
      <c r="V385" s="156"/>
      <c r="W385" s="156"/>
      <c r="X385" s="156"/>
      <c r="Y385" s="156"/>
      <c r="Z385" s="156"/>
    </row>
    <row r="386">
      <c r="A386" s="156"/>
      <c r="B386" s="156"/>
      <c r="C386" s="156"/>
      <c r="D386" s="156"/>
      <c r="E386" s="156"/>
      <c r="F386" s="156"/>
      <c r="G386" s="156"/>
      <c r="H386" s="156"/>
      <c r="I386" s="156"/>
      <c r="J386" s="156"/>
      <c r="K386" s="156"/>
      <c r="L386" s="156"/>
      <c r="M386" s="156"/>
      <c r="N386" s="156"/>
      <c r="O386" s="156"/>
      <c r="P386" s="156"/>
      <c r="Q386" s="156"/>
      <c r="R386" s="156"/>
      <c r="S386" s="156"/>
      <c r="T386" s="156"/>
      <c r="U386" s="156"/>
      <c r="V386" s="156"/>
      <c r="W386" s="156"/>
      <c r="X386" s="156"/>
      <c r="Y386" s="156"/>
      <c r="Z386" s="156"/>
    </row>
    <row r="387">
      <c r="A387" s="156"/>
      <c r="B387" s="156"/>
      <c r="C387" s="156"/>
      <c r="D387" s="156"/>
      <c r="E387" s="156"/>
      <c r="F387" s="156"/>
      <c r="G387" s="156"/>
      <c r="H387" s="156"/>
      <c r="I387" s="156"/>
      <c r="J387" s="156"/>
      <c r="K387" s="156"/>
      <c r="L387" s="156"/>
      <c r="M387" s="156"/>
      <c r="N387" s="156"/>
      <c r="O387" s="156"/>
      <c r="P387" s="156"/>
      <c r="Q387" s="156"/>
      <c r="R387" s="156"/>
      <c r="S387" s="156"/>
      <c r="T387" s="156"/>
      <c r="U387" s="156"/>
      <c r="V387" s="156"/>
      <c r="W387" s="156"/>
      <c r="X387" s="156"/>
      <c r="Y387" s="156"/>
      <c r="Z387" s="156"/>
    </row>
    <row r="388">
      <c r="A388" s="156"/>
      <c r="B388" s="156"/>
      <c r="C388" s="156"/>
      <c r="D388" s="156"/>
      <c r="E388" s="156"/>
      <c r="F388" s="156"/>
      <c r="G388" s="156"/>
      <c r="H388" s="156"/>
      <c r="I388" s="156"/>
      <c r="J388" s="156"/>
      <c r="K388" s="156"/>
      <c r="L388" s="156"/>
      <c r="M388" s="156"/>
      <c r="N388" s="156"/>
      <c r="O388" s="156"/>
      <c r="P388" s="156"/>
      <c r="Q388" s="156"/>
      <c r="R388" s="156"/>
      <c r="S388" s="156"/>
      <c r="T388" s="156"/>
      <c r="U388" s="156"/>
      <c r="V388" s="156"/>
      <c r="W388" s="156"/>
      <c r="X388" s="156"/>
      <c r="Y388" s="156"/>
      <c r="Z388" s="156"/>
    </row>
    <row r="389">
      <c r="A389" s="156"/>
      <c r="B389" s="156"/>
      <c r="C389" s="156"/>
      <c r="D389" s="156"/>
      <c r="E389" s="156"/>
      <c r="F389" s="156"/>
      <c r="G389" s="156"/>
      <c r="H389" s="156"/>
      <c r="I389" s="156"/>
      <c r="J389" s="156"/>
      <c r="K389" s="156"/>
      <c r="L389" s="156"/>
      <c r="M389" s="156"/>
      <c r="N389" s="156"/>
      <c r="O389" s="156"/>
      <c r="P389" s="156"/>
      <c r="Q389" s="156"/>
      <c r="R389" s="156"/>
      <c r="S389" s="156"/>
      <c r="T389" s="156"/>
      <c r="U389" s="156"/>
      <c r="V389" s="156"/>
      <c r="W389" s="156"/>
      <c r="X389" s="156"/>
      <c r="Y389" s="156"/>
      <c r="Z389" s="156"/>
    </row>
    <row r="390">
      <c r="A390" s="156"/>
      <c r="B390" s="156"/>
      <c r="C390" s="156"/>
      <c r="D390" s="156"/>
      <c r="E390" s="156"/>
      <c r="F390" s="156"/>
      <c r="G390" s="156"/>
      <c r="H390" s="156"/>
      <c r="I390" s="156"/>
      <c r="J390" s="156"/>
      <c r="K390" s="156"/>
      <c r="L390" s="156"/>
      <c r="M390" s="156"/>
      <c r="N390" s="156"/>
      <c r="O390" s="156"/>
      <c r="P390" s="156"/>
      <c r="Q390" s="156"/>
      <c r="R390" s="156"/>
      <c r="S390" s="156"/>
      <c r="T390" s="156"/>
      <c r="U390" s="156"/>
      <c r="V390" s="156"/>
      <c r="W390" s="156"/>
      <c r="X390" s="156"/>
      <c r="Y390" s="156"/>
      <c r="Z390" s="156"/>
    </row>
    <row r="391">
      <c r="A391" s="156"/>
      <c r="B391" s="156"/>
      <c r="C391" s="156"/>
      <c r="D391" s="156"/>
      <c r="E391" s="156"/>
      <c r="F391" s="156"/>
      <c r="G391" s="156"/>
      <c r="H391" s="156"/>
      <c r="I391" s="156"/>
      <c r="J391" s="156"/>
      <c r="K391" s="156"/>
      <c r="L391" s="156"/>
      <c r="M391" s="156"/>
      <c r="N391" s="156"/>
      <c r="O391" s="156"/>
      <c r="P391" s="156"/>
      <c r="Q391" s="156"/>
      <c r="R391" s="156"/>
      <c r="S391" s="156"/>
      <c r="T391" s="156"/>
      <c r="U391" s="156"/>
      <c r="V391" s="156"/>
      <c r="W391" s="156"/>
      <c r="X391" s="156"/>
      <c r="Y391" s="156"/>
      <c r="Z391" s="156"/>
    </row>
    <row r="392">
      <c r="A392" s="156"/>
      <c r="B392" s="156"/>
      <c r="C392" s="156"/>
      <c r="D392" s="156"/>
      <c r="E392" s="156"/>
      <c r="F392" s="156"/>
      <c r="G392" s="156"/>
      <c r="H392" s="156"/>
      <c r="I392" s="156"/>
      <c r="J392" s="156"/>
      <c r="K392" s="156"/>
      <c r="L392" s="156"/>
      <c r="M392" s="156"/>
      <c r="N392" s="156"/>
      <c r="O392" s="156"/>
      <c r="P392" s="156"/>
      <c r="Q392" s="156"/>
      <c r="R392" s="156"/>
      <c r="S392" s="156"/>
      <c r="T392" s="156"/>
      <c r="U392" s="156"/>
      <c r="V392" s="156"/>
      <c r="W392" s="156"/>
      <c r="X392" s="156"/>
      <c r="Y392" s="156"/>
      <c r="Z392" s="156"/>
    </row>
    <row r="393">
      <c r="A393" s="156"/>
      <c r="B393" s="156"/>
      <c r="C393" s="156"/>
      <c r="D393" s="156"/>
      <c r="E393" s="156"/>
      <c r="F393" s="156"/>
      <c r="G393" s="156"/>
      <c r="H393" s="156"/>
      <c r="I393" s="156"/>
      <c r="J393" s="156"/>
      <c r="K393" s="156"/>
      <c r="L393" s="156"/>
      <c r="M393" s="156"/>
      <c r="N393" s="156"/>
      <c r="O393" s="156"/>
      <c r="P393" s="156"/>
      <c r="Q393" s="156"/>
      <c r="R393" s="156"/>
      <c r="S393" s="156"/>
      <c r="T393" s="156"/>
      <c r="U393" s="156"/>
      <c r="V393" s="156"/>
      <c r="W393" s="156"/>
      <c r="X393" s="156"/>
      <c r="Y393" s="156"/>
      <c r="Z393" s="156"/>
    </row>
    <row r="394">
      <c r="A394" s="156"/>
      <c r="B394" s="156"/>
      <c r="C394" s="156"/>
      <c r="D394" s="156"/>
      <c r="E394" s="156"/>
      <c r="F394" s="156"/>
      <c r="G394" s="156"/>
      <c r="H394" s="156"/>
      <c r="I394" s="156"/>
      <c r="J394" s="156"/>
      <c r="K394" s="156"/>
      <c r="L394" s="156"/>
      <c r="M394" s="156"/>
      <c r="N394" s="156"/>
      <c r="O394" s="156"/>
      <c r="P394" s="156"/>
      <c r="Q394" s="156"/>
      <c r="R394" s="156"/>
      <c r="S394" s="156"/>
      <c r="T394" s="156"/>
      <c r="U394" s="156"/>
      <c r="V394" s="156"/>
      <c r="W394" s="156"/>
      <c r="X394" s="156"/>
      <c r="Y394" s="156"/>
      <c r="Z394" s="156"/>
    </row>
    <row r="395">
      <c r="A395" s="156"/>
      <c r="B395" s="156"/>
      <c r="C395" s="156"/>
      <c r="D395" s="156"/>
      <c r="E395" s="156"/>
      <c r="F395" s="156"/>
      <c r="G395" s="156"/>
      <c r="H395" s="156"/>
      <c r="I395" s="156"/>
      <c r="J395" s="156"/>
      <c r="K395" s="156"/>
      <c r="L395" s="156"/>
      <c r="M395" s="156"/>
      <c r="N395" s="156"/>
      <c r="O395" s="156"/>
      <c r="P395" s="156"/>
      <c r="Q395" s="156"/>
      <c r="R395" s="156"/>
      <c r="S395" s="156"/>
      <c r="T395" s="156"/>
      <c r="U395" s="156"/>
      <c r="V395" s="156"/>
      <c r="W395" s="156"/>
      <c r="X395" s="156"/>
      <c r="Y395" s="156"/>
      <c r="Z395" s="156"/>
    </row>
    <row r="396">
      <c r="A396" s="156"/>
      <c r="B396" s="156"/>
      <c r="C396" s="156"/>
      <c r="D396" s="156"/>
      <c r="E396" s="156"/>
      <c r="F396" s="156"/>
      <c r="G396" s="156"/>
      <c r="H396" s="156"/>
      <c r="I396" s="156"/>
      <c r="J396" s="156"/>
      <c r="K396" s="156"/>
      <c r="L396" s="156"/>
      <c r="M396" s="156"/>
      <c r="N396" s="156"/>
      <c r="O396" s="156"/>
      <c r="P396" s="156"/>
      <c r="Q396" s="156"/>
      <c r="R396" s="156"/>
      <c r="S396" s="156"/>
      <c r="T396" s="156"/>
      <c r="U396" s="156"/>
      <c r="V396" s="156"/>
      <c r="W396" s="156"/>
      <c r="X396" s="156"/>
      <c r="Y396" s="156"/>
      <c r="Z396" s="156"/>
    </row>
    <row r="397">
      <c r="A397" s="156"/>
      <c r="B397" s="156"/>
      <c r="C397" s="156"/>
      <c r="D397" s="156"/>
      <c r="E397" s="156"/>
      <c r="F397" s="156"/>
      <c r="G397" s="156"/>
      <c r="H397" s="156"/>
      <c r="I397" s="156"/>
      <c r="J397" s="156"/>
      <c r="K397" s="156"/>
      <c r="L397" s="156"/>
      <c r="M397" s="156"/>
      <c r="N397" s="156"/>
      <c r="O397" s="156"/>
      <c r="P397" s="156"/>
      <c r="Q397" s="156"/>
      <c r="R397" s="156"/>
      <c r="S397" s="156"/>
      <c r="T397" s="156"/>
      <c r="U397" s="156"/>
      <c r="V397" s="156"/>
      <c r="W397" s="156"/>
      <c r="X397" s="156"/>
      <c r="Y397" s="156"/>
      <c r="Z397" s="156"/>
    </row>
    <row r="398">
      <c r="A398" s="156"/>
      <c r="B398" s="156"/>
      <c r="C398" s="156"/>
      <c r="D398" s="156"/>
      <c r="E398" s="156"/>
      <c r="F398" s="156"/>
      <c r="G398" s="156"/>
      <c r="H398" s="156"/>
      <c r="I398" s="156"/>
      <c r="J398" s="156"/>
      <c r="K398" s="156"/>
      <c r="L398" s="156"/>
      <c r="M398" s="156"/>
      <c r="N398" s="156"/>
      <c r="O398" s="156"/>
      <c r="P398" s="156"/>
      <c r="Q398" s="156"/>
      <c r="R398" s="156"/>
      <c r="S398" s="156"/>
      <c r="T398" s="156"/>
      <c r="U398" s="156"/>
      <c r="V398" s="156"/>
      <c r="W398" s="156"/>
      <c r="X398" s="156"/>
      <c r="Y398" s="156"/>
      <c r="Z398" s="156"/>
    </row>
    <row r="399">
      <c r="A399" s="156"/>
      <c r="B399" s="156"/>
      <c r="C399" s="156"/>
      <c r="D399" s="156"/>
      <c r="E399" s="156"/>
      <c r="F399" s="156"/>
      <c r="G399" s="156"/>
      <c r="H399" s="156"/>
      <c r="I399" s="156"/>
      <c r="J399" s="156"/>
      <c r="K399" s="156"/>
      <c r="L399" s="156"/>
      <c r="M399" s="156"/>
      <c r="N399" s="156"/>
      <c r="O399" s="156"/>
      <c r="P399" s="156"/>
      <c r="Q399" s="156"/>
      <c r="R399" s="156"/>
      <c r="S399" s="156"/>
      <c r="T399" s="156"/>
      <c r="U399" s="156"/>
      <c r="V399" s="156"/>
      <c r="W399" s="156"/>
      <c r="X399" s="156"/>
      <c r="Y399" s="156"/>
      <c r="Z399" s="156"/>
    </row>
    <row r="400">
      <c r="A400" s="156"/>
      <c r="B400" s="156"/>
      <c r="C400" s="156"/>
      <c r="D400" s="156"/>
      <c r="E400" s="156"/>
      <c r="F400" s="156"/>
      <c r="G400" s="156"/>
      <c r="H400" s="156"/>
      <c r="I400" s="156"/>
      <c r="J400" s="156"/>
      <c r="K400" s="156"/>
      <c r="L400" s="156"/>
      <c r="M400" s="156"/>
      <c r="N400" s="156"/>
      <c r="O400" s="156"/>
      <c r="P400" s="156"/>
      <c r="Q400" s="156"/>
      <c r="R400" s="156"/>
      <c r="S400" s="156"/>
      <c r="T400" s="156"/>
      <c r="U400" s="156"/>
      <c r="V400" s="156"/>
      <c r="W400" s="156"/>
      <c r="X400" s="156"/>
      <c r="Y400" s="156"/>
      <c r="Z400" s="156"/>
    </row>
    <row r="401">
      <c r="A401" s="156"/>
      <c r="B401" s="156"/>
      <c r="C401" s="156"/>
      <c r="D401" s="156"/>
      <c r="E401" s="156"/>
      <c r="F401" s="156"/>
      <c r="G401" s="156"/>
      <c r="H401" s="156"/>
      <c r="I401" s="156"/>
      <c r="J401" s="156"/>
      <c r="K401" s="156"/>
      <c r="L401" s="156"/>
      <c r="M401" s="156"/>
      <c r="N401" s="156"/>
      <c r="O401" s="156"/>
      <c r="P401" s="156"/>
      <c r="Q401" s="156"/>
      <c r="R401" s="156"/>
      <c r="S401" s="156"/>
      <c r="T401" s="156"/>
      <c r="U401" s="156"/>
      <c r="V401" s="156"/>
      <c r="W401" s="156"/>
      <c r="X401" s="156"/>
      <c r="Y401" s="156"/>
      <c r="Z401" s="156"/>
    </row>
    <row r="402">
      <c r="A402" s="156"/>
      <c r="B402" s="156"/>
      <c r="C402" s="156"/>
      <c r="D402" s="156"/>
      <c r="E402" s="156"/>
      <c r="F402" s="156"/>
      <c r="G402" s="156"/>
      <c r="H402" s="156"/>
      <c r="I402" s="156"/>
      <c r="J402" s="156"/>
      <c r="K402" s="156"/>
      <c r="L402" s="156"/>
      <c r="M402" s="156"/>
      <c r="N402" s="156"/>
      <c r="O402" s="156"/>
      <c r="P402" s="156"/>
      <c r="Q402" s="156"/>
      <c r="R402" s="156"/>
      <c r="S402" s="156"/>
      <c r="T402" s="156"/>
      <c r="U402" s="156"/>
      <c r="V402" s="156"/>
      <c r="W402" s="156"/>
      <c r="X402" s="156"/>
      <c r="Y402" s="156"/>
      <c r="Z402" s="156"/>
    </row>
    <row r="403">
      <c r="A403" s="156"/>
      <c r="B403" s="156"/>
      <c r="C403" s="156"/>
      <c r="D403" s="156"/>
      <c r="E403" s="156"/>
      <c r="F403" s="156"/>
      <c r="G403" s="156"/>
      <c r="H403" s="156"/>
      <c r="I403" s="156"/>
      <c r="J403" s="156"/>
      <c r="K403" s="156"/>
      <c r="L403" s="156"/>
      <c r="M403" s="156"/>
      <c r="N403" s="156"/>
      <c r="O403" s="156"/>
      <c r="P403" s="156"/>
      <c r="Q403" s="156"/>
      <c r="R403" s="156"/>
      <c r="S403" s="156"/>
      <c r="T403" s="156"/>
      <c r="U403" s="156"/>
      <c r="V403" s="156"/>
      <c r="W403" s="156"/>
      <c r="X403" s="156"/>
      <c r="Y403" s="156"/>
      <c r="Z403" s="156"/>
    </row>
    <row r="404">
      <c r="A404" s="156"/>
      <c r="B404" s="156"/>
      <c r="C404" s="156"/>
      <c r="D404" s="156"/>
      <c r="E404" s="156"/>
      <c r="F404" s="156"/>
      <c r="G404" s="156"/>
      <c r="H404" s="156"/>
      <c r="I404" s="156"/>
      <c r="J404" s="156"/>
      <c r="K404" s="156"/>
      <c r="L404" s="156"/>
      <c r="M404" s="156"/>
      <c r="N404" s="156"/>
      <c r="O404" s="156"/>
      <c r="P404" s="156"/>
      <c r="Q404" s="156"/>
      <c r="R404" s="156"/>
      <c r="S404" s="156"/>
      <c r="T404" s="156"/>
      <c r="U404" s="156"/>
      <c r="V404" s="156"/>
      <c r="W404" s="156"/>
      <c r="X404" s="156"/>
      <c r="Y404" s="156"/>
      <c r="Z404" s="156"/>
    </row>
    <row r="405">
      <c r="A405" s="156"/>
      <c r="B405" s="156"/>
      <c r="C405" s="156"/>
      <c r="D405" s="156"/>
      <c r="E405" s="156"/>
      <c r="F405" s="156"/>
      <c r="G405" s="156"/>
      <c r="H405" s="156"/>
      <c r="I405" s="156"/>
      <c r="J405" s="156"/>
      <c r="K405" s="156"/>
      <c r="L405" s="156"/>
      <c r="M405" s="156"/>
      <c r="N405" s="156"/>
      <c r="O405" s="156"/>
      <c r="P405" s="156"/>
      <c r="Q405" s="156"/>
      <c r="R405" s="156"/>
      <c r="S405" s="156"/>
      <c r="T405" s="156"/>
      <c r="U405" s="156"/>
      <c r="V405" s="156"/>
      <c r="W405" s="156"/>
      <c r="X405" s="156"/>
      <c r="Y405" s="156"/>
      <c r="Z405" s="156"/>
    </row>
    <row r="406">
      <c r="A406" s="156"/>
      <c r="B406" s="156"/>
      <c r="C406" s="156"/>
      <c r="D406" s="156"/>
      <c r="E406" s="156"/>
      <c r="F406" s="156"/>
      <c r="G406" s="156"/>
      <c r="H406" s="156"/>
      <c r="I406" s="156"/>
      <c r="J406" s="156"/>
      <c r="K406" s="156"/>
      <c r="L406" s="156"/>
      <c r="M406" s="156"/>
      <c r="N406" s="156"/>
      <c r="O406" s="156"/>
      <c r="P406" s="156"/>
      <c r="Q406" s="156"/>
      <c r="R406" s="156"/>
      <c r="S406" s="156"/>
      <c r="T406" s="156"/>
      <c r="U406" s="156"/>
      <c r="V406" s="156"/>
      <c r="W406" s="156"/>
      <c r="X406" s="156"/>
      <c r="Y406" s="156"/>
      <c r="Z406" s="156"/>
    </row>
    <row r="407">
      <c r="A407" s="156"/>
      <c r="B407" s="156"/>
      <c r="C407" s="156"/>
      <c r="D407" s="156"/>
      <c r="E407" s="156"/>
      <c r="F407" s="156"/>
      <c r="G407" s="156"/>
      <c r="H407" s="156"/>
      <c r="I407" s="156"/>
      <c r="J407" s="156"/>
      <c r="K407" s="156"/>
      <c r="L407" s="156"/>
      <c r="M407" s="156"/>
      <c r="N407" s="156"/>
      <c r="O407" s="156"/>
      <c r="P407" s="156"/>
      <c r="Q407" s="156"/>
      <c r="R407" s="156"/>
      <c r="S407" s="156"/>
      <c r="T407" s="156"/>
      <c r="U407" s="156"/>
      <c r="V407" s="156"/>
      <c r="W407" s="156"/>
      <c r="X407" s="156"/>
      <c r="Y407" s="156"/>
      <c r="Z407" s="156"/>
    </row>
    <row r="408">
      <c r="A408" s="156"/>
      <c r="B408" s="156"/>
      <c r="C408" s="156"/>
      <c r="D408" s="156"/>
      <c r="E408" s="156"/>
      <c r="F408" s="156"/>
      <c r="G408" s="156"/>
      <c r="H408" s="156"/>
      <c r="I408" s="156"/>
      <c r="J408" s="156"/>
      <c r="K408" s="156"/>
      <c r="L408" s="156"/>
      <c r="M408" s="156"/>
      <c r="N408" s="156"/>
      <c r="O408" s="156"/>
      <c r="P408" s="156"/>
      <c r="Q408" s="156"/>
      <c r="R408" s="156"/>
      <c r="S408" s="156"/>
      <c r="T408" s="156"/>
      <c r="U408" s="156"/>
      <c r="V408" s="156"/>
      <c r="W408" s="156"/>
      <c r="X408" s="156"/>
      <c r="Y408" s="156"/>
      <c r="Z408" s="156"/>
    </row>
    <row r="409">
      <c r="A409" s="156"/>
      <c r="B409" s="156"/>
      <c r="C409" s="156"/>
      <c r="D409" s="156"/>
      <c r="E409" s="156"/>
      <c r="F409" s="156"/>
      <c r="G409" s="156"/>
      <c r="H409" s="156"/>
      <c r="I409" s="156"/>
      <c r="J409" s="156"/>
      <c r="K409" s="156"/>
      <c r="L409" s="156"/>
      <c r="M409" s="156"/>
      <c r="N409" s="156"/>
      <c r="O409" s="156"/>
      <c r="P409" s="156"/>
      <c r="Q409" s="156"/>
      <c r="R409" s="156"/>
      <c r="S409" s="156"/>
      <c r="T409" s="156"/>
      <c r="U409" s="156"/>
      <c r="V409" s="156"/>
      <c r="W409" s="156"/>
      <c r="X409" s="156"/>
      <c r="Y409" s="156"/>
      <c r="Z409" s="156"/>
    </row>
    <row r="410">
      <c r="A410" s="156"/>
      <c r="B410" s="156"/>
      <c r="C410" s="156"/>
      <c r="D410" s="156"/>
      <c r="E410" s="156"/>
      <c r="F410" s="156"/>
      <c r="G410" s="156"/>
      <c r="H410" s="156"/>
      <c r="I410" s="156"/>
      <c r="J410" s="156"/>
      <c r="K410" s="156"/>
      <c r="L410" s="156"/>
      <c r="M410" s="156"/>
      <c r="N410" s="156"/>
      <c r="O410" s="156"/>
      <c r="P410" s="156"/>
      <c r="Q410" s="156"/>
      <c r="R410" s="156"/>
      <c r="S410" s="156"/>
      <c r="T410" s="156"/>
      <c r="U410" s="156"/>
      <c r="V410" s="156"/>
      <c r="W410" s="156"/>
      <c r="X410" s="156"/>
      <c r="Y410" s="156"/>
      <c r="Z410" s="156"/>
    </row>
    <row r="411">
      <c r="A411" s="156"/>
      <c r="B411" s="156"/>
      <c r="C411" s="156"/>
      <c r="D411" s="156"/>
      <c r="E411" s="156"/>
      <c r="F411" s="156"/>
      <c r="G411" s="156"/>
      <c r="H411" s="156"/>
      <c r="I411" s="156"/>
      <c r="J411" s="156"/>
      <c r="K411" s="156"/>
      <c r="L411" s="156"/>
      <c r="M411" s="156"/>
      <c r="N411" s="156"/>
      <c r="O411" s="156"/>
      <c r="P411" s="156"/>
      <c r="Q411" s="156"/>
      <c r="R411" s="156"/>
      <c r="S411" s="156"/>
      <c r="T411" s="156"/>
      <c r="U411" s="156"/>
      <c r="V411" s="156"/>
      <c r="W411" s="156"/>
      <c r="X411" s="156"/>
      <c r="Y411" s="156"/>
      <c r="Z411" s="156"/>
    </row>
    <row r="412">
      <c r="A412" s="156"/>
      <c r="B412" s="156"/>
      <c r="C412" s="156"/>
      <c r="D412" s="156"/>
      <c r="E412" s="156"/>
      <c r="F412" s="156"/>
      <c r="G412" s="156"/>
      <c r="H412" s="156"/>
      <c r="I412" s="156"/>
      <c r="J412" s="156"/>
      <c r="K412" s="156"/>
      <c r="L412" s="156"/>
      <c r="M412" s="156"/>
      <c r="N412" s="156"/>
      <c r="O412" s="156"/>
      <c r="P412" s="156"/>
      <c r="Q412" s="156"/>
      <c r="R412" s="156"/>
      <c r="S412" s="156"/>
      <c r="T412" s="156"/>
      <c r="U412" s="156"/>
      <c r="V412" s="156"/>
      <c r="W412" s="156"/>
      <c r="X412" s="156"/>
      <c r="Y412" s="156"/>
      <c r="Z412" s="156"/>
    </row>
    <row r="413">
      <c r="A413" s="156"/>
      <c r="B413" s="156"/>
      <c r="C413" s="156"/>
      <c r="D413" s="156"/>
      <c r="E413" s="156"/>
      <c r="F413" s="156"/>
      <c r="G413" s="156"/>
      <c r="H413" s="156"/>
      <c r="I413" s="156"/>
      <c r="J413" s="156"/>
      <c r="K413" s="156"/>
      <c r="L413" s="156"/>
      <c r="M413" s="156"/>
      <c r="N413" s="156"/>
      <c r="O413" s="156"/>
      <c r="P413" s="156"/>
      <c r="Q413" s="156"/>
      <c r="R413" s="156"/>
      <c r="S413" s="156"/>
      <c r="T413" s="156"/>
      <c r="U413" s="156"/>
      <c r="V413" s="156"/>
      <c r="W413" s="156"/>
      <c r="X413" s="156"/>
      <c r="Y413" s="156"/>
      <c r="Z413" s="156"/>
    </row>
    <row r="414">
      <c r="A414" s="156"/>
      <c r="B414" s="156"/>
      <c r="C414" s="156"/>
      <c r="D414" s="156"/>
      <c r="E414" s="156"/>
      <c r="F414" s="156"/>
      <c r="G414" s="156"/>
      <c r="H414" s="156"/>
      <c r="I414" s="156"/>
      <c r="J414" s="156"/>
      <c r="K414" s="156"/>
      <c r="L414" s="156"/>
      <c r="M414" s="156"/>
      <c r="N414" s="156"/>
      <c r="O414" s="156"/>
      <c r="P414" s="156"/>
      <c r="Q414" s="156"/>
      <c r="R414" s="156"/>
      <c r="S414" s="156"/>
      <c r="T414" s="156"/>
      <c r="U414" s="156"/>
      <c r="V414" s="156"/>
      <c r="W414" s="156"/>
      <c r="X414" s="156"/>
      <c r="Y414" s="156"/>
      <c r="Z414" s="156"/>
    </row>
    <row r="415">
      <c r="A415" s="156"/>
      <c r="B415" s="156"/>
      <c r="C415" s="156"/>
      <c r="D415" s="156"/>
      <c r="E415" s="156"/>
      <c r="F415" s="156"/>
      <c r="G415" s="156"/>
      <c r="H415" s="156"/>
      <c r="I415" s="156"/>
      <c r="J415" s="156"/>
      <c r="K415" s="156"/>
      <c r="L415" s="156"/>
      <c r="M415" s="156"/>
      <c r="N415" s="156"/>
      <c r="O415" s="156"/>
      <c r="P415" s="156"/>
      <c r="Q415" s="156"/>
      <c r="R415" s="156"/>
      <c r="S415" s="156"/>
      <c r="T415" s="156"/>
      <c r="U415" s="156"/>
      <c r="V415" s="156"/>
      <c r="W415" s="156"/>
      <c r="X415" s="156"/>
      <c r="Y415" s="156"/>
      <c r="Z415" s="156"/>
    </row>
    <row r="416">
      <c r="A416" s="156"/>
      <c r="B416" s="156"/>
      <c r="C416" s="156"/>
      <c r="D416" s="156"/>
      <c r="E416" s="156"/>
      <c r="F416" s="156"/>
      <c r="G416" s="156"/>
      <c r="H416" s="156"/>
      <c r="I416" s="156"/>
      <c r="J416" s="156"/>
      <c r="K416" s="156"/>
      <c r="L416" s="156"/>
      <c r="M416" s="156"/>
      <c r="N416" s="156"/>
      <c r="O416" s="156"/>
      <c r="P416" s="156"/>
      <c r="Q416" s="156"/>
      <c r="R416" s="156"/>
      <c r="S416" s="156"/>
      <c r="T416" s="156"/>
      <c r="U416" s="156"/>
      <c r="V416" s="156"/>
      <c r="W416" s="156"/>
      <c r="X416" s="156"/>
      <c r="Y416" s="156"/>
      <c r="Z416" s="156"/>
    </row>
    <row r="417">
      <c r="A417" s="156"/>
      <c r="B417" s="156"/>
      <c r="C417" s="156"/>
      <c r="D417" s="156"/>
      <c r="E417" s="156"/>
      <c r="F417" s="156"/>
      <c r="G417" s="156"/>
      <c r="H417" s="156"/>
      <c r="I417" s="156"/>
      <c r="J417" s="156"/>
      <c r="K417" s="156"/>
      <c r="L417" s="156"/>
      <c r="M417" s="156"/>
      <c r="N417" s="156"/>
      <c r="O417" s="156"/>
      <c r="P417" s="156"/>
      <c r="Q417" s="156"/>
      <c r="R417" s="156"/>
      <c r="S417" s="156"/>
      <c r="T417" s="156"/>
      <c r="U417" s="156"/>
      <c r="V417" s="156"/>
      <c r="W417" s="156"/>
      <c r="X417" s="156"/>
      <c r="Y417" s="156"/>
      <c r="Z417" s="156"/>
    </row>
    <row r="418">
      <c r="A418" s="156"/>
      <c r="B418" s="156"/>
      <c r="C418" s="156"/>
      <c r="D418" s="156"/>
      <c r="E418" s="156"/>
      <c r="F418" s="156"/>
      <c r="G418" s="156"/>
      <c r="H418" s="156"/>
      <c r="I418" s="156"/>
      <c r="J418" s="156"/>
      <c r="K418" s="156"/>
      <c r="L418" s="156"/>
      <c r="M418" s="156"/>
      <c r="N418" s="156"/>
      <c r="O418" s="156"/>
      <c r="P418" s="156"/>
      <c r="Q418" s="156"/>
      <c r="R418" s="156"/>
      <c r="S418" s="156"/>
      <c r="T418" s="156"/>
      <c r="U418" s="156"/>
      <c r="V418" s="156"/>
      <c r="W418" s="156"/>
      <c r="X418" s="156"/>
      <c r="Y418" s="156"/>
      <c r="Z418" s="156"/>
    </row>
    <row r="419">
      <c r="A419" s="156"/>
      <c r="B419" s="156"/>
      <c r="C419" s="156"/>
      <c r="D419" s="156"/>
      <c r="E419" s="156"/>
      <c r="F419" s="156"/>
      <c r="G419" s="156"/>
      <c r="H419" s="156"/>
      <c r="I419" s="156"/>
      <c r="J419" s="156"/>
      <c r="K419" s="156"/>
      <c r="L419" s="156"/>
      <c r="M419" s="156"/>
      <c r="N419" s="156"/>
      <c r="O419" s="156"/>
      <c r="P419" s="156"/>
      <c r="Q419" s="156"/>
      <c r="R419" s="156"/>
      <c r="S419" s="156"/>
      <c r="T419" s="156"/>
      <c r="U419" s="156"/>
      <c r="V419" s="156"/>
      <c r="W419" s="156"/>
      <c r="X419" s="156"/>
      <c r="Y419" s="156"/>
      <c r="Z419" s="156"/>
    </row>
    <row r="420">
      <c r="A420" s="156"/>
      <c r="B420" s="156"/>
      <c r="C420" s="156"/>
      <c r="D420" s="156"/>
      <c r="E420" s="156"/>
      <c r="F420" s="156"/>
      <c r="G420" s="156"/>
      <c r="H420" s="156"/>
      <c r="I420" s="156"/>
      <c r="J420" s="156"/>
      <c r="K420" s="156"/>
      <c r="L420" s="156"/>
      <c r="M420" s="156"/>
      <c r="N420" s="156"/>
      <c r="O420" s="156"/>
      <c r="P420" s="156"/>
      <c r="Q420" s="156"/>
      <c r="R420" s="156"/>
      <c r="S420" s="156"/>
      <c r="T420" s="156"/>
      <c r="U420" s="156"/>
      <c r="V420" s="156"/>
      <c r="W420" s="156"/>
      <c r="X420" s="156"/>
      <c r="Y420" s="156"/>
      <c r="Z420" s="156"/>
    </row>
    <row r="421">
      <c r="A421" s="156"/>
      <c r="B421" s="156"/>
      <c r="C421" s="156"/>
      <c r="D421" s="156"/>
      <c r="E421" s="156"/>
      <c r="F421" s="156"/>
      <c r="G421" s="156"/>
      <c r="H421" s="156"/>
      <c r="I421" s="156"/>
      <c r="J421" s="156"/>
      <c r="K421" s="156"/>
      <c r="L421" s="156"/>
      <c r="M421" s="156"/>
      <c r="N421" s="156"/>
      <c r="O421" s="156"/>
      <c r="P421" s="156"/>
      <c r="Q421" s="156"/>
      <c r="R421" s="156"/>
      <c r="S421" s="156"/>
      <c r="T421" s="156"/>
      <c r="U421" s="156"/>
      <c r="V421" s="156"/>
      <c r="W421" s="156"/>
      <c r="X421" s="156"/>
      <c r="Y421" s="156"/>
      <c r="Z421" s="156"/>
    </row>
    <row r="422">
      <c r="A422" s="156"/>
      <c r="B422" s="156"/>
      <c r="C422" s="156"/>
      <c r="D422" s="156"/>
      <c r="E422" s="156"/>
      <c r="F422" s="156"/>
      <c r="G422" s="156"/>
      <c r="H422" s="156"/>
      <c r="I422" s="156"/>
      <c r="J422" s="156"/>
      <c r="K422" s="156"/>
      <c r="L422" s="156"/>
      <c r="M422" s="156"/>
      <c r="N422" s="156"/>
      <c r="O422" s="156"/>
      <c r="P422" s="156"/>
      <c r="Q422" s="156"/>
      <c r="R422" s="156"/>
      <c r="S422" s="156"/>
      <c r="T422" s="156"/>
      <c r="U422" s="156"/>
      <c r="V422" s="156"/>
      <c r="W422" s="156"/>
      <c r="X422" s="156"/>
      <c r="Y422" s="156"/>
      <c r="Z422" s="156"/>
    </row>
    <row r="423">
      <c r="A423" s="156"/>
      <c r="B423" s="156"/>
      <c r="C423" s="156"/>
      <c r="D423" s="156"/>
      <c r="E423" s="156"/>
      <c r="F423" s="156"/>
      <c r="G423" s="156"/>
      <c r="H423" s="156"/>
      <c r="I423" s="156"/>
      <c r="J423" s="156"/>
      <c r="K423" s="156"/>
      <c r="L423" s="156"/>
      <c r="M423" s="156"/>
      <c r="N423" s="156"/>
      <c r="O423" s="156"/>
      <c r="P423" s="156"/>
      <c r="Q423" s="156"/>
      <c r="R423" s="156"/>
      <c r="S423" s="156"/>
      <c r="T423" s="156"/>
      <c r="U423" s="156"/>
      <c r="V423" s="156"/>
      <c r="W423" s="156"/>
      <c r="X423" s="156"/>
      <c r="Y423" s="156"/>
      <c r="Z423" s="156"/>
    </row>
    <row r="424">
      <c r="A424" s="156"/>
      <c r="B424" s="156"/>
      <c r="C424" s="156"/>
      <c r="D424" s="156"/>
      <c r="E424" s="156"/>
      <c r="F424" s="156"/>
      <c r="G424" s="156"/>
      <c r="H424" s="156"/>
      <c r="I424" s="156"/>
      <c r="J424" s="156"/>
      <c r="K424" s="156"/>
      <c r="L424" s="156"/>
      <c r="M424" s="156"/>
      <c r="N424" s="156"/>
      <c r="O424" s="156"/>
      <c r="P424" s="156"/>
      <c r="Q424" s="156"/>
      <c r="R424" s="156"/>
      <c r="S424" s="156"/>
      <c r="T424" s="156"/>
      <c r="U424" s="156"/>
      <c r="V424" s="156"/>
      <c r="W424" s="156"/>
      <c r="X424" s="156"/>
      <c r="Y424" s="156"/>
      <c r="Z424" s="156"/>
    </row>
    <row r="425">
      <c r="A425" s="156"/>
      <c r="B425" s="156"/>
      <c r="C425" s="156"/>
      <c r="D425" s="156"/>
      <c r="E425" s="156"/>
      <c r="F425" s="156"/>
      <c r="G425" s="156"/>
      <c r="H425" s="156"/>
      <c r="I425" s="156"/>
      <c r="J425" s="156"/>
      <c r="K425" s="156"/>
      <c r="L425" s="156"/>
      <c r="M425" s="156"/>
      <c r="N425" s="156"/>
      <c r="O425" s="156"/>
      <c r="P425" s="156"/>
      <c r="Q425" s="156"/>
      <c r="R425" s="156"/>
      <c r="S425" s="156"/>
      <c r="T425" s="156"/>
      <c r="U425" s="156"/>
      <c r="V425" s="156"/>
      <c r="W425" s="156"/>
      <c r="X425" s="156"/>
      <c r="Y425" s="156"/>
      <c r="Z425" s="156"/>
    </row>
    <row r="426">
      <c r="A426" s="156"/>
      <c r="B426" s="156"/>
      <c r="C426" s="156"/>
      <c r="D426" s="156"/>
      <c r="E426" s="156"/>
      <c r="F426" s="156"/>
      <c r="G426" s="156"/>
      <c r="H426" s="156"/>
      <c r="I426" s="156"/>
      <c r="J426" s="156"/>
      <c r="K426" s="156"/>
      <c r="L426" s="156"/>
      <c r="M426" s="156"/>
      <c r="N426" s="156"/>
      <c r="O426" s="156"/>
      <c r="P426" s="156"/>
      <c r="Q426" s="156"/>
      <c r="R426" s="156"/>
      <c r="S426" s="156"/>
      <c r="T426" s="156"/>
      <c r="U426" s="156"/>
      <c r="V426" s="156"/>
      <c r="W426" s="156"/>
      <c r="X426" s="156"/>
      <c r="Y426" s="156"/>
      <c r="Z426" s="156"/>
    </row>
    <row r="427">
      <c r="A427" s="156"/>
      <c r="B427" s="156"/>
      <c r="C427" s="156"/>
      <c r="D427" s="156"/>
      <c r="E427" s="156"/>
      <c r="F427" s="156"/>
      <c r="G427" s="156"/>
      <c r="H427" s="156"/>
      <c r="I427" s="156"/>
      <c r="J427" s="156"/>
      <c r="K427" s="156"/>
      <c r="L427" s="156"/>
      <c r="M427" s="156"/>
      <c r="N427" s="156"/>
      <c r="O427" s="156"/>
      <c r="P427" s="156"/>
      <c r="Q427" s="156"/>
      <c r="R427" s="156"/>
      <c r="S427" s="156"/>
      <c r="T427" s="156"/>
      <c r="U427" s="156"/>
      <c r="V427" s="156"/>
      <c r="W427" s="156"/>
      <c r="X427" s="156"/>
      <c r="Y427" s="156"/>
      <c r="Z427" s="156"/>
    </row>
    <row r="428">
      <c r="A428" s="156"/>
      <c r="B428" s="156"/>
      <c r="C428" s="156"/>
      <c r="D428" s="156"/>
      <c r="E428" s="156"/>
      <c r="F428" s="156"/>
      <c r="G428" s="156"/>
      <c r="H428" s="156"/>
      <c r="I428" s="156"/>
      <c r="J428" s="156"/>
      <c r="K428" s="156"/>
      <c r="L428" s="156"/>
      <c r="M428" s="156"/>
      <c r="N428" s="156"/>
      <c r="O428" s="156"/>
      <c r="P428" s="156"/>
      <c r="Q428" s="156"/>
      <c r="R428" s="156"/>
      <c r="S428" s="156"/>
      <c r="T428" s="156"/>
      <c r="U428" s="156"/>
      <c r="V428" s="156"/>
      <c r="W428" s="156"/>
      <c r="X428" s="156"/>
      <c r="Y428" s="156"/>
      <c r="Z428" s="156"/>
    </row>
    <row r="429">
      <c r="A429" s="156"/>
      <c r="B429" s="156"/>
      <c r="C429" s="156"/>
      <c r="D429" s="156"/>
      <c r="E429" s="156"/>
      <c r="F429" s="156"/>
      <c r="G429" s="156"/>
      <c r="H429" s="156"/>
      <c r="I429" s="156"/>
      <c r="J429" s="156"/>
      <c r="K429" s="156"/>
      <c r="L429" s="156"/>
      <c r="M429" s="156"/>
      <c r="N429" s="156"/>
      <c r="O429" s="156"/>
      <c r="P429" s="156"/>
      <c r="Q429" s="156"/>
      <c r="R429" s="156"/>
      <c r="S429" s="156"/>
      <c r="T429" s="156"/>
      <c r="U429" s="156"/>
      <c r="V429" s="156"/>
      <c r="W429" s="156"/>
      <c r="X429" s="156"/>
      <c r="Y429" s="156"/>
      <c r="Z429" s="156"/>
    </row>
    <row r="430">
      <c r="A430" s="156"/>
      <c r="B430" s="156"/>
      <c r="C430" s="156"/>
      <c r="D430" s="156"/>
      <c r="E430" s="156"/>
      <c r="F430" s="156"/>
      <c r="G430" s="156"/>
      <c r="H430" s="156"/>
      <c r="I430" s="156"/>
      <c r="J430" s="156"/>
      <c r="K430" s="156"/>
      <c r="L430" s="156"/>
      <c r="M430" s="156"/>
      <c r="N430" s="156"/>
      <c r="O430" s="156"/>
      <c r="P430" s="156"/>
      <c r="Q430" s="156"/>
      <c r="R430" s="156"/>
      <c r="S430" s="156"/>
      <c r="T430" s="156"/>
      <c r="U430" s="156"/>
      <c r="V430" s="156"/>
      <c r="W430" s="156"/>
      <c r="X430" s="156"/>
      <c r="Y430" s="156"/>
      <c r="Z430" s="156"/>
    </row>
    <row r="431">
      <c r="A431" s="156"/>
      <c r="B431" s="156"/>
      <c r="C431" s="156"/>
      <c r="D431" s="156"/>
      <c r="E431" s="156"/>
      <c r="F431" s="156"/>
      <c r="G431" s="156"/>
      <c r="H431" s="156"/>
      <c r="I431" s="156"/>
      <c r="J431" s="156"/>
      <c r="K431" s="156"/>
      <c r="L431" s="156"/>
      <c r="M431" s="156"/>
      <c r="N431" s="156"/>
      <c r="O431" s="156"/>
      <c r="P431" s="156"/>
      <c r="Q431" s="156"/>
      <c r="R431" s="156"/>
      <c r="S431" s="156"/>
      <c r="T431" s="156"/>
      <c r="U431" s="156"/>
      <c r="V431" s="156"/>
      <c r="W431" s="156"/>
      <c r="X431" s="156"/>
      <c r="Y431" s="156"/>
      <c r="Z431" s="156"/>
    </row>
    <row r="432">
      <c r="A432" s="156"/>
      <c r="B432" s="156"/>
      <c r="C432" s="156"/>
      <c r="D432" s="156"/>
      <c r="E432" s="156"/>
      <c r="F432" s="156"/>
      <c r="G432" s="156"/>
      <c r="H432" s="156"/>
      <c r="I432" s="156"/>
      <c r="J432" s="156"/>
      <c r="K432" s="156"/>
      <c r="L432" s="156"/>
      <c r="M432" s="156"/>
      <c r="N432" s="156"/>
      <c r="O432" s="156"/>
      <c r="P432" s="156"/>
      <c r="Q432" s="156"/>
      <c r="R432" s="156"/>
      <c r="S432" s="156"/>
      <c r="T432" s="156"/>
      <c r="U432" s="156"/>
      <c r="V432" s="156"/>
      <c r="W432" s="156"/>
      <c r="X432" s="156"/>
      <c r="Y432" s="156"/>
      <c r="Z432" s="156"/>
    </row>
    <row r="433">
      <c r="A433" s="156"/>
      <c r="B433" s="156"/>
      <c r="C433" s="156"/>
      <c r="D433" s="156"/>
      <c r="E433" s="156"/>
      <c r="F433" s="156"/>
      <c r="G433" s="156"/>
      <c r="H433" s="156"/>
      <c r="I433" s="156"/>
      <c r="J433" s="156"/>
      <c r="K433" s="156"/>
      <c r="L433" s="156"/>
      <c r="M433" s="156"/>
      <c r="N433" s="156"/>
      <c r="O433" s="156"/>
      <c r="P433" s="156"/>
      <c r="Q433" s="156"/>
      <c r="R433" s="156"/>
      <c r="S433" s="156"/>
      <c r="T433" s="156"/>
      <c r="U433" s="156"/>
      <c r="V433" s="156"/>
      <c r="W433" s="156"/>
      <c r="X433" s="156"/>
      <c r="Y433" s="156"/>
      <c r="Z433" s="156"/>
    </row>
    <row r="434">
      <c r="A434" s="156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</row>
    <row r="435">
      <c r="A435" s="156"/>
      <c r="B435" s="156"/>
      <c r="C435" s="156"/>
      <c r="D435" s="156"/>
      <c r="E435" s="156"/>
      <c r="F435" s="156"/>
      <c r="G435" s="156"/>
      <c r="H435" s="156"/>
      <c r="I435" s="156"/>
      <c r="J435" s="156"/>
      <c r="K435" s="156"/>
      <c r="L435" s="156"/>
      <c r="M435" s="156"/>
      <c r="N435" s="156"/>
      <c r="O435" s="156"/>
      <c r="P435" s="156"/>
      <c r="Q435" s="156"/>
      <c r="R435" s="156"/>
      <c r="S435" s="156"/>
      <c r="T435" s="156"/>
      <c r="U435" s="156"/>
      <c r="V435" s="156"/>
      <c r="W435" s="156"/>
      <c r="X435" s="156"/>
      <c r="Y435" s="156"/>
      <c r="Z435" s="156"/>
    </row>
    <row r="436">
      <c r="A436" s="156"/>
      <c r="B436" s="156"/>
      <c r="C436" s="156"/>
      <c r="D436" s="156"/>
      <c r="E436" s="156"/>
      <c r="F436" s="156"/>
      <c r="G436" s="156"/>
      <c r="H436" s="156"/>
      <c r="I436" s="156"/>
      <c r="J436" s="156"/>
      <c r="K436" s="156"/>
      <c r="L436" s="156"/>
      <c r="M436" s="156"/>
      <c r="N436" s="156"/>
      <c r="O436" s="156"/>
      <c r="P436" s="156"/>
      <c r="Q436" s="156"/>
      <c r="R436" s="156"/>
      <c r="S436" s="156"/>
      <c r="T436" s="156"/>
      <c r="U436" s="156"/>
      <c r="V436" s="156"/>
      <c r="W436" s="156"/>
      <c r="X436" s="156"/>
      <c r="Y436" s="156"/>
      <c r="Z436" s="156"/>
    </row>
    <row r="437">
      <c r="A437" s="156"/>
      <c r="B437" s="156"/>
      <c r="C437" s="156"/>
      <c r="D437" s="156"/>
      <c r="E437" s="156"/>
      <c r="F437" s="156"/>
      <c r="G437" s="156"/>
      <c r="H437" s="156"/>
      <c r="I437" s="156"/>
      <c r="J437" s="156"/>
      <c r="K437" s="156"/>
      <c r="L437" s="156"/>
      <c r="M437" s="156"/>
      <c r="N437" s="156"/>
      <c r="O437" s="156"/>
      <c r="P437" s="156"/>
      <c r="Q437" s="156"/>
      <c r="R437" s="156"/>
      <c r="S437" s="156"/>
      <c r="T437" s="156"/>
      <c r="U437" s="156"/>
      <c r="V437" s="156"/>
      <c r="W437" s="156"/>
      <c r="X437" s="156"/>
      <c r="Y437" s="156"/>
      <c r="Z437" s="156"/>
    </row>
    <row r="438">
      <c r="A438" s="156"/>
      <c r="B438" s="156"/>
      <c r="C438" s="156"/>
      <c r="D438" s="156"/>
      <c r="E438" s="156"/>
      <c r="F438" s="156"/>
      <c r="G438" s="156"/>
      <c r="H438" s="156"/>
      <c r="I438" s="156"/>
      <c r="J438" s="156"/>
      <c r="K438" s="156"/>
      <c r="L438" s="156"/>
      <c r="M438" s="156"/>
      <c r="N438" s="156"/>
      <c r="O438" s="156"/>
      <c r="P438" s="156"/>
      <c r="Q438" s="156"/>
      <c r="R438" s="156"/>
      <c r="S438" s="156"/>
      <c r="T438" s="156"/>
      <c r="U438" s="156"/>
      <c r="V438" s="156"/>
      <c r="W438" s="156"/>
      <c r="X438" s="156"/>
      <c r="Y438" s="156"/>
      <c r="Z438" s="156"/>
    </row>
    <row r="439">
      <c r="A439" s="156"/>
      <c r="B439" s="156"/>
      <c r="C439" s="156"/>
      <c r="D439" s="156"/>
      <c r="E439" s="156"/>
      <c r="F439" s="156"/>
      <c r="G439" s="156"/>
      <c r="H439" s="156"/>
      <c r="I439" s="156"/>
      <c r="J439" s="156"/>
      <c r="K439" s="156"/>
      <c r="L439" s="156"/>
      <c r="M439" s="156"/>
      <c r="N439" s="156"/>
      <c r="O439" s="156"/>
      <c r="P439" s="156"/>
      <c r="Q439" s="156"/>
      <c r="R439" s="156"/>
      <c r="S439" s="156"/>
      <c r="T439" s="156"/>
      <c r="U439" s="156"/>
      <c r="V439" s="156"/>
      <c r="W439" s="156"/>
      <c r="X439" s="156"/>
      <c r="Y439" s="156"/>
      <c r="Z439" s="156"/>
    </row>
    <row r="440">
      <c r="A440" s="156"/>
      <c r="B440" s="156"/>
      <c r="C440" s="156"/>
      <c r="D440" s="156"/>
      <c r="E440" s="156"/>
      <c r="F440" s="156"/>
      <c r="G440" s="156"/>
      <c r="H440" s="156"/>
      <c r="I440" s="156"/>
      <c r="J440" s="156"/>
      <c r="K440" s="156"/>
      <c r="L440" s="156"/>
      <c r="M440" s="156"/>
      <c r="N440" s="156"/>
      <c r="O440" s="156"/>
      <c r="P440" s="156"/>
      <c r="Q440" s="156"/>
      <c r="R440" s="156"/>
      <c r="S440" s="156"/>
      <c r="T440" s="156"/>
      <c r="U440" s="156"/>
      <c r="V440" s="156"/>
      <c r="W440" s="156"/>
      <c r="X440" s="156"/>
      <c r="Y440" s="156"/>
      <c r="Z440" s="156"/>
    </row>
    <row r="441">
      <c r="A441" s="156"/>
      <c r="B441" s="156"/>
      <c r="C441" s="156"/>
      <c r="D441" s="156"/>
      <c r="E441" s="156"/>
      <c r="F441" s="156"/>
      <c r="G441" s="156"/>
      <c r="H441" s="156"/>
      <c r="I441" s="156"/>
      <c r="J441" s="156"/>
      <c r="K441" s="156"/>
      <c r="L441" s="156"/>
      <c r="M441" s="156"/>
      <c r="N441" s="156"/>
      <c r="O441" s="156"/>
      <c r="P441" s="156"/>
      <c r="Q441" s="156"/>
      <c r="R441" s="156"/>
      <c r="S441" s="156"/>
      <c r="T441" s="156"/>
      <c r="U441" s="156"/>
      <c r="V441" s="156"/>
      <c r="W441" s="156"/>
      <c r="X441" s="156"/>
      <c r="Y441" s="156"/>
      <c r="Z441" s="156"/>
    </row>
    <row r="442">
      <c r="A442" s="156"/>
      <c r="B442" s="156"/>
      <c r="C442" s="156"/>
      <c r="D442" s="156"/>
      <c r="E442" s="156"/>
      <c r="F442" s="156"/>
      <c r="G442" s="156"/>
      <c r="H442" s="156"/>
      <c r="I442" s="156"/>
      <c r="J442" s="156"/>
      <c r="K442" s="156"/>
      <c r="L442" s="156"/>
      <c r="M442" s="156"/>
      <c r="N442" s="156"/>
      <c r="O442" s="156"/>
      <c r="P442" s="156"/>
      <c r="Q442" s="156"/>
      <c r="R442" s="156"/>
      <c r="S442" s="156"/>
      <c r="T442" s="156"/>
      <c r="U442" s="156"/>
      <c r="V442" s="156"/>
      <c r="W442" s="156"/>
      <c r="X442" s="156"/>
      <c r="Y442" s="156"/>
      <c r="Z442" s="156"/>
    </row>
    <row r="443">
      <c r="A443" s="156"/>
      <c r="B443" s="156"/>
      <c r="C443" s="156"/>
      <c r="D443" s="156"/>
      <c r="E443" s="156"/>
      <c r="F443" s="156"/>
      <c r="G443" s="156"/>
      <c r="H443" s="156"/>
      <c r="I443" s="156"/>
      <c r="J443" s="156"/>
      <c r="K443" s="156"/>
      <c r="L443" s="156"/>
      <c r="M443" s="156"/>
      <c r="N443" s="156"/>
      <c r="O443" s="156"/>
      <c r="P443" s="156"/>
      <c r="Q443" s="156"/>
      <c r="R443" s="156"/>
      <c r="S443" s="156"/>
      <c r="T443" s="156"/>
      <c r="U443" s="156"/>
      <c r="V443" s="156"/>
      <c r="W443" s="156"/>
      <c r="X443" s="156"/>
      <c r="Y443" s="156"/>
      <c r="Z443" s="156"/>
    </row>
    <row r="444">
      <c r="A444" s="156"/>
      <c r="B444" s="156"/>
      <c r="C444" s="156"/>
      <c r="D444" s="156"/>
      <c r="E444" s="156"/>
      <c r="F444" s="156"/>
      <c r="G444" s="156"/>
      <c r="H444" s="156"/>
      <c r="I444" s="156"/>
      <c r="J444" s="156"/>
      <c r="K444" s="156"/>
      <c r="L444" s="156"/>
      <c r="M444" s="156"/>
      <c r="N444" s="156"/>
      <c r="O444" s="156"/>
      <c r="P444" s="156"/>
      <c r="Q444" s="156"/>
      <c r="R444" s="156"/>
      <c r="S444" s="156"/>
      <c r="T444" s="156"/>
      <c r="U444" s="156"/>
      <c r="V444" s="156"/>
      <c r="W444" s="156"/>
      <c r="X444" s="156"/>
      <c r="Y444" s="156"/>
      <c r="Z444" s="156"/>
    </row>
    <row r="445">
      <c r="A445" s="156"/>
      <c r="B445" s="156"/>
      <c r="C445" s="156"/>
      <c r="D445" s="156"/>
      <c r="E445" s="156"/>
      <c r="F445" s="156"/>
      <c r="G445" s="156"/>
      <c r="H445" s="156"/>
      <c r="I445" s="156"/>
      <c r="J445" s="156"/>
      <c r="K445" s="156"/>
      <c r="L445" s="156"/>
      <c r="M445" s="156"/>
      <c r="N445" s="156"/>
      <c r="O445" s="156"/>
      <c r="P445" s="156"/>
      <c r="Q445" s="156"/>
      <c r="R445" s="156"/>
      <c r="S445" s="156"/>
      <c r="T445" s="156"/>
      <c r="U445" s="156"/>
      <c r="V445" s="156"/>
      <c r="W445" s="156"/>
      <c r="X445" s="156"/>
      <c r="Y445" s="156"/>
      <c r="Z445" s="156"/>
    </row>
    <row r="446">
      <c r="A446" s="156"/>
      <c r="B446" s="156"/>
      <c r="C446" s="156"/>
      <c r="D446" s="156"/>
      <c r="E446" s="156"/>
      <c r="F446" s="156"/>
      <c r="G446" s="156"/>
      <c r="H446" s="156"/>
      <c r="I446" s="156"/>
      <c r="J446" s="156"/>
      <c r="K446" s="156"/>
      <c r="L446" s="156"/>
      <c r="M446" s="156"/>
      <c r="N446" s="156"/>
      <c r="O446" s="156"/>
      <c r="P446" s="156"/>
      <c r="Q446" s="156"/>
      <c r="R446" s="156"/>
      <c r="S446" s="156"/>
      <c r="T446" s="156"/>
      <c r="U446" s="156"/>
      <c r="V446" s="156"/>
      <c r="W446" s="156"/>
      <c r="X446" s="156"/>
      <c r="Y446" s="156"/>
      <c r="Z446" s="156"/>
    </row>
    <row r="447">
      <c r="A447" s="156"/>
      <c r="B447" s="156"/>
      <c r="C447" s="156"/>
      <c r="D447" s="156"/>
      <c r="E447" s="156"/>
      <c r="F447" s="156"/>
      <c r="G447" s="156"/>
      <c r="H447" s="156"/>
      <c r="I447" s="156"/>
      <c r="J447" s="156"/>
      <c r="K447" s="156"/>
      <c r="L447" s="156"/>
      <c r="M447" s="156"/>
      <c r="N447" s="156"/>
      <c r="O447" s="156"/>
      <c r="P447" s="156"/>
      <c r="Q447" s="156"/>
      <c r="R447" s="156"/>
      <c r="S447" s="156"/>
      <c r="T447" s="156"/>
      <c r="U447" s="156"/>
      <c r="V447" s="156"/>
      <c r="W447" s="156"/>
      <c r="X447" s="156"/>
      <c r="Y447" s="156"/>
      <c r="Z447" s="156"/>
    </row>
    <row r="448">
      <c r="A448" s="156"/>
      <c r="B448" s="156"/>
      <c r="C448" s="156"/>
      <c r="D448" s="156"/>
      <c r="E448" s="156"/>
      <c r="F448" s="156"/>
      <c r="G448" s="156"/>
      <c r="H448" s="156"/>
      <c r="I448" s="156"/>
      <c r="J448" s="156"/>
      <c r="K448" s="156"/>
      <c r="L448" s="156"/>
      <c r="M448" s="156"/>
      <c r="N448" s="156"/>
      <c r="O448" s="156"/>
      <c r="P448" s="156"/>
      <c r="Q448" s="156"/>
      <c r="R448" s="156"/>
      <c r="S448" s="156"/>
      <c r="T448" s="156"/>
      <c r="U448" s="156"/>
      <c r="V448" s="156"/>
      <c r="W448" s="156"/>
      <c r="X448" s="156"/>
      <c r="Y448" s="156"/>
      <c r="Z448" s="156"/>
    </row>
    <row r="449">
      <c r="A449" s="156"/>
      <c r="B449" s="156"/>
      <c r="C449" s="156"/>
      <c r="D449" s="156"/>
      <c r="E449" s="156"/>
      <c r="F449" s="156"/>
      <c r="G449" s="156"/>
      <c r="H449" s="156"/>
      <c r="I449" s="156"/>
      <c r="J449" s="156"/>
      <c r="K449" s="156"/>
      <c r="L449" s="156"/>
      <c r="M449" s="156"/>
      <c r="N449" s="156"/>
      <c r="O449" s="156"/>
      <c r="P449" s="156"/>
      <c r="Q449" s="156"/>
      <c r="R449" s="156"/>
      <c r="S449" s="156"/>
      <c r="T449" s="156"/>
      <c r="U449" s="156"/>
      <c r="V449" s="156"/>
      <c r="W449" s="156"/>
      <c r="X449" s="156"/>
      <c r="Y449" s="156"/>
      <c r="Z449" s="156"/>
    </row>
    <row r="450">
      <c r="A450" s="156"/>
      <c r="B450" s="156"/>
      <c r="C450" s="156"/>
      <c r="D450" s="156"/>
      <c r="E450" s="156"/>
      <c r="F450" s="156"/>
      <c r="G450" s="156"/>
      <c r="H450" s="156"/>
      <c r="I450" s="156"/>
      <c r="J450" s="156"/>
      <c r="K450" s="156"/>
      <c r="L450" s="156"/>
      <c r="M450" s="156"/>
      <c r="N450" s="156"/>
      <c r="O450" s="156"/>
      <c r="P450" s="156"/>
      <c r="Q450" s="156"/>
      <c r="R450" s="156"/>
      <c r="S450" s="156"/>
      <c r="T450" s="156"/>
      <c r="U450" s="156"/>
      <c r="V450" s="156"/>
      <c r="W450" s="156"/>
      <c r="X450" s="156"/>
      <c r="Y450" s="156"/>
      <c r="Z450" s="156"/>
    </row>
    <row r="451">
      <c r="A451" s="156"/>
      <c r="B451" s="156"/>
      <c r="C451" s="156"/>
      <c r="D451" s="156"/>
      <c r="E451" s="156"/>
      <c r="F451" s="156"/>
      <c r="G451" s="156"/>
      <c r="H451" s="156"/>
      <c r="I451" s="156"/>
      <c r="J451" s="156"/>
      <c r="K451" s="156"/>
      <c r="L451" s="156"/>
      <c r="M451" s="156"/>
      <c r="N451" s="156"/>
      <c r="O451" s="156"/>
      <c r="P451" s="156"/>
      <c r="Q451" s="156"/>
      <c r="R451" s="156"/>
      <c r="S451" s="156"/>
      <c r="T451" s="156"/>
      <c r="U451" s="156"/>
      <c r="V451" s="156"/>
      <c r="W451" s="156"/>
      <c r="X451" s="156"/>
      <c r="Y451" s="156"/>
      <c r="Z451" s="156"/>
    </row>
    <row r="452">
      <c r="A452" s="156"/>
      <c r="B452" s="156"/>
      <c r="C452" s="156"/>
      <c r="D452" s="156"/>
      <c r="E452" s="156"/>
      <c r="F452" s="156"/>
      <c r="G452" s="156"/>
      <c r="H452" s="156"/>
      <c r="I452" s="156"/>
      <c r="J452" s="156"/>
      <c r="K452" s="156"/>
      <c r="L452" s="156"/>
      <c r="M452" s="156"/>
      <c r="N452" s="156"/>
      <c r="O452" s="156"/>
      <c r="P452" s="156"/>
      <c r="Q452" s="156"/>
      <c r="R452" s="156"/>
      <c r="S452" s="156"/>
      <c r="T452" s="156"/>
      <c r="U452" s="156"/>
      <c r="V452" s="156"/>
      <c r="W452" s="156"/>
      <c r="X452" s="156"/>
      <c r="Y452" s="156"/>
      <c r="Z452" s="156"/>
    </row>
    <row r="453">
      <c r="A453" s="156"/>
      <c r="B453" s="156"/>
      <c r="C453" s="156"/>
      <c r="D453" s="156"/>
      <c r="E453" s="156"/>
      <c r="F453" s="156"/>
      <c r="G453" s="156"/>
      <c r="H453" s="156"/>
      <c r="I453" s="156"/>
      <c r="J453" s="156"/>
      <c r="K453" s="156"/>
      <c r="L453" s="156"/>
      <c r="M453" s="156"/>
      <c r="N453" s="156"/>
      <c r="O453" s="156"/>
      <c r="P453" s="156"/>
      <c r="Q453" s="156"/>
      <c r="R453" s="156"/>
      <c r="S453" s="156"/>
      <c r="T453" s="156"/>
      <c r="U453" s="156"/>
      <c r="V453" s="156"/>
      <c r="W453" s="156"/>
      <c r="X453" s="156"/>
      <c r="Y453" s="156"/>
      <c r="Z453" s="156"/>
    </row>
    <row r="454">
      <c r="A454" s="156"/>
      <c r="B454" s="156"/>
      <c r="C454" s="156"/>
      <c r="D454" s="156"/>
      <c r="E454" s="156"/>
      <c r="F454" s="156"/>
      <c r="G454" s="156"/>
      <c r="H454" s="156"/>
      <c r="I454" s="156"/>
      <c r="J454" s="156"/>
      <c r="K454" s="156"/>
      <c r="L454" s="156"/>
      <c r="M454" s="156"/>
      <c r="N454" s="156"/>
      <c r="O454" s="156"/>
      <c r="P454" s="156"/>
      <c r="Q454" s="156"/>
      <c r="R454" s="156"/>
      <c r="S454" s="156"/>
      <c r="T454" s="156"/>
      <c r="U454" s="156"/>
      <c r="V454" s="156"/>
      <c r="W454" s="156"/>
      <c r="X454" s="156"/>
      <c r="Y454" s="156"/>
      <c r="Z454" s="156"/>
    </row>
    <row r="455">
      <c r="A455" s="156"/>
      <c r="B455" s="156"/>
      <c r="C455" s="156"/>
      <c r="D455" s="156"/>
      <c r="E455" s="156"/>
      <c r="F455" s="156"/>
      <c r="G455" s="156"/>
      <c r="H455" s="156"/>
      <c r="I455" s="156"/>
      <c r="J455" s="156"/>
      <c r="K455" s="156"/>
      <c r="L455" s="156"/>
      <c r="M455" s="156"/>
      <c r="N455" s="156"/>
      <c r="O455" s="156"/>
      <c r="P455" s="156"/>
      <c r="Q455" s="156"/>
      <c r="R455" s="156"/>
      <c r="S455" s="156"/>
      <c r="T455" s="156"/>
      <c r="U455" s="156"/>
      <c r="V455" s="156"/>
      <c r="W455" s="156"/>
      <c r="X455" s="156"/>
      <c r="Y455" s="156"/>
      <c r="Z455" s="156"/>
    </row>
    <row r="456">
      <c r="A456" s="156"/>
      <c r="B456" s="156"/>
      <c r="C456" s="156"/>
      <c r="D456" s="156"/>
      <c r="E456" s="156"/>
      <c r="F456" s="156"/>
      <c r="G456" s="156"/>
      <c r="H456" s="156"/>
      <c r="I456" s="156"/>
      <c r="J456" s="156"/>
      <c r="K456" s="156"/>
      <c r="L456" s="156"/>
      <c r="M456" s="156"/>
      <c r="N456" s="156"/>
      <c r="O456" s="156"/>
      <c r="P456" s="156"/>
      <c r="Q456" s="156"/>
      <c r="R456" s="156"/>
      <c r="S456" s="156"/>
      <c r="T456" s="156"/>
      <c r="U456" s="156"/>
      <c r="V456" s="156"/>
      <c r="W456" s="156"/>
      <c r="X456" s="156"/>
      <c r="Y456" s="156"/>
      <c r="Z456" s="156"/>
    </row>
    <row r="457">
      <c r="A457" s="156"/>
      <c r="B457" s="156"/>
      <c r="C457" s="156"/>
      <c r="D457" s="156"/>
      <c r="E457" s="156"/>
      <c r="F457" s="156"/>
      <c r="G457" s="156"/>
      <c r="H457" s="156"/>
      <c r="I457" s="156"/>
      <c r="J457" s="156"/>
      <c r="K457" s="156"/>
      <c r="L457" s="156"/>
      <c r="M457" s="156"/>
      <c r="N457" s="156"/>
      <c r="O457" s="156"/>
      <c r="P457" s="156"/>
      <c r="Q457" s="156"/>
      <c r="R457" s="156"/>
      <c r="S457" s="156"/>
      <c r="T457" s="156"/>
      <c r="U457" s="156"/>
      <c r="V457" s="156"/>
      <c r="W457" s="156"/>
      <c r="X457" s="156"/>
      <c r="Y457" s="156"/>
      <c r="Z457" s="156"/>
    </row>
    <row r="458">
      <c r="A458" s="156"/>
      <c r="B458" s="156"/>
      <c r="C458" s="156"/>
      <c r="D458" s="156"/>
      <c r="E458" s="156"/>
      <c r="F458" s="156"/>
      <c r="G458" s="156"/>
      <c r="H458" s="156"/>
      <c r="I458" s="156"/>
      <c r="J458" s="156"/>
      <c r="K458" s="156"/>
      <c r="L458" s="156"/>
      <c r="M458" s="156"/>
      <c r="N458" s="156"/>
      <c r="O458" s="156"/>
      <c r="P458" s="156"/>
      <c r="Q458" s="156"/>
      <c r="R458" s="156"/>
      <c r="S458" s="156"/>
      <c r="T458" s="156"/>
      <c r="U458" s="156"/>
      <c r="V458" s="156"/>
      <c r="W458" s="156"/>
      <c r="X458" s="156"/>
      <c r="Y458" s="156"/>
      <c r="Z458" s="156"/>
    </row>
    <row r="459">
      <c r="A459" s="156"/>
      <c r="B459" s="156"/>
      <c r="C459" s="156"/>
      <c r="D459" s="156"/>
      <c r="E459" s="156"/>
      <c r="F459" s="156"/>
      <c r="G459" s="156"/>
      <c r="H459" s="156"/>
      <c r="I459" s="156"/>
      <c r="J459" s="156"/>
      <c r="K459" s="156"/>
      <c r="L459" s="156"/>
      <c r="M459" s="156"/>
      <c r="N459" s="156"/>
      <c r="O459" s="156"/>
      <c r="P459" s="156"/>
      <c r="Q459" s="156"/>
      <c r="R459" s="156"/>
      <c r="S459" s="156"/>
      <c r="T459" s="156"/>
      <c r="U459" s="156"/>
      <c r="V459" s="156"/>
      <c r="W459" s="156"/>
      <c r="X459" s="156"/>
      <c r="Y459" s="156"/>
      <c r="Z459" s="156"/>
    </row>
    <row r="460">
      <c r="A460" s="156"/>
      <c r="B460" s="156"/>
      <c r="C460" s="156"/>
      <c r="D460" s="156"/>
      <c r="E460" s="156"/>
      <c r="F460" s="156"/>
      <c r="G460" s="156"/>
      <c r="H460" s="156"/>
      <c r="I460" s="156"/>
      <c r="J460" s="156"/>
      <c r="K460" s="156"/>
      <c r="L460" s="156"/>
      <c r="M460" s="156"/>
      <c r="N460" s="156"/>
      <c r="O460" s="156"/>
      <c r="P460" s="156"/>
      <c r="Q460" s="156"/>
      <c r="R460" s="156"/>
      <c r="S460" s="156"/>
      <c r="T460" s="156"/>
      <c r="U460" s="156"/>
      <c r="V460" s="156"/>
      <c r="W460" s="156"/>
      <c r="X460" s="156"/>
      <c r="Y460" s="156"/>
      <c r="Z460" s="156"/>
    </row>
    <row r="461">
      <c r="A461" s="156"/>
      <c r="B461" s="156"/>
      <c r="C461" s="156"/>
      <c r="D461" s="156"/>
      <c r="E461" s="156"/>
      <c r="F461" s="156"/>
      <c r="G461" s="156"/>
      <c r="H461" s="156"/>
      <c r="I461" s="156"/>
      <c r="J461" s="156"/>
      <c r="K461" s="156"/>
      <c r="L461" s="156"/>
      <c r="M461" s="156"/>
      <c r="N461" s="156"/>
      <c r="O461" s="156"/>
      <c r="P461" s="156"/>
      <c r="Q461" s="156"/>
      <c r="R461" s="156"/>
      <c r="S461" s="156"/>
      <c r="T461" s="156"/>
      <c r="U461" s="156"/>
      <c r="V461" s="156"/>
      <c r="W461" s="156"/>
      <c r="X461" s="156"/>
      <c r="Y461" s="156"/>
      <c r="Z461" s="156"/>
    </row>
    <row r="462">
      <c r="A462" s="156"/>
      <c r="B462" s="156"/>
      <c r="C462" s="156"/>
      <c r="D462" s="156"/>
      <c r="E462" s="156"/>
      <c r="F462" s="156"/>
      <c r="G462" s="156"/>
      <c r="H462" s="156"/>
      <c r="I462" s="156"/>
      <c r="J462" s="156"/>
      <c r="K462" s="156"/>
      <c r="L462" s="156"/>
      <c r="M462" s="156"/>
      <c r="N462" s="156"/>
      <c r="O462" s="156"/>
      <c r="P462" s="156"/>
      <c r="Q462" s="156"/>
      <c r="R462" s="156"/>
      <c r="S462" s="156"/>
      <c r="T462" s="156"/>
      <c r="U462" s="156"/>
      <c r="V462" s="156"/>
      <c r="W462" s="156"/>
      <c r="X462" s="156"/>
      <c r="Y462" s="156"/>
      <c r="Z462" s="156"/>
    </row>
    <row r="463">
      <c r="A463" s="156"/>
      <c r="B463" s="156"/>
      <c r="C463" s="156"/>
      <c r="D463" s="156"/>
      <c r="E463" s="156"/>
      <c r="F463" s="156"/>
      <c r="G463" s="156"/>
      <c r="H463" s="156"/>
      <c r="I463" s="156"/>
      <c r="J463" s="156"/>
      <c r="K463" s="156"/>
      <c r="L463" s="156"/>
      <c r="M463" s="156"/>
      <c r="N463" s="156"/>
      <c r="O463" s="156"/>
      <c r="P463" s="156"/>
      <c r="Q463" s="156"/>
      <c r="R463" s="156"/>
      <c r="S463" s="156"/>
      <c r="T463" s="156"/>
      <c r="U463" s="156"/>
      <c r="V463" s="156"/>
      <c r="W463" s="156"/>
      <c r="X463" s="156"/>
      <c r="Y463" s="156"/>
      <c r="Z463" s="156"/>
    </row>
    <row r="464">
      <c r="A464" s="156"/>
      <c r="B464" s="156"/>
      <c r="C464" s="156"/>
      <c r="D464" s="156"/>
      <c r="E464" s="156"/>
      <c r="F464" s="156"/>
      <c r="G464" s="156"/>
      <c r="H464" s="156"/>
      <c r="I464" s="156"/>
      <c r="J464" s="156"/>
      <c r="K464" s="156"/>
      <c r="L464" s="156"/>
      <c r="M464" s="156"/>
      <c r="N464" s="156"/>
      <c r="O464" s="156"/>
      <c r="P464" s="156"/>
      <c r="Q464" s="156"/>
      <c r="R464" s="156"/>
      <c r="S464" s="156"/>
      <c r="T464" s="156"/>
      <c r="U464" s="156"/>
      <c r="V464" s="156"/>
      <c r="W464" s="156"/>
      <c r="X464" s="156"/>
      <c r="Y464" s="156"/>
      <c r="Z464" s="156"/>
    </row>
    <row r="465">
      <c r="A465" s="156"/>
      <c r="B465" s="156"/>
      <c r="C465" s="156"/>
      <c r="D465" s="156"/>
      <c r="E465" s="156"/>
      <c r="F465" s="156"/>
      <c r="G465" s="156"/>
      <c r="H465" s="156"/>
      <c r="I465" s="156"/>
      <c r="J465" s="156"/>
      <c r="K465" s="156"/>
      <c r="L465" s="156"/>
      <c r="M465" s="156"/>
      <c r="N465" s="156"/>
      <c r="O465" s="156"/>
      <c r="P465" s="156"/>
      <c r="Q465" s="156"/>
      <c r="R465" s="156"/>
      <c r="S465" s="156"/>
      <c r="T465" s="156"/>
      <c r="U465" s="156"/>
      <c r="V465" s="156"/>
      <c r="W465" s="156"/>
      <c r="X465" s="156"/>
      <c r="Y465" s="156"/>
      <c r="Z465" s="156"/>
    </row>
    <row r="466">
      <c r="A466" s="156"/>
      <c r="B466" s="156"/>
      <c r="C466" s="156"/>
      <c r="D466" s="156"/>
      <c r="E466" s="156"/>
      <c r="F466" s="156"/>
      <c r="G466" s="156"/>
      <c r="H466" s="156"/>
      <c r="I466" s="156"/>
      <c r="J466" s="156"/>
      <c r="K466" s="156"/>
      <c r="L466" s="156"/>
      <c r="M466" s="156"/>
      <c r="N466" s="156"/>
      <c r="O466" s="156"/>
      <c r="P466" s="156"/>
      <c r="Q466" s="156"/>
      <c r="R466" s="156"/>
      <c r="S466" s="156"/>
      <c r="T466" s="156"/>
      <c r="U466" s="156"/>
      <c r="V466" s="156"/>
      <c r="W466" s="156"/>
      <c r="X466" s="156"/>
      <c r="Y466" s="156"/>
      <c r="Z466" s="156"/>
    </row>
    <row r="467">
      <c r="A467" s="156"/>
      <c r="B467" s="156"/>
      <c r="C467" s="156"/>
      <c r="D467" s="156"/>
      <c r="E467" s="156"/>
      <c r="F467" s="156"/>
      <c r="G467" s="156"/>
      <c r="H467" s="156"/>
      <c r="I467" s="156"/>
      <c r="J467" s="156"/>
      <c r="K467" s="156"/>
      <c r="L467" s="156"/>
      <c r="M467" s="156"/>
      <c r="N467" s="156"/>
      <c r="O467" s="156"/>
      <c r="P467" s="156"/>
      <c r="Q467" s="156"/>
      <c r="R467" s="156"/>
      <c r="S467" s="156"/>
      <c r="T467" s="156"/>
      <c r="U467" s="156"/>
      <c r="V467" s="156"/>
      <c r="W467" s="156"/>
      <c r="X467" s="156"/>
      <c r="Y467" s="156"/>
      <c r="Z467" s="156"/>
    </row>
    <row r="468">
      <c r="A468" s="156"/>
      <c r="B468" s="156"/>
      <c r="C468" s="156"/>
      <c r="D468" s="156"/>
      <c r="E468" s="156"/>
      <c r="F468" s="156"/>
      <c r="G468" s="156"/>
      <c r="H468" s="156"/>
      <c r="I468" s="156"/>
      <c r="J468" s="156"/>
      <c r="K468" s="156"/>
      <c r="L468" s="156"/>
      <c r="M468" s="156"/>
      <c r="N468" s="156"/>
      <c r="O468" s="156"/>
      <c r="P468" s="156"/>
      <c r="Q468" s="156"/>
      <c r="R468" s="156"/>
      <c r="S468" s="156"/>
      <c r="T468" s="156"/>
      <c r="U468" s="156"/>
      <c r="V468" s="156"/>
      <c r="W468" s="156"/>
      <c r="X468" s="156"/>
      <c r="Y468" s="156"/>
      <c r="Z468" s="156"/>
    </row>
    <row r="469">
      <c r="A469" s="156"/>
      <c r="B469" s="156"/>
      <c r="C469" s="156"/>
      <c r="D469" s="156"/>
      <c r="E469" s="156"/>
      <c r="F469" s="156"/>
      <c r="G469" s="156"/>
      <c r="H469" s="156"/>
      <c r="I469" s="156"/>
      <c r="J469" s="156"/>
      <c r="K469" s="156"/>
      <c r="L469" s="156"/>
      <c r="M469" s="156"/>
      <c r="N469" s="156"/>
      <c r="O469" s="156"/>
      <c r="P469" s="156"/>
      <c r="Q469" s="156"/>
      <c r="R469" s="156"/>
      <c r="S469" s="156"/>
      <c r="T469" s="156"/>
      <c r="U469" s="156"/>
      <c r="V469" s="156"/>
      <c r="W469" s="156"/>
      <c r="X469" s="156"/>
      <c r="Y469" s="156"/>
      <c r="Z469" s="156"/>
    </row>
    <row r="470">
      <c r="A470" s="156"/>
      <c r="B470" s="156"/>
      <c r="C470" s="156"/>
      <c r="D470" s="156"/>
      <c r="E470" s="156"/>
      <c r="F470" s="156"/>
      <c r="G470" s="156"/>
      <c r="H470" s="156"/>
      <c r="I470" s="156"/>
      <c r="J470" s="156"/>
      <c r="K470" s="156"/>
      <c r="L470" s="156"/>
      <c r="M470" s="156"/>
      <c r="N470" s="156"/>
      <c r="O470" s="156"/>
      <c r="P470" s="156"/>
      <c r="Q470" s="156"/>
      <c r="R470" s="156"/>
      <c r="S470" s="156"/>
      <c r="T470" s="156"/>
      <c r="U470" s="156"/>
      <c r="V470" s="156"/>
      <c r="W470" s="156"/>
      <c r="X470" s="156"/>
      <c r="Y470" s="156"/>
      <c r="Z470" s="156"/>
    </row>
    <row r="471">
      <c r="A471" s="156"/>
      <c r="B471" s="156"/>
      <c r="C471" s="156"/>
      <c r="D471" s="156"/>
      <c r="E471" s="156"/>
      <c r="F471" s="156"/>
      <c r="G471" s="156"/>
      <c r="H471" s="156"/>
      <c r="I471" s="156"/>
      <c r="J471" s="156"/>
      <c r="K471" s="156"/>
      <c r="L471" s="156"/>
      <c r="M471" s="156"/>
      <c r="N471" s="156"/>
      <c r="O471" s="156"/>
      <c r="P471" s="156"/>
      <c r="Q471" s="156"/>
      <c r="R471" s="156"/>
      <c r="S471" s="156"/>
      <c r="T471" s="156"/>
      <c r="U471" s="156"/>
      <c r="V471" s="156"/>
      <c r="W471" s="156"/>
      <c r="X471" s="156"/>
      <c r="Y471" s="156"/>
      <c r="Z471" s="156"/>
    </row>
    <row r="472">
      <c r="A472" s="156"/>
      <c r="B472" s="156"/>
      <c r="C472" s="156"/>
      <c r="D472" s="156"/>
      <c r="E472" s="156"/>
      <c r="F472" s="156"/>
      <c r="G472" s="156"/>
      <c r="H472" s="156"/>
      <c r="I472" s="156"/>
      <c r="J472" s="156"/>
      <c r="K472" s="156"/>
      <c r="L472" s="156"/>
      <c r="M472" s="156"/>
      <c r="N472" s="156"/>
      <c r="O472" s="156"/>
      <c r="P472" s="156"/>
      <c r="Q472" s="156"/>
      <c r="R472" s="156"/>
      <c r="S472" s="156"/>
      <c r="T472" s="156"/>
      <c r="U472" s="156"/>
      <c r="V472" s="156"/>
      <c r="W472" s="156"/>
      <c r="X472" s="156"/>
      <c r="Y472" s="156"/>
      <c r="Z472" s="156"/>
    </row>
    <row r="473">
      <c r="A473" s="156"/>
      <c r="B473" s="156"/>
      <c r="C473" s="156"/>
      <c r="D473" s="156"/>
      <c r="E473" s="156"/>
      <c r="F473" s="156"/>
      <c r="G473" s="156"/>
      <c r="H473" s="156"/>
      <c r="I473" s="156"/>
      <c r="J473" s="156"/>
      <c r="K473" s="156"/>
      <c r="L473" s="156"/>
      <c r="M473" s="156"/>
      <c r="N473" s="156"/>
      <c r="O473" s="156"/>
      <c r="P473" s="156"/>
      <c r="Q473" s="156"/>
      <c r="R473" s="156"/>
      <c r="S473" s="156"/>
      <c r="T473" s="156"/>
      <c r="U473" s="156"/>
      <c r="V473" s="156"/>
      <c r="W473" s="156"/>
      <c r="X473" s="156"/>
      <c r="Y473" s="156"/>
      <c r="Z473" s="156"/>
    </row>
    <row r="474">
      <c r="A474" s="156"/>
      <c r="B474" s="156"/>
      <c r="C474" s="156"/>
      <c r="D474" s="156"/>
      <c r="E474" s="156"/>
      <c r="F474" s="156"/>
      <c r="G474" s="156"/>
      <c r="H474" s="156"/>
      <c r="I474" s="156"/>
      <c r="J474" s="156"/>
      <c r="K474" s="156"/>
      <c r="L474" s="156"/>
      <c r="M474" s="156"/>
      <c r="N474" s="156"/>
      <c r="O474" s="156"/>
      <c r="P474" s="156"/>
      <c r="Q474" s="156"/>
      <c r="R474" s="156"/>
      <c r="S474" s="156"/>
      <c r="T474" s="156"/>
      <c r="U474" s="156"/>
      <c r="V474" s="156"/>
      <c r="W474" s="156"/>
      <c r="X474" s="156"/>
      <c r="Y474" s="156"/>
      <c r="Z474" s="156"/>
    </row>
    <row r="475">
      <c r="A475" s="156"/>
      <c r="B475" s="156"/>
      <c r="C475" s="156"/>
      <c r="D475" s="156"/>
      <c r="E475" s="156"/>
      <c r="F475" s="156"/>
      <c r="G475" s="156"/>
      <c r="H475" s="156"/>
      <c r="I475" s="156"/>
      <c r="J475" s="156"/>
      <c r="K475" s="156"/>
      <c r="L475" s="156"/>
      <c r="M475" s="156"/>
      <c r="N475" s="156"/>
      <c r="O475" s="156"/>
      <c r="P475" s="156"/>
      <c r="Q475" s="156"/>
      <c r="R475" s="156"/>
      <c r="S475" s="156"/>
      <c r="T475" s="156"/>
      <c r="U475" s="156"/>
      <c r="V475" s="156"/>
      <c r="W475" s="156"/>
      <c r="X475" s="156"/>
      <c r="Y475" s="156"/>
      <c r="Z475" s="156"/>
    </row>
    <row r="476">
      <c r="A476" s="156"/>
      <c r="B476" s="156"/>
      <c r="C476" s="156"/>
      <c r="D476" s="156"/>
      <c r="E476" s="156"/>
      <c r="F476" s="156"/>
      <c r="G476" s="156"/>
      <c r="H476" s="156"/>
      <c r="I476" s="156"/>
      <c r="J476" s="156"/>
      <c r="K476" s="156"/>
      <c r="L476" s="156"/>
      <c r="M476" s="156"/>
      <c r="N476" s="156"/>
      <c r="O476" s="156"/>
      <c r="P476" s="156"/>
      <c r="Q476" s="156"/>
      <c r="R476" s="156"/>
      <c r="S476" s="156"/>
      <c r="T476" s="156"/>
      <c r="U476" s="156"/>
      <c r="V476" s="156"/>
      <c r="W476" s="156"/>
      <c r="X476" s="156"/>
      <c r="Y476" s="156"/>
      <c r="Z476" s="156"/>
    </row>
    <row r="477">
      <c r="A477" s="156"/>
      <c r="B477" s="156"/>
      <c r="C477" s="156"/>
      <c r="D477" s="156"/>
      <c r="E477" s="156"/>
      <c r="F477" s="156"/>
      <c r="G477" s="156"/>
      <c r="H477" s="156"/>
      <c r="I477" s="156"/>
      <c r="J477" s="156"/>
      <c r="K477" s="156"/>
      <c r="L477" s="156"/>
      <c r="M477" s="156"/>
      <c r="N477" s="156"/>
      <c r="O477" s="156"/>
      <c r="P477" s="156"/>
      <c r="Q477" s="156"/>
      <c r="R477" s="156"/>
      <c r="S477" s="156"/>
      <c r="T477" s="156"/>
      <c r="U477" s="156"/>
      <c r="V477" s="156"/>
      <c r="W477" s="156"/>
      <c r="X477" s="156"/>
      <c r="Y477" s="156"/>
      <c r="Z477" s="156"/>
    </row>
    <row r="478">
      <c r="A478" s="156"/>
      <c r="B478" s="156"/>
      <c r="C478" s="156"/>
      <c r="D478" s="156"/>
      <c r="E478" s="156"/>
      <c r="F478" s="156"/>
      <c r="G478" s="156"/>
      <c r="H478" s="156"/>
      <c r="I478" s="156"/>
      <c r="J478" s="156"/>
      <c r="K478" s="156"/>
      <c r="L478" s="156"/>
      <c r="M478" s="156"/>
      <c r="N478" s="156"/>
      <c r="O478" s="156"/>
      <c r="P478" s="156"/>
      <c r="Q478" s="156"/>
      <c r="R478" s="156"/>
      <c r="S478" s="156"/>
      <c r="T478" s="156"/>
      <c r="U478" s="156"/>
      <c r="V478" s="156"/>
      <c r="W478" s="156"/>
      <c r="X478" s="156"/>
      <c r="Y478" s="156"/>
      <c r="Z478" s="156"/>
    </row>
    <row r="479">
      <c r="A479" s="156"/>
      <c r="B479" s="156"/>
      <c r="C479" s="156"/>
      <c r="D479" s="156"/>
      <c r="E479" s="156"/>
      <c r="F479" s="156"/>
      <c r="G479" s="156"/>
      <c r="H479" s="156"/>
      <c r="I479" s="156"/>
      <c r="J479" s="156"/>
      <c r="K479" s="156"/>
      <c r="L479" s="156"/>
      <c r="M479" s="156"/>
      <c r="N479" s="156"/>
      <c r="O479" s="156"/>
      <c r="P479" s="156"/>
      <c r="Q479" s="156"/>
      <c r="R479" s="156"/>
      <c r="S479" s="156"/>
      <c r="T479" s="156"/>
      <c r="U479" s="156"/>
      <c r="V479" s="156"/>
      <c r="W479" s="156"/>
      <c r="X479" s="156"/>
      <c r="Y479" s="156"/>
      <c r="Z479" s="156"/>
    </row>
    <row r="480">
      <c r="A480" s="156"/>
      <c r="B480" s="156"/>
      <c r="C480" s="156"/>
      <c r="D480" s="156"/>
      <c r="E480" s="156"/>
      <c r="F480" s="156"/>
      <c r="G480" s="156"/>
      <c r="H480" s="156"/>
      <c r="I480" s="156"/>
      <c r="J480" s="156"/>
      <c r="K480" s="156"/>
      <c r="L480" s="156"/>
      <c r="M480" s="156"/>
      <c r="N480" s="156"/>
      <c r="O480" s="156"/>
      <c r="P480" s="156"/>
      <c r="Q480" s="156"/>
      <c r="R480" s="156"/>
      <c r="S480" s="156"/>
      <c r="T480" s="156"/>
      <c r="U480" s="156"/>
      <c r="V480" s="156"/>
      <c r="W480" s="156"/>
      <c r="X480" s="156"/>
      <c r="Y480" s="156"/>
      <c r="Z480" s="156"/>
    </row>
    <row r="481">
      <c r="A481" s="156"/>
      <c r="B481" s="156"/>
      <c r="C481" s="156"/>
      <c r="D481" s="156"/>
      <c r="E481" s="156"/>
      <c r="F481" s="156"/>
      <c r="G481" s="156"/>
      <c r="H481" s="156"/>
      <c r="I481" s="156"/>
      <c r="J481" s="156"/>
      <c r="K481" s="156"/>
      <c r="L481" s="156"/>
      <c r="M481" s="156"/>
      <c r="N481" s="156"/>
      <c r="O481" s="156"/>
      <c r="P481" s="156"/>
      <c r="Q481" s="156"/>
      <c r="R481" s="156"/>
      <c r="S481" s="156"/>
      <c r="T481" s="156"/>
      <c r="U481" s="156"/>
      <c r="V481" s="156"/>
      <c r="W481" s="156"/>
      <c r="X481" s="156"/>
      <c r="Y481" s="156"/>
      <c r="Z481" s="156"/>
    </row>
    <row r="482">
      <c r="A482" s="156"/>
      <c r="B482" s="156"/>
      <c r="C482" s="156"/>
      <c r="D482" s="156"/>
      <c r="E482" s="156"/>
      <c r="F482" s="156"/>
      <c r="G482" s="156"/>
      <c r="H482" s="156"/>
      <c r="I482" s="156"/>
      <c r="J482" s="156"/>
      <c r="K482" s="156"/>
      <c r="L482" s="156"/>
      <c r="M482" s="156"/>
      <c r="N482" s="156"/>
      <c r="O482" s="156"/>
      <c r="P482" s="156"/>
      <c r="Q482" s="156"/>
      <c r="R482" s="156"/>
      <c r="S482" s="156"/>
      <c r="T482" s="156"/>
      <c r="U482" s="156"/>
      <c r="V482" s="156"/>
      <c r="W482" s="156"/>
      <c r="X482" s="156"/>
      <c r="Y482" s="156"/>
      <c r="Z482" s="156"/>
    </row>
    <row r="483">
      <c r="A483" s="156"/>
      <c r="B483" s="156"/>
      <c r="C483" s="156"/>
      <c r="D483" s="156"/>
      <c r="E483" s="156"/>
      <c r="F483" s="156"/>
      <c r="G483" s="156"/>
      <c r="H483" s="156"/>
      <c r="I483" s="156"/>
      <c r="J483" s="156"/>
      <c r="K483" s="156"/>
      <c r="L483" s="156"/>
      <c r="M483" s="156"/>
      <c r="N483" s="156"/>
      <c r="O483" s="156"/>
      <c r="P483" s="156"/>
      <c r="Q483" s="156"/>
      <c r="R483" s="156"/>
      <c r="S483" s="156"/>
      <c r="T483" s="156"/>
      <c r="U483" s="156"/>
      <c r="V483" s="156"/>
      <c r="W483" s="156"/>
      <c r="X483" s="156"/>
      <c r="Y483" s="156"/>
      <c r="Z483" s="156"/>
    </row>
    <row r="484">
      <c r="A484" s="156"/>
      <c r="B484" s="156"/>
      <c r="C484" s="156"/>
      <c r="D484" s="156"/>
      <c r="E484" s="156"/>
      <c r="F484" s="156"/>
      <c r="G484" s="156"/>
      <c r="H484" s="156"/>
      <c r="I484" s="156"/>
      <c r="J484" s="156"/>
      <c r="K484" s="156"/>
      <c r="L484" s="156"/>
      <c r="M484" s="156"/>
      <c r="N484" s="156"/>
      <c r="O484" s="156"/>
      <c r="P484" s="156"/>
      <c r="Q484" s="156"/>
      <c r="R484" s="156"/>
      <c r="S484" s="156"/>
      <c r="T484" s="156"/>
      <c r="U484" s="156"/>
      <c r="V484" s="156"/>
      <c r="W484" s="156"/>
      <c r="X484" s="156"/>
      <c r="Y484" s="156"/>
      <c r="Z484" s="156"/>
    </row>
    <row r="485">
      <c r="A485" s="156"/>
      <c r="B485" s="156"/>
      <c r="C485" s="156"/>
      <c r="D485" s="156"/>
      <c r="E485" s="156"/>
      <c r="F485" s="156"/>
      <c r="G485" s="156"/>
      <c r="H485" s="156"/>
      <c r="I485" s="156"/>
      <c r="J485" s="156"/>
      <c r="K485" s="156"/>
      <c r="L485" s="156"/>
      <c r="M485" s="156"/>
      <c r="N485" s="156"/>
      <c r="O485" s="156"/>
      <c r="P485" s="156"/>
      <c r="Q485" s="156"/>
      <c r="R485" s="156"/>
      <c r="S485" s="156"/>
      <c r="T485" s="156"/>
      <c r="U485" s="156"/>
      <c r="V485" s="156"/>
      <c r="W485" s="156"/>
      <c r="X485" s="156"/>
      <c r="Y485" s="156"/>
      <c r="Z485" s="156"/>
    </row>
    <row r="486">
      <c r="A486" s="156"/>
      <c r="B486" s="156"/>
      <c r="C486" s="156"/>
      <c r="D486" s="156"/>
      <c r="E486" s="156"/>
      <c r="F486" s="156"/>
      <c r="G486" s="156"/>
      <c r="H486" s="156"/>
      <c r="I486" s="156"/>
      <c r="J486" s="156"/>
      <c r="K486" s="156"/>
      <c r="L486" s="156"/>
      <c r="M486" s="156"/>
      <c r="N486" s="156"/>
      <c r="O486" s="156"/>
      <c r="P486" s="156"/>
      <c r="Q486" s="156"/>
      <c r="R486" s="156"/>
      <c r="S486" s="156"/>
      <c r="T486" s="156"/>
      <c r="U486" s="156"/>
      <c r="V486" s="156"/>
      <c r="W486" s="156"/>
      <c r="X486" s="156"/>
      <c r="Y486" s="156"/>
      <c r="Z486" s="156"/>
    </row>
    <row r="487">
      <c r="A487" s="156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</row>
    <row r="488">
      <c r="A488" s="156"/>
      <c r="B488" s="156"/>
      <c r="C488" s="156"/>
      <c r="D488" s="156"/>
      <c r="E488" s="156"/>
      <c r="F488" s="156"/>
      <c r="G488" s="156"/>
      <c r="H488" s="156"/>
      <c r="I488" s="156"/>
      <c r="J488" s="156"/>
      <c r="K488" s="156"/>
      <c r="L488" s="156"/>
      <c r="M488" s="156"/>
      <c r="N488" s="156"/>
      <c r="O488" s="156"/>
      <c r="P488" s="156"/>
      <c r="Q488" s="156"/>
      <c r="R488" s="156"/>
      <c r="S488" s="156"/>
      <c r="T488" s="156"/>
      <c r="U488" s="156"/>
      <c r="V488" s="156"/>
      <c r="W488" s="156"/>
      <c r="X488" s="156"/>
      <c r="Y488" s="156"/>
      <c r="Z488" s="156"/>
    </row>
    <row r="489">
      <c r="A489" s="156"/>
      <c r="B489" s="156"/>
      <c r="C489" s="156"/>
      <c r="D489" s="156"/>
      <c r="E489" s="156"/>
      <c r="F489" s="156"/>
      <c r="G489" s="156"/>
      <c r="H489" s="156"/>
      <c r="I489" s="156"/>
      <c r="J489" s="156"/>
      <c r="K489" s="156"/>
      <c r="L489" s="156"/>
      <c r="M489" s="156"/>
      <c r="N489" s="156"/>
      <c r="O489" s="156"/>
      <c r="P489" s="156"/>
      <c r="Q489" s="156"/>
      <c r="R489" s="156"/>
      <c r="S489" s="156"/>
      <c r="T489" s="156"/>
      <c r="U489" s="156"/>
      <c r="V489" s="156"/>
      <c r="W489" s="156"/>
      <c r="X489" s="156"/>
      <c r="Y489" s="156"/>
      <c r="Z489" s="156"/>
    </row>
    <row r="490">
      <c r="A490" s="156"/>
      <c r="B490" s="156"/>
      <c r="C490" s="156"/>
      <c r="D490" s="156"/>
      <c r="E490" s="156"/>
      <c r="F490" s="156"/>
      <c r="G490" s="156"/>
      <c r="H490" s="156"/>
      <c r="I490" s="156"/>
      <c r="J490" s="156"/>
      <c r="K490" s="156"/>
      <c r="L490" s="156"/>
      <c r="M490" s="156"/>
      <c r="N490" s="156"/>
      <c r="O490" s="156"/>
      <c r="P490" s="156"/>
      <c r="Q490" s="156"/>
      <c r="R490" s="156"/>
      <c r="S490" s="156"/>
      <c r="T490" s="156"/>
      <c r="U490" s="156"/>
      <c r="V490" s="156"/>
      <c r="W490" s="156"/>
      <c r="X490" s="156"/>
      <c r="Y490" s="156"/>
      <c r="Z490" s="156"/>
    </row>
    <row r="491">
      <c r="A491" s="156"/>
      <c r="B491" s="156"/>
      <c r="C491" s="156"/>
      <c r="D491" s="156"/>
      <c r="E491" s="156"/>
      <c r="F491" s="156"/>
      <c r="G491" s="156"/>
      <c r="H491" s="156"/>
      <c r="I491" s="156"/>
      <c r="J491" s="156"/>
      <c r="K491" s="156"/>
      <c r="L491" s="156"/>
      <c r="M491" s="156"/>
      <c r="N491" s="156"/>
      <c r="O491" s="156"/>
      <c r="P491" s="156"/>
      <c r="Q491" s="156"/>
      <c r="R491" s="156"/>
      <c r="S491" s="156"/>
      <c r="T491" s="156"/>
      <c r="U491" s="156"/>
      <c r="V491" s="156"/>
      <c r="W491" s="156"/>
      <c r="X491" s="156"/>
      <c r="Y491" s="156"/>
      <c r="Z491" s="156"/>
    </row>
    <row r="492">
      <c r="A492" s="156"/>
      <c r="B492" s="156"/>
      <c r="C492" s="156"/>
      <c r="D492" s="156"/>
      <c r="E492" s="156"/>
      <c r="F492" s="156"/>
      <c r="G492" s="156"/>
      <c r="H492" s="156"/>
      <c r="I492" s="156"/>
      <c r="J492" s="156"/>
      <c r="K492" s="156"/>
      <c r="L492" s="156"/>
      <c r="M492" s="156"/>
      <c r="N492" s="156"/>
      <c r="O492" s="156"/>
      <c r="P492" s="156"/>
      <c r="Q492" s="156"/>
      <c r="R492" s="156"/>
      <c r="S492" s="156"/>
      <c r="T492" s="156"/>
      <c r="U492" s="156"/>
      <c r="V492" s="156"/>
      <c r="W492" s="156"/>
      <c r="X492" s="156"/>
      <c r="Y492" s="156"/>
      <c r="Z492" s="156"/>
    </row>
    <row r="493">
      <c r="A493" s="156"/>
      <c r="B493" s="156"/>
      <c r="C493" s="156"/>
      <c r="D493" s="156"/>
      <c r="E493" s="156"/>
      <c r="F493" s="156"/>
      <c r="G493" s="156"/>
      <c r="H493" s="156"/>
      <c r="I493" s="156"/>
      <c r="J493" s="156"/>
      <c r="K493" s="156"/>
      <c r="L493" s="156"/>
      <c r="M493" s="156"/>
      <c r="N493" s="156"/>
      <c r="O493" s="156"/>
      <c r="P493" s="156"/>
      <c r="Q493" s="156"/>
      <c r="R493" s="156"/>
      <c r="S493" s="156"/>
      <c r="T493" s="156"/>
      <c r="U493" s="156"/>
      <c r="V493" s="156"/>
      <c r="W493" s="156"/>
      <c r="X493" s="156"/>
      <c r="Y493" s="156"/>
      <c r="Z493" s="156"/>
    </row>
    <row r="494">
      <c r="A494" s="156"/>
      <c r="B494" s="156"/>
      <c r="C494" s="156"/>
      <c r="D494" s="156"/>
      <c r="E494" s="156"/>
      <c r="F494" s="156"/>
      <c r="G494" s="156"/>
      <c r="H494" s="156"/>
      <c r="I494" s="156"/>
      <c r="J494" s="156"/>
      <c r="K494" s="156"/>
      <c r="L494" s="156"/>
      <c r="M494" s="156"/>
      <c r="N494" s="156"/>
      <c r="O494" s="156"/>
      <c r="P494" s="156"/>
      <c r="Q494" s="156"/>
      <c r="R494" s="156"/>
      <c r="S494" s="156"/>
      <c r="T494" s="156"/>
      <c r="U494" s="156"/>
      <c r="V494" s="156"/>
      <c r="W494" s="156"/>
      <c r="X494" s="156"/>
      <c r="Y494" s="156"/>
      <c r="Z494" s="156"/>
    </row>
    <row r="495">
      <c r="A495" s="156"/>
      <c r="B495" s="156"/>
      <c r="C495" s="156"/>
      <c r="D495" s="156"/>
      <c r="E495" s="156"/>
      <c r="F495" s="156"/>
      <c r="G495" s="156"/>
      <c r="H495" s="156"/>
      <c r="I495" s="156"/>
      <c r="J495" s="156"/>
      <c r="K495" s="156"/>
      <c r="L495" s="156"/>
      <c r="M495" s="156"/>
      <c r="N495" s="156"/>
      <c r="O495" s="156"/>
      <c r="P495" s="156"/>
      <c r="Q495" s="156"/>
      <c r="R495" s="156"/>
      <c r="S495" s="156"/>
      <c r="T495" s="156"/>
      <c r="U495" s="156"/>
      <c r="V495" s="156"/>
      <c r="W495" s="156"/>
      <c r="X495" s="156"/>
      <c r="Y495" s="156"/>
      <c r="Z495" s="156"/>
    </row>
    <row r="496">
      <c r="A496" s="156"/>
      <c r="B496" s="156"/>
      <c r="C496" s="156"/>
      <c r="D496" s="156"/>
      <c r="E496" s="156"/>
      <c r="F496" s="156"/>
      <c r="G496" s="156"/>
      <c r="H496" s="156"/>
      <c r="I496" s="156"/>
      <c r="J496" s="156"/>
      <c r="K496" s="156"/>
      <c r="L496" s="156"/>
      <c r="M496" s="156"/>
      <c r="N496" s="156"/>
      <c r="O496" s="156"/>
      <c r="P496" s="156"/>
      <c r="Q496" s="156"/>
      <c r="R496" s="156"/>
      <c r="S496" s="156"/>
      <c r="T496" s="156"/>
      <c r="U496" s="156"/>
      <c r="V496" s="156"/>
      <c r="W496" s="156"/>
      <c r="X496" s="156"/>
      <c r="Y496" s="156"/>
      <c r="Z496" s="156"/>
    </row>
    <row r="497">
      <c r="A497" s="156"/>
      <c r="B497" s="156"/>
      <c r="C497" s="156"/>
      <c r="D497" s="156"/>
      <c r="E497" s="156"/>
      <c r="F497" s="156"/>
      <c r="G497" s="156"/>
      <c r="H497" s="156"/>
      <c r="I497" s="156"/>
      <c r="J497" s="156"/>
      <c r="K497" s="156"/>
      <c r="L497" s="156"/>
      <c r="M497" s="156"/>
      <c r="N497" s="156"/>
      <c r="O497" s="156"/>
      <c r="P497" s="156"/>
      <c r="Q497" s="156"/>
      <c r="R497" s="156"/>
      <c r="S497" s="156"/>
      <c r="T497" s="156"/>
      <c r="U497" s="156"/>
      <c r="V497" s="156"/>
      <c r="W497" s="156"/>
      <c r="X497" s="156"/>
      <c r="Y497" s="156"/>
      <c r="Z497" s="156"/>
    </row>
    <row r="498">
      <c r="A498" s="156"/>
      <c r="B498" s="156"/>
      <c r="C498" s="156"/>
      <c r="D498" s="156"/>
      <c r="E498" s="156"/>
      <c r="F498" s="156"/>
      <c r="G498" s="156"/>
      <c r="H498" s="156"/>
      <c r="I498" s="156"/>
      <c r="J498" s="156"/>
      <c r="K498" s="156"/>
      <c r="L498" s="156"/>
      <c r="M498" s="156"/>
      <c r="N498" s="156"/>
      <c r="O498" s="156"/>
      <c r="P498" s="156"/>
      <c r="Q498" s="156"/>
      <c r="R498" s="156"/>
      <c r="S498" s="156"/>
      <c r="T498" s="156"/>
      <c r="U498" s="156"/>
      <c r="V498" s="156"/>
      <c r="W498" s="156"/>
      <c r="X498" s="156"/>
      <c r="Y498" s="156"/>
      <c r="Z498" s="156"/>
    </row>
    <row r="499">
      <c r="A499" s="156"/>
      <c r="B499" s="156"/>
      <c r="C499" s="156"/>
      <c r="D499" s="156"/>
      <c r="E499" s="156"/>
      <c r="F499" s="156"/>
      <c r="G499" s="156"/>
      <c r="H499" s="156"/>
      <c r="I499" s="156"/>
      <c r="J499" s="156"/>
      <c r="K499" s="156"/>
      <c r="L499" s="156"/>
      <c r="M499" s="156"/>
      <c r="N499" s="156"/>
      <c r="O499" s="156"/>
      <c r="P499" s="156"/>
      <c r="Q499" s="156"/>
      <c r="R499" s="156"/>
      <c r="S499" s="156"/>
      <c r="T499" s="156"/>
      <c r="U499" s="156"/>
      <c r="V499" s="156"/>
      <c r="W499" s="156"/>
      <c r="X499" s="156"/>
      <c r="Y499" s="156"/>
      <c r="Z499" s="156"/>
    </row>
    <row r="500">
      <c r="A500" s="156"/>
      <c r="B500" s="156"/>
      <c r="C500" s="156"/>
      <c r="D500" s="156"/>
      <c r="E500" s="156"/>
      <c r="F500" s="156"/>
      <c r="G500" s="156"/>
      <c r="H500" s="156"/>
      <c r="I500" s="156"/>
      <c r="J500" s="156"/>
      <c r="K500" s="156"/>
      <c r="L500" s="156"/>
      <c r="M500" s="156"/>
      <c r="N500" s="156"/>
      <c r="O500" s="156"/>
      <c r="P500" s="156"/>
      <c r="Q500" s="156"/>
      <c r="R500" s="156"/>
      <c r="S500" s="156"/>
      <c r="T500" s="156"/>
      <c r="U500" s="156"/>
      <c r="V500" s="156"/>
      <c r="W500" s="156"/>
      <c r="X500" s="156"/>
      <c r="Y500" s="156"/>
      <c r="Z500" s="156"/>
    </row>
    <row r="501">
      <c r="A501" s="156"/>
      <c r="B501" s="156"/>
      <c r="C501" s="156"/>
      <c r="D501" s="156"/>
      <c r="E501" s="156"/>
      <c r="F501" s="156"/>
      <c r="G501" s="156"/>
      <c r="H501" s="156"/>
      <c r="I501" s="156"/>
      <c r="J501" s="156"/>
      <c r="K501" s="156"/>
      <c r="L501" s="156"/>
      <c r="M501" s="156"/>
      <c r="N501" s="156"/>
      <c r="O501" s="156"/>
      <c r="P501" s="156"/>
      <c r="Q501" s="156"/>
      <c r="R501" s="156"/>
      <c r="S501" s="156"/>
      <c r="T501" s="156"/>
      <c r="U501" s="156"/>
      <c r="V501" s="156"/>
      <c r="W501" s="156"/>
      <c r="X501" s="156"/>
      <c r="Y501" s="156"/>
      <c r="Z501" s="156"/>
    </row>
    <row r="502">
      <c r="A502" s="156"/>
      <c r="B502" s="156"/>
      <c r="C502" s="156"/>
      <c r="D502" s="156"/>
      <c r="E502" s="156"/>
      <c r="F502" s="156"/>
      <c r="G502" s="156"/>
      <c r="H502" s="156"/>
      <c r="I502" s="156"/>
      <c r="J502" s="156"/>
      <c r="K502" s="156"/>
      <c r="L502" s="156"/>
      <c r="M502" s="156"/>
      <c r="N502" s="156"/>
      <c r="O502" s="156"/>
      <c r="P502" s="156"/>
      <c r="Q502" s="156"/>
      <c r="R502" s="156"/>
      <c r="S502" s="156"/>
      <c r="T502" s="156"/>
      <c r="U502" s="156"/>
      <c r="V502" s="156"/>
      <c r="W502" s="156"/>
      <c r="X502" s="156"/>
      <c r="Y502" s="156"/>
      <c r="Z502" s="156"/>
    </row>
    <row r="503">
      <c r="A503" s="156"/>
      <c r="B503" s="156"/>
      <c r="C503" s="156"/>
      <c r="D503" s="156"/>
      <c r="E503" s="156"/>
      <c r="F503" s="156"/>
      <c r="G503" s="156"/>
      <c r="H503" s="156"/>
      <c r="I503" s="156"/>
      <c r="J503" s="156"/>
      <c r="K503" s="156"/>
      <c r="L503" s="156"/>
      <c r="M503" s="156"/>
      <c r="N503" s="156"/>
      <c r="O503" s="156"/>
      <c r="P503" s="156"/>
      <c r="Q503" s="156"/>
      <c r="R503" s="156"/>
      <c r="S503" s="156"/>
      <c r="T503" s="156"/>
      <c r="U503" s="156"/>
      <c r="V503" s="156"/>
      <c r="W503" s="156"/>
      <c r="X503" s="156"/>
      <c r="Y503" s="156"/>
      <c r="Z503" s="156"/>
    </row>
    <row r="504">
      <c r="A504" s="156"/>
      <c r="B504" s="156"/>
      <c r="C504" s="156"/>
      <c r="D504" s="156"/>
      <c r="E504" s="156"/>
      <c r="F504" s="156"/>
      <c r="G504" s="156"/>
      <c r="H504" s="156"/>
      <c r="I504" s="156"/>
      <c r="J504" s="156"/>
      <c r="K504" s="156"/>
      <c r="L504" s="156"/>
      <c r="M504" s="156"/>
      <c r="N504" s="156"/>
      <c r="O504" s="156"/>
      <c r="P504" s="156"/>
      <c r="Q504" s="156"/>
      <c r="R504" s="156"/>
      <c r="S504" s="156"/>
      <c r="T504" s="156"/>
      <c r="U504" s="156"/>
      <c r="V504" s="156"/>
      <c r="W504" s="156"/>
      <c r="X504" s="156"/>
      <c r="Y504" s="156"/>
      <c r="Z504" s="156"/>
    </row>
    <row r="505">
      <c r="A505" s="156"/>
      <c r="B505" s="156"/>
      <c r="C505" s="156"/>
      <c r="D505" s="156"/>
      <c r="E505" s="156"/>
      <c r="F505" s="156"/>
      <c r="G505" s="156"/>
      <c r="H505" s="156"/>
      <c r="I505" s="156"/>
      <c r="J505" s="156"/>
      <c r="K505" s="156"/>
      <c r="L505" s="156"/>
      <c r="M505" s="156"/>
      <c r="N505" s="156"/>
      <c r="O505" s="156"/>
      <c r="P505" s="156"/>
      <c r="Q505" s="156"/>
      <c r="R505" s="156"/>
      <c r="S505" s="156"/>
      <c r="T505" s="156"/>
      <c r="U505" s="156"/>
      <c r="V505" s="156"/>
      <c r="W505" s="156"/>
      <c r="X505" s="156"/>
      <c r="Y505" s="156"/>
      <c r="Z505" s="156"/>
    </row>
    <row r="506">
      <c r="A506" s="156"/>
      <c r="B506" s="156"/>
      <c r="C506" s="156"/>
      <c r="D506" s="156"/>
      <c r="E506" s="156"/>
      <c r="F506" s="156"/>
      <c r="G506" s="156"/>
      <c r="H506" s="156"/>
      <c r="I506" s="156"/>
      <c r="J506" s="156"/>
      <c r="K506" s="156"/>
      <c r="L506" s="156"/>
      <c r="M506" s="156"/>
      <c r="N506" s="156"/>
      <c r="O506" s="156"/>
      <c r="P506" s="156"/>
      <c r="Q506" s="156"/>
      <c r="R506" s="156"/>
      <c r="S506" s="156"/>
      <c r="T506" s="156"/>
      <c r="U506" s="156"/>
      <c r="V506" s="156"/>
      <c r="W506" s="156"/>
      <c r="X506" s="156"/>
      <c r="Y506" s="156"/>
      <c r="Z506" s="156"/>
    </row>
    <row r="507">
      <c r="A507" s="156"/>
      <c r="B507" s="156"/>
      <c r="C507" s="156"/>
      <c r="D507" s="156"/>
      <c r="E507" s="156"/>
      <c r="F507" s="156"/>
      <c r="G507" s="156"/>
      <c r="H507" s="156"/>
      <c r="I507" s="156"/>
      <c r="J507" s="156"/>
      <c r="K507" s="156"/>
      <c r="L507" s="156"/>
      <c r="M507" s="156"/>
      <c r="N507" s="156"/>
      <c r="O507" s="156"/>
      <c r="P507" s="156"/>
      <c r="Q507" s="156"/>
      <c r="R507" s="156"/>
      <c r="S507" s="156"/>
      <c r="T507" s="156"/>
      <c r="U507" s="156"/>
      <c r="V507" s="156"/>
      <c r="W507" s="156"/>
      <c r="X507" s="156"/>
      <c r="Y507" s="156"/>
      <c r="Z507" s="156"/>
    </row>
    <row r="508">
      <c r="A508" s="156"/>
      <c r="B508" s="156"/>
      <c r="C508" s="156"/>
      <c r="D508" s="156"/>
      <c r="E508" s="156"/>
      <c r="F508" s="156"/>
      <c r="G508" s="156"/>
      <c r="H508" s="156"/>
      <c r="I508" s="156"/>
      <c r="J508" s="156"/>
      <c r="K508" s="156"/>
      <c r="L508" s="156"/>
      <c r="M508" s="156"/>
      <c r="N508" s="156"/>
      <c r="O508" s="156"/>
      <c r="P508" s="156"/>
      <c r="Q508" s="156"/>
      <c r="R508" s="156"/>
      <c r="S508" s="156"/>
      <c r="T508" s="156"/>
      <c r="U508" s="156"/>
      <c r="V508" s="156"/>
      <c r="W508" s="156"/>
      <c r="X508" s="156"/>
      <c r="Y508" s="156"/>
      <c r="Z508" s="156"/>
    </row>
    <row r="509">
      <c r="A509" s="156"/>
      <c r="B509" s="156"/>
      <c r="C509" s="156"/>
      <c r="D509" s="156"/>
      <c r="E509" s="156"/>
      <c r="F509" s="156"/>
      <c r="G509" s="156"/>
      <c r="H509" s="156"/>
      <c r="I509" s="156"/>
      <c r="J509" s="156"/>
      <c r="K509" s="156"/>
      <c r="L509" s="156"/>
      <c r="M509" s="156"/>
      <c r="N509" s="156"/>
      <c r="O509" s="156"/>
      <c r="P509" s="156"/>
      <c r="Q509" s="156"/>
      <c r="R509" s="156"/>
      <c r="S509" s="156"/>
      <c r="T509" s="156"/>
      <c r="U509" s="156"/>
      <c r="V509" s="156"/>
      <c r="W509" s="156"/>
      <c r="X509" s="156"/>
      <c r="Y509" s="156"/>
      <c r="Z509" s="156"/>
    </row>
    <row r="510">
      <c r="A510" s="156"/>
      <c r="B510" s="156"/>
      <c r="C510" s="156"/>
      <c r="D510" s="156"/>
      <c r="E510" s="156"/>
      <c r="F510" s="156"/>
      <c r="G510" s="156"/>
      <c r="H510" s="156"/>
      <c r="I510" s="156"/>
      <c r="J510" s="156"/>
      <c r="K510" s="156"/>
      <c r="L510" s="156"/>
      <c r="M510" s="156"/>
      <c r="N510" s="156"/>
      <c r="O510" s="156"/>
      <c r="P510" s="156"/>
      <c r="Q510" s="156"/>
      <c r="R510" s="156"/>
      <c r="S510" s="156"/>
      <c r="T510" s="156"/>
      <c r="U510" s="156"/>
      <c r="V510" s="156"/>
      <c r="W510" s="156"/>
      <c r="X510" s="156"/>
      <c r="Y510" s="156"/>
      <c r="Z510" s="156"/>
    </row>
    <row r="511">
      <c r="A511" s="156"/>
      <c r="B511" s="156"/>
      <c r="C511" s="156"/>
      <c r="D511" s="156"/>
      <c r="E511" s="156"/>
      <c r="F511" s="156"/>
      <c r="G511" s="156"/>
      <c r="H511" s="156"/>
      <c r="I511" s="156"/>
      <c r="J511" s="156"/>
      <c r="K511" s="156"/>
      <c r="L511" s="156"/>
      <c r="M511" s="156"/>
      <c r="N511" s="156"/>
      <c r="O511" s="156"/>
      <c r="P511" s="156"/>
      <c r="Q511" s="156"/>
      <c r="R511" s="156"/>
      <c r="S511" s="156"/>
      <c r="T511" s="156"/>
      <c r="U511" s="156"/>
      <c r="V511" s="156"/>
      <c r="W511" s="156"/>
      <c r="X511" s="156"/>
      <c r="Y511" s="156"/>
      <c r="Z511" s="156"/>
    </row>
    <row r="512">
      <c r="A512" s="156"/>
      <c r="B512" s="156"/>
      <c r="C512" s="156"/>
      <c r="D512" s="156"/>
      <c r="E512" s="156"/>
      <c r="F512" s="156"/>
      <c r="G512" s="156"/>
      <c r="H512" s="156"/>
      <c r="I512" s="156"/>
      <c r="J512" s="156"/>
      <c r="K512" s="156"/>
      <c r="L512" s="156"/>
      <c r="M512" s="156"/>
      <c r="N512" s="156"/>
      <c r="O512" s="156"/>
      <c r="P512" s="156"/>
      <c r="Q512" s="156"/>
      <c r="R512" s="156"/>
      <c r="S512" s="156"/>
      <c r="T512" s="156"/>
      <c r="U512" s="156"/>
      <c r="V512" s="156"/>
      <c r="W512" s="156"/>
      <c r="X512" s="156"/>
      <c r="Y512" s="156"/>
      <c r="Z512" s="156"/>
    </row>
    <row r="513">
      <c r="A513" s="156"/>
      <c r="B513" s="156"/>
      <c r="C513" s="156"/>
      <c r="D513" s="156"/>
      <c r="E513" s="156"/>
      <c r="F513" s="156"/>
      <c r="G513" s="156"/>
      <c r="H513" s="156"/>
      <c r="I513" s="156"/>
      <c r="J513" s="156"/>
      <c r="K513" s="156"/>
      <c r="L513" s="156"/>
      <c r="M513" s="156"/>
      <c r="N513" s="156"/>
      <c r="O513" s="156"/>
      <c r="P513" s="156"/>
      <c r="Q513" s="156"/>
      <c r="R513" s="156"/>
      <c r="S513" s="156"/>
      <c r="T513" s="156"/>
      <c r="U513" s="156"/>
      <c r="V513" s="156"/>
      <c r="W513" s="156"/>
      <c r="X513" s="156"/>
      <c r="Y513" s="156"/>
      <c r="Z513" s="156"/>
    </row>
    <row r="514">
      <c r="A514" s="156"/>
      <c r="B514" s="156"/>
      <c r="C514" s="156"/>
      <c r="D514" s="156"/>
      <c r="E514" s="156"/>
      <c r="F514" s="156"/>
      <c r="G514" s="156"/>
      <c r="H514" s="156"/>
      <c r="I514" s="156"/>
      <c r="J514" s="156"/>
      <c r="K514" s="156"/>
      <c r="L514" s="156"/>
      <c r="M514" s="156"/>
      <c r="N514" s="156"/>
      <c r="O514" s="156"/>
      <c r="P514" s="156"/>
      <c r="Q514" s="156"/>
      <c r="R514" s="156"/>
      <c r="S514" s="156"/>
      <c r="T514" s="156"/>
      <c r="U514" s="156"/>
      <c r="V514" s="156"/>
      <c r="W514" s="156"/>
      <c r="X514" s="156"/>
      <c r="Y514" s="156"/>
      <c r="Z514" s="156"/>
    </row>
    <row r="515">
      <c r="A515" s="156"/>
      <c r="B515" s="156"/>
      <c r="C515" s="156"/>
      <c r="D515" s="156"/>
      <c r="E515" s="156"/>
      <c r="F515" s="156"/>
      <c r="G515" s="156"/>
      <c r="H515" s="156"/>
      <c r="I515" s="156"/>
      <c r="J515" s="156"/>
      <c r="K515" s="156"/>
      <c r="L515" s="156"/>
      <c r="M515" s="156"/>
      <c r="N515" s="156"/>
      <c r="O515" s="156"/>
      <c r="P515" s="156"/>
      <c r="Q515" s="156"/>
      <c r="R515" s="156"/>
      <c r="S515" s="156"/>
      <c r="T515" s="156"/>
      <c r="U515" s="156"/>
      <c r="V515" s="156"/>
      <c r="W515" s="156"/>
      <c r="X515" s="156"/>
      <c r="Y515" s="156"/>
      <c r="Z515" s="156"/>
    </row>
    <row r="516">
      <c r="A516" s="156"/>
      <c r="B516" s="156"/>
      <c r="C516" s="156"/>
      <c r="D516" s="156"/>
      <c r="E516" s="156"/>
      <c r="F516" s="156"/>
      <c r="G516" s="156"/>
      <c r="H516" s="156"/>
      <c r="I516" s="156"/>
      <c r="J516" s="156"/>
      <c r="K516" s="156"/>
      <c r="L516" s="156"/>
      <c r="M516" s="156"/>
      <c r="N516" s="156"/>
      <c r="O516" s="156"/>
      <c r="P516" s="156"/>
      <c r="Q516" s="156"/>
      <c r="R516" s="156"/>
      <c r="S516" s="156"/>
      <c r="T516" s="156"/>
      <c r="U516" s="156"/>
      <c r="V516" s="156"/>
      <c r="W516" s="156"/>
      <c r="X516" s="156"/>
      <c r="Y516" s="156"/>
      <c r="Z516" s="156"/>
    </row>
    <row r="517">
      <c r="A517" s="156"/>
      <c r="B517" s="156"/>
      <c r="C517" s="156"/>
      <c r="D517" s="156"/>
      <c r="E517" s="156"/>
      <c r="F517" s="156"/>
      <c r="G517" s="156"/>
      <c r="H517" s="156"/>
      <c r="I517" s="156"/>
      <c r="J517" s="156"/>
      <c r="K517" s="156"/>
      <c r="L517" s="156"/>
      <c r="M517" s="156"/>
      <c r="N517" s="156"/>
      <c r="O517" s="156"/>
      <c r="P517" s="156"/>
      <c r="Q517" s="156"/>
      <c r="R517" s="156"/>
      <c r="S517" s="156"/>
      <c r="T517" s="156"/>
      <c r="U517" s="156"/>
      <c r="V517" s="156"/>
      <c r="W517" s="156"/>
      <c r="X517" s="156"/>
      <c r="Y517" s="156"/>
      <c r="Z517" s="156"/>
    </row>
    <row r="518">
      <c r="A518" s="156"/>
      <c r="B518" s="156"/>
      <c r="C518" s="156"/>
      <c r="D518" s="156"/>
      <c r="E518" s="156"/>
      <c r="F518" s="156"/>
      <c r="G518" s="156"/>
      <c r="H518" s="156"/>
      <c r="I518" s="156"/>
      <c r="J518" s="156"/>
      <c r="K518" s="156"/>
      <c r="L518" s="156"/>
      <c r="M518" s="156"/>
      <c r="N518" s="156"/>
      <c r="O518" s="156"/>
      <c r="P518" s="156"/>
      <c r="Q518" s="156"/>
      <c r="R518" s="156"/>
      <c r="S518" s="156"/>
      <c r="T518" s="156"/>
      <c r="U518" s="156"/>
      <c r="V518" s="156"/>
      <c r="W518" s="156"/>
      <c r="X518" s="156"/>
      <c r="Y518" s="156"/>
      <c r="Z518" s="156"/>
    </row>
    <row r="519">
      <c r="A519" s="156"/>
      <c r="B519" s="156"/>
      <c r="C519" s="156"/>
      <c r="D519" s="156"/>
      <c r="E519" s="156"/>
      <c r="F519" s="156"/>
      <c r="G519" s="156"/>
      <c r="H519" s="156"/>
      <c r="I519" s="156"/>
      <c r="J519" s="156"/>
      <c r="K519" s="156"/>
      <c r="L519" s="156"/>
      <c r="M519" s="156"/>
      <c r="N519" s="156"/>
      <c r="O519" s="156"/>
      <c r="P519" s="156"/>
      <c r="Q519" s="156"/>
      <c r="R519" s="156"/>
      <c r="S519" s="156"/>
      <c r="T519" s="156"/>
      <c r="U519" s="156"/>
      <c r="V519" s="156"/>
      <c r="W519" s="156"/>
      <c r="X519" s="156"/>
      <c r="Y519" s="156"/>
      <c r="Z519" s="156"/>
    </row>
    <row r="520">
      <c r="A520" s="156"/>
      <c r="B520" s="156"/>
      <c r="C520" s="156"/>
      <c r="D520" s="156"/>
      <c r="E520" s="156"/>
      <c r="F520" s="156"/>
      <c r="G520" s="156"/>
      <c r="H520" s="156"/>
      <c r="I520" s="156"/>
      <c r="J520" s="156"/>
      <c r="K520" s="156"/>
      <c r="L520" s="156"/>
      <c r="M520" s="156"/>
      <c r="N520" s="156"/>
      <c r="O520" s="156"/>
      <c r="P520" s="156"/>
      <c r="Q520" s="156"/>
      <c r="R520" s="156"/>
      <c r="S520" s="156"/>
      <c r="T520" s="156"/>
      <c r="U520" s="156"/>
      <c r="V520" s="156"/>
      <c r="W520" s="156"/>
      <c r="X520" s="156"/>
      <c r="Y520" s="156"/>
      <c r="Z520" s="156"/>
    </row>
    <row r="521">
      <c r="A521" s="156"/>
      <c r="B521" s="156"/>
      <c r="C521" s="156"/>
      <c r="D521" s="156"/>
      <c r="E521" s="156"/>
      <c r="F521" s="156"/>
      <c r="G521" s="156"/>
      <c r="H521" s="156"/>
      <c r="I521" s="156"/>
      <c r="J521" s="156"/>
      <c r="K521" s="156"/>
      <c r="L521" s="156"/>
      <c r="M521" s="156"/>
      <c r="N521" s="156"/>
      <c r="O521" s="156"/>
      <c r="P521" s="156"/>
      <c r="Q521" s="156"/>
      <c r="R521" s="156"/>
      <c r="S521" s="156"/>
      <c r="T521" s="156"/>
      <c r="U521" s="156"/>
      <c r="V521" s="156"/>
      <c r="W521" s="156"/>
      <c r="X521" s="156"/>
      <c r="Y521" s="156"/>
      <c r="Z521" s="156"/>
    </row>
    <row r="522">
      <c r="A522" s="156"/>
      <c r="B522" s="156"/>
      <c r="C522" s="156"/>
      <c r="D522" s="156"/>
      <c r="E522" s="156"/>
      <c r="F522" s="156"/>
      <c r="G522" s="156"/>
      <c r="H522" s="156"/>
      <c r="I522" s="156"/>
      <c r="J522" s="156"/>
      <c r="K522" s="156"/>
      <c r="L522" s="156"/>
      <c r="M522" s="156"/>
      <c r="N522" s="156"/>
      <c r="O522" s="156"/>
      <c r="P522" s="156"/>
      <c r="Q522" s="156"/>
      <c r="R522" s="156"/>
      <c r="S522" s="156"/>
      <c r="T522" s="156"/>
      <c r="U522" s="156"/>
      <c r="V522" s="156"/>
      <c r="W522" s="156"/>
      <c r="X522" s="156"/>
      <c r="Y522" s="156"/>
      <c r="Z522" s="156"/>
    </row>
    <row r="523">
      <c r="A523" s="156"/>
      <c r="B523" s="156"/>
      <c r="C523" s="156"/>
      <c r="D523" s="156"/>
      <c r="E523" s="156"/>
      <c r="F523" s="156"/>
      <c r="G523" s="156"/>
      <c r="H523" s="156"/>
      <c r="I523" s="156"/>
      <c r="J523" s="156"/>
      <c r="K523" s="156"/>
      <c r="L523" s="156"/>
      <c r="M523" s="156"/>
      <c r="N523" s="156"/>
      <c r="O523" s="156"/>
      <c r="P523" s="156"/>
      <c r="Q523" s="156"/>
      <c r="R523" s="156"/>
      <c r="S523" s="156"/>
      <c r="T523" s="156"/>
      <c r="U523" s="156"/>
      <c r="V523" s="156"/>
      <c r="W523" s="156"/>
      <c r="X523" s="156"/>
      <c r="Y523" s="156"/>
      <c r="Z523" s="156"/>
    </row>
    <row r="524">
      <c r="A524" s="156"/>
      <c r="B524" s="156"/>
      <c r="C524" s="156"/>
      <c r="D524" s="156"/>
      <c r="E524" s="156"/>
      <c r="F524" s="156"/>
      <c r="G524" s="156"/>
      <c r="H524" s="156"/>
      <c r="I524" s="156"/>
      <c r="J524" s="156"/>
      <c r="K524" s="156"/>
      <c r="L524" s="156"/>
      <c r="M524" s="156"/>
      <c r="N524" s="156"/>
      <c r="O524" s="156"/>
      <c r="P524" s="156"/>
      <c r="Q524" s="156"/>
      <c r="R524" s="156"/>
      <c r="S524" s="156"/>
      <c r="T524" s="156"/>
      <c r="U524" s="156"/>
      <c r="V524" s="156"/>
      <c r="W524" s="156"/>
      <c r="X524" s="156"/>
      <c r="Y524" s="156"/>
      <c r="Z524" s="156"/>
    </row>
    <row r="525">
      <c r="A525" s="156"/>
      <c r="B525" s="156"/>
      <c r="C525" s="156"/>
      <c r="D525" s="156"/>
      <c r="E525" s="156"/>
      <c r="F525" s="156"/>
      <c r="G525" s="156"/>
      <c r="H525" s="156"/>
      <c r="I525" s="156"/>
      <c r="J525" s="156"/>
      <c r="K525" s="156"/>
      <c r="L525" s="156"/>
      <c r="M525" s="156"/>
      <c r="N525" s="156"/>
      <c r="O525" s="156"/>
      <c r="P525" s="156"/>
      <c r="Q525" s="156"/>
      <c r="R525" s="156"/>
      <c r="S525" s="156"/>
      <c r="T525" s="156"/>
      <c r="U525" s="156"/>
      <c r="V525" s="156"/>
      <c r="W525" s="156"/>
      <c r="X525" s="156"/>
      <c r="Y525" s="156"/>
      <c r="Z525" s="156"/>
    </row>
    <row r="526">
      <c r="A526" s="156"/>
      <c r="B526" s="156"/>
      <c r="C526" s="156"/>
      <c r="D526" s="156"/>
      <c r="E526" s="156"/>
      <c r="F526" s="156"/>
      <c r="G526" s="156"/>
      <c r="H526" s="156"/>
      <c r="I526" s="156"/>
      <c r="J526" s="156"/>
      <c r="K526" s="156"/>
      <c r="L526" s="156"/>
      <c r="M526" s="156"/>
      <c r="N526" s="156"/>
      <c r="O526" s="156"/>
      <c r="P526" s="156"/>
      <c r="Q526" s="156"/>
      <c r="R526" s="156"/>
      <c r="S526" s="156"/>
      <c r="T526" s="156"/>
      <c r="U526" s="156"/>
      <c r="V526" s="156"/>
      <c r="W526" s="156"/>
      <c r="X526" s="156"/>
      <c r="Y526" s="156"/>
      <c r="Z526" s="156"/>
    </row>
    <row r="527">
      <c r="A527" s="156"/>
      <c r="B527" s="156"/>
      <c r="C527" s="156"/>
      <c r="D527" s="156"/>
      <c r="E527" s="156"/>
      <c r="F527" s="156"/>
      <c r="G527" s="156"/>
      <c r="H527" s="156"/>
      <c r="I527" s="156"/>
      <c r="J527" s="156"/>
      <c r="K527" s="156"/>
      <c r="L527" s="156"/>
      <c r="M527" s="156"/>
      <c r="N527" s="156"/>
      <c r="O527" s="156"/>
      <c r="P527" s="156"/>
      <c r="Q527" s="156"/>
      <c r="R527" s="156"/>
      <c r="S527" s="156"/>
      <c r="T527" s="156"/>
      <c r="U527" s="156"/>
      <c r="V527" s="156"/>
      <c r="W527" s="156"/>
      <c r="X527" s="156"/>
      <c r="Y527" s="156"/>
      <c r="Z527" s="156"/>
    </row>
    <row r="528">
      <c r="A528" s="156"/>
      <c r="B528" s="156"/>
      <c r="C528" s="156"/>
      <c r="D528" s="156"/>
      <c r="E528" s="156"/>
      <c r="F528" s="156"/>
      <c r="G528" s="156"/>
      <c r="H528" s="156"/>
      <c r="I528" s="156"/>
      <c r="J528" s="156"/>
      <c r="K528" s="156"/>
      <c r="L528" s="156"/>
      <c r="M528" s="156"/>
      <c r="N528" s="156"/>
      <c r="O528" s="156"/>
      <c r="P528" s="156"/>
      <c r="Q528" s="156"/>
      <c r="R528" s="156"/>
      <c r="S528" s="156"/>
      <c r="T528" s="156"/>
      <c r="U528" s="156"/>
      <c r="V528" s="156"/>
      <c r="W528" s="156"/>
      <c r="X528" s="156"/>
      <c r="Y528" s="156"/>
      <c r="Z528" s="156"/>
    </row>
    <row r="529">
      <c r="A529" s="156"/>
      <c r="B529" s="156"/>
      <c r="C529" s="156"/>
      <c r="D529" s="156"/>
      <c r="E529" s="156"/>
      <c r="F529" s="156"/>
      <c r="G529" s="156"/>
      <c r="H529" s="156"/>
      <c r="I529" s="156"/>
      <c r="J529" s="156"/>
      <c r="K529" s="156"/>
      <c r="L529" s="156"/>
      <c r="M529" s="156"/>
      <c r="N529" s="156"/>
      <c r="O529" s="156"/>
      <c r="P529" s="156"/>
      <c r="Q529" s="156"/>
      <c r="R529" s="156"/>
      <c r="S529" s="156"/>
      <c r="T529" s="156"/>
      <c r="U529" s="156"/>
      <c r="V529" s="156"/>
      <c r="W529" s="156"/>
      <c r="X529" s="156"/>
      <c r="Y529" s="156"/>
      <c r="Z529" s="156"/>
    </row>
    <row r="530">
      <c r="A530" s="156"/>
      <c r="B530" s="156"/>
      <c r="C530" s="156"/>
      <c r="D530" s="156"/>
      <c r="E530" s="156"/>
      <c r="F530" s="156"/>
      <c r="G530" s="156"/>
      <c r="H530" s="156"/>
      <c r="I530" s="156"/>
      <c r="J530" s="156"/>
      <c r="K530" s="156"/>
      <c r="L530" s="156"/>
      <c r="M530" s="156"/>
      <c r="N530" s="156"/>
      <c r="O530" s="156"/>
      <c r="P530" s="156"/>
      <c r="Q530" s="156"/>
      <c r="R530" s="156"/>
      <c r="S530" s="156"/>
      <c r="T530" s="156"/>
      <c r="U530" s="156"/>
      <c r="V530" s="156"/>
      <c r="W530" s="156"/>
      <c r="X530" s="156"/>
      <c r="Y530" s="156"/>
      <c r="Z530" s="156"/>
    </row>
    <row r="531">
      <c r="A531" s="156"/>
      <c r="B531" s="156"/>
      <c r="C531" s="156"/>
      <c r="D531" s="156"/>
      <c r="E531" s="156"/>
      <c r="F531" s="156"/>
      <c r="G531" s="156"/>
      <c r="H531" s="156"/>
      <c r="I531" s="156"/>
      <c r="J531" s="156"/>
      <c r="K531" s="156"/>
      <c r="L531" s="156"/>
      <c r="M531" s="156"/>
      <c r="N531" s="156"/>
      <c r="O531" s="156"/>
      <c r="P531" s="156"/>
      <c r="Q531" s="156"/>
      <c r="R531" s="156"/>
      <c r="S531" s="156"/>
      <c r="T531" s="156"/>
      <c r="U531" s="156"/>
      <c r="V531" s="156"/>
      <c r="W531" s="156"/>
      <c r="X531" s="156"/>
      <c r="Y531" s="156"/>
      <c r="Z531" s="156"/>
    </row>
    <row r="532">
      <c r="A532" s="156"/>
      <c r="B532" s="156"/>
      <c r="C532" s="156"/>
      <c r="D532" s="156"/>
      <c r="E532" s="156"/>
      <c r="F532" s="156"/>
      <c r="G532" s="156"/>
      <c r="H532" s="156"/>
      <c r="I532" s="156"/>
      <c r="J532" s="156"/>
      <c r="K532" s="156"/>
      <c r="L532" s="156"/>
      <c r="M532" s="156"/>
      <c r="N532" s="156"/>
      <c r="O532" s="156"/>
      <c r="P532" s="156"/>
      <c r="Q532" s="156"/>
      <c r="R532" s="156"/>
      <c r="S532" s="156"/>
      <c r="T532" s="156"/>
      <c r="U532" s="156"/>
      <c r="V532" s="156"/>
      <c r="W532" s="156"/>
      <c r="X532" s="156"/>
      <c r="Y532" s="156"/>
      <c r="Z532" s="156"/>
    </row>
    <row r="533">
      <c r="A533" s="156"/>
      <c r="B533" s="156"/>
      <c r="C533" s="156"/>
      <c r="D533" s="156"/>
      <c r="E533" s="156"/>
      <c r="F533" s="156"/>
      <c r="G533" s="156"/>
      <c r="H533" s="156"/>
      <c r="I533" s="156"/>
      <c r="J533" s="156"/>
      <c r="K533" s="156"/>
      <c r="L533" s="156"/>
      <c r="M533" s="156"/>
      <c r="N533" s="156"/>
      <c r="O533" s="156"/>
      <c r="P533" s="156"/>
      <c r="Q533" s="156"/>
      <c r="R533" s="156"/>
      <c r="S533" s="156"/>
      <c r="T533" s="156"/>
      <c r="U533" s="156"/>
      <c r="V533" s="156"/>
      <c r="W533" s="156"/>
      <c r="X533" s="156"/>
      <c r="Y533" s="156"/>
      <c r="Z533" s="156"/>
    </row>
    <row r="534">
      <c r="A534" s="156"/>
      <c r="B534" s="156"/>
      <c r="C534" s="156"/>
      <c r="D534" s="156"/>
      <c r="E534" s="156"/>
      <c r="F534" s="156"/>
      <c r="G534" s="156"/>
      <c r="H534" s="156"/>
      <c r="I534" s="156"/>
      <c r="J534" s="156"/>
      <c r="K534" s="156"/>
      <c r="L534" s="156"/>
      <c r="M534" s="156"/>
      <c r="N534" s="156"/>
      <c r="O534" s="156"/>
      <c r="P534" s="156"/>
      <c r="Q534" s="156"/>
      <c r="R534" s="156"/>
      <c r="S534" s="156"/>
      <c r="T534" s="156"/>
      <c r="U534" s="156"/>
      <c r="V534" s="156"/>
      <c r="W534" s="156"/>
      <c r="X534" s="156"/>
      <c r="Y534" s="156"/>
      <c r="Z534" s="156"/>
    </row>
    <row r="535">
      <c r="A535" s="156"/>
      <c r="B535" s="156"/>
      <c r="C535" s="156"/>
      <c r="D535" s="156"/>
      <c r="E535" s="156"/>
      <c r="F535" s="156"/>
      <c r="G535" s="156"/>
      <c r="H535" s="156"/>
      <c r="I535" s="156"/>
      <c r="J535" s="156"/>
      <c r="K535" s="156"/>
      <c r="L535" s="156"/>
      <c r="M535" s="156"/>
      <c r="N535" s="156"/>
      <c r="O535" s="156"/>
      <c r="P535" s="156"/>
      <c r="Q535" s="156"/>
      <c r="R535" s="156"/>
      <c r="S535" s="156"/>
      <c r="T535" s="156"/>
      <c r="U535" s="156"/>
      <c r="V535" s="156"/>
      <c r="W535" s="156"/>
      <c r="X535" s="156"/>
      <c r="Y535" s="156"/>
      <c r="Z535" s="156"/>
    </row>
    <row r="536">
      <c r="A536" s="156"/>
      <c r="B536" s="156"/>
      <c r="C536" s="156"/>
      <c r="D536" s="156"/>
      <c r="E536" s="156"/>
      <c r="F536" s="156"/>
      <c r="G536" s="156"/>
      <c r="H536" s="156"/>
      <c r="I536" s="156"/>
      <c r="J536" s="156"/>
      <c r="K536" s="156"/>
      <c r="L536" s="156"/>
      <c r="M536" s="156"/>
      <c r="N536" s="156"/>
      <c r="O536" s="156"/>
      <c r="P536" s="156"/>
      <c r="Q536" s="156"/>
      <c r="R536" s="156"/>
      <c r="S536" s="156"/>
      <c r="T536" s="156"/>
      <c r="U536" s="156"/>
      <c r="V536" s="156"/>
      <c r="W536" s="156"/>
      <c r="X536" s="156"/>
      <c r="Y536" s="156"/>
      <c r="Z536" s="156"/>
    </row>
    <row r="537">
      <c r="A537" s="156"/>
      <c r="B537" s="156"/>
      <c r="C537" s="156"/>
      <c r="D537" s="156"/>
      <c r="E537" s="156"/>
      <c r="F537" s="156"/>
      <c r="G537" s="156"/>
      <c r="H537" s="156"/>
      <c r="I537" s="156"/>
      <c r="J537" s="156"/>
      <c r="K537" s="156"/>
      <c r="L537" s="156"/>
      <c r="M537" s="156"/>
      <c r="N537" s="156"/>
      <c r="O537" s="156"/>
      <c r="P537" s="156"/>
      <c r="Q537" s="156"/>
      <c r="R537" s="156"/>
      <c r="S537" s="156"/>
      <c r="T537" s="156"/>
      <c r="U537" s="156"/>
      <c r="V537" s="156"/>
      <c r="W537" s="156"/>
      <c r="X537" s="156"/>
      <c r="Y537" s="156"/>
      <c r="Z537" s="156"/>
    </row>
    <row r="538">
      <c r="A538" s="156"/>
      <c r="B538" s="156"/>
      <c r="C538" s="156"/>
      <c r="D538" s="156"/>
      <c r="E538" s="156"/>
      <c r="F538" s="156"/>
      <c r="G538" s="156"/>
      <c r="H538" s="156"/>
      <c r="I538" s="156"/>
      <c r="J538" s="156"/>
      <c r="K538" s="156"/>
      <c r="L538" s="156"/>
      <c r="M538" s="156"/>
      <c r="N538" s="156"/>
      <c r="O538" s="156"/>
      <c r="P538" s="156"/>
      <c r="Q538" s="156"/>
      <c r="R538" s="156"/>
      <c r="S538" s="156"/>
      <c r="T538" s="156"/>
      <c r="U538" s="156"/>
      <c r="V538" s="156"/>
      <c r="W538" s="156"/>
      <c r="X538" s="156"/>
      <c r="Y538" s="156"/>
      <c r="Z538" s="156"/>
    </row>
    <row r="539">
      <c r="A539" s="156"/>
      <c r="B539" s="156"/>
      <c r="C539" s="156"/>
      <c r="D539" s="156"/>
      <c r="E539" s="156"/>
      <c r="F539" s="156"/>
      <c r="G539" s="156"/>
      <c r="H539" s="156"/>
      <c r="I539" s="156"/>
      <c r="J539" s="156"/>
      <c r="K539" s="156"/>
      <c r="L539" s="156"/>
      <c r="M539" s="156"/>
      <c r="N539" s="156"/>
      <c r="O539" s="156"/>
      <c r="P539" s="156"/>
      <c r="Q539" s="156"/>
      <c r="R539" s="156"/>
      <c r="S539" s="156"/>
      <c r="T539" s="156"/>
      <c r="U539" s="156"/>
      <c r="V539" s="156"/>
      <c r="W539" s="156"/>
      <c r="X539" s="156"/>
      <c r="Y539" s="156"/>
      <c r="Z539" s="156"/>
    </row>
    <row r="540">
      <c r="A540" s="156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</row>
    <row r="541">
      <c r="A541" s="156"/>
      <c r="B541" s="156"/>
      <c r="C541" s="156"/>
      <c r="D541" s="156"/>
      <c r="E541" s="156"/>
      <c r="F541" s="156"/>
      <c r="G541" s="156"/>
      <c r="H541" s="156"/>
      <c r="I541" s="156"/>
      <c r="J541" s="156"/>
      <c r="K541" s="156"/>
      <c r="L541" s="156"/>
      <c r="M541" s="156"/>
      <c r="N541" s="156"/>
      <c r="O541" s="156"/>
      <c r="P541" s="156"/>
      <c r="Q541" s="156"/>
      <c r="R541" s="156"/>
      <c r="S541" s="156"/>
      <c r="T541" s="156"/>
      <c r="U541" s="156"/>
      <c r="V541" s="156"/>
      <c r="W541" s="156"/>
      <c r="X541" s="156"/>
      <c r="Y541" s="156"/>
      <c r="Z541" s="156"/>
    </row>
    <row r="542">
      <c r="A542" s="156"/>
      <c r="B542" s="156"/>
      <c r="C542" s="156"/>
      <c r="D542" s="156"/>
      <c r="E542" s="156"/>
      <c r="F542" s="156"/>
      <c r="G542" s="156"/>
      <c r="H542" s="156"/>
      <c r="I542" s="156"/>
      <c r="J542" s="156"/>
      <c r="K542" s="156"/>
      <c r="L542" s="156"/>
      <c r="M542" s="156"/>
      <c r="N542" s="156"/>
      <c r="O542" s="156"/>
      <c r="P542" s="156"/>
      <c r="Q542" s="156"/>
      <c r="R542" s="156"/>
      <c r="S542" s="156"/>
      <c r="T542" s="156"/>
      <c r="U542" s="156"/>
      <c r="V542" s="156"/>
      <c r="W542" s="156"/>
      <c r="X542" s="156"/>
      <c r="Y542" s="156"/>
      <c r="Z542" s="156"/>
    </row>
    <row r="543">
      <c r="A543" s="156"/>
      <c r="B543" s="156"/>
      <c r="C543" s="156"/>
      <c r="D543" s="156"/>
      <c r="E543" s="156"/>
      <c r="F543" s="156"/>
      <c r="G543" s="156"/>
      <c r="H543" s="156"/>
      <c r="I543" s="156"/>
      <c r="J543" s="156"/>
      <c r="K543" s="156"/>
      <c r="L543" s="156"/>
      <c r="M543" s="156"/>
      <c r="N543" s="156"/>
      <c r="O543" s="156"/>
      <c r="P543" s="156"/>
      <c r="Q543" s="156"/>
      <c r="R543" s="156"/>
      <c r="S543" s="156"/>
      <c r="T543" s="156"/>
      <c r="U543" s="156"/>
      <c r="V543" s="156"/>
      <c r="W543" s="156"/>
      <c r="X543" s="156"/>
      <c r="Y543" s="156"/>
      <c r="Z543" s="156"/>
    </row>
    <row r="544">
      <c r="A544" s="156"/>
      <c r="B544" s="156"/>
      <c r="C544" s="156"/>
      <c r="D544" s="156"/>
      <c r="E544" s="156"/>
      <c r="F544" s="156"/>
      <c r="G544" s="156"/>
      <c r="H544" s="156"/>
      <c r="I544" s="156"/>
      <c r="J544" s="156"/>
      <c r="K544" s="156"/>
      <c r="L544" s="156"/>
      <c r="M544" s="156"/>
      <c r="N544" s="156"/>
      <c r="O544" s="156"/>
      <c r="P544" s="156"/>
      <c r="Q544" s="156"/>
      <c r="R544" s="156"/>
      <c r="S544" s="156"/>
      <c r="T544" s="156"/>
      <c r="U544" s="156"/>
      <c r="V544" s="156"/>
      <c r="W544" s="156"/>
      <c r="X544" s="156"/>
      <c r="Y544" s="156"/>
      <c r="Z544" s="156"/>
    </row>
    <row r="545">
      <c r="A545" s="156"/>
      <c r="B545" s="156"/>
      <c r="C545" s="156"/>
      <c r="D545" s="156"/>
      <c r="E545" s="156"/>
      <c r="F545" s="156"/>
      <c r="G545" s="156"/>
      <c r="H545" s="156"/>
      <c r="I545" s="156"/>
      <c r="J545" s="156"/>
      <c r="K545" s="156"/>
      <c r="L545" s="156"/>
      <c r="M545" s="156"/>
      <c r="N545" s="156"/>
      <c r="O545" s="156"/>
      <c r="P545" s="156"/>
      <c r="Q545" s="156"/>
      <c r="R545" s="156"/>
      <c r="S545" s="156"/>
      <c r="T545" s="156"/>
      <c r="U545" s="156"/>
      <c r="V545" s="156"/>
      <c r="W545" s="156"/>
      <c r="X545" s="156"/>
      <c r="Y545" s="156"/>
      <c r="Z545" s="156"/>
    </row>
    <row r="546">
      <c r="A546" s="156"/>
      <c r="B546" s="156"/>
      <c r="C546" s="156"/>
      <c r="D546" s="156"/>
      <c r="E546" s="156"/>
      <c r="F546" s="156"/>
      <c r="G546" s="156"/>
      <c r="H546" s="156"/>
      <c r="I546" s="156"/>
      <c r="J546" s="156"/>
      <c r="K546" s="156"/>
      <c r="L546" s="156"/>
      <c r="M546" s="156"/>
      <c r="N546" s="156"/>
      <c r="O546" s="156"/>
      <c r="P546" s="156"/>
      <c r="Q546" s="156"/>
      <c r="R546" s="156"/>
      <c r="S546" s="156"/>
      <c r="T546" s="156"/>
      <c r="U546" s="156"/>
      <c r="V546" s="156"/>
      <c r="W546" s="156"/>
      <c r="X546" s="156"/>
      <c r="Y546" s="156"/>
      <c r="Z546" s="156"/>
    </row>
    <row r="547">
      <c r="A547" s="156"/>
      <c r="B547" s="156"/>
      <c r="C547" s="156"/>
      <c r="D547" s="156"/>
      <c r="E547" s="156"/>
      <c r="F547" s="156"/>
      <c r="G547" s="156"/>
      <c r="H547" s="156"/>
      <c r="I547" s="156"/>
      <c r="J547" s="156"/>
      <c r="K547" s="156"/>
      <c r="L547" s="156"/>
      <c r="M547" s="156"/>
      <c r="N547" s="156"/>
      <c r="O547" s="156"/>
      <c r="P547" s="156"/>
      <c r="Q547" s="156"/>
      <c r="R547" s="156"/>
      <c r="S547" s="156"/>
      <c r="T547" s="156"/>
      <c r="U547" s="156"/>
      <c r="V547" s="156"/>
      <c r="W547" s="156"/>
      <c r="X547" s="156"/>
      <c r="Y547" s="156"/>
      <c r="Z547" s="156"/>
    </row>
    <row r="548">
      <c r="A548" s="156"/>
      <c r="B548" s="156"/>
      <c r="C548" s="156"/>
      <c r="D548" s="156"/>
      <c r="E548" s="156"/>
      <c r="F548" s="156"/>
      <c r="G548" s="156"/>
      <c r="H548" s="156"/>
      <c r="I548" s="156"/>
      <c r="J548" s="156"/>
      <c r="K548" s="156"/>
      <c r="L548" s="156"/>
      <c r="M548" s="156"/>
      <c r="N548" s="156"/>
      <c r="O548" s="156"/>
      <c r="P548" s="156"/>
      <c r="Q548" s="156"/>
      <c r="R548" s="156"/>
      <c r="S548" s="156"/>
      <c r="T548" s="156"/>
      <c r="U548" s="156"/>
      <c r="V548" s="156"/>
      <c r="W548" s="156"/>
      <c r="X548" s="156"/>
      <c r="Y548" s="156"/>
      <c r="Z548" s="156"/>
    </row>
    <row r="549">
      <c r="A549" s="156"/>
      <c r="B549" s="156"/>
      <c r="C549" s="156"/>
      <c r="D549" s="156"/>
      <c r="E549" s="156"/>
      <c r="F549" s="156"/>
      <c r="G549" s="156"/>
      <c r="H549" s="156"/>
      <c r="I549" s="156"/>
      <c r="J549" s="156"/>
      <c r="K549" s="156"/>
      <c r="L549" s="156"/>
      <c r="M549" s="156"/>
      <c r="N549" s="156"/>
      <c r="O549" s="156"/>
      <c r="P549" s="156"/>
      <c r="Q549" s="156"/>
      <c r="R549" s="156"/>
      <c r="S549" s="156"/>
      <c r="T549" s="156"/>
      <c r="U549" s="156"/>
      <c r="V549" s="156"/>
      <c r="W549" s="156"/>
      <c r="X549" s="156"/>
      <c r="Y549" s="156"/>
      <c r="Z549" s="156"/>
    </row>
    <row r="550">
      <c r="A550" s="156"/>
      <c r="B550" s="156"/>
      <c r="C550" s="156"/>
      <c r="D550" s="156"/>
      <c r="E550" s="156"/>
      <c r="F550" s="156"/>
      <c r="G550" s="156"/>
      <c r="H550" s="156"/>
      <c r="I550" s="156"/>
      <c r="J550" s="156"/>
      <c r="K550" s="156"/>
      <c r="L550" s="156"/>
      <c r="M550" s="156"/>
      <c r="N550" s="156"/>
      <c r="O550" s="156"/>
      <c r="P550" s="156"/>
      <c r="Q550" s="156"/>
      <c r="R550" s="156"/>
      <c r="S550" s="156"/>
      <c r="T550" s="156"/>
      <c r="U550" s="156"/>
      <c r="V550" s="156"/>
      <c r="W550" s="156"/>
      <c r="X550" s="156"/>
      <c r="Y550" s="156"/>
      <c r="Z550" s="156"/>
    </row>
    <row r="551">
      <c r="A551" s="156"/>
      <c r="B551" s="156"/>
      <c r="C551" s="156"/>
      <c r="D551" s="156"/>
      <c r="E551" s="156"/>
      <c r="F551" s="156"/>
      <c r="G551" s="156"/>
      <c r="H551" s="156"/>
      <c r="I551" s="156"/>
      <c r="J551" s="156"/>
      <c r="K551" s="156"/>
      <c r="L551" s="156"/>
      <c r="M551" s="156"/>
      <c r="N551" s="156"/>
      <c r="O551" s="156"/>
      <c r="P551" s="156"/>
      <c r="Q551" s="156"/>
      <c r="R551" s="156"/>
      <c r="S551" s="156"/>
      <c r="T551" s="156"/>
      <c r="U551" s="156"/>
      <c r="V551" s="156"/>
      <c r="W551" s="156"/>
      <c r="X551" s="156"/>
      <c r="Y551" s="156"/>
      <c r="Z551" s="156"/>
    </row>
    <row r="552">
      <c r="A552" s="156"/>
      <c r="B552" s="156"/>
      <c r="C552" s="156"/>
      <c r="D552" s="156"/>
      <c r="E552" s="156"/>
      <c r="F552" s="156"/>
      <c r="G552" s="156"/>
      <c r="H552" s="156"/>
      <c r="I552" s="156"/>
      <c r="J552" s="156"/>
      <c r="K552" s="156"/>
      <c r="L552" s="156"/>
      <c r="M552" s="156"/>
      <c r="N552" s="156"/>
      <c r="O552" s="156"/>
      <c r="P552" s="156"/>
      <c r="Q552" s="156"/>
      <c r="R552" s="156"/>
      <c r="S552" s="156"/>
      <c r="T552" s="156"/>
      <c r="U552" s="156"/>
      <c r="V552" s="156"/>
      <c r="W552" s="156"/>
      <c r="X552" s="156"/>
      <c r="Y552" s="156"/>
      <c r="Z552" s="156"/>
    </row>
    <row r="553">
      <c r="A553" s="156"/>
      <c r="B553" s="156"/>
      <c r="C553" s="156"/>
      <c r="D553" s="156"/>
      <c r="E553" s="156"/>
      <c r="F553" s="156"/>
      <c r="G553" s="156"/>
      <c r="H553" s="156"/>
      <c r="I553" s="156"/>
      <c r="J553" s="156"/>
      <c r="K553" s="156"/>
      <c r="L553" s="156"/>
      <c r="M553" s="156"/>
      <c r="N553" s="156"/>
      <c r="O553" s="156"/>
      <c r="P553" s="156"/>
      <c r="Q553" s="156"/>
      <c r="R553" s="156"/>
      <c r="S553" s="156"/>
      <c r="T553" s="156"/>
      <c r="U553" s="156"/>
      <c r="V553" s="156"/>
      <c r="W553" s="156"/>
      <c r="X553" s="156"/>
      <c r="Y553" s="156"/>
      <c r="Z553" s="156"/>
    </row>
    <row r="554">
      <c r="A554" s="156"/>
      <c r="B554" s="156"/>
      <c r="C554" s="156"/>
      <c r="D554" s="156"/>
      <c r="E554" s="156"/>
      <c r="F554" s="156"/>
      <c r="G554" s="156"/>
      <c r="H554" s="156"/>
      <c r="I554" s="156"/>
      <c r="J554" s="156"/>
      <c r="K554" s="156"/>
      <c r="L554" s="156"/>
      <c r="M554" s="156"/>
      <c r="N554" s="156"/>
      <c r="O554" s="156"/>
      <c r="P554" s="156"/>
      <c r="Q554" s="156"/>
      <c r="R554" s="156"/>
      <c r="S554" s="156"/>
      <c r="T554" s="156"/>
      <c r="U554" s="156"/>
      <c r="V554" s="156"/>
      <c r="W554" s="156"/>
      <c r="X554" s="156"/>
      <c r="Y554" s="156"/>
      <c r="Z554" s="156"/>
    </row>
    <row r="555">
      <c r="A555" s="156"/>
      <c r="B555" s="156"/>
      <c r="C555" s="156"/>
      <c r="D555" s="156"/>
      <c r="E555" s="156"/>
      <c r="F555" s="156"/>
      <c r="G555" s="156"/>
      <c r="H555" s="156"/>
      <c r="I555" s="156"/>
      <c r="J555" s="156"/>
      <c r="K555" s="156"/>
      <c r="L555" s="156"/>
      <c r="M555" s="156"/>
      <c r="N555" s="156"/>
      <c r="O555" s="156"/>
      <c r="P555" s="156"/>
      <c r="Q555" s="156"/>
      <c r="R555" s="156"/>
      <c r="S555" s="156"/>
      <c r="T555" s="156"/>
      <c r="U555" s="156"/>
      <c r="V555" s="156"/>
      <c r="W555" s="156"/>
      <c r="X555" s="156"/>
      <c r="Y555" s="156"/>
      <c r="Z555" s="156"/>
    </row>
    <row r="556">
      <c r="A556" s="156"/>
      <c r="B556" s="156"/>
      <c r="C556" s="156"/>
      <c r="D556" s="156"/>
      <c r="E556" s="156"/>
      <c r="F556" s="156"/>
      <c r="G556" s="156"/>
      <c r="H556" s="156"/>
      <c r="I556" s="156"/>
      <c r="J556" s="156"/>
      <c r="K556" s="156"/>
      <c r="L556" s="156"/>
      <c r="M556" s="156"/>
      <c r="N556" s="156"/>
      <c r="O556" s="156"/>
      <c r="P556" s="156"/>
      <c r="Q556" s="156"/>
      <c r="R556" s="156"/>
      <c r="S556" s="156"/>
      <c r="T556" s="156"/>
      <c r="U556" s="156"/>
      <c r="V556" s="156"/>
      <c r="W556" s="156"/>
      <c r="X556" s="156"/>
      <c r="Y556" s="156"/>
      <c r="Z556" s="156"/>
    </row>
    <row r="557">
      <c r="A557" s="156"/>
      <c r="B557" s="156"/>
      <c r="C557" s="156"/>
      <c r="D557" s="156"/>
      <c r="E557" s="156"/>
      <c r="F557" s="156"/>
      <c r="G557" s="156"/>
      <c r="H557" s="156"/>
      <c r="I557" s="156"/>
      <c r="J557" s="156"/>
      <c r="K557" s="156"/>
      <c r="L557" s="156"/>
      <c r="M557" s="156"/>
      <c r="N557" s="156"/>
      <c r="O557" s="156"/>
      <c r="P557" s="156"/>
      <c r="Q557" s="156"/>
      <c r="R557" s="156"/>
      <c r="S557" s="156"/>
      <c r="T557" s="156"/>
      <c r="U557" s="156"/>
      <c r="V557" s="156"/>
      <c r="W557" s="156"/>
      <c r="X557" s="156"/>
      <c r="Y557" s="156"/>
      <c r="Z557" s="156"/>
    </row>
    <row r="558">
      <c r="A558" s="156"/>
      <c r="B558" s="156"/>
      <c r="C558" s="156"/>
      <c r="D558" s="156"/>
      <c r="E558" s="156"/>
      <c r="F558" s="156"/>
      <c r="G558" s="156"/>
      <c r="H558" s="156"/>
      <c r="I558" s="156"/>
      <c r="J558" s="156"/>
      <c r="K558" s="156"/>
      <c r="L558" s="156"/>
      <c r="M558" s="156"/>
      <c r="N558" s="156"/>
      <c r="O558" s="156"/>
      <c r="P558" s="156"/>
      <c r="Q558" s="156"/>
      <c r="R558" s="156"/>
      <c r="S558" s="156"/>
      <c r="T558" s="156"/>
      <c r="U558" s="156"/>
      <c r="V558" s="156"/>
      <c r="W558" s="156"/>
      <c r="X558" s="156"/>
      <c r="Y558" s="156"/>
      <c r="Z558" s="156"/>
    </row>
    <row r="559">
      <c r="A559" s="156"/>
      <c r="B559" s="156"/>
      <c r="C559" s="156"/>
      <c r="D559" s="156"/>
      <c r="E559" s="156"/>
      <c r="F559" s="156"/>
      <c r="G559" s="156"/>
      <c r="H559" s="156"/>
      <c r="I559" s="156"/>
      <c r="J559" s="156"/>
      <c r="K559" s="156"/>
      <c r="L559" s="156"/>
      <c r="M559" s="156"/>
      <c r="N559" s="156"/>
      <c r="O559" s="156"/>
      <c r="P559" s="156"/>
      <c r="Q559" s="156"/>
      <c r="R559" s="156"/>
      <c r="S559" s="156"/>
      <c r="T559" s="156"/>
      <c r="U559" s="156"/>
      <c r="V559" s="156"/>
      <c r="W559" s="156"/>
      <c r="X559" s="156"/>
      <c r="Y559" s="156"/>
      <c r="Z559" s="156"/>
    </row>
    <row r="560">
      <c r="A560" s="156"/>
      <c r="B560" s="156"/>
      <c r="C560" s="156"/>
      <c r="D560" s="156"/>
      <c r="E560" s="156"/>
      <c r="F560" s="156"/>
      <c r="G560" s="156"/>
      <c r="H560" s="156"/>
      <c r="I560" s="156"/>
      <c r="J560" s="156"/>
      <c r="K560" s="156"/>
      <c r="L560" s="156"/>
      <c r="M560" s="156"/>
      <c r="N560" s="156"/>
      <c r="O560" s="156"/>
      <c r="P560" s="156"/>
      <c r="Q560" s="156"/>
      <c r="R560" s="156"/>
      <c r="S560" s="156"/>
      <c r="T560" s="156"/>
      <c r="U560" s="156"/>
      <c r="V560" s="156"/>
      <c r="W560" s="156"/>
      <c r="X560" s="156"/>
      <c r="Y560" s="156"/>
      <c r="Z560" s="156"/>
    </row>
    <row r="561">
      <c r="A561" s="156"/>
      <c r="B561" s="156"/>
      <c r="C561" s="156"/>
      <c r="D561" s="156"/>
      <c r="E561" s="156"/>
      <c r="F561" s="156"/>
      <c r="G561" s="156"/>
      <c r="H561" s="156"/>
      <c r="I561" s="156"/>
      <c r="J561" s="156"/>
      <c r="K561" s="156"/>
      <c r="L561" s="156"/>
      <c r="M561" s="156"/>
      <c r="N561" s="156"/>
      <c r="O561" s="156"/>
      <c r="P561" s="156"/>
      <c r="Q561" s="156"/>
      <c r="R561" s="156"/>
      <c r="S561" s="156"/>
      <c r="T561" s="156"/>
      <c r="U561" s="156"/>
      <c r="V561" s="156"/>
      <c r="W561" s="156"/>
      <c r="X561" s="156"/>
      <c r="Y561" s="156"/>
      <c r="Z561" s="156"/>
    </row>
    <row r="562">
      <c r="A562" s="156"/>
      <c r="B562" s="156"/>
      <c r="C562" s="156"/>
      <c r="D562" s="156"/>
      <c r="E562" s="156"/>
      <c r="F562" s="156"/>
      <c r="G562" s="156"/>
      <c r="H562" s="156"/>
      <c r="I562" s="156"/>
      <c r="J562" s="156"/>
      <c r="K562" s="156"/>
      <c r="L562" s="156"/>
      <c r="M562" s="156"/>
      <c r="N562" s="156"/>
      <c r="O562" s="156"/>
      <c r="P562" s="156"/>
      <c r="Q562" s="156"/>
      <c r="R562" s="156"/>
      <c r="S562" s="156"/>
      <c r="T562" s="156"/>
      <c r="U562" s="156"/>
      <c r="V562" s="156"/>
      <c r="W562" s="156"/>
      <c r="X562" s="156"/>
      <c r="Y562" s="156"/>
      <c r="Z562" s="156"/>
    </row>
    <row r="563">
      <c r="A563" s="156"/>
      <c r="B563" s="156"/>
      <c r="C563" s="156"/>
      <c r="D563" s="156"/>
      <c r="E563" s="156"/>
      <c r="F563" s="156"/>
      <c r="G563" s="156"/>
      <c r="H563" s="156"/>
      <c r="I563" s="156"/>
      <c r="J563" s="156"/>
      <c r="K563" s="156"/>
      <c r="L563" s="156"/>
      <c r="M563" s="156"/>
      <c r="N563" s="156"/>
      <c r="O563" s="156"/>
      <c r="P563" s="156"/>
      <c r="Q563" s="156"/>
      <c r="R563" s="156"/>
      <c r="S563" s="156"/>
      <c r="T563" s="156"/>
      <c r="U563" s="156"/>
      <c r="V563" s="156"/>
      <c r="W563" s="156"/>
      <c r="X563" s="156"/>
      <c r="Y563" s="156"/>
      <c r="Z563" s="156"/>
    </row>
    <row r="564">
      <c r="A564" s="156"/>
      <c r="B564" s="156"/>
      <c r="C564" s="156"/>
      <c r="D564" s="156"/>
      <c r="E564" s="156"/>
      <c r="F564" s="156"/>
      <c r="G564" s="156"/>
      <c r="H564" s="156"/>
      <c r="I564" s="156"/>
      <c r="J564" s="156"/>
      <c r="K564" s="156"/>
      <c r="L564" s="156"/>
      <c r="M564" s="156"/>
      <c r="N564" s="156"/>
      <c r="O564" s="156"/>
      <c r="P564" s="156"/>
      <c r="Q564" s="156"/>
      <c r="R564" s="156"/>
      <c r="S564" s="156"/>
      <c r="T564" s="156"/>
      <c r="U564" s="156"/>
      <c r="V564" s="156"/>
      <c r="W564" s="156"/>
      <c r="X564" s="156"/>
      <c r="Y564" s="156"/>
      <c r="Z564" s="156"/>
    </row>
    <row r="565">
      <c r="A565" s="156"/>
      <c r="B565" s="156"/>
      <c r="C565" s="156"/>
      <c r="D565" s="156"/>
      <c r="E565" s="156"/>
      <c r="F565" s="156"/>
      <c r="G565" s="156"/>
      <c r="H565" s="156"/>
      <c r="I565" s="156"/>
      <c r="J565" s="156"/>
      <c r="K565" s="156"/>
      <c r="L565" s="156"/>
      <c r="M565" s="156"/>
      <c r="N565" s="156"/>
      <c r="O565" s="156"/>
      <c r="P565" s="156"/>
      <c r="Q565" s="156"/>
      <c r="R565" s="156"/>
      <c r="S565" s="156"/>
      <c r="T565" s="156"/>
      <c r="U565" s="156"/>
      <c r="V565" s="156"/>
      <c r="W565" s="156"/>
      <c r="X565" s="156"/>
      <c r="Y565" s="156"/>
      <c r="Z565" s="156"/>
    </row>
    <row r="566">
      <c r="A566" s="156"/>
      <c r="B566" s="156"/>
      <c r="C566" s="156"/>
      <c r="D566" s="156"/>
      <c r="E566" s="156"/>
      <c r="F566" s="156"/>
      <c r="G566" s="156"/>
      <c r="H566" s="156"/>
      <c r="I566" s="156"/>
      <c r="J566" s="156"/>
      <c r="K566" s="156"/>
      <c r="L566" s="156"/>
      <c r="M566" s="156"/>
      <c r="N566" s="156"/>
      <c r="O566" s="156"/>
      <c r="P566" s="156"/>
      <c r="Q566" s="156"/>
      <c r="R566" s="156"/>
      <c r="S566" s="156"/>
      <c r="T566" s="156"/>
      <c r="U566" s="156"/>
      <c r="V566" s="156"/>
      <c r="W566" s="156"/>
      <c r="X566" s="156"/>
      <c r="Y566" s="156"/>
      <c r="Z566" s="156"/>
    </row>
    <row r="567">
      <c r="A567" s="156"/>
      <c r="B567" s="156"/>
      <c r="C567" s="156"/>
      <c r="D567" s="156"/>
      <c r="E567" s="156"/>
      <c r="F567" s="156"/>
      <c r="G567" s="156"/>
      <c r="H567" s="156"/>
      <c r="I567" s="156"/>
      <c r="J567" s="156"/>
      <c r="K567" s="156"/>
      <c r="L567" s="156"/>
      <c r="M567" s="156"/>
      <c r="N567" s="156"/>
      <c r="O567" s="156"/>
      <c r="P567" s="156"/>
      <c r="Q567" s="156"/>
      <c r="R567" s="156"/>
      <c r="S567" s="156"/>
      <c r="T567" s="156"/>
      <c r="U567" s="156"/>
      <c r="V567" s="156"/>
      <c r="W567" s="156"/>
      <c r="X567" s="156"/>
      <c r="Y567" s="156"/>
      <c r="Z567" s="156"/>
    </row>
    <row r="568">
      <c r="A568" s="156"/>
      <c r="B568" s="156"/>
      <c r="C568" s="156"/>
      <c r="D568" s="156"/>
      <c r="E568" s="156"/>
      <c r="F568" s="156"/>
      <c r="G568" s="156"/>
      <c r="H568" s="156"/>
      <c r="I568" s="156"/>
      <c r="J568" s="156"/>
      <c r="K568" s="156"/>
      <c r="L568" s="156"/>
      <c r="M568" s="156"/>
      <c r="N568" s="156"/>
      <c r="O568" s="156"/>
      <c r="P568" s="156"/>
      <c r="Q568" s="156"/>
      <c r="R568" s="156"/>
      <c r="S568" s="156"/>
      <c r="T568" s="156"/>
      <c r="U568" s="156"/>
      <c r="V568" s="156"/>
      <c r="W568" s="156"/>
      <c r="X568" s="156"/>
      <c r="Y568" s="156"/>
      <c r="Z568" s="156"/>
    </row>
    <row r="569">
      <c r="A569" s="156"/>
      <c r="B569" s="156"/>
      <c r="C569" s="156"/>
      <c r="D569" s="156"/>
      <c r="E569" s="156"/>
      <c r="F569" s="156"/>
      <c r="G569" s="156"/>
      <c r="H569" s="156"/>
      <c r="I569" s="156"/>
      <c r="J569" s="156"/>
      <c r="K569" s="156"/>
      <c r="L569" s="156"/>
      <c r="M569" s="156"/>
      <c r="N569" s="156"/>
      <c r="O569" s="156"/>
      <c r="P569" s="156"/>
      <c r="Q569" s="156"/>
      <c r="R569" s="156"/>
      <c r="S569" s="156"/>
      <c r="T569" s="156"/>
      <c r="U569" s="156"/>
      <c r="V569" s="156"/>
      <c r="W569" s="156"/>
      <c r="X569" s="156"/>
      <c r="Y569" s="156"/>
      <c r="Z569" s="156"/>
    </row>
    <row r="570">
      <c r="A570" s="156"/>
      <c r="B570" s="156"/>
      <c r="C570" s="156"/>
      <c r="D570" s="156"/>
      <c r="E570" s="156"/>
      <c r="F570" s="156"/>
      <c r="G570" s="156"/>
      <c r="H570" s="156"/>
      <c r="I570" s="156"/>
      <c r="J570" s="156"/>
      <c r="K570" s="156"/>
      <c r="L570" s="156"/>
      <c r="M570" s="156"/>
      <c r="N570" s="156"/>
      <c r="O570" s="156"/>
      <c r="P570" s="156"/>
      <c r="Q570" s="156"/>
      <c r="R570" s="156"/>
      <c r="S570" s="156"/>
      <c r="T570" s="156"/>
      <c r="U570" s="156"/>
      <c r="V570" s="156"/>
      <c r="W570" s="156"/>
      <c r="X570" s="156"/>
      <c r="Y570" s="156"/>
      <c r="Z570" s="156"/>
    </row>
    <row r="571">
      <c r="A571" s="156"/>
      <c r="B571" s="156"/>
      <c r="C571" s="156"/>
      <c r="D571" s="156"/>
      <c r="E571" s="156"/>
      <c r="F571" s="156"/>
      <c r="G571" s="156"/>
      <c r="H571" s="156"/>
      <c r="I571" s="156"/>
      <c r="J571" s="156"/>
      <c r="K571" s="156"/>
      <c r="L571" s="156"/>
      <c r="M571" s="156"/>
      <c r="N571" s="156"/>
      <c r="O571" s="156"/>
      <c r="P571" s="156"/>
      <c r="Q571" s="156"/>
      <c r="R571" s="156"/>
      <c r="S571" s="156"/>
      <c r="T571" s="156"/>
      <c r="U571" s="156"/>
      <c r="V571" s="156"/>
      <c r="W571" s="156"/>
      <c r="X571" s="156"/>
      <c r="Y571" s="156"/>
      <c r="Z571" s="156"/>
    </row>
    <row r="572">
      <c r="A572" s="156"/>
      <c r="B572" s="156"/>
      <c r="C572" s="156"/>
      <c r="D572" s="156"/>
      <c r="E572" s="156"/>
      <c r="F572" s="156"/>
      <c r="G572" s="156"/>
      <c r="H572" s="156"/>
      <c r="I572" s="156"/>
      <c r="J572" s="156"/>
      <c r="K572" s="156"/>
      <c r="L572" s="156"/>
      <c r="M572" s="156"/>
      <c r="N572" s="156"/>
      <c r="O572" s="156"/>
      <c r="P572" s="156"/>
      <c r="Q572" s="156"/>
      <c r="R572" s="156"/>
      <c r="S572" s="156"/>
      <c r="T572" s="156"/>
      <c r="U572" s="156"/>
      <c r="V572" s="156"/>
      <c r="W572" s="156"/>
      <c r="X572" s="156"/>
      <c r="Y572" s="156"/>
      <c r="Z572" s="156"/>
    </row>
    <row r="573">
      <c r="A573" s="156"/>
      <c r="B573" s="156"/>
      <c r="C573" s="156"/>
      <c r="D573" s="156"/>
      <c r="E573" s="156"/>
      <c r="F573" s="156"/>
      <c r="G573" s="156"/>
      <c r="H573" s="156"/>
      <c r="I573" s="156"/>
      <c r="J573" s="156"/>
      <c r="K573" s="156"/>
      <c r="L573" s="156"/>
      <c r="M573" s="156"/>
      <c r="N573" s="156"/>
      <c r="O573" s="156"/>
      <c r="P573" s="156"/>
      <c r="Q573" s="156"/>
      <c r="R573" s="156"/>
      <c r="S573" s="156"/>
      <c r="T573" s="156"/>
      <c r="U573" s="156"/>
      <c r="V573" s="156"/>
      <c r="W573" s="156"/>
      <c r="X573" s="156"/>
      <c r="Y573" s="156"/>
      <c r="Z573" s="156"/>
    </row>
    <row r="574">
      <c r="A574" s="156"/>
      <c r="B574" s="156"/>
      <c r="C574" s="156"/>
      <c r="D574" s="156"/>
      <c r="E574" s="156"/>
      <c r="F574" s="156"/>
      <c r="G574" s="156"/>
      <c r="H574" s="156"/>
      <c r="I574" s="156"/>
      <c r="J574" s="156"/>
      <c r="K574" s="156"/>
      <c r="L574" s="156"/>
      <c r="M574" s="156"/>
      <c r="N574" s="156"/>
      <c r="O574" s="156"/>
      <c r="P574" s="156"/>
      <c r="Q574" s="156"/>
      <c r="R574" s="156"/>
      <c r="S574" s="156"/>
      <c r="T574" s="156"/>
      <c r="U574" s="156"/>
      <c r="V574" s="156"/>
      <c r="W574" s="156"/>
      <c r="X574" s="156"/>
      <c r="Y574" s="156"/>
      <c r="Z574" s="156"/>
    </row>
    <row r="575">
      <c r="A575" s="156"/>
      <c r="B575" s="156"/>
      <c r="C575" s="156"/>
      <c r="D575" s="156"/>
      <c r="E575" s="156"/>
      <c r="F575" s="156"/>
      <c r="G575" s="156"/>
      <c r="H575" s="156"/>
      <c r="I575" s="156"/>
      <c r="J575" s="156"/>
      <c r="K575" s="156"/>
      <c r="L575" s="156"/>
      <c r="M575" s="156"/>
      <c r="N575" s="156"/>
      <c r="O575" s="156"/>
      <c r="P575" s="156"/>
      <c r="Q575" s="156"/>
      <c r="R575" s="156"/>
      <c r="S575" s="156"/>
      <c r="T575" s="156"/>
      <c r="U575" s="156"/>
      <c r="V575" s="156"/>
      <c r="W575" s="156"/>
      <c r="X575" s="156"/>
      <c r="Y575" s="156"/>
      <c r="Z575" s="156"/>
    </row>
    <row r="576">
      <c r="A576" s="156"/>
      <c r="B576" s="156"/>
      <c r="C576" s="156"/>
      <c r="D576" s="156"/>
      <c r="E576" s="156"/>
      <c r="F576" s="156"/>
      <c r="G576" s="156"/>
      <c r="H576" s="156"/>
      <c r="I576" s="156"/>
      <c r="J576" s="156"/>
      <c r="K576" s="156"/>
      <c r="L576" s="156"/>
      <c r="M576" s="156"/>
      <c r="N576" s="156"/>
      <c r="O576" s="156"/>
      <c r="P576" s="156"/>
      <c r="Q576" s="156"/>
      <c r="R576" s="156"/>
      <c r="S576" s="156"/>
      <c r="T576" s="156"/>
      <c r="U576" s="156"/>
      <c r="V576" s="156"/>
      <c r="W576" s="156"/>
      <c r="X576" s="156"/>
      <c r="Y576" s="156"/>
      <c r="Z576" s="156"/>
    </row>
    <row r="577">
      <c r="A577" s="156"/>
      <c r="B577" s="156"/>
      <c r="C577" s="156"/>
      <c r="D577" s="156"/>
      <c r="E577" s="156"/>
      <c r="F577" s="156"/>
      <c r="G577" s="156"/>
      <c r="H577" s="156"/>
      <c r="I577" s="156"/>
      <c r="J577" s="156"/>
      <c r="K577" s="156"/>
      <c r="L577" s="156"/>
      <c r="M577" s="156"/>
      <c r="N577" s="156"/>
      <c r="O577" s="156"/>
      <c r="P577" s="156"/>
      <c r="Q577" s="156"/>
      <c r="R577" s="156"/>
      <c r="S577" s="156"/>
      <c r="T577" s="156"/>
      <c r="U577" s="156"/>
      <c r="V577" s="156"/>
      <c r="W577" s="156"/>
      <c r="X577" s="156"/>
      <c r="Y577" s="156"/>
      <c r="Z577" s="156"/>
    </row>
    <row r="578">
      <c r="A578" s="156"/>
      <c r="B578" s="156"/>
      <c r="C578" s="156"/>
      <c r="D578" s="156"/>
      <c r="E578" s="156"/>
      <c r="F578" s="156"/>
      <c r="G578" s="156"/>
      <c r="H578" s="156"/>
      <c r="I578" s="156"/>
      <c r="J578" s="156"/>
      <c r="K578" s="156"/>
      <c r="L578" s="156"/>
      <c r="M578" s="156"/>
      <c r="N578" s="156"/>
      <c r="O578" s="156"/>
      <c r="P578" s="156"/>
      <c r="Q578" s="156"/>
      <c r="R578" s="156"/>
      <c r="S578" s="156"/>
      <c r="T578" s="156"/>
      <c r="U578" s="156"/>
      <c r="V578" s="156"/>
      <c r="W578" s="156"/>
      <c r="X578" s="156"/>
      <c r="Y578" s="156"/>
      <c r="Z578" s="156"/>
    </row>
    <row r="579">
      <c r="A579" s="156"/>
      <c r="B579" s="156"/>
      <c r="C579" s="156"/>
      <c r="D579" s="156"/>
      <c r="E579" s="156"/>
      <c r="F579" s="156"/>
      <c r="G579" s="156"/>
      <c r="H579" s="156"/>
      <c r="I579" s="156"/>
      <c r="J579" s="156"/>
      <c r="K579" s="156"/>
      <c r="L579" s="156"/>
      <c r="M579" s="156"/>
      <c r="N579" s="156"/>
      <c r="O579" s="156"/>
      <c r="P579" s="156"/>
      <c r="Q579" s="156"/>
      <c r="R579" s="156"/>
      <c r="S579" s="156"/>
      <c r="T579" s="156"/>
      <c r="U579" s="156"/>
      <c r="V579" s="156"/>
      <c r="W579" s="156"/>
      <c r="X579" s="156"/>
      <c r="Y579" s="156"/>
      <c r="Z579" s="156"/>
    </row>
    <row r="580">
      <c r="A580" s="156"/>
      <c r="B580" s="156"/>
      <c r="C580" s="156"/>
      <c r="D580" s="156"/>
      <c r="E580" s="156"/>
      <c r="F580" s="156"/>
      <c r="G580" s="156"/>
      <c r="H580" s="156"/>
      <c r="I580" s="156"/>
      <c r="J580" s="156"/>
      <c r="K580" s="156"/>
      <c r="L580" s="156"/>
      <c r="M580" s="156"/>
      <c r="N580" s="156"/>
      <c r="O580" s="156"/>
      <c r="P580" s="156"/>
      <c r="Q580" s="156"/>
      <c r="R580" s="156"/>
      <c r="S580" s="156"/>
      <c r="T580" s="156"/>
      <c r="U580" s="156"/>
      <c r="V580" s="156"/>
      <c r="W580" s="156"/>
      <c r="X580" s="156"/>
      <c r="Y580" s="156"/>
      <c r="Z580" s="156"/>
    </row>
    <row r="581">
      <c r="A581" s="156"/>
      <c r="B581" s="156"/>
      <c r="C581" s="156"/>
      <c r="D581" s="156"/>
      <c r="E581" s="156"/>
      <c r="F581" s="156"/>
      <c r="G581" s="156"/>
      <c r="H581" s="156"/>
      <c r="I581" s="156"/>
      <c r="J581" s="156"/>
      <c r="K581" s="156"/>
      <c r="L581" s="156"/>
      <c r="M581" s="156"/>
      <c r="N581" s="156"/>
      <c r="O581" s="156"/>
      <c r="P581" s="156"/>
      <c r="Q581" s="156"/>
      <c r="R581" s="156"/>
      <c r="S581" s="156"/>
      <c r="T581" s="156"/>
      <c r="U581" s="156"/>
      <c r="V581" s="156"/>
      <c r="W581" s="156"/>
      <c r="X581" s="156"/>
      <c r="Y581" s="156"/>
      <c r="Z581" s="156"/>
    </row>
    <row r="582">
      <c r="A582" s="156"/>
      <c r="B582" s="156"/>
      <c r="C582" s="156"/>
      <c r="D582" s="156"/>
      <c r="E582" s="156"/>
      <c r="F582" s="156"/>
      <c r="G582" s="156"/>
      <c r="H582" s="156"/>
      <c r="I582" s="156"/>
      <c r="J582" s="156"/>
      <c r="K582" s="156"/>
      <c r="L582" s="156"/>
      <c r="M582" s="156"/>
      <c r="N582" s="156"/>
      <c r="O582" s="156"/>
      <c r="P582" s="156"/>
      <c r="Q582" s="156"/>
      <c r="R582" s="156"/>
      <c r="S582" s="156"/>
      <c r="T582" s="156"/>
      <c r="U582" s="156"/>
      <c r="V582" s="156"/>
      <c r="W582" s="156"/>
      <c r="X582" s="156"/>
      <c r="Y582" s="156"/>
      <c r="Z582" s="156"/>
    </row>
    <row r="583">
      <c r="A583" s="156"/>
      <c r="B583" s="156"/>
      <c r="C583" s="156"/>
      <c r="D583" s="156"/>
      <c r="E583" s="156"/>
      <c r="F583" s="156"/>
      <c r="G583" s="156"/>
      <c r="H583" s="156"/>
      <c r="I583" s="156"/>
      <c r="J583" s="156"/>
      <c r="K583" s="156"/>
      <c r="L583" s="156"/>
      <c r="M583" s="156"/>
      <c r="N583" s="156"/>
      <c r="O583" s="156"/>
      <c r="P583" s="156"/>
      <c r="Q583" s="156"/>
      <c r="R583" s="156"/>
      <c r="S583" s="156"/>
      <c r="T583" s="156"/>
      <c r="U583" s="156"/>
      <c r="V583" s="156"/>
      <c r="W583" s="156"/>
      <c r="X583" s="156"/>
      <c r="Y583" s="156"/>
      <c r="Z583" s="156"/>
    </row>
    <row r="584">
      <c r="A584" s="156"/>
      <c r="B584" s="156"/>
      <c r="C584" s="156"/>
      <c r="D584" s="156"/>
      <c r="E584" s="156"/>
      <c r="F584" s="156"/>
      <c r="G584" s="156"/>
      <c r="H584" s="156"/>
      <c r="I584" s="156"/>
      <c r="J584" s="156"/>
      <c r="K584" s="156"/>
      <c r="L584" s="156"/>
      <c r="M584" s="156"/>
      <c r="N584" s="156"/>
      <c r="O584" s="156"/>
      <c r="P584" s="156"/>
      <c r="Q584" s="156"/>
      <c r="R584" s="156"/>
      <c r="S584" s="156"/>
      <c r="T584" s="156"/>
      <c r="U584" s="156"/>
      <c r="V584" s="156"/>
      <c r="W584" s="156"/>
      <c r="X584" s="156"/>
      <c r="Y584" s="156"/>
      <c r="Z584" s="156"/>
    </row>
    <row r="585">
      <c r="A585" s="156"/>
      <c r="B585" s="156"/>
      <c r="C585" s="156"/>
      <c r="D585" s="156"/>
      <c r="E585" s="156"/>
      <c r="F585" s="156"/>
      <c r="G585" s="156"/>
      <c r="H585" s="156"/>
      <c r="I585" s="156"/>
      <c r="J585" s="156"/>
      <c r="K585" s="156"/>
      <c r="L585" s="156"/>
      <c r="M585" s="156"/>
      <c r="N585" s="156"/>
      <c r="O585" s="156"/>
      <c r="P585" s="156"/>
      <c r="Q585" s="156"/>
      <c r="R585" s="156"/>
      <c r="S585" s="156"/>
      <c r="T585" s="156"/>
      <c r="U585" s="156"/>
      <c r="V585" s="156"/>
      <c r="W585" s="156"/>
      <c r="X585" s="156"/>
      <c r="Y585" s="156"/>
      <c r="Z585" s="156"/>
    </row>
    <row r="586">
      <c r="A586" s="156"/>
      <c r="B586" s="156"/>
      <c r="C586" s="156"/>
      <c r="D586" s="156"/>
      <c r="E586" s="156"/>
      <c r="F586" s="156"/>
      <c r="G586" s="156"/>
      <c r="H586" s="156"/>
      <c r="I586" s="156"/>
      <c r="J586" s="156"/>
      <c r="K586" s="156"/>
      <c r="L586" s="156"/>
      <c r="M586" s="156"/>
      <c r="N586" s="156"/>
      <c r="O586" s="156"/>
      <c r="P586" s="156"/>
      <c r="Q586" s="156"/>
      <c r="R586" s="156"/>
      <c r="S586" s="156"/>
      <c r="T586" s="156"/>
      <c r="U586" s="156"/>
      <c r="V586" s="156"/>
      <c r="W586" s="156"/>
      <c r="X586" s="156"/>
      <c r="Y586" s="156"/>
      <c r="Z586" s="156"/>
    </row>
    <row r="587">
      <c r="A587" s="156"/>
      <c r="B587" s="156"/>
      <c r="C587" s="156"/>
      <c r="D587" s="156"/>
      <c r="E587" s="156"/>
      <c r="F587" s="156"/>
      <c r="G587" s="156"/>
      <c r="H587" s="156"/>
      <c r="I587" s="156"/>
      <c r="J587" s="156"/>
      <c r="K587" s="156"/>
      <c r="L587" s="156"/>
      <c r="M587" s="156"/>
      <c r="N587" s="156"/>
      <c r="O587" s="156"/>
      <c r="P587" s="156"/>
      <c r="Q587" s="156"/>
      <c r="R587" s="156"/>
      <c r="S587" s="156"/>
      <c r="T587" s="156"/>
      <c r="U587" s="156"/>
      <c r="V587" s="156"/>
      <c r="W587" s="156"/>
      <c r="X587" s="156"/>
      <c r="Y587" s="156"/>
      <c r="Z587" s="156"/>
    </row>
    <row r="588">
      <c r="A588" s="156"/>
      <c r="B588" s="156"/>
      <c r="C588" s="156"/>
      <c r="D588" s="156"/>
      <c r="E588" s="156"/>
      <c r="F588" s="156"/>
      <c r="G588" s="156"/>
      <c r="H588" s="156"/>
      <c r="I588" s="156"/>
      <c r="J588" s="156"/>
      <c r="K588" s="156"/>
      <c r="L588" s="156"/>
      <c r="M588" s="156"/>
      <c r="N588" s="156"/>
      <c r="O588" s="156"/>
      <c r="P588" s="156"/>
      <c r="Q588" s="156"/>
      <c r="R588" s="156"/>
      <c r="S588" s="156"/>
      <c r="T588" s="156"/>
      <c r="U588" s="156"/>
      <c r="V588" s="156"/>
      <c r="W588" s="156"/>
      <c r="X588" s="156"/>
      <c r="Y588" s="156"/>
      <c r="Z588" s="156"/>
    </row>
    <row r="589">
      <c r="A589" s="156"/>
      <c r="B589" s="156"/>
      <c r="C589" s="156"/>
      <c r="D589" s="156"/>
      <c r="E589" s="156"/>
      <c r="F589" s="156"/>
      <c r="G589" s="156"/>
      <c r="H589" s="156"/>
      <c r="I589" s="156"/>
      <c r="J589" s="156"/>
      <c r="K589" s="156"/>
      <c r="L589" s="156"/>
      <c r="M589" s="156"/>
      <c r="N589" s="156"/>
      <c r="O589" s="156"/>
      <c r="P589" s="156"/>
      <c r="Q589" s="156"/>
      <c r="R589" s="156"/>
      <c r="S589" s="156"/>
      <c r="T589" s="156"/>
      <c r="U589" s="156"/>
      <c r="V589" s="156"/>
      <c r="W589" s="156"/>
      <c r="X589" s="156"/>
      <c r="Y589" s="156"/>
      <c r="Z589" s="156"/>
    </row>
    <row r="590">
      <c r="A590" s="156"/>
      <c r="B590" s="156"/>
      <c r="C590" s="156"/>
      <c r="D590" s="156"/>
      <c r="E590" s="156"/>
      <c r="F590" s="156"/>
      <c r="G590" s="156"/>
      <c r="H590" s="156"/>
      <c r="I590" s="156"/>
      <c r="J590" s="156"/>
      <c r="K590" s="156"/>
      <c r="L590" s="156"/>
      <c r="M590" s="156"/>
      <c r="N590" s="156"/>
      <c r="O590" s="156"/>
      <c r="P590" s="156"/>
      <c r="Q590" s="156"/>
      <c r="R590" s="156"/>
      <c r="S590" s="156"/>
      <c r="T590" s="156"/>
      <c r="U590" s="156"/>
      <c r="V590" s="156"/>
      <c r="W590" s="156"/>
      <c r="X590" s="156"/>
      <c r="Y590" s="156"/>
      <c r="Z590" s="156"/>
    </row>
    <row r="591">
      <c r="A591" s="156"/>
      <c r="B591" s="156"/>
      <c r="C591" s="156"/>
      <c r="D591" s="156"/>
      <c r="E591" s="156"/>
      <c r="F591" s="156"/>
      <c r="G591" s="156"/>
      <c r="H591" s="156"/>
      <c r="I591" s="156"/>
      <c r="J591" s="156"/>
      <c r="K591" s="156"/>
      <c r="L591" s="156"/>
      <c r="M591" s="156"/>
      <c r="N591" s="156"/>
      <c r="O591" s="156"/>
      <c r="P591" s="156"/>
      <c r="Q591" s="156"/>
      <c r="R591" s="156"/>
      <c r="S591" s="156"/>
      <c r="T591" s="156"/>
      <c r="U591" s="156"/>
      <c r="V591" s="156"/>
      <c r="W591" s="156"/>
      <c r="X591" s="156"/>
      <c r="Y591" s="156"/>
      <c r="Z591" s="156"/>
    </row>
    <row r="592">
      <c r="A592" s="156"/>
      <c r="B592" s="156"/>
      <c r="C592" s="156"/>
      <c r="D592" s="156"/>
      <c r="E592" s="156"/>
      <c r="F592" s="156"/>
      <c r="G592" s="156"/>
      <c r="H592" s="156"/>
      <c r="I592" s="156"/>
      <c r="J592" s="156"/>
      <c r="K592" s="156"/>
      <c r="L592" s="156"/>
      <c r="M592" s="156"/>
      <c r="N592" s="156"/>
      <c r="O592" s="156"/>
      <c r="P592" s="156"/>
      <c r="Q592" s="156"/>
      <c r="R592" s="156"/>
      <c r="S592" s="156"/>
      <c r="T592" s="156"/>
      <c r="U592" s="156"/>
      <c r="V592" s="156"/>
      <c r="W592" s="156"/>
      <c r="X592" s="156"/>
      <c r="Y592" s="156"/>
      <c r="Z592" s="156"/>
    </row>
    <row r="593">
      <c r="A593" s="156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</row>
    <row r="594">
      <c r="A594" s="156"/>
      <c r="B594" s="156"/>
      <c r="C594" s="156"/>
      <c r="D594" s="156"/>
      <c r="E594" s="156"/>
      <c r="F594" s="156"/>
      <c r="G594" s="156"/>
      <c r="H594" s="156"/>
      <c r="I594" s="156"/>
      <c r="J594" s="156"/>
      <c r="K594" s="156"/>
      <c r="L594" s="156"/>
      <c r="M594" s="156"/>
      <c r="N594" s="156"/>
      <c r="O594" s="156"/>
      <c r="P594" s="156"/>
      <c r="Q594" s="156"/>
      <c r="R594" s="156"/>
      <c r="S594" s="156"/>
      <c r="T594" s="156"/>
      <c r="U594" s="156"/>
      <c r="V594" s="156"/>
      <c r="W594" s="156"/>
      <c r="X594" s="156"/>
      <c r="Y594" s="156"/>
      <c r="Z594" s="156"/>
    </row>
    <row r="595">
      <c r="A595" s="156"/>
      <c r="B595" s="156"/>
      <c r="C595" s="156"/>
      <c r="D595" s="156"/>
      <c r="E595" s="156"/>
      <c r="F595" s="156"/>
      <c r="G595" s="156"/>
      <c r="H595" s="156"/>
      <c r="I595" s="156"/>
      <c r="J595" s="156"/>
      <c r="K595" s="156"/>
      <c r="L595" s="156"/>
      <c r="M595" s="156"/>
      <c r="N595" s="156"/>
      <c r="O595" s="156"/>
      <c r="P595" s="156"/>
      <c r="Q595" s="156"/>
      <c r="R595" s="156"/>
      <c r="S595" s="156"/>
      <c r="T595" s="156"/>
      <c r="U595" s="156"/>
      <c r="V595" s="156"/>
      <c r="W595" s="156"/>
      <c r="X595" s="156"/>
      <c r="Y595" s="156"/>
      <c r="Z595" s="156"/>
    </row>
    <row r="596">
      <c r="A596" s="156"/>
      <c r="B596" s="156"/>
      <c r="C596" s="156"/>
      <c r="D596" s="156"/>
      <c r="E596" s="156"/>
      <c r="F596" s="156"/>
      <c r="G596" s="156"/>
      <c r="H596" s="156"/>
      <c r="I596" s="156"/>
      <c r="J596" s="156"/>
      <c r="K596" s="156"/>
      <c r="L596" s="156"/>
      <c r="M596" s="156"/>
      <c r="N596" s="156"/>
      <c r="O596" s="156"/>
      <c r="P596" s="156"/>
      <c r="Q596" s="156"/>
      <c r="R596" s="156"/>
      <c r="S596" s="156"/>
      <c r="T596" s="156"/>
      <c r="U596" s="156"/>
      <c r="V596" s="156"/>
      <c r="W596" s="156"/>
      <c r="X596" s="156"/>
      <c r="Y596" s="156"/>
      <c r="Z596" s="156"/>
    </row>
    <row r="597">
      <c r="A597" s="156"/>
      <c r="B597" s="156"/>
      <c r="C597" s="156"/>
      <c r="D597" s="156"/>
      <c r="E597" s="156"/>
      <c r="F597" s="156"/>
      <c r="G597" s="156"/>
      <c r="H597" s="156"/>
      <c r="I597" s="156"/>
      <c r="J597" s="156"/>
      <c r="K597" s="156"/>
      <c r="L597" s="156"/>
      <c r="M597" s="156"/>
      <c r="N597" s="156"/>
      <c r="O597" s="156"/>
      <c r="P597" s="156"/>
      <c r="Q597" s="156"/>
      <c r="R597" s="156"/>
      <c r="S597" s="156"/>
      <c r="T597" s="156"/>
      <c r="U597" s="156"/>
      <c r="V597" s="156"/>
      <c r="W597" s="156"/>
      <c r="X597" s="156"/>
      <c r="Y597" s="156"/>
      <c r="Z597" s="156"/>
    </row>
    <row r="598">
      <c r="A598" s="156"/>
      <c r="B598" s="156"/>
      <c r="C598" s="156"/>
      <c r="D598" s="156"/>
      <c r="E598" s="156"/>
      <c r="F598" s="156"/>
      <c r="G598" s="156"/>
      <c r="H598" s="156"/>
      <c r="I598" s="156"/>
      <c r="J598" s="156"/>
      <c r="K598" s="156"/>
      <c r="L598" s="156"/>
      <c r="M598" s="156"/>
      <c r="N598" s="156"/>
      <c r="O598" s="156"/>
      <c r="P598" s="156"/>
      <c r="Q598" s="156"/>
      <c r="R598" s="156"/>
      <c r="S598" s="156"/>
      <c r="T598" s="156"/>
      <c r="U598" s="156"/>
      <c r="V598" s="156"/>
      <c r="W598" s="156"/>
      <c r="X598" s="156"/>
      <c r="Y598" s="156"/>
      <c r="Z598" s="156"/>
    </row>
    <row r="599">
      <c r="A599" s="156"/>
      <c r="B599" s="156"/>
      <c r="C599" s="156"/>
      <c r="D599" s="156"/>
      <c r="E599" s="156"/>
      <c r="F599" s="156"/>
      <c r="G599" s="156"/>
      <c r="H599" s="156"/>
      <c r="I599" s="156"/>
      <c r="J599" s="156"/>
      <c r="K599" s="156"/>
      <c r="L599" s="156"/>
      <c r="M599" s="156"/>
      <c r="N599" s="156"/>
      <c r="O599" s="156"/>
      <c r="P599" s="156"/>
      <c r="Q599" s="156"/>
      <c r="R599" s="156"/>
      <c r="S599" s="156"/>
      <c r="T599" s="156"/>
      <c r="U599" s="156"/>
      <c r="V599" s="156"/>
      <c r="W599" s="156"/>
      <c r="X599" s="156"/>
      <c r="Y599" s="156"/>
      <c r="Z599" s="156"/>
    </row>
    <row r="600">
      <c r="A600" s="156"/>
      <c r="B600" s="156"/>
      <c r="C600" s="156"/>
      <c r="D600" s="156"/>
      <c r="E600" s="156"/>
      <c r="F600" s="156"/>
      <c r="G600" s="156"/>
      <c r="H600" s="156"/>
      <c r="I600" s="156"/>
      <c r="J600" s="156"/>
      <c r="K600" s="156"/>
      <c r="L600" s="156"/>
      <c r="M600" s="156"/>
      <c r="N600" s="156"/>
      <c r="O600" s="156"/>
      <c r="P600" s="156"/>
      <c r="Q600" s="156"/>
      <c r="R600" s="156"/>
      <c r="S600" s="156"/>
      <c r="T600" s="156"/>
      <c r="U600" s="156"/>
      <c r="V600" s="156"/>
      <c r="W600" s="156"/>
      <c r="X600" s="156"/>
      <c r="Y600" s="156"/>
      <c r="Z600" s="156"/>
    </row>
    <row r="601">
      <c r="A601" s="156"/>
      <c r="B601" s="156"/>
      <c r="C601" s="156"/>
      <c r="D601" s="156"/>
      <c r="E601" s="156"/>
      <c r="F601" s="156"/>
      <c r="G601" s="156"/>
      <c r="H601" s="156"/>
      <c r="I601" s="156"/>
      <c r="J601" s="156"/>
      <c r="K601" s="156"/>
      <c r="L601" s="156"/>
      <c r="M601" s="156"/>
      <c r="N601" s="156"/>
      <c r="O601" s="156"/>
      <c r="P601" s="156"/>
      <c r="Q601" s="156"/>
      <c r="R601" s="156"/>
      <c r="S601" s="156"/>
      <c r="T601" s="156"/>
      <c r="U601" s="156"/>
      <c r="V601" s="156"/>
      <c r="W601" s="156"/>
      <c r="X601" s="156"/>
      <c r="Y601" s="156"/>
      <c r="Z601" s="156"/>
    </row>
    <row r="602">
      <c r="A602" s="156"/>
      <c r="B602" s="156"/>
      <c r="C602" s="156"/>
      <c r="D602" s="156"/>
      <c r="E602" s="156"/>
      <c r="F602" s="156"/>
      <c r="G602" s="156"/>
      <c r="H602" s="156"/>
      <c r="I602" s="156"/>
      <c r="J602" s="156"/>
      <c r="K602" s="156"/>
      <c r="L602" s="156"/>
      <c r="M602" s="156"/>
      <c r="N602" s="156"/>
      <c r="O602" s="156"/>
      <c r="P602" s="156"/>
      <c r="Q602" s="156"/>
      <c r="R602" s="156"/>
      <c r="S602" s="156"/>
      <c r="T602" s="156"/>
      <c r="U602" s="156"/>
      <c r="V602" s="156"/>
      <c r="W602" s="156"/>
      <c r="X602" s="156"/>
      <c r="Y602" s="156"/>
      <c r="Z602" s="156"/>
    </row>
    <row r="603">
      <c r="A603" s="156"/>
      <c r="B603" s="156"/>
      <c r="C603" s="156"/>
      <c r="D603" s="156"/>
      <c r="E603" s="156"/>
      <c r="F603" s="156"/>
      <c r="G603" s="156"/>
      <c r="H603" s="156"/>
      <c r="I603" s="156"/>
      <c r="J603" s="156"/>
      <c r="K603" s="156"/>
      <c r="L603" s="156"/>
      <c r="M603" s="156"/>
      <c r="N603" s="156"/>
      <c r="O603" s="156"/>
      <c r="P603" s="156"/>
      <c r="Q603" s="156"/>
      <c r="R603" s="156"/>
      <c r="S603" s="156"/>
      <c r="T603" s="156"/>
      <c r="U603" s="156"/>
      <c r="V603" s="156"/>
      <c r="W603" s="156"/>
      <c r="X603" s="156"/>
      <c r="Y603" s="156"/>
      <c r="Z603" s="156"/>
    </row>
    <row r="604">
      <c r="A604" s="156"/>
      <c r="B604" s="156"/>
      <c r="C604" s="156"/>
      <c r="D604" s="156"/>
      <c r="E604" s="156"/>
      <c r="F604" s="156"/>
      <c r="G604" s="156"/>
      <c r="H604" s="156"/>
      <c r="I604" s="156"/>
      <c r="J604" s="156"/>
      <c r="K604" s="156"/>
      <c r="L604" s="156"/>
      <c r="M604" s="156"/>
      <c r="N604" s="156"/>
      <c r="O604" s="156"/>
      <c r="P604" s="156"/>
      <c r="Q604" s="156"/>
      <c r="R604" s="156"/>
      <c r="S604" s="156"/>
      <c r="T604" s="156"/>
      <c r="U604" s="156"/>
      <c r="V604" s="156"/>
      <c r="W604" s="156"/>
      <c r="X604" s="156"/>
      <c r="Y604" s="156"/>
      <c r="Z604" s="156"/>
    </row>
    <row r="605">
      <c r="A605" s="156"/>
      <c r="B605" s="156"/>
      <c r="C605" s="156"/>
      <c r="D605" s="156"/>
      <c r="E605" s="156"/>
      <c r="F605" s="156"/>
      <c r="G605" s="156"/>
      <c r="H605" s="156"/>
      <c r="I605" s="156"/>
      <c r="J605" s="156"/>
      <c r="K605" s="156"/>
      <c r="L605" s="156"/>
      <c r="M605" s="156"/>
      <c r="N605" s="156"/>
      <c r="O605" s="156"/>
      <c r="P605" s="156"/>
      <c r="Q605" s="156"/>
      <c r="R605" s="156"/>
      <c r="S605" s="156"/>
      <c r="T605" s="156"/>
      <c r="U605" s="156"/>
      <c r="V605" s="156"/>
      <c r="W605" s="156"/>
      <c r="X605" s="156"/>
      <c r="Y605" s="156"/>
      <c r="Z605" s="156"/>
    </row>
    <row r="606">
      <c r="A606" s="156"/>
      <c r="B606" s="156"/>
      <c r="C606" s="156"/>
      <c r="D606" s="156"/>
      <c r="E606" s="156"/>
      <c r="F606" s="156"/>
      <c r="G606" s="156"/>
      <c r="H606" s="156"/>
      <c r="I606" s="156"/>
      <c r="J606" s="156"/>
      <c r="K606" s="156"/>
      <c r="L606" s="156"/>
      <c r="M606" s="156"/>
      <c r="N606" s="156"/>
      <c r="O606" s="156"/>
      <c r="P606" s="156"/>
      <c r="Q606" s="156"/>
      <c r="R606" s="156"/>
      <c r="S606" s="156"/>
      <c r="T606" s="156"/>
      <c r="U606" s="156"/>
      <c r="V606" s="156"/>
      <c r="W606" s="156"/>
      <c r="X606" s="156"/>
      <c r="Y606" s="156"/>
      <c r="Z606" s="156"/>
    </row>
    <row r="607">
      <c r="A607" s="156"/>
      <c r="B607" s="156"/>
      <c r="C607" s="156"/>
      <c r="D607" s="156"/>
      <c r="E607" s="156"/>
      <c r="F607" s="156"/>
      <c r="G607" s="156"/>
      <c r="H607" s="156"/>
      <c r="I607" s="156"/>
      <c r="J607" s="156"/>
      <c r="K607" s="156"/>
      <c r="L607" s="156"/>
      <c r="M607" s="156"/>
      <c r="N607" s="156"/>
      <c r="O607" s="156"/>
      <c r="P607" s="156"/>
      <c r="Q607" s="156"/>
      <c r="R607" s="156"/>
      <c r="S607" s="156"/>
      <c r="T607" s="156"/>
      <c r="U607" s="156"/>
      <c r="V607" s="156"/>
      <c r="W607" s="156"/>
      <c r="X607" s="156"/>
      <c r="Y607" s="156"/>
      <c r="Z607" s="156"/>
    </row>
    <row r="608">
      <c r="A608" s="156"/>
      <c r="B608" s="156"/>
      <c r="C608" s="156"/>
      <c r="D608" s="156"/>
      <c r="E608" s="156"/>
      <c r="F608" s="156"/>
      <c r="G608" s="156"/>
      <c r="H608" s="156"/>
      <c r="I608" s="156"/>
      <c r="J608" s="156"/>
      <c r="K608" s="156"/>
      <c r="L608" s="156"/>
      <c r="M608" s="156"/>
      <c r="N608" s="156"/>
      <c r="O608" s="156"/>
      <c r="P608" s="156"/>
      <c r="Q608" s="156"/>
      <c r="R608" s="156"/>
      <c r="S608" s="156"/>
      <c r="T608" s="156"/>
      <c r="U608" s="156"/>
      <c r="V608" s="156"/>
      <c r="W608" s="156"/>
      <c r="X608" s="156"/>
      <c r="Y608" s="156"/>
      <c r="Z608" s="156"/>
    </row>
    <row r="609">
      <c r="A609" s="156"/>
      <c r="B609" s="156"/>
      <c r="C609" s="156"/>
      <c r="D609" s="156"/>
      <c r="E609" s="156"/>
      <c r="F609" s="156"/>
      <c r="G609" s="156"/>
      <c r="H609" s="156"/>
      <c r="I609" s="156"/>
      <c r="J609" s="156"/>
      <c r="K609" s="156"/>
      <c r="L609" s="156"/>
      <c r="M609" s="156"/>
      <c r="N609" s="156"/>
      <c r="O609" s="156"/>
      <c r="P609" s="156"/>
      <c r="Q609" s="156"/>
      <c r="R609" s="156"/>
      <c r="S609" s="156"/>
      <c r="T609" s="156"/>
      <c r="U609" s="156"/>
      <c r="V609" s="156"/>
      <c r="W609" s="156"/>
      <c r="X609" s="156"/>
      <c r="Y609" s="156"/>
      <c r="Z609" s="156"/>
    </row>
    <row r="610">
      <c r="A610" s="156"/>
      <c r="B610" s="156"/>
      <c r="C610" s="156"/>
      <c r="D610" s="156"/>
      <c r="E610" s="156"/>
      <c r="F610" s="156"/>
      <c r="G610" s="156"/>
      <c r="H610" s="156"/>
      <c r="I610" s="156"/>
      <c r="J610" s="156"/>
      <c r="K610" s="156"/>
      <c r="L610" s="156"/>
      <c r="M610" s="156"/>
      <c r="N610" s="156"/>
      <c r="O610" s="156"/>
      <c r="P610" s="156"/>
      <c r="Q610" s="156"/>
      <c r="R610" s="156"/>
      <c r="S610" s="156"/>
      <c r="T610" s="156"/>
      <c r="U610" s="156"/>
      <c r="V610" s="156"/>
      <c r="W610" s="156"/>
      <c r="X610" s="156"/>
      <c r="Y610" s="156"/>
      <c r="Z610" s="156"/>
    </row>
    <row r="611">
      <c r="A611" s="156"/>
      <c r="B611" s="156"/>
      <c r="C611" s="156"/>
      <c r="D611" s="156"/>
      <c r="E611" s="156"/>
      <c r="F611" s="156"/>
      <c r="G611" s="156"/>
      <c r="H611" s="156"/>
      <c r="I611" s="156"/>
      <c r="J611" s="156"/>
      <c r="K611" s="156"/>
      <c r="L611" s="156"/>
      <c r="M611" s="156"/>
      <c r="N611" s="156"/>
      <c r="O611" s="156"/>
      <c r="P611" s="156"/>
      <c r="Q611" s="156"/>
      <c r="R611" s="156"/>
      <c r="S611" s="156"/>
      <c r="T611" s="156"/>
      <c r="U611" s="156"/>
      <c r="V611" s="156"/>
      <c r="W611" s="156"/>
      <c r="X611" s="156"/>
      <c r="Y611" s="156"/>
      <c r="Z611" s="156"/>
    </row>
    <row r="612">
      <c r="A612" s="156"/>
      <c r="B612" s="156"/>
      <c r="C612" s="156"/>
      <c r="D612" s="156"/>
      <c r="E612" s="156"/>
      <c r="F612" s="156"/>
      <c r="G612" s="156"/>
      <c r="H612" s="156"/>
      <c r="I612" s="156"/>
      <c r="J612" s="156"/>
      <c r="K612" s="156"/>
      <c r="L612" s="156"/>
      <c r="M612" s="156"/>
      <c r="N612" s="156"/>
      <c r="O612" s="156"/>
      <c r="P612" s="156"/>
      <c r="Q612" s="156"/>
      <c r="R612" s="156"/>
      <c r="S612" s="156"/>
      <c r="T612" s="156"/>
      <c r="U612" s="156"/>
      <c r="V612" s="156"/>
      <c r="W612" s="156"/>
      <c r="X612" s="156"/>
      <c r="Y612" s="156"/>
      <c r="Z612" s="156"/>
    </row>
    <row r="613">
      <c r="A613" s="156"/>
      <c r="B613" s="156"/>
      <c r="C613" s="156"/>
      <c r="D613" s="156"/>
      <c r="E613" s="156"/>
      <c r="F613" s="156"/>
      <c r="G613" s="156"/>
      <c r="H613" s="156"/>
      <c r="I613" s="156"/>
      <c r="J613" s="156"/>
      <c r="K613" s="156"/>
      <c r="L613" s="156"/>
      <c r="M613" s="156"/>
      <c r="N613" s="156"/>
      <c r="O613" s="156"/>
      <c r="P613" s="156"/>
      <c r="Q613" s="156"/>
      <c r="R613" s="156"/>
      <c r="S613" s="156"/>
      <c r="T613" s="156"/>
      <c r="U613" s="156"/>
      <c r="V613" s="156"/>
      <c r="W613" s="156"/>
      <c r="X613" s="156"/>
      <c r="Y613" s="156"/>
      <c r="Z613" s="156"/>
    </row>
    <row r="614">
      <c r="A614" s="156"/>
      <c r="B614" s="156"/>
      <c r="C614" s="156"/>
      <c r="D614" s="156"/>
      <c r="E614" s="156"/>
      <c r="F614" s="156"/>
      <c r="G614" s="156"/>
      <c r="H614" s="156"/>
      <c r="I614" s="156"/>
      <c r="J614" s="156"/>
      <c r="K614" s="156"/>
      <c r="L614" s="156"/>
      <c r="M614" s="156"/>
      <c r="N614" s="156"/>
      <c r="O614" s="156"/>
      <c r="P614" s="156"/>
      <c r="Q614" s="156"/>
      <c r="R614" s="156"/>
      <c r="S614" s="156"/>
      <c r="T614" s="156"/>
      <c r="U614" s="156"/>
      <c r="V614" s="156"/>
      <c r="W614" s="156"/>
      <c r="X614" s="156"/>
      <c r="Y614" s="156"/>
      <c r="Z614" s="156"/>
    </row>
    <row r="615">
      <c r="A615" s="156"/>
      <c r="B615" s="156"/>
      <c r="C615" s="156"/>
      <c r="D615" s="156"/>
      <c r="E615" s="156"/>
      <c r="F615" s="156"/>
      <c r="G615" s="156"/>
      <c r="H615" s="156"/>
      <c r="I615" s="156"/>
      <c r="J615" s="156"/>
      <c r="K615" s="156"/>
      <c r="L615" s="156"/>
      <c r="M615" s="156"/>
      <c r="N615" s="156"/>
      <c r="O615" s="156"/>
      <c r="P615" s="156"/>
      <c r="Q615" s="156"/>
      <c r="R615" s="156"/>
      <c r="S615" s="156"/>
      <c r="T615" s="156"/>
      <c r="U615" s="156"/>
      <c r="V615" s="156"/>
      <c r="W615" s="156"/>
      <c r="X615" s="156"/>
      <c r="Y615" s="156"/>
      <c r="Z615" s="156"/>
    </row>
    <row r="616">
      <c r="A616" s="156"/>
      <c r="B616" s="156"/>
      <c r="C616" s="156"/>
      <c r="D616" s="156"/>
      <c r="E616" s="156"/>
      <c r="F616" s="156"/>
      <c r="G616" s="156"/>
      <c r="H616" s="156"/>
      <c r="I616" s="156"/>
      <c r="J616" s="156"/>
      <c r="K616" s="156"/>
      <c r="L616" s="156"/>
      <c r="M616" s="156"/>
      <c r="N616" s="156"/>
      <c r="O616" s="156"/>
      <c r="P616" s="156"/>
      <c r="Q616" s="156"/>
      <c r="R616" s="156"/>
      <c r="S616" s="156"/>
      <c r="T616" s="156"/>
      <c r="U616" s="156"/>
      <c r="V616" s="156"/>
      <c r="W616" s="156"/>
      <c r="X616" s="156"/>
      <c r="Y616" s="156"/>
      <c r="Z616" s="156"/>
    </row>
    <row r="617">
      <c r="A617" s="156"/>
      <c r="B617" s="156"/>
      <c r="C617" s="156"/>
      <c r="D617" s="156"/>
      <c r="E617" s="156"/>
      <c r="F617" s="156"/>
      <c r="G617" s="156"/>
      <c r="H617" s="156"/>
      <c r="I617" s="156"/>
      <c r="J617" s="156"/>
      <c r="K617" s="156"/>
      <c r="L617" s="156"/>
      <c r="M617" s="156"/>
      <c r="N617" s="156"/>
      <c r="O617" s="156"/>
      <c r="P617" s="156"/>
      <c r="Q617" s="156"/>
      <c r="R617" s="156"/>
      <c r="S617" s="156"/>
      <c r="T617" s="156"/>
      <c r="U617" s="156"/>
      <c r="V617" s="156"/>
      <c r="W617" s="156"/>
      <c r="X617" s="156"/>
      <c r="Y617" s="156"/>
      <c r="Z617" s="156"/>
    </row>
    <row r="618">
      <c r="A618" s="156"/>
      <c r="B618" s="156"/>
      <c r="C618" s="156"/>
      <c r="D618" s="156"/>
      <c r="E618" s="156"/>
      <c r="F618" s="156"/>
      <c r="G618" s="156"/>
      <c r="H618" s="156"/>
      <c r="I618" s="156"/>
      <c r="J618" s="156"/>
      <c r="K618" s="156"/>
      <c r="L618" s="156"/>
      <c r="M618" s="156"/>
      <c r="N618" s="156"/>
      <c r="O618" s="156"/>
      <c r="P618" s="156"/>
      <c r="Q618" s="156"/>
      <c r="R618" s="156"/>
      <c r="S618" s="156"/>
      <c r="T618" s="156"/>
      <c r="U618" s="156"/>
      <c r="V618" s="156"/>
      <c r="W618" s="156"/>
      <c r="X618" s="156"/>
      <c r="Y618" s="156"/>
      <c r="Z618" s="156"/>
    </row>
    <row r="619">
      <c r="A619" s="156"/>
      <c r="B619" s="156"/>
      <c r="C619" s="156"/>
      <c r="D619" s="156"/>
      <c r="E619" s="156"/>
      <c r="F619" s="156"/>
      <c r="G619" s="156"/>
      <c r="H619" s="156"/>
      <c r="I619" s="156"/>
      <c r="J619" s="156"/>
      <c r="K619" s="156"/>
      <c r="L619" s="156"/>
      <c r="M619" s="156"/>
      <c r="N619" s="156"/>
      <c r="O619" s="156"/>
      <c r="P619" s="156"/>
      <c r="Q619" s="156"/>
      <c r="R619" s="156"/>
      <c r="S619" s="156"/>
      <c r="T619" s="156"/>
      <c r="U619" s="156"/>
      <c r="V619" s="156"/>
      <c r="W619" s="156"/>
      <c r="X619" s="156"/>
      <c r="Y619" s="156"/>
      <c r="Z619" s="156"/>
    </row>
    <row r="620">
      <c r="A620" s="156"/>
      <c r="B620" s="156"/>
      <c r="C620" s="156"/>
      <c r="D620" s="156"/>
      <c r="E620" s="156"/>
      <c r="F620" s="156"/>
      <c r="G620" s="156"/>
      <c r="H620" s="156"/>
      <c r="I620" s="156"/>
      <c r="J620" s="156"/>
      <c r="K620" s="156"/>
      <c r="L620" s="156"/>
      <c r="M620" s="156"/>
      <c r="N620" s="156"/>
      <c r="O620" s="156"/>
      <c r="P620" s="156"/>
      <c r="Q620" s="156"/>
      <c r="R620" s="156"/>
      <c r="S620" s="156"/>
      <c r="T620" s="156"/>
      <c r="U620" s="156"/>
      <c r="V620" s="156"/>
      <c r="W620" s="156"/>
      <c r="X620" s="156"/>
      <c r="Y620" s="156"/>
      <c r="Z620" s="156"/>
    </row>
    <row r="621">
      <c r="A621" s="156"/>
      <c r="B621" s="156"/>
      <c r="C621" s="156"/>
      <c r="D621" s="156"/>
      <c r="E621" s="156"/>
      <c r="F621" s="156"/>
      <c r="G621" s="156"/>
      <c r="H621" s="156"/>
      <c r="I621" s="156"/>
      <c r="J621" s="156"/>
      <c r="K621" s="156"/>
      <c r="L621" s="156"/>
      <c r="M621" s="156"/>
      <c r="N621" s="156"/>
      <c r="O621" s="156"/>
      <c r="P621" s="156"/>
      <c r="Q621" s="156"/>
      <c r="R621" s="156"/>
      <c r="S621" s="156"/>
      <c r="T621" s="156"/>
      <c r="U621" s="156"/>
      <c r="V621" s="156"/>
      <c r="W621" s="156"/>
      <c r="X621" s="156"/>
      <c r="Y621" s="156"/>
      <c r="Z621" s="156"/>
    </row>
    <row r="622">
      <c r="A622" s="156"/>
      <c r="B622" s="156"/>
      <c r="C622" s="156"/>
      <c r="D622" s="156"/>
      <c r="E622" s="156"/>
      <c r="F622" s="156"/>
      <c r="G622" s="156"/>
      <c r="H622" s="156"/>
      <c r="I622" s="156"/>
      <c r="J622" s="156"/>
      <c r="K622" s="156"/>
      <c r="L622" s="156"/>
      <c r="M622" s="156"/>
      <c r="N622" s="156"/>
      <c r="O622" s="156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</row>
    <row r="623">
      <c r="A623" s="156"/>
      <c r="B623" s="156"/>
      <c r="C623" s="156"/>
      <c r="D623" s="156"/>
      <c r="E623" s="156"/>
      <c r="F623" s="156"/>
      <c r="G623" s="156"/>
      <c r="H623" s="156"/>
      <c r="I623" s="156"/>
      <c r="J623" s="156"/>
      <c r="K623" s="156"/>
      <c r="L623" s="156"/>
      <c r="M623" s="156"/>
      <c r="N623" s="156"/>
      <c r="O623" s="156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</row>
    <row r="624">
      <c r="A624" s="156"/>
      <c r="B624" s="156"/>
      <c r="C624" s="156"/>
      <c r="D624" s="156"/>
      <c r="E624" s="156"/>
      <c r="F624" s="156"/>
      <c r="G624" s="156"/>
      <c r="H624" s="156"/>
      <c r="I624" s="156"/>
      <c r="J624" s="156"/>
      <c r="K624" s="156"/>
      <c r="L624" s="156"/>
      <c r="M624" s="156"/>
      <c r="N624" s="156"/>
      <c r="O624" s="156"/>
      <c r="P624" s="156"/>
      <c r="Q624" s="156"/>
      <c r="R624" s="156"/>
      <c r="S624" s="156"/>
      <c r="T624" s="156"/>
      <c r="U624" s="156"/>
      <c r="V624" s="156"/>
      <c r="W624" s="156"/>
      <c r="X624" s="156"/>
      <c r="Y624" s="156"/>
      <c r="Z624" s="156"/>
    </row>
    <row r="625">
      <c r="A625" s="156"/>
      <c r="B625" s="156"/>
      <c r="C625" s="156"/>
      <c r="D625" s="156"/>
      <c r="E625" s="156"/>
      <c r="F625" s="156"/>
      <c r="G625" s="156"/>
      <c r="H625" s="156"/>
      <c r="I625" s="156"/>
      <c r="J625" s="156"/>
      <c r="K625" s="156"/>
      <c r="L625" s="156"/>
      <c r="M625" s="156"/>
      <c r="N625" s="156"/>
      <c r="O625" s="156"/>
      <c r="P625" s="156"/>
      <c r="Q625" s="156"/>
      <c r="R625" s="156"/>
      <c r="S625" s="156"/>
      <c r="T625" s="156"/>
      <c r="U625" s="156"/>
      <c r="V625" s="156"/>
      <c r="W625" s="156"/>
      <c r="X625" s="156"/>
      <c r="Y625" s="156"/>
      <c r="Z625" s="156"/>
    </row>
    <row r="626">
      <c r="A626" s="156"/>
      <c r="B626" s="156"/>
      <c r="C626" s="156"/>
      <c r="D626" s="156"/>
      <c r="E626" s="156"/>
      <c r="F626" s="156"/>
      <c r="G626" s="156"/>
      <c r="H626" s="156"/>
      <c r="I626" s="156"/>
      <c r="J626" s="156"/>
      <c r="K626" s="156"/>
      <c r="L626" s="156"/>
      <c r="M626" s="156"/>
      <c r="N626" s="156"/>
      <c r="O626" s="156"/>
      <c r="P626" s="156"/>
      <c r="Q626" s="156"/>
      <c r="R626" s="156"/>
      <c r="S626" s="156"/>
      <c r="T626" s="156"/>
      <c r="U626" s="156"/>
      <c r="V626" s="156"/>
      <c r="W626" s="156"/>
      <c r="X626" s="156"/>
      <c r="Y626" s="156"/>
      <c r="Z626" s="156"/>
    </row>
    <row r="627">
      <c r="A627" s="156"/>
      <c r="B627" s="156"/>
      <c r="C627" s="156"/>
      <c r="D627" s="156"/>
      <c r="E627" s="156"/>
      <c r="F627" s="156"/>
      <c r="G627" s="156"/>
      <c r="H627" s="156"/>
      <c r="I627" s="156"/>
      <c r="J627" s="156"/>
      <c r="K627" s="156"/>
      <c r="L627" s="156"/>
      <c r="M627" s="156"/>
      <c r="N627" s="156"/>
      <c r="O627" s="156"/>
      <c r="P627" s="156"/>
      <c r="Q627" s="156"/>
      <c r="R627" s="156"/>
      <c r="S627" s="156"/>
      <c r="T627" s="156"/>
      <c r="U627" s="156"/>
      <c r="V627" s="156"/>
      <c r="W627" s="156"/>
      <c r="X627" s="156"/>
      <c r="Y627" s="156"/>
      <c r="Z627" s="156"/>
    </row>
    <row r="628">
      <c r="A628" s="156"/>
      <c r="B628" s="156"/>
      <c r="C628" s="156"/>
      <c r="D628" s="156"/>
      <c r="E628" s="156"/>
      <c r="F628" s="156"/>
      <c r="G628" s="156"/>
      <c r="H628" s="156"/>
      <c r="I628" s="156"/>
      <c r="J628" s="156"/>
      <c r="K628" s="156"/>
      <c r="L628" s="156"/>
      <c r="M628" s="156"/>
      <c r="N628" s="156"/>
      <c r="O628" s="156"/>
      <c r="P628" s="156"/>
      <c r="Q628" s="156"/>
      <c r="R628" s="156"/>
      <c r="S628" s="156"/>
      <c r="T628" s="156"/>
      <c r="U628" s="156"/>
      <c r="V628" s="156"/>
      <c r="W628" s="156"/>
      <c r="X628" s="156"/>
      <c r="Y628" s="156"/>
      <c r="Z628" s="156"/>
    </row>
    <row r="629">
      <c r="A629" s="156"/>
      <c r="B629" s="156"/>
      <c r="C629" s="156"/>
      <c r="D629" s="156"/>
      <c r="E629" s="156"/>
      <c r="F629" s="156"/>
      <c r="G629" s="156"/>
      <c r="H629" s="156"/>
      <c r="I629" s="156"/>
      <c r="J629" s="156"/>
      <c r="K629" s="156"/>
      <c r="L629" s="156"/>
      <c r="M629" s="156"/>
      <c r="N629" s="156"/>
      <c r="O629" s="156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</row>
    <row r="630">
      <c r="A630" s="156"/>
      <c r="B630" s="156"/>
      <c r="C630" s="156"/>
      <c r="D630" s="156"/>
      <c r="E630" s="156"/>
      <c r="F630" s="156"/>
      <c r="G630" s="156"/>
      <c r="H630" s="156"/>
      <c r="I630" s="156"/>
      <c r="J630" s="156"/>
      <c r="K630" s="156"/>
      <c r="L630" s="156"/>
      <c r="M630" s="156"/>
      <c r="N630" s="156"/>
      <c r="O630" s="156"/>
      <c r="P630" s="156"/>
      <c r="Q630" s="156"/>
      <c r="R630" s="156"/>
      <c r="S630" s="156"/>
      <c r="T630" s="156"/>
      <c r="U630" s="156"/>
      <c r="V630" s="156"/>
      <c r="W630" s="156"/>
      <c r="X630" s="156"/>
      <c r="Y630" s="156"/>
      <c r="Z630" s="156"/>
    </row>
    <row r="631">
      <c r="A631" s="156"/>
      <c r="B631" s="156"/>
      <c r="C631" s="156"/>
      <c r="D631" s="156"/>
      <c r="E631" s="156"/>
      <c r="F631" s="156"/>
      <c r="G631" s="156"/>
      <c r="H631" s="156"/>
      <c r="I631" s="156"/>
      <c r="J631" s="156"/>
      <c r="K631" s="156"/>
      <c r="L631" s="156"/>
      <c r="M631" s="156"/>
      <c r="N631" s="156"/>
      <c r="O631" s="156"/>
      <c r="P631" s="156"/>
      <c r="Q631" s="156"/>
      <c r="R631" s="156"/>
      <c r="S631" s="156"/>
      <c r="T631" s="156"/>
      <c r="U631" s="156"/>
      <c r="V631" s="156"/>
      <c r="W631" s="156"/>
      <c r="X631" s="156"/>
      <c r="Y631" s="156"/>
      <c r="Z631" s="156"/>
    </row>
    <row r="632">
      <c r="A632" s="156"/>
      <c r="B632" s="156"/>
      <c r="C632" s="156"/>
      <c r="D632" s="156"/>
      <c r="E632" s="156"/>
      <c r="F632" s="156"/>
      <c r="G632" s="156"/>
      <c r="H632" s="156"/>
      <c r="I632" s="156"/>
      <c r="J632" s="156"/>
      <c r="K632" s="156"/>
      <c r="L632" s="156"/>
      <c r="M632" s="156"/>
      <c r="N632" s="156"/>
      <c r="O632" s="156"/>
      <c r="P632" s="156"/>
      <c r="Q632" s="156"/>
      <c r="R632" s="156"/>
      <c r="S632" s="156"/>
      <c r="T632" s="156"/>
      <c r="U632" s="156"/>
      <c r="V632" s="156"/>
      <c r="W632" s="156"/>
      <c r="X632" s="156"/>
      <c r="Y632" s="156"/>
      <c r="Z632" s="156"/>
    </row>
    <row r="633">
      <c r="A633" s="156"/>
      <c r="B633" s="156"/>
      <c r="C633" s="156"/>
      <c r="D633" s="156"/>
      <c r="E633" s="156"/>
      <c r="F633" s="156"/>
      <c r="G633" s="156"/>
      <c r="H633" s="156"/>
      <c r="I633" s="156"/>
      <c r="J633" s="156"/>
      <c r="K633" s="156"/>
      <c r="L633" s="156"/>
      <c r="M633" s="156"/>
      <c r="N633" s="156"/>
      <c r="O633" s="156"/>
      <c r="P633" s="156"/>
      <c r="Q633" s="156"/>
      <c r="R633" s="156"/>
      <c r="S633" s="156"/>
      <c r="T633" s="156"/>
      <c r="U633" s="156"/>
      <c r="V633" s="156"/>
      <c r="W633" s="156"/>
      <c r="X633" s="156"/>
      <c r="Y633" s="156"/>
      <c r="Z633" s="156"/>
    </row>
    <row r="634">
      <c r="A634" s="156"/>
      <c r="B634" s="156"/>
      <c r="C634" s="156"/>
      <c r="D634" s="156"/>
      <c r="E634" s="156"/>
      <c r="F634" s="156"/>
      <c r="G634" s="156"/>
      <c r="H634" s="156"/>
      <c r="I634" s="156"/>
      <c r="J634" s="156"/>
      <c r="K634" s="156"/>
      <c r="L634" s="156"/>
      <c r="M634" s="156"/>
      <c r="N634" s="156"/>
      <c r="O634" s="156"/>
      <c r="P634" s="156"/>
      <c r="Q634" s="156"/>
      <c r="R634" s="156"/>
      <c r="S634" s="156"/>
      <c r="T634" s="156"/>
      <c r="U634" s="156"/>
      <c r="V634" s="156"/>
      <c r="W634" s="156"/>
      <c r="X634" s="156"/>
      <c r="Y634" s="156"/>
      <c r="Z634" s="156"/>
    </row>
    <row r="635">
      <c r="A635" s="156"/>
      <c r="B635" s="156"/>
      <c r="C635" s="156"/>
      <c r="D635" s="156"/>
      <c r="E635" s="156"/>
      <c r="F635" s="156"/>
      <c r="G635" s="156"/>
      <c r="H635" s="156"/>
      <c r="I635" s="156"/>
      <c r="J635" s="156"/>
      <c r="K635" s="156"/>
      <c r="L635" s="156"/>
      <c r="M635" s="156"/>
      <c r="N635" s="156"/>
      <c r="O635" s="156"/>
      <c r="P635" s="156"/>
      <c r="Q635" s="156"/>
      <c r="R635" s="156"/>
      <c r="S635" s="156"/>
      <c r="T635" s="156"/>
      <c r="U635" s="156"/>
      <c r="V635" s="156"/>
      <c r="W635" s="156"/>
      <c r="X635" s="156"/>
      <c r="Y635" s="156"/>
      <c r="Z635" s="156"/>
    </row>
    <row r="636">
      <c r="A636" s="156"/>
      <c r="B636" s="156"/>
      <c r="C636" s="156"/>
      <c r="D636" s="156"/>
      <c r="E636" s="156"/>
      <c r="F636" s="156"/>
      <c r="G636" s="156"/>
      <c r="H636" s="156"/>
      <c r="I636" s="156"/>
      <c r="J636" s="156"/>
      <c r="K636" s="156"/>
      <c r="L636" s="156"/>
      <c r="M636" s="156"/>
      <c r="N636" s="156"/>
      <c r="O636" s="156"/>
      <c r="P636" s="156"/>
      <c r="Q636" s="156"/>
      <c r="R636" s="156"/>
      <c r="S636" s="156"/>
      <c r="T636" s="156"/>
      <c r="U636" s="156"/>
      <c r="V636" s="156"/>
      <c r="W636" s="156"/>
      <c r="X636" s="156"/>
      <c r="Y636" s="156"/>
      <c r="Z636" s="156"/>
    </row>
    <row r="637">
      <c r="A637" s="156"/>
      <c r="B637" s="156"/>
      <c r="C637" s="156"/>
      <c r="D637" s="156"/>
      <c r="E637" s="156"/>
      <c r="F637" s="156"/>
      <c r="G637" s="156"/>
      <c r="H637" s="156"/>
      <c r="I637" s="156"/>
      <c r="J637" s="156"/>
      <c r="K637" s="156"/>
      <c r="L637" s="156"/>
      <c r="M637" s="156"/>
      <c r="N637" s="156"/>
      <c r="O637" s="156"/>
      <c r="P637" s="156"/>
      <c r="Q637" s="156"/>
      <c r="R637" s="156"/>
      <c r="S637" s="156"/>
      <c r="T637" s="156"/>
      <c r="U637" s="156"/>
      <c r="V637" s="156"/>
      <c r="W637" s="156"/>
      <c r="X637" s="156"/>
      <c r="Y637" s="156"/>
      <c r="Z637" s="156"/>
    </row>
    <row r="638">
      <c r="A638" s="156"/>
      <c r="B638" s="156"/>
      <c r="C638" s="156"/>
      <c r="D638" s="156"/>
      <c r="E638" s="156"/>
      <c r="F638" s="156"/>
      <c r="G638" s="156"/>
      <c r="H638" s="156"/>
      <c r="I638" s="156"/>
      <c r="J638" s="156"/>
      <c r="K638" s="156"/>
      <c r="L638" s="156"/>
      <c r="M638" s="156"/>
      <c r="N638" s="156"/>
      <c r="O638" s="156"/>
      <c r="P638" s="156"/>
      <c r="Q638" s="156"/>
      <c r="R638" s="156"/>
      <c r="S638" s="156"/>
      <c r="T638" s="156"/>
      <c r="U638" s="156"/>
      <c r="V638" s="156"/>
      <c r="W638" s="156"/>
      <c r="X638" s="156"/>
      <c r="Y638" s="156"/>
      <c r="Z638" s="156"/>
    </row>
    <row r="639">
      <c r="A639" s="156"/>
      <c r="B639" s="156"/>
      <c r="C639" s="156"/>
      <c r="D639" s="156"/>
      <c r="E639" s="156"/>
      <c r="F639" s="156"/>
      <c r="G639" s="156"/>
      <c r="H639" s="156"/>
      <c r="I639" s="156"/>
      <c r="J639" s="156"/>
      <c r="K639" s="156"/>
      <c r="L639" s="156"/>
      <c r="M639" s="156"/>
      <c r="N639" s="156"/>
      <c r="O639" s="156"/>
      <c r="P639" s="156"/>
      <c r="Q639" s="156"/>
      <c r="R639" s="156"/>
      <c r="S639" s="156"/>
      <c r="T639" s="156"/>
      <c r="U639" s="156"/>
      <c r="V639" s="156"/>
      <c r="W639" s="156"/>
      <c r="X639" s="156"/>
      <c r="Y639" s="156"/>
      <c r="Z639" s="156"/>
    </row>
    <row r="640">
      <c r="A640" s="156"/>
      <c r="B640" s="156"/>
      <c r="C640" s="156"/>
      <c r="D640" s="156"/>
      <c r="E640" s="156"/>
      <c r="F640" s="156"/>
      <c r="G640" s="156"/>
      <c r="H640" s="156"/>
      <c r="I640" s="156"/>
      <c r="J640" s="156"/>
      <c r="K640" s="156"/>
      <c r="L640" s="156"/>
      <c r="M640" s="156"/>
      <c r="N640" s="156"/>
      <c r="O640" s="156"/>
      <c r="P640" s="156"/>
      <c r="Q640" s="156"/>
      <c r="R640" s="156"/>
      <c r="S640" s="156"/>
      <c r="T640" s="156"/>
      <c r="U640" s="156"/>
      <c r="V640" s="156"/>
      <c r="W640" s="156"/>
      <c r="X640" s="156"/>
      <c r="Y640" s="156"/>
      <c r="Z640" s="156"/>
    </row>
    <row r="641">
      <c r="A641" s="156"/>
      <c r="B641" s="156"/>
      <c r="C641" s="156"/>
      <c r="D641" s="156"/>
      <c r="E641" s="156"/>
      <c r="F641" s="156"/>
      <c r="G641" s="156"/>
      <c r="H641" s="156"/>
      <c r="I641" s="156"/>
      <c r="J641" s="156"/>
      <c r="K641" s="156"/>
      <c r="L641" s="156"/>
      <c r="M641" s="156"/>
      <c r="N641" s="156"/>
      <c r="O641" s="156"/>
      <c r="P641" s="156"/>
      <c r="Q641" s="156"/>
      <c r="R641" s="156"/>
      <c r="S641" s="156"/>
      <c r="T641" s="156"/>
      <c r="U641" s="156"/>
      <c r="V641" s="156"/>
      <c r="W641" s="156"/>
      <c r="X641" s="156"/>
      <c r="Y641" s="156"/>
      <c r="Z641" s="156"/>
    </row>
    <row r="642">
      <c r="A642" s="156"/>
      <c r="B642" s="156"/>
      <c r="C642" s="156"/>
      <c r="D642" s="156"/>
      <c r="E642" s="156"/>
      <c r="F642" s="156"/>
      <c r="G642" s="156"/>
      <c r="H642" s="156"/>
      <c r="I642" s="156"/>
      <c r="J642" s="156"/>
      <c r="K642" s="156"/>
      <c r="L642" s="156"/>
      <c r="M642" s="156"/>
      <c r="N642" s="156"/>
      <c r="O642" s="156"/>
      <c r="P642" s="156"/>
      <c r="Q642" s="156"/>
      <c r="R642" s="156"/>
      <c r="S642" s="156"/>
      <c r="T642" s="156"/>
      <c r="U642" s="156"/>
      <c r="V642" s="156"/>
      <c r="W642" s="156"/>
      <c r="X642" s="156"/>
      <c r="Y642" s="156"/>
      <c r="Z642" s="156"/>
    </row>
    <row r="643">
      <c r="A643" s="156"/>
      <c r="B643" s="156"/>
      <c r="C643" s="156"/>
      <c r="D643" s="156"/>
      <c r="E643" s="156"/>
      <c r="F643" s="156"/>
      <c r="G643" s="156"/>
      <c r="H643" s="156"/>
      <c r="I643" s="156"/>
      <c r="J643" s="156"/>
      <c r="K643" s="156"/>
      <c r="L643" s="156"/>
      <c r="M643" s="156"/>
      <c r="N643" s="156"/>
      <c r="O643" s="156"/>
      <c r="P643" s="156"/>
      <c r="Q643" s="156"/>
      <c r="R643" s="156"/>
      <c r="S643" s="156"/>
      <c r="T643" s="156"/>
      <c r="U643" s="156"/>
      <c r="V643" s="156"/>
      <c r="W643" s="156"/>
      <c r="X643" s="156"/>
      <c r="Y643" s="156"/>
      <c r="Z643" s="156"/>
    </row>
    <row r="644">
      <c r="A644" s="156"/>
      <c r="B644" s="156"/>
      <c r="C644" s="156"/>
      <c r="D644" s="156"/>
      <c r="E644" s="156"/>
      <c r="F644" s="156"/>
      <c r="G644" s="156"/>
      <c r="H644" s="156"/>
      <c r="I644" s="156"/>
      <c r="J644" s="156"/>
      <c r="K644" s="156"/>
      <c r="L644" s="156"/>
      <c r="M644" s="156"/>
      <c r="N644" s="156"/>
      <c r="O644" s="156"/>
      <c r="P644" s="156"/>
      <c r="Q644" s="156"/>
      <c r="R644" s="156"/>
      <c r="S644" s="156"/>
      <c r="T644" s="156"/>
      <c r="U644" s="156"/>
      <c r="V644" s="156"/>
      <c r="W644" s="156"/>
      <c r="X644" s="156"/>
      <c r="Y644" s="156"/>
      <c r="Z644" s="156"/>
    </row>
    <row r="645">
      <c r="A645" s="156"/>
      <c r="B645" s="156"/>
      <c r="C645" s="156"/>
      <c r="D645" s="156"/>
      <c r="E645" s="156"/>
      <c r="F645" s="156"/>
      <c r="G645" s="156"/>
      <c r="H645" s="156"/>
      <c r="I645" s="156"/>
      <c r="J645" s="156"/>
      <c r="K645" s="156"/>
      <c r="L645" s="156"/>
      <c r="M645" s="156"/>
      <c r="N645" s="156"/>
      <c r="O645" s="156"/>
      <c r="P645" s="156"/>
      <c r="Q645" s="156"/>
      <c r="R645" s="156"/>
      <c r="S645" s="156"/>
      <c r="T645" s="156"/>
      <c r="U645" s="156"/>
      <c r="V645" s="156"/>
      <c r="W645" s="156"/>
      <c r="X645" s="156"/>
      <c r="Y645" s="156"/>
      <c r="Z645" s="156"/>
    </row>
    <row r="646">
      <c r="A646" s="156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</row>
    <row r="647">
      <c r="A647" s="156"/>
      <c r="B647" s="156"/>
      <c r="C647" s="156"/>
      <c r="D647" s="156"/>
      <c r="E647" s="156"/>
      <c r="F647" s="156"/>
      <c r="G647" s="156"/>
      <c r="H647" s="156"/>
      <c r="I647" s="156"/>
      <c r="J647" s="156"/>
      <c r="K647" s="156"/>
      <c r="L647" s="156"/>
      <c r="M647" s="156"/>
      <c r="N647" s="156"/>
      <c r="O647" s="156"/>
      <c r="P647" s="156"/>
      <c r="Q647" s="156"/>
      <c r="R647" s="156"/>
      <c r="S647" s="156"/>
      <c r="T647" s="156"/>
      <c r="U647" s="156"/>
      <c r="V647" s="156"/>
      <c r="W647" s="156"/>
      <c r="X647" s="156"/>
      <c r="Y647" s="156"/>
      <c r="Z647" s="156"/>
    </row>
    <row r="648">
      <c r="A648" s="156"/>
      <c r="B648" s="156"/>
      <c r="C648" s="156"/>
      <c r="D648" s="156"/>
      <c r="E648" s="156"/>
      <c r="F648" s="156"/>
      <c r="G648" s="156"/>
      <c r="H648" s="156"/>
      <c r="I648" s="156"/>
      <c r="J648" s="156"/>
      <c r="K648" s="156"/>
      <c r="L648" s="156"/>
      <c r="M648" s="156"/>
      <c r="N648" s="156"/>
      <c r="O648" s="156"/>
      <c r="P648" s="156"/>
      <c r="Q648" s="156"/>
      <c r="R648" s="156"/>
      <c r="S648" s="156"/>
      <c r="T648" s="156"/>
      <c r="U648" s="156"/>
      <c r="V648" s="156"/>
      <c r="W648" s="156"/>
      <c r="X648" s="156"/>
      <c r="Y648" s="156"/>
      <c r="Z648" s="156"/>
    </row>
    <row r="649">
      <c r="A649" s="156"/>
      <c r="B649" s="156"/>
      <c r="C649" s="156"/>
      <c r="D649" s="156"/>
      <c r="E649" s="156"/>
      <c r="F649" s="156"/>
      <c r="G649" s="156"/>
      <c r="H649" s="156"/>
      <c r="I649" s="156"/>
      <c r="J649" s="156"/>
      <c r="K649" s="156"/>
      <c r="L649" s="156"/>
      <c r="M649" s="156"/>
      <c r="N649" s="156"/>
      <c r="O649" s="156"/>
      <c r="P649" s="156"/>
      <c r="Q649" s="156"/>
      <c r="R649" s="156"/>
      <c r="S649" s="156"/>
      <c r="T649" s="156"/>
      <c r="U649" s="156"/>
      <c r="V649" s="156"/>
      <c r="W649" s="156"/>
      <c r="X649" s="156"/>
      <c r="Y649" s="156"/>
      <c r="Z649" s="156"/>
    </row>
    <row r="650">
      <c r="A650" s="156"/>
      <c r="B650" s="156"/>
      <c r="C650" s="156"/>
      <c r="D650" s="156"/>
      <c r="E650" s="156"/>
      <c r="F650" s="156"/>
      <c r="G650" s="156"/>
      <c r="H650" s="156"/>
      <c r="I650" s="156"/>
      <c r="J650" s="156"/>
      <c r="K650" s="156"/>
      <c r="L650" s="156"/>
      <c r="M650" s="156"/>
      <c r="N650" s="156"/>
      <c r="O650" s="156"/>
      <c r="P650" s="156"/>
      <c r="Q650" s="156"/>
      <c r="R650" s="156"/>
      <c r="S650" s="156"/>
      <c r="T650" s="156"/>
      <c r="U650" s="156"/>
      <c r="V650" s="156"/>
      <c r="W650" s="156"/>
      <c r="X650" s="156"/>
      <c r="Y650" s="156"/>
      <c r="Z650" s="156"/>
    </row>
    <row r="651">
      <c r="A651" s="156"/>
      <c r="B651" s="156"/>
      <c r="C651" s="156"/>
      <c r="D651" s="156"/>
      <c r="E651" s="156"/>
      <c r="F651" s="156"/>
      <c r="G651" s="156"/>
      <c r="H651" s="156"/>
      <c r="I651" s="156"/>
      <c r="J651" s="156"/>
      <c r="K651" s="156"/>
      <c r="L651" s="156"/>
      <c r="M651" s="156"/>
      <c r="N651" s="156"/>
      <c r="O651" s="156"/>
      <c r="P651" s="156"/>
      <c r="Q651" s="156"/>
      <c r="R651" s="156"/>
      <c r="S651" s="156"/>
      <c r="T651" s="156"/>
      <c r="U651" s="156"/>
      <c r="V651" s="156"/>
      <c r="W651" s="156"/>
      <c r="X651" s="156"/>
      <c r="Y651" s="156"/>
      <c r="Z651" s="156"/>
    </row>
    <row r="652">
      <c r="A652" s="156"/>
      <c r="B652" s="156"/>
      <c r="C652" s="156"/>
      <c r="D652" s="156"/>
      <c r="E652" s="156"/>
      <c r="F652" s="156"/>
      <c r="G652" s="156"/>
      <c r="H652" s="156"/>
      <c r="I652" s="156"/>
      <c r="J652" s="156"/>
      <c r="K652" s="156"/>
      <c r="L652" s="156"/>
      <c r="M652" s="156"/>
      <c r="N652" s="156"/>
      <c r="O652" s="156"/>
      <c r="P652" s="156"/>
      <c r="Q652" s="156"/>
      <c r="R652" s="156"/>
      <c r="S652" s="156"/>
      <c r="T652" s="156"/>
      <c r="U652" s="156"/>
      <c r="V652" s="156"/>
      <c r="W652" s="156"/>
      <c r="X652" s="156"/>
      <c r="Y652" s="156"/>
      <c r="Z652" s="156"/>
    </row>
    <row r="653">
      <c r="A653" s="156"/>
      <c r="B653" s="156"/>
      <c r="C653" s="156"/>
      <c r="D653" s="156"/>
      <c r="E653" s="156"/>
      <c r="F653" s="156"/>
      <c r="G653" s="156"/>
      <c r="H653" s="156"/>
      <c r="I653" s="156"/>
      <c r="J653" s="156"/>
      <c r="K653" s="156"/>
      <c r="L653" s="156"/>
      <c r="M653" s="156"/>
      <c r="N653" s="156"/>
      <c r="O653" s="156"/>
      <c r="P653" s="156"/>
      <c r="Q653" s="156"/>
      <c r="R653" s="156"/>
      <c r="S653" s="156"/>
      <c r="T653" s="156"/>
      <c r="U653" s="156"/>
      <c r="V653" s="156"/>
      <c r="W653" s="156"/>
      <c r="X653" s="156"/>
      <c r="Y653" s="156"/>
      <c r="Z653" s="156"/>
    </row>
    <row r="654">
      <c r="A654" s="156"/>
      <c r="B654" s="156"/>
      <c r="C654" s="156"/>
      <c r="D654" s="156"/>
      <c r="E654" s="156"/>
      <c r="F654" s="156"/>
      <c r="G654" s="156"/>
      <c r="H654" s="156"/>
      <c r="I654" s="156"/>
      <c r="J654" s="156"/>
      <c r="K654" s="156"/>
      <c r="L654" s="156"/>
      <c r="M654" s="156"/>
      <c r="N654" s="156"/>
      <c r="O654" s="156"/>
      <c r="P654" s="156"/>
      <c r="Q654" s="156"/>
      <c r="R654" s="156"/>
      <c r="S654" s="156"/>
      <c r="T654" s="156"/>
      <c r="U654" s="156"/>
      <c r="V654" s="156"/>
      <c r="W654" s="156"/>
      <c r="X654" s="156"/>
      <c r="Y654" s="156"/>
      <c r="Z654" s="156"/>
    </row>
    <row r="655">
      <c r="A655" s="156"/>
      <c r="B655" s="156"/>
      <c r="C655" s="156"/>
      <c r="D655" s="156"/>
      <c r="E655" s="156"/>
      <c r="F655" s="156"/>
      <c r="G655" s="156"/>
      <c r="H655" s="156"/>
      <c r="I655" s="156"/>
      <c r="J655" s="156"/>
      <c r="K655" s="156"/>
      <c r="L655" s="156"/>
      <c r="M655" s="156"/>
      <c r="N655" s="156"/>
      <c r="O655" s="156"/>
      <c r="P655" s="156"/>
      <c r="Q655" s="156"/>
      <c r="R655" s="156"/>
      <c r="S655" s="156"/>
      <c r="T655" s="156"/>
      <c r="U655" s="156"/>
      <c r="V655" s="156"/>
      <c r="W655" s="156"/>
      <c r="X655" s="156"/>
      <c r="Y655" s="156"/>
      <c r="Z655" s="156"/>
    </row>
    <row r="656">
      <c r="A656" s="156"/>
      <c r="B656" s="156"/>
      <c r="C656" s="156"/>
      <c r="D656" s="156"/>
      <c r="E656" s="156"/>
      <c r="F656" s="156"/>
      <c r="G656" s="156"/>
      <c r="H656" s="156"/>
      <c r="I656" s="156"/>
      <c r="J656" s="156"/>
      <c r="K656" s="156"/>
      <c r="L656" s="156"/>
      <c r="M656" s="156"/>
      <c r="N656" s="156"/>
      <c r="O656" s="156"/>
      <c r="P656" s="156"/>
      <c r="Q656" s="156"/>
      <c r="R656" s="156"/>
      <c r="S656" s="156"/>
      <c r="T656" s="156"/>
      <c r="U656" s="156"/>
      <c r="V656" s="156"/>
      <c r="W656" s="156"/>
      <c r="X656" s="156"/>
      <c r="Y656" s="156"/>
      <c r="Z656" s="156"/>
    </row>
    <row r="657">
      <c r="A657" s="156"/>
      <c r="B657" s="156"/>
      <c r="C657" s="156"/>
      <c r="D657" s="156"/>
      <c r="E657" s="156"/>
      <c r="F657" s="156"/>
      <c r="G657" s="156"/>
      <c r="H657" s="156"/>
      <c r="I657" s="156"/>
      <c r="J657" s="156"/>
      <c r="K657" s="156"/>
      <c r="L657" s="156"/>
      <c r="M657" s="156"/>
      <c r="N657" s="156"/>
      <c r="O657" s="156"/>
      <c r="P657" s="156"/>
      <c r="Q657" s="156"/>
      <c r="R657" s="156"/>
      <c r="S657" s="156"/>
      <c r="T657" s="156"/>
      <c r="U657" s="156"/>
      <c r="V657" s="156"/>
      <c r="W657" s="156"/>
      <c r="X657" s="156"/>
      <c r="Y657" s="156"/>
      <c r="Z657" s="156"/>
    </row>
    <row r="658">
      <c r="A658" s="156"/>
      <c r="B658" s="156"/>
      <c r="C658" s="156"/>
      <c r="D658" s="156"/>
      <c r="E658" s="156"/>
      <c r="F658" s="156"/>
      <c r="G658" s="156"/>
      <c r="H658" s="156"/>
      <c r="I658" s="156"/>
      <c r="J658" s="156"/>
      <c r="K658" s="156"/>
      <c r="L658" s="156"/>
      <c r="M658" s="156"/>
      <c r="N658" s="156"/>
      <c r="O658" s="156"/>
      <c r="P658" s="156"/>
      <c r="Q658" s="156"/>
      <c r="R658" s="156"/>
      <c r="S658" s="156"/>
      <c r="T658" s="156"/>
      <c r="U658" s="156"/>
      <c r="V658" s="156"/>
      <c r="W658" s="156"/>
      <c r="X658" s="156"/>
      <c r="Y658" s="156"/>
      <c r="Z658" s="156"/>
    </row>
    <row r="659">
      <c r="A659" s="156"/>
      <c r="B659" s="156"/>
      <c r="C659" s="156"/>
      <c r="D659" s="156"/>
      <c r="E659" s="156"/>
      <c r="F659" s="156"/>
      <c r="G659" s="156"/>
      <c r="H659" s="156"/>
      <c r="I659" s="156"/>
      <c r="J659" s="156"/>
      <c r="K659" s="156"/>
      <c r="L659" s="156"/>
      <c r="M659" s="156"/>
      <c r="N659" s="156"/>
      <c r="O659" s="156"/>
      <c r="P659" s="156"/>
      <c r="Q659" s="156"/>
      <c r="R659" s="156"/>
      <c r="S659" s="156"/>
      <c r="T659" s="156"/>
      <c r="U659" s="156"/>
      <c r="V659" s="156"/>
      <c r="W659" s="156"/>
      <c r="X659" s="156"/>
      <c r="Y659" s="156"/>
      <c r="Z659" s="156"/>
    </row>
    <row r="660">
      <c r="A660" s="156"/>
      <c r="B660" s="156"/>
      <c r="C660" s="156"/>
      <c r="D660" s="156"/>
      <c r="E660" s="156"/>
      <c r="F660" s="156"/>
      <c r="G660" s="156"/>
      <c r="H660" s="156"/>
      <c r="I660" s="156"/>
      <c r="J660" s="156"/>
      <c r="K660" s="156"/>
      <c r="L660" s="156"/>
      <c r="M660" s="156"/>
      <c r="N660" s="156"/>
      <c r="O660" s="156"/>
      <c r="P660" s="156"/>
      <c r="Q660" s="156"/>
      <c r="R660" s="156"/>
      <c r="S660" s="156"/>
      <c r="T660" s="156"/>
      <c r="U660" s="156"/>
      <c r="V660" s="156"/>
      <c r="W660" s="156"/>
      <c r="X660" s="156"/>
      <c r="Y660" s="156"/>
      <c r="Z660" s="156"/>
    </row>
    <row r="661">
      <c r="A661" s="156"/>
      <c r="B661" s="156"/>
      <c r="C661" s="156"/>
      <c r="D661" s="156"/>
      <c r="E661" s="156"/>
      <c r="F661" s="156"/>
      <c r="G661" s="156"/>
      <c r="H661" s="156"/>
      <c r="I661" s="156"/>
      <c r="J661" s="156"/>
      <c r="K661" s="156"/>
      <c r="L661" s="156"/>
      <c r="M661" s="156"/>
      <c r="N661" s="156"/>
      <c r="O661" s="156"/>
      <c r="P661" s="156"/>
      <c r="Q661" s="156"/>
      <c r="R661" s="156"/>
      <c r="S661" s="156"/>
      <c r="T661" s="156"/>
      <c r="U661" s="156"/>
      <c r="V661" s="156"/>
      <c r="W661" s="156"/>
      <c r="X661" s="156"/>
      <c r="Y661" s="156"/>
      <c r="Z661" s="156"/>
    </row>
    <row r="662">
      <c r="A662" s="156"/>
      <c r="B662" s="156"/>
      <c r="C662" s="156"/>
      <c r="D662" s="156"/>
      <c r="E662" s="156"/>
      <c r="F662" s="156"/>
      <c r="G662" s="156"/>
      <c r="H662" s="156"/>
      <c r="I662" s="156"/>
      <c r="J662" s="156"/>
      <c r="K662" s="156"/>
      <c r="L662" s="156"/>
      <c r="M662" s="156"/>
      <c r="N662" s="156"/>
      <c r="O662" s="156"/>
      <c r="P662" s="156"/>
      <c r="Q662" s="156"/>
      <c r="R662" s="156"/>
      <c r="S662" s="156"/>
      <c r="T662" s="156"/>
      <c r="U662" s="156"/>
      <c r="V662" s="156"/>
      <c r="W662" s="156"/>
      <c r="X662" s="156"/>
      <c r="Y662" s="156"/>
      <c r="Z662" s="156"/>
    </row>
    <row r="663">
      <c r="A663" s="156"/>
      <c r="B663" s="156"/>
      <c r="C663" s="156"/>
      <c r="D663" s="156"/>
      <c r="E663" s="156"/>
      <c r="F663" s="156"/>
      <c r="G663" s="156"/>
      <c r="H663" s="156"/>
      <c r="I663" s="156"/>
      <c r="J663" s="156"/>
      <c r="K663" s="156"/>
      <c r="L663" s="156"/>
      <c r="M663" s="156"/>
      <c r="N663" s="156"/>
      <c r="O663" s="156"/>
      <c r="P663" s="156"/>
      <c r="Q663" s="156"/>
      <c r="R663" s="156"/>
      <c r="S663" s="156"/>
      <c r="T663" s="156"/>
      <c r="U663" s="156"/>
      <c r="V663" s="156"/>
      <c r="W663" s="156"/>
      <c r="X663" s="156"/>
      <c r="Y663" s="156"/>
      <c r="Z663" s="156"/>
    </row>
    <row r="664">
      <c r="A664" s="156"/>
      <c r="B664" s="156"/>
      <c r="C664" s="156"/>
      <c r="D664" s="156"/>
      <c r="E664" s="156"/>
      <c r="F664" s="156"/>
      <c r="G664" s="156"/>
      <c r="H664" s="156"/>
      <c r="I664" s="156"/>
      <c r="J664" s="156"/>
      <c r="K664" s="156"/>
      <c r="L664" s="156"/>
      <c r="M664" s="156"/>
      <c r="N664" s="156"/>
      <c r="O664" s="156"/>
      <c r="P664" s="156"/>
      <c r="Q664" s="156"/>
      <c r="R664" s="156"/>
      <c r="S664" s="156"/>
      <c r="T664" s="156"/>
      <c r="U664" s="156"/>
      <c r="V664" s="156"/>
      <c r="W664" s="156"/>
      <c r="X664" s="156"/>
      <c r="Y664" s="156"/>
      <c r="Z664" s="156"/>
    </row>
    <row r="665">
      <c r="A665" s="156"/>
      <c r="B665" s="156"/>
      <c r="C665" s="156"/>
      <c r="D665" s="156"/>
      <c r="E665" s="156"/>
      <c r="F665" s="156"/>
      <c r="G665" s="156"/>
      <c r="H665" s="156"/>
      <c r="I665" s="156"/>
      <c r="J665" s="156"/>
      <c r="K665" s="156"/>
      <c r="L665" s="156"/>
      <c r="M665" s="156"/>
      <c r="N665" s="156"/>
      <c r="O665" s="156"/>
      <c r="P665" s="156"/>
      <c r="Q665" s="156"/>
      <c r="R665" s="156"/>
      <c r="S665" s="156"/>
      <c r="T665" s="156"/>
      <c r="U665" s="156"/>
      <c r="V665" s="156"/>
      <c r="W665" s="156"/>
      <c r="X665" s="156"/>
      <c r="Y665" s="156"/>
      <c r="Z665" s="156"/>
    </row>
    <row r="666">
      <c r="A666" s="156"/>
      <c r="B666" s="156"/>
      <c r="C666" s="156"/>
      <c r="D666" s="156"/>
      <c r="E666" s="156"/>
      <c r="F666" s="156"/>
      <c r="G666" s="156"/>
      <c r="H666" s="156"/>
      <c r="I666" s="156"/>
      <c r="J666" s="156"/>
      <c r="K666" s="156"/>
      <c r="L666" s="156"/>
      <c r="M666" s="156"/>
      <c r="N666" s="156"/>
      <c r="O666" s="156"/>
      <c r="P666" s="156"/>
      <c r="Q666" s="156"/>
      <c r="R666" s="156"/>
      <c r="S666" s="156"/>
      <c r="T666" s="156"/>
      <c r="U666" s="156"/>
      <c r="V666" s="156"/>
      <c r="W666" s="156"/>
      <c r="X666" s="156"/>
      <c r="Y666" s="156"/>
      <c r="Z666" s="156"/>
    </row>
    <row r="667">
      <c r="A667" s="156"/>
      <c r="B667" s="156"/>
      <c r="C667" s="156"/>
      <c r="D667" s="156"/>
      <c r="E667" s="156"/>
      <c r="F667" s="156"/>
      <c r="G667" s="156"/>
      <c r="H667" s="156"/>
      <c r="I667" s="156"/>
      <c r="J667" s="156"/>
      <c r="K667" s="156"/>
      <c r="L667" s="156"/>
      <c r="M667" s="156"/>
      <c r="N667" s="156"/>
      <c r="O667" s="156"/>
      <c r="P667" s="156"/>
      <c r="Q667" s="156"/>
      <c r="R667" s="156"/>
      <c r="S667" s="156"/>
      <c r="T667" s="156"/>
      <c r="U667" s="156"/>
      <c r="V667" s="156"/>
      <c r="W667" s="156"/>
      <c r="X667" s="156"/>
      <c r="Y667" s="156"/>
      <c r="Z667" s="156"/>
    </row>
    <row r="668">
      <c r="A668" s="156"/>
      <c r="B668" s="156"/>
      <c r="C668" s="156"/>
      <c r="D668" s="156"/>
      <c r="E668" s="156"/>
      <c r="F668" s="156"/>
      <c r="G668" s="156"/>
      <c r="H668" s="156"/>
      <c r="I668" s="156"/>
      <c r="J668" s="156"/>
      <c r="K668" s="156"/>
      <c r="L668" s="156"/>
      <c r="M668" s="156"/>
      <c r="N668" s="156"/>
      <c r="O668" s="156"/>
      <c r="P668" s="156"/>
      <c r="Q668" s="156"/>
      <c r="R668" s="156"/>
      <c r="S668" s="156"/>
      <c r="T668" s="156"/>
      <c r="U668" s="156"/>
      <c r="V668" s="156"/>
      <c r="W668" s="156"/>
      <c r="X668" s="156"/>
      <c r="Y668" s="156"/>
      <c r="Z668" s="156"/>
    </row>
    <row r="669">
      <c r="A669" s="156"/>
      <c r="B669" s="156"/>
      <c r="C669" s="156"/>
      <c r="D669" s="156"/>
      <c r="E669" s="156"/>
      <c r="F669" s="156"/>
      <c r="G669" s="156"/>
      <c r="H669" s="156"/>
      <c r="I669" s="156"/>
      <c r="J669" s="156"/>
      <c r="K669" s="156"/>
      <c r="L669" s="156"/>
      <c r="M669" s="156"/>
      <c r="N669" s="156"/>
      <c r="O669" s="156"/>
      <c r="P669" s="156"/>
      <c r="Q669" s="156"/>
      <c r="R669" s="156"/>
      <c r="S669" s="156"/>
      <c r="T669" s="156"/>
      <c r="U669" s="156"/>
      <c r="V669" s="156"/>
      <c r="W669" s="156"/>
      <c r="X669" s="156"/>
      <c r="Y669" s="156"/>
      <c r="Z669" s="156"/>
    </row>
    <row r="670">
      <c r="A670" s="156"/>
      <c r="B670" s="156"/>
      <c r="C670" s="156"/>
      <c r="D670" s="156"/>
      <c r="E670" s="156"/>
      <c r="F670" s="156"/>
      <c r="G670" s="156"/>
      <c r="H670" s="156"/>
      <c r="I670" s="156"/>
      <c r="J670" s="156"/>
      <c r="K670" s="156"/>
      <c r="L670" s="156"/>
      <c r="M670" s="156"/>
      <c r="N670" s="156"/>
      <c r="O670" s="156"/>
      <c r="P670" s="156"/>
      <c r="Q670" s="156"/>
      <c r="R670" s="156"/>
      <c r="S670" s="156"/>
      <c r="T670" s="156"/>
      <c r="U670" s="156"/>
      <c r="V670" s="156"/>
      <c r="W670" s="156"/>
      <c r="X670" s="156"/>
      <c r="Y670" s="156"/>
      <c r="Z670" s="156"/>
    </row>
    <row r="671">
      <c r="A671" s="156"/>
      <c r="B671" s="156"/>
      <c r="C671" s="156"/>
      <c r="D671" s="156"/>
      <c r="E671" s="156"/>
      <c r="F671" s="156"/>
      <c r="G671" s="156"/>
      <c r="H671" s="156"/>
      <c r="I671" s="156"/>
      <c r="J671" s="156"/>
      <c r="K671" s="156"/>
      <c r="L671" s="156"/>
      <c r="M671" s="156"/>
      <c r="N671" s="156"/>
      <c r="O671" s="156"/>
      <c r="P671" s="156"/>
      <c r="Q671" s="156"/>
      <c r="R671" s="156"/>
      <c r="S671" s="156"/>
      <c r="T671" s="156"/>
      <c r="U671" s="156"/>
      <c r="V671" s="156"/>
      <c r="W671" s="156"/>
      <c r="X671" s="156"/>
      <c r="Y671" s="156"/>
      <c r="Z671" s="156"/>
    </row>
    <row r="672">
      <c r="A672" s="156"/>
      <c r="B672" s="156"/>
      <c r="C672" s="156"/>
      <c r="D672" s="156"/>
      <c r="E672" s="156"/>
      <c r="F672" s="156"/>
      <c r="G672" s="156"/>
      <c r="H672" s="156"/>
      <c r="I672" s="156"/>
      <c r="J672" s="156"/>
      <c r="K672" s="156"/>
      <c r="L672" s="156"/>
      <c r="M672" s="156"/>
      <c r="N672" s="156"/>
      <c r="O672" s="156"/>
      <c r="P672" s="156"/>
      <c r="Q672" s="156"/>
      <c r="R672" s="156"/>
      <c r="S672" s="156"/>
      <c r="T672" s="156"/>
      <c r="U672" s="156"/>
      <c r="V672" s="156"/>
      <c r="W672" s="156"/>
      <c r="X672" s="156"/>
      <c r="Y672" s="156"/>
      <c r="Z672" s="156"/>
    </row>
    <row r="673">
      <c r="A673" s="156"/>
      <c r="B673" s="156"/>
      <c r="C673" s="156"/>
      <c r="D673" s="156"/>
      <c r="E673" s="156"/>
      <c r="F673" s="156"/>
      <c r="G673" s="156"/>
      <c r="H673" s="156"/>
      <c r="I673" s="156"/>
      <c r="J673" s="156"/>
      <c r="K673" s="156"/>
      <c r="L673" s="156"/>
      <c r="M673" s="156"/>
      <c r="N673" s="156"/>
      <c r="O673" s="156"/>
      <c r="P673" s="156"/>
      <c r="Q673" s="156"/>
      <c r="R673" s="156"/>
      <c r="S673" s="156"/>
      <c r="T673" s="156"/>
      <c r="U673" s="156"/>
      <c r="V673" s="156"/>
      <c r="W673" s="156"/>
      <c r="X673" s="156"/>
      <c r="Y673" s="156"/>
      <c r="Z673" s="156"/>
    </row>
    <row r="674">
      <c r="A674" s="156"/>
      <c r="B674" s="156"/>
      <c r="C674" s="156"/>
      <c r="D674" s="156"/>
      <c r="E674" s="156"/>
      <c r="F674" s="156"/>
      <c r="G674" s="156"/>
      <c r="H674" s="156"/>
      <c r="I674" s="156"/>
      <c r="J674" s="156"/>
      <c r="K674" s="156"/>
      <c r="L674" s="156"/>
      <c r="M674" s="156"/>
      <c r="N674" s="156"/>
      <c r="O674" s="156"/>
      <c r="P674" s="156"/>
      <c r="Q674" s="156"/>
      <c r="R674" s="156"/>
      <c r="S674" s="156"/>
      <c r="T674" s="156"/>
      <c r="U674" s="156"/>
      <c r="V674" s="156"/>
      <c r="W674" s="156"/>
      <c r="X674" s="156"/>
      <c r="Y674" s="156"/>
      <c r="Z674" s="156"/>
    </row>
    <row r="675">
      <c r="A675" s="156"/>
      <c r="B675" s="156"/>
      <c r="C675" s="156"/>
      <c r="D675" s="156"/>
      <c r="E675" s="156"/>
      <c r="F675" s="156"/>
      <c r="G675" s="156"/>
      <c r="H675" s="156"/>
      <c r="I675" s="156"/>
      <c r="J675" s="156"/>
      <c r="K675" s="156"/>
      <c r="L675" s="156"/>
      <c r="M675" s="156"/>
      <c r="N675" s="156"/>
      <c r="O675" s="156"/>
      <c r="P675" s="156"/>
      <c r="Q675" s="156"/>
      <c r="R675" s="156"/>
      <c r="S675" s="156"/>
      <c r="T675" s="156"/>
      <c r="U675" s="156"/>
      <c r="V675" s="156"/>
      <c r="W675" s="156"/>
      <c r="X675" s="156"/>
      <c r="Y675" s="156"/>
      <c r="Z675" s="156"/>
    </row>
    <row r="676">
      <c r="A676" s="156"/>
      <c r="B676" s="156"/>
      <c r="C676" s="156"/>
      <c r="D676" s="156"/>
      <c r="E676" s="156"/>
      <c r="F676" s="156"/>
      <c r="G676" s="156"/>
      <c r="H676" s="156"/>
      <c r="I676" s="156"/>
      <c r="J676" s="156"/>
      <c r="K676" s="156"/>
      <c r="L676" s="156"/>
      <c r="M676" s="156"/>
      <c r="N676" s="156"/>
      <c r="O676" s="156"/>
      <c r="P676" s="156"/>
      <c r="Q676" s="156"/>
      <c r="R676" s="156"/>
      <c r="S676" s="156"/>
      <c r="T676" s="156"/>
      <c r="U676" s="156"/>
      <c r="V676" s="156"/>
      <c r="W676" s="156"/>
      <c r="X676" s="156"/>
      <c r="Y676" s="156"/>
      <c r="Z676" s="156"/>
    </row>
    <row r="677">
      <c r="A677" s="156"/>
      <c r="B677" s="156"/>
      <c r="C677" s="156"/>
      <c r="D677" s="156"/>
      <c r="E677" s="156"/>
      <c r="F677" s="156"/>
      <c r="G677" s="156"/>
      <c r="H677" s="156"/>
      <c r="I677" s="156"/>
      <c r="J677" s="156"/>
      <c r="K677" s="156"/>
      <c r="L677" s="156"/>
      <c r="M677" s="156"/>
      <c r="N677" s="156"/>
      <c r="O677" s="156"/>
      <c r="P677" s="156"/>
      <c r="Q677" s="156"/>
      <c r="R677" s="156"/>
      <c r="S677" s="156"/>
      <c r="T677" s="156"/>
      <c r="U677" s="156"/>
      <c r="V677" s="156"/>
      <c r="W677" s="156"/>
      <c r="X677" s="156"/>
      <c r="Y677" s="156"/>
      <c r="Z677" s="156"/>
    </row>
    <row r="678">
      <c r="A678" s="156"/>
      <c r="B678" s="156"/>
      <c r="C678" s="156"/>
      <c r="D678" s="156"/>
      <c r="E678" s="156"/>
      <c r="F678" s="156"/>
      <c r="G678" s="156"/>
      <c r="H678" s="156"/>
      <c r="I678" s="156"/>
      <c r="J678" s="156"/>
      <c r="K678" s="156"/>
      <c r="L678" s="156"/>
      <c r="M678" s="156"/>
      <c r="N678" s="156"/>
      <c r="O678" s="156"/>
      <c r="P678" s="156"/>
      <c r="Q678" s="156"/>
      <c r="R678" s="156"/>
      <c r="S678" s="156"/>
      <c r="T678" s="156"/>
      <c r="U678" s="156"/>
      <c r="V678" s="156"/>
      <c r="W678" s="156"/>
      <c r="X678" s="156"/>
      <c r="Y678" s="156"/>
      <c r="Z678" s="156"/>
    </row>
    <row r="679">
      <c r="A679" s="156"/>
      <c r="B679" s="156"/>
      <c r="C679" s="156"/>
      <c r="D679" s="156"/>
      <c r="E679" s="156"/>
      <c r="F679" s="156"/>
      <c r="G679" s="156"/>
      <c r="H679" s="156"/>
      <c r="I679" s="156"/>
      <c r="J679" s="156"/>
      <c r="K679" s="156"/>
      <c r="L679" s="156"/>
      <c r="M679" s="156"/>
      <c r="N679" s="156"/>
      <c r="O679" s="156"/>
      <c r="P679" s="156"/>
      <c r="Q679" s="156"/>
      <c r="R679" s="156"/>
      <c r="S679" s="156"/>
      <c r="T679" s="156"/>
      <c r="U679" s="156"/>
      <c r="V679" s="156"/>
      <c r="W679" s="156"/>
      <c r="X679" s="156"/>
      <c r="Y679" s="156"/>
      <c r="Z679" s="156"/>
    </row>
    <row r="680">
      <c r="A680" s="156"/>
      <c r="B680" s="156"/>
      <c r="C680" s="156"/>
      <c r="D680" s="156"/>
      <c r="E680" s="156"/>
      <c r="F680" s="156"/>
      <c r="G680" s="156"/>
      <c r="H680" s="156"/>
      <c r="I680" s="156"/>
      <c r="J680" s="156"/>
      <c r="K680" s="156"/>
      <c r="L680" s="156"/>
      <c r="M680" s="156"/>
      <c r="N680" s="156"/>
      <c r="O680" s="156"/>
      <c r="P680" s="156"/>
      <c r="Q680" s="156"/>
      <c r="R680" s="156"/>
      <c r="S680" s="156"/>
      <c r="T680" s="156"/>
      <c r="U680" s="156"/>
      <c r="V680" s="156"/>
      <c r="W680" s="156"/>
      <c r="X680" s="156"/>
      <c r="Y680" s="156"/>
      <c r="Z680" s="156"/>
    </row>
    <row r="681">
      <c r="A681" s="156"/>
      <c r="B681" s="156"/>
      <c r="C681" s="156"/>
      <c r="D681" s="156"/>
      <c r="E681" s="156"/>
      <c r="F681" s="156"/>
      <c r="G681" s="156"/>
      <c r="H681" s="156"/>
      <c r="I681" s="156"/>
      <c r="J681" s="156"/>
      <c r="K681" s="156"/>
      <c r="L681" s="156"/>
      <c r="M681" s="156"/>
      <c r="N681" s="156"/>
      <c r="O681" s="156"/>
      <c r="P681" s="156"/>
      <c r="Q681" s="156"/>
      <c r="R681" s="156"/>
      <c r="S681" s="156"/>
      <c r="T681" s="156"/>
      <c r="U681" s="156"/>
      <c r="V681" s="156"/>
      <c r="W681" s="156"/>
      <c r="X681" s="156"/>
      <c r="Y681" s="156"/>
      <c r="Z681" s="156"/>
    </row>
    <row r="682">
      <c r="A682" s="156"/>
      <c r="B682" s="156"/>
      <c r="C682" s="156"/>
      <c r="D682" s="156"/>
      <c r="E682" s="156"/>
      <c r="F682" s="156"/>
      <c r="G682" s="156"/>
      <c r="H682" s="156"/>
      <c r="I682" s="156"/>
      <c r="J682" s="156"/>
      <c r="K682" s="156"/>
      <c r="L682" s="156"/>
      <c r="M682" s="156"/>
      <c r="N682" s="156"/>
      <c r="O682" s="156"/>
      <c r="P682" s="156"/>
      <c r="Q682" s="156"/>
      <c r="R682" s="156"/>
      <c r="S682" s="156"/>
      <c r="T682" s="156"/>
      <c r="U682" s="156"/>
      <c r="V682" s="156"/>
      <c r="W682" s="156"/>
      <c r="X682" s="156"/>
      <c r="Y682" s="156"/>
      <c r="Z682" s="156"/>
    </row>
    <row r="683">
      <c r="A683" s="156"/>
      <c r="B683" s="156"/>
      <c r="C683" s="156"/>
      <c r="D683" s="156"/>
      <c r="E683" s="156"/>
      <c r="F683" s="156"/>
      <c r="G683" s="156"/>
      <c r="H683" s="156"/>
      <c r="I683" s="156"/>
      <c r="J683" s="156"/>
      <c r="K683" s="156"/>
      <c r="L683" s="156"/>
      <c r="M683" s="156"/>
      <c r="N683" s="156"/>
      <c r="O683" s="156"/>
      <c r="P683" s="156"/>
      <c r="Q683" s="156"/>
      <c r="R683" s="156"/>
      <c r="S683" s="156"/>
      <c r="T683" s="156"/>
      <c r="U683" s="156"/>
      <c r="V683" s="156"/>
      <c r="W683" s="156"/>
      <c r="X683" s="156"/>
      <c r="Y683" s="156"/>
      <c r="Z683" s="156"/>
    </row>
    <row r="684">
      <c r="A684" s="156"/>
      <c r="B684" s="156"/>
      <c r="C684" s="156"/>
      <c r="D684" s="156"/>
      <c r="E684" s="156"/>
      <c r="F684" s="156"/>
      <c r="G684" s="156"/>
      <c r="H684" s="156"/>
      <c r="I684" s="156"/>
      <c r="J684" s="156"/>
      <c r="K684" s="156"/>
      <c r="L684" s="156"/>
      <c r="M684" s="156"/>
      <c r="N684" s="156"/>
      <c r="O684" s="156"/>
      <c r="P684" s="156"/>
      <c r="Q684" s="156"/>
      <c r="R684" s="156"/>
      <c r="S684" s="156"/>
      <c r="T684" s="156"/>
      <c r="U684" s="156"/>
      <c r="V684" s="156"/>
      <c r="W684" s="156"/>
      <c r="X684" s="156"/>
      <c r="Y684" s="156"/>
      <c r="Z684" s="156"/>
    </row>
    <row r="685">
      <c r="A685" s="156"/>
      <c r="B685" s="156"/>
      <c r="C685" s="156"/>
      <c r="D685" s="156"/>
      <c r="E685" s="156"/>
      <c r="F685" s="156"/>
      <c r="G685" s="156"/>
      <c r="H685" s="156"/>
      <c r="I685" s="156"/>
      <c r="J685" s="156"/>
      <c r="K685" s="156"/>
      <c r="L685" s="156"/>
      <c r="M685" s="156"/>
      <c r="N685" s="156"/>
      <c r="O685" s="156"/>
      <c r="P685" s="156"/>
      <c r="Q685" s="156"/>
      <c r="R685" s="156"/>
      <c r="S685" s="156"/>
      <c r="T685" s="156"/>
      <c r="U685" s="156"/>
      <c r="V685" s="156"/>
      <c r="W685" s="156"/>
      <c r="X685" s="156"/>
      <c r="Y685" s="156"/>
      <c r="Z685" s="156"/>
    </row>
    <row r="686">
      <c r="A686" s="156"/>
      <c r="B686" s="156"/>
      <c r="C686" s="156"/>
      <c r="D686" s="156"/>
      <c r="E686" s="156"/>
      <c r="F686" s="156"/>
      <c r="G686" s="156"/>
      <c r="H686" s="156"/>
      <c r="I686" s="156"/>
      <c r="J686" s="156"/>
      <c r="K686" s="156"/>
      <c r="L686" s="156"/>
      <c r="M686" s="156"/>
      <c r="N686" s="156"/>
      <c r="O686" s="156"/>
      <c r="P686" s="156"/>
      <c r="Q686" s="156"/>
      <c r="R686" s="156"/>
      <c r="S686" s="156"/>
      <c r="T686" s="156"/>
      <c r="U686" s="156"/>
      <c r="V686" s="156"/>
      <c r="W686" s="156"/>
      <c r="X686" s="156"/>
      <c r="Y686" s="156"/>
      <c r="Z686" s="156"/>
    </row>
    <row r="687">
      <c r="A687" s="156"/>
      <c r="B687" s="156"/>
      <c r="C687" s="156"/>
      <c r="D687" s="156"/>
      <c r="E687" s="156"/>
      <c r="F687" s="156"/>
      <c r="G687" s="156"/>
      <c r="H687" s="156"/>
      <c r="I687" s="156"/>
      <c r="J687" s="156"/>
      <c r="K687" s="156"/>
      <c r="L687" s="156"/>
      <c r="M687" s="156"/>
      <c r="N687" s="156"/>
      <c r="O687" s="156"/>
      <c r="P687" s="156"/>
      <c r="Q687" s="156"/>
      <c r="R687" s="156"/>
      <c r="S687" s="156"/>
      <c r="T687" s="156"/>
      <c r="U687" s="156"/>
      <c r="V687" s="156"/>
      <c r="W687" s="156"/>
      <c r="X687" s="156"/>
      <c r="Y687" s="156"/>
      <c r="Z687" s="156"/>
    </row>
    <row r="688">
      <c r="A688" s="156"/>
      <c r="B688" s="156"/>
      <c r="C688" s="156"/>
      <c r="D688" s="156"/>
      <c r="E688" s="156"/>
      <c r="F688" s="156"/>
      <c r="G688" s="156"/>
      <c r="H688" s="156"/>
      <c r="I688" s="156"/>
      <c r="J688" s="156"/>
      <c r="K688" s="156"/>
      <c r="L688" s="156"/>
      <c r="M688" s="156"/>
      <c r="N688" s="156"/>
      <c r="O688" s="156"/>
      <c r="P688" s="156"/>
      <c r="Q688" s="156"/>
      <c r="R688" s="156"/>
      <c r="S688" s="156"/>
      <c r="T688" s="156"/>
      <c r="U688" s="156"/>
      <c r="V688" s="156"/>
      <c r="W688" s="156"/>
      <c r="X688" s="156"/>
      <c r="Y688" s="156"/>
      <c r="Z688" s="156"/>
    </row>
    <row r="689">
      <c r="A689" s="156"/>
      <c r="B689" s="156"/>
      <c r="C689" s="156"/>
      <c r="D689" s="156"/>
      <c r="E689" s="156"/>
      <c r="F689" s="156"/>
      <c r="G689" s="156"/>
      <c r="H689" s="156"/>
      <c r="I689" s="156"/>
      <c r="J689" s="156"/>
      <c r="K689" s="156"/>
      <c r="L689" s="156"/>
      <c r="M689" s="156"/>
      <c r="N689" s="156"/>
      <c r="O689" s="156"/>
      <c r="P689" s="156"/>
      <c r="Q689" s="156"/>
      <c r="R689" s="156"/>
      <c r="S689" s="156"/>
      <c r="T689" s="156"/>
      <c r="U689" s="156"/>
      <c r="V689" s="156"/>
      <c r="W689" s="156"/>
      <c r="X689" s="156"/>
      <c r="Y689" s="156"/>
      <c r="Z689" s="156"/>
    </row>
    <row r="690">
      <c r="A690" s="156"/>
      <c r="B690" s="156"/>
      <c r="C690" s="156"/>
      <c r="D690" s="156"/>
      <c r="E690" s="156"/>
      <c r="F690" s="156"/>
      <c r="G690" s="156"/>
      <c r="H690" s="156"/>
      <c r="I690" s="156"/>
      <c r="J690" s="156"/>
      <c r="K690" s="156"/>
      <c r="L690" s="156"/>
      <c r="M690" s="156"/>
      <c r="N690" s="156"/>
      <c r="O690" s="156"/>
      <c r="P690" s="156"/>
      <c r="Q690" s="156"/>
      <c r="R690" s="156"/>
      <c r="S690" s="156"/>
      <c r="T690" s="156"/>
      <c r="U690" s="156"/>
      <c r="V690" s="156"/>
      <c r="W690" s="156"/>
      <c r="X690" s="156"/>
      <c r="Y690" s="156"/>
      <c r="Z690" s="156"/>
    </row>
    <row r="691">
      <c r="A691" s="156"/>
      <c r="B691" s="156"/>
      <c r="C691" s="156"/>
      <c r="D691" s="156"/>
      <c r="E691" s="156"/>
      <c r="F691" s="156"/>
      <c r="G691" s="156"/>
      <c r="H691" s="156"/>
      <c r="I691" s="156"/>
      <c r="J691" s="156"/>
      <c r="K691" s="156"/>
      <c r="L691" s="156"/>
      <c r="M691" s="156"/>
      <c r="N691" s="156"/>
      <c r="O691" s="156"/>
      <c r="P691" s="156"/>
      <c r="Q691" s="156"/>
      <c r="R691" s="156"/>
      <c r="S691" s="156"/>
      <c r="T691" s="156"/>
      <c r="U691" s="156"/>
      <c r="V691" s="156"/>
      <c r="W691" s="156"/>
      <c r="X691" s="156"/>
      <c r="Y691" s="156"/>
      <c r="Z691" s="156"/>
    </row>
    <row r="692">
      <c r="A692" s="156"/>
      <c r="B692" s="156"/>
      <c r="C692" s="156"/>
      <c r="D692" s="156"/>
      <c r="E692" s="156"/>
      <c r="F692" s="156"/>
      <c r="G692" s="156"/>
      <c r="H692" s="156"/>
      <c r="I692" s="156"/>
      <c r="J692" s="156"/>
      <c r="K692" s="156"/>
      <c r="L692" s="156"/>
      <c r="M692" s="156"/>
      <c r="N692" s="156"/>
      <c r="O692" s="156"/>
      <c r="P692" s="156"/>
      <c r="Q692" s="156"/>
      <c r="R692" s="156"/>
      <c r="S692" s="156"/>
      <c r="T692" s="156"/>
      <c r="U692" s="156"/>
      <c r="V692" s="156"/>
      <c r="W692" s="156"/>
      <c r="X692" s="156"/>
      <c r="Y692" s="156"/>
      <c r="Z692" s="156"/>
    </row>
    <row r="693">
      <c r="A693" s="156"/>
      <c r="B693" s="156"/>
      <c r="C693" s="156"/>
      <c r="D693" s="156"/>
      <c r="E693" s="156"/>
      <c r="F693" s="156"/>
      <c r="G693" s="156"/>
      <c r="H693" s="156"/>
      <c r="I693" s="156"/>
      <c r="J693" s="156"/>
      <c r="K693" s="156"/>
      <c r="L693" s="156"/>
      <c r="M693" s="156"/>
      <c r="N693" s="156"/>
      <c r="O693" s="156"/>
      <c r="P693" s="156"/>
      <c r="Q693" s="156"/>
      <c r="R693" s="156"/>
      <c r="S693" s="156"/>
      <c r="T693" s="156"/>
      <c r="U693" s="156"/>
      <c r="V693" s="156"/>
      <c r="W693" s="156"/>
      <c r="X693" s="156"/>
      <c r="Y693" s="156"/>
      <c r="Z693" s="156"/>
    </row>
    <row r="694">
      <c r="A694" s="156"/>
      <c r="B694" s="156"/>
      <c r="C694" s="156"/>
      <c r="D694" s="156"/>
      <c r="E694" s="156"/>
      <c r="F694" s="156"/>
      <c r="G694" s="156"/>
      <c r="H694" s="156"/>
      <c r="I694" s="156"/>
      <c r="J694" s="156"/>
      <c r="K694" s="156"/>
      <c r="L694" s="156"/>
      <c r="M694" s="156"/>
      <c r="N694" s="156"/>
      <c r="O694" s="156"/>
      <c r="P694" s="156"/>
      <c r="Q694" s="156"/>
      <c r="R694" s="156"/>
      <c r="S694" s="156"/>
      <c r="T694" s="156"/>
      <c r="U694" s="156"/>
      <c r="V694" s="156"/>
      <c r="W694" s="156"/>
      <c r="X694" s="156"/>
      <c r="Y694" s="156"/>
      <c r="Z694" s="156"/>
    </row>
    <row r="695">
      <c r="A695" s="156"/>
      <c r="B695" s="156"/>
      <c r="C695" s="156"/>
      <c r="D695" s="156"/>
      <c r="E695" s="156"/>
      <c r="F695" s="156"/>
      <c r="G695" s="156"/>
      <c r="H695" s="156"/>
      <c r="I695" s="156"/>
      <c r="J695" s="156"/>
      <c r="K695" s="156"/>
      <c r="L695" s="156"/>
      <c r="M695" s="156"/>
      <c r="N695" s="156"/>
      <c r="O695" s="156"/>
      <c r="P695" s="156"/>
      <c r="Q695" s="156"/>
      <c r="R695" s="156"/>
      <c r="S695" s="156"/>
      <c r="T695" s="156"/>
      <c r="U695" s="156"/>
      <c r="V695" s="156"/>
      <c r="W695" s="156"/>
      <c r="X695" s="156"/>
      <c r="Y695" s="156"/>
      <c r="Z695" s="156"/>
    </row>
    <row r="696">
      <c r="A696" s="156"/>
      <c r="B696" s="156"/>
      <c r="C696" s="156"/>
      <c r="D696" s="156"/>
      <c r="E696" s="156"/>
      <c r="F696" s="156"/>
      <c r="G696" s="156"/>
      <c r="H696" s="156"/>
      <c r="I696" s="156"/>
      <c r="J696" s="156"/>
      <c r="K696" s="156"/>
      <c r="L696" s="156"/>
      <c r="M696" s="156"/>
      <c r="N696" s="156"/>
      <c r="O696" s="156"/>
      <c r="P696" s="156"/>
      <c r="Q696" s="156"/>
      <c r="R696" s="156"/>
      <c r="S696" s="156"/>
      <c r="T696" s="156"/>
      <c r="U696" s="156"/>
      <c r="V696" s="156"/>
      <c r="W696" s="156"/>
      <c r="X696" s="156"/>
      <c r="Y696" s="156"/>
      <c r="Z696" s="156"/>
    </row>
    <row r="697">
      <c r="A697" s="156"/>
      <c r="B697" s="156"/>
      <c r="C697" s="156"/>
      <c r="D697" s="156"/>
      <c r="E697" s="156"/>
      <c r="F697" s="156"/>
      <c r="G697" s="156"/>
      <c r="H697" s="156"/>
      <c r="I697" s="156"/>
      <c r="J697" s="156"/>
      <c r="K697" s="156"/>
      <c r="L697" s="156"/>
      <c r="M697" s="156"/>
      <c r="N697" s="156"/>
      <c r="O697" s="156"/>
      <c r="P697" s="156"/>
      <c r="Q697" s="156"/>
      <c r="R697" s="156"/>
      <c r="S697" s="156"/>
      <c r="T697" s="156"/>
      <c r="U697" s="156"/>
      <c r="V697" s="156"/>
      <c r="W697" s="156"/>
      <c r="X697" s="156"/>
      <c r="Y697" s="156"/>
      <c r="Z697" s="156"/>
    </row>
    <row r="698">
      <c r="A698" s="156"/>
      <c r="B698" s="156"/>
      <c r="C698" s="156"/>
      <c r="D698" s="156"/>
      <c r="E698" s="156"/>
      <c r="F698" s="156"/>
      <c r="G698" s="156"/>
      <c r="H698" s="156"/>
      <c r="I698" s="156"/>
      <c r="J698" s="156"/>
      <c r="K698" s="156"/>
      <c r="L698" s="156"/>
      <c r="M698" s="156"/>
      <c r="N698" s="156"/>
      <c r="O698" s="156"/>
      <c r="P698" s="156"/>
      <c r="Q698" s="156"/>
      <c r="R698" s="156"/>
      <c r="S698" s="156"/>
      <c r="T698" s="156"/>
      <c r="U698" s="156"/>
      <c r="V698" s="156"/>
      <c r="W698" s="156"/>
      <c r="X698" s="156"/>
      <c r="Y698" s="156"/>
      <c r="Z698" s="156"/>
    </row>
    <row r="699">
      <c r="A699" s="156"/>
      <c r="B699" s="156"/>
      <c r="C699" s="156"/>
      <c r="D699" s="156"/>
      <c r="E699" s="156"/>
      <c r="F699" s="156"/>
      <c r="G699" s="156"/>
      <c r="H699" s="156"/>
      <c r="I699" s="156"/>
      <c r="J699" s="156"/>
      <c r="K699" s="156"/>
      <c r="L699" s="156"/>
      <c r="M699" s="156"/>
      <c r="N699" s="156"/>
      <c r="O699" s="156"/>
      <c r="P699" s="156"/>
      <c r="Q699" s="156"/>
      <c r="R699" s="156"/>
      <c r="S699" s="156"/>
      <c r="T699" s="156"/>
      <c r="U699" s="156"/>
      <c r="V699" s="156"/>
      <c r="W699" s="156"/>
      <c r="X699" s="156"/>
      <c r="Y699" s="156"/>
      <c r="Z699" s="156"/>
    </row>
    <row r="700">
      <c r="A700" s="156"/>
      <c r="B700" s="156"/>
      <c r="C700" s="156"/>
      <c r="D700" s="156"/>
      <c r="E700" s="156"/>
      <c r="F700" s="156"/>
      <c r="G700" s="156"/>
      <c r="H700" s="156"/>
      <c r="I700" s="156"/>
      <c r="J700" s="156"/>
      <c r="K700" s="156"/>
      <c r="L700" s="156"/>
      <c r="M700" s="156"/>
      <c r="N700" s="156"/>
      <c r="O700" s="156"/>
      <c r="P700" s="156"/>
      <c r="Q700" s="156"/>
      <c r="R700" s="156"/>
      <c r="S700" s="156"/>
      <c r="T700" s="156"/>
      <c r="U700" s="156"/>
      <c r="V700" s="156"/>
      <c r="W700" s="156"/>
      <c r="X700" s="156"/>
      <c r="Y700" s="156"/>
      <c r="Z700" s="156"/>
    </row>
    <row r="701">
      <c r="A701" s="156"/>
      <c r="B701" s="156"/>
      <c r="C701" s="156"/>
      <c r="D701" s="156"/>
      <c r="E701" s="156"/>
      <c r="F701" s="156"/>
      <c r="G701" s="156"/>
      <c r="H701" s="156"/>
      <c r="I701" s="156"/>
      <c r="J701" s="156"/>
      <c r="K701" s="156"/>
      <c r="L701" s="156"/>
      <c r="M701" s="156"/>
      <c r="N701" s="156"/>
      <c r="O701" s="156"/>
      <c r="P701" s="156"/>
      <c r="Q701" s="156"/>
      <c r="R701" s="156"/>
      <c r="S701" s="156"/>
      <c r="T701" s="156"/>
      <c r="U701" s="156"/>
      <c r="V701" s="156"/>
      <c r="W701" s="156"/>
      <c r="X701" s="156"/>
      <c r="Y701" s="156"/>
      <c r="Z701" s="156"/>
    </row>
    <row r="702">
      <c r="A702" s="156"/>
      <c r="B702" s="156"/>
      <c r="C702" s="156"/>
      <c r="D702" s="156"/>
      <c r="E702" s="156"/>
      <c r="F702" s="156"/>
      <c r="G702" s="156"/>
      <c r="H702" s="156"/>
      <c r="I702" s="156"/>
      <c r="J702" s="156"/>
      <c r="K702" s="156"/>
      <c r="L702" s="156"/>
      <c r="M702" s="156"/>
      <c r="N702" s="156"/>
      <c r="O702" s="156"/>
      <c r="P702" s="156"/>
      <c r="Q702" s="156"/>
      <c r="R702" s="156"/>
      <c r="S702" s="156"/>
      <c r="T702" s="156"/>
      <c r="U702" s="156"/>
      <c r="V702" s="156"/>
      <c r="W702" s="156"/>
      <c r="X702" s="156"/>
      <c r="Y702" s="156"/>
      <c r="Z702" s="156"/>
    </row>
    <row r="703">
      <c r="A703" s="156"/>
      <c r="B703" s="156"/>
      <c r="C703" s="156"/>
      <c r="D703" s="156"/>
      <c r="E703" s="156"/>
      <c r="F703" s="156"/>
      <c r="G703" s="156"/>
      <c r="H703" s="156"/>
      <c r="I703" s="156"/>
      <c r="J703" s="156"/>
      <c r="K703" s="156"/>
      <c r="L703" s="156"/>
      <c r="M703" s="156"/>
      <c r="N703" s="156"/>
      <c r="O703" s="156"/>
      <c r="P703" s="156"/>
      <c r="Q703" s="156"/>
      <c r="R703" s="156"/>
      <c r="S703" s="156"/>
      <c r="T703" s="156"/>
      <c r="U703" s="156"/>
      <c r="V703" s="156"/>
      <c r="W703" s="156"/>
      <c r="X703" s="156"/>
      <c r="Y703" s="156"/>
      <c r="Z703" s="156"/>
    </row>
    <row r="704">
      <c r="A704" s="156"/>
      <c r="B704" s="156"/>
      <c r="C704" s="156"/>
      <c r="D704" s="156"/>
      <c r="E704" s="156"/>
      <c r="F704" s="156"/>
      <c r="G704" s="156"/>
      <c r="H704" s="156"/>
      <c r="I704" s="156"/>
      <c r="J704" s="156"/>
      <c r="K704" s="156"/>
      <c r="L704" s="156"/>
      <c r="M704" s="156"/>
      <c r="N704" s="156"/>
      <c r="O704" s="156"/>
      <c r="P704" s="156"/>
      <c r="Q704" s="156"/>
      <c r="R704" s="156"/>
      <c r="S704" s="156"/>
      <c r="T704" s="156"/>
      <c r="U704" s="156"/>
      <c r="V704" s="156"/>
      <c r="W704" s="156"/>
      <c r="X704" s="156"/>
      <c r="Y704" s="156"/>
      <c r="Z704" s="156"/>
    </row>
    <row r="705">
      <c r="A705" s="156"/>
      <c r="B705" s="156"/>
      <c r="C705" s="156"/>
      <c r="D705" s="156"/>
      <c r="E705" s="156"/>
      <c r="F705" s="156"/>
      <c r="G705" s="156"/>
      <c r="H705" s="156"/>
      <c r="I705" s="156"/>
      <c r="J705" s="156"/>
      <c r="K705" s="156"/>
      <c r="L705" s="156"/>
      <c r="M705" s="156"/>
      <c r="N705" s="156"/>
      <c r="O705" s="156"/>
      <c r="P705" s="156"/>
      <c r="Q705" s="156"/>
      <c r="R705" s="156"/>
      <c r="S705" s="156"/>
      <c r="T705" s="156"/>
      <c r="U705" s="156"/>
      <c r="V705" s="156"/>
      <c r="W705" s="156"/>
      <c r="X705" s="156"/>
      <c r="Y705" s="156"/>
      <c r="Z705" s="156"/>
    </row>
    <row r="706">
      <c r="A706" s="156"/>
      <c r="B706" s="156"/>
      <c r="C706" s="156"/>
      <c r="D706" s="156"/>
      <c r="E706" s="156"/>
      <c r="F706" s="156"/>
      <c r="G706" s="156"/>
      <c r="H706" s="156"/>
      <c r="I706" s="156"/>
      <c r="J706" s="156"/>
      <c r="K706" s="156"/>
      <c r="L706" s="156"/>
      <c r="M706" s="156"/>
      <c r="N706" s="156"/>
      <c r="O706" s="156"/>
      <c r="P706" s="156"/>
      <c r="Q706" s="156"/>
      <c r="R706" s="156"/>
      <c r="S706" s="156"/>
      <c r="T706" s="156"/>
      <c r="U706" s="156"/>
      <c r="V706" s="156"/>
      <c r="W706" s="156"/>
      <c r="X706" s="156"/>
      <c r="Y706" s="156"/>
      <c r="Z706" s="156"/>
    </row>
    <row r="707">
      <c r="A707" s="156"/>
      <c r="B707" s="156"/>
      <c r="C707" s="156"/>
      <c r="D707" s="156"/>
      <c r="E707" s="156"/>
      <c r="F707" s="156"/>
      <c r="G707" s="156"/>
      <c r="H707" s="156"/>
      <c r="I707" s="156"/>
      <c r="J707" s="156"/>
      <c r="K707" s="156"/>
      <c r="L707" s="156"/>
      <c r="M707" s="156"/>
      <c r="N707" s="156"/>
      <c r="O707" s="156"/>
      <c r="P707" s="156"/>
      <c r="Q707" s="156"/>
      <c r="R707" s="156"/>
      <c r="S707" s="156"/>
      <c r="T707" s="156"/>
      <c r="U707" s="156"/>
      <c r="V707" s="156"/>
      <c r="W707" s="156"/>
      <c r="X707" s="156"/>
      <c r="Y707" s="156"/>
      <c r="Z707" s="156"/>
    </row>
    <row r="708">
      <c r="A708" s="156"/>
      <c r="B708" s="156"/>
      <c r="C708" s="156"/>
      <c r="D708" s="156"/>
      <c r="E708" s="156"/>
      <c r="F708" s="156"/>
      <c r="G708" s="156"/>
      <c r="H708" s="156"/>
      <c r="I708" s="156"/>
      <c r="J708" s="156"/>
      <c r="K708" s="156"/>
      <c r="L708" s="156"/>
      <c r="M708" s="156"/>
      <c r="N708" s="156"/>
      <c r="O708" s="156"/>
      <c r="P708" s="156"/>
      <c r="Q708" s="156"/>
      <c r="R708" s="156"/>
      <c r="S708" s="156"/>
      <c r="T708" s="156"/>
      <c r="U708" s="156"/>
      <c r="V708" s="156"/>
      <c r="W708" s="156"/>
      <c r="X708" s="156"/>
      <c r="Y708" s="156"/>
      <c r="Z708" s="156"/>
    </row>
    <row r="709">
      <c r="A709" s="156"/>
      <c r="B709" s="156"/>
      <c r="C709" s="156"/>
      <c r="D709" s="156"/>
      <c r="E709" s="156"/>
      <c r="F709" s="156"/>
      <c r="G709" s="156"/>
      <c r="H709" s="156"/>
      <c r="I709" s="156"/>
      <c r="J709" s="156"/>
      <c r="K709" s="156"/>
      <c r="L709" s="156"/>
      <c r="M709" s="156"/>
      <c r="N709" s="156"/>
      <c r="O709" s="156"/>
      <c r="P709" s="156"/>
      <c r="Q709" s="156"/>
      <c r="R709" s="156"/>
      <c r="S709" s="156"/>
      <c r="T709" s="156"/>
      <c r="U709" s="156"/>
      <c r="V709" s="156"/>
      <c r="W709" s="156"/>
      <c r="X709" s="156"/>
      <c r="Y709" s="156"/>
      <c r="Z709" s="156"/>
    </row>
    <row r="710">
      <c r="A710" s="156"/>
      <c r="B710" s="156"/>
      <c r="C710" s="156"/>
      <c r="D710" s="156"/>
      <c r="E710" s="156"/>
      <c r="F710" s="156"/>
      <c r="G710" s="156"/>
      <c r="H710" s="156"/>
      <c r="I710" s="156"/>
      <c r="J710" s="156"/>
      <c r="K710" s="156"/>
      <c r="L710" s="156"/>
      <c r="M710" s="156"/>
      <c r="N710" s="156"/>
      <c r="O710" s="156"/>
      <c r="P710" s="156"/>
      <c r="Q710" s="156"/>
      <c r="R710" s="156"/>
      <c r="S710" s="156"/>
      <c r="T710" s="156"/>
      <c r="U710" s="156"/>
      <c r="V710" s="156"/>
      <c r="W710" s="156"/>
      <c r="X710" s="156"/>
      <c r="Y710" s="156"/>
      <c r="Z710" s="156"/>
    </row>
    <row r="711">
      <c r="A711" s="156"/>
      <c r="B711" s="156"/>
      <c r="C711" s="156"/>
      <c r="D711" s="156"/>
      <c r="E711" s="156"/>
      <c r="F711" s="156"/>
      <c r="G711" s="156"/>
      <c r="H711" s="156"/>
      <c r="I711" s="156"/>
      <c r="J711" s="156"/>
      <c r="K711" s="156"/>
      <c r="L711" s="156"/>
      <c r="M711" s="156"/>
      <c r="N711" s="156"/>
      <c r="O711" s="156"/>
      <c r="P711" s="156"/>
      <c r="Q711" s="156"/>
      <c r="R711" s="156"/>
      <c r="S711" s="156"/>
      <c r="T711" s="156"/>
      <c r="U711" s="156"/>
      <c r="V711" s="156"/>
      <c r="W711" s="156"/>
      <c r="X711" s="156"/>
      <c r="Y711" s="156"/>
      <c r="Z711" s="156"/>
    </row>
    <row r="712">
      <c r="A712" s="156"/>
      <c r="B712" s="156"/>
      <c r="C712" s="156"/>
      <c r="D712" s="156"/>
      <c r="E712" s="156"/>
      <c r="F712" s="156"/>
      <c r="G712" s="156"/>
      <c r="H712" s="156"/>
      <c r="I712" s="156"/>
      <c r="J712" s="156"/>
      <c r="K712" s="156"/>
      <c r="L712" s="156"/>
      <c r="M712" s="156"/>
      <c r="N712" s="156"/>
      <c r="O712" s="156"/>
      <c r="P712" s="156"/>
      <c r="Q712" s="156"/>
      <c r="R712" s="156"/>
      <c r="S712" s="156"/>
      <c r="T712" s="156"/>
      <c r="U712" s="156"/>
      <c r="V712" s="156"/>
      <c r="W712" s="156"/>
      <c r="X712" s="156"/>
      <c r="Y712" s="156"/>
      <c r="Z712" s="156"/>
    </row>
    <row r="713">
      <c r="A713" s="156"/>
      <c r="B713" s="156"/>
      <c r="C713" s="156"/>
      <c r="D713" s="156"/>
      <c r="E713" s="156"/>
      <c r="F713" s="156"/>
      <c r="G713" s="156"/>
      <c r="H713" s="156"/>
      <c r="I713" s="156"/>
      <c r="J713" s="156"/>
      <c r="K713" s="156"/>
      <c r="L713" s="156"/>
      <c r="M713" s="156"/>
      <c r="N713" s="156"/>
      <c r="O713" s="156"/>
      <c r="P713" s="156"/>
      <c r="Q713" s="156"/>
      <c r="R713" s="156"/>
      <c r="S713" s="156"/>
      <c r="T713" s="156"/>
      <c r="U713" s="156"/>
      <c r="V713" s="156"/>
      <c r="W713" s="156"/>
      <c r="X713" s="156"/>
      <c r="Y713" s="156"/>
      <c r="Z713" s="156"/>
    </row>
    <row r="714">
      <c r="A714" s="156"/>
      <c r="B714" s="156"/>
      <c r="C714" s="156"/>
      <c r="D714" s="156"/>
      <c r="E714" s="156"/>
      <c r="F714" s="156"/>
      <c r="G714" s="156"/>
      <c r="H714" s="156"/>
      <c r="I714" s="156"/>
      <c r="J714" s="156"/>
      <c r="K714" s="156"/>
      <c r="L714" s="156"/>
      <c r="M714" s="156"/>
      <c r="N714" s="156"/>
      <c r="O714" s="156"/>
      <c r="P714" s="156"/>
      <c r="Q714" s="156"/>
      <c r="R714" s="156"/>
      <c r="S714" s="156"/>
      <c r="T714" s="156"/>
      <c r="U714" s="156"/>
      <c r="V714" s="156"/>
      <c r="W714" s="156"/>
      <c r="X714" s="156"/>
      <c r="Y714" s="156"/>
      <c r="Z714" s="156"/>
    </row>
    <row r="715">
      <c r="A715" s="156"/>
      <c r="B715" s="156"/>
      <c r="C715" s="156"/>
      <c r="D715" s="156"/>
      <c r="E715" s="156"/>
      <c r="F715" s="156"/>
      <c r="G715" s="156"/>
      <c r="H715" s="156"/>
      <c r="I715" s="156"/>
      <c r="J715" s="156"/>
      <c r="K715" s="156"/>
      <c r="L715" s="156"/>
      <c r="M715" s="156"/>
      <c r="N715" s="156"/>
      <c r="O715" s="156"/>
      <c r="P715" s="156"/>
      <c r="Q715" s="156"/>
      <c r="R715" s="156"/>
      <c r="S715" s="156"/>
      <c r="T715" s="156"/>
      <c r="U715" s="156"/>
      <c r="V715" s="156"/>
      <c r="W715" s="156"/>
      <c r="X715" s="156"/>
      <c r="Y715" s="156"/>
      <c r="Z715" s="156"/>
    </row>
    <row r="716">
      <c r="A716" s="156"/>
      <c r="B716" s="156"/>
      <c r="C716" s="156"/>
      <c r="D716" s="156"/>
      <c r="E716" s="156"/>
      <c r="F716" s="156"/>
      <c r="G716" s="156"/>
      <c r="H716" s="156"/>
      <c r="I716" s="156"/>
      <c r="J716" s="156"/>
      <c r="K716" s="156"/>
      <c r="L716" s="156"/>
      <c r="M716" s="156"/>
      <c r="N716" s="156"/>
      <c r="O716" s="156"/>
      <c r="P716" s="156"/>
      <c r="Q716" s="156"/>
      <c r="R716" s="156"/>
      <c r="S716" s="156"/>
      <c r="T716" s="156"/>
      <c r="U716" s="156"/>
      <c r="V716" s="156"/>
      <c r="W716" s="156"/>
      <c r="X716" s="156"/>
      <c r="Y716" s="156"/>
      <c r="Z716" s="156"/>
    </row>
    <row r="717">
      <c r="A717" s="156"/>
      <c r="B717" s="156"/>
      <c r="C717" s="156"/>
      <c r="D717" s="156"/>
      <c r="E717" s="156"/>
      <c r="F717" s="156"/>
      <c r="G717" s="156"/>
      <c r="H717" s="156"/>
      <c r="I717" s="156"/>
      <c r="J717" s="156"/>
      <c r="K717" s="156"/>
      <c r="L717" s="156"/>
      <c r="M717" s="156"/>
      <c r="N717" s="156"/>
      <c r="O717" s="156"/>
      <c r="P717" s="156"/>
      <c r="Q717" s="156"/>
      <c r="R717" s="156"/>
      <c r="S717" s="156"/>
      <c r="T717" s="156"/>
      <c r="U717" s="156"/>
      <c r="V717" s="156"/>
      <c r="W717" s="156"/>
      <c r="X717" s="156"/>
      <c r="Y717" s="156"/>
      <c r="Z717" s="156"/>
    </row>
    <row r="718">
      <c r="A718" s="156"/>
      <c r="B718" s="156"/>
      <c r="C718" s="156"/>
      <c r="D718" s="156"/>
      <c r="E718" s="156"/>
      <c r="F718" s="156"/>
      <c r="G718" s="156"/>
      <c r="H718" s="156"/>
      <c r="I718" s="156"/>
      <c r="J718" s="156"/>
      <c r="K718" s="156"/>
      <c r="L718" s="156"/>
      <c r="M718" s="156"/>
      <c r="N718" s="156"/>
      <c r="O718" s="156"/>
      <c r="P718" s="156"/>
      <c r="Q718" s="156"/>
      <c r="R718" s="156"/>
      <c r="S718" s="156"/>
      <c r="T718" s="156"/>
      <c r="U718" s="156"/>
      <c r="V718" s="156"/>
      <c r="W718" s="156"/>
      <c r="X718" s="156"/>
      <c r="Y718" s="156"/>
      <c r="Z718" s="156"/>
    </row>
    <row r="719">
      <c r="A719" s="156"/>
      <c r="B719" s="156"/>
      <c r="C719" s="156"/>
      <c r="D719" s="156"/>
      <c r="E719" s="156"/>
      <c r="F719" s="156"/>
      <c r="G719" s="156"/>
      <c r="H719" s="156"/>
      <c r="I719" s="156"/>
      <c r="J719" s="156"/>
      <c r="K719" s="156"/>
      <c r="L719" s="156"/>
      <c r="M719" s="156"/>
      <c r="N719" s="156"/>
      <c r="O719" s="156"/>
      <c r="P719" s="156"/>
      <c r="Q719" s="156"/>
      <c r="R719" s="156"/>
      <c r="S719" s="156"/>
      <c r="T719" s="156"/>
      <c r="U719" s="156"/>
      <c r="V719" s="156"/>
      <c r="W719" s="156"/>
      <c r="X719" s="156"/>
      <c r="Y719" s="156"/>
      <c r="Z719" s="156"/>
    </row>
    <row r="720">
      <c r="A720" s="156"/>
      <c r="B720" s="156"/>
      <c r="C720" s="156"/>
      <c r="D720" s="156"/>
      <c r="E720" s="156"/>
      <c r="F720" s="156"/>
      <c r="G720" s="156"/>
      <c r="H720" s="156"/>
      <c r="I720" s="156"/>
      <c r="J720" s="156"/>
      <c r="K720" s="156"/>
      <c r="L720" s="156"/>
      <c r="M720" s="156"/>
      <c r="N720" s="156"/>
      <c r="O720" s="156"/>
      <c r="P720" s="156"/>
      <c r="Q720" s="156"/>
      <c r="R720" s="156"/>
      <c r="S720" s="156"/>
      <c r="T720" s="156"/>
      <c r="U720" s="156"/>
      <c r="V720" s="156"/>
      <c r="W720" s="156"/>
      <c r="X720" s="156"/>
      <c r="Y720" s="156"/>
      <c r="Z720" s="156"/>
    </row>
    <row r="721">
      <c r="A721" s="156"/>
      <c r="B721" s="156"/>
      <c r="C721" s="156"/>
      <c r="D721" s="156"/>
      <c r="E721" s="156"/>
      <c r="F721" s="156"/>
      <c r="G721" s="156"/>
      <c r="H721" s="156"/>
      <c r="I721" s="156"/>
      <c r="J721" s="156"/>
      <c r="K721" s="156"/>
      <c r="L721" s="156"/>
      <c r="M721" s="156"/>
      <c r="N721" s="156"/>
      <c r="O721" s="156"/>
      <c r="P721" s="156"/>
      <c r="Q721" s="156"/>
      <c r="R721" s="156"/>
      <c r="S721" s="156"/>
      <c r="T721" s="156"/>
      <c r="U721" s="156"/>
      <c r="V721" s="156"/>
      <c r="W721" s="156"/>
      <c r="X721" s="156"/>
      <c r="Y721" s="156"/>
      <c r="Z721" s="156"/>
    </row>
    <row r="722">
      <c r="A722" s="156"/>
      <c r="B722" s="156"/>
      <c r="C722" s="156"/>
      <c r="D722" s="156"/>
      <c r="E722" s="156"/>
      <c r="F722" s="156"/>
      <c r="G722" s="156"/>
      <c r="H722" s="156"/>
      <c r="I722" s="156"/>
      <c r="J722" s="156"/>
      <c r="K722" s="156"/>
      <c r="L722" s="156"/>
      <c r="M722" s="156"/>
      <c r="N722" s="156"/>
      <c r="O722" s="156"/>
      <c r="P722" s="156"/>
      <c r="Q722" s="156"/>
      <c r="R722" s="156"/>
      <c r="S722" s="156"/>
      <c r="T722" s="156"/>
      <c r="U722" s="156"/>
      <c r="V722" s="156"/>
      <c r="W722" s="156"/>
      <c r="X722" s="156"/>
      <c r="Y722" s="156"/>
      <c r="Z722" s="156"/>
    </row>
    <row r="723">
      <c r="A723" s="156"/>
      <c r="B723" s="156"/>
      <c r="C723" s="156"/>
      <c r="D723" s="156"/>
      <c r="E723" s="156"/>
      <c r="F723" s="156"/>
      <c r="G723" s="156"/>
      <c r="H723" s="156"/>
      <c r="I723" s="156"/>
      <c r="J723" s="156"/>
      <c r="K723" s="156"/>
      <c r="L723" s="156"/>
      <c r="M723" s="156"/>
      <c r="N723" s="156"/>
      <c r="O723" s="156"/>
      <c r="P723" s="156"/>
      <c r="Q723" s="156"/>
      <c r="R723" s="156"/>
      <c r="S723" s="156"/>
      <c r="T723" s="156"/>
      <c r="U723" s="156"/>
      <c r="V723" s="156"/>
      <c r="W723" s="156"/>
      <c r="X723" s="156"/>
      <c r="Y723" s="156"/>
      <c r="Z723" s="156"/>
    </row>
    <row r="724">
      <c r="A724" s="156"/>
      <c r="B724" s="156"/>
      <c r="C724" s="156"/>
      <c r="D724" s="156"/>
      <c r="E724" s="156"/>
      <c r="F724" s="156"/>
      <c r="G724" s="156"/>
      <c r="H724" s="156"/>
      <c r="I724" s="156"/>
      <c r="J724" s="156"/>
      <c r="K724" s="156"/>
      <c r="L724" s="156"/>
      <c r="M724" s="156"/>
      <c r="N724" s="156"/>
      <c r="O724" s="156"/>
      <c r="P724" s="156"/>
      <c r="Q724" s="156"/>
      <c r="R724" s="156"/>
      <c r="S724" s="156"/>
      <c r="T724" s="156"/>
      <c r="U724" s="156"/>
      <c r="V724" s="156"/>
      <c r="W724" s="156"/>
      <c r="X724" s="156"/>
      <c r="Y724" s="156"/>
      <c r="Z724" s="156"/>
    </row>
    <row r="725">
      <c r="A725" s="156"/>
      <c r="B725" s="156"/>
      <c r="C725" s="156"/>
      <c r="D725" s="156"/>
      <c r="E725" s="156"/>
      <c r="F725" s="156"/>
      <c r="G725" s="156"/>
      <c r="H725" s="156"/>
      <c r="I725" s="156"/>
      <c r="J725" s="156"/>
      <c r="K725" s="156"/>
      <c r="L725" s="156"/>
      <c r="M725" s="156"/>
      <c r="N725" s="156"/>
      <c r="O725" s="156"/>
      <c r="P725" s="156"/>
      <c r="Q725" s="156"/>
      <c r="R725" s="156"/>
      <c r="S725" s="156"/>
      <c r="T725" s="156"/>
      <c r="U725" s="156"/>
      <c r="V725" s="156"/>
      <c r="W725" s="156"/>
      <c r="X725" s="156"/>
      <c r="Y725" s="156"/>
      <c r="Z725" s="156"/>
    </row>
    <row r="726">
      <c r="A726" s="156"/>
      <c r="B726" s="156"/>
      <c r="C726" s="156"/>
      <c r="D726" s="156"/>
      <c r="E726" s="156"/>
      <c r="F726" s="156"/>
      <c r="G726" s="156"/>
      <c r="H726" s="156"/>
      <c r="I726" s="156"/>
      <c r="J726" s="156"/>
      <c r="K726" s="156"/>
      <c r="L726" s="156"/>
      <c r="M726" s="156"/>
      <c r="N726" s="156"/>
      <c r="O726" s="156"/>
      <c r="P726" s="156"/>
      <c r="Q726" s="156"/>
      <c r="R726" s="156"/>
      <c r="S726" s="156"/>
      <c r="T726" s="156"/>
      <c r="U726" s="156"/>
      <c r="V726" s="156"/>
      <c r="W726" s="156"/>
      <c r="X726" s="156"/>
      <c r="Y726" s="156"/>
      <c r="Z726" s="156"/>
    </row>
    <row r="727">
      <c r="A727" s="156"/>
      <c r="B727" s="156"/>
      <c r="C727" s="156"/>
      <c r="D727" s="156"/>
      <c r="E727" s="156"/>
      <c r="F727" s="156"/>
      <c r="G727" s="156"/>
      <c r="H727" s="156"/>
      <c r="I727" s="156"/>
      <c r="J727" s="156"/>
      <c r="K727" s="156"/>
      <c r="L727" s="156"/>
      <c r="M727" s="156"/>
      <c r="N727" s="156"/>
      <c r="O727" s="156"/>
      <c r="P727" s="156"/>
      <c r="Q727" s="156"/>
      <c r="R727" s="156"/>
      <c r="S727" s="156"/>
      <c r="T727" s="156"/>
      <c r="U727" s="156"/>
      <c r="V727" s="156"/>
      <c r="W727" s="156"/>
      <c r="X727" s="156"/>
      <c r="Y727" s="156"/>
      <c r="Z727" s="156"/>
    </row>
    <row r="728">
      <c r="A728" s="156"/>
      <c r="B728" s="156"/>
      <c r="C728" s="156"/>
      <c r="D728" s="156"/>
      <c r="E728" s="156"/>
      <c r="F728" s="156"/>
      <c r="G728" s="156"/>
      <c r="H728" s="156"/>
      <c r="I728" s="156"/>
      <c r="J728" s="156"/>
      <c r="K728" s="156"/>
      <c r="L728" s="156"/>
      <c r="M728" s="156"/>
      <c r="N728" s="156"/>
      <c r="O728" s="156"/>
      <c r="P728" s="156"/>
      <c r="Q728" s="156"/>
      <c r="R728" s="156"/>
      <c r="S728" s="156"/>
      <c r="T728" s="156"/>
      <c r="U728" s="156"/>
      <c r="V728" s="156"/>
      <c r="W728" s="156"/>
      <c r="X728" s="156"/>
      <c r="Y728" s="156"/>
      <c r="Z728" s="156"/>
    </row>
    <row r="729">
      <c r="A729" s="156"/>
      <c r="B729" s="156"/>
      <c r="C729" s="156"/>
      <c r="D729" s="156"/>
      <c r="E729" s="156"/>
      <c r="F729" s="156"/>
      <c r="G729" s="156"/>
      <c r="H729" s="156"/>
      <c r="I729" s="156"/>
      <c r="J729" s="156"/>
      <c r="K729" s="156"/>
      <c r="L729" s="156"/>
      <c r="M729" s="156"/>
      <c r="N729" s="156"/>
      <c r="O729" s="156"/>
      <c r="P729" s="156"/>
      <c r="Q729" s="156"/>
      <c r="R729" s="156"/>
      <c r="S729" s="156"/>
      <c r="T729" s="156"/>
      <c r="U729" s="156"/>
      <c r="V729" s="156"/>
      <c r="W729" s="156"/>
      <c r="X729" s="156"/>
      <c r="Y729" s="156"/>
      <c r="Z729" s="156"/>
    </row>
    <row r="730">
      <c r="A730" s="156"/>
      <c r="B730" s="156"/>
      <c r="C730" s="156"/>
      <c r="D730" s="156"/>
      <c r="E730" s="156"/>
      <c r="F730" s="156"/>
      <c r="G730" s="156"/>
      <c r="H730" s="156"/>
      <c r="I730" s="156"/>
      <c r="J730" s="156"/>
      <c r="K730" s="156"/>
      <c r="L730" s="156"/>
      <c r="M730" s="156"/>
      <c r="N730" s="156"/>
      <c r="O730" s="156"/>
      <c r="P730" s="156"/>
      <c r="Q730" s="156"/>
      <c r="R730" s="156"/>
      <c r="S730" s="156"/>
      <c r="T730" s="156"/>
      <c r="U730" s="156"/>
      <c r="V730" s="156"/>
      <c r="W730" s="156"/>
      <c r="X730" s="156"/>
      <c r="Y730" s="156"/>
      <c r="Z730" s="156"/>
    </row>
    <row r="731">
      <c r="A731" s="156"/>
      <c r="B731" s="156"/>
      <c r="C731" s="156"/>
      <c r="D731" s="156"/>
      <c r="E731" s="156"/>
      <c r="F731" s="156"/>
      <c r="G731" s="156"/>
      <c r="H731" s="156"/>
      <c r="I731" s="156"/>
      <c r="J731" s="156"/>
      <c r="K731" s="156"/>
      <c r="L731" s="156"/>
      <c r="M731" s="156"/>
      <c r="N731" s="156"/>
      <c r="O731" s="156"/>
      <c r="P731" s="156"/>
      <c r="Q731" s="156"/>
      <c r="R731" s="156"/>
      <c r="S731" s="156"/>
      <c r="T731" s="156"/>
      <c r="U731" s="156"/>
      <c r="V731" s="156"/>
      <c r="W731" s="156"/>
      <c r="X731" s="156"/>
      <c r="Y731" s="156"/>
      <c r="Z731" s="156"/>
    </row>
    <row r="732">
      <c r="A732" s="156"/>
      <c r="B732" s="156"/>
      <c r="C732" s="156"/>
      <c r="D732" s="156"/>
      <c r="E732" s="156"/>
      <c r="F732" s="156"/>
      <c r="G732" s="156"/>
      <c r="H732" s="156"/>
      <c r="I732" s="156"/>
      <c r="J732" s="156"/>
      <c r="K732" s="156"/>
      <c r="L732" s="156"/>
      <c r="M732" s="156"/>
      <c r="N732" s="156"/>
      <c r="O732" s="156"/>
      <c r="P732" s="156"/>
      <c r="Q732" s="156"/>
      <c r="R732" s="156"/>
      <c r="S732" s="156"/>
      <c r="T732" s="156"/>
      <c r="U732" s="156"/>
      <c r="V732" s="156"/>
      <c r="W732" s="156"/>
      <c r="X732" s="156"/>
      <c r="Y732" s="156"/>
      <c r="Z732" s="156"/>
    </row>
    <row r="733">
      <c r="A733" s="156"/>
      <c r="B733" s="156"/>
      <c r="C733" s="156"/>
      <c r="D733" s="156"/>
      <c r="E733" s="156"/>
      <c r="F733" s="156"/>
      <c r="G733" s="156"/>
      <c r="H733" s="156"/>
      <c r="I733" s="156"/>
      <c r="J733" s="156"/>
      <c r="K733" s="156"/>
      <c r="L733" s="156"/>
      <c r="M733" s="156"/>
      <c r="N733" s="156"/>
      <c r="O733" s="156"/>
      <c r="P733" s="156"/>
      <c r="Q733" s="156"/>
      <c r="R733" s="156"/>
      <c r="S733" s="156"/>
      <c r="T733" s="156"/>
      <c r="U733" s="156"/>
      <c r="V733" s="156"/>
      <c r="W733" s="156"/>
      <c r="X733" s="156"/>
      <c r="Y733" s="156"/>
      <c r="Z733" s="156"/>
    </row>
    <row r="734">
      <c r="A734" s="156"/>
      <c r="B734" s="156"/>
      <c r="C734" s="156"/>
      <c r="D734" s="156"/>
      <c r="E734" s="156"/>
      <c r="F734" s="156"/>
      <c r="G734" s="156"/>
      <c r="H734" s="156"/>
      <c r="I734" s="156"/>
      <c r="J734" s="156"/>
      <c r="K734" s="156"/>
      <c r="L734" s="156"/>
      <c r="M734" s="156"/>
      <c r="N734" s="156"/>
      <c r="O734" s="156"/>
      <c r="P734" s="156"/>
      <c r="Q734" s="156"/>
      <c r="R734" s="156"/>
      <c r="S734" s="156"/>
      <c r="T734" s="156"/>
      <c r="U734" s="156"/>
      <c r="V734" s="156"/>
      <c r="W734" s="156"/>
      <c r="X734" s="156"/>
      <c r="Y734" s="156"/>
      <c r="Z734" s="156"/>
    </row>
    <row r="735">
      <c r="A735" s="156"/>
      <c r="B735" s="156"/>
      <c r="C735" s="156"/>
      <c r="D735" s="156"/>
      <c r="E735" s="156"/>
      <c r="F735" s="156"/>
      <c r="G735" s="156"/>
      <c r="H735" s="156"/>
      <c r="I735" s="156"/>
      <c r="J735" s="156"/>
      <c r="K735" s="156"/>
      <c r="L735" s="156"/>
      <c r="M735" s="156"/>
      <c r="N735" s="156"/>
      <c r="O735" s="156"/>
      <c r="P735" s="156"/>
      <c r="Q735" s="156"/>
      <c r="R735" s="156"/>
      <c r="S735" s="156"/>
      <c r="T735" s="156"/>
      <c r="U735" s="156"/>
      <c r="V735" s="156"/>
      <c r="W735" s="156"/>
      <c r="X735" s="156"/>
      <c r="Y735" s="156"/>
      <c r="Z735" s="156"/>
    </row>
    <row r="736">
      <c r="A736" s="156"/>
      <c r="B736" s="156"/>
      <c r="C736" s="156"/>
      <c r="D736" s="156"/>
      <c r="E736" s="156"/>
      <c r="F736" s="156"/>
      <c r="G736" s="156"/>
      <c r="H736" s="156"/>
      <c r="I736" s="156"/>
      <c r="J736" s="156"/>
      <c r="K736" s="156"/>
      <c r="L736" s="156"/>
      <c r="M736" s="156"/>
      <c r="N736" s="156"/>
      <c r="O736" s="156"/>
      <c r="P736" s="156"/>
      <c r="Q736" s="156"/>
      <c r="R736" s="156"/>
      <c r="S736" s="156"/>
      <c r="T736" s="156"/>
      <c r="U736" s="156"/>
      <c r="V736" s="156"/>
      <c r="W736" s="156"/>
      <c r="X736" s="156"/>
      <c r="Y736" s="156"/>
      <c r="Z736" s="156"/>
    </row>
    <row r="737">
      <c r="A737" s="156"/>
      <c r="B737" s="156"/>
      <c r="C737" s="156"/>
      <c r="D737" s="156"/>
      <c r="E737" s="156"/>
      <c r="F737" s="156"/>
      <c r="G737" s="156"/>
      <c r="H737" s="156"/>
      <c r="I737" s="156"/>
      <c r="J737" s="156"/>
      <c r="K737" s="156"/>
      <c r="L737" s="156"/>
      <c r="M737" s="156"/>
      <c r="N737" s="156"/>
      <c r="O737" s="156"/>
      <c r="P737" s="156"/>
      <c r="Q737" s="156"/>
      <c r="R737" s="156"/>
      <c r="S737" s="156"/>
      <c r="T737" s="156"/>
      <c r="U737" s="156"/>
      <c r="V737" s="156"/>
      <c r="W737" s="156"/>
      <c r="X737" s="156"/>
      <c r="Y737" s="156"/>
      <c r="Z737" s="156"/>
    </row>
    <row r="738">
      <c r="A738" s="156"/>
      <c r="B738" s="156"/>
      <c r="C738" s="156"/>
      <c r="D738" s="156"/>
      <c r="E738" s="156"/>
      <c r="F738" s="156"/>
      <c r="G738" s="156"/>
      <c r="H738" s="156"/>
      <c r="I738" s="156"/>
      <c r="J738" s="156"/>
      <c r="K738" s="156"/>
      <c r="L738" s="156"/>
      <c r="M738" s="156"/>
      <c r="N738" s="156"/>
      <c r="O738" s="156"/>
      <c r="P738" s="156"/>
      <c r="Q738" s="156"/>
      <c r="R738" s="156"/>
      <c r="S738" s="156"/>
      <c r="T738" s="156"/>
      <c r="U738" s="156"/>
      <c r="V738" s="156"/>
      <c r="W738" s="156"/>
      <c r="X738" s="156"/>
      <c r="Y738" s="156"/>
      <c r="Z738" s="156"/>
    </row>
    <row r="739">
      <c r="A739" s="156"/>
      <c r="B739" s="156"/>
      <c r="C739" s="156"/>
      <c r="D739" s="156"/>
      <c r="E739" s="156"/>
      <c r="F739" s="156"/>
      <c r="G739" s="156"/>
      <c r="H739" s="156"/>
      <c r="I739" s="156"/>
      <c r="J739" s="156"/>
      <c r="K739" s="156"/>
      <c r="L739" s="156"/>
      <c r="M739" s="156"/>
      <c r="N739" s="156"/>
      <c r="O739" s="156"/>
      <c r="P739" s="156"/>
      <c r="Q739" s="156"/>
      <c r="R739" s="156"/>
      <c r="S739" s="156"/>
      <c r="T739" s="156"/>
      <c r="U739" s="156"/>
      <c r="V739" s="156"/>
      <c r="W739" s="156"/>
      <c r="X739" s="156"/>
      <c r="Y739" s="156"/>
      <c r="Z739" s="156"/>
    </row>
    <row r="740">
      <c r="A740" s="156"/>
      <c r="B740" s="156"/>
      <c r="C740" s="156"/>
      <c r="D740" s="156"/>
      <c r="E740" s="156"/>
      <c r="F740" s="156"/>
      <c r="G740" s="156"/>
      <c r="H740" s="156"/>
      <c r="I740" s="156"/>
      <c r="J740" s="156"/>
      <c r="K740" s="156"/>
      <c r="L740" s="156"/>
      <c r="M740" s="156"/>
      <c r="N740" s="156"/>
      <c r="O740" s="156"/>
      <c r="P740" s="156"/>
      <c r="Q740" s="156"/>
      <c r="R740" s="156"/>
      <c r="S740" s="156"/>
      <c r="T740" s="156"/>
      <c r="U740" s="156"/>
      <c r="V740" s="156"/>
      <c r="W740" s="156"/>
      <c r="X740" s="156"/>
      <c r="Y740" s="156"/>
      <c r="Z740" s="156"/>
    </row>
    <row r="741">
      <c r="A741" s="156"/>
      <c r="B741" s="156"/>
      <c r="C741" s="156"/>
      <c r="D741" s="156"/>
      <c r="E741" s="156"/>
      <c r="F741" s="156"/>
      <c r="G741" s="156"/>
      <c r="H741" s="156"/>
      <c r="I741" s="156"/>
      <c r="J741" s="156"/>
      <c r="K741" s="156"/>
      <c r="L741" s="156"/>
      <c r="M741" s="156"/>
      <c r="N741" s="156"/>
      <c r="O741" s="156"/>
      <c r="P741" s="156"/>
      <c r="Q741" s="156"/>
      <c r="R741" s="156"/>
      <c r="S741" s="156"/>
      <c r="T741" s="156"/>
      <c r="U741" s="156"/>
      <c r="V741" s="156"/>
      <c r="W741" s="156"/>
      <c r="X741" s="156"/>
      <c r="Y741" s="156"/>
      <c r="Z741" s="156"/>
    </row>
    <row r="742">
      <c r="A742" s="156"/>
      <c r="B742" s="156"/>
      <c r="C742" s="156"/>
      <c r="D742" s="156"/>
      <c r="E742" s="156"/>
      <c r="F742" s="156"/>
      <c r="G742" s="156"/>
      <c r="H742" s="156"/>
      <c r="I742" s="156"/>
      <c r="J742" s="156"/>
      <c r="K742" s="156"/>
      <c r="L742" s="156"/>
      <c r="M742" s="156"/>
      <c r="N742" s="156"/>
      <c r="O742" s="156"/>
      <c r="P742" s="156"/>
      <c r="Q742" s="156"/>
      <c r="R742" s="156"/>
      <c r="S742" s="156"/>
      <c r="T742" s="156"/>
      <c r="U742" s="156"/>
      <c r="V742" s="156"/>
      <c r="W742" s="156"/>
      <c r="X742" s="156"/>
      <c r="Y742" s="156"/>
      <c r="Z742" s="156"/>
    </row>
    <row r="743">
      <c r="A743" s="156"/>
      <c r="B743" s="156"/>
      <c r="C743" s="156"/>
      <c r="D743" s="156"/>
      <c r="E743" s="156"/>
      <c r="F743" s="156"/>
      <c r="G743" s="156"/>
      <c r="H743" s="156"/>
      <c r="I743" s="156"/>
      <c r="J743" s="156"/>
      <c r="K743" s="156"/>
      <c r="L743" s="156"/>
      <c r="M743" s="156"/>
      <c r="N743" s="156"/>
      <c r="O743" s="156"/>
      <c r="P743" s="156"/>
      <c r="Q743" s="156"/>
      <c r="R743" s="156"/>
      <c r="S743" s="156"/>
      <c r="T743" s="156"/>
      <c r="U743" s="156"/>
      <c r="V743" s="156"/>
      <c r="W743" s="156"/>
      <c r="X743" s="156"/>
      <c r="Y743" s="156"/>
      <c r="Z743" s="156"/>
    </row>
    <row r="744">
      <c r="A744" s="156"/>
      <c r="B744" s="156"/>
      <c r="C744" s="156"/>
      <c r="D744" s="156"/>
      <c r="E744" s="156"/>
      <c r="F744" s="156"/>
      <c r="G744" s="156"/>
      <c r="H744" s="156"/>
      <c r="I744" s="156"/>
      <c r="J744" s="156"/>
      <c r="K744" s="156"/>
      <c r="L744" s="156"/>
      <c r="M744" s="156"/>
      <c r="N744" s="156"/>
      <c r="O744" s="156"/>
      <c r="P744" s="156"/>
      <c r="Q744" s="156"/>
      <c r="R744" s="156"/>
      <c r="S744" s="156"/>
      <c r="T744" s="156"/>
      <c r="U744" s="156"/>
      <c r="V744" s="156"/>
      <c r="W744" s="156"/>
      <c r="X744" s="156"/>
      <c r="Y744" s="156"/>
      <c r="Z744" s="156"/>
    </row>
    <row r="745">
      <c r="A745" s="156"/>
      <c r="B745" s="156"/>
      <c r="C745" s="156"/>
      <c r="D745" s="156"/>
      <c r="E745" s="156"/>
      <c r="F745" s="156"/>
      <c r="G745" s="156"/>
      <c r="H745" s="156"/>
      <c r="I745" s="156"/>
      <c r="J745" s="156"/>
      <c r="K745" s="156"/>
      <c r="L745" s="156"/>
      <c r="M745" s="156"/>
      <c r="N745" s="156"/>
      <c r="O745" s="156"/>
      <c r="P745" s="156"/>
      <c r="Q745" s="156"/>
      <c r="R745" s="156"/>
      <c r="S745" s="156"/>
      <c r="T745" s="156"/>
      <c r="U745" s="156"/>
      <c r="V745" s="156"/>
      <c r="W745" s="156"/>
      <c r="X745" s="156"/>
      <c r="Y745" s="156"/>
      <c r="Z745" s="156"/>
    </row>
    <row r="746">
      <c r="A746" s="156"/>
      <c r="B746" s="156"/>
      <c r="C746" s="156"/>
      <c r="D746" s="156"/>
      <c r="E746" s="156"/>
      <c r="F746" s="156"/>
      <c r="G746" s="156"/>
      <c r="H746" s="156"/>
      <c r="I746" s="156"/>
      <c r="J746" s="156"/>
      <c r="K746" s="156"/>
      <c r="L746" s="156"/>
      <c r="M746" s="156"/>
      <c r="N746" s="156"/>
      <c r="O746" s="156"/>
      <c r="P746" s="156"/>
      <c r="Q746" s="156"/>
      <c r="R746" s="156"/>
      <c r="S746" s="156"/>
      <c r="T746" s="156"/>
      <c r="U746" s="156"/>
      <c r="V746" s="156"/>
      <c r="W746" s="156"/>
      <c r="X746" s="156"/>
      <c r="Y746" s="156"/>
      <c r="Z746" s="156"/>
    </row>
    <row r="747">
      <c r="A747" s="156"/>
      <c r="B747" s="156"/>
      <c r="C747" s="156"/>
      <c r="D747" s="156"/>
      <c r="E747" s="156"/>
      <c r="F747" s="156"/>
      <c r="G747" s="156"/>
      <c r="H747" s="156"/>
      <c r="I747" s="156"/>
      <c r="J747" s="156"/>
      <c r="K747" s="156"/>
      <c r="L747" s="156"/>
      <c r="M747" s="156"/>
      <c r="N747" s="156"/>
      <c r="O747" s="156"/>
      <c r="P747" s="156"/>
      <c r="Q747" s="156"/>
      <c r="R747" s="156"/>
      <c r="S747" s="156"/>
      <c r="T747" s="156"/>
      <c r="U747" s="156"/>
      <c r="V747" s="156"/>
      <c r="W747" s="156"/>
      <c r="X747" s="156"/>
      <c r="Y747" s="156"/>
      <c r="Z747" s="156"/>
    </row>
    <row r="748">
      <c r="A748" s="156"/>
      <c r="B748" s="156"/>
      <c r="C748" s="156"/>
      <c r="D748" s="156"/>
      <c r="E748" s="156"/>
      <c r="F748" s="156"/>
      <c r="G748" s="156"/>
      <c r="H748" s="156"/>
      <c r="I748" s="156"/>
      <c r="J748" s="156"/>
      <c r="K748" s="156"/>
      <c r="L748" s="156"/>
      <c r="M748" s="156"/>
      <c r="N748" s="156"/>
      <c r="O748" s="156"/>
      <c r="P748" s="156"/>
      <c r="Q748" s="156"/>
      <c r="R748" s="156"/>
      <c r="S748" s="156"/>
      <c r="T748" s="156"/>
      <c r="U748" s="156"/>
      <c r="V748" s="156"/>
      <c r="W748" s="156"/>
      <c r="X748" s="156"/>
      <c r="Y748" s="156"/>
      <c r="Z748" s="156"/>
    </row>
    <row r="749">
      <c r="A749" s="156"/>
      <c r="B749" s="156"/>
      <c r="C749" s="156"/>
      <c r="D749" s="156"/>
      <c r="E749" s="156"/>
      <c r="F749" s="156"/>
      <c r="G749" s="156"/>
      <c r="H749" s="156"/>
      <c r="I749" s="156"/>
      <c r="J749" s="156"/>
      <c r="K749" s="156"/>
      <c r="L749" s="156"/>
      <c r="M749" s="156"/>
      <c r="N749" s="156"/>
      <c r="O749" s="156"/>
      <c r="P749" s="156"/>
      <c r="Q749" s="156"/>
      <c r="R749" s="156"/>
      <c r="S749" s="156"/>
      <c r="T749" s="156"/>
      <c r="U749" s="156"/>
      <c r="V749" s="156"/>
      <c r="W749" s="156"/>
      <c r="X749" s="156"/>
      <c r="Y749" s="156"/>
      <c r="Z749" s="156"/>
    </row>
    <row r="750">
      <c r="A750" s="156"/>
      <c r="B750" s="156"/>
      <c r="C750" s="156"/>
      <c r="D750" s="156"/>
      <c r="E750" s="156"/>
      <c r="F750" s="156"/>
      <c r="G750" s="156"/>
      <c r="H750" s="156"/>
      <c r="I750" s="156"/>
      <c r="J750" s="156"/>
      <c r="K750" s="156"/>
      <c r="L750" s="156"/>
      <c r="M750" s="156"/>
      <c r="N750" s="156"/>
      <c r="O750" s="156"/>
      <c r="P750" s="156"/>
      <c r="Q750" s="156"/>
      <c r="R750" s="156"/>
      <c r="S750" s="156"/>
      <c r="T750" s="156"/>
      <c r="U750" s="156"/>
      <c r="V750" s="156"/>
      <c r="W750" s="156"/>
      <c r="X750" s="156"/>
      <c r="Y750" s="156"/>
      <c r="Z750" s="156"/>
    </row>
    <row r="751">
      <c r="A751" s="156"/>
      <c r="B751" s="156"/>
      <c r="C751" s="156"/>
      <c r="D751" s="156"/>
      <c r="E751" s="156"/>
      <c r="F751" s="156"/>
      <c r="G751" s="156"/>
      <c r="H751" s="156"/>
      <c r="I751" s="156"/>
      <c r="J751" s="156"/>
      <c r="K751" s="156"/>
      <c r="L751" s="156"/>
      <c r="M751" s="156"/>
      <c r="N751" s="156"/>
      <c r="O751" s="156"/>
      <c r="P751" s="156"/>
      <c r="Q751" s="156"/>
      <c r="R751" s="156"/>
      <c r="S751" s="156"/>
      <c r="T751" s="156"/>
      <c r="U751" s="156"/>
      <c r="V751" s="156"/>
      <c r="W751" s="156"/>
      <c r="X751" s="156"/>
      <c r="Y751" s="156"/>
      <c r="Z751" s="156"/>
    </row>
    <row r="752">
      <c r="A752" s="156"/>
      <c r="B752" s="156"/>
      <c r="C752" s="156"/>
      <c r="D752" s="156"/>
      <c r="E752" s="156"/>
      <c r="F752" s="156"/>
      <c r="G752" s="156"/>
      <c r="H752" s="156"/>
      <c r="I752" s="156"/>
      <c r="J752" s="156"/>
      <c r="K752" s="156"/>
      <c r="L752" s="156"/>
      <c r="M752" s="156"/>
      <c r="N752" s="156"/>
      <c r="O752" s="156"/>
      <c r="P752" s="156"/>
      <c r="Q752" s="156"/>
      <c r="R752" s="156"/>
      <c r="S752" s="156"/>
      <c r="T752" s="156"/>
      <c r="U752" s="156"/>
      <c r="V752" s="156"/>
      <c r="W752" s="156"/>
      <c r="X752" s="156"/>
      <c r="Y752" s="156"/>
      <c r="Z752" s="156"/>
    </row>
    <row r="753">
      <c r="A753" s="156"/>
      <c r="B753" s="156"/>
      <c r="C753" s="156"/>
      <c r="D753" s="156"/>
      <c r="E753" s="156"/>
      <c r="F753" s="156"/>
      <c r="G753" s="156"/>
      <c r="H753" s="156"/>
      <c r="I753" s="156"/>
      <c r="J753" s="156"/>
      <c r="K753" s="156"/>
      <c r="L753" s="156"/>
      <c r="M753" s="156"/>
      <c r="N753" s="156"/>
      <c r="O753" s="156"/>
      <c r="P753" s="156"/>
      <c r="Q753" s="156"/>
      <c r="R753" s="156"/>
      <c r="S753" s="156"/>
      <c r="T753" s="156"/>
      <c r="U753" s="156"/>
      <c r="V753" s="156"/>
      <c r="W753" s="156"/>
      <c r="X753" s="156"/>
      <c r="Y753" s="156"/>
      <c r="Z753" s="156"/>
    </row>
    <row r="754">
      <c r="A754" s="156"/>
      <c r="B754" s="156"/>
      <c r="C754" s="156"/>
      <c r="D754" s="156"/>
      <c r="E754" s="156"/>
      <c r="F754" s="156"/>
      <c r="G754" s="156"/>
      <c r="H754" s="156"/>
      <c r="I754" s="156"/>
      <c r="J754" s="156"/>
      <c r="K754" s="156"/>
      <c r="L754" s="156"/>
      <c r="M754" s="156"/>
      <c r="N754" s="156"/>
      <c r="O754" s="156"/>
      <c r="P754" s="156"/>
      <c r="Q754" s="156"/>
      <c r="R754" s="156"/>
      <c r="S754" s="156"/>
      <c r="T754" s="156"/>
      <c r="U754" s="156"/>
      <c r="V754" s="156"/>
      <c r="W754" s="156"/>
      <c r="X754" s="156"/>
      <c r="Y754" s="156"/>
      <c r="Z754" s="156"/>
    </row>
    <row r="755">
      <c r="A755" s="156"/>
      <c r="B755" s="156"/>
      <c r="C755" s="156"/>
      <c r="D755" s="156"/>
      <c r="E755" s="156"/>
      <c r="F755" s="156"/>
      <c r="G755" s="156"/>
      <c r="H755" s="156"/>
      <c r="I755" s="156"/>
      <c r="J755" s="156"/>
      <c r="K755" s="156"/>
      <c r="L755" s="156"/>
      <c r="M755" s="156"/>
      <c r="N755" s="156"/>
      <c r="O755" s="156"/>
      <c r="P755" s="156"/>
      <c r="Q755" s="156"/>
      <c r="R755" s="156"/>
      <c r="S755" s="156"/>
      <c r="T755" s="156"/>
      <c r="U755" s="156"/>
      <c r="V755" s="156"/>
      <c r="W755" s="156"/>
      <c r="X755" s="156"/>
      <c r="Y755" s="156"/>
      <c r="Z755" s="156"/>
    </row>
    <row r="756">
      <c r="A756" s="156"/>
      <c r="B756" s="156"/>
      <c r="C756" s="156"/>
      <c r="D756" s="156"/>
      <c r="E756" s="156"/>
      <c r="F756" s="156"/>
      <c r="G756" s="156"/>
      <c r="H756" s="156"/>
      <c r="I756" s="156"/>
      <c r="J756" s="156"/>
      <c r="K756" s="156"/>
      <c r="L756" s="156"/>
      <c r="M756" s="156"/>
      <c r="N756" s="156"/>
      <c r="O756" s="156"/>
      <c r="P756" s="156"/>
      <c r="Q756" s="156"/>
      <c r="R756" s="156"/>
      <c r="S756" s="156"/>
      <c r="T756" s="156"/>
      <c r="U756" s="156"/>
      <c r="V756" s="156"/>
      <c r="W756" s="156"/>
      <c r="X756" s="156"/>
      <c r="Y756" s="156"/>
      <c r="Z756" s="156"/>
    </row>
    <row r="757">
      <c r="A757" s="156"/>
      <c r="B757" s="156"/>
      <c r="C757" s="156"/>
      <c r="D757" s="156"/>
      <c r="E757" s="156"/>
      <c r="F757" s="156"/>
      <c r="G757" s="156"/>
      <c r="H757" s="156"/>
      <c r="I757" s="156"/>
      <c r="J757" s="156"/>
      <c r="K757" s="156"/>
      <c r="L757" s="156"/>
      <c r="M757" s="156"/>
      <c r="N757" s="156"/>
      <c r="O757" s="156"/>
      <c r="P757" s="156"/>
      <c r="Q757" s="156"/>
      <c r="R757" s="156"/>
      <c r="S757" s="156"/>
      <c r="T757" s="156"/>
      <c r="U757" s="156"/>
      <c r="V757" s="156"/>
      <c r="W757" s="156"/>
      <c r="X757" s="156"/>
      <c r="Y757" s="156"/>
      <c r="Z757" s="156"/>
    </row>
    <row r="758">
      <c r="A758" s="156"/>
      <c r="B758" s="156"/>
      <c r="C758" s="156"/>
      <c r="D758" s="156"/>
      <c r="E758" s="156"/>
      <c r="F758" s="156"/>
      <c r="G758" s="156"/>
      <c r="H758" s="156"/>
      <c r="I758" s="156"/>
      <c r="J758" s="156"/>
      <c r="K758" s="156"/>
      <c r="L758" s="156"/>
      <c r="M758" s="156"/>
      <c r="N758" s="156"/>
      <c r="O758" s="156"/>
      <c r="P758" s="156"/>
      <c r="Q758" s="156"/>
      <c r="R758" s="156"/>
      <c r="S758" s="156"/>
      <c r="T758" s="156"/>
      <c r="U758" s="156"/>
      <c r="V758" s="156"/>
      <c r="W758" s="156"/>
      <c r="X758" s="156"/>
      <c r="Y758" s="156"/>
      <c r="Z758" s="156"/>
    </row>
    <row r="759">
      <c r="A759" s="156"/>
      <c r="B759" s="156"/>
      <c r="C759" s="156"/>
      <c r="D759" s="156"/>
      <c r="E759" s="156"/>
      <c r="F759" s="156"/>
      <c r="G759" s="156"/>
      <c r="H759" s="156"/>
      <c r="I759" s="156"/>
      <c r="J759" s="156"/>
      <c r="K759" s="156"/>
      <c r="L759" s="156"/>
      <c r="M759" s="156"/>
      <c r="N759" s="156"/>
      <c r="O759" s="156"/>
      <c r="P759" s="156"/>
      <c r="Q759" s="156"/>
      <c r="R759" s="156"/>
      <c r="S759" s="156"/>
      <c r="T759" s="156"/>
      <c r="U759" s="156"/>
      <c r="V759" s="156"/>
      <c r="W759" s="156"/>
      <c r="X759" s="156"/>
      <c r="Y759" s="156"/>
      <c r="Z759" s="156"/>
    </row>
    <row r="760">
      <c r="A760" s="156"/>
      <c r="B760" s="156"/>
      <c r="C760" s="156"/>
      <c r="D760" s="156"/>
      <c r="E760" s="156"/>
      <c r="F760" s="156"/>
      <c r="G760" s="156"/>
      <c r="H760" s="156"/>
      <c r="I760" s="156"/>
      <c r="J760" s="156"/>
      <c r="K760" s="156"/>
      <c r="L760" s="156"/>
      <c r="M760" s="156"/>
      <c r="N760" s="156"/>
      <c r="O760" s="156"/>
      <c r="P760" s="156"/>
      <c r="Q760" s="156"/>
      <c r="R760" s="156"/>
      <c r="S760" s="156"/>
      <c r="T760" s="156"/>
      <c r="U760" s="156"/>
      <c r="V760" s="156"/>
      <c r="W760" s="156"/>
      <c r="X760" s="156"/>
      <c r="Y760" s="156"/>
      <c r="Z760" s="156"/>
    </row>
    <row r="761">
      <c r="A761" s="156"/>
      <c r="B761" s="156"/>
      <c r="C761" s="156"/>
      <c r="D761" s="156"/>
      <c r="E761" s="156"/>
      <c r="F761" s="156"/>
      <c r="G761" s="156"/>
      <c r="H761" s="156"/>
      <c r="I761" s="156"/>
      <c r="J761" s="156"/>
      <c r="K761" s="156"/>
      <c r="L761" s="156"/>
      <c r="M761" s="156"/>
      <c r="N761" s="156"/>
      <c r="O761" s="156"/>
      <c r="P761" s="156"/>
      <c r="Q761" s="156"/>
      <c r="R761" s="156"/>
      <c r="S761" s="156"/>
      <c r="T761" s="156"/>
      <c r="U761" s="156"/>
      <c r="V761" s="156"/>
      <c r="W761" s="156"/>
      <c r="X761" s="156"/>
      <c r="Y761" s="156"/>
      <c r="Z761" s="156"/>
    </row>
    <row r="762">
      <c r="A762" s="156"/>
      <c r="B762" s="156"/>
      <c r="C762" s="156"/>
      <c r="D762" s="156"/>
      <c r="E762" s="156"/>
      <c r="F762" s="156"/>
      <c r="G762" s="156"/>
      <c r="H762" s="156"/>
      <c r="I762" s="156"/>
      <c r="J762" s="156"/>
      <c r="K762" s="156"/>
      <c r="L762" s="156"/>
      <c r="M762" s="156"/>
      <c r="N762" s="156"/>
      <c r="O762" s="156"/>
      <c r="P762" s="156"/>
      <c r="Q762" s="156"/>
      <c r="R762" s="156"/>
      <c r="S762" s="156"/>
      <c r="T762" s="156"/>
      <c r="U762" s="156"/>
      <c r="V762" s="156"/>
      <c r="W762" s="156"/>
      <c r="X762" s="156"/>
      <c r="Y762" s="156"/>
      <c r="Z762" s="156"/>
    </row>
    <row r="763">
      <c r="A763" s="156"/>
      <c r="B763" s="156"/>
      <c r="C763" s="156"/>
      <c r="D763" s="156"/>
      <c r="E763" s="156"/>
      <c r="F763" s="156"/>
      <c r="G763" s="156"/>
      <c r="H763" s="156"/>
      <c r="I763" s="156"/>
      <c r="J763" s="156"/>
      <c r="K763" s="156"/>
      <c r="L763" s="156"/>
      <c r="M763" s="156"/>
      <c r="N763" s="156"/>
      <c r="O763" s="156"/>
      <c r="P763" s="156"/>
      <c r="Q763" s="156"/>
      <c r="R763" s="156"/>
      <c r="S763" s="156"/>
      <c r="T763" s="156"/>
      <c r="U763" s="156"/>
      <c r="V763" s="156"/>
      <c r="W763" s="156"/>
      <c r="X763" s="156"/>
      <c r="Y763" s="156"/>
      <c r="Z763" s="156"/>
    </row>
    <row r="764">
      <c r="A764" s="156"/>
      <c r="B764" s="156"/>
      <c r="C764" s="156"/>
      <c r="D764" s="156"/>
      <c r="E764" s="156"/>
      <c r="F764" s="156"/>
      <c r="G764" s="156"/>
      <c r="H764" s="156"/>
      <c r="I764" s="156"/>
      <c r="J764" s="156"/>
      <c r="K764" s="156"/>
      <c r="L764" s="156"/>
      <c r="M764" s="156"/>
      <c r="N764" s="156"/>
      <c r="O764" s="156"/>
      <c r="P764" s="156"/>
      <c r="Q764" s="156"/>
      <c r="R764" s="156"/>
      <c r="S764" s="156"/>
      <c r="T764" s="156"/>
      <c r="U764" s="156"/>
      <c r="V764" s="156"/>
      <c r="W764" s="156"/>
      <c r="X764" s="156"/>
      <c r="Y764" s="156"/>
      <c r="Z764" s="156"/>
    </row>
    <row r="765">
      <c r="A765" s="156"/>
      <c r="B765" s="156"/>
      <c r="C765" s="156"/>
      <c r="D765" s="156"/>
      <c r="E765" s="156"/>
      <c r="F765" s="156"/>
      <c r="G765" s="156"/>
      <c r="H765" s="156"/>
      <c r="I765" s="156"/>
      <c r="J765" s="156"/>
      <c r="K765" s="156"/>
      <c r="L765" s="156"/>
      <c r="M765" s="156"/>
      <c r="N765" s="156"/>
      <c r="O765" s="156"/>
      <c r="P765" s="156"/>
      <c r="Q765" s="156"/>
      <c r="R765" s="156"/>
      <c r="S765" s="156"/>
      <c r="T765" s="156"/>
      <c r="U765" s="156"/>
      <c r="V765" s="156"/>
      <c r="W765" s="156"/>
      <c r="X765" s="156"/>
      <c r="Y765" s="156"/>
      <c r="Z765" s="156"/>
    </row>
    <row r="766">
      <c r="A766" s="156"/>
      <c r="B766" s="156"/>
      <c r="C766" s="156"/>
      <c r="D766" s="156"/>
      <c r="E766" s="156"/>
      <c r="F766" s="156"/>
      <c r="G766" s="156"/>
      <c r="H766" s="156"/>
      <c r="I766" s="156"/>
      <c r="J766" s="156"/>
      <c r="K766" s="156"/>
      <c r="L766" s="156"/>
      <c r="M766" s="156"/>
      <c r="N766" s="156"/>
      <c r="O766" s="156"/>
      <c r="P766" s="156"/>
      <c r="Q766" s="156"/>
      <c r="R766" s="156"/>
      <c r="S766" s="156"/>
      <c r="T766" s="156"/>
      <c r="U766" s="156"/>
      <c r="V766" s="156"/>
      <c r="W766" s="156"/>
      <c r="X766" s="156"/>
      <c r="Y766" s="156"/>
      <c r="Z766" s="156"/>
    </row>
    <row r="767">
      <c r="A767" s="156"/>
      <c r="B767" s="156"/>
      <c r="C767" s="156"/>
      <c r="D767" s="156"/>
      <c r="E767" s="156"/>
      <c r="F767" s="156"/>
      <c r="G767" s="156"/>
      <c r="H767" s="156"/>
      <c r="I767" s="156"/>
      <c r="J767" s="156"/>
      <c r="K767" s="156"/>
      <c r="L767" s="156"/>
      <c r="M767" s="156"/>
      <c r="N767" s="156"/>
      <c r="O767" s="156"/>
      <c r="P767" s="156"/>
      <c r="Q767" s="156"/>
      <c r="R767" s="156"/>
      <c r="S767" s="156"/>
      <c r="T767" s="156"/>
      <c r="U767" s="156"/>
      <c r="V767" s="156"/>
      <c r="W767" s="156"/>
      <c r="X767" s="156"/>
      <c r="Y767" s="156"/>
      <c r="Z767" s="156"/>
    </row>
    <row r="768">
      <c r="A768" s="156"/>
      <c r="B768" s="156"/>
      <c r="C768" s="156"/>
      <c r="D768" s="156"/>
      <c r="E768" s="156"/>
      <c r="F768" s="156"/>
      <c r="G768" s="156"/>
      <c r="H768" s="156"/>
      <c r="I768" s="156"/>
      <c r="J768" s="156"/>
      <c r="K768" s="156"/>
      <c r="L768" s="156"/>
      <c r="M768" s="156"/>
      <c r="N768" s="156"/>
      <c r="O768" s="156"/>
      <c r="P768" s="156"/>
      <c r="Q768" s="156"/>
      <c r="R768" s="156"/>
      <c r="S768" s="156"/>
      <c r="T768" s="156"/>
      <c r="U768" s="156"/>
      <c r="V768" s="156"/>
      <c r="W768" s="156"/>
      <c r="X768" s="156"/>
      <c r="Y768" s="156"/>
      <c r="Z768" s="156"/>
    </row>
    <row r="769">
      <c r="A769" s="156"/>
      <c r="B769" s="156"/>
      <c r="C769" s="156"/>
      <c r="D769" s="156"/>
      <c r="E769" s="156"/>
      <c r="F769" s="156"/>
      <c r="G769" s="156"/>
      <c r="H769" s="156"/>
      <c r="I769" s="156"/>
      <c r="J769" s="156"/>
      <c r="K769" s="156"/>
      <c r="L769" s="156"/>
      <c r="M769" s="156"/>
      <c r="N769" s="156"/>
      <c r="O769" s="156"/>
      <c r="P769" s="156"/>
      <c r="Q769" s="156"/>
      <c r="R769" s="156"/>
      <c r="S769" s="156"/>
      <c r="T769" s="156"/>
      <c r="U769" s="156"/>
      <c r="V769" s="156"/>
      <c r="W769" s="156"/>
      <c r="X769" s="156"/>
      <c r="Y769" s="156"/>
      <c r="Z769" s="156"/>
    </row>
    <row r="770">
      <c r="A770" s="156"/>
      <c r="B770" s="156"/>
      <c r="C770" s="156"/>
      <c r="D770" s="156"/>
      <c r="E770" s="156"/>
      <c r="F770" s="156"/>
      <c r="G770" s="156"/>
      <c r="H770" s="156"/>
      <c r="I770" s="156"/>
      <c r="J770" s="156"/>
      <c r="K770" s="156"/>
      <c r="L770" s="156"/>
      <c r="M770" s="156"/>
      <c r="N770" s="156"/>
      <c r="O770" s="156"/>
      <c r="P770" s="156"/>
      <c r="Q770" s="156"/>
      <c r="R770" s="156"/>
      <c r="S770" s="156"/>
      <c r="T770" s="156"/>
      <c r="U770" s="156"/>
      <c r="V770" s="156"/>
      <c r="W770" s="156"/>
      <c r="X770" s="156"/>
      <c r="Y770" s="156"/>
      <c r="Z770" s="156"/>
    </row>
    <row r="771">
      <c r="A771" s="156"/>
      <c r="B771" s="156"/>
      <c r="C771" s="156"/>
      <c r="D771" s="156"/>
      <c r="E771" s="156"/>
      <c r="F771" s="156"/>
      <c r="G771" s="156"/>
      <c r="H771" s="156"/>
      <c r="I771" s="156"/>
      <c r="J771" s="156"/>
      <c r="K771" s="156"/>
      <c r="L771" s="156"/>
      <c r="M771" s="156"/>
      <c r="N771" s="156"/>
      <c r="O771" s="156"/>
      <c r="P771" s="156"/>
      <c r="Q771" s="156"/>
      <c r="R771" s="156"/>
      <c r="S771" s="156"/>
      <c r="T771" s="156"/>
      <c r="U771" s="156"/>
      <c r="V771" s="156"/>
      <c r="W771" s="156"/>
      <c r="X771" s="156"/>
      <c r="Y771" s="156"/>
      <c r="Z771" s="156"/>
    </row>
    <row r="772">
      <c r="A772" s="156"/>
      <c r="B772" s="156"/>
      <c r="C772" s="156"/>
      <c r="D772" s="156"/>
      <c r="E772" s="156"/>
      <c r="F772" s="156"/>
      <c r="G772" s="156"/>
      <c r="H772" s="156"/>
      <c r="I772" s="156"/>
      <c r="J772" s="156"/>
      <c r="K772" s="156"/>
      <c r="L772" s="156"/>
      <c r="M772" s="156"/>
      <c r="N772" s="156"/>
      <c r="O772" s="156"/>
      <c r="P772" s="156"/>
      <c r="Q772" s="156"/>
      <c r="R772" s="156"/>
      <c r="S772" s="156"/>
      <c r="T772" s="156"/>
      <c r="U772" s="156"/>
      <c r="V772" s="156"/>
      <c r="W772" s="156"/>
      <c r="X772" s="156"/>
      <c r="Y772" s="156"/>
      <c r="Z772" s="156"/>
    </row>
    <row r="773">
      <c r="A773" s="156"/>
      <c r="B773" s="156"/>
      <c r="C773" s="156"/>
      <c r="D773" s="156"/>
      <c r="E773" s="156"/>
      <c r="F773" s="156"/>
      <c r="G773" s="156"/>
      <c r="H773" s="156"/>
      <c r="I773" s="156"/>
      <c r="J773" s="156"/>
      <c r="K773" s="156"/>
      <c r="L773" s="156"/>
      <c r="M773" s="156"/>
      <c r="N773" s="156"/>
      <c r="O773" s="156"/>
      <c r="P773" s="156"/>
      <c r="Q773" s="156"/>
      <c r="R773" s="156"/>
      <c r="S773" s="156"/>
      <c r="T773" s="156"/>
      <c r="U773" s="156"/>
      <c r="V773" s="156"/>
      <c r="W773" s="156"/>
      <c r="X773" s="156"/>
      <c r="Y773" s="156"/>
      <c r="Z773" s="156"/>
    </row>
    <row r="774">
      <c r="A774" s="156"/>
      <c r="B774" s="156"/>
      <c r="C774" s="156"/>
      <c r="D774" s="156"/>
      <c r="E774" s="156"/>
      <c r="F774" s="156"/>
      <c r="G774" s="156"/>
      <c r="H774" s="156"/>
      <c r="I774" s="156"/>
      <c r="J774" s="156"/>
      <c r="K774" s="156"/>
      <c r="L774" s="156"/>
      <c r="M774" s="156"/>
      <c r="N774" s="156"/>
      <c r="O774" s="156"/>
      <c r="P774" s="156"/>
      <c r="Q774" s="156"/>
      <c r="R774" s="156"/>
      <c r="S774" s="156"/>
      <c r="T774" s="156"/>
      <c r="U774" s="156"/>
      <c r="V774" s="156"/>
      <c r="W774" s="156"/>
      <c r="X774" s="156"/>
      <c r="Y774" s="156"/>
      <c r="Z774" s="156"/>
    </row>
    <row r="775">
      <c r="A775" s="156"/>
      <c r="B775" s="156"/>
      <c r="C775" s="156"/>
      <c r="D775" s="156"/>
      <c r="E775" s="156"/>
      <c r="F775" s="156"/>
      <c r="G775" s="156"/>
      <c r="H775" s="156"/>
      <c r="I775" s="156"/>
      <c r="J775" s="156"/>
      <c r="K775" s="156"/>
      <c r="L775" s="156"/>
      <c r="M775" s="156"/>
      <c r="N775" s="156"/>
      <c r="O775" s="156"/>
      <c r="P775" s="156"/>
      <c r="Q775" s="156"/>
      <c r="R775" s="156"/>
      <c r="S775" s="156"/>
      <c r="T775" s="156"/>
      <c r="U775" s="156"/>
      <c r="V775" s="156"/>
      <c r="W775" s="156"/>
      <c r="X775" s="156"/>
      <c r="Y775" s="156"/>
      <c r="Z775" s="156"/>
    </row>
    <row r="776">
      <c r="A776" s="156"/>
      <c r="B776" s="156"/>
      <c r="C776" s="156"/>
      <c r="D776" s="156"/>
      <c r="E776" s="156"/>
      <c r="F776" s="156"/>
      <c r="G776" s="156"/>
      <c r="H776" s="156"/>
      <c r="I776" s="156"/>
      <c r="J776" s="156"/>
      <c r="K776" s="156"/>
      <c r="L776" s="156"/>
      <c r="M776" s="156"/>
      <c r="N776" s="156"/>
      <c r="O776" s="156"/>
      <c r="P776" s="156"/>
      <c r="Q776" s="156"/>
      <c r="R776" s="156"/>
      <c r="S776" s="156"/>
      <c r="T776" s="156"/>
      <c r="U776" s="156"/>
      <c r="V776" s="156"/>
      <c r="W776" s="156"/>
      <c r="X776" s="156"/>
      <c r="Y776" s="156"/>
      <c r="Z776" s="156"/>
    </row>
    <row r="777">
      <c r="A777" s="156"/>
      <c r="B777" s="156"/>
      <c r="C777" s="156"/>
      <c r="D777" s="156"/>
      <c r="E777" s="156"/>
      <c r="F777" s="156"/>
      <c r="G777" s="156"/>
      <c r="H777" s="156"/>
      <c r="I777" s="156"/>
      <c r="J777" s="156"/>
      <c r="K777" s="156"/>
      <c r="L777" s="156"/>
      <c r="M777" s="156"/>
      <c r="N777" s="156"/>
      <c r="O777" s="156"/>
      <c r="P777" s="156"/>
      <c r="Q777" s="156"/>
      <c r="R777" s="156"/>
      <c r="S777" s="156"/>
      <c r="T777" s="156"/>
      <c r="U777" s="156"/>
      <c r="V777" s="156"/>
      <c r="W777" s="156"/>
      <c r="X777" s="156"/>
      <c r="Y777" s="156"/>
      <c r="Z777" s="156"/>
    </row>
    <row r="778">
      <c r="A778" s="156"/>
      <c r="B778" s="156"/>
      <c r="C778" s="156"/>
      <c r="D778" s="156"/>
      <c r="E778" s="156"/>
      <c r="F778" s="156"/>
      <c r="G778" s="156"/>
      <c r="H778" s="156"/>
      <c r="I778" s="156"/>
      <c r="J778" s="156"/>
      <c r="K778" s="156"/>
      <c r="L778" s="156"/>
      <c r="M778" s="156"/>
      <c r="N778" s="156"/>
      <c r="O778" s="156"/>
      <c r="P778" s="156"/>
      <c r="Q778" s="156"/>
      <c r="R778" s="156"/>
      <c r="S778" s="156"/>
      <c r="T778" s="156"/>
      <c r="U778" s="156"/>
      <c r="V778" s="156"/>
      <c r="W778" s="156"/>
      <c r="X778" s="156"/>
      <c r="Y778" s="156"/>
      <c r="Z778" s="156"/>
    </row>
    <row r="779">
      <c r="A779" s="156"/>
      <c r="B779" s="156"/>
      <c r="C779" s="156"/>
      <c r="D779" s="156"/>
      <c r="E779" s="156"/>
      <c r="F779" s="156"/>
      <c r="G779" s="156"/>
      <c r="H779" s="156"/>
      <c r="I779" s="156"/>
      <c r="J779" s="156"/>
      <c r="K779" s="156"/>
      <c r="L779" s="156"/>
      <c r="M779" s="156"/>
      <c r="N779" s="156"/>
      <c r="O779" s="156"/>
      <c r="P779" s="156"/>
      <c r="Q779" s="156"/>
      <c r="R779" s="156"/>
      <c r="S779" s="156"/>
      <c r="T779" s="156"/>
      <c r="U779" s="156"/>
      <c r="V779" s="156"/>
      <c r="W779" s="156"/>
      <c r="X779" s="156"/>
      <c r="Y779" s="156"/>
      <c r="Z779" s="156"/>
    </row>
    <row r="780">
      <c r="A780" s="156"/>
      <c r="B780" s="156"/>
      <c r="C780" s="156"/>
      <c r="D780" s="156"/>
      <c r="E780" s="156"/>
      <c r="F780" s="156"/>
      <c r="G780" s="156"/>
      <c r="H780" s="156"/>
      <c r="I780" s="156"/>
      <c r="J780" s="156"/>
      <c r="K780" s="156"/>
      <c r="L780" s="156"/>
      <c r="M780" s="156"/>
      <c r="N780" s="156"/>
      <c r="O780" s="156"/>
      <c r="P780" s="156"/>
      <c r="Q780" s="156"/>
      <c r="R780" s="156"/>
      <c r="S780" s="156"/>
      <c r="T780" s="156"/>
      <c r="U780" s="156"/>
      <c r="V780" s="156"/>
      <c r="W780" s="156"/>
      <c r="X780" s="156"/>
      <c r="Y780" s="156"/>
      <c r="Z780" s="156"/>
    </row>
    <row r="781">
      <c r="A781" s="156"/>
      <c r="B781" s="156"/>
      <c r="C781" s="156"/>
      <c r="D781" s="156"/>
      <c r="E781" s="156"/>
      <c r="F781" s="156"/>
      <c r="G781" s="156"/>
      <c r="H781" s="156"/>
      <c r="I781" s="156"/>
      <c r="J781" s="156"/>
      <c r="K781" s="156"/>
      <c r="L781" s="156"/>
      <c r="M781" s="156"/>
      <c r="N781" s="156"/>
      <c r="O781" s="156"/>
      <c r="P781" s="156"/>
      <c r="Q781" s="156"/>
      <c r="R781" s="156"/>
      <c r="S781" s="156"/>
      <c r="T781" s="156"/>
      <c r="U781" s="156"/>
      <c r="V781" s="156"/>
      <c r="W781" s="156"/>
      <c r="X781" s="156"/>
      <c r="Y781" s="156"/>
      <c r="Z781" s="156"/>
    </row>
    <row r="782">
      <c r="A782" s="156"/>
      <c r="B782" s="156"/>
      <c r="C782" s="156"/>
      <c r="D782" s="156"/>
      <c r="E782" s="156"/>
      <c r="F782" s="156"/>
      <c r="G782" s="156"/>
      <c r="H782" s="156"/>
      <c r="I782" s="156"/>
      <c r="J782" s="156"/>
      <c r="K782" s="156"/>
      <c r="L782" s="156"/>
      <c r="M782" s="156"/>
      <c r="N782" s="156"/>
      <c r="O782" s="156"/>
      <c r="P782" s="156"/>
      <c r="Q782" s="156"/>
      <c r="R782" s="156"/>
      <c r="S782" s="156"/>
      <c r="T782" s="156"/>
      <c r="U782" s="156"/>
      <c r="V782" s="156"/>
      <c r="W782" s="156"/>
      <c r="X782" s="156"/>
      <c r="Y782" s="156"/>
      <c r="Z782" s="156"/>
    </row>
    <row r="783">
      <c r="A783" s="156"/>
      <c r="B783" s="156"/>
      <c r="C783" s="156"/>
      <c r="D783" s="156"/>
      <c r="E783" s="156"/>
      <c r="F783" s="156"/>
      <c r="G783" s="156"/>
      <c r="H783" s="156"/>
      <c r="I783" s="156"/>
      <c r="J783" s="156"/>
      <c r="K783" s="156"/>
      <c r="L783" s="156"/>
      <c r="M783" s="156"/>
      <c r="N783" s="156"/>
      <c r="O783" s="156"/>
      <c r="P783" s="156"/>
      <c r="Q783" s="156"/>
      <c r="R783" s="156"/>
      <c r="S783" s="156"/>
      <c r="T783" s="156"/>
      <c r="U783" s="156"/>
      <c r="V783" s="156"/>
      <c r="W783" s="156"/>
      <c r="X783" s="156"/>
      <c r="Y783" s="156"/>
      <c r="Z783" s="156"/>
    </row>
    <row r="784">
      <c r="A784" s="156"/>
      <c r="B784" s="156"/>
      <c r="C784" s="156"/>
      <c r="D784" s="156"/>
      <c r="E784" s="156"/>
      <c r="F784" s="156"/>
      <c r="G784" s="156"/>
      <c r="H784" s="156"/>
      <c r="I784" s="156"/>
      <c r="J784" s="156"/>
      <c r="K784" s="156"/>
      <c r="L784" s="156"/>
      <c r="M784" s="156"/>
      <c r="N784" s="156"/>
      <c r="O784" s="156"/>
      <c r="P784" s="156"/>
      <c r="Q784" s="156"/>
      <c r="R784" s="156"/>
      <c r="S784" s="156"/>
      <c r="T784" s="156"/>
      <c r="U784" s="156"/>
      <c r="V784" s="156"/>
      <c r="W784" s="156"/>
      <c r="X784" s="156"/>
      <c r="Y784" s="156"/>
      <c r="Z784" s="156"/>
    </row>
    <row r="785">
      <c r="A785" s="156"/>
      <c r="B785" s="156"/>
      <c r="C785" s="156"/>
      <c r="D785" s="156"/>
      <c r="E785" s="156"/>
      <c r="F785" s="156"/>
      <c r="G785" s="156"/>
      <c r="H785" s="156"/>
      <c r="I785" s="156"/>
      <c r="J785" s="156"/>
      <c r="K785" s="156"/>
      <c r="L785" s="156"/>
      <c r="M785" s="156"/>
      <c r="N785" s="156"/>
      <c r="O785" s="156"/>
      <c r="P785" s="156"/>
      <c r="Q785" s="156"/>
      <c r="R785" s="156"/>
      <c r="S785" s="156"/>
      <c r="T785" s="156"/>
      <c r="U785" s="156"/>
      <c r="V785" s="156"/>
      <c r="W785" s="156"/>
      <c r="X785" s="156"/>
      <c r="Y785" s="156"/>
      <c r="Z785" s="156"/>
    </row>
    <row r="786">
      <c r="A786" s="156"/>
      <c r="B786" s="156"/>
      <c r="C786" s="156"/>
      <c r="D786" s="156"/>
      <c r="E786" s="156"/>
      <c r="F786" s="156"/>
      <c r="G786" s="156"/>
      <c r="H786" s="156"/>
      <c r="I786" s="156"/>
      <c r="J786" s="156"/>
      <c r="K786" s="156"/>
      <c r="L786" s="156"/>
      <c r="M786" s="156"/>
      <c r="N786" s="156"/>
      <c r="O786" s="156"/>
      <c r="P786" s="156"/>
      <c r="Q786" s="156"/>
      <c r="R786" s="156"/>
      <c r="S786" s="156"/>
      <c r="T786" s="156"/>
      <c r="U786" s="156"/>
      <c r="V786" s="156"/>
      <c r="W786" s="156"/>
      <c r="X786" s="156"/>
      <c r="Y786" s="156"/>
      <c r="Z786" s="156"/>
    </row>
    <row r="787">
      <c r="A787" s="156"/>
      <c r="B787" s="156"/>
      <c r="C787" s="156"/>
      <c r="D787" s="156"/>
      <c r="E787" s="156"/>
      <c r="F787" s="156"/>
      <c r="G787" s="156"/>
      <c r="H787" s="156"/>
      <c r="I787" s="156"/>
      <c r="J787" s="156"/>
      <c r="K787" s="156"/>
      <c r="L787" s="156"/>
      <c r="M787" s="156"/>
      <c r="N787" s="156"/>
      <c r="O787" s="156"/>
      <c r="P787" s="156"/>
      <c r="Q787" s="156"/>
      <c r="R787" s="156"/>
      <c r="S787" s="156"/>
      <c r="T787" s="156"/>
      <c r="U787" s="156"/>
      <c r="V787" s="156"/>
      <c r="W787" s="156"/>
      <c r="X787" s="156"/>
      <c r="Y787" s="156"/>
      <c r="Z787" s="156"/>
    </row>
    <row r="788">
      <c r="A788" s="156"/>
      <c r="B788" s="156"/>
      <c r="C788" s="156"/>
      <c r="D788" s="156"/>
      <c r="E788" s="156"/>
      <c r="F788" s="156"/>
      <c r="G788" s="156"/>
      <c r="H788" s="156"/>
      <c r="I788" s="156"/>
      <c r="J788" s="156"/>
      <c r="K788" s="156"/>
      <c r="L788" s="156"/>
      <c r="M788" s="156"/>
      <c r="N788" s="156"/>
      <c r="O788" s="156"/>
      <c r="P788" s="156"/>
      <c r="Q788" s="156"/>
      <c r="R788" s="156"/>
      <c r="S788" s="156"/>
      <c r="T788" s="156"/>
      <c r="U788" s="156"/>
      <c r="V788" s="156"/>
      <c r="W788" s="156"/>
      <c r="X788" s="156"/>
      <c r="Y788" s="156"/>
      <c r="Z788" s="156"/>
    </row>
    <row r="789">
      <c r="A789" s="156"/>
      <c r="B789" s="156"/>
      <c r="C789" s="156"/>
      <c r="D789" s="156"/>
      <c r="E789" s="156"/>
      <c r="F789" s="156"/>
      <c r="G789" s="156"/>
      <c r="H789" s="156"/>
      <c r="I789" s="156"/>
      <c r="J789" s="156"/>
      <c r="K789" s="156"/>
      <c r="L789" s="156"/>
      <c r="M789" s="156"/>
      <c r="N789" s="156"/>
      <c r="O789" s="156"/>
      <c r="P789" s="156"/>
      <c r="Q789" s="156"/>
      <c r="R789" s="156"/>
      <c r="S789" s="156"/>
      <c r="T789" s="156"/>
      <c r="U789" s="156"/>
      <c r="V789" s="156"/>
      <c r="W789" s="156"/>
      <c r="X789" s="156"/>
      <c r="Y789" s="156"/>
      <c r="Z789" s="156"/>
    </row>
    <row r="790">
      <c r="A790" s="156"/>
      <c r="B790" s="156"/>
      <c r="C790" s="156"/>
      <c r="D790" s="156"/>
      <c r="E790" s="156"/>
      <c r="F790" s="156"/>
      <c r="G790" s="156"/>
      <c r="H790" s="156"/>
      <c r="I790" s="156"/>
      <c r="J790" s="156"/>
      <c r="K790" s="156"/>
      <c r="L790" s="156"/>
      <c r="M790" s="156"/>
      <c r="N790" s="156"/>
      <c r="O790" s="156"/>
      <c r="P790" s="156"/>
      <c r="Q790" s="156"/>
      <c r="R790" s="156"/>
      <c r="S790" s="156"/>
      <c r="T790" s="156"/>
      <c r="U790" s="156"/>
      <c r="V790" s="156"/>
      <c r="W790" s="156"/>
      <c r="X790" s="156"/>
      <c r="Y790" s="156"/>
      <c r="Z790" s="156"/>
    </row>
    <row r="791">
      <c r="A791" s="156"/>
      <c r="B791" s="156"/>
      <c r="C791" s="156"/>
      <c r="D791" s="156"/>
      <c r="E791" s="156"/>
      <c r="F791" s="156"/>
      <c r="G791" s="156"/>
      <c r="H791" s="156"/>
      <c r="I791" s="156"/>
      <c r="J791" s="156"/>
      <c r="K791" s="156"/>
      <c r="L791" s="156"/>
      <c r="M791" s="156"/>
      <c r="N791" s="156"/>
      <c r="O791" s="156"/>
      <c r="P791" s="156"/>
      <c r="Q791" s="156"/>
      <c r="R791" s="156"/>
      <c r="S791" s="156"/>
      <c r="T791" s="156"/>
      <c r="U791" s="156"/>
      <c r="V791" s="156"/>
      <c r="W791" s="156"/>
      <c r="X791" s="156"/>
      <c r="Y791" s="156"/>
      <c r="Z791" s="156"/>
    </row>
    <row r="792">
      <c r="A792" s="156"/>
      <c r="B792" s="156"/>
      <c r="C792" s="156"/>
      <c r="D792" s="156"/>
      <c r="E792" s="156"/>
      <c r="F792" s="156"/>
      <c r="G792" s="156"/>
      <c r="H792" s="156"/>
      <c r="I792" s="156"/>
      <c r="J792" s="156"/>
      <c r="K792" s="156"/>
      <c r="L792" s="156"/>
      <c r="M792" s="156"/>
      <c r="N792" s="156"/>
      <c r="O792" s="156"/>
      <c r="P792" s="156"/>
      <c r="Q792" s="156"/>
      <c r="R792" s="156"/>
      <c r="S792" s="156"/>
      <c r="T792" s="156"/>
      <c r="U792" s="156"/>
      <c r="V792" s="156"/>
      <c r="W792" s="156"/>
      <c r="X792" s="156"/>
      <c r="Y792" s="156"/>
      <c r="Z792" s="156"/>
    </row>
    <row r="793">
      <c r="A793" s="156"/>
      <c r="B793" s="156"/>
      <c r="C793" s="156"/>
      <c r="D793" s="156"/>
      <c r="E793" s="156"/>
      <c r="F793" s="156"/>
      <c r="G793" s="156"/>
      <c r="H793" s="156"/>
      <c r="I793" s="156"/>
      <c r="J793" s="156"/>
      <c r="K793" s="156"/>
      <c r="L793" s="156"/>
      <c r="M793" s="156"/>
      <c r="N793" s="156"/>
      <c r="O793" s="156"/>
      <c r="P793" s="156"/>
      <c r="Q793" s="156"/>
      <c r="R793" s="156"/>
      <c r="S793" s="156"/>
      <c r="T793" s="156"/>
      <c r="U793" s="156"/>
      <c r="V793" s="156"/>
      <c r="W793" s="156"/>
      <c r="X793" s="156"/>
      <c r="Y793" s="156"/>
      <c r="Z793" s="156"/>
    </row>
    <row r="794">
      <c r="A794" s="156"/>
      <c r="B794" s="156"/>
      <c r="C794" s="156"/>
      <c r="D794" s="156"/>
      <c r="E794" s="156"/>
      <c r="F794" s="156"/>
      <c r="G794" s="156"/>
      <c r="H794" s="156"/>
      <c r="I794" s="156"/>
      <c r="J794" s="156"/>
      <c r="K794" s="156"/>
      <c r="L794" s="156"/>
      <c r="M794" s="156"/>
      <c r="N794" s="156"/>
      <c r="O794" s="156"/>
      <c r="P794" s="156"/>
      <c r="Q794" s="156"/>
      <c r="R794" s="156"/>
      <c r="S794" s="156"/>
      <c r="T794" s="156"/>
      <c r="U794" s="156"/>
      <c r="V794" s="156"/>
      <c r="W794" s="156"/>
      <c r="X794" s="156"/>
      <c r="Y794" s="156"/>
      <c r="Z794" s="156"/>
    </row>
    <row r="795">
      <c r="A795" s="156"/>
      <c r="B795" s="156"/>
      <c r="C795" s="156"/>
      <c r="D795" s="156"/>
      <c r="E795" s="156"/>
      <c r="F795" s="156"/>
      <c r="G795" s="156"/>
      <c r="H795" s="156"/>
      <c r="I795" s="156"/>
      <c r="J795" s="156"/>
      <c r="K795" s="156"/>
      <c r="L795" s="156"/>
      <c r="M795" s="156"/>
      <c r="N795" s="156"/>
      <c r="O795" s="156"/>
      <c r="P795" s="156"/>
      <c r="Q795" s="156"/>
      <c r="R795" s="156"/>
      <c r="S795" s="156"/>
      <c r="T795" s="156"/>
      <c r="U795" s="156"/>
      <c r="V795" s="156"/>
      <c r="W795" s="156"/>
      <c r="X795" s="156"/>
      <c r="Y795" s="156"/>
      <c r="Z795" s="156"/>
    </row>
    <row r="796">
      <c r="A796" s="156"/>
      <c r="B796" s="156"/>
      <c r="C796" s="156"/>
      <c r="D796" s="156"/>
      <c r="E796" s="156"/>
      <c r="F796" s="156"/>
      <c r="G796" s="156"/>
      <c r="H796" s="156"/>
      <c r="I796" s="156"/>
      <c r="J796" s="156"/>
      <c r="K796" s="156"/>
      <c r="L796" s="156"/>
      <c r="M796" s="156"/>
      <c r="N796" s="156"/>
      <c r="O796" s="156"/>
      <c r="P796" s="156"/>
      <c r="Q796" s="156"/>
      <c r="R796" s="156"/>
      <c r="S796" s="156"/>
      <c r="T796" s="156"/>
      <c r="U796" s="156"/>
      <c r="V796" s="156"/>
      <c r="W796" s="156"/>
      <c r="X796" s="156"/>
      <c r="Y796" s="156"/>
      <c r="Z796" s="156"/>
    </row>
    <row r="797">
      <c r="A797" s="156"/>
      <c r="B797" s="156"/>
      <c r="C797" s="156"/>
      <c r="D797" s="156"/>
      <c r="E797" s="156"/>
      <c r="F797" s="156"/>
      <c r="G797" s="156"/>
      <c r="H797" s="156"/>
      <c r="I797" s="156"/>
      <c r="J797" s="156"/>
      <c r="K797" s="156"/>
      <c r="L797" s="156"/>
      <c r="M797" s="156"/>
      <c r="N797" s="156"/>
      <c r="O797" s="156"/>
      <c r="P797" s="156"/>
      <c r="Q797" s="156"/>
      <c r="R797" s="156"/>
      <c r="S797" s="156"/>
      <c r="T797" s="156"/>
      <c r="U797" s="156"/>
      <c r="V797" s="156"/>
      <c r="W797" s="156"/>
      <c r="X797" s="156"/>
      <c r="Y797" s="156"/>
      <c r="Z797" s="156"/>
    </row>
    <row r="798">
      <c r="A798" s="156"/>
      <c r="B798" s="156"/>
      <c r="C798" s="156"/>
      <c r="D798" s="156"/>
      <c r="E798" s="156"/>
      <c r="F798" s="156"/>
      <c r="G798" s="156"/>
      <c r="H798" s="156"/>
      <c r="I798" s="156"/>
      <c r="J798" s="156"/>
      <c r="K798" s="156"/>
      <c r="L798" s="156"/>
      <c r="M798" s="156"/>
      <c r="N798" s="156"/>
      <c r="O798" s="156"/>
      <c r="P798" s="156"/>
      <c r="Q798" s="156"/>
      <c r="R798" s="156"/>
      <c r="S798" s="156"/>
      <c r="T798" s="156"/>
      <c r="U798" s="156"/>
      <c r="V798" s="156"/>
      <c r="W798" s="156"/>
      <c r="X798" s="156"/>
      <c r="Y798" s="156"/>
      <c r="Z798" s="156"/>
    </row>
    <row r="799">
      <c r="A799" s="156"/>
      <c r="B799" s="156"/>
      <c r="C799" s="156"/>
      <c r="D799" s="156"/>
      <c r="E799" s="156"/>
      <c r="F799" s="156"/>
      <c r="G799" s="156"/>
      <c r="H799" s="156"/>
      <c r="I799" s="156"/>
      <c r="J799" s="156"/>
      <c r="K799" s="156"/>
      <c r="L799" s="156"/>
      <c r="M799" s="156"/>
      <c r="N799" s="156"/>
      <c r="O799" s="156"/>
      <c r="P799" s="156"/>
      <c r="Q799" s="156"/>
      <c r="R799" s="156"/>
      <c r="S799" s="156"/>
      <c r="T799" s="156"/>
      <c r="U799" s="156"/>
      <c r="V799" s="156"/>
      <c r="W799" s="156"/>
      <c r="X799" s="156"/>
      <c r="Y799" s="156"/>
      <c r="Z799" s="156"/>
    </row>
    <row r="800">
      <c r="A800" s="156"/>
      <c r="B800" s="156"/>
      <c r="C800" s="156"/>
      <c r="D800" s="156"/>
      <c r="E800" s="156"/>
      <c r="F800" s="156"/>
      <c r="G800" s="156"/>
      <c r="H800" s="156"/>
      <c r="I800" s="156"/>
      <c r="J800" s="156"/>
      <c r="K800" s="156"/>
      <c r="L800" s="156"/>
      <c r="M800" s="156"/>
      <c r="N800" s="156"/>
      <c r="O800" s="156"/>
      <c r="P800" s="156"/>
      <c r="Q800" s="156"/>
      <c r="R800" s="156"/>
      <c r="S800" s="156"/>
      <c r="T800" s="156"/>
      <c r="U800" s="156"/>
      <c r="V800" s="156"/>
      <c r="W800" s="156"/>
      <c r="X800" s="156"/>
      <c r="Y800" s="156"/>
      <c r="Z800" s="156"/>
    </row>
    <row r="801">
      <c r="A801" s="156"/>
      <c r="B801" s="156"/>
      <c r="C801" s="156"/>
      <c r="D801" s="156"/>
      <c r="E801" s="156"/>
      <c r="F801" s="156"/>
      <c r="G801" s="156"/>
      <c r="H801" s="156"/>
      <c r="I801" s="156"/>
      <c r="J801" s="156"/>
      <c r="K801" s="156"/>
      <c r="L801" s="156"/>
      <c r="M801" s="156"/>
      <c r="N801" s="156"/>
      <c r="O801" s="156"/>
      <c r="P801" s="156"/>
      <c r="Q801" s="156"/>
      <c r="R801" s="156"/>
      <c r="S801" s="156"/>
      <c r="T801" s="156"/>
      <c r="U801" s="156"/>
      <c r="V801" s="156"/>
      <c r="W801" s="156"/>
      <c r="X801" s="156"/>
      <c r="Y801" s="156"/>
      <c r="Z801" s="156"/>
    </row>
    <row r="802">
      <c r="A802" s="156"/>
      <c r="B802" s="156"/>
      <c r="C802" s="156"/>
      <c r="D802" s="156"/>
      <c r="E802" s="156"/>
      <c r="F802" s="156"/>
      <c r="G802" s="156"/>
      <c r="H802" s="156"/>
      <c r="I802" s="156"/>
      <c r="J802" s="156"/>
      <c r="K802" s="156"/>
      <c r="L802" s="156"/>
      <c r="M802" s="156"/>
      <c r="N802" s="156"/>
      <c r="O802" s="156"/>
      <c r="P802" s="156"/>
      <c r="Q802" s="156"/>
      <c r="R802" s="156"/>
      <c r="S802" s="156"/>
      <c r="T802" s="156"/>
      <c r="U802" s="156"/>
      <c r="V802" s="156"/>
      <c r="W802" s="156"/>
      <c r="X802" s="156"/>
      <c r="Y802" s="156"/>
      <c r="Z802" s="156"/>
    </row>
    <row r="803">
      <c r="A803" s="156"/>
      <c r="B803" s="156"/>
      <c r="C803" s="156"/>
      <c r="D803" s="156"/>
      <c r="E803" s="156"/>
      <c r="F803" s="156"/>
      <c r="G803" s="156"/>
      <c r="H803" s="156"/>
      <c r="I803" s="156"/>
      <c r="J803" s="156"/>
      <c r="K803" s="156"/>
      <c r="L803" s="156"/>
      <c r="M803" s="156"/>
      <c r="N803" s="156"/>
      <c r="O803" s="156"/>
      <c r="P803" s="156"/>
      <c r="Q803" s="156"/>
      <c r="R803" s="156"/>
      <c r="S803" s="156"/>
      <c r="T803" s="156"/>
      <c r="U803" s="156"/>
      <c r="V803" s="156"/>
      <c r="W803" s="156"/>
      <c r="X803" s="156"/>
      <c r="Y803" s="156"/>
      <c r="Z803" s="156"/>
    </row>
    <row r="804">
      <c r="A804" s="156"/>
      <c r="B804" s="156"/>
      <c r="C804" s="156"/>
      <c r="D804" s="156"/>
      <c r="E804" s="156"/>
      <c r="F804" s="156"/>
      <c r="G804" s="156"/>
      <c r="H804" s="156"/>
      <c r="I804" s="156"/>
      <c r="J804" s="156"/>
      <c r="K804" s="156"/>
      <c r="L804" s="156"/>
      <c r="M804" s="156"/>
      <c r="N804" s="156"/>
      <c r="O804" s="156"/>
      <c r="P804" s="156"/>
      <c r="Q804" s="156"/>
      <c r="R804" s="156"/>
      <c r="S804" s="156"/>
      <c r="T804" s="156"/>
      <c r="U804" s="156"/>
      <c r="V804" s="156"/>
      <c r="W804" s="156"/>
      <c r="X804" s="156"/>
      <c r="Y804" s="156"/>
      <c r="Z804" s="156"/>
    </row>
    <row r="805">
      <c r="A805" s="156"/>
      <c r="B805" s="156"/>
      <c r="C805" s="156"/>
      <c r="D805" s="156"/>
      <c r="E805" s="156"/>
      <c r="F805" s="156"/>
      <c r="G805" s="156"/>
      <c r="H805" s="156"/>
      <c r="I805" s="156"/>
      <c r="J805" s="156"/>
      <c r="K805" s="156"/>
      <c r="L805" s="156"/>
      <c r="M805" s="156"/>
      <c r="N805" s="156"/>
      <c r="O805" s="156"/>
      <c r="P805" s="156"/>
      <c r="Q805" s="156"/>
      <c r="R805" s="156"/>
      <c r="S805" s="156"/>
      <c r="T805" s="156"/>
      <c r="U805" s="156"/>
      <c r="V805" s="156"/>
      <c r="W805" s="156"/>
      <c r="X805" s="156"/>
      <c r="Y805" s="156"/>
      <c r="Z805" s="156"/>
    </row>
    <row r="806">
      <c r="A806" s="156"/>
      <c r="B806" s="156"/>
      <c r="C806" s="156"/>
      <c r="D806" s="156"/>
      <c r="E806" s="156"/>
      <c r="F806" s="156"/>
      <c r="G806" s="156"/>
      <c r="H806" s="156"/>
      <c r="I806" s="156"/>
      <c r="J806" s="156"/>
      <c r="K806" s="156"/>
      <c r="L806" s="156"/>
      <c r="M806" s="156"/>
      <c r="N806" s="156"/>
      <c r="O806" s="156"/>
      <c r="P806" s="156"/>
      <c r="Q806" s="156"/>
      <c r="R806" s="156"/>
      <c r="S806" s="156"/>
      <c r="T806" s="156"/>
      <c r="U806" s="156"/>
      <c r="V806" s="156"/>
      <c r="W806" s="156"/>
      <c r="X806" s="156"/>
      <c r="Y806" s="156"/>
      <c r="Z806" s="156"/>
    </row>
    <row r="807">
      <c r="A807" s="156"/>
      <c r="B807" s="156"/>
      <c r="C807" s="156"/>
      <c r="D807" s="156"/>
      <c r="E807" s="156"/>
      <c r="F807" s="156"/>
      <c r="G807" s="156"/>
      <c r="H807" s="156"/>
      <c r="I807" s="156"/>
      <c r="J807" s="156"/>
      <c r="K807" s="156"/>
      <c r="L807" s="156"/>
      <c r="M807" s="156"/>
      <c r="N807" s="156"/>
      <c r="O807" s="156"/>
      <c r="P807" s="156"/>
      <c r="Q807" s="156"/>
      <c r="R807" s="156"/>
      <c r="S807" s="156"/>
      <c r="T807" s="156"/>
      <c r="U807" s="156"/>
      <c r="V807" s="156"/>
      <c r="W807" s="156"/>
      <c r="X807" s="156"/>
      <c r="Y807" s="156"/>
      <c r="Z807" s="156"/>
    </row>
    <row r="808">
      <c r="A808" s="156"/>
      <c r="B808" s="156"/>
      <c r="C808" s="156"/>
      <c r="D808" s="156"/>
      <c r="E808" s="156"/>
      <c r="F808" s="156"/>
      <c r="G808" s="156"/>
      <c r="H808" s="156"/>
      <c r="I808" s="156"/>
      <c r="J808" s="156"/>
      <c r="K808" s="156"/>
      <c r="L808" s="156"/>
      <c r="M808" s="156"/>
      <c r="N808" s="156"/>
      <c r="O808" s="156"/>
      <c r="P808" s="156"/>
      <c r="Q808" s="156"/>
      <c r="R808" s="156"/>
      <c r="S808" s="156"/>
      <c r="T808" s="156"/>
      <c r="U808" s="156"/>
      <c r="V808" s="156"/>
      <c r="W808" s="156"/>
      <c r="X808" s="156"/>
      <c r="Y808" s="156"/>
      <c r="Z808" s="156"/>
    </row>
    <row r="809">
      <c r="A809" s="156"/>
      <c r="B809" s="156"/>
      <c r="C809" s="156"/>
      <c r="D809" s="156"/>
      <c r="E809" s="156"/>
      <c r="F809" s="156"/>
      <c r="G809" s="156"/>
      <c r="H809" s="156"/>
      <c r="I809" s="156"/>
      <c r="J809" s="156"/>
      <c r="K809" s="156"/>
      <c r="L809" s="156"/>
      <c r="M809" s="156"/>
      <c r="N809" s="156"/>
      <c r="O809" s="156"/>
      <c r="P809" s="156"/>
      <c r="Q809" s="156"/>
      <c r="R809" s="156"/>
      <c r="S809" s="156"/>
      <c r="T809" s="156"/>
      <c r="U809" s="156"/>
      <c r="V809" s="156"/>
      <c r="W809" s="156"/>
      <c r="X809" s="156"/>
      <c r="Y809" s="156"/>
      <c r="Z809" s="156"/>
    </row>
    <row r="810">
      <c r="A810" s="156"/>
      <c r="B810" s="156"/>
      <c r="C810" s="156"/>
      <c r="D810" s="156"/>
      <c r="E810" s="156"/>
      <c r="F810" s="156"/>
      <c r="G810" s="156"/>
      <c r="H810" s="156"/>
      <c r="I810" s="156"/>
      <c r="J810" s="156"/>
      <c r="K810" s="156"/>
      <c r="L810" s="156"/>
      <c r="M810" s="156"/>
      <c r="N810" s="156"/>
      <c r="O810" s="156"/>
      <c r="P810" s="156"/>
      <c r="Q810" s="156"/>
      <c r="R810" s="156"/>
      <c r="S810" s="156"/>
      <c r="T810" s="156"/>
      <c r="U810" s="156"/>
      <c r="V810" s="156"/>
      <c r="W810" s="156"/>
      <c r="X810" s="156"/>
      <c r="Y810" s="156"/>
      <c r="Z810" s="156"/>
    </row>
    <row r="811">
      <c r="A811" s="156"/>
      <c r="B811" s="156"/>
      <c r="C811" s="156"/>
      <c r="D811" s="156"/>
      <c r="E811" s="156"/>
      <c r="F811" s="156"/>
      <c r="G811" s="156"/>
      <c r="H811" s="156"/>
      <c r="I811" s="156"/>
      <c r="J811" s="156"/>
      <c r="K811" s="156"/>
      <c r="L811" s="156"/>
      <c r="M811" s="156"/>
      <c r="N811" s="156"/>
      <c r="O811" s="156"/>
      <c r="P811" s="156"/>
      <c r="Q811" s="156"/>
      <c r="R811" s="156"/>
      <c r="S811" s="156"/>
      <c r="T811" s="156"/>
      <c r="U811" s="156"/>
      <c r="V811" s="156"/>
      <c r="W811" s="156"/>
      <c r="X811" s="156"/>
      <c r="Y811" s="156"/>
      <c r="Z811" s="156"/>
    </row>
    <row r="812">
      <c r="A812" s="156"/>
      <c r="B812" s="156"/>
      <c r="C812" s="156"/>
      <c r="D812" s="156"/>
      <c r="E812" s="156"/>
      <c r="F812" s="156"/>
      <c r="G812" s="156"/>
      <c r="H812" s="156"/>
      <c r="I812" s="156"/>
      <c r="J812" s="156"/>
      <c r="K812" s="156"/>
      <c r="L812" s="156"/>
      <c r="M812" s="156"/>
      <c r="N812" s="156"/>
      <c r="O812" s="156"/>
      <c r="P812" s="156"/>
      <c r="Q812" s="156"/>
      <c r="R812" s="156"/>
      <c r="S812" s="156"/>
      <c r="T812" s="156"/>
      <c r="U812" s="156"/>
      <c r="V812" s="156"/>
      <c r="W812" s="156"/>
      <c r="X812" s="156"/>
      <c r="Y812" s="156"/>
      <c r="Z812" s="156"/>
    </row>
    <row r="813">
      <c r="A813" s="156"/>
      <c r="B813" s="156"/>
      <c r="C813" s="156"/>
      <c r="D813" s="156"/>
      <c r="E813" s="156"/>
      <c r="F813" s="156"/>
      <c r="G813" s="156"/>
      <c r="H813" s="156"/>
      <c r="I813" s="156"/>
      <c r="J813" s="156"/>
      <c r="K813" s="156"/>
      <c r="L813" s="156"/>
      <c r="M813" s="156"/>
      <c r="N813" s="156"/>
      <c r="O813" s="156"/>
      <c r="P813" s="156"/>
      <c r="Q813" s="156"/>
      <c r="R813" s="156"/>
      <c r="S813" s="156"/>
      <c r="T813" s="156"/>
      <c r="U813" s="156"/>
      <c r="V813" s="156"/>
      <c r="W813" s="156"/>
      <c r="X813" s="156"/>
      <c r="Y813" s="156"/>
      <c r="Z813" s="156"/>
    </row>
    <row r="814">
      <c r="A814" s="156"/>
      <c r="B814" s="156"/>
      <c r="C814" s="156"/>
      <c r="D814" s="156"/>
      <c r="E814" s="156"/>
      <c r="F814" s="156"/>
      <c r="G814" s="156"/>
      <c r="H814" s="156"/>
      <c r="I814" s="156"/>
      <c r="J814" s="156"/>
      <c r="K814" s="156"/>
      <c r="L814" s="156"/>
      <c r="M814" s="156"/>
      <c r="N814" s="156"/>
      <c r="O814" s="156"/>
      <c r="P814" s="156"/>
      <c r="Q814" s="156"/>
      <c r="R814" s="156"/>
      <c r="S814" s="156"/>
      <c r="T814" s="156"/>
      <c r="U814" s="156"/>
      <c r="V814" s="156"/>
      <c r="W814" s="156"/>
      <c r="X814" s="156"/>
      <c r="Y814" s="156"/>
      <c r="Z814" s="156"/>
    </row>
    <row r="815">
      <c r="A815" s="156"/>
      <c r="B815" s="156"/>
      <c r="C815" s="156"/>
      <c r="D815" s="156"/>
      <c r="E815" s="156"/>
      <c r="F815" s="156"/>
      <c r="G815" s="156"/>
      <c r="H815" s="156"/>
      <c r="I815" s="156"/>
      <c r="J815" s="156"/>
      <c r="K815" s="156"/>
      <c r="L815" s="156"/>
      <c r="M815" s="156"/>
      <c r="N815" s="156"/>
      <c r="O815" s="156"/>
      <c r="P815" s="156"/>
      <c r="Q815" s="156"/>
      <c r="R815" s="156"/>
      <c r="S815" s="156"/>
      <c r="T815" s="156"/>
      <c r="U815" s="156"/>
      <c r="V815" s="156"/>
      <c r="W815" s="156"/>
      <c r="X815" s="156"/>
      <c r="Y815" s="156"/>
      <c r="Z815" s="156"/>
    </row>
    <row r="816">
      <c r="A816" s="156"/>
      <c r="B816" s="156"/>
      <c r="C816" s="156"/>
      <c r="D816" s="156"/>
      <c r="E816" s="156"/>
      <c r="F816" s="156"/>
      <c r="G816" s="156"/>
      <c r="H816" s="156"/>
      <c r="I816" s="156"/>
      <c r="J816" s="156"/>
      <c r="K816" s="156"/>
      <c r="L816" s="156"/>
      <c r="M816" s="156"/>
      <c r="N816" s="156"/>
      <c r="O816" s="156"/>
      <c r="P816" s="156"/>
      <c r="Q816" s="156"/>
      <c r="R816" s="156"/>
      <c r="S816" s="156"/>
      <c r="T816" s="156"/>
      <c r="U816" s="156"/>
      <c r="V816" s="156"/>
      <c r="W816" s="156"/>
      <c r="X816" s="156"/>
      <c r="Y816" s="156"/>
      <c r="Z816" s="156"/>
    </row>
    <row r="817">
      <c r="A817" s="156"/>
      <c r="B817" s="156"/>
      <c r="C817" s="156"/>
      <c r="D817" s="156"/>
      <c r="E817" s="156"/>
      <c r="F817" s="156"/>
      <c r="G817" s="156"/>
      <c r="H817" s="156"/>
      <c r="I817" s="156"/>
      <c r="J817" s="156"/>
      <c r="K817" s="156"/>
      <c r="L817" s="156"/>
      <c r="M817" s="156"/>
      <c r="N817" s="156"/>
      <c r="O817" s="156"/>
      <c r="P817" s="156"/>
      <c r="Q817" s="156"/>
      <c r="R817" s="156"/>
      <c r="S817" s="156"/>
      <c r="T817" s="156"/>
      <c r="U817" s="156"/>
      <c r="V817" s="156"/>
      <c r="W817" s="156"/>
      <c r="X817" s="156"/>
      <c r="Y817" s="156"/>
      <c r="Z817" s="156"/>
    </row>
    <row r="818">
      <c r="A818" s="156"/>
      <c r="B818" s="156"/>
      <c r="C818" s="156"/>
      <c r="D818" s="156"/>
      <c r="E818" s="156"/>
      <c r="F818" s="156"/>
      <c r="G818" s="156"/>
      <c r="H818" s="156"/>
      <c r="I818" s="156"/>
      <c r="J818" s="156"/>
      <c r="K818" s="156"/>
      <c r="L818" s="156"/>
      <c r="M818" s="156"/>
      <c r="N818" s="156"/>
      <c r="O818" s="156"/>
      <c r="P818" s="156"/>
      <c r="Q818" s="156"/>
      <c r="R818" s="156"/>
      <c r="S818" s="156"/>
      <c r="T818" s="156"/>
      <c r="U818" s="156"/>
      <c r="V818" s="156"/>
      <c r="W818" s="156"/>
      <c r="X818" s="156"/>
      <c r="Y818" s="156"/>
      <c r="Z818" s="156"/>
    </row>
    <row r="819">
      <c r="A819" s="156"/>
      <c r="B819" s="156"/>
      <c r="C819" s="156"/>
      <c r="D819" s="156"/>
      <c r="E819" s="156"/>
      <c r="F819" s="156"/>
      <c r="G819" s="156"/>
      <c r="H819" s="156"/>
      <c r="I819" s="156"/>
      <c r="J819" s="156"/>
      <c r="K819" s="156"/>
      <c r="L819" s="156"/>
      <c r="M819" s="156"/>
      <c r="N819" s="156"/>
      <c r="O819" s="156"/>
      <c r="P819" s="156"/>
      <c r="Q819" s="156"/>
      <c r="R819" s="156"/>
      <c r="S819" s="156"/>
      <c r="T819" s="156"/>
      <c r="U819" s="156"/>
      <c r="V819" s="156"/>
      <c r="W819" s="156"/>
      <c r="X819" s="156"/>
      <c r="Y819" s="156"/>
      <c r="Z819" s="156"/>
    </row>
    <row r="820">
      <c r="A820" s="156"/>
      <c r="B820" s="156"/>
      <c r="C820" s="156"/>
      <c r="D820" s="156"/>
      <c r="E820" s="156"/>
      <c r="F820" s="156"/>
      <c r="G820" s="156"/>
      <c r="H820" s="156"/>
      <c r="I820" s="156"/>
      <c r="J820" s="156"/>
      <c r="K820" s="156"/>
      <c r="L820" s="156"/>
      <c r="M820" s="156"/>
      <c r="N820" s="156"/>
      <c r="O820" s="156"/>
      <c r="P820" s="156"/>
      <c r="Q820" s="156"/>
      <c r="R820" s="156"/>
      <c r="S820" s="156"/>
      <c r="T820" s="156"/>
      <c r="U820" s="156"/>
      <c r="V820" s="156"/>
      <c r="W820" s="156"/>
      <c r="X820" s="156"/>
      <c r="Y820" s="156"/>
      <c r="Z820" s="156"/>
    </row>
    <row r="821">
      <c r="A821" s="156"/>
      <c r="B821" s="156"/>
      <c r="C821" s="156"/>
      <c r="D821" s="156"/>
      <c r="E821" s="156"/>
      <c r="F821" s="156"/>
      <c r="G821" s="156"/>
      <c r="H821" s="156"/>
      <c r="I821" s="156"/>
      <c r="J821" s="156"/>
      <c r="K821" s="156"/>
      <c r="L821" s="156"/>
      <c r="M821" s="156"/>
      <c r="N821" s="156"/>
      <c r="O821" s="156"/>
      <c r="P821" s="156"/>
      <c r="Q821" s="156"/>
      <c r="R821" s="156"/>
      <c r="S821" s="156"/>
      <c r="T821" s="156"/>
      <c r="U821" s="156"/>
      <c r="V821" s="156"/>
      <c r="W821" s="156"/>
      <c r="X821" s="156"/>
      <c r="Y821" s="156"/>
      <c r="Z821" s="156"/>
    </row>
    <row r="822">
      <c r="A822" s="156"/>
      <c r="B822" s="156"/>
      <c r="C822" s="156"/>
      <c r="D822" s="156"/>
      <c r="E822" s="156"/>
      <c r="F822" s="156"/>
      <c r="G822" s="156"/>
      <c r="H822" s="156"/>
      <c r="I822" s="156"/>
      <c r="J822" s="156"/>
      <c r="K822" s="156"/>
      <c r="L822" s="156"/>
      <c r="M822" s="156"/>
      <c r="N822" s="156"/>
      <c r="O822" s="156"/>
      <c r="P822" s="156"/>
      <c r="Q822" s="156"/>
      <c r="R822" s="156"/>
      <c r="S822" s="156"/>
      <c r="T822" s="156"/>
      <c r="U822" s="156"/>
      <c r="V822" s="156"/>
      <c r="W822" s="156"/>
      <c r="X822" s="156"/>
      <c r="Y822" s="156"/>
      <c r="Z822" s="156"/>
    </row>
    <row r="823">
      <c r="A823" s="156"/>
      <c r="B823" s="156"/>
      <c r="C823" s="156"/>
      <c r="D823" s="156"/>
      <c r="E823" s="156"/>
      <c r="F823" s="156"/>
      <c r="G823" s="156"/>
      <c r="H823" s="156"/>
      <c r="I823" s="156"/>
      <c r="J823" s="156"/>
      <c r="K823" s="156"/>
      <c r="L823" s="156"/>
      <c r="M823" s="156"/>
      <c r="N823" s="156"/>
      <c r="O823" s="156"/>
      <c r="P823" s="156"/>
      <c r="Q823" s="156"/>
      <c r="R823" s="156"/>
      <c r="S823" s="156"/>
      <c r="T823" s="156"/>
      <c r="U823" s="156"/>
      <c r="V823" s="156"/>
      <c r="W823" s="156"/>
      <c r="X823" s="156"/>
      <c r="Y823" s="156"/>
      <c r="Z823" s="156"/>
    </row>
    <row r="824">
      <c r="A824" s="156"/>
      <c r="B824" s="156"/>
      <c r="C824" s="156"/>
      <c r="D824" s="156"/>
      <c r="E824" s="156"/>
      <c r="F824" s="156"/>
      <c r="G824" s="156"/>
      <c r="H824" s="156"/>
      <c r="I824" s="156"/>
      <c r="J824" s="156"/>
      <c r="K824" s="156"/>
      <c r="L824" s="156"/>
      <c r="M824" s="156"/>
      <c r="N824" s="156"/>
      <c r="O824" s="156"/>
      <c r="P824" s="156"/>
      <c r="Q824" s="156"/>
      <c r="R824" s="156"/>
      <c r="S824" s="156"/>
      <c r="T824" s="156"/>
      <c r="U824" s="156"/>
      <c r="V824" s="156"/>
      <c r="W824" s="156"/>
      <c r="X824" s="156"/>
      <c r="Y824" s="156"/>
      <c r="Z824" s="156"/>
    </row>
    <row r="825">
      <c r="A825" s="156"/>
      <c r="B825" s="156"/>
      <c r="C825" s="156"/>
      <c r="D825" s="156"/>
      <c r="E825" s="156"/>
      <c r="F825" s="156"/>
      <c r="G825" s="156"/>
      <c r="H825" s="156"/>
      <c r="I825" s="156"/>
      <c r="J825" s="156"/>
      <c r="K825" s="156"/>
      <c r="L825" s="156"/>
      <c r="M825" s="156"/>
      <c r="N825" s="156"/>
      <c r="O825" s="156"/>
      <c r="P825" s="156"/>
      <c r="Q825" s="156"/>
      <c r="R825" s="156"/>
      <c r="S825" s="156"/>
      <c r="T825" s="156"/>
      <c r="U825" s="156"/>
      <c r="V825" s="156"/>
      <c r="W825" s="156"/>
      <c r="X825" s="156"/>
      <c r="Y825" s="156"/>
      <c r="Z825" s="156"/>
    </row>
    <row r="826">
      <c r="A826" s="156"/>
      <c r="B826" s="156"/>
      <c r="C826" s="156"/>
      <c r="D826" s="156"/>
      <c r="E826" s="156"/>
      <c r="F826" s="156"/>
      <c r="G826" s="156"/>
      <c r="H826" s="156"/>
      <c r="I826" s="156"/>
      <c r="J826" s="156"/>
      <c r="K826" s="156"/>
      <c r="L826" s="156"/>
      <c r="M826" s="156"/>
      <c r="N826" s="156"/>
      <c r="O826" s="156"/>
      <c r="P826" s="156"/>
      <c r="Q826" s="156"/>
      <c r="R826" s="156"/>
      <c r="S826" s="156"/>
      <c r="T826" s="156"/>
      <c r="U826" s="156"/>
      <c r="V826" s="156"/>
      <c r="W826" s="156"/>
      <c r="X826" s="156"/>
      <c r="Y826" s="156"/>
      <c r="Z826" s="156"/>
    </row>
    <row r="827">
      <c r="A827" s="156"/>
      <c r="B827" s="156"/>
      <c r="C827" s="156"/>
      <c r="D827" s="156"/>
      <c r="E827" s="156"/>
      <c r="F827" s="156"/>
      <c r="G827" s="156"/>
      <c r="H827" s="156"/>
      <c r="I827" s="156"/>
      <c r="J827" s="156"/>
      <c r="K827" s="156"/>
      <c r="L827" s="156"/>
      <c r="M827" s="156"/>
      <c r="N827" s="156"/>
      <c r="O827" s="156"/>
      <c r="P827" s="156"/>
      <c r="Q827" s="156"/>
      <c r="R827" s="156"/>
      <c r="S827" s="156"/>
      <c r="T827" s="156"/>
      <c r="U827" s="156"/>
      <c r="V827" s="156"/>
      <c r="W827" s="156"/>
      <c r="X827" s="156"/>
      <c r="Y827" s="156"/>
      <c r="Z827" s="156"/>
    </row>
    <row r="828">
      <c r="A828" s="156"/>
      <c r="B828" s="156"/>
      <c r="C828" s="156"/>
      <c r="D828" s="156"/>
      <c r="E828" s="156"/>
      <c r="F828" s="156"/>
      <c r="G828" s="156"/>
      <c r="H828" s="156"/>
      <c r="I828" s="156"/>
      <c r="J828" s="156"/>
      <c r="K828" s="156"/>
      <c r="L828" s="156"/>
      <c r="M828" s="156"/>
      <c r="N828" s="156"/>
      <c r="O828" s="156"/>
      <c r="P828" s="156"/>
      <c r="Q828" s="156"/>
      <c r="R828" s="156"/>
      <c r="S828" s="156"/>
      <c r="T828" s="156"/>
      <c r="U828" s="156"/>
      <c r="V828" s="156"/>
      <c r="W828" s="156"/>
      <c r="X828" s="156"/>
      <c r="Y828" s="156"/>
      <c r="Z828" s="156"/>
    </row>
    <row r="829">
      <c r="A829" s="156"/>
      <c r="B829" s="156"/>
      <c r="C829" s="156"/>
      <c r="D829" s="156"/>
      <c r="E829" s="156"/>
      <c r="F829" s="156"/>
      <c r="G829" s="156"/>
      <c r="H829" s="156"/>
      <c r="I829" s="156"/>
      <c r="J829" s="156"/>
      <c r="K829" s="156"/>
      <c r="L829" s="156"/>
      <c r="M829" s="156"/>
      <c r="N829" s="156"/>
      <c r="O829" s="156"/>
      <c r="P829" s="156"/>
      <c r="Q829" s="156"/>
      <c r="R829" s="156"/>
      <c r="S829" s="156"/>
      <c r="T829" s="156"/>
      <c r="U829" s="156"/>
      <c r="V829" s="156"/>
      <c r="W829" s="156"/>
      <c r="X829" s="156"/>
      <c r="Y829" s="156"/>
      <c r="Z829" s="156"/>
    </row>
    <row r="830">
      <c r="A830" s="156"/>
      <c r="B830" s="156"/>
      <c r="C830" s="156"/>
      <c r="D830" s="156"/>
      <c r="E830" s="156"/>
      <c r="F830" s="156"/>
      <c r="G830" s="156"/>
      <c r="H830" s="156"/>
      <c r="I830" s="156"/>
      <c r="J830" s="156"/>
      <c r="K830" s="156"/>
      <c r="L830" s="156"/>
      <c r="M830" s="156"/>
      <c r="N830" s="156"/>
      <c r="O830" s="156"/>
      <c r="P830" s="156"/>
      <c r="Q830" s="156"/>
      <c r="R830" s="156"/>
      <c r="S830" s="156"/>
      <c r="T830" s="156"/>
      <c r="U830" s="156"/>
      <c r="V830" s="156"/>
      <c r="W830" s="156"/>
      <c r="X830" s="156"/>
      <c r="Y830" s="156"/>
      <c r="Z830" s="156"/>
    </row>
    <row r="831">
      <c r="A831" s="156"/>
      <c r="B831" s="156"/>
      <c r="C831" s="156"/>
      <c r="D831" s="156"/>
      <c r="E831" s="156"/>
      <c r="F831" s="156"/>
      <c r="G831" s="156"/>
      <c r="H831" s="156"/>
      <c r="I831" s="156"/>
      <c r="J831" s="156"/>
      <c r="K831" s="156"/>
      <c r="L831" s="156"/>
      <c r="M831" s="156"/>
      <c r="N831" s="156"/>
      <c r="O831" s="156"/>
      <c r="P831" s="156"/>
      <c r="Q831" s="156"/>
      <c r="R831" s="156"/>
      <c r="S831" s="156"/>
      <c r="T831" s="156"/>
      <c r="U831" s="156"/>
      <c r="V831" s="156"/>
      <c r="W831" s="156"/>
      <c r="X831" s="156"/>
      <c r="Y831" s="156"/>
      <c r="Z831" s="156"/>
    </row>
    <row r="832">
      <c r="A832" s="156"/>
      <c r="B832" s="156"/>
      <c r="C832" s="156"/>
      <c r="D832" s="156"/>
      <c r="E832" s="156"/>
      <c r="F832" s="156"/>
      <c r="G832" s="156"/>
      <c r="H832" s="156"/>
      <c r="I832" s="156"/>
      <c r="J832" s="156"/>
      <c r="K832" s="156"/>
      <c r="L832" s="156"/>
      <c r="M832" s="156"/>
      <c r="N832" s="156"/>
      <c r="O832" s="156"/>
      <c r="P832" s="156"/>
      <c r="Q832" s="156"/>
      <c r="R832" s="156"/>
      <c r="S832" s="156"/>
      <c r="T832" s="156"/>
      <c r="U832" s="156"/>
      <c r="V832" s="156"/>
      <c r="W832" s="156"/>
      <c r="X832" s="156"/>
      <c r="Y832" s="156"/>
      <c r="Z832" s="156"/>
    </row>
    <row r="833">
      <c r="A833" s="156"/>
      <c r="B833" s="156"/>
      <c r="C833" s="156"/>
      <c r="D833" s="156"/>
      <c r="E833" s="156"/>
      <c r="F833" s="156"/>
      <c r="G833" s="156"/>
      <c r="H833" s="156"/>
      <c r="I833" s="156"/>
      <c r="J833" s="156"/>
      <c r="K833" s="156"/>
      <c r="L833" s="156"/>
      <c r="M833" s="156"/>
      <c r="N833" s="156"/>
      <c r="O833" s="156"/>
      <c r="P833" s="156"/>
      <c r="Q833" s="156"/>
      <c r="R833" s="156"/>
      <c r="S833" s="156"/>
      <c r="T833" s="156"/>
      <c r="U833" s="156"/>
      <c r="V833" s="156"/>
      <c r="W833" s="156"/>
      <c r="X833" s="156"/>
      <c r="Y833" s="156"/>
      <c r="Z833" s="156"/>
    </row>
    <row r="834">
      <c r="A834" s="156"/>
      <c r="B834" s="156"/>
      <c r="C834" s="156"/>
      <c r="D834" s="156"/>
      <c r="E834" s="156"/>
      <c r="F834" s="156"/>
      <c r="G834" s="156"/>
      <c r="H834" s="156"/>
      <c r="I834" s="156"/>
      <c r="J834" s="156"/>
      <c r="K834" s="156"/>
      <c r="L834" s="156"/>
      <c r="M834" s="156"/>
      <c r="N834" s="156"/>
      <c r="O834" s="156"/>
      <c r="P834" s="156"/>
      <c r="Q834" s="156"/>
      <c r="R834" s="156"/>
      <c r="S834" s="156"/>
      <c r="T834" s="156"/>
      <c r="U834" s="156"/>
      <c r="V834" s="156"/>
      <c r="W834" s="156"/>
      <c r="X834" s="156"/>
      <c r="Y834" s="156"/>
      <c r="Z834" s="156"/>
    </row>
    <row r="835">
      <c r="A835" s="156"/>
      <c r="B835" s="156"/>
      <c r="C835" s="156"/>
      <c r="D835" s="156"/>
      <c r="E835" s="156"/>
      <c r="F835" s="156"/>
      <c r="G835" s="156"/>
      <c r="H835" s="156"/>
      <c r="I835" s="156"/>
      <c r="J835" s="156"/>
      <c r="K835" s="156"/>
      <c r="L835" s="156"/>
      <c r="M835" s="156"/>
      <c r="N835" s="156"/>
      <c r="O835" s="156"/>
      <c r="P835" s="156"/>
      <c r="Q835" s="156"/>
      <c r="R835" s="156"/>
      <c r="S835" s="156"/>
      <c r="T835" s="156"/>
      <c r="U835" s="156"/>
      <c r="V835" s="156"/>
      <c r="W835" s="156"/>
      <c r="X835" s="156"/>
      <c r="Y835" s="156"/>
      <c r="Z835" s="156"/>
    </row>
    <row r="836">
      <c r="A836" s="156"/>
      <c r="B836" s="156"/>
      <c r="C836" s="156"/>
      <c r="D836" s="156"/>
      <c r="E836" s="156"/>
      <c r="F836" s="156"/>
      <c r="G836" s="156"/>
      <c r="H836" s="156"/>
      <c r="I836" s="156"/>
      <c r="J836" s="156"/>
      <c r="K836" s="156"/>
      <c r="L836" s="156"/>
      <c r="M836" s="156"/>
      <c r="N836" s="156"/>
      <c r="O836" s="156"/>
      <c r="P836" s="156"/>
      <c r="Q836" s="156"/>
      <c r="R836" s="156"/>
      <c r="S836" s="156"/>
      <c r="T836" s="156"/>
      <c r="U836" s="156"/>
      <c r="V836" s="156"/>
      <c r="W836" s="156"/>
      <c r="X836" s="156"/>
      <c r="Y836" s="156"/>
      <c r="Z836" s="156"/>
    </row>
    <row r="837">
      <c r="A837" s="156"/>
      <c r="B837" s="156"/>
      <c r="C837" s="156"/>
      <c r="D837" s="156"/>
      <c r="E837" s="156"/>
      <c r="F837" s="156"/>
      <c r="G837" s="156"/>
      <c r="H837" s="156"/>
      <c r="I837" s="156"/>
      <c r="J837" s="156"/>
      <c r="K837" s="156"/>
      <c r="L837" s="156"/>
      <c r="M837" s="156"/>
      <c r="N837" s="156"/>
      <c r="O837" s="156"/>
      <c r="P837" s="156"/>
      <c r="Q837" s="156"/>
      <c r="R837" s="156"/>
      <c r="S837" s="156"/>
      <c r="T837" s="156"/>
      <c r="U837" s="156"/>
      <c r="V837" s="156"/>
      <c r="W837" s="156"/>
      <c r="X837" s="156"/>
      <c r="Y837" s="156"/>
      <c r="Z837" s="156"/>
    </row>
    <row r="838">
      <c r="A838" s="156"/>
      <c r="B838" s="156"/>
      <c r="C838" s="156"/>
      <c r="D838" s="156"/>
      <c r="E838" s="156"/>
      <c r="F838" s="156"/>
      <c r="G838" s="156"/>
      <c r="H838" s="156"/>
      <c r="I838" s="156"/>
      <c r="J838" s="156"/>
      <c r="K838" s="156"/>
      <c r="L838" s="156"/>
      <c r="M838" s="156"/>
      <c r="N838" s="156"/>
      <c r="O838" s="156"/>
      <c r="P838" s="156"/>
      <c r="Q838" s="156"/>
      <c r="R838" s="156"/>
      <c r="S838" s="156"/>
      <c r="T838" s="156"/>
      <c r="U838" s="156"/>
      <c r="V838" s="156"/>
      <c r="W838" s="156"/>
      <c r="X838" s="156"/>
      <c r="Y838" s="156"/>
      <c r="Z838" s="156"/>
    </row>
    <row r="839">
      <c r="A839" s="156"/>
      <c r="B839" s="156"/>
      <c r="C839" s="156"/>
      <c r="D839" s="156"/>
      <c r="E839" s="156"/>
      <c r="F839" s="156"/>
      <c r="G839" s="156"/>
      <c r="H839" s="156"/>
      <c r="I839" s="156"/>
      <c r="J839" s="156"/>
      <c r="K839" s="156"/>
      <c r="L839" s="156"/>
      <c r="M839" s="156"/>
      <c r="N839" s="156"/>
      <c r="O839" s="156"/>
      <c r="P839" s="156"/>
      <c r="Q839" s="156"/>
      <c r="R839" s="156"/>
      <c r="S839" s="156"/>
      <c r="T839" s="156"/>
      <c r="U839" s="156"/>
      <c r="V839" s="156"/>
      <c r="W839" s="156"/>
      <c r="X839" s="156"/>
      <c r="Y839" s="156"/>
      <c r="Z839" s="156"/>
    </row>
    <row r="840">
      <c r="A840" s="156"/>
      <c r="B840" s="156"/>
      <c r="C840" s="156"/>
      <c r="D840" s="156"/>
      <c r="E840" s="156"/>
      <c r="F840" s="156"/>
      <c r="G840" s="156"/>
      <c r="H840" s="156"/>
      <c r="I840" s="156"/>
      <c r="J840" s="156"/>
      <c r="K840" s="156"/>
      <c r="L840" s="156"/>
      <c r="M840" s="156"/>
      <c r="N840" s="156"/>
      <c r="O840" s="156"/>
      <c r="P840" s="156"/>
      <c r="Q840" s="156"/>
      <c r="R840" s="156"/>
      <c r="S840" s="156"/>
      <c r="T840" s="156"/>
      <c r="U840" s="156"/>
      <c r="V840" s="156"/>
      <c r="W840" s="156"/>
      <c r="X840" s="156"/>
      <c r="Y840" s="156"/>
      <c r="Z840" s="156"/>
    </row>
    <row r="841">
      <c r="A841" s="156"/>
      <c r="B841" s="156"/>
      <c r="C841" s="156"/>
      <c r="D841" s="156"/>
      <c r="E841" s="156"/>
      <c r="F841" s="156"/>
      <c r="G841" s="156"/>
      <c r="H841" s="156"/>
      <c r="I841" s="156"/>
      <c r="J841" s="156"/>
      <c r="K841" s="156"/>
      <c r="L841" s="156"/>
      <c r="M841" s="156"/>
      <c r="N841" s="156"/>
      <c r="O841" s="156"/>
      <c r="P841" s="156"/>
      <c r="Q841" s="156"/>
      <c r="R841" s="156"/>
      <c r="S841" s="156"/>
      <c r="T841" s="156"/>
      <c r="U841" s="156"/>
      <c r="V841" s="156"/>
      <c r="W841" s="156"/>
      <c r="X841" s="156"/>
      <c r="Y841" s="156"/>
      <c r="Z841" s="156"/>
    </row>
    <row r="842">
      <c r="A842" s="156"/>
      <c r="B842" s="156"/>
      <c r="C842" s="156"/>
      <c r="D842" s="156"/>
      <c r="E842" s="156"/>
      <c r="F842" s="156"/>
      <c r="G842" s="156"/>
      <c r="H842" s="156"/>
      <c r="I842" s="156"/>
      <c r="J842" s="156"/>
      <c r="K842" s="156"/>
      <c r="L842" s="156"/>
      <c r="M842" s="156"/>
      <c r="N842" s="156"/>
      <c r="O842" s="156"/>
      <c r="P842" s="156"/>
      <c r="Q842" s="156"/>
      <c r="R842" s="156"/>
      <c r="S842" s="156"/>
      <c r="T842" s="156"/>
      <c r="U842" s="156"/>
      <c r="V842" s="156"/>
      <c r="W842" s="156"/>
      <c r="X842" s="156"/>
      <c r="Y842" s="156"/>
      <c r="Z842" s="156"/>
    </row>
    <row r="843">
      <c r="A843" s="156"/>
      <c r="B843" s="156"/>
      <c r="C843" s="156"/>
      <c r="D843" s="156"/>
      <c r="E843" s="156"/>
      <c r="F843" s="156"/>
      <c r="G843" s="156"/>
      <c r="H843" s="156"/>
      <c r="I843" s="156"/>
      <c r="J843" s="156"/>
      <c r="K843" s="156"/>
      <c r="L843" s="156"/>
      <c r="M843" s="156"/>
      <c r="N843" s="156"/>
      <c r="O843" s="156"/>
      <c r="P843" s="156"/>
      <c r="Q843" s="156"/>
      <c r="R843" s="156"/>
      <c r="S843" s="156"/>
      <c r="T843" s="156"/>
      <c r="U843" s="156"/>
      <c r="V843" s="156"/>
      <c r="W843" s="156"/>
      <c r="X843" s="156"/>
      <c r="Y843" s="156"/>
      <c r="Z843" s="156"/>
    </row>
    <row r="844">
      <c r="A844" s="156"/>
      <c r="B844" s="156"/>
      <c r="C844" s="156"/>
      <c r="D844" s="156"/>
      <c r="E844" s="156"/>
      <c r="F844" s="156"/>
      <c r="G844" s="156"/>
      <c r="H844" s="156"/>
      <c r="I844" s="156"/>
      <c r="J844" s="156"/>
      <c r="K844" s="156"/>
      <c r="L844" s="156"/>
      <c r="M844" s="156"/>
      <c r="N844" s="156"/>
      <c r="O844" s="156"/>
      <c r="P844" s="156"/>
      <c r="Q844" s="156"/>
      <c r="R844" s="156"/>
      <c r="S844" s="156"/>
      <c r="T844" s="156"/>
      <c r="U844" s="156"/>
      <c r="V844" s="156"/>
      <c r="W844" s="156"/>
      <c r="X844" s="156"/>
      <c r="Y844" s="156"/>
      <c r="Z844" s="156"/>
    </row>
    <row r="845">
      <c r="A845" s="156"/>
      <c r="B845" s="156"/>
      <c r="C845" s="156"/>
      <c r="D845" s="156"/>
      <c r="E845" s="156"/>
      <c r="F845" s="156"/>
      <c r="G845" s="156"/>
      <c r="H845" s="156"/>
      <c r="I845" s="156"/>
      <c r="J845" s="156"/>
      <c r="K845" s="156"/>
      <c r="L845" s="156"/>
      <c r="M845" s="156"/>
      <c r="N845" s="156"/>
      <c r="O845" s="156"/>
      <c r="P845" s="156"/>
      <c r="Q845" s="156"/>
      <c r="R845" s="156"/>
      <c r="S845" s="156"/>
      <c r="T845" s="156"/>
      <c r="U845" s="156"/>
      <c r="V845" s="156"/>
      <c r="W845" s="156"/>
      <c r="X845" s="156"/>
      <c r="Y845" s="156"/>
      <c r="Z845" s="156"/>
    </row>
    <row r="846">
      <c r="A846" s="156"/>
      <c r="B846" s="156"/>
      <c r="C846" s="156"/>
      <c r="D846" s="156"/>
      <c r="E846" s="156"/>
      <c r="F846" s="156"/>
      <c r="G846" s="156"/>
      <c r="H846" s="156"/>
      <c r="I846" s="156"/>
      <c r="J846" s="156"/>
      <c r="K846" s="156"/>
      <c r="L846" s="156"/>
      <c r="M846" s="156"/>
      <c r="N846" s="156"/>
      <c r="O846" s="156"/>
      <c r="P846" s="156"/>
      <c r="Q846" s="156"/>
      <c r="R846" s="156"/>
      <c r="S846" s="156"/>
      <c r="T846" s="156"/>
      <c r="U846" s="156"/>
      <c r="V846" s="156"/>
      <c r="W846" s="156"/>
      <c r="X846" s="156"/>
      <c r="Y846" s="156"/>
      <c r="Z846" s="156"/>
    </row>
    <row r="847">
      <c r="A847" s="156"/>
      <c r="B847" s="156"/>
      <c r="C847" s="156"/>
      <c r="D847" s="156"/>
      <c r="E847" s="156"/>
      <c r="F847" s="156"/>
      <c r="G847" s="156"/>
      <c r="H847" s="156"/>
      <c r="I847" s="156"/>
      <c r="J847" s="156"/>
      <c r="K847" s="156"/>
      <c r="L847" s="156"/>
      <c r="M847" s="156"/>
      <c r="N847" s="156"/>
      <c r="O847" s="156"/>
      <c r="P847" s="156"/>
      <c r="Q847" s="156"/>
      <c r="R847" s="156"/>
      <c r="S847" s="156"/>
      <c r="T847" s="156"/>
      <c r="U847" s="156"/>
      <c r="V847" s="156"/>
      <c r="W847" s="156"/>
      <c r="X847" s="156"/>
      <c r="Y847" s="156"/>
      <c r="Z847" s="156"/>
    </row>
    <row r="848">
      <c r="A848" s="156"/>
      <c r="B848" s="156"/>
      <c r="C848" s="156"/>
      <c r="D848" s="156"/>
      <c r="E848" s="156"/>
      <c r="F848" s="156"/>
      <c r="G848" s="156"/>
      <c r="H848" s="156"/>
      <c r="I848" s="156"/>
      <c r="J848" s="156"/>
      <c r="K848" s="156"/>
      <c r="L848" s="156"/>
      <c r="M848" s="156"/>
      <c r="N848" s="156"/>
      <c r="O848" s="156"/>
      <c r="P848" s="156"/>
      <c r="Q848" s="156"/>
      <c r="R848" s="156"/>
      <c r="S848" s="156"/>
      <c r="T848" s="156"/>
      <c r="U848" s="156"/>
      <c r="V848" s="156"/>
      <c r="W848" s="156"/>
      <c r="X848" s="156"/>
      <c r="Y848" s="156"/>
      <c r="Z848" s="156"/>
    </row>
    <row r="849">
      <c r="A849" s="156"/>
      <c r="B849" s="156"/>
      <c r="C849" s="156"/>
      <c r="D849" s="156"/>
      <c r="E849" s="156"/>
      <c r="F849" s="156"/>
      <c r="G849" s="156"/>
      <c r="H849" s="156"/>
      <c r="I849" s="156"/>
      <c r="J849" s="156"/>
      <c r="K849" s="156"/>
      <c r="L849" s="156"/>
      <c r="M849" s="156"/>
      <c r="N849" s="156"/>
      <c r="O849" s="156"/>
      <c r="P849" s="156"/>
      <c r="Q849" s="156"/>
      <c r="R849" s="156"/>
      <c r="S849" s="156"/>
      <c r="T849" s="156"/>
      <c r="U849" s="156"/>
      <c r="V849" s="156"/>
      <c r="W849" s="156"/>
      <c r="X849" s="156"/>
      <c r="Y849" s="156"/>
      <c r="Z849" s="156"/>
    </row>
    <row r="850">
      <c r="A850" s="156"/>
      <c r="B850" s="156"/>
      <c r="C850" s="156"/>
      <c r="D850" s="156"/>
      <c r="E850" s="156"/>
      <c r="F850" s="156"/>
      <c r="G850" s="156"/>
      <c r="H850" s="156"/>
      <c r="I850" s="156"/>
      <c r="J850" s="156"/>
      <c r="K850" s="156"/>
      <c r="L850" s="156"/>
      <c r="M850" s="156"/>
      <c r="N850" s="156"/>
      <c r="O850" s="156"/>
      <c r="P850" s="156"/>
      <c r="Q850" s="156"/>
      <c r="R850" s="156"/>
      <c r="S850" s="156"/>
      <c r="T850" s="156"/>
      <c r="U850" s="156"/>
      <c r="V850" s="156"/>
      <c r="W850" s="156"/>
      <c r="X850" s="156"/>
      <c r="Y850" s="156"/>
      <c r="Z850" s="156"/>
    </row>
    <row r="851">
      <c r="A851" s="156"/>
      <c r="B851" s="156"/>
      <c r="C851" s="156"/>
      <c r="D851" s="156"/>
      <c r="E851" s="156"/>
      <c r="F851" s="156"/>
      <c r="G851" s="156"/>
      <c r="H851" s="156"/>
      <c r="I851" s="156"/>
      <c r="J851" s="156"/>
      <c r="K851" s="156"/>
      <c r="L851" s="156"/>
      <c r="M851" s="156"/>
      <c r="N851" s="156"/>
      <c r="O851" s="156"/>
      <c r="P851" s="156"/>
      <c r="Q851" s="156"/>
      <c r="R851" s="156"/>
      <c r="S851" s="156"/>
      <c r="T851" s="156"/>
      <c r="U851" s="156"/>
      <c r="V851" s="156"/>
      <c r="W851" s="156"/>
      <c r="X851" s="156"/>
      <c r="Y851" s="156"/>
      <c r="Z851" s="156"/>
    </row>
    <row r="852">
      <c r="A852" s="156"/>
      <c r="B852" s="156"/>
      <c r="C852" s="156"/>
      <c r="D852" s="156"/>
      <c r="E852" s="156"/>
      <c r="F852" s="156"/>
      <c r="G852" s="156"/>
      <c r="H852" s="156"/>
      <c r="I852" s="156"/>
      <c r="J852" s="156"/>
      <c r="K852" s="156"/>
      <c r="L852" s="156"/>
      <c r="M852" s="156"/>
      <c r="N852" s="156"/>
      <c r="O852" s="156"/>
      <c r="P852" s="156"/>
      <c r="Q852" s="156"/>
      <c r="R852" s="156"/>
      <c r="S852" s="156"/>
      <c r="T852" s="156"/>
      <c r="U852" s="156"/>
      <c r="V852" s="156"/>
      <c r="W852" s="156"/>
      <c r="X852" s="156"/>
      <c r="Y852" s="156"/>
      <c r="Z852" s="156"/>
    </row>
    <row r="853">
      <c r="A853" s="156"/>
      <c r="B853" s="156"/>
      <c r="C853" s="156"/>
      <c r="D853" s="156"/>
      <c r="E853" s="156"/>
      <c r="F853" s="156"/>
      <c r="G853" s="156"/>
      <c r="H853" s="156"/>
      <c r="I853" s="156"/>
      <c r="J853" s="156"/>
      <c r="K853" s="156"/>
      <c r="L853" s="156"/>
      <c r="M853" s="156"/>
      <c r="N853" s="156"/>
      <c r="O853" s="156"/>
      <c r="P853" s="156"/>
      <c r="Q853" s="156"/>
      <c r="R853" s="156"/>
      <c r="S853" s="156"/>
      <c r="T853" s="156"/>
      <c r="U853" s="156"/>
      <c r="V853" s="156"/>
      <c r="W853" s="156"/>
      <c r="X853" s="156"/>
      <c r="Y853" s="156"/>
      <c r="Z853" s="156"/>
    </row>
    <row r="854">
      <c r="A854" s="156"/>
      <c r="B854" s="156"/>
      <c r="C854" s="156"/>
      <c r="D854" s="156"/>
      <c r="E854" s="156"/>
      <c r="F854" s="156"/>
      <c r="G854" s="156"/>
      <c r="H854" s="156"/>
      <c r="I854" s="156"/>
      <c r="J854" s="156"/>
      <c r="K854" s="156"/>
      <c r="L854" s="156"/>
      <c r="M854" s="156"/>
      <c r="N854" s="156"/>
      <c r="O854" s="156"/>
      <c r="P854" s="156"/>
      <c r="Q854" s="156"/>
      <c r="R854" s="156"/>
      <c r="S854" s="156"/>
      <c r="T854" s="156"/>
      <c r="U854" s="156"/>
      <c r="V854" s="156"/>
      <c r="W854" s="156"/>
      <c r="X854" s="156"/>
      <c r="Y854" s="156"/>
      <c r="Z854" s="156"/>
    </row>
    <row r="855">
      <c r="A855" s="156"/>
      <c r="B855" s="156"/>
      <c r="C855" s="156"/>
      <c r="D855" s="156"/>
      <c r="E855" s="156"/>
      <c r="F855" s="156"/>
      <c r="G855" s="156"/>
      <c r="H855" s="156"/>
      <c r="I855" s="156"/>
      <c r="J855" s="156"/>
      <c r="K855" s="156"/>
      <c r="L855" s="156"/>
      <c r="M855" s="156"/>
      <c r="N855" s="156"/>
      <c r="O855" s="156"/>
      <c r="P855" s="156"/>
      <c r="Q855" s="156"/>
      <c r="R855" s="156"/>
      <c r="S855" s="156"/>
      <c r="T855" s="156"/>
      <c r="U855" s="156"/>
      <c r="V855" s="156"/>
      <c r="W855" s="156"/>
      <c r="X855" s="156"/>
      <c r="Y855" s="156"/>
      <c r="Z855" s="156"/>
    </row>
    <row r="856">
      <c r="A856" s="156"/>
      <c r="B856" s="156"/>
      <c r="C856" s="156"/>
      <c r="D856" s="156"/>
      <c r="E856" s="156"/>
      <c r="F856" s="156"/>
      <c r="G856" s="156"/>
      <c r="H856" s="156"/>
      <c r="I856" s="156"/>
      <c r="J856" s="156"/>
      <c r="K856" s="156"/>
      <c r="L856" s="156"/>
      <c r="M856" s="156"/>
      <c r="N856" s="156"/>
      <c r="O856" s="156"/>
      <c r="P856" s="156"/>
      <c r="Q856" s="156"/>
      <c r="R856" s="156"/>
      <c r="S856" s="156"/>
      <c r="T856" s="156"/>
      <c r="U856" s="156"/>
      <c r="V856" s="156"/>
      <c r="W856" s="156"/>
      <c r="X856" s="156"/>
      <c r="Y856" s="156"/>
      <c r="Z856" s="156"/>
    </row>
    <row r="857">
      <c r="A857" s="156"/>
      <c r="B857" s="156"/>
      <c r="C857" s="156"/>
      <c r="D857" s="156"/>
      <c r="E857" s="156"/>
      <c r="F857" s="156"/>
      <c r="G857" s="156"/>
      <c r="H857" s="156"/>
      <c r="I857" s="156"/>
      <c r="J857" s="156"/>
      <c r="K857" s="156"/>
      <c r="L857" s="156"/>
      <c r="M857" s="156"/>
      <c r="N857" s="156"/>
      <c r="O857" s="156"/>
      <c r="P857" s="156"/>
      <c r="Q857" s="156"/>
      <c r="R857" s="156"/>
      <c r="S857" s="156"/>
      <c r="T857" s="156"/>
      <c r="U857" s="156"/>
      <c r="V857" s="156"/>
      <c r="W857" s="156"/>
      <c r="X857" s="156"/>
      <c r="Y857" s="156"/>
      <c r="Z857" s="156"/>
    </row>
    <row r="858">
      <c r="A858" s="156"/>
      <c r="B858" s="156"/>
      <c r="C858" s="156"/>
      <c r="D858" s="156"/>
      <c r="E858" s="156"/>
      <c r="F858" s="156"/>
      <c r="G858" s="156"/>
      <c r="H858" s="156"/>
      <c r="I858" s="156"/>
      <c r="J858" s="156"/>
      <c r="K858" s="156"/>
      <c r="L858" s="156"/>
      <c r="M858" s="156"/>
      <c r="N858" s="156"/>
      <c r="O858" s="156"/>
      <c r="P858" s="156"/>
      <c r="Q858" s="156"/>
      <c r="R858" s="156"/>
      <c r="S858" s="156"/>
      <c r="T858" s="156"/>
      <c r="U858" s="156"/>
      <c r="V858" s="156"/>
      <c r="W858" s="156"/>
      <c r="X858" s="156"/>
      <c r="Y858" s="156"/>
      <c r="Z858" s="156"/>
    </row>
    <row r="859">
      <c r="A859" s="156"/>
      <c r="B859" s="156"/>
      <c r="C859" s="156"/>
      <c r="D859" s="156"/>
      <c r="E859" s="156"/>
      <c r="F859" s="156"/>
      <c r="G859" s="156"/>
      <c r="H859" s="156"/>
      <c r="I859" s="156"/>
      <c r="J859" s="156"/>
      <c r="K859" s="156"/>
      <c r="L859" s="156"/>
      <c r="M859" s="156"/>
      <c r="N859" s="156"/>
      <c r="O859" s="156"/>
      <c r="P859" s="156"/>
      <c r="Q859" s="156"/>
      <c r="R859" s="156"/>
      <c r="S859" s="156"/>
      <c r="T859" s="156"/>
      <c r="U859" s="156"/>
      <c r="V859" s="156"/>
      <c r="W859" s="156"/>
      <c r="X859" s="156"/>
      <c r="Y859" s="156"/>
      <c r="Z859" s="156"/>
    </row>
    <row r="860">
      <c r="A860" s="156"/>
      <c r="B860" s="156"/>
      <c r="C860" s="156"/>
      <c r="D860" s="156"/>
      <c r="E860" s="156"/>
      <c r="F860" s="156"/>
      <c r="G860" s="156"/>
      <c r="H860" s="156"/>
      <c r="I860" s="156"/>
      <c r="J860" s="156"/>
      <c r="K860" s="156"/>
      <c r="L860" s="156"/>
      <c r="M860" s="156"/>
      <c r="N860" s="156"/>
      <c r="O860" s="156"/>
      <c r="P860" s="156"/>
      <c r="Q860" s="156"/>
      <c r="R860" s="156"/>
      <c r="S860" s="156"/>
      <c r="T860" s="156"/>
      <c r="U860" s="156"/>
      <c r="V860" s="156"/>
      <c r="W860" s="156"/>
      <c r="X860" s="156"/>
      <c r="Y860" s="156"/>
      <c r="Z860" s="156"/>
    </row>
    <row r="861">
      <c r="A861" s="156"/>
      <c r="B861" s="156"/>
      <c r="C861" s="156"/>
      <c r="D861" s="156"/>
      <c r="E861" s="156"/>
      <c r="F861" s="156"/>
      <c r="G861" s="156"/>
      <c r="H861" s="156"/>
      <c r="I861" s="156"/>
      <c r="J861" s="156"/>
      <c r="K861" s="156"/>
      <c r="L861" s="156"/>
      <c r="M861" s="156"/>
      <c r="N861" s="156"/>
      <c r="O861" s="156"/>
      <c r="P861" s="156"/>
      <c r="Q861" s="156"/>
      <c r="R861" s="156"/>
      <c r="S861" s="156"/>
      <c r="T861" s="156"/>
      <c r="U861" s="156"/>
      <c r="V861" s="156"/>
      <c r="W861" s="156"/>
      <c r="X861" s="156"/>
      <c r="Y861" s="156"/>
      <c r="Z861" s="156"/>
    </row>
    <row r="862">
      <c r="A862" s="156"/>
      <c r="B862" s="156"/>
      <c r="C862" s="156"/>
      <c r="D862" s="156"/>
      <c r="E862" s="156"/>
      <c r="F862" s="156"/>
      <c r="G862" s="156"/>
      <c r="H862" s="156"/>
      <c r="I862" s="156"/>
      <c r="J862" s="156"/>
      <c r="K862" s="156"/>
      <c r="L862" s="156"/>
      <c r="M862" s="156"/>
      <c r="N862" s="156"/>
      <c r="O862" s="156"/>
      <c r="P862" s="156"/>
      <c r="Q862" s="156"/>
      <c r="R862" s="156"/>
      <c r="S862" s="156"/>
      <c r="T862" s="156"/>
      <c r="U862" s="156"/>
      <c r="V862" s="156"/>
      <c r="W862" s="156"/>
      <c r="X862" s="156"/>
      <c r="Y862" s="156"/>
      <c r="Z862" s="156"/>
    </row>
    <row r="863">
      <c r="A863" s="156"/>
      <c r="B863" s="156"/>
      <c r="C863" s="156"/>
      <c r="D863" s="156"/>
      <c r="E863" s="156"/>
      <c r="F863" s="156"/>
      <c r="G863" s="156"/>
      <c r="H863" s="156"/>
      <c r="I863" s="156"/>
      <c r="J863" s="156"/>
      <c r="K863" s="156"/>
      <c r="L863" s="156"/>
      <c r="M863" s="156"/>
      <c r="N863" s="156"/>
      <c r="O863" s="156"/>
      <c r="P863" s="156"/>
      <c r="Q863" s="156"/>
      <c r="R863" s="156"/>
      <c r="S863" s="156"/>
      <c r="T863" s="156"/>
      <c r="U863" s="156"/>
      <c r="V863" s="156"/>
      <c r="W863" s="156"/>
      <c r="X863" s="156"/>
      <c r="Y863" s="156"/>
      <c r="Z863" s="156"/>
    </row>
    <row r="864">
      <c r="A864" s="156"/>
      <c r="B864" s="156"/>
      <c r="C864" s="156"/>
      <c r="D864" s="156"/>
      <c r="E864" s="156"/>
      <c r="F864" s="156"/>
      <c r="G864" s="156"/>
      <c r="H864" s="156"/>
      <c r="I864" s="156"/>
      <c r="J864" s="156"/>
      <c r="K864" s="156"/>
      <c r="L864" s="156"/>
      <c r="M864" s="156"/>
      <c r="N864" s="156"/>
      <c r="O864" s="156"/>
      <c r="P864" s="156"/>
      <c r="Q864" s="156"/>
      <c r="R864" s="156"/>
      <c r="S864" s="156"/>
      <c r="T864" s="156"/>
      <c r="U864" s="156"/>
      <c r="V864" s="156"/>
      <c r="W864" s="156"/>
      <c r="X864" s="156"/>
      <c r="Y864" s="156"/>
      <c r="Z864" s="156"/>
    </row>
    <row r="865">
      <c r="A865" s="156"/>
      <c r="B865" s="156"/>
      <c r="C865" s="156"/>
      <c r="D865" s="156"/>
      <c r="E865" s="156"/>
      <c r="F865" s="156"/>
      <c r="G865" s="156"/>
      <c r="H865" s="156"/>
      <c r="I865" s="156"/>
      <c r="J865" s="156"/>
      <c r="K865" s="156"/>
      <c r="L865" s="156"/>
      <c r="M865" s="156"/>
      <c r="N865" s="156"/>
      <c r="O865" s="156"/>
      <c r="P865" s="156"/>
      <c r="Q865" s="156"/>
      <c r="R865" s="156"/>
      <c r="S865" s="156"/>
      <c r="T865" s="156"/>
      <c r="U865" s="156"/>
      <c r="V865" s="156"/>
      <c r="W865" s="156"/>
      <c r="X865" s="156"/>
      <c r="Y865" s="156"/>
      <c r="Z865" s="156"/>
    </row>
    <row r="866">
      <c r="A866" s="156"/>
      <c r="B866" s="156"/>
      <c r="C866" s="156"/>
      <c r="D866" s="156"/>
      <c r="E866" s="156"/>
      <c r="F866" s="156"/>
      <c r="G866" s="156"/>
      <c r="H866" s="156"/>
      <c r="I866" s="156"/>
      <c r="J866" s="156"/>
      <c r="K866" s="156"/>
      <c r="L866" s="156"/>
      <c r="M866" s="156"/>
      <c r="N866" s="156"/>
      <c r="O866" s="156"/>
      <c r="P866" s="156"/>
      <c r="Q866" s="156"/>
      <c r="R866" s="156"/>
      <c r="S866" s="156"/>
      <c r="T866" s="156"/>
      <c r="U866" s="156"/>
      <c r="V866" s="156"/>
      <c r="W866" s="156"/>
      <c r="X866" s="156"/>
      <c r="Y866" s="156"/>
      <c r="Z866" s="156"/>
    </row>
    <row r="867">
      <c r="A867" s="156"/>
      <c r="B867" s="156"/>
      <c r="C867" s="156"/>
      <c r="D867" s="156"/>
      <c r="E867" s="156"/>
      <c r="F867" s="156"/>
      <c r="G867" s="156"/>
      <c r="H867" s="156"/>
      <c r="I867" s="156"/>
      <c r="J867" s="156"/>
      <c r="K867" s="156"/>
      <c r="L867" s="156"/>
      <c r="M867" s="156"/>
      <c r="N867" s="156"/>
      <c r="O867" s="156"/>
      <c r="P867" s="156"/>
      <c r="Q867" s="156"/>
      <c r="R867" s="156"/>
      <c r="S867" s="156"/>
      <c r="T867" s="156"/>
      <c r="U867" s="156"/>
      <c r="V867" s="156"/>
      <c r="W867" s="156"/>
      <c r="X867" s="156"/>
      <c r="Y867" s="156"/>
      <c r="Z867" s="156"/>
    </row>
    <row r="868">
      <c r="A868" s="156"/>
      <c r="B868" s="156"/>
      <c r="C868" s="156"/>
      <c r="D868" s="156"/>
      <c r="E868" s="156"/>
      <c r="F868" s="156"/>
      <c r="G868" s="156"/>
      <c r="H868" s="156"/>
      <c r="I868" s="156"/>
      <c r="J868" s="156"/>
      <c r="K868" s="156"/>
      <c r="L868" s="156"/>
      <c r="M868" s="156"/>
      <c r="N868" s="156"/>
      <c r="O868" s="156"/>
      <c r="P868" s="156"/>
      <c r="Q868" s="156"/>
      <c r="R868" s="156"/>
      <c r="S868" s="156"/>
      <c r="T868" s="156"/>
      <c r="U868" s="156"/>
      <c r="V868" s="156"/>
      <c r="W868" s="156"/>
      <c r="X868" s="156"/>
      <c r="Y868" s="156"/>
      <c r="Z868" s="156"/>
    </row>
    <row r="869">
      <c r="A869" s="156"/>
      <c r="B869" s="156"/>
      <c r="C869" s="156"/>
      <c r="D869" s="156"/>
      <c r="E869" s="156"/>
      <c r="F869" s="156"/>
      <c r="G869" s="156"/>
      <c r="H869" s="156"/>
      <c r="I869" s="156"/>
      <c r="J869" s="156"/>
      <c r="K869" s="156"/>
      <c r="L869" s="156"/>
      <c r="M869" s="156"/>
      <c r="N869" s="156"/>
      <c r="O869" s="156"/>
      <c r="P869" s="156"/>
      <c r="Q869" s="156"/>
      <c r="R869" s="156"/>
      <c r="S869" s="156"/>
      <c r="T869" s="156"/>
      <c r="U869" s="156"/>
      <c r="V869" s="156"/>
      <c r="W869" s="156"/>
      <c r="X869" s="156"/>
      <c r="Y869" s="156"/>
      <c r="Z869" s="156"/>
    </row>
    <row r="870">
      <c r="A870" s="156"/>
      <c r="B870" s="156"/>
      <c r="C870" s="156"/>
      <c r="D870" s="156"/>
      <c r="E870" s="156"/>
      <c r="F870" s="156"/>
      <c r="G870" s="156"/>
      <c r="H870" s="156"/>
      <c r="I870" s="156"/>
      <c r="J870" s="156"/>
      <c r="K870" s="156"/>
      <c r="L870" s="156"/>
      <c r="M870" s="156"/>
      <c r="N870" s="156"/>
      <c r="O870" s="156"/>
      <c r="P870" s="156"/>
      <c r="Q870" s="156"/>
      <c r="R870" s="156"/>
      <c r="S870" s="156"/>
      <c r="T870" s="156"/>
      <c r="U870" s="156"/>
      <c r="V870" s="156"/>
      <c r="W870" s="156"/>
      <c r="X870" s="156"/>
      <c r="Y870" s="156"/>
      <c r="Z870" s="156"/>
    </row>
    <row r="871">
      <c r="A871" s="156"/>
      <c r="B871" s="156"/>
      <c r="C871" s="156"/>
      <c r="D871" s="156"/>
      <c r="E871" s="156"/>
      <c r="F871" s="156"/>
      <c r="G871" s="156"/>
      <c r="H871" s="156"/>
      <c r="I871" s="156"/>
      <c r="J871" s="156"/>
      <c r="K871" s="156"/>
      <c r="L871" s="156"/>
      <c r="M871" s="156"/>
      <c r="N871" s="156"/>
      <c r="O871" s="156"/>
      <c r="P871" s="156"/>
      <c r="Q871" s="156"/>
      <c r="R871" s="156"/>
      <c r="S871" s="156"/>
      <c r="T871" s="156"/>
      <c r="U871" s="156"/>
      <c r="V871" s="156"/>
      <c r="W871" s="156"/>
      <c r="X871" s="156"/>
      <c r="Y871" s="156"/>
      <c r="Z871" s="156"/>
    </row>
    <row r="872">
      <c r="A872" s="156"/>
      <c r="B872" s="156"/>
      <c r="C872" s="156"/>
      <c r="D872" s="156"/>
      <c r="E872" s="156"/>
      <c r="F872" s="156"/>
      <c r="G872" s="156"/>
      <c r="H872" s="156"/>
      <c r="I872" s="156"/>
      <c r="J872" s="156"/>
      <c r="K872" s="156"/>
      <c r="L872" s="156"/>
      <c r="M872" s="156"/>
      <c r="N872" s="156"/>
      <c r="O872" s="156"/>
      <c r="P872" s="156"/>
      <c r="Q872" s="156"/>
      <c r="R872" s="156"/>
      <c r="S872" s="156"/>
      <c r="T872" s="156"/>
      <c r="U872" s="156"/>
      <c r="V872" s="156"/>
      <c r="W872" s="156"/>
      <c r="X872" s="156"/>
      <c r="Y872" s="156"/>
      <c r="Z872" s="156"/>
    </row>
    <row r="873">
      <c r="A873" s="156"/>
      <c r="B873" s="156"/>
      <c r="C873" s="156"/>
      <c r="D873" s="156"/>
      <c r="E873" s="156"/>
      <c r="F873" s="156"/>
      <c r="G873" s="156"/>
      <c r="H873" s="156"/>
      <c r="I873" s="156"/>
      <c r="J873" s="156"/>
      <c r="K873" s="156"/>
      <c r="L873" s="156"/>
      <c r="M873" s="156"/>
      <c r="N873" s="156"/>
      <c r="O873" s="156"/>
      <c r="P873" s="156"/>
      <c r="Q873" s="156"/>
      <c r="R873" s="156"/>
      <c r="S873" s="156"/>
      <c r="T873" s="156"/>
      <c r="U873" s="156"/>
      <c r="V873" s="156"/>
      <c r="W873" s="156"/>
      <c r="X873" s="156"/>
      <c r="Y873" s="156"/>
      <c r="Z873" s="156"/>
    </row>
    <row r="874">
      <c r="A874" s="156"/>
      <c r="B874" s="156"/>
      <c r="C874" s="156"/>
      <c r="D874" s="156"/>
      <c r="E874" s="156"/>
      <c r="F874" s="156"/>
      <c r="G874" s="156"/>
      <c r="H874" s="156"/>
      <c r="I874" s="156"/>
      <c r="J874" s="156"/>
      <c r="K874" s="156"/>
      <c r="L874" s="156"/>
      <c r="M874" s="156"/>
      <c r="N874" s="156"/>
      <c r="O874" s="156"/>
      <c r="P874" s="156"/>
      <c r="Q874" s="156"/>
      <c r="R874" s="156"/>
      <c r="S874" s="156"/>
      <c r="T874" s="156"/>
      <c r="U874" s="156"/>
      <c r="V874" s="156"/>
      <c r="W874" s="156"/>
      <c r="X874" s="156"/>
      <c r="Y874" s="156"/>
      <c r="Z874" s="156"/>
    </row>
    <row r="875">
      <c r="A875" s="156"/>
      <c r="B875" s="156"/>
      <c r="C875" s="156"/>
      <c r="D875" s="156"/>
      <c r="E875" s="156"/>
      <c r="F875" s="156"/>
      <c r="G875" s="156"/>
      <c r="H875" s="156"/>
      <c r="I875" s="156"/>
      <c r="J875" s="156"/>
      <c r="K875" s="156"/>
      <c r="L875" s="156"/>
      <c r="M875" s="156"/>
      <c r="N875" s="156"/>
      <c r="O875" s="156"/>
      <c r="P875" s="156"/>
      <c r="Q875" s="156"/>
      <c r="R875" s="156"/>
      <c r="S875" s="156"/>
      <c r="T875" s="156"/>
      <c r="U875" s="156"/>
      <c r="V875" s="156"/>
      <c r="W875" s="156"/>
      <c r="X875" s="156"/>
      <c r="Y875" s="156"/>
      <c r="Z875" s="156"/>
    </row>
    <row r="876">
      <c r="A876" s="156"/>
      <c r="B876" s="156"/>
      <c r="C876" s="156"/>
      <c r="D876" s="156"/>
      <c r="E876" s="156"/>
      <c r="F876" s="156"/>
      <c r="G876" s="156"/>
      <c r="H876" s="156"/>
      <c r="I876" s="156"/>
      <c r="J876" s="156"/>
      <c r="K876" s="156"/>
      <c r="L876" s="156"/>
      <c r="M876" s="156"/>
      <c r="N876" s="156"/>
      <c r="O876" s="156"/>
      <c r="P876" s="156"/>
      <c r="Q876" s="156"/>
      <c r="R876" s="156"/>
      <c r="S876" s="156"/>
      <c r="T876" s="156"/>
      <c r="U876" s="156"/>
      <c r="V876" s="156"/>
      <c r="W876" s="156"/>
      <c r="X876" s="156"/>
      <c r="Y876" s="156"/>
      <c r="Z876" s="156"/>
    </row>
    <row r="877">
      <c r="A877" s="156"/>
      <c r="B877" s="156"/>
      <c r="C877" s="156"/>
      <c r="D877" s="156"/>
      <c r="E877" s="156"/>
      <c r="F877" s="156"/>
      <c r="G877" s="156"/>
      <c r="H877" s="156"/>
      <c r="I877" s="156"/>
      <c r="J877" s="156"/>
      <c r="K877" s="156"/>
      <c r="L877" s="156"/>
      <c r="M877" s="156"/>
      <c r="N877" s="156"/>
      <c r="O877" s="156"/>
      <c r="P877" s="156"/>
      <c r="Q877" s="156"/>
      <c r="R877" s="156"/>
      <c r="S877" s="156"/>
      <c r="T877" s="156"/>
      <c r="U877" s="156"/>
      <c r="V877" s="156"/>
      <c r="W877" s="156"/>
      <c r="X877" s="156"/>
      <c r="Y877" s="156"/>
      <c r="Z877" s="156"/>
    </row>
    <row r="878">
      <c r="A878" s="156"/>
      <c r="B878" s="156"/>
      <c r="C878" s="156"/>
      <c r="D878" s="156"/>
      <c r="E878" s="156"/>
      <c r="F878" s="156"/>
      <c r="G878" s="156"/>
      <c r="H878" s="156"/>
      <c r="I878" s="156"/>
      <c r="J878" s="156"/>
      <c r="K878" s="156"/>
      <c r="L878" s="156"/>
      <c r="M878" s="156"/>
      <c r="N878" s="156"/>
      <c r="O878" s="156"/>
      <c r="P878" s="156"/>
      <c r="Q878" s="156"/>
      <c r="R878" s="156"/>
      <c r="S878" s="156"/>
      <c r="T878" s="156"/>
      <c r="U878" s="156"/>
      <c r="V878" s="156"/>
      <c r="W878" s="156"/>
      <c r="X878" s="156"/>
      <c r="Y878" s="156"/>
      <c r="Z878" s="156"/>
    </row>
    <row r="879">
      <c r="A879" s="156"/>
      <c r="B879" s="156"/>
      <c r="C879" s="156"/>
      <c r="D879" s="156"/>
      <c r="E879" s="156"/>
      <c r="F879" s="156"/>
      <c r="G879" s="156"/>
      <c r="H879" s="156"/>
      <c r="I879" s="156"/>
      <c r="J879" s="156"/>
      <c r="K879" s="156"/>
      <c r="L879" s="156"/>
      <c r="M879" s="156"/>
      <c r="N879" s="156"/>
      <c r="O879" s="156"/>
      <c r="P879" s="156"/>
      <c r="Q879" s="156"/>
      <c r="R879" s="156"/>
      <c r="S879" s="156"/>
      <c r="T879" s="156"/>
      <c r="U879" s="156"/>
      <c r="V879" s="156"/>
      <c r="W879" s="156"/>
      <c r="X879" s="156"/>
      <c r="Y879" s="156"/>
      <c r="Z879" s="156"/>
    </row>
    <row r="880">
      <c r="A880" s="156"/>
      <c r="B880" s="156"/>
      <c r="C880" s="156"/>
      <c r="D880" s="156"/>
      <c r="E880" s="156"/>
      <c r="F880" s="156"/>
      <c r="G880" s="156"/>
      <c r="H880" s="156"/>
      <c r="I880" s="156"/>
      <c r="J880" s="156"/>
      <c r="K880" s="156"/>
      <c r="L880" s="156"/>
      <c r="M880" s="156"/>
      <c r="N880" s="156"/>
      <c r="O880" s="156"/>
      <c r="P880" s="156"/>
      <c r="Q880" s="156"/>
      <c r="R880" s="156"/>
      <c r="S880" s="156"/>
      <c r="T880" s="156"/>
      <c r="U880" s="156"/>
      <c r="V880" s="156"/>
      <c r="W880" s="156"/>
      <c r="X880" s="156"/>
      <c r="Y880" s="156"/>
      <c r="Z880" s="156"/>
    </row>
    <row r="881">
      <c r="A881" s="156"/>
      <c r="B881" s="156"/>
      <c r="C881" s="156"/>
      <c r="D881" s="156"/>
      <c r="E881" s="156"/>
      <c r="F881" s="156"/>
      <c r="G881" s="156"/>
      <c r="H881" s="156"/>
      <c r="I881" s="156"/>
      <c r="J881" s="156"/>
      <c r="K881" s="156"/>
      <c r="L881" s="156"/>
      <c r="M881" s="156"/>
      <c r="N881" s="156"/>
      <c r="O881" s="156"/>
      <c r="P881" s="156"/>
      <c r="Q881" s="156"/>
      <c r="R881" s="156"/>
      <c r="S881" s="156"/>
      <c r="T881" s="156"/>
      <c r="U881" s="156"/>
      <c r="V881" s="156"/>
      <c r="W881" s="156"/>
      <c r="X881" s="156"/>
      <c r="Y881" s="156"/>
      <c r="Z881" s="156"/>
    </row>
    <row r="882">
      <c r="A882" s="156"/>
      <c r="B882" s="156"/>
      <c r="C882" s="156"/>
      <c r="D882" s="156"/>
      <c r="E882" s="156"/>
      <c r="F882" s="156"/>
      <c r="G882" s="156"/>
      <c r="H882" s="156"/>
      <c r="I882" s="156"/>
      <c r="J882" s="156"/>
      <c r="K882" s="156"/>
      <c r="L882" s="156"/>
      <c r="M882" s="156"/>
      <c r="N882" s="156"/>
      <c r="O882" s="156"/>
      <c r="P882" s="156"/>
      <c r="Q882" s="156"/>
      <c r="R882" s="156"/>
      <c r="S882" s="156"/>
      <c r="T882" s="156"/>
      <c r="U882" s="156"/>
      <c r="V882" s="156"/>
      <c r="W882" s="156"/>
      <c r="X882" s="156"/>
      <c r="Y882" s="156"/>
      <c r="Z882" s="156"/>
    </row>
    <row r="883">
      <c r="A883" s="156"/>
      <c r="B883" s="156"/>
      <c r="C883" s="156"/>
      <c r="D883" s="156"/>
      <c r="E883" s="156"/>
      <c r="F883" s="156"/>
      <c r="G883" s="156"/>
      <c r="H883" s="156"/>
      <c r="I883" s="156"/>
      <c r="J883" s="156"/>
      <c r="K883" s="156"/>
      <c r="L883" s="156"/>
      <c r="M883" s="156"/>
      <c r="N883" s="156"/>
      <c r="O883" s="156"/>
      <c r="P883" s="156"/>
      <c r="Q883" s="156"/>
      <c r="R883" s="156"/>
      <c r="S883" s="156"/>
      <c r="T883" s="156"/>
      <c r="U883" s="156"/>
      <c r="V883" s="156"/>
      <c r="W883" s="156"/>
      <c r="X883" s="156"/>
      <c r="Y883" s="156"/>
      <c r="Z883" s="156"/>
    </row>
    <row r="884">
      <c r="A884" s="156"/>
      <c r="B884" s="156"/>
      <c r="C884" s="156"/>
      <c r="D884" s="156"/>
      <c r="E884" s="156"/>
      <c r="F884" s="156"/>
      <c r="G884" s="156"/>
      <c r="H884" s="156"/>
      <c r="I884" s="156"/>
      <c r="J884" s="156"/>
      <c r="K884" s="156"/>
      <c r="L884" s="156"/>
      <c r="M884" s="156"/>
      <c r="N884" s="156"/>
      <c r="O884" s="156"/>
      <c r="P884" s="156"/>
      <c r="Q884" s="156"/>
      <c r="R884" s="156"/>
      <c r="S884" s="156"/>
      <c r="T884" s="156"/>
      <c r="U884" s="156"/>
      <c r="V884" s="156"/>
      <c r="W884" s="156"/>
      <c r="X884" s="156"/>
      <c r="Y884" s="156"/>
      <c r="Z884" s="156"/>
    </row>
    <row r="885">
      <c r="A885" s="156"/>
      <c r="B885" s="156"/>
      <c r="C885" s="156"/>
      <c r="D885" s="156"/>
      <c r="E885" s="156"/>
      <c r="F885" s="156"/>
      <c r="G885" s="156"/>
      <c r="H885" s="156"/>
      <c r="I885" s="156"/>
      <c r="J885" s="156"/>
      <c r="K885" s="156"/>
      <c r="L885" s="156"/>
      <c r="M885" s="156"/>
      <c r="N885" s="156"/>
      <c r="O885" s="156"/>
      <c r="P885" s="156"/>
      <c r="Q885" s="156"/>
      <c r="R885" s="156"/>
      <c r="S885" s="156"/>
      <c r="T885" s="156"/>
      <c r="U885" s="156"/>
      <c r="V885" s="156"/>
      <c r="W885" s="156"/>
      <c r="X885" s="156"/>
      <c r="Y885" s="156"/>
      <c r="Z885" s="156"/>
    </row>
    <row r="886">
      <c r="A886" s="156"/>
      <c r="B886" s="156"/>
      <c r="C886" s="156"/>
      <c r="D886" s="156"/>
      <c r="E886" s="156"/>
      <c r="F886" s="156"/>
      <c r="G886" s="156"/>
      <c r="H886" s="156"/>
      <c r="I886" s="156"/>
      <c r="J886" s="156"/>
      <c r="K886" s="156"/>
      <c r="L886" s="156"/>
      <c r="M886" s="156"/>
      <c r="N886" s="156"/>
      <c r="O886" s="156"/>
      <c r="P886" s="156"/>
      <c r="Q886" s="156"/>
      <c r="R886" s="156"/>
      <c r="S886" s="156"/>
      <c r="T886" s="156"/>
      <c r="U886" s="156"/>
      <c r="V886" s="156"/>
      <c r="W886" s="156"/>
      <c r="X886" s="156"/>
      <c r="Y886" s="156"/>
      <c r="Z886" s="156"/>
    </row>
    <row r="887">
      <c r="A887" s="156"/>
      <c r="B887" s="156"/>
      <c r="C887" s="156"/>
      <c r="D887" s="156"/>
      <c r="E887" s="156"/>
      <c r="F887" s="156"/>
      <c r="G887" s="156"/>
      <c r="H887" s="156"/>
      <c r="I887" s="156"/>
      <c r="J887" s="156"/>
      <c r="K887" s="156"/>
      <c r="L887" s="156"/>
      <c r="M887" s="156"/>
      <c r="N887" s="156"/>
      <c r="O887" s="156"/>
      <c r="P887" s="156"/>
      <c r="Q887" s="156"/>
      <c r="R887" s="156"/>
      <c r="S887" s="156"/>
      <c r="T887" s="156"/>
      <c r="U887" s="156"/>
      <c r="V887" s="156"/>
      <c r="W887" s="156"/>
      <c r="X887" s="156"/>
      <c r="Y887" s="156"/>
      <c r="Z887" s="156"/>
    </row>
    <row r="888">
      <c r="A888" s="156"/>
      <c r="B888" s="156"/>
      <c r="C888" s="156"/>
      <c r="D888" s="156"/>
      <c r="E888" s="156"/>
      <c r="F888" s="156"/>
      <c r="G888" s="156"/>
      <c r="H888" s="156"/>
      <c r="I888" s="156"/>
      <c r="J888" s="156"/>
      <c r="K888" s="156"/>
      <c r="L888" s="156"/>
      <c r="M888" s="156"/>
      <c r="N888" s="156"/>
      <c r="O888" s="156"/>
      <c r="P888" s="156"/>
      <c r="Q888" s="156"/>
      <c r="R888" s="156"/>
      <c r="S888" s="156"/>
      <c r="T888" s="156"/>
      <c r="U888" s="156"/>
      <c r="V888" s="156"/>
      <c r="W888" s="156"/>
      <c r="X888" s="156"/>
      <c r="Y888" s="156"/>
      <c r="Z888" s="156"/>
    </row>
    <row r="889">
      <c r="A889" s="156"/>
      <c r="B889" s="156"/>
      <c r="C889" s="156"/>
      <c r="D889" s="156"/>
      <c r="E889" s="156"/>
      <c r="F889" s="156"/>
      <c r="G889" s="156"/>
      <c r="H889" s="156"/>
      <c r="I889" s="156"/>
      <c r="J889" s="156"/>
      <c r="K889" s="156"/>
      <c r="L889" s="156"/>
      <c r="M889" s="156"/>
      <c r="N889" s="156"/>
      <c r="O889" s="156"/>
      <c r="P889" s="156"/>
      <c r="Q889" s="156"/>
      <c r="R889" s="156"/>
      <c r="S889" s="156"/>
      <c r="T889" s="156"/>
      <c r="U889" s="156"/>
      <c r="V889" s="156"/>
      <c r="W889" s="156"/>
      <c r="X889" s="156"/>
      <c r="Y889" s="156"/>
      <c r="Z889" s="156"/>
    </row>
    <row r="890">
      <c r="A890" s="156"/>
      <c r="B890" s="156"/>
      <c r="C890" s="156"/>
      <c r="D890" s="156"/>
      <c r="E890" s="156"/>
      <c r="F890" s="156"/>
      <c r="G890" s="156"/>
      <c r="H890" s="156"/>
      <c r="I890" s="156"/>
      <c r="J890" s="156"/>
      <c r="K890" s="156"/>
      <c r="L890" s="156"/>
      <c r="M890" s="156"/>
      <c r="N890" s="156"/>
      <c r="O890" s="156"/>
      <c r="P890" s="156"/>
      <c r="Q890" s="156"/>
      <c r="R890" s="156"/>
      <c r="S890" s="156"/>
      <c r="T890" s="156"/>
      <c r="U890" s="156"/>
      <c r="V890" s="156"/>
      <c r="W890" s="156"/>
      <c r="X890" s="156"/>
      <c r="Y890" s="156"/>
      <c r="Z890" s="156"/>
    </row>
    <row r="891">
      <c r="A891" s="156"/>
      <c r="B891" s="156"/>
      <c r="C891" s="156"/>
      <c r="D891" s="156"/>
      <c r="E891" s="156"/>
      <c r="F891" s="156"/>
      <c r="G891" s="156"/>
      <c r="H891" s="156"/>
      <c r="I891" s="156"/>
      <c r="J891" s="156"/>
      <c r="K891" s="156"/>
      <c r="L891" s="156"/>
      <c r="M891" s="156"/>
      <c r="N891" s="156"/>
      <c r="O891" s="156"/>
      <c r="P891" s="156"/>
      <c r="Q891" s="156"/>
      <c r="R891" s="156"/>
      <c r="S891" s="156"/>
      <c r="T891" s="156"/>
      <c r="U891" s="156"/>
      <c r="V891" s="156"/>
      <c r="W891" s="156"/>
      <c r="X891" s="156"/>
      <c r="Y891" s="156"/>
      <c r="Z891" s="156"/>
    </row>
    <row r="892">
      <c r="A892" s="156"/>
      <c r="B892" s="156"/>
      <c r="C892" s="156"/>
      <c r="D892" s="156"/>
      <c r="E892" s="156"/>
      <c r="F892" s="156"/>
      <c r="G892" s="156"/>
      <c r="H892" s="156"/>
      <c r="I892" s="156"/>
      <c r="J892" s="156"/>
      <c r="K892" s="156"/>
      <c r="L892" s="156"/>
      <c r="M892" s="156"/>
      <c r="N892" s="156"/>
      <c r="O892" s="156"/>
      <c r="P892" s="156"/>
      <c r="Q892" s="156"/>
      <c r="R892" s="156"/>
      <c r="S892" s="156"/>
      <c r="T892" s="156"/>
      <c r="U892" s="156"/>
      <c r="V892" s="156"/>
      <c r="W892" s="156"/>
      <c r="X892" s="156"/>
      <c r="Y892" s="156"/>
      <c r="Z892" s="156"/>
    </row>
    <row r="893">
      <c r="A893" s="156"/>
      <c r="B893" s="156"/>
      <c r="C893" s="156"/>
      <c r="D893" s="156"/>
      <c r="E893" s="156"/>
      <c r="F893" s="156"/>
      <c r="G893" s="156"/>
      <c r="H893" s="156"/>
      <c r="I893" s="156"/>
      <c r="J893" s="156"/>
      <c r="K893" s="156"/>
      <c r="L893" s="156"/>
      <c r="M893" s="156"/>
      <c r="N893" s="156"/>
      <c r="O893" s="156"/>
      <c r="P893" s="156"/>
      <c r="Q893" s="156"/>
      <c r="R893" s="156"/>
      <c r="S893" s="156"/>
      <c r="T893" s="156"/>
      <c r="U893" s="156"/>
      <c r="V893" s="156"/>
      <c r="W893" s="156"/>
      <c r="X893" s="156"/>
      <c r="Y893" s="156"/>
      <c r="Z893" s="156"/>
    </row>
    <row r="894">
      <c r="A894" s="156"/>
      <c r="B894" s="156"/>
      <c r="C894" s="156"/>
      <c r="D894" s="156"/>
      <c r="E894" s="156"/>
      <c r="F894" s="156"/>
      <c r="G894" s="156"/>
      <c r="H894" s="156"/>
      <c r="I894" s="156"/>
      <c r="J894" s="156"/>
      <c r="K894" s="156"/>
      <c r="L894" s="156"/>
      <c r="M894" s="156"/>
      <c r="N894" s="156"/>
      <c r="O894" s="156"/>
      <c r="P894" s="156"/>
      <c r="Q894" s="156"/>
      <c r="R894" s="156"/>
      <c r="S894" s="156"/>
      <c r="T894" s="156"/>
      <c r="U894" s="156"/>
      <c r="V894" s="156"/>
      <c r="W894" s="156"/>
      <c r="X894" s="156"/>
      <c r="Y894" s="156"/>
      <c r="Z894" s="156"/>
    </row>
    <row r="895">
      <c r="A895" s="156"/>
      <c r="B895" s="156"/>
      <c r="C895" s="156"/>
      <c r="D895" s="156"/>
      <c r="E895" s="156"/>
      <c r="F895" s="156"/>
      <c r="G895" s="156"/>
      <c r="H895" s="156"/>
      <c r="I895" s="156"/>
      <c r="J895" s="156"/>
      <c r="K895" s="156"/>
      <c r="L895" s="156"/>
      <c r="M895" s="156"/>
      <c r="N895" s="156"/>
      <c r="O895" s="156"/>
      <c r="P895" s="156"/>
      <c r="Q895" s="156"/>
      <c r="R895" s="156"/>
      <c r="S895" s="156"/>
      <c r="T895" s="156"/>
      <c r="U895" s="156"/>
      <c r="V895" s="156"/>
      <c r="W895" s="156"/>
      <c r="X895" s="156"/>
      <c r="Y895" s="156"/>
      <c r="Z895" s="156"/>
    </row>
    <row r="896">
      <c r="A896" s="156"/>
      <c r="B896" s="156"/>
      <c r="C896" s="156"/>
      <c r="D896" s="156"/>
      <c r="E896" s="156"/>
      <c r="F896" s="156"/>
      <c r="G896" s="156"/>
      <c r="H896" s="156"/>
      <c r="I896" s="156"/>
      <c r="J896" s="156"/>
      <c r="K896" s="156"/>
      <c r="L896" s="156"/>
      <c r="M896" s="156"/>
      <c r="N896" s="156"/>
      <c r="O896" s="156"/>
      <c r="P896" s="156"/>
      <c r="Q896" s="156"/>
      <c r="R896" s="156"/>
      <c r="S896" s="156"/>
      <c r="T896" s="156"/>
      <c r="U896" s="156"/>
      <c r="V896" s="156"/>
      <c r="W896" s="156"/>
      <c r="X896" s="156"/>
      <c r="Y896" s="156"/>
      <c r="Z896" s="156"/>
    </row>
    <row r="897">
      <c r="A897" s="156"/>
      <c r="B897" s="156"/>
      <c r="C897" s="156"/>
      <c r="D897" s="156"/>
      <c r="E897" s="156"/>
      <c r="F897" s="156"/>
      <c r="G897" s="156"/>
      <c r="H897" s="156"/>
      <c r="I897" s="156"/>
      <c r="J897" s="156"/>
      <c r="K897" s="156"/>
      <c r="L897" s="156"/>
      <c r="M897" s="156"/>
      <c r="N897" s="156"/>
      <c r="O897" s="156"/>
      <c r="P897" s="156"/>
      <c r="Q897" s="156"/>
      <c r="R897" s="156"/>
      <c r="S897" s="156"/>
      <c r="T897" s="156"/>
      <c r="U897" s="156"/>
      <c r="V897" s="156"/>
      <c r="W897" s="156"/>
      <c r="X897" s="156"/>
      <c r="Y897" s="156"/>
      <c r="Z897" s="156"/>
    </row>
    <row r="898">
      <c r="A898" s="156"/>
      <c r="B898" s="156"/>
      <c r="C898" s="156"/>
      <c r="D898" s="156"/>
      <c r="E898" s="156"/>
      <c r="F898" s="156"/>
      <c r="G898" s="156"/>
      <c r="H898" s="156"/>
      <c r="I898" s="156"/>
      <c r="J898" s="156"/>
      <c r="K898" s="156"/>
      <c r="L898" s="156"/>
      <c r="M898" s="156"/>
      <c r="N898" s="156"/>
      <c r="O898" s="156"/>
      <c r="P898" s="156"/>
      <c r="Q898" s="156"/>
      <c r="R898" s="156"/>
      <c r="S898" s="156"/>
      <c r="T898" s="156"/>
      <c r="U898" s="156"/>
      <c r="V898" s="156"/>
      <c r="W898" s="156"/>
      <c r="X898" s="156"/>
      <c r="Y898" s="156"/>
      <c r="Z898" s="156"/>
    </row>
    <row r="899">
      <c r="A899" s="156"/>
      <c r="B899" s="156"/>
      <c r="C899" s="156"/>
      <c r="D899" s="156"/>
      <c r="E899" s="156"/>
      <c r="F899" s="156"/>
      <c r="G899" s="156"/>
      <c r="H899" s="156"/>
      <c r="I899" s="156"/>
      <c r="J899" s="156"/>
      <c r="K899" s="156"/>
      <c r="L899" s="156"/>
      <c r="M899" s="156"/>
      <c r="N899" s="156"/>
      <c r="O899" s="156"/>
      <c r="P899" s="156"/>
      <c r="Q899" s="156"/>
      <c r="R899" s="156"/>
      <c r="S899" s="156"/>
      <c r="T899" s="156"/>
      <c r="U899" s="156"/>
      <c r="V899" s="156"/>
      <c r="W899" s="156"/>
      <c r="X899" s="156"/>
      <c r="Y899" s="156"/>
      <c r="Z899" s="156"/>
    </row>
    <row r="900">
      <c r="A900" s="156"/>
      <c r="B900" s="156"/>
      <c r="C900" s="156"/>
      <c r="D900" s="156"/>
      <c r="E900" s="156"/>
      <c r="F900" s="156"/>
      <c r="G900" s="156"/>
      <c r="H900" s="156"/>
      <c r="I900" s="156"/>
      <c r="J900" s="156"/>
      <c r="K900" s="156"/>
      <c r="L900" s="156"/>
      <c r="M900" s="156"/>
      <c r="N900" s="156"/>
      <c r="O900" s="156"/>
      <c r="P900" s="156"/>
      <c r="Q900" s="156"/>
      <c r="R900" s="156"/>
      <c r="S900" s="156"/>
      <c r="T900" s="156"/>
      <c r="U900" s="156"/>
      <c r="V900" s="156"/>
      <c r="W900" s="156"/>
      <c r="X900" s="156"/>
      <c r="Y900" s="156"/>
      <c r="Z900" s="156"/>
    </row>
    <row r="901">
      <c r="A901" s="156"/>
      <c r="B901" s="156"/>
      <c r="C901" s="156"/>
      <c r="D901" s="156"/>
      <c r="E901" s="156"/>
      <c r="F901" s="156"/>
      <c r="G901" s="156"/>
      <c r="H901" s="156"/>
      <c r="I901" s="156"/>
      <c r="J901" s="156"/>
      <c r="K901" s="156"/>
      <c r="L901" s="156"/>
      <c r="M901" s="156"/>
      <c r="N901" s="156"/>
      <c r="O901" s="156"/>
      <c r="P901" s="156"/>
      <c r="Q901" s="156"/>
      <c r="R901" s="156"/>
      <c r="S901" s="156"/>
      <c r="T901" s="156"/>
      <c r="U901" s="156"/>
      <c r="V901" s="156"/>
      <c r="W901" s="156"/>
      <c r="X901" s="156"/>
      <c r="Y901" s="156"/>
      <c r="Z901" s="156"/>
    </row>
    <row r="902">
      <c r="A902" s="156"/>
      <c r="B902" s="156"/>
      <c r="C902" s="156"/>
      <c r="D902" s="156"/>
      <c r="E902" s="156"/>
      <c r="F902" s="156"/>
      <c r="G902" s="156"/>
      <c r="H902" s="156"/>
      <c r="I902" s="156"/>
      <c r="J902" s="156"/>
      <c r="K902" s="156"/>
      <c r="L902" s="156"/>
      <c r="M902" s="156"/>
      <c r="N902" s="156"/>
      <c r="O902" s="156"/>
      <c r="P902" s="156"/>
      <c r="Q902" s="156"/>
      <c r="R902" s="156"/>
      <c r="S902" s="156"/>
      <c r="T902" s="156"/>
      <c r="U902" s="156"/>
      <c r="V902" s="156"/>
      <c r="W902" s="156"/>
      <c r="X902" s="156"/>
      <c r="Y902" s="156"/>
      <c r="Z902" s="156"/>
    </row>
    <row r="903">
      <c r="A903" s="156"/>
      <c r="B903" s="156"/>
      <c r="C903" s="156"/>
      <c r="D903" s="156"/>
      <c r="E903" s="156"/>
      <c r="F903" s="156"/>
      <c r="G903" s="156"/>
      <c r="H903" s="156"/>
      <c r="I903" s="156"/>
      <c r="J903" s="156"/>
      <c r="K903" s="156"/>
      <c r="L903" s="156"/>
      <c r="M903" s="156"/>
      <c r="N903" s="156"/>
      <c r="O903" s="156"/>
      <c r="P903" s="156"/>
      <c r="Q903" s="156"/>
      <c r="R903" s="156"/>
      <c r="S903" s="156"/>
      <c r="T903" s="156"/>
      <c r="U903" s="156"/>
      <c r="V903" s="156"/>
      <c r="W903" s="156"/>
      <c r="X903" s="156"/>
      <c r="Y903" s="156"/>
      <c r="Z903" s="156"/>
    </row>
    <row r="904">
      <c r="A904" s="156"/>
      <c r="B904" s="156"/>
      <c r="C904" s="156"/>
      <c r="D904" s="156"/>
      <c r="E904" s="156"/>
      <c r="F904" s="156"/>
      <c r="G904" s="156"/>
      <c r="H904" s="156"/>
      <c r="I904" s="156"/>
      <c r="J904" s="156"/>
      <c r="K904" s="156"/>
      <c r="L904" s="156"/>
      <c r="M904" s="156"/>
      <c r="N904" s="156"/>
      <c r="O904" s="156"/>
      <c r="P904" s="156"/>
      <c r="Q904" s="156"/>
      <c r="R904" s="156"/>
      <c r="S904" s="156"/>
      <c r="T904" s="156"/>
      <c r="U904" s="156"/>
      <c r="V904" s="156"/>
      <c r="W904" s="156"/>
      <c r="X904" s="156"/>
      <c r="Y904" s="156"/>
      <c r="Z904" s="156"/>
    </row>
    <row r="905">
      <c r="A905" s="156"/>
      <c r="B905" s="156"/>
      <c r="C905" s="156"/>
      <c r="D905" s="156"/>
      <c r="E905" s="156"/>
      <c r="F905" s="156"/>
      <c r="G905" s="156"/>
      <c r="H905" s="156"/>
      <c r="I905" s="156"/>
      <c r="J905" s="156"/>
      <c r="K905" s="156"/>
      <c r="L905" s="156"/>
      <c r="M905" s="156"/>
      <c r="N905" s="156"/>
      <c r="O905" s="156"/>
      <c r="P905" s="156"/>
      <c r="Q905" s="156"/>
      <c r="R905" s="156"/>
      <c r="S905" s="156"/>
      <c r="T905" s="156"/>
      <c r="U905" s="156"/>
      <c r="V905" s="156"/>
      <c r="W905" s="156"/>
      <c r="X905" s="156"/>
      <c r="Y905" s="156"/>
      <c r="Z905" s="156"/>
    </row>
    <row r="906">
      <c r="A906" s="156"/>
      <c r="B906" s="156"/>
      <c r="C906" s="156"/>
      <c r="D906" s="156"/>
      <c r="E906" s="156"/>
      <c r="F906" s="156"/>
      <c r="G906" s="156"/>
      <c r="H906" s="156"/>
      <c r="I906" s="156"/>
      <c r="J906" s="156"/>
      <c r="K906" s="156"/>
      <c r="L906" s="156"/>
      <c r="M906" s="156"/>
      <c r="N906" s="156"/>
      <c r="O906" s="156"/>
      <c r="P906" s="156"/>
      <c r="Q906" s="156"/>
      <c r="R906" s="156"/>
      <c r="S906" s="156"/>
      <c r="T906" s="156"/>
      <c r="U906" s="156"/>
      <c r="V906" s="156"/>
      <c r="W906" s="156"/>
      <c r="X906" s="156"/>
      <c r="Y906" s="156"/>
      <c r="Z906" s="156"/>
    </row>
    <row r="907">
      <c r="A907" s="156"/>
      <c r="B907" s="156"/>
      <c r="C907" s="156"/>
      <c r="D907" s="156"/>
      <c r="E907" s="156"/>
      <c r="F907" s="156"/>
      <c r="G907" s="156"/>
      <c r="H907" s="156"/>
      <c r="I907" s="156"/>
      <c r="J907" s="156"/>
      <c r="K907" s="156"/>
      <c r="L907" s="156"/>
      <c r="M907" s="156"/>
      <c r="N907" s="156"/>
      <c r="O907" s="156"/>
      <c r="P907" s="156"/>
      <c r="Q907" s="156"/>
      <c r="R907" s="156"/>
      <c r="S907" s="156"/>
      <c r="T907" s="156"/>
      <c r="U907" s="156"/>
      <c r="V907" s="156"/>
      <c r="W907" s="156"/>
      <c r="X907" s="156"/>
      <c r="Y907" s="156"/>
      <c r="Z907" s="156"/>
    </row>
    <row r="908">
      <c r="A908" s="156"/>
      <c r="B908" s="156"/>
      <c r="C908" s="156"/>
      <c r="D908" s="156"/>
      <c r="E908" s="156"/>
      <c r="F908" s="156"/>
      <c r="G908" s="156"/>
      <c r="H908" s="156"/>
      <c r="I908" s="156"/>
      <c r="J908" s="156"/>
      <c r="K908" s="156"/>
      <c r="L908" s="156"/>
      <c r="M908" s="156"/>
      <c r="N908" s="156"/>
      <c r="O908" s="156"/>
      <c r="P908" s="156"/>
      <c r="Q908" s="156"/>
      <c r="R908" s="156"/>
      <c r="S908" s="156"/>
      <c r="T908" s="156"/>
      <c r="U908" s="156"/>
      <c r="V908" s="156"/>
      <c r="W908" s="156"/>
      <c r="X908" s="156"/>
      <c r="Y908" s="156"/>
      <c r="Z908" s="156"/>
    </row>
    <row r="909">
      <c r="A909" s="156"/>
      <c r="B909" s="156"/>
      <c r="C909" s="156"/>
      <c r="D909" s="156"/>
      <c r="E909" s="156"/>
      <c r="F909" s="156"/>
      <c r="G909" s="156"/>
      <c r="H909" s="156"/>
      <c r="I909" s="156"/>
      <c r="J909" s="156"/>
      <c r="K909" s="156"/>
      <c r="L909" s="156"/>
      <c r="M909" s="156"/>
      <c r="N909" s="156"/>
      <c r="O909" s="156"/>
      <c r="P909" s="156"/>
      <c r="Q909" s="156"/>
      <c r="R909" s="156"/>
      <c r="S909" s="156"/>
      <c r="T909" s="156"/>
      <c r="U909" s="156"/>
      <c r="V909" s="156"/>
      <c r="W909" s="156"/>
      <c r="X909" s="156"/>
      <c r="Y909" s="156"/>
      <c r="Z909" s="156"/>
    </row>
    <row r="910">
      <c r="A910" s="156"/>
      <c r="B910" s="156"/>
      <c r="C910" s="156"/>
      <c r="D910" s="156"/>
      <c r="E910" s="156"/>
      <c r="F910" s="156"/>
      <c r="G910" s="156"/>
      <c r="H910" s="156"/>
      <c r="I910" s="156"/>
      <c r="J910" s="156"/>
      <c r="K910" s="156"/>
      <c r="L910" s="156"/>
      <c r="M910" s="156"/>
      <c r="N910" s="156"/>
      <c r="O910" s="156"/>
      <c r="P910" s="156"/>
      <c r="Q910" s="156"/>
      <c r="R910" s="156"/>
      <c r="S910" s="156"/>
      <c r="T910" s="156"/>
      <c r="U910" s="156"/>
      <c r="V910" s="156"/>
      <c r="W910" s="156"/>
      <c r="X910" s="156"/>
      <c r="Y910" s="156"/>
      <c r="Z910" s="156"/>
    </row>
    <row r="911">
      <c r="A911" s="156"/>
      <c r="B911" s="156"/>
      <c r="C911" s="156"/>
      <c r="D911" s="156"/>
      <c r="E911" s="156"/>
      <c r="F911" s="156"/>
      <c r="G911" s="156"/>
      <c r="H911" s="156"/>
      <c r="I911" s="156"/>
      <c r="J911" s="156"/>
      <c r="K911" s="156"/>
      <c r="L911" s="156"/>
      <c r="M911" s="156"/>
      <c r="N911" s="156"/>
      <c r="O911" s="156"/>
      <c r="P911" s="156"/>
      <c r="Q911" s="156"/>
      <c r="R911" s="156"/>
      <c r="S911" s="156"/>
      <c r="T911" s="156"/>
      <c r="U911" s="156"/>
      <c r="V911" s="156"/>
      <c r="W911" s="156"/>
      <c r="X911" s="156"/>
      <c r="Y911" s="156"/>
      <c r="Z911" s="156"/>
    </row>
    <row r="912">
      <c r="A912" s="156"/>
      <c r="B912" s="156"/>
      <c r="C912" s="156"/>
      <c r="D912" s="156"/>
      <c r="E912" s="156"/>
      <c r="F912" s="156"/>
      <c r="G912" s="156"/>
      <c r="H912" s="156"/>
      <c r="I912" s="156"/>
      <c r="J912" s="156"/>
      <c r="K912" s="156"/>
      <c r="L912" s="156"/>
      <c r="M912" s="156"/>
      <c r="N912" s="156"/>
      <c r="O912" s="156"/>
      <c r="P912" s="156"/>
      <c r="Q912" s="156"/>
      <c r="R912" s="156"/>
      <c r="S912" s="156"/>
      <c r="T912" s="156"/>
      <c r="U912" s="156"/>
      <c r="V912" s="156"/>
      <c r="W912" s="156"/>
      <c r="X912" s="156"/>
      <c r="Y912" s="156"/>
      <c r="Z912" s="156"/>
    </row>
    <row r="913">
      <c r="A913" s="156"/>
      <c r="B913" s="156"/>
      <c r="C913" s="156"/>
      <c r="D913" s="156"/>
      <c r="E913" s="156"/>
      <c r="F913" s="156"/>
      <c r="G913" s="156"/>
      <c r="H913" s="156"/>
      <c r="I913" s="156"/>
      <c r="J913" s="156"/>
      <c r="K913" s="156"/>
      <c r="L913" s="156"/>
      <c r="M913" s="156"/>
      <c r="N913" s="156"/>
      <c r="O913" s="156"/>
      <c r="P913" s="156"/>
      <c r="Q913" s="156"/>
      <c r="R913" s="156"/>
      <c r="S913" s="156"/>
      <c r="T913" s="156"/>
      <c r="U913" s="156"/>
      <c r="V913" s="156"/>
      <c r="W913" s="156"/>
      <c r="X913" s="156"/>
      <c r="Y913" s="156"/>
      <c r="Z913" s="156"/>
    </row>
    <row r="914">
      <c r="A914" s="156"/>
      <c r="B914" s="156"/>
      <c r="C914" s="156"/>
      <c r="D914" s="156"/>
      <c r="E914" s="156"/>
      <c r="F914" s="156"/>
      <c r="G914" s="156"/>
      <c r="H914" s="156"/>
      <c r="I914" s="156"/>
      <c r="J914" s="156"/>
      <c r="K914" s="156"/>
      <c r="L914" s="156"/>
      <c r="M914" s="156"/>
      <c r="N914" s="156"/>
      <c r="O914" s="156"/>
      <c r="P914" s="156"/>
      <c r="Q914" s="156"/>
      <c r="R914" s="156"/>
      <c r="S914" s="156"/>
      <c r="T914" s="156"/>
      <c r="U914" s="156"/>
      <c r="V914" s="156"/>
      <c r="W914" s="156"/>
      <c r="X914" s="156"/>
      <c r="Y914" s="156"/>
      <c r="Z914" s="156"/>
    </row>
    <row r="915">
      <c r="A915" s="156"/>
      <c r="B915" s="156"/>
      <c r="C915" s="156"/>
      <c r="D915" s="156"/>
      <c r="E915" s="156"/>
      <c r="F915" s="156"/>
      <c r="G915" s="156"/>
      <c r="H915" s="156"/>
      <c r="I915" s="156"/>
      <c r="J915" s="156"/>
      <c r="K915" s="156"/>
      <c r="L915" s="156"/>
      <c r="M915" s="156"/>
      <c r="N915" s="156"/>
      <c r="O915" s="156"/>
      <c r="P915" s="156"/>
      <c r="Q915" s="156"/>
      <c r="R915" s="156"/>
      <c r="S915" s="156"/>
      <c r="T915" s="156"/>
      <c r="U915" s="156"/>
      <c r="V915" s="156"/>
      <c r="W915" s="156"/>
      <c r="X915" s="156"/>
      <c r="Y915" s="156"/>
      <c r="Z915" s="156"/>
    </row>
    <row r="916">
      <c r="A916" s="156"/>
      <c r="B916" s="156"/>
      <c r="C916" s="156"/>
      <c r="D916" s="156"/>
      <c r="E916" s="156"/>
      <c r="F916" s="156"/>
      <c r="G916" s="156"/>
      <c r="H916" s="156"/>
      <c r="I916" s="156"/>
      <c r="J916" s="156"/>
      <c r="K916" s="156"/>
      <c r="L916" s="156"/>
      <c r="M916" s="156"/>
      <c r="N916" s="156"/>
      <c r="O916" s="156"/>
      <c r="P916" s="156"/>
      <c r="Q916" s="156"/>
      <c r="R916" s="156"/>
      <c r="S916" s="156"/>
      <c r="T916" s="156"/>
      <c r="U916" s="156"/>
      <c r="V916" s="156"/>
      <c r="W916" s="156"/>
      <c r="X916" s="156"/>
      <c r="Y916" s="156"/>
      <c r="Z916" s="156"/>
    </row>
    <row r="917">
      <c r="A917" s="156"/>
      <c r="B917" s="156"/>
      <c r="C917" s="156"/>
      <c r="D917" s="156"/>
      <c r="E917" s="156"/>
      <c r="F917" s="156"/>
      <c r="G917" s="156"/>
      <c r="H917" s="156"/>
      <c r="I917" s="156"/>
      <c r="J917" s="156"/>
      <c r="K917" s="156"/>
      <c r="L917" s="156"/>
      <c r="M917" s="156"/>
      <c r="N917" s="156"/>
      <c r="O917" s="156"/>
      <c r="P917" s="156"/>
      <c r="Q917" s="156"/>
      <c r="R917" s="156"/>
      <c r="S917" s="156"/>
      <c r="T917" s="156"/>
      <c r="U917" s="156"/>
      <c r="V917" s="156"/>
      <c r="W917" s="156"/>
      <c r="X917" s="156"/>
      <c r="Y917" s="156"/>
      <c r="Z917" s="156"/>
    </row>
    <row r="918">
      <c r="A918" s="156"/>
      <c r="B918" s="156"/>
      <c r="C918" s="156"/>
      <c r="D918" s="156"/>
      <c r="E918" s="156"/>
      <c r="F918" s="156"/>
      <c r="G918" s="156"/>
      <c r="H918" s="156"/>
      <c r="I918" s="156"/>
      <c r="J918" s="156"/>
      <c r="K918" s="156"/>
      <c r="L918" s="156"/>
      <c r="M918" s="156"/>
      <c r="N918" s="156"/>
      <c r="O918" s="156"/>
      <c r="P918" s="156"/>
      <c r="Q918" s="156"/>
      <c r="R918" s="156"/>
      <c r="S918" s="156"/>
      <c r="T918" s="156"/>
      <c r="U918" s="156"/>
      <c r="V918" s="156"/>
      <c r="W918" s="156"/>
      <c r="X918" s="156"/>
      <c r="Y918" s="156"/>
      <c r="Z918" s="156"/>
    </row>
    <row r="919">
      <c r="A919" s="156"/>
      <c r="B919" s="156"/>
      <c r="C919" s="156"/>
      <c r="D919" s="156"/>
      <c r="E919" s="156"/>
      <c r="F919" s="156"/>
      <c r="G919" s="156"/>
      <c r="H919" s="156"/>
      <c r="I919" s="156"/>
      <c r="J919" s="156"/>
      <c r="K919" s="156"/>
      <c r="L919" s="156"/>
      <c r="M919" s="156"/>
      <c r="N919" s="156"/>
      <c r="O919" s="156"/>
      <c r="P919" s="156"/>
      <c r="Q919" s="156"/>
      <c r="R919" s="156"/>
      <c r="S919" s="156"/>
      <c r="T919" s="156"/>
      <c r="U919" s="156"/>
      <c r="V919" s="156"/>
      <c r="W919" s="156"/>
      <c r="X919" s="156"/>
      <c r="Y919" s="156"/>
      <c r="Z919" s="156"/>
    </row>
    <row r="920">
      <c r="A920" s="156"/>
      <c r="B920" s="156"/>
      <c r="C920" s="156"/>
      <c r="D920" s="156"/>
      <c r="E920" s="156"/>
      <c r="F920" s="156"/>
      <c r="G920" s="156"/>
      <c r="H920" s="156"/>
      <c r="I920" s="156"/>
      <c r="J920" s="156"/>
      <c r="K920" s="156"/>
      <c r="L920" s="156"/>
      <c r="M920" s="156"/>
      <c r="N920" s="156"/>
      <c r="O920" s="156"/>
      <c r="P920" s="156"/>
      <c r="Q920" s="156"/>
      <c r="R920" s="156"/>
      <c r="S920" s="156"/>
      <c r="T920" s="156"/>
      <c r="U920" s="156"/>
      <c r="V920" s="156"/>
      <c r="W920" s="156"/>
      <c r="X920" s="156"/>
      <c r="Y920" s="156"/>
      <c r="Z920" s="156"/>
    </row>
    <row r="921">
      <c r="A921" s="156"/>
      <c r="B921" s="156"/>
      <c r="C921" s="156"/>
      <c r="D921" s="156"/>
      <c r="E921" s="156"/>
      <c r="F921" s="156"/>
      <c r="G921" s="156"/>
      <c r="H921" s="156"/>
      <c r="I921" s="156"/>
      <c r="J921" s="156"/>
      <c r="K921" s="156"/>
      <c r="L921" s="156"/>
      <c r="M921" s="156"/>
      <c r="N921" s="156"/>
      <c r="O921" s="156"/>
      <c r="P921" s="156"/>
      <c r="Q921" s="156"/>
      <c r="R921" s="156"/>
      <c r="S921" s="156"/>
      <c r="T921" s="156"/>
      <c r="U921" s="156"/>
      <c r="V921" s="156"/>
      <c r="W921" s="156"/>
      <c r="X921" s="156"/>
      <c r="Y921" s="156"/>
      <c r="Z921" s="156"/>
    </row>
    <row r="922">
      <c r="A922" s="156"/>
      <c r="B922" s="156"/>
      <c r="C922" s="156"/>
      <c r="D922" s="156"/>
      <c r="E922" s="156"/>
      <c r="F922" s="156"/>
      <c r="G922" s="156"/>
      <c r="H922" s="156"/>
      <c r="I922" s="156"/>
      <c r="J922" s="156"/>
      <c r="K922" s="156"/>
      <c r="L922" s="156"/>
      <c r="M922" s="156"/>
      <c r="N922" s="156"/>
      <c r="O922" s="156"/>
      <c r="P922" s="156"/>
      <c r="Q922" s="156"/>
      <c r="R922" s="156"/>
      <c r="S922" s="156"/>
      <c r="T922" s="156"/>
      <c r="U922" s="156"/>
      <c r="V922" s="156"/>
      <c r="W922" s="156"/>
      <c r="X922" s="156"/>
      <c r="Y922" s="156"/>
      <c r="Z922" s="156"/>
    </row>
    <row r="923">
      <c r="A923" s="156"/>
      <c r="B923" s="156"/>
      <c r="C923" s="156"/>
      <c r="D923" s="156"/>
      <c r="E923" s="156"/>
      <c r="F923" s="156"/>
      <c r="G923" s="156"/>
      <c r="H923" s="156"/>
      <c r="I923" s="156"/>
      <c r="J923" s="156"/>
      <c r="K923" s="156"/>
      <c r="L923" s="156"/>
      <c r="M923" s="156"/>
      <c r="N923" s="156"/>
      <c r="O923" s="156"/>
      <c r="P923" s="156"/>
      <c r="Q923" s="156"/>
      <c r="R923" s="156"/>
      <c r="S923" s="156"/>
      <c r="T923" s="156"/>
      <c r="U923" s="156"/>
      <c r="V923" s="156"/>
      <c r="W923" s="156"/>
      <c r="X923" s="156"/>
      <c r="Y923" s="156"/>
      <c r="Z923" s="156"/>
    </row>
    <row r="924">
      <c r="A924" s="156"/>
      <c r="B924" s="156"/>
      <c r="C924" s="156"/>
      <c r="D924" s="156"/>
      <c r="E924" s="156"/>
      <c r="F924" s="156"/>
      <c r="G924" s="156"/>
      <c r="H924" s="156"/>
      <c r="I924" s="156"/>
      <c r="J924" s="156"/>
      <c r="K924" s="156"/>
      <c r="L924" s="156"/>
      <c r="M924" s="156"/>
      <c r="N924" s="156"/>
      <c r="O924" s="156"/>
      <c r="P924" s="156"/>
      <c r="Q924" s="156"/>
      <c r="R924" s="156"/>
      <c r="S924" s="156"/>
      <c r="T924" s="156"/>
      <c r="U924" s="156"/>
      <c r="V924" s="156"/>
      <c r="W924" s="156"/>
      <c r="X924" s="156"/>
      <c r="Y924" s="156"/>
      <c r="Z924" s="156"/>
    </row>
    <row r="925">
      <c r="A925" s="156"/>
      <c r="B925" s="156"/>
      <c r="C925" s="156"/>
      <c r="D925" s="156"/>
      <c r="E925" s="156"/>
      <c r="F925" s="156"/>
      <c r="G925" s="156"/>
      <c r="H925" s="156"/>
      <c r="I925" s="156"/>
      <c r="J925" s="156"/>
      <c r="K925" s="156"/>
      <c r="L925" s="156"/>
      <c r="M925" s="156"/>
      <c r="N925" s="156"/>
      <c r="O925" s="156"/>
      <c r="P925" s="156"/>
      <c r="Q925" s="156"/>
      <c r="R925" s="156"/>
      <c r="S925" s="156"/>
      <c r="T925" s="156"/>
      <c r="U925" s="156"/>
      <c r="V925" s="156"/>
      <c r="W925" s="156"/>
      <c r="X925" s="156"/>
      <c r="Y925" s="156"/>
      <c r="Z925" s="156"/>
    </row>
    <row r="926">
      <c r="A926" s="156"/>
      <c r="B926" s="156"/>
      <c r="C926" s="156"/>
      <c r="D926" s="156"/>
      <c r="E926" s="156"/>
      <c r="F926" s="156"/>
      <c r="G926" s="156"/>
      <c r="H926" s="156"/>
      <c r="I926" s="156"/>
      <c r="J926" s="156"/>
      <c r="K926" s="156"/>
      <c r="L926" s="156"/>
      <c r="M926" s="156"/>
      <c r="N926" s="156"/>
      <c r="O926" s="156"/>
      <c r="P926" s="156"/>
      <c r="Q926" s="156"/>
      <c r="R926" s="156"/>
      <c r="S926" s="156"/>
      <c r="T926" s="156"/>
      <c r="U926" s="156"/>
      <c r="V926" s="156"/>
      <c r="W926" s="156"/>
      <c r="X926" s="156"/>
      <c r="Y926" s="156"/>
      <c r="Z926" s="156"/>
    </row>
    <row r="927">
      <c r="A927" s="156"/>
      <c r="B927" s="156"/>
      <c r="C927" s="156"/>
      <c r="D927" s="156"/>
      <c r="E927" s="156"/>
      <c r="F927" s="156"/>
      <c r="G927" s="156"/>
      <c r="H927" s="156"/>
      <c r="I927" s="156"/>
      <c r="J927" s="156"/>
      <c r="K927" s="156"/>
      <c r="L927" s="156"/>
      <c r="M927" s="156"/>
      <c r="N927" s="156"/>
      <c r="O927" s="156"/>
      <c r="P927" s="156"/>
      <c r="Q927" s="156"/>
      <c r="R927" s="156"/>
      <c r="S927" s="156"/>
      <c r="T927" s="156"/>
      <c r="U927" s="156"/>
      <c r="V927" s="156"/>
      <c r="W927" s="156"/>
      <c r="X927" s="156"/>
      <c r="Y927" s="156"/>
      <c r="Z927" s="156"/>
    </row>
    <row r="928">
      <c r="A928" s="156"/>
      <c r="B928" s="156"/>
      <c r="C928" s="156"/>
      <c r="D928" s="156"/>
      <c r="E928" s="156"/>
      <c r="F928" s="156"/>
      <c r="G928" s="156"/>
      <c r="H928" s="156"/>
      <c r="I928" s="156"/>
      <c r="J928" s="156"/>
      <c r="K928" s="156"/>
      <c r="L928" s="156"/>
      <c r="M928" s="156"/>
      <c r="N928" s="156"/>
      <c r="O928" s="156"/>
      <c r="P928" s="156"/>
      <c r="Q928" s="156"/>
      <c r="R928" s="156"/>
      <c r="S928" s="156"/>
      <c r="T928" s="156"/>
      <c r="U928" s="156"/>
      <c r="V928" s="156"/>
      <c r="W928" s="156"/>
      <c r="X928" s="156"/>
      <c r="Y928" s="156"/>
      <c r="Z928" s="156"/>
    </row>
    <row r="929">
      <c r="A929" s="156"/>
      <c r="B929" s="156"/>
      <c r="C929" s="156"/>
      <c r="D929" s="156"/>
      <c r="E929" s="156"/>
      <c r="F929" s="156"/>
      <c r="G929" s="156"/>
      <c r="H929" s="156"/>
      <c r="I929" s="156"/>
      <c r="J929" s="156"/>
      <c r="K929" s="156"/>
      <c r="L929" s="156"/>
      <c r="M929" s="156"/>
      <c r="N929" s="156"/>
      <c r="O929" s="156"/>
      <c r="P929" s="156"/>
      <c r="Q929" s="156"/>
      <c r="R929" s="156"/>
      <c r="S929" s="156"/>
      <c r="T929" s="156"/>
      <c r="U929" s="156"/>
      <c r="V929" s="156"/>
      <c r="W929" s="156"/>
      <c r="X929" s="156"/>
      <c r="Y929" s="156"/>
      <c r="Z929" s="156"/>
    </row>
    <row r="930">
      <c r="A930" s="156"/>
      <c r="B930" s="156"/>
      <c r="C930" s="156"/>
      <c r="D930" s="156"/>
      <c r="E930" s="156"/>
      <c r="F930" s="156"/>
      <c r="G930" s="156"/>
      <c r="H930" s="156"/>
      <c r="I930" s="156"/>
      <c r="J930" s="156"/>
      <c r="K930" s="156"/>
      <c r="L930" s="156"/>
      <c r="M930" s="156"/>
      <c r="N930" s="156"/>
      <c r="O930" s="156"/>
      <c r="P930" s="156"/>
      <c r="Q930" s="156"/>
      <c r="R930" s="156"/>
      <c r="S930" s="156"/>
      <c r="T930" s="156"/>
      <c r="U930" s="156"/>
      <c r="V930" s="156"/>
      <c r="W930" s="156"/>
      <c r="X930" s="156"/>
      <c r="Y930" s="156"/>
      <c r="Z930" s="156"/>
    </row>
    <row r="931">
      <c r="A931" s="156"/>
      <c r="B931" s="156"/>
      <c r="C931" s="156"/>
      <c r="D931" s="156"/>
      <c r="E931" s="156"/>
      <c r="F931" s="156"/>
      <c r="G931" s="156"/>
      <c r="H931" s="156"/>
      <c r="I931" s="156"/>
      <c r="J931" s="156"/>
      <c r="K931" s="156"/>
      <c r="L931" s="156"/>
      <c r="M931" s="156"/>
      <c r="N931" s="156"/>
      <c r="O931" s="156"/>
      <c r="P931" s="156"/>
      <c r="Q931" s="156"/>
      <c r="R931" s="156"/>
      <c r="S931" s="156"/>
      <c r="T931" s="156"/>
      <c r="U931" s="156"/>
      <c r="V931" s="156"/>
      <c r="W931" s="156"/>
      <c r="X931" s="156"/>
      <c r="Y931" s="156"/>
      <c r="Z931" s="156"/>
    </row>
    <row r="932">
      <c r="A932" s="156"/>
      <c r="B932" s="156"/>
      <c r="C932" s="156"/>
      <c r="D932" s="156"/>
      <c r="E932" s="156"/>
      <c r="F932" s="156"/>
      <c r="G932" s="156"/>
      <c r="H932" s="156"/>
      <c r="I932" s="156"/>
      <c r="J932" s="156"/>
      <c r="K932" s="156"/>
      <c r="L932" s="156"/>
      <c r="M932" s="156"/>
      <c r="N932" s="156"/>
      <c r="O932" s="156"/>
      <c r="P932" s="156"/>
      <c r="Q932" s="156"/>
      <c r="R932" s="156"/>
      <c r="S932" s="156"/>
      <c r="T932" s="156"/>
      <c r="U932" s="156"/>
      <c r="V932" s="156"/>
      <c r="W932" s="156"/>
      <c r="X932" s="156"/>
      <c r="Y932" s="156"/>
      <c r="Z932" s="156"/>
    </row>
    <row r="933">
      <c r="A933" s="156"/>
      <c r="B933" s="156"/>
      <c r="C933" s="156"/>
      <c r="D933" s="156"/>
      <c r="E933" s="156"/>
      <c r="F933" s="156"/>
      <c r="G933" s="156"/>
      <c r="H933" s="156"/>
      <c r="I933" s="156"/>
      <c r="J933" s="156"/>
      <c r="K933" s="156"/>
      <c r="L933" s="156"/>
      <c r="M933" s="156"/>
      <c r="N933" s="156"/>
      <c r="O933" s="156"/>
      <c r="P933" s="156"/>
      <c r="Q933" s="156"/>
      <c r="R933" s="156"/>
      <c r="S933" s="156"/>
      <c r="T933" s="156"/>
      <c r="U933" s="156"/>
      <c r="V933" s="156"/>
      <c r="W933" s="156"/>
      <c r="X933" s="156"/>
      <c r="Y933" s="156"/>
      <c r="Z933" s="156"/>
    </row>
    <row r="934">
      <c r="A934" s="156"/>
      <c r="B934" s="156"/>
      <c r="C934" s="156"/>
      <c r="D934" s="156"/>
      <c r="E934" s="156"/>
      <c r="F934" s="156"/>
      <c r="G934" s="156"/>
      <c r="H934" s="156"/>
      <c r="I934" s="156"/>
      <c r="J934" s="156"/>
      <c r="K934" s="156"/>
      <c r="L934" s="156"/>
      <c r="M934" s="156"/>
      <c r="N934" s="156"/>
      <c r="O934" s="156"/>
      <c r="P934" s="156"/>
      <c r="Q934" s="156"/>
      <c r="R934" s="156"/>
      <c r="S934" s="156"/>
      <c r="T934" s="156"/>
      <c r="U934" s="156"/>
      <c r="V934" s="156"/>
      <c r="W934" s="156"/>
      <c r="X934" s="156"/>
      <c r="Y934" s="156"/>
      <c r="Z934" s="156"/>
    </row>
    <row r="935">
      <c r="A935" s="156"/>
      <c r="B935" s="156"/>
      <c r="C935" s="156"/>
      <c r="D935" s="156"/>
      <c r="E935" s="156"/>
      <c r="F935" s="156"/>
      <c r="G935" s="156"/>
      <c r="H935" s="156"/>
      <c r="I935" s="156"/>
      <c r="J935" s="156"/>
      <c r="K935" s="156"/>
      <c r="L935" s="156"/>
      <c r="M935" s="156"/>
      <c r="N935" s="156"/>
      <c r="O935" s="156"/>
      <c r="P935" s="156"/>
      <c r="Q935" s="156"/>
      <c r="R935" s="156"/>
      <c r="S935" s="156"/>
      <c r="T935" s="156"/>
      <c r="U935" s="156"/>
      <c r="V935" s="156"/>
      <c r="W935" s="156"/>
      <c r="X935" s="156"/>
      <c r="Y935" s="156"/>
      <c r="Z935" s="156"/>
    </row>
    <row r="936">
      <c r="A936" s="156"/>
      <c r="B936" s="156"/>
      <c r="C936" s="156"/>
      <c r="D936" s="156"/>
      <c r="E936" s="156"/>
      <c r="F936" s="156"/>
      <c r="G936" s="156"/>
      <c r="H936" s="156"/>
      <c r="I936" s="156"/>
      <c r="J936" s="156"/>
      <c r="K936" s="156"/>
      <c r="L936" s="156"/>
      <c r="M936" s="156"/>
      <c r="N936" s="156"/>
      <c r="O936" s="156"/>
      <c r="P936" s="156"/>
      <c r="Q936" s="156"/>
      <c r="R936" s="156"/>
      <c r="S936" s="156"/>
      <c r="T936" s="156"/>
      <c r="U936" s="156"/>
      <c r="V936" s="156"/>
      <c r="W936" s="156"/>
      <c r="X936" s="156"/>
      <c r="Y936" s="156"/>
      <c r="Z936" s="156"/>
    </row>
    <row r="937">
      <c r="A937" s="156"/>
      <c r="B937" s="156"/>
      <c r="C937" s="156"/>
      <c r="D937" s="156"/>
      <c r="E937" s="156"/>
      <c r="F937" s="156"/>
      <c r="G937" s="156"/>
      <c r="H937" s="156"/>
      <c r="I937" s="156"/>
      <c r="J937" s="156"/>
      <c r="K937" s="156"/>
      <c r="L937" s="156"/>
      <c r="M937" s="156"/>
      <c r="N937" s="156"/>
      <c r="O937" s="156"/>
      <c r="P937" s="156"/>
      <c r="Q937" s="156"/>
      <c r="R937" s="156"/>
      <c r="S937" s="156"/>
      <c r="T937" s="156"/>
      <c r="U937" s="156"/>
      <c r="V937" s="156"/>
      <c r="W937" s="156"/>
      <c r="X937" s="156"/>
      <c r="Y937" s="156"/>
      <c r="Z937" s="156"/>
    </row>
    <row r="938">
      <c r="A938" s="156"/>
      <c r="B938" s="156"/>
      <c r="C938" s="156"/>
      <c r="D938" s="156"/>
      <c r="E938" s="156"/>
      <c r="F938" s="156"/>
      <c r="G938" s="156"/>
      <c r="H938" s="156"/>
      <c r="I938" s="156"/>
      <c r="J938" s="156"/>
      <c r="K938" s="156"/>
      <c r="L938" s="156"/>
      <c r="M938" s="156"/>
      <c r="N938" s="156"/>
      <c r="O938" s="156"/>
      <c r="P938" s="156"/>
      <c r="Q938" s="156"/>
      <c r="R938" s="156"/>
      <c r="S938" s="156"/>
      <c r="T938" s="156"/>
      <c r="U938" s="156"/>
      <c r="V938" s="156"/>
      <c r="W938" s="156"/>
      <c r="X938" s="156"/>
      <c r="Y938" s="156"/>
      <c r="Z938" s="156"/>
    </row>
    <row r="939">
      <c r="A939" s="156"/>
      <c r="B939" s="156"/>
      <c r="C939" s="156"/>
      <c r="D939" s="156"/>
      <c r="E939" s="156"/>
      <c r="F939" s="156"/>
      <c r="G939" s="156"/>
      <c r="H939" s="156"/>
      <c r="I939" s="156"/>
      <c r="J939" s="156"/>
      <c r="K939" s="156"/>
      <c r="L939" s="156"/>
      <c r="M939" s="156"/>
      <c r="N939" s="156"/>
      <c r="O939" s="156"/>
      <c r="P939" s="156"/>
      <c r="Q939" s="156"/>
      <c r="R939" s="156"/>
      <c r="S939" s="156"/>
      <c r="T939" s="156"/>
      <c r="U939" s="156"/>
      <c r="V939" s="156"/>
      <c r="W939" s="156"/>
      <c r="X939" s="156"/>
      <c r="Y939" s="156"/>
      <c r="Z939" s="156"/>
    </row>
    <row r="940">
      <c r="A940" s="156"/>
      <c r="B940" s="156"/>
      <c r="C940" s="156"/>
      <c r="D940" s="156"/>
      <c r="E940" s="156"/>
      <c r="F940" s="156"/>
      <c r="G940" s="156"/>
      <c r="H940" s="156"/>
      <c r="I940" s="156"/>
      <c r="J940" s="156"/>
      <c r="K940" s="156"/>
      <c r="L940" s="156"/>
      <c r="M940" s="156"/>
      <c r="N940" s="156"/>
      <c r="O940" s="156"/>
      <c r="P940" s="156"/>
      <c r="Q940" s="156"/>
      <c r="R940" s="156"/>
      <c r="S940" s="156"/>
      <c r="T940" s="156"/>
      <c r="U940" s="156"/>
      <c r="V940" s="156"/>
      <c r="W940" s="156"/>
      <c r="X940" s="156"/>
      <c r="Y940" s="156"/>
      <c r="Z940" s="156"/>
    </row>
    <row r="941">
      <c r="A941" s="156"/>
      <c r="B941" s="156"/>
      <c r="C941" s="156"/>
      <c r="D941" s="156"/>
      <c r="E941" s="156"/>
      <c r="F941" s="156"/>
      <c r="G941" s="156"/>
      <c r="H941" s="156"/>
      <c r="I941" s="156"/>
      <c r="J941" s="156"/>
      <c r="K941" s="156"/>
      <c r="L941" s="156"/>
      <c r="M941" s="156"/>
      <c r="N941" s="156"/>
      <c r="O941" s="156"/>
      <c r="P941" s="156"/>
      <c r="Q941" s="156"/>
      <c r="R941" s="156"/>
      <c r="S941" s="156"/>
      <c r="T941" s="156"/>
      <c r="U941" s="156"/>
      <c r="V941" s="156"/>
      <c r="W941" s="156"/>
      <c r="X941" s="156"/>
      <c r="Y941" s="156"/>
      <c r="Z941" s="156"/>
    </row>
    <row r="942">
      <c r="A942" s="156"/>
      <c r="B942" s="156"/>
      <c r="C942" s="156"/>
      <c r="D942" s="156"/>
      <c r="E942" s="156"/>
      <c r="F942" s="156"/>
      <c r="G942" s="156"/>
      <c r="H942" s="156"/>
      <c r="I942" s="156"/>
      <c r="J942" s="156"/>
      <c r="K942" s="156"/>
      <c r="L942" s="156"/>
      <c r="M942" s="156"/>
      <c r="N942" s="156"/>
      <c r="O942" s="156"/>
      <c r="P942" s="156"/>
      <c r="Q942" s="156"/>
      <c r="R942" s="156"/>
      <c r="S942" s="156"/>
      <c r="T942" s="156"/>
      <c r="U942" s="156"/>
      <c r="V942" s="156"/>
      <c r="W942" s="156"/>
      <c r="X942" s="156"/>
      <c r="Y942" s="156"/>
      <c r="Z942" s="156"/>
    </row>
    <row r="943">
      <c r="A943" s="156"/>
      <c r="B943" s="156"/>
      <c r="C943" s="156"/>
      <c r="D943" s="156"/>
      <c r="E943" s="156"/>
      <c r="F943" s="156"/>
      <c r="G943" s="156"/>
      <c r="H943" s="156"/>
      <c r="I943" s="156"/>
      <c r="J943" s="156"/>
      <c r="K943" s="156"/>
      <c r="L943" s="156"/>
      <c r="M943" s="156"/>
      <c r="N943" s="156"/>
      <c r="O943" s="156"/>
      <c r="P943" s="156"/>
      <c r="Q943" s="156"/>
      <c r="R943" s="156"/>
      <c r="S943" s="156"/>
      <c r="T943" s="156"/>
      <c r="U943" s="156"/>
      <c r="V943" s="156"/>
      <c r="W943" s="156"/>
      <c r="X943" s="156"/>
      <c r="Y943" s="156"/>
      <c r="Z943" s="156"/>
    </row>
    <row r="944">
      <c r="A944" s="156"/>
      <c r="B944" s="156"/>
      <c r="C944" s="156"/>
      <c r="D944" s="156"/>
      <c r="E944" s="156"/>
      <c r="F944" s="156"/>
      <c r="G944" s="156"/>
      <c r="H944" s="156"/>
      <c r="I944" s="156"/>
      <c r="J944" s="156"/>
      <c r="K944" s="156"/>
      <c r="L944" s="156"/>
      <c r="M944" s="156"/>
      <c r="N944" s="156"/>
      <c r="O944" s="156"/>
      <c r="P944" s="156"/>
      <c r="Q944" s="156"/>
      <c r="R944" s="156"/>
      <c r="S944" s="156"/>
      <c r="T944" s="156"/>
      <c r="U944" s="156"/>
      <c r="V944" s="156"/>
      <c r="W944" s="156"/>
      <c r="X944" s="156"/>
      <c r="Y944" s="156"/>
      <c r="Z944" s="156"/>
    </row>
    <row r="945">
      <c r="A945" s="156"/>
      <c r="B945" s="156"/>
      <c r="C945" s="156"/>
      <c r="D945" s="156"/>
      <c r="E945" s="156"/>
      <c r="F945" s="156"/>
      <c r="G945" s="156"/>
      <c r="H945" s="156"/>
      <c r="I945" s="156"/>
      <c r="J945" s="156"/>
      <c r="K945" s="156"/>
      <c r="L945" s="156"/>
      <c r="M945" s="156"/>
      <c r="N945" s="156"/>
      <c r="O945" s="156"/>
      <c r="P945" s="156"/>
      <c r="Q945" s="156"/>
      <c r="R945" s="156"/>
      <c r="S945" s="156"/>
      <c r="T945" s="156"/>
      <c r="U945" s="156"/>
      <c r="V945" s="156"/>
      <c r="W945" s="156"/>
      <c r="X945" s="156"/>
      <c r="Y945" s="156"/>
      <c r="Z945" s="156"/>
    </row>
    <row r="946">
      <c r="A946" s="156"/>
      <c r="B946" s="156"/>
      <c r="C946" s="156"/>
      <c r="D946" s="156"/>
      <c r="E946" s="156"/>
      <c r="F946" s="156"/>
      <c r="G946" s="156"/>
      <c r="H946" s="156"/>
      <c r="I946" s="156"/>
      <c r="J946" s="156"/>
      <c r="K946" s="156"/>
      <c r="L946" s="156"/>
      <c r="M946" s="156"/>
      <c r="N946" s="156"/>
      <c r="O946" s="156"/>
      <c r="P946" s="156"/>
      <c r="Q946" s="156"/>
      <c r="R946" s="156"/>
      <c r="S946" s="156"/>
      <c r="T946" s="156"/>
      <c r="U946" s="156"/>
      <c r="V946" s="156"/>
      <c r="W946" s="156"/>
      <c r="X946" s="156"/>
      <c r="Y946" s="156"/>
      <c r="Z946" s="156"/>
    </row>
    <row r="947">
      <c r="A947" s="156"/>
      <c r="B947" s="156"/>
      <c r="C947" s="156"/>
      <c r="D947" s="156"/>
      <c r="E947" s="156"/>
      <c r="F947" s="156"/>
      <c r="G947" s="156"/>
      <c r="H947" s="156"/>
      <c r="I947" s="156"/>
      <c r="J947" s="156"/>
      <c r="K947" s="156"/>
      <c r="L947" s="156"/>
      <c r="M947" s="156"/>
      <c r="N947" s="156"/>
      <c r="O947" s="156"/>
      <c r="P947" s="156"/>
      <c r="Q947" s="156"/>
      <c r="R947" s="156"/>
      <c r="S947" s="156"/>
      <c r="T947" s="156"/>
      <c r="U947" s="156"/>
      <c r="V947" s="156"/>
      <c r="W947" s="156"/>
      <c r="X947" s="156"/>
      <c r="Y947" s="156"/>
      <c r="Z947" s="156"/>
    </row>
    <row r="948">
      <c r="A948" s="156"/>
      <c r="B948" s="156"/>
      <c r="C948" s="156"/>
      <c r="D948" s="156"/>
      <c r="E948" s="156"/>
      <c r="F948" s="156"/>
      <c r="G948" s="156"/>
      <c r="H948" s="156"/>
      <c r="I948" s="156"/>
      <c r="J948" s="156"/>
      <c r="K948" s="156"/>
      <c r="L948" s="156"/>
      <c r="M948" s="156"/>
      <c r="N948" s="156"/>
      <c r="O948" s="156"/>
      <c r="P948" s="156"/>
      <c r="Q948" s="156"/>
      <c r="R948" s="156"/>
      <c r="S948" s="156"/>
      <c r="T948" s="156"/>
      <c r="U948" s="156"/>
      <c r="V948" s="156"/>
      <c r="W948" s="156"/>
      <c r="X948" s="156"/>
      <c r="Y948" s="156"/>
      <c r="Z948" s="156"/>
    </row>
    <row r="949">
      <c r="A949" s="156"/>
      <c r="B949" s="156"/>
      <c r="C949" s="156"/>
      <c r="D949" s="156"/>
      <c r="E949" s="156"/>
      <c r="F949" s="156"/>
      <c r="G949" s="156"/>
      <c r="H949" s="156"/>
      <c r="I949" s="156"/>
      <c r="J949" s="156"/>
      <c r="K949" s="156"/>
      <c r="L949" s="156"/>
      <c r="M949" s="156"/>
      <c r="N949" s="156"/>
      <c r="O949" s="156"/>
      <c r="P949" s="156"/>
      <c r="Q949" s="156"/>
      <c r="R949" s="156"/>
      <c r="S949" s="156"/>
      <c r="T949" s="156"/>
      <c r="U949" s="156"/>
      <c r="V949" s="156"/>
      <c r="W949" s="156"/>
      <c r="X949" s="156"/>
      <c r="Y949" s="156"/>
      <c r="Z949" s="156"/>
    </row>
    <row r="950">
      <c r="A950" s="156"/>
      <c r="B950" s="156"/>
      <c r="C950" s="156"/>
      <c r="D950" s="156"/>
      <c r="E950" s="156"/>
      <c r="F950" s="156"/>
      <c r="G950" s="156"/>
      <c r="H950" s="156"/>
      <c r="I950" s="156"/>
      <c r="J950" s="156"/>
      <c r="K950" s="156"/>
      <c r="L950" s="156"/>
      <c r="M950" s="156"/>
      <c r="N950" s="156"/>
      <c r="O950" s="156"/>
      <c r="P950" s="156"/>
      <c r="Q950" s="156"/>
      <c r="R950" s="156"/>
      <c r="S950" s="156"/>
      <c r="T950" s="156"/>
      <c r="U950" s="156"/>
      <c r="V950" s="156"/>
      <c r="W950" s="156"/>
      <c r="X950" s="156"/>
      <c r="Y950" s="156"/>
      <c r="Z950" s="156"/>
    </row>
    <row r="951">
      <c r="A951" s="156"/>
      <c r="B951" s="156"/>
      <c r="C951" s="156"/>
      <c r="D951" s="156"/>
      <c r="E951" s="156"/>
      <c r="F951" s="156"/>
      <c r="G951" s="156"/>
      <c r="H951" s="156"/>
      <c r="I951" s="156"/>
      <c r="J951" s="156"/>
      <c r="K951" s="156"/>
      <c r="L951" s="156"/>
      <c r="M951" s="156"/>
      <c r="N951" s="156"/>
      <c r="O951" s="156"/>
      <c r="P951" s="156"/>
      <c r="Q951" s="156"/>
      <c r="R951" s="156"/>
      <c r="S951" s="156"/>
      <c r="T951" s="156"/>
      <c r="U951" s="156"/>
      <c r="V951" s="156"/>
      <c r="W951" s="156"/>
      <c r="X951" s="156"/>
      <c r="Y951" s="156"/>
      <c r="Z951" s="156"/>
    </row>
    <row r="952">
      <c r="A952" s="156"/>
      <c r="B952" s="156"/>
      <c r="C952" s="156"/>
      <c r="D952" s="156"/>
      <c r="E952" s="156"/>
      <c r="F952" s="156"/>
      <c r="G952" s="156"/>
      <c r="H952" s="156"/>
      <c r="I952" s="156"/>
      <c r="J952" s="156"/>
      <c r="K952" s="156"/>
      <c r="L952" s="156"/>
      <c r="M952" s="156"/>
      <c r="N952" s="156"/>
      <c r="O952" s="156"/>
      <c r="P952" s="156"/>
      <c r="Q952" s="156"/>
      <c r="R952" s="156"/>
      <c r="S952" s="156"/>
      <c r="T952" s="156"/>
      <c r="U952" s="156"/>
      <c r="V952" s="156"/>
      <c r="W952" s="156"/>
      <c r="X952" s="156"/>
      <c r="Y952" s="156"/>
      <c r="Z952" s="156"/>
    </row>
    <row r="953">
      <c r="A953" s="156"/>
      <c r="B953" s="156"/>
      <c r="C953" s="156"/>
      <c r="D953" s="156"/>
      <c r="E953" s="156"/>
      <c r="F953" s="156"/>
      <c r="G953" s="156"/>
      <c r="H953" s="156"/>
      <c r="I953" s="156"/>
      <c r="J953" s="156"/>
      <c r="K953" s="156"/>
      <c r="L953" s="156"/>
      <c r="M953" s="156"/>
      <c r="N953" s="156"/>
      <c r="O953" s="156"/>
      <c r="P953" s="156"/>
      <c r="Q953" s="156"/>
      <c r="R953" s="156"/>
      <c r="S953" s="156"/>
      <c r="T953" s="156"/>
      <c r="U953" s="156"/>
      <c r="V953" s="156"/>
      <c r="W953" s="156"/>
      <c r="X953" s="156"/>
      <c r="Y953" s="156"/>
      <c r="Z953" s="156"/>
    </row>
    <row r="954">
      <c r="A954" s="156"/>
      <c r="B954" s="156"/>
      <c r="C954" s="156"/>
      <c r="D954" s="156"/>
      <c r="E954" s="156"/>
      <c r="F954" s="156"/>
      <c r="G954" s="156"/>
      <c r="H954" s="156"/>
      <c r="I954" s="156"/>
      <c r="J954" s="156"/>
      <c r="K954" s="156"/>
      <c r="L954" s="156"/>
      <c r="M954" s="156"/>
      <c r="N954" s="156"/>
      <c r="O954" s="156"/>
      <c r="P954" s="156"/>
      <c r="Q954" s="156"/>
      <c r="R954" s="156"/>
      <c r="S954" s="156"/>
      <c r="T954" s="156"/>
      <c r="U954" s="156"/>
      <c r="V954" s="156"/>
      <c r="W954" s="156"/>
      <c r="X954" s="156"/>
      <c r="Y954" s="156"/>
      <c r="Z954" s="156"/>
    </row>
    <row r="955">
      <c r="A955" s="156"/>
      <c r="B955" s="156"/>
      <c r="C955" s="156"/>
      <c r="D955" s="156"/>
      <c r="E955" s="156"/>
      <c r="F955" s="156"/>
      <c r="G955" s="156"/>
      <c r="H955" s="156"/>
      <c r="I955" s="156"/>
      <c r="J955" s="156"/>
      <c r="K955" s="156"/>
      <c r="L955" s="156"/>
      <c r="M955" s="156"/>
      <c r="N955" s="156"/>
      <c r="O955" s="156"/>
      <c r="P955" s="156"/>
      <c r="Q955" s="156"/>
      <c r="R955" s="156"/>
      <c r="S955" s="156"/>
      <c r="T955" s="156"/>
      <c r="U955" s="156"/>
      <c r="V955" s="156"/>
      <c r="W955" s="156"/>
      <c r="X955" s="156"/>
      <c r="Y955" s="156"/>
      <c r="Z955" s="156"/>
    </row>
    <row r="956">
      <c r="A956" s="156"/>
      <c r="B956" s="156"/>
      <c r="C956" s="156"/>
      <c r="D956" s="156"/>
      <c r="E956" s="156"/>
      <c r="F956" s="156"/>
      <c r="G956" s="156"/>
      <c r="H956" s="156"/>
      <c r="I956" s="156"/>
      <c r="J956" s="156"/>
      <c r="K956" s="156"/>
      <c r="L956" s="156"/>
      <c r="M956" s="156"/>
      <c r="N956" s="156"/>
      <c r="O956" s="156"/>
      <c r="P956" s="156"/>
      <c r="Q956" s="156"/>
      <c r="R956" s="156"/>
      <c r="S956" s="156"/>
      <c r="T956" s="156"/>
      <c r="U956" s="156"/>
      <c r="V956" s="156"/>
      <c r="W956" s="156"/>
      <c r="X956" s="156"/>
      <c r="Y956" s="156"/>
      <c r="Z956" s="156"/>
    </row>
    <row r="957">
      <c r="A957" s="156"/>
      <c r="B957" s="156"/>
      <c r="C957" s="156"/>
      <c r="D957" s="156"/>
      <c r="E957" s="156"/>
      <c r="F957" s="156"/>
      <c r="G957" s="156"/>
      <c r="H957" s="156"/>
      <c r="I957" s="156"/>
      <c r="J957" s="156"/>
      <c r="K957" s="156"/>
      <c r="L957" s="156"/>
      <c r="M957" s="156"/>
      <c r="N957" s="156"/>
      <c r="O957" s="156"/>
      <c r="P957" s="156"/>
      <c r="Q957" s="156"/>
      <c r="R957" s="156"/>
      <c r="S957" s="156"/>
      <c r="T957" s="156"/>
      <c r="U957" s="156"/>
      <c r="V957" s="156"/>
      <c r="W957" s="156"/>
      <c r="X957" s="156"/>
      <c r="Y957" s="156"/>
      <c r="Z957" s="156"/>
    </row>
    <row r="958">
      <c r="A958" s="156"/>
      <c r="B958" s="156"/>
      <c r="C958" s="156"/>
      <c r="D958" s="156"/>
      <c r="E958" s="156"/>
      <c r="F958" s="156"/>
      <c r="G958" s="156"/>
      <c r="H958" s="156"/>
      <c r="I958" s="156"/>
      <c r="J958" s="156"/>
      <c r="K958" s="156"/>
      <c r="L958" s="156"/>
      <c r="M958" s="156"/>
      <c r="N958" s="156"/>
      <c r="O958" s="156"/>
      <c r="P958" s="156"/>
      <c r="Q958" s="156"/>
      <c r="R958" s="156"/>
      <c r="S958" s="156"/>
      <c r="T958" s="156"/>
      <c r="U958" s="156"/>
      <c r="V958" s="156"/>
      <c r="W958" s="156"/>
      <c r="X958" s="156"/>
      <c r="Y958" s="156"/>
      <c r="Z958" s="156"/>
    </row>
    <row r="959">
      <c r="A959" s="156"/>
      <c r="B959" s="156"/>
      <c r="C959" s="156"/>
      <c r="D959" s="156"/>
      <c r="E959" s="156"/>
      <c r="F959" s="156"/>
      <c r="G959" s="156"/>
      <c r="H959" s="156"/>
      <c r="I959" s="156"/>
      <c r="J959" s="156"/>
      <c r="K959" s="156"/>
      <c r="L959" s="156"/>
      <c r="M959" s="156"/>
      <c r="N959" s="156"/>
      <c r="O959" s="156"/>
      <c r="P959" s="156"/>
      <c r="Q959" s="156"/>
      <c r="R959" s="156"/>
      <c r="S959" s="156"/>
      <c r="T959" s="156"/>
      <c r="U959" s="156"/>
      <c r="V959" s="156"/>
      <c r="W959" s="156"/>
      <c r="X959" s="156"/>
      <c r="Y959" s="156"/>
      <c r="Z959" s="156"/>
    </row>
    <row r="960">
      <c r="A960" s="156"/>
      <c r="B960" s="156"/>
      <c r="C960" s="156"/>
      <c r="D960" s="156"/>
      <c r="E960" s="156"/>
      <c r="F960" s="156"/>
      <c r="G960" s="156"/>
      <c r="H960" s="156"/>
      <c r="I960" s="156"/>
      <c r="J960" s="156"/>
      <c r="K960" s="156"/>
      <c r="L960" s="156"/>
      <c r="M960" s="156"/>
      <c r="N960" s="156"/>
      <c r="O960" s="156"/>
      <c r="P960" s="156"/>
      <c r="Q960" s="156"/>
      <c r="R960" s="156"/>
      <c r="S960" s="156"/>
      <c r="T960" s="156"/>
      <c r="U960" s="156"/>
      <c r="V960" s="156"/>
      <c r="W960" s="156"/>
      <c r="X960" s="156"/>
      <c r="Y960" s="156"/>
      <c r="Z960" s="156"/>
    </row>
    <row r="961">
      <c r="A961" s="156"/>
      <c r="B961" s="156"/>
      <c r="C961" s="156"/>
      <c r="D961" s="156"/>
      <c r="E961" s="156"/>
      <c r="F961" s="156"/>
      <c r="G961" s="156"/>
      <c r="H961" s="156"/>
      <c r="I961" s="156"/>
      <c r="J961" s="156"/>
      <c r="K961" s="156"/>
      <c r="L961" s="156"/>
      <c r="M961" s="156"/>
      <c r="N961" s="156"/>
      <c r="O961" s="156"/>
      <c r="P961" s="156"/>
      <c r="Q961" s="156"/>
      <c r="R961" s="156"/>
      <c r="S961" s="156"/>
      <c r="T961" s="156"/>
      <c r="U961" s="156"/>
      <c r="V961" s="156"/>
      <c r="W961" s="156"/>
      <c r="X961" s="156"/>
      <c r="Y961" s="156"/>
      <c r="Z961" s="156"/>
    </row>
    <row r="962">
      <c r="A962" s="156"/>
      <c r="B962" s="156"/>
      <c r="C962" s="156"/>
      <c r="D962" s="156"/>
      <c r="E962" s="156"/>
      <c r="F962" s="156"/>
      <c r="G962" s="156"/>
      <c r="H962" s="156"/>
      <c r="I962" s="156"/>
      <c r="J962" s="156"/>
      <c r="K962" s="156"/>
      <c r="L962" s="156"/>
      <c r="M962" s="156"/>
      <c r="N962" s="156"/>
      <c r="O962" s="156"/>
      <c r="P962" s="156"/>
      <c r="Q962" s="156"/>
      <c r="R962" s="156"/>
      <c r="S962" s="156"/>
      <c r="T962" s="156"/>
      <c r="U962" s="156"/>
      <c r="V962" s="156"/>
      <c r="W962" s="156"/>
      <c r="X962" s="156"/>
      <c r="Y962" s="156"/>
      <c r="Z962" s="156"/>
    </row>
    <row r="963">
      <c r="A963" s="156"/>
      <c r="B963" s="156"/>
      <c r="C963" s="156"/>
      <c r="D963" s="156"/>
      <c r="E963" s="156"/>
      <c r="F963" s="156"/>
      <c r="G963" s="156"/>
      <c r="H963" s="156"/>
      <c r="I963" s="156"/>
      <c r="J963" s="156"/>
      <c r="K963" s="156"/>
      <c r="L963" s="156"/>
      <c r="M963" s="156"/>
      <c r="N963" s="156"/>
      <c r="O963" s="156"/>
      <c r="P963" s="156"/>
      <c r="Q963" s="156"/>
      <c r="R963" s="156"/>
      <c r="S963" s="156"/>
      <c r="T963" s="156"/>
      <c r="U963" s="156"/>
      <c r="V963" s="156"/>
      <c r="W963" s="156"/>
      <c r="X963" s="156"/>
      <c r="Y963" s="156"/>
      <c r="Z963" s="156"/>
    </row>
    <row r="964">
      <c r="A964" s="156"/>
      <c r="B964" s="156"/>
      <c r="C964" s="156"/>
      <c r="D964" s="156"/>
      <c r="E964" s="156"/>
      <c r="F964" s="156"/>
      <c r="G964" s="156"/>
      <c r="H964" s="156"/>
      <c r="I964" s="156"/>
      <c r="J964" s="156"/>
      <c r="K964" s="156"/>
      <c r="L964" s="156"/>
      <c r="M964" s="156"/>
      <c r="N964" s="156"/>
      <c r="O964" s="156"/>
      <c r="P964" s="156"/>
      <c r="Q964" s="156"/>
      <c r="R964" s="156"/>
      <c r="S964" s="156"/>
      <c r="T964" s="156"/>
      <c r="U964" s="156"/>
      <c r="V964" s="156"/>
      <c r="W964" s="156"/>
      <c r="X964" s="156"/>
      <c r="Y964" s="156"/>
      <c r="Z964" s="156"/>
    </row>
    <row r="965">
      <c r="A965" s="156"/>
      <c r="B965" s="156"/>
      <c r="C965" s="156"/>
      <c r="D965" s="156"/>
      <c r="E965" s="156"/>
      <c r="F965" s="156"/>
      <c r="G965" s="156"/>
      <c r="H965" s="156"/>
      <c r="I965" s="156"/>
      <c r="J965" s="156"/>
      <c r="K965" s="156"/>
      <c r="L965" s="156"/>
      <c r="M965" s="156"/>
      <c r="N965" s="156"/>
      <c r="O965" s="156"/>
      <c r="P965" s="156"/>
      <c r="Q965" s="156"/>
      <c r="R965" s="156"/>
      <c r="S965" s="156"/>
      <c r="T965" s="156"/>
      <c r="U965" s="156"/>
      <c r="V965" s="156"/>
      <c r="W965" s="156"/>
      <c r="X965" s="156"/>
      <c r="Y965" s="156"/>
      <c r="Z965" s="156"/>
    </row>
    <row r="966">
      <c r="A966" s="156"/>
      <c r="B966" s="156"/>
      <c r="C966" s="156"/>
      <c r="D966" s="156"/>
      <c r="E966" s="156"/>
      <c r="F966" s="156"/>
      <c r="G966" s="156"/>
      <c r="H966" s="156"/>
      <c r="I966" s="156"/>
      <c r="J966" s="156"/>
      <c r="K966" s="156"/>
      <c r="L966" s="156"/>
      <c r="M966" s="156"/>
      <c r="N966" s="156"/>
      <c r="O966" s="156"/>
      <c r="P966" s="156"/>
      <c r="Q966" s="156"/>
      <c r="R966" s="156"/>
      <c r="S966" s="156"/>
      <c r="T966" s="156"/>
      <c r="U966" s="156"/>
      <c r="V966" s="156"/>
      <c r="W966" s="156"/>
      <c r="X966" s="156"/>
      <c r="Y966" s="156"/>
      <c r="Z966" s="156"/>
    </row>
    <row r="967">
      <c r="A967" s="156"/>
      <c r="B967" s="156"/>
      <c r="C967" s="156"/>
      <c r="D967" s="156"/>
      <c r="E967" s="156"/>
      <c r="F967" s="156"/>
      <c r="G967" s="156"/>
      <c r="H967" s="156"/>
      <c r="I967" s="156"/>
      <c r="J967" s="156"/>
      <c r="K967" s="156"/>
      <c r="L967" s="156"/>
      <c r="M967" s="156"/>
      <c r="N967" s="156"/>
      <c r="O967" s="156"/>
      <c r="P967" s="156"/>
      <c r="Q967" s="156"/>
      <c r="R967" s="156"/>
      <c r="S967" s="156"/>
      <c r="T967" s="156"/>
      <c r="U967" s="156"/>
      <c r="V967" s="156"/>
      <c r="W967" s="156"/>
      <c r="X967" s="156"/>
      <c r="Y967" s="156"/>
      <c r="Z967" s="156"/>
    </row>
    <row r="968">
      <c r="A968" s="156"/>
      <c r="B968" s="156"/>
      <c r="C968" s="156"/>
      <c r="D968" s="156"/>
      <c r="E968" s="156"/>
      <c r="F968" s="156"/>
      <c r="G968" s="156"/>
      <c r="H968" s="156"/>
      <c r="I968" s="156"/>
      <c r="J968" s="156"/>
      <c r="K968" s="156"/>
      <c r="L968" s="156"/>
      <c r="M968" s="156"/>
      <c r="N968" s="156"/>
      <c r="O968" s="156"/>
      <c r="P968" s="156"/>
      <c r="Q968" s="156"/>
      <c r="R968" s="156"/>
      <c r="S968" s="156"/>
      <c r="T968" s="156"/>
      <c r="U968" s="156"/>
      <c r="V968" s="156"/>
      <c r="W968" s="156"/>
      <c r="X968" s="156"/>
      <c r="Y968" s="156"/>
      <c r="Z968" s="156"/>
    </row>
    <row r="969">
      <c r="A969" s="156"/>
      <c r="B969" s="156"/>
      <c r="C969" s="156"/>
      <c r="D969" s="156"/>
      <c r="E969" s="156"/>
      <c r="F969" s="156"/>
      <c r="G969" s="156"/>
      <c r="H969" s="156"/>
      <c r="I969" s="156"/>
      <c r="J969" s="156"/>
      <c r="K969" s="156"/>
      <c r="L969" s="156"/>
      <c r="M969" s="156"/>
      <c r="N969" s="156"/>
      <c r="O969" s="156"/>
      <c r="P969" s="156"/>
      <c r="Q969" s="156"/>
      <c r="R969" s="156"/>
      <c r="S969" s="156"/>
      <c r="T969" s="156"/>
      <c r="U969" s="156"/>
      <c r="V969" s="156"/>
      <c r="W969" s="156"/>
      <c r="X969" s="156"/>
      <c r="Y969" s="156"/>
      <c r="Z969" s="156"/>
    </row>
    <row r="970">
      <c r="A970" s="156"/>
      <c r="B970" s="156"/>
      <c r="C970" s="156"/>
      <c r="D970" s="156"/>
      <c r="E970" s="156"/>
      <c r="F970" s="156"/>
      <c r="G970" s="156"/>
      <c r="H970" s="156"/>
      <c r="I970" s="156"/>
      <c r="J970" s="156"/>
      <c r="K970" s="156"/>
      <c r="L970" s="156"/>
      <c r="M970" s="156"/>
      <c r="N970" s="156"/>
      <c r="O970" s="156"/>
      <c r="P970" s="156"/>
      <c r="Q970" s="156"/>
      <c r="R970" s="156"/>
      <c r="S970" s="156"/>
      <c r="T970" s="156"/>
      <c r="U970" s="156"/>
      <c r="V970" s="156"/>
      <c r="W970" s="156"/>
      <c r="X970" s="156"/>
      <c r="Y970" s="156"/>
      <c r="Z970" s="156"/>
    </row>
    <row r="971">
      <c r="A971" s="156"/>
      <c r="B971" s="156"/>
      <c r="C971" s="156"/>
      <c r="D971" s="156"/>
      <c r="E971" s="156"/>
      <c r="F971" s="156"/>
      <c r="G971" s="156"/>
      <c r="H971" s="156"/>
      <c r="I971" s="156"/>
      <c r="J971" s="156"/>
      <c r="K971" s="156"/>
      <c r="L971" s="156"/>
      <c r="M971" s="156"/>
      <c r="N971" s="156"/>
      <c r="O971" s="156"/>
      <c r="P971" s="156"/>
      <c r="Q971" s="156"/>
      <c r="R971" s="156"/>
      <c r="S971" s="156"/>
      <c r="T971" s="156"/>
      <c r="U971" s="156"/>
      <c r="V971" s="156"/>
      <c r="W971" s="156"/>
      <c r="X971" s="156"/>
      <c r="Y971" s="156"/>
      <c r="Z971" s="156"/>
    </row>
    <row r="972">
      <c r="A972" s="156"/>
      <c r="B972" s="156"/>
      <c r="C972" s="156"/>
      <c r="D972" s="156"/>
      <c r="E972" s="156"/>
      <c r="F972" s="156"/>
      <c r="G972" s="156"/>
      <c r="H972" s="156"/>
      <c r="I972" s="156"/>
      <c r="J972" s="156"/>
      <c r="K972" s="156"/>
      <c r="L972" s="156"/>
      <c r="M972" s="156"/>
      <c r="N972" s="156"/>
      <c r="O972" s="156"/>
      <c r="P972" s="156"/>
      <c r="Q972" s="156"/>
      <c r="R972" s="156"/>
      <c r="S972" s="156"/>
      <c r="T972" s="156"/>
      <c r="U972" s="156"/>
      <c r="V972" s="156"/>
      <c r="W972" s="156"/>
      <c r="X972" s="156"/>
      <c r="Y972" s="156"/>
      <c r="Z972" s="156"/>
    </row>
    <row r="973">
      <c r="A973" s="156"/>
      <c r="B973" s="156"/>
      <c r="C973" s="156"/>
      <c r="D973" s="156"/>
      <c r="E973" s="156"/>
      <c r="F973" s="156"/>
      <c r="G973" s="156"/>
      <c r="H973" s="156"/>
      <c r="I973" s="156"/>
      <c r="J973" s="156"/>
      <c r="K973" s="156"/>
      <c r="L973" s="156"/>
      <c r="M973" s="156"/>
      <c r="N973" s="156"/>
      <c r="O973" s="156"/>
      <c r="P973" s="156"/>
      <c r="Q973" s="156"/>
      <c r="R973" s="156"/>
      <c r="S973" s="156"/>
      <c r="T973" s="156"/>
      <c r="U973" s="156"/>
      <c r="V973" s="156"/>
      <c r="W973" s="156"/>
      <c r="X973" s="156"/>
      <c r="Y973" s="156"/>
      <c r="Z973" s="156"/>
    </row>
    <row r="974">
      <c r="A974" s="156"/>
      <c r="B974" s="156"/>
      <c r="C974" s="156"/>
      <c r="D974" s="156"/>
      <c r="E974" s="156"/>
      <c r="F974" s="156"/>
      <c r="G974" s="156"/>
      <c r="H974" s="156"/>
      <c r="I974" s="156"/>
      <c r="J974" s="156"/>
      <c r="K974" s="156"/>
      <c r="L974" s="156"/>
      <c r="M974" s="156"/>
      <c r="N974" s="156"/>
      <c r="O974" s="156"/>
      <c r="P974" s="156"/>
      <c r="Q974" s="156"/>
      <c r="R974" s="156"/>
      <c r="S974" s="156"/>
      <c r="T974" s="156"/>
      <c r="U974" s="156"/>
      <c r="V974" s="156"/>
      <c r="W974" s="156"/>
      <c r="X974" s="156"/>
      <c r="Y974" s="156"/>
      <c r="Z974" s="156"/>
    </row>
    <row r="975">
      <c r="A975" s="156"/>
      <c r="B975" s="156"/>
      <c r="C975" s="156"/>
      <c r="D975" s="156"/>
      <c r="E975" s="156"/>
      <c r="F975" s="156"/>
      <c r="G975" s="156"/>
      <c r="H975" s="156"/>
      <c r="I975" s="156"/>
      <c r="J975" s="156"/>
      <c r="K975" s="156"/>
      <c r="L975" s="156"/>
      <c r="M975" s="156"/>
      <c r="N975" s="156"/>
      <c r="O975" s="156"/>
      <c r="P975" s="156"/>
      <c r="Q975" s="156"/>
      <c r="R975" s="156"/>
      <c r="S975" s="156"/>
      <c r="T975" s="156"/>
      <c r="U975" s="156"/>
      <c r="V975" s="156"/>
      <c r="W975" s="156"/>
      <c r="X975" s="156"/>
      <c r="Y975" s="156"/>
      <c r="Z975" s="156"/>
    </row>
    <row r="976">
      <c r="A976" s="156"/>
      <c r="B976" s="156"/>
      <c r="C976" s="156"/>
      <c r="D976" s="156"/>
      <c r="E976" s="156"/>
      <c r="F976" s="156"/>
      <c r="G976" s="156"/>
      <c r="H976" s="156"/>
      <c r="I976" s="156"/>
      <c r="J976" s="156"/>
      <c r="K976" s="156"/>
      <c r="L976" s="156"/>
      <c r="M976" s="156"/>
      <c r="N976" s="156"/>
      <c r="O976" s="156"/>
      <c r="P976" s="156"/>
      <c r="Q976" s="156"/>
      <c r="R976" s="156"/>
      <c r="S976" s="156"/>
      <c r="T976" s="156"/>
      <c r="U976" s="156"/>
      <c r="V976" s="156"/>
      <c r="W976" s="156"/>
      <c r="X976" s="156"/>
      <c r="Y976" s="156"/>
      <c r="Z976" s="156"/>
    </row>
    <row r="977">
      <c r="A977" s="156"/>
      <c r="B977" s="156"/>
      <c r="C977" s="156"/>
      <c r="D977" s="156"/>
      <c r="E977" s="156"/>
      <c r="F977" s="156"/>
      <c r="G977" s="156"/>
      <c r="H977" s="156"/>
      <c r="I977" s="156"/>
      <c r="J977" s="156"/>
      <c r="K977" s="156"/>
      <c r="L977" s="156"/>
      <c r="M977" s="156"/>
      <c r="N977" s="156"/>
      <c r="O977" s="156"/>
      <c r="P977" s="156"/>
      <c r="Q977" s="156"/>
      <c r="R977" s="156"/>
      <c r="S977" s="156"/>
      <c r="T977" s="156"/>
      <c r="U977" s="156"/>
      <c r="V977" s="156"/>
      <c r="W977" s="156"/>
      <c r="X977" s="156"/>
      <c r="Y977" s="156"/>
      <c r="Z977" s="156"/>
    </row>
    <row r="978">
      <c r="A978" s="156"/>
      <c r="B978" s="156"/>
      <c r="C978" s="156"/>
      <c r="D978" s="156"/>
      <c r="E978" s="156"/>
      <c r="F978" s="156"/>
      <c r="G978" s="156"/>
      <c r="H978" s="156"/>
      <c r="I978" s="156"/>
      <c r="J978" s="156"/>
      <c r="K978" s="156"/>
      <c r="L978" s="156"/>
      <c r="M978" s="156"/>
      <c r="N978" s="156"/>
      <c r="O978" s="156"/>
      <c r="P978" s="156"/>
      <c r="Q978" s="156"/>
      <c r="R978" s="156"/>
      <c r="S978" s="156"/>
      <c r="T978" s="156"/>
      <c r="U978" s="156"/>
      <c r="V978" s="156"/>
      <c r="W978" s="156"/>
      <c r="X978" s="156"/>
      <c r="Y978" s="156"/>
      <c r="Z978" s="156"/>
    </row>
    <row r="979">
      <c r="A979" s="156"/>
      <c r="B979" s="156"/>
      <c r="C979" s="156"/>
      <c r="D979" s="156"/>
      <c r="E979" s="156"/>
      <c r="F979" s="156"/>
      <c r="G979" s="156"/>
      <c r="H979" s="156"/>
      <c r="I979" s="156"/>
      <c r="J979" s="156"/>
      <c r="K979" s="156"/>
      <c r="L979" s="156"/>
      <c r="M979" s="156"/>
      <c r="N979" s="156"/>
      <c r="O979" s="156"/>
      <c r="P979" s="156"/>
      <c r="Q979" s="156"/>
      <c r="R979" s="156"/>
      <c r="S979" s="156"/>
      <c r="T979" s="156"/>
      <c r="U979" s="156"/>
      <c r="V979" s="156"/>
      <c r="W979" s="156"/>
      <c r="X979" s="156"/>
      <c r="Y979" s="156"/>
      <c r="Z979" s="156"/>
    </row>
    <row r="980">
      <c r="A980" s="156"/>
      <c r="B980" s="156"/>
      <c r="C980" s="156"/>
      <c r="D980" s="156"/>
      <c r="E980" s="156"/>
      <c r="F980" s="156"/>
      <c r="G980" s="156"/>
      <c r="H980" s="156"/>
      <c r="I980" s="156"/>
      <c r="J980" s="156"/>
      <c r="K980" s="156"/>
      <c r="L980" s="156"/>
      <c r="M980" s="156"/>
      <c r="N980" s="156"/>
      <c r="O980" s="156"/>
      <c r="P980" s="156"/>
      <c r="Q980" s="156"/>
      <c r="R980" s="156"/>
      <c r="S980" s="156"/>
      <c r="T980" s="156"/>
      <c r="U980" s="156"/>
      <c r="V980" s="156"/>
      <c r="W980" s="156"/>
      <c r="X980" s="156"/>
      <c r="Y980" s="156"/>
      <c r="Z980" s="156"/>
    </row>
    <row r="981">
      <c r="A981" s="156"/>
      <c r="B981" s="156"/>
      <c r="C981" s="156"/>
      <c r="D981" s="156"/>
      <c r="E981" s="156"/>
      <c r="F981" s="156"/>
      <c r="G981" s="156"/>
      <c r="H981" s="156"/>
      <c r="I981" s="156"/>
      <c r="J981" s="156"/>
      <c r="K981" s="156"/>
      <c r="L981" s="156"/>
      <c r="M981" s="156"/>
      <c r="N981" s="156"/>
      <c r="O981" s="156"/>
      <c r="P981" s="156"/>
      <c r="Q981" s="156"/>
      <c r="R981" s="156"/>
      <c r="S981" s="156"/>
      <c r="T981" s="156"/>
      <c r="U981" s="156"/>
      <c r="V981" s="156"/>
      <c r="W981" s="156"/>
      <c r="X981" s="156"/>
      <c r="Y981" s="156"/>
      <c r="Z981" s="156"/>
    </row>
    <row r="982">
      <c r="A982" s="156"/>
      <c r="B982" s="156"/>
      <c r="C982" s="156"/>
      <c r="D982" s="156"/>
      <c r="E982" s="156"/>
      <c r="F982" s="156"/>
      <c r="G982" s="156"/>
      <c r="H982" s="156"/>
      <c r="I982" s="156"/>
      <c r="J982" s="156"/>
      <c r="K982" s="156"/>
      <c r="L982" s="156"/>
      <c r="M982" s="156"/>
      <c r="N982" s="156"/>
      <c r="O982" s="156"/>
      <c r="P982" s="156"/>
      <c r="Q982" s="156"/>
      <c r="R982" s="156"/>
      <c r="S982" s="156"/>
      <c r="T982" s="156"/>
      <c r="U982" s="156"/>
      <c r="V982" s="156"/>
      <c r="W982" s="156"/>
      <c r="X982" s="156"/>
      <c r="Y982" s="156"/>
      <c r="Z982" s="156"/>
    </row>
    <row r="983">
      <c r="A983" s="156"/>
      <c r="B983" s="156"/>
      <c r="C983" s="156"/>
      <c r="D983" s="156"/>
      <c r="E983" s="156"/>
      <c r="F983" s="156"/>
      <c r="G983" s="156"/>
      <c r="H983" s="156"/>
      <c r="I983" s="156"/>
      <c r="J983" s="156"/>
      <c r="K983" s="156"/>
      <c r="L983" s="156"/>
      <c r="M983" s="156"/>
      <c r="N983" s="156"/>
      <c r="O983" s="156"/>
      <c r="P983" s="156"/>
      <c r="Q983" s="156"/>
      <c r="R983" s="156"/>
      <c r="S983" s="156"/>
      <c r="T983" s="156"/>
      <c r="U983" s="156"/>
      <c r="V983" s="156"/>
      <c r="W983" s="156"/>
      <c r="X983" s="156"/>
      <c r="Y983" s="156"/>
      <c r="Z983" s="156"/>
    </row>
    <row r="984">
      <c r="A984" s="156"/>
      <c r="B984" s="156"/>
      <c r="C984" s="156"/>
      <c r="D984" s="156"/>
      <c r="E984" s="156"/>
      <c r="F984" s="156"/>
      <c r="G984" s="156"/>
      <c r="H984" s="156"/>
      <c r="I984" s="156"/>
      <c r="J984" s="156"/>
      <c r="K984" s="156"/>
      <c r="L984" s="156"/>
      <c r="M984" s="156"/>
      <c r="N984" s="156"/>
      <c r="O984" s="156"/>
      <c r="P984" s="156"/>
      <c r="Q984" s="156"/>
      <c r="R984" s="156"/>
      <c r="S984" s="156"/>
      <c r="T984" s="156"/>
      <c r="U984" s="156"/>
      <c r="V984" s="156"/>
      <c r="W984" s="156"/>
      <c r="X984" s="156"/>
      <c r="Y984" s="156"/>
      <c r="Z984" s="156"/>
    </row>
    <row r="985">
      <c r="A985" s="156"/>
      <c r="B985" s="156"/>
      <c r="C985" s="156"/>
      <c r="D985" s="156"/>
      <c r="E985" s="156"/>
      <c r="F985" s="156"/>
      <c r="G985" s="156"/>
      <c r="H985" s="156"/>
      <c r="I985" s="156"/>
      <c r="J985" s="156"/>
      <c r="K985" s="156"/>
      <c r="L985" s="156"/>
      <c r="M985" s="156"/>
      <c r="N985" s="156"/>
      <c r="O985" s="156"/>
      <c r="P985" s="156"/>
      <c r="Q985" s="156"/>
      <c r="R985" s="156"/>
      <c r="S985" s="156"/>
      <c r="T985" s="156"/>
      <c r="U985" s="156"/>
      <c r="V985" s="156"/>
      <c r="W985" s="156"/>
      <c r="X985" s="156"/>
      <c r="Y985" s="156"/>
      <c r="Z985" s="156"/>
    </row>
    <row r="986">
      <c r="A986" s="156"/>
      <c r="B986" s="156"/>
      <c r="C986" s="156"/>
      <c r="D986" s="156"/>
      <c r="E986" s="156"/>
      <c r="F986" s="156"/>
      <c r="G986" s="156"/>
      <c r="H986" s="156"/>
      <c r="I986" s="156"/>
      <c r="J986" s="156"/>
      <c r="K986" s="156"/>
      <c r="L986" s="156"/>
      <c r="M986" s="156"/>
      <c r="N986" s="156"/>
      <c r="O986" s="156"/>
      <c r="P986" s="156"/>
      <c r="Q986" s="156"/>
      <c r="R986" s="156"/>
      <c r="S986" s="156"/>
      <c r="T986" s="156"/>
      <c r="U986" s="156"/>
      <c r="V986" s="156"/>
      <c r="W986" s="156"/>
      <c r="X986" s="156"/>
      <c r="Y986" s="156"/>
      <c r="Z986" s="156"/>
    </row>
    <row r="987">
      <c r="A987" s="156"/>
      <c r="B987" s="156"/>
      <c r="C987" s="156"/>
      <c r="D987" s="156"/>
      <c r="E987" s="156"/>
      <c r="F987" s="156"/>
      <c r="G987" s="156"/>
      <c r="H987" s="156"/>
      <c r="I987" s="156"/>
      <c r="J987" s="156"/>
      <c r="K987" s="156"/>
      <c r="L987" s="156"/>
      <c r="M987" s="156"/>
      <c r="N987" s="156"/>
      <c r="O987" s="156"/>
      <c r="P987" s="156"/>
      <c r="Q987" s="156"/>
      <c r="R987" s="156"/>
      <c r="S987" s="156"/>
      <c r="T987" s="156"/>
      <c r="U987" s="156"/>
      <c r="V987" s="156"/>
      <c r="W987" s="156"/>
      <c r="X987" s="156"/>
      <c r="Y987" s="156"/>
      <c r="Z987" s="156"/>
    </row>
    <row r="988">
      <c r="A988" s="156"/>
      <c r="B988" s="156"/>
      <c r="C988" s="156"/>
      <c r="D988" s="156"/>
      <c r="E988" s="156"/>
      <c r="F988" s="156"/>
      <c r="G988" s="156"/>
      <c r="H988" s="156"/>
      <c r="I988" s="156"/>
      <c r="J988" s="156"/>
      <c r="K988" s="156"/>
      <c r="L988" s="156"/>
      <c r="M988" s="156"/>
      <c r="N988" s="156"/>
      <c r="O988" s="156"/>
      <c r="P988" s="156"/>
      <c r="Q988" s="156"/>
      <c r="R988" s="156"/>
      <c r="S988" s="156"/>
      <c r="T988" s="156"/>
      <c r="U988" s="156"/>
      <c r="V988" s="156"/>
      <c r="W988" s="156"/>
      <c r="X988" s="156"/>
      <c r="Y988" s="156"/>
      <c r="Z988" s="156"/>
    </row>
    <row r="989">
      <c r="A989" s="156"/>
      <c r="B989" s="156"/>
      <c r="C989" s="156"/>
      <c r="D989" s="156"/>
      <c r="E989" s="156"/>
      <c r="F989" s="156"/>
      <c r="G989" s="156"/>
      <c r="H989" s="156"/>
      <c r="I989" s="156"/>
      <c r="J989" s="156"/>
      <c r="K989" s="156"/>
      <c r="L989" s="156"/>
      <c r="M989" s="156"/>
      <c r="N989" s="156"/>
      <c r="O989" s="156"/>
      <c r="P989" s="156"/>
      <c r="Q989" s="156"/>
      <c r="R989" s="156"/>
      <c r="S989" s="156"/>
      <c r="T989" s="156"/>
      <c r="U989" s="156"/>
      <c r="V989" s="156"/>
      <c r="W989" s="156"/>
      <c r="X989" s="156"/>
      <c r="Y989" s="156"/>
      <c r="Z989" s="156"/>
    </row>
    <row r="990">
      <c r="A990" s="156"/>
      <c r="B990" s="156"/>
      <c r="C990" s="156"/>
      <c r="D990" s="156"/>
      <c r="E990" s="156"/>
      <c r="F990" s="156"/>
      <c r="G990" s="156"/>
      <c r="H990" s="156"/>
      <c r="I990" s="156"/>
      <c r="J990" s="156"/>
      <c r="K990" s="156"/>
      <c r="L990" s="156"/>
      <c r="M990" s="156"/>
      <c r="N990" s="156"/>
      <c r="O990" s="156"/>
      <c r="P990" s="156"/>
      <c r="Q990" s="156"/>
      <c r="R990" s="156"/>
      <c r="S990" s="156"/>
      <c r="T990" s="156"/>
      <c r="U990" s="156"/>
      <c r="V990" s="156"/>
      <c r="W990" s="156"/>
      <c r="X990" s="156"/>
      <c r="Y990" s="156"/>
      <c r="Z990" s="156"/>
    </row>
    <row r="991">
      <c r="A991" s="156"/>
      <c r="B991" s="156"/>
      <c r="C991" s="156"/>
      <c r="D991" s="156"/>
      <c r="E991" s="156"/>
      <c r="F991" s="156"/>
      <c r="G991" s="156"/>
      <c r="H991" s="156"/>
      <c r="I991" s="156"/>
      <c r="J991" s="156"/>
      <c r="K991" s="156"/>
      <c r="L991" s="156"/>
      <c r="M991" s="156"/>
      <c r="N991" s="156"/>
      <c r="O991" s="156"/>
      <c r="P991" s="156"/>
      <c r="Q991" s="156"/>
      <c r="R991" s="156"/>
      <c r="S991" s="156"/>
      <c r="T991" s="156"/>
      <c r="U991" s="156"/>
      <c r="V991" s="156"/>
      <c r="W991" s="156"/>
      <c r="X991" s="156"/>
      <c r="Y991" s="156"/>
      <c r="Z991" s="156"/>
    </row>
    <row r="992">
      <c r="A992" s="156"/>
      <c r="B992" s="156"/>
      <c r="C992" s="156"/>
      <c r="D992" s="156"/>
      <c r="E992" s="156"/>
      <c r="F992" s="156"/>
      <c r="G992" s="156"/>
      <c r="H992" s="156"/>
      <c r="I992" s="156"/>
      <c r="J992" s="156"/>
      <c r="K992" s="156"/>
      <c r="L992" s="156"/>
      <c r="M992" s="156"/>
      <c r="N992" s="156"/>
      <c r="O992" s="156"/>
      <c r="P992" s="156"/>
      <c r="Q992" s="156"/>
      <c r="R992" s="156"/>
      <c r="S992" s="156"/>
      <c r="T992" s="156"/>
      <c r="U992" s="156"/>
      <c r="V992" s="156"/>
      <c r="W992" s="156"/>
      <c r="X992" s="156"/>
      <c r="Y992" s="156"/>
      <c r="Z992" s="156"/>
    </row>
    <row r="993">
      <c r="A993" s="156"/>
      <c r="B993" s="156"/>
      <c r="C993" s="156"/>
      <c r="D993" s="156"/>
      <c r="E993" s="156"/>
      <c r="F993" s="156"/>
      <c r="G993" s="156"/>
      <c r="H993" s="156"/>
      <c r="I993" s="156"/>
      <c r="J993" s="156"/>
      <c r="K993" s="156"/>
      <c r="L993" s="156"/>
      <c r="M993" s="156"/>
      <c r="N993" s="156"/>
      <c r="O993" s="156"/>
      <c r="P993" s="156"/>
      <c r="Q993" s="156"/>
      <c r="R993" s="156"/>
      <c r="S993" s="156"/>
      <c r="T993" s="156"/>
      <c r="U993" s="156"/>
      <c r="V993" s="156"/>
      <c r="W993" s="156"/>
      <c r="X993" s="156"/>
      <c r="Y993" s="156"/>
      <c r="Z993" s="156"/>
    </row>
    <row r="994">
      <c r="A994" s="156"/>
      <c r="B994" s="156"/>
      <c r="C994" s="156"/>
      <c r="D994" s="156"/>
      <c r="E994" s="156"/>
      <c r="F994" s="156"/>
      <c r="G994" s="156"/>
      <c r="H994" s="156"/>
      <c r="I994" s="156"/>
      <c r="J994" s="156"/>
      <c r="K994" s="156"/>
      <c r="L994" s="156"/>
      <c r="M994" s="156"/>
      <c r="N994" s="156"/>
      <c r="O994" s="156"/>
      <c r="P994" s="156"/>
      <c r="Q994" s="156"/>
      <c r="R994" s="156"/>
      <c r="S994" s="156"/>
      <c r="T994" s="156"/>
      <c r="U994" s="156"/>
      <c r="V994" s="156"/>
      <c r="W994" s="156"/>
      <c r="X994" s="156"/>
      <c r="Y994" s="156"/>
      <c r="Z994" s="156"/>
    </row>
    <row r="995">
      <c r="A995" s="156"/>
      <c r="B995" s="156"/>
      <c r="C995" s="156"/>
      <c r="D995" s="156"/>
      <c r="E995" s="156"/>
      <c r="F995" s="156"/>
      <c r="G995" s="156"/>
      <c r="H995" s="156"/>
      <c r="I995" s="156"/>
      <c r="J995" s="156"/>
      <c r="K995" s="156"/>
      <c r="L995" s="156"/>
      <c r="M995" s="156"/>
      <c r="N995" s="156"/>
      <c r="O995" s="156"/>
      <c r="P995" s="156"/>
      <c r="Q995" s="156"/>
      <c r="R995" s="156"/>
      <c r="S995" s="156"/>
      <c r="T995" s="156"/>
      <c r="U995" s="156"/>
      <c r="V995" s="156"/>
      <c r="W995" s="156"/>
      <c r="X995" s="156"/>
      <c r="Y995" s="156"/>
      <c r="Z995" s="156"/>
    </row>
    <row r="996">
      <c r="A996" s="156"/>
      <c r="B996" s="156"/>
      <c r="C996" s="156"/>
      <c r="D996" s="156"/>
      <c r="E996" s="156"/>
      <c r="F996" s="156"/>
      <c r="G996" s="156"/>
      <c r="H996" s="156"/>
      <c r="I996" s="156"/>
      <c r="J996" s="156"/>
      <c r="K996" s="156"/>
      <c r="L996" s="156"/>
      <c r="M996" s="156"/>
      <c r="N996" s="156"/>
      <c r="O996" s="156"/>
      <c r="P996" s="156"/>
      <c r="Q996" s="156"/>
      <c r="R996" s="156"/>
      <c r="S996" s="156"/>
      <c r="T996" s="156"/>
      <c r="U996" s="156"/>
      <c r="V996" s="156"/>
      <c r="W996" s="156"/>
      <c r="X996" s="156"/>
      <c r="Y996" s="156"/>
      <c r="Z996" s="156"/>
    </row>
    <row r="997">
      <c r="A997" s="156"/>
      <c r="B997" s="156"/>
      <c r="C997" s="156"/>
      <c r="D997" s="156"/>
      <c r="E997" s="156"/>
      <c r="F997" s="156"/>
      <c r="G997" s="156"/>
      <c r="H997" s="156"/>
      <c r="I997" s="156"/>
      <c r="J997" s="156"/>
      <c r="K997" s="156"/>
      <c r="L997" s="156"/>
      <c r="M997" s="156"/>
      <c r="N997" s="156"/>
      <c r="O997" s="156"/>
      <c r="P997" s="156"/>
      <c r="Q997" s="156"/>
      <c r="R997" s="156"/>
      <c r="S997" s="156"/>
      <c r="T997" s="156"/>
      <c r="U997" s="156"/>
      <c r="V997" s="156"/>
      <c r="W997" s="156"/>
      <c r="X997" s="156"/>
      <c r="Y997" s="156"/>
      <c r="Z997" s="156"/>
    </row>
    <row r="998">
      <c r="A998" s="156"/>
      <c r="B998" s="156"/>
      <c r="C998" s="156"/>
      <c r="D998" s="156"/>
      <c r="E998" s="156"/>
      <c r="F998" s="156"/>
      <c r="G998" s="156"/>
      <c r="H998" s="156"/>
      <c r="I998" s="156"/>
      <c r="J998" s="156"/>
      <c r="K998" s="156"/>
      <c r="L998" s="156"/>
      <c r="M998" s="156"/>
      <c r="N998" s="156"/>
      <c r="O998" s="156"/>
      <c r="P998" s="156"/>
      <c r="Q998" s="156"/>
      <c r="R998" s="156"/>
      <c r="S998" s="156"/>
      <c r="T998" s="156"/>
      <c r="U998" s="156"/>
      <c r="V998" s="156"/>
      <c r="W998" s="156"/>
      <c r="X998" s="156"/>
      <c r="Y998" s="156"/>
      <c r="Z998" s="156"/>
    </row>
    <row r="999">
      <c r="A999" s="156"/>
      <c r="B999" s="156"/>
      <c r="C999" s="156"/>
      <c r="D999" s="156"/>
      <c r="E999" s="156"/>
      <c r="F999" s="156"/>
      <c r="G999" s="156"/>
      <c r="H999" s="156"/>
      <c r="I999" s="156"/>
      <c r="J999" s="156"/>
      <c r="K999" s="156"/>
      <c r="L999" s="156"/>
      <c r="M999" s="156"/>
      <c r="N999" s="156"/>
      <c r="O999" s="156"/>
      <c r="P999" s="156"/>
      <c r="Q999" s="156"/>
      <c r="R999" s="156"/>
      <c r="S999" s="156"/>
      <c r="T999" s="156"/>
      <c r="U999" s="156"/>
      <c r="V999" s="156"/>
      <c r="W999" s="156"/>
      <c r="X999" s="156"/>
      <c r="Y999" s="156"/>
      <c r="Z999" s="156"/>
    </row>
    <row r="1000">
      <c r="A1000" s="156"/>
      <c r="B1000" s="156"/>
      <c r="C1000" s="156"/>
      <c r="D1000" s="156"/>
      <c r="E1000" s="156"/>
      <c r="F1000" s="156"/>
      <c r="G1000" s="156"/>
      <c r="H1000" s="156"/>
      <c r="I1000" s="156"/>
      <c r="J1000" s="156"/>
      <c r="K1000" s="156"/>
      <c r="L1000" s="156"/>
      <c r="M1000" s="156"/>
      <c r="N1000" s="156"/>
      <c r="O1000" s="156"/>
      <c r="P1000" s="156"/>
      <c r="Q1000" s="156"/>
      <c r="R1000" s="156"/>
      <c r="S1000" s="156"/>
      <c r="T1000" s="156"/>
      <c r="U1000" s="156"/>
      <c r="V1000" s="156"/>
      <c r="W1000" s="156"/>
      <c r="X1000" s="156"/>
      <c r="Y1000" s="156"/>
      <c r="Z1000" s="15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55" t="s">
        <v>15637</v>
      </c>
      <c r="B1" s="155" t="s">
        <v>15858</v>
      </c>
      <c r="C1" s="155" t="s">
        <v>15859</v>
      </c>
      <c r="D1" s="155" t="s">
        <v>15860</v>
      </c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</row>
    <row r="2">
      <c r="A2" s="155" t="s">
        <v>15784</v>
      </c>
      <c r="B2" s="155" t="s">
        <v>15861</v>
      </c>
      <c r="C2" s="155" t="s">
        <v>15862</v>
      </c>
      <c r="D2" s="155" t="s">
        <v>6319</v>
      </c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</row>
    <row r="3">
      <c r="A3" s="155" t="s">
        <v>15863</v>
      </c>
      <c r="B3" s="155" t="s">
        <v>15861</v>
      </c>
      <c r="C3" s="155" t="s">
        <v>9309</v>
      </c>
      <c r="D3" s="155" t="s">
        <v>6312</v>
      </c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</row>
    <row r="4">
      <c r="A4" s="155" t="s">
        <v>15639</v>
      </c>
      <c r="B4" s="155" t="s">
        <v>15864</v>
      </c>
      <c r="C4" s="155" t="s">
        <v>15865</v>
      </c>
      <c r="D4" s="155" t="s">
        <v>6319</v>
      </c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</row>
    <row r="5">
      <c r="A5" s="155" t="s">
        <v>15866</v>
      </c>
      <c r="B5" s="155" t="s">
        <v>15864</v>
      </c>
      <c r="C5" s="155" t="s">
        <v>9309</v>
      </c>
      <c r="D5" s="155" t="s">
        <v>6312</v>
      </c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</row>
    <row r="6">
      <c r="A6" s="155" t="s">
        <v>15797</v>
      </c>
      <c r="B6" s="155" t="s">
        <v>15861</v>
      </c>
      <c r="C6" s="155" t="s">
        <v>15867</v>
      </c>
      <c r="D6" s="155" t="s">
        <v>6319</v>
      </c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</row>
    <row r="7">
      <c r="A7" s="155" t="s">
        <v>15868</v>
      </c>
      <c r="B7" s="155" t="s">
        <v>15864</v>
      </c>
      <c r="C7" s="155" t="s">
        <v>9309</v>
      </c>
      <c r="D7" s="155" t="s">
        <v>6312</v>
      </c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</row>
    <row r="8">
      <c r="A8" s="155" t="s">
        <v>15869</v>
      </c>
      <c r="B8" s="155" t="s">
        <v>15870</v>
      </c>
      <c r="C8" s="155" t="s">
        <v>9309</v>
      </c>
      <c r="D8" s="155" t="s">
        <v>6312</v>
      </c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</row>
    <row r="9">
      <c r="A9" s="155" t="s">
        <v>15641</v>
      </c>
      <c r="B9" s="155" t="s">
        <v>15864</v>
      </c>
      <c r="C9" s="155" t="s">
        <v>15867</v>
      </c>
      <c r="D9" s="155" t="s">
        <v>6312</v>
      </c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</row>
    <row r="10">
      <c r="A10" s="155" t="s">
        <v>15647</v>
      </c>
      <c r="B10" s="155" t="s">
        <v>15864</v>
      </c>
      <c r="C10" s="155" t="s">
        <v>15862</v>
      </c>
      <c r="D10" s="155" t="s">
        <v>6319</v>
      </c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</row>
    <row r="11">
      <c r="A11" s="155" t="s">
        <v>15871</v>
      </c>
      <c r="B11" s="155" t="s">
        <v>15872</v>
      </c>
      <c r="C11" s="155" t="s">
        <v>9309</v>
      </c>
      <c r="D11" s="155" t="s">
        <v>6312</v>
      </c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</row>
    <row r="12">
      <c r="A12" s="155" t="s">
        <v>15873</v>
      </c>
      <c r="B12" s="155" t="s">
        <v>15864</v>
      </c>
      <c r="C12" s="155" t="s">
        <v>15874</v>
      </c>
      <c r="D12" s="155" t="s">
        <v>6319</v>
      </c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</row>
    <row r="13">
      <c r="A13" s="155" t="s">
        <v>15875</v>
      </c>
      <c r="B13" s="155" t="s">
        <v>15533</v>
      </c>
      <c r="C13" s="155" t="s">
        <v>15876</v>
      </c>
      <c r="D13" s="155" t="s">
        <v>6319</v>
      </c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</row>
    <row r="14">
      <c r="A14" s="155" t="s">
        <v>15533</v>
      </c>
      <c r="B14" s="155" t="s">
        <v>15533</v>
      </c>
      <c r="C14" s="155" t="s">
        <v>15877</v>
      </c>
      <c r="D14" s="155" t="s">
        <v>6319</v>
      </c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</row>
    <row r="15">
      <c r="A15" s="155" t="s">
        <v>15878</v>
      </c>
      <c r="B15" s="155" t="s">
        <v>15861</v>
      </c>
      <c r="C15" s="155" t="s">
        <v>9309</v>
      </c>
      <c r="D15" s="155" t="s">
        <v>6312</v>
      </c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</row>
    <row r="16">
      <c r="A16" s="155" t="s">
        <v>15660</v>
      </c>
      <c r="B16" s="155" t="s">
        <v>15861</v>
      </c>
      <c r="C16" s="155" t="s">
        <v>9309</v>
      </c>
      <c r="D16" s="155" t="s">
        <v>6312</v>
      </c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</row>
    <row r="17">
      <c r="A17" s="155" t="s">
        <v>15662</v>
      </c>
      <c r="B17" s="155" t="s">
        <v>15861</v>
      </c>
      <c r="C17" s="155" t="s">
        <v>9309</v>
      </c>
      <c r="D17" s="155" t="s">
        <v>6312</v>
      </c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</row>
    <row r="18">
      <c r="A18" s="155" t="s">
        <v>15750</v>
      </c>
      <c r="B18" s="155" t="s">
        <v>15864</v>
      </c>
      <c r="C18" s="155" t="s">
        <v>15865</v>
      </c>
      <c r="D18" s="155" t="s">
        <v>6319</v>
      </c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</row>
    <row r="19">
      <c r="A19" s="155" t="s">
        <v>15879</v>
      </c>
      <c r="B19" s="155" t="s">
        <v>15861</v>
      </c>
      <c r="C19" s="155" t="s">
        <v>9309</v>
      </c>
      <c r="D19" s="155" t="s">
        <v>6312</v>
      </c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</row>
    <row r="20">
      <c r="A20" s="155" t="s">
        <v>15671</v>
      </c>
      <c r="B20" s="155" t="s">
        <v>15864</v>
      </c>
      <c r="C20" s="155" t="s">
        <v>15874</v>
      </c>
      <c r="D20" s="155" t="s">
        <v>6319</v>
      </c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</row>
    <row r="21">
      <c r="A21" s="155" t="s">
        <v>15880</v>
      </c>
      <c r="B21" s="155" t="s">
        <v>15870</v>
      </c>
      <c r="C21" s="155" t="s">
        <v>9309</v>
      </c>
      <c r="D21" s="155" t="s">
        <v>6312</v>
      </c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</row>
    <row r="22">
      <c r="A22" s="155" t="s">
        <v>15676</v>
      </c>
      <c r="B22" s="155" t="s">
        <v>15861</v>
      </c>
      <c r="C22" s="155" t="s">
        <v>9309</v>
      </c>
      <c r="D22" s="155" t="s">
        <v>6312</v>
      </c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</row>
    <row r="23">
      <c r="A23" s="155" t="s">
        <v>15881</v>
      </c>
      <c r="B23" s="155" t="s">
        <v>15870</v>
      </c>
      <c r="C23" s="155" t="s">
        <v>9309</v>
      </c>
      <c r="D23" s="155" t="s">
        <v>6312</v>
      </c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</row>
    <row r="24">
      <c r="A24" s="155" t="s">
        <v>15882</v>
      </c>
      <c r="B24" s="155" t="s">
        <v>15870</v>
      </c>
      <c r="C24" s="155" t="s">
        <v>15877</v>
      </c>
      <c r="D24" s="155" t="s">
        <v>6319</v>
      </c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</row>
    <row r="25">
      <c r="A25" s="155" t="s">
        <v>15678</v>
      </c>
      <c r="B25" s="155" t="s">
        <v>15861</v>
      </c>
      <c r="C25" s="155" t="s">
        <v>15865</v>
      </c>
      <c r="D25" s="155" t="s">
        <v>6319</v>
      </c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</row>
    <row r="26">
      <c r="A26" s="155" t="s">
        <v>15883</v>
      </c>
      <c r="B26" s="155" t="s">
        <v>15870</v>
      </c>
      <c r="C26" s="155" t="s">
        <v>15877</v>
      </c>
      <c r="D26" s="155" t="s">
        <v>6319</v>
      </c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</row>
    <row r="27">
      <c r="A27" s="155" t="s">
        <v>15884</v>
      </c>
      <c r="B27" s="155" t="s">
        <v>15864</v>
      </c>
      <c r="C27" s="155" t="s">
        <v>9309</v>
      </c>
      <c r="D27" s="155" t="s">
        <v>6312</v>
      </c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</row>
    <row r="28">
      <c r="A28" s="155" t="s">
        <v>15682</v>
      </c>
      <c r="B28" s="155" t="s">
        <v>15864</v>
      </c>
      <c r="C28" s="155" t="s">
        <v>9309</v>
      </c>
      <c r="D28" s="155" t="s">
        <v>6312</v>
      </c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</row>
    <row r="29">
      <c r="A29" s="155" t="s">
        <v>15708</v>
      </c>
      <c r="B29" s="155" t="s">
        <v>15864</v>
      </c>
      <c r="C29" s="155" t="s">
        <v>15862</v>
      </c>
      <c r="D29" s="155" t="s">
        <v>6319</v>
      </c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</row>
    <row r="30">
      <c r="A30" s="155" t="s">
        <v>15710</v>
      </c>
      <c r="B30" s="155" t="s">
        <v>15864</v>
      </c>
      <c r="C30" s="155" t="s">
        <v>15867</v>
      </c>
      <c r="D30" s="155" t="s">
        <v>6319</v>
      </c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</row>
    <row r="31">
      <c r="A31" s="155" t="s">
        <v>15712</v>
      </c>
      <c r="B31" s="155" t="s">
        <v>15861</v>
      </c>
      <c r="C31" s="155" t="s">
        <v>15865</v>
      </c>
      <c r="D31" s="155" t="s">
        <v>6319</v>
      </c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</row>
    <row r="32">
      <c r="A32" s="155" t="s">
        <v>15716</v>
      </c>
      <c r="B32" s="155" t="s">
        <v>15864</v>
      </c>
      <c r="C32" s="155" t="s">
        <v>15867</v>
      </c>
      <c r="D32" s="155" t="s">
        <v>6312</v>
      </c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</row>
    <row r="33">
      <c r="A33" s="155" t="s">
        <v>15718</v>
      </c>
      <c r="B33" s="155" t="s">
        <v>15861</v>
      </c>
      <c r="C33" s="155" t="s">
        <v>15865</v>
      </c>
      <c r="D33" s="155" t="s">
        <v>6319</v>
      </c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</row>
    <row r="34">
      <c r="A34" s="155" t="s">
        <v>15720</v>
      </c>
      <c r="B34" s="155" t="s">
        <v>15861</v>
      </c>
      <c r="C34" s="155" t="s">
        <v>9309</v>
      </c>
      <c r="D34" s="155" t="s">
        <v>6312</v>
      </c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</row>
    <row r="35">
      <c r="A35" s="155" t="s">
        <v>15722</v>
      </c>
      <c r="B35" s="155" t="s">
        <v>15864</v>
      </c>
      <c r="C35" s="155" t="s">
        <v>15867</v>
      </c>
      <c r="D35" s="155" t="s">
        <v>6319</v>
      </c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</row>
    <row r="36">
      <c r="A36" s="155" t="s">
        <v>15885</v>
      </c>
      <c r="B36" s="155" t="s">
        <v>15886</v>
      </c>
      <c r="C36" s="155" t="s">
        <v>15874</v>
      </c>
      <c r="D36" s="155" t="s">
        <v>6319</v>
      </c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</row>
    <row r="37">
      <c r="A37" s="155" t="s">
        <v>15887</v>
      </c>
      <c r="B37" s="155" t="s">
        <v>15861</v>
      </c>
      <c r="C37" s="155" t="s">
        <v>9309</v>
      </c>
      <c r="D37" s="155" t="s">
        <v>6312</v>
      </c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</row>
    <row r="38">
      <c r="A38" s="155" t="s">
        <v>15888</v>
      </c>
      <c r="B38" s="155" t="s">
        <v>15861</v>
      </c>
      <c r="C38" s="155" t="s">
        <v>9309</v>
      </c>
      <c r="D38" s="155" t="s">
        <v>6312</v>
      </c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</row>
    <row r="39">
      <c r="A39" s="155" t="s">
        <v>15889</v>
      </c>
      <c r="B39" s="155" t="s">
        <v>15870</v>
      </c>
      <c r="C39" s="155" t="s">
        <v>15877</v>
      </c>
      <c r="D39" s="155" t="s">
        <v>6319</v>
      </c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</row>
    <row r="40">
      <c r="A40" s="155" t="s">
        <v>11057</v>
      </c>
      <c r="B40" s="155" t="s">
        <v>11057</v>
      </c>
      <c r="C40" s="155" t="s">
        <v>15890</v>
      </c>
      <c r="D40" s="155" t="s">
        <v>6319</v>
      </c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</row>
    <row r="41">
      <c r="A41" s="155" t="s">
        <v>15891</v>
      </c>
      <c r="B41" s="155" t="s">
        <v>15886</v>
      </c>
      <c r="C41" s="155" t="s">
        <v>15874</v>
      </c>
      <c r="D41" s="155" t="s">
        <v>6319</v>
      </c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</row>
    <row r="42">
      <c r="A42" s="155" t="s">
        <v>15725</v>
      </c>
      <c r="B42" s="155" t="s">
        <v>15861</v>
      </c>
      <c r="C42" s="155" t="s">
        <v>15862</v>
      </c>
      <c r="D42" s="155" t="s">
        <v>6319</v>
      </c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</row>
    <row r="43">
      <c r="A43" s="155" t="s">
        <v>15892</v>
      </c>
      <c r="B43" s="155" t="s">
        <v>15861</v>
      </c>
      <c r="C43" s="155" t="s">
        <v>9309</v>
      </c>
      <c r="D43" s="155" t="s">
        <v>6312</v>
      </c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</row>
    <row r="44">
      <c r="A44" s="155" t="s">
        <v>15729</v>
      </c>
      <c r="B44" s="155" t="s">
        <v>15864</v>
      </c>
      <c r="C44" s="155" t="s">
        <v>9309</v>
      </c>
      <c r="D44" s="155" t="s">
        <v>6319</v>
      </c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</row>
    <row r="45">
      <c r="A45" s="155" t="s">
        <v>15893</v>
      </c>
      <c r="B45" s="155" t="s">
        <v>15870</v>
      </c>
      <c r="C45" s="155" t="s">
        <v>9309</v>
      </c>
      <c r="D45" s="155" t="s">
        <v>6312</v>
      </c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</row>
    <row r="46">
      <c r="A46" s="155" t="s">
        <v>15894</v>
      </c>
      <c r="B46" s="155" t="s">
        <v>15861</v>
      </c>
      <c r="C46" s="155" t="s">
        <v>9309</v>
      </c>
      <c r="D46" s="155" t="s">
        <v>6312</v>
      </c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</row>
    <row r="47">
      <c r="A47" s="155" t="s">
        <v>15895</v>
      </c>
      <c r="B47" s="155" t="s">
        <v>15870</v>
      </c>
      <c r="C47" s="155" t="s">
        <v>9309</v>
      </c>
      <c r="D47" s="155" t="s">
        <v>6312</v>
      </c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</row>
    <row r="48">
      <c r="A48" s="155" t="s">
        <v>15732</v>
      </c>
      <c r="B48" s="155" t="s">
        <v>15861</v>
      </c>
      <c r="C48" s="155" t="s">
        <v>15865</v>
      </c>
      <c r="D48" s="155" t="s">
        <v>6319</v>
      </c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</row>
    <row r="49">
      <c r="A49" s="155" t="s">
        <v>15896</v>
      </c>
      <c r="B49" s="155" t="s">
        <v>15870</v>
      </c>
      <c r="C49" s="155" t="s">
        <v>15877</v>
      </c>
      <c r="D49" s="155" t="s">
        <v>6319</v>
      </c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</row>
    <row r="50">
      <c r="A50" s="155" t="s">
        <v>15897</v>
      </c>
      <c r="B50" s="155" t="s">
        <v>15861</v>
      </c>
      <c r="C50" s="155" t="s">
        <v>9309</v>
      </c>
      <c r="D50" s="155" t="s">
        <v>6312</v>
      </c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</row>
    <row r="51">
      <c r="A51" s="155" t="s">
        <v>15898</v>
      </c>
      <c r="B51" s="155" t="s">
        <v>15899</v>
      </c>
      <c r="C51" s="155" t="s">
        <v>9309</v>
      </c>
      <c r="D51" s="155" t="s">
        <v>15900</v>
      </c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</row>
    <row r="52">
      <c r="A52" s="155" t="s">
        <v>15737</v>
      </c>
      <c r="B52" s="155" t="s">
        <v>15864</v>
      </c>
      <c r="C52" s="155" t="s">
        <v>15867</v>
      </c>
      <c r="D52" s="155" t="s">
        <v>6319</v>
      </c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</row>
    <row r="53">
      <c r="A53" s="155" t="s">
        <v>15901</v>
      </c>
      <c r="B53" s="155" t="s">
        <v>15861</v>
      </c>
      <c r="C53" s="155" t="s">
        <v>9309</v>
      </c>
      <c r="D53" s="155" t="s">
        <v>6312</v>
      </c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</row>
    <row r="54">
      <c r="A54" s="155" t="s">
        <v>15739</v>
      </c>
      <c r="B54" s="155" t="s">
        <v>15861</v>
      </c>
      <c r="C54" s="155" t="s">
        <v>15862</v>
      </c>
      <c r="D54" s="155" t="s">
        <v>6319</v>
      </c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</row>
    <row r="55">
      <c r="A55" s="155" t="s">
        <v>15744</v>
      </c>
      <c r="B55" s="155" t="s">
        <v>15864</v>
      </c>
      <c r="C55" s="155" t="s">
        <v>15865</v>
      </c>
      <c r="D55" s="155" t="s">
        <v>6319</v>
      </c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</row>
    <row r="56">
      <c r="A56" s="155" t="s">
        <v>15902</v>
      </c>
      <c r="B56" s="155" t="s">
        <v>15861</v>
      </c>
      <c r="C56" s="155" t="s">
        <v>9309</v>
      </c>
      <c r="D56" s="155" t="s">
        <v>6312</v>
      </c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</row>
    <row r="57">
      <c r="A57" s="155" t="s">
        <v>15903</v>
      </c>
      <c r="B57" s="155" t="s">
        <v>15870</v>
      </c>
      <c r="C57" s="155" t="s">
        <v>9309</v>
      </c>
      <c r="D57" s="155" t="s">
        <v>6312</v>
      </c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</row>
    <row r="58">
      <c r="A58" s="155" t="s">
        <v>15904</v>
      </c>
      <c r="B58" s="155" t="s">
        <v>15886</v>
      </c>
      <c r="C58" s="155" t="s">
        <v>15874</v>
      </c>
      <c r="D58" s="155" t="s">
        <v>6319</v>
      </c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</row>
    <row r="59">
      <c r="A59" s="155" t="s">
        <v>15905</v>
      </c>
      <c r="B59" s="155" t="s">
        <v>15861</v>
      </c>
      <c r="C59" s="155" t="s">
        <v>15865</v>
      </c>
      <c r="D59" s="155" t="s">
        <v>6312</v>
      </c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</row>
    <row r="60">
      <c r="A60" s="155" t="s">
        <v>15906</v>
      </c>
      <c r="B60" s="155" t="s">
        <v>15533</v>
      </c>
      <c r="C60" s="155" t="s">
        <v>15907</v>
      </c>
      <c r="D60" s="155" t="s">
        <v>6319</v>
      </c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</row>
    <row r="61">
      <c r="A61" s="155" t="s">
        <v>15820</v>
      </c>
      <c r="B61" s="155" t="s">
        <v>15861</v>
      </c>
      <c r="C61" s="155" t="s">
        <v>15867</v>
      </c>
      <c r="D61" s="155" t="s">
        <v>6319</v>
      </c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</row>
    <row r="62">
      <c r="A62" s="155" t="s">
        <v>15908</v>
      </c>
      <c r="B62" s="155" t="s">
        <v>15864</v>
      </c>
      <c r="C62" s="155" t="s">
        <v>9309</v>
      </c>
      <c r="D62" s="155" t="s">
        <v>6312</v>
      </c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</row>
    <row r="63">
      <c r="A63" s="155" t="s">
        <v>15793</v>
      </c>
      <c r="B63" s="155" t="s">
        <v>15533</v>
      </c>
      <c r="C63" s="155" t="s">
        <v>15909</v>
      </c>
      <c r="D63" s="155" t="s">
        <v>6319</v>
      </c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</row>
    <row r="64">
      <c r="A64" s="155" t="s">
        <v>15752</v>
      </c>
      <c r="B64" s="155" t="s">
        <v>15861</v>
      </c>
      <c r="C64" s="155" t="s">
        <v>15862</v>
      </c>
      <c r="D64" s="155" t="s">
        <v>6319</v>
      </c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</row>
    <row r="65">
      <c r="A65" s="155" t="s">
        <v>15910</v>
      </c>
      <c r="B65" s="155" t="s">
        <v>15870</v>
      </c>
      <c r="C65" s="155" t="s">
        <v>15877</v>
      </c>
      <c r="D65" s="155" t="s">
        <v>6319</v>
      </c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</row>
    <row r="66">
      <c r="A66" s="155" t="s">
        <v>15911</v>
      </c>
      <c r="B66" s="155" t="s">
        <v>15870</v>
      </c>
      <c r="C66" s="155" t="s">
        <v>9309</v>
      </c>
      <c r="D66" s="155" t="s">
        <v>6312</v>
      </c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</row>
    <row r="67">
      <c r="A67" s="155" t="s">
        <v>15912</v>
      </c>
      <c r="B67" s="155" t="s">
        <v>15870</v>
      </c>
      <c r="C67" s="155" t="s">
        <v>9309</v>
      </c>
      <c r="D67" s="155" t="s">
        <v>6312</v>
      </c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</row>
    <row r="68">
      <c r="A68" s="155" t="s">
        <v>6603</v>
      </c>
      <c r="B68" s="155" t="s">
        <v>15870</v>
      </c>
      <c r="C68" s="155" t="s">
        <v>9309</v>
      </c>
      <c r="D68" s="155" t="s">
        <v>6312</v>
      </c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</row>
    <row r="69">
      <c r="A69" s="155" t="s">
        <v>15913</v>
      </c>
      <c r="B69" s="155" t="s">
        <v>15870</v>
      </c>
      <c r="C69" s="155" t="s">
        <v>9309</v>
      </c>
      <c r="D69" s="155" t="s">
        <v>6312</v>
      </c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</row>
    <row r="70">
      <c r="A70" s="155" t="s">
        <v>15914</v>
      </c>
      <c r="B70" s="155" t="s">
        <v>15870</v>
      </c>
      <c r="C70" s="155" t="s">
        <v>9309</v>
      </c>
      <c r="D70" s="155" t="s">
        <v>6312</v>
      </c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</row>
    <row r="71">
      <c r="A71" s="155" t="s">
        <v>15664</v>
      </c>
      <c r="B71" s="155" t="s">
        <v>15870</v>
      </c>
      <c r="C71" s="155" t="s">
        <v>15877</v>
      </c>
      <c r="D71" s="155" t="s">
        <v>6319</v>
      </c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</row>
    <row r="72">
      <c r="A72" s="155" t="s">
        <v>15915</v>
      </c>
      <c r="B72" s="155" t="s">
        <v>15870</v>
      </c>
      <c r="C72" s="155" t="s">
        <v>9309</v>
      </c>
      <c r="D72" s="155" t="s">
        <v>6312</v>
      </c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</row>
    <row r="73">
      <c r="A73" s="155" t="s">
        <v>15757</v>
      </c>
      <c r="B73" s="155" t="s">
        <v>15864</v>
      </c>
      <c r="C73" s="155" t="s">
        <v>15862</v>
      </c>
      <c r="D73" s="155" t="s">
        <v>6319</v>
      </c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</row>
    <row r="74">
      <c r="A74" s="155" t="s">
        <v>15742</v>
      </c>
      <c r="B74" s="155" t="s">
        <v>15870</v>
      </c>
      <c r="C74" s="155" t="s">
        <v>9309</v>
      </c>
      <c r="D74" s="155" t="s">
        <v>6312</v>
      </c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</row>
    <row r="75">
      <c r="A75" s="155" t="s">
        <v>15916</v>
      </c>
      <c r="B75" s="155" t="s">
        <v>15870</v>
      </c>
      <c r="C75" s="155" t="s">
        <v>9309</v>
      </c>
      <c r="D75" s="155" t="s">
        <v>6312</v>
      </c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</row>
    <row r="76">
      <c r="A76" s="155" t="s">
        <v>15761</v>
      </c>
      <c r="B76" s="155" t="s">
        <v>15861</v>
      </c>
      <c r="C76" s="155" t="s">
        <v>9309</v>
      </c>
      <c r="D76" s="155" t="s">
        <v>6312</v>
      </c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</row>
    <row r="77">
      <c r="A77" s="155" t="s">
        <v>15917</v>
      </c>
      <c r="B77" s="155" t="s">
        <v>15870</v>
      </c>
      <c r="C77" s="155" t="s">
        <v>9309</v>
      </c>
      <c r="D77" s="155" t="s">
        <v>6312</v>
      </c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</row>
    <row r="78">
      <c r="A78" s="155" t="s">
        <v>15918</v>
      </c>
      <c r="B78" s="155" t="s">
        <v>15870</v>
      </c>
      <c r="C78" s="155" t="s">
        <v>9309</v>
      </c>
      <c r="D78" s="155" t="s">
        <v>6312</v>
      </c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</row>
    <row r="79">
      <c r="A79" s="155" t="s">
        <v>15645</v>
      </c>
      <c r="B79" s="155" t="s">
        <v>15870</v>
      </c>
      <c r="C79" s="155" t="s">
        <v>9309</v>
      </c>
      <c r="D79" s="155" t="s">
        <v>6312</v>
      </c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</row>
    <row r="80">
      <c r="A80" s="155" t="s">
        <v>15759</v>
      </c>
      <c r="B80" s="155" t="s">
        <v>15870</v>
      </c>
      <c r="C80" s="155" t="s">
        <v>9309</v>
      </c>
      <c r="D80" s="155" t="s">
        <v>6319</v>
      </c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</row>
    <row r="81">
      <c r="A81" s="155" t="s">
        <v>15764</v>
      </c>
      <c r="B81" s="155" t="s">
        <v>15864</v>
      </c>
      <c r="C81" s="155" t="s">
        <v>9309</v>
      </c>
      <c r="D81" s="155" t="s">
        <v>6312</v>
      </c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</row>
    <row r="82">
      <c r="A82" s="155" t="s">
        <v>15787</v>
      </c>
      <c r="B82" s="155" t="s">
        <v>15870</v>
      </c>
      <c r="C82" s="155" t="s">
        <v>15877</v>
      </c>
      <c r="D82" s="155" t="s">
        <v>6319</v>
      </c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</row>
    <row r="83">
      <c r="A83" s="155" t="s">
        <v>15788</v>
      </c>
      <c r="B83" s="155" t="s">
        <v>15870</v>
      </c>
      <c r="C83" s="155" t="s">
        <v>15877</v>
      </c>
      <c r="D83" s="155" t="s">
        <v>6319</v>
      </c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</row>
    <row r="84">
      <c r="A84" s="155" t="s">
        <v>15791</v>
      </c>
      <c r="B84" s="155" t="s">
        <v>15861</v>
      </c>
      <c r="C84" s="155" t="s">
        <v>15877</v>
      </c>
      <c r="D84" s="155" t="s">
        <v>6319</v>
      </c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</row>
    <row r="85">
      <c r="A85" s="155" t="s">
        <v>15919</v>
      </c>
      <c r="B85" s="155" t="s">
        <v>15870</v>
      </c>
      <c r="C85" s="155" t="s">
        <v>15890</v>
      </c>
      <c r="D85" s="155" t="s">
        <v>6319</v>
      </c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</row>
    <row r="86">
      <c r="A86" s="155" t="s">
        <v>15920</v>
      </c>
      <c r="B86" s="155" t="s">
        <v>15861</v>
      </c>
      <c r="C86" s="155" t="s">
        <v>15865</v>
      </c>
      <c r="D86" s="155" t="s">
        <v>6319</v>
      </c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</row>
    <row r="87">
      <c r="A87" s="155" t="s">
        <v>15921</v>
      </c>
      <c r="B87" s="155" t="s">
        <v>15861</v>
      </c>
      <c r="C87" s="155" t="s">
        <v>9309</v>
      </c>
      <c r="D87" s="155" t="s">
        <v>6312</v>
      </c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</row>
    <row r="88">
      <c r="A88" s="155" t="s">
        <v>15922</v>
      </c>
      <c r="B88" s="155" t="s">
        <v>15870</v>
      </c>
      <c r="C88" s="155" t="s">
        <v>15907</v>
      </c>
      <c r="D88" s="155" t="s">
        <v>6319</v>
      </c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</row>
    <row r="89">
      <c r="A89" s="155" t="s">
        <v>15778</v>
      </c>
      <c r="B89" s="155" t="s">
        <v>15864</v>
      </c>
      <c r="C89" s="155" t="s">
        <v>15867</v>
      </c>
      <c r="D89" s="155" t="s">
        <v>6319</v>
      </c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</row>
    <row r="90">
      <c r="A90" s="155" t="s">
        <v>15781</v>
      </c>
      <c r="B90" s="155" t="s">
        <v>15870</v>
      </c>
      <c r="C90" s="155" t="s">
        <v>15907</v>
      </c>
      <c r="D90" s="155" t="s">
        <v>6319</v>
      </c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</row>
    <row r="91">
      <c r="A91" s="155" t="s">
        <v>15783</v>
      </c>
      <c r="B91" s="155" t="s">
        <v>15864</v>
      </c>
      <c r="C91" s="155" t="s">
        <v>15867</v>
      </c>
      <c r="D91" s="155" t="s">
        <v>6319</v>
      </c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</row>
    <row r="92">
      <c r="A92" s="155" t="s">
        <v>15814</v>
      </c>
      <c r="B92" s="155" t="s">
        <v>15870</v>
      </c>
      <c r="C92" s="155" t="s">
        <v>15877</v>
      </c>
      <c r="D92" s="155" t="s">
        <v>6319</v>
      </c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</row>
    <row r="93">
      <c r="A93" s="155" t="s">
        <v>15803</v>
      </c>
      <c r="B93" s="155" t="s">
        <v>15861</v>
      </c>
      <c r="C93" s="155" t="s">
        <v>15862</v>
      </c>
      <c r="D93" s="155" t="s">
        <v>6319</v>
      </c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</row>
    <row r="94">
      <c r="A94" s="155" t="s">
        <v>15801</v>
      </c>
      <c r="B94" s="155" t="s">
        <v>15870</v>
      </c>
      <c r="C94" s="155" t="s">
        <v>15877</v>
      </c>
      <c r="D94" s="155" t="s">
        <v>6319</v>
      </c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</row>
    <row r="95">
      <c r="A95" s="155" t="s">
        <v>15923</v>
      </c>
      <c r="B95" s="155" t="s">
        <v>15870</v>
      </c>
      <c r="C95" s="155" t="s">
        <v>15877</v>
      </c>
      <c r="D95" s="155" t="s">
        <v>6319</v>
      </c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</row>
    <row r="96">
      <c r="A96" s="155" t="s">
        <v>15838</v>
      </c>
      <c r="B96" s="155" t="s">
        <v>15870</v>
      </c>
      <c r="C96" s="155" t="s">
        <v>15877</v>
      </c>
      <c r="D96" s="155" t="s">
        <v>6319</v>
      </c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</row>
    <row r="97">
      <c r="A97" s="155" t="s">
        <v>15826</v>
      </c>
      <c r="B97" s="155" t="s">
        <v>15870</v>
      </c>
      <c r="C97" s="155" t="s">
        <v>15877</v>
      </c>
      <c r="D97" s="155" t="s">
        <v>6319</v>
      </c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</row>
    <row r="98">
      <c r="A98" s="155" t="s">
        <v>15807</v>
      </c>
      <c r="B98" s="155" t="s">
        <v>15870</v>
      </c>
      <c r="C98" s="155" t="s">
        <v>15877</v>
      </c>
      <c r="D98" s="155" t="s">
        <v>6319</v>
      </c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</row>
    <row r="99">
      <c r="A99" s="155" t="s">
        <v>15924</v>
      </c>
      <c r="B99" s="155" t="s">
        <v>15870</v>
      </c>
      <c r="C99" s="155" t="s">
        <v>15877</v>
      </c>
      <c r="D99" s="155" t="s">
        <v>6319</v>
      </c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</row>
    <row r="100">
      <c r="A100" s="155" t="s">
        <v>15843</v>
      </c>
      <c r="B100" s="155" t="s">
        <v>15870</v>
      </c>
      <c r="C100" s="155" t="s">
        <v>15877</v>
      </c>
      <c r="D100" s="155" t="s">
        <v>6319</v>
      </c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</row>
    <row r="101">
      <c r="A101" s="155" t="s">
        <v>15834</v>
      </c>
      <c r="B101" s="155" t="s">
        <v>15870</v>
      </c>
      <c r="C101" s="155" t="s">
        <v>15877</v>
      </c>
      <c r="D101" s="155" t="s">
        <v>6319</v>
      </c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</row>
    <row r="102">
      <c r="A102" s="155" t="s">
        <v>15809</v>
      </c>
      <c r="B102" s="155" t="s">
        <v>15870</v>
      </c>
      <c r="C102" s="155" t="s">
        <v>15877</v>
      </c>
      <c r="D102" s="155" t="s">
        <v>6319</v>
      </c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</row>
    <row r="103">
      <c r="A103" s="155" t="s">
        <v>15818</v>
      </c>
      <c r="B103" s="155" t="s">
        <v>15870</v>
      </c>
      <c r="C103" s="155" t="s">
        <v>15877</v>
      </c>
      <c r="D103" s="155" t="s">
        <v>6319</v>
      </c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</row>
    <row r="104">
      <c r="A104" s="155" t="s">
        <v>15925</v>
      </c>
      <c r="B104" s="155" t="s">
        <v>15870</v>
      </c>
      <c r="C104" s="155" t="s">
        <v>15877</v>
      </c>
      <c r="D104" s="155" t="s">
        <v>6319</v>
      </c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</row>
    <row r="105">
      <c r="A105" s="155" t="s">
        <v>15844</v>
      </c>
      <c r="B105" s="155" t="s">
        <v>15870</v>
      </c>
      <c r="C105" s="155" t="s">
        <v>15877</v>
      </c>
      <c r="D105" s="155" t="s">
        <v>6319</v>
      </c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</row>
    <row r="106">
      <c r="A106" s="155" t="s">
        <v>15847</v>
      </c>
      <c r="B106" s="155" t="s">
        <v>15870</v>
      </c>
      <c r="C106" s="155" t="s">
        <v>15877</v>
      </c>
      <c r="D106" s="155" t="s">
        <v>6319</v>
      </c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</row>
    <row r="107">
      <c r="A107" s="155" t="s">
        <v>15926</v>
      </c>
      <c r="B107" s="155" t="s">
        <v>15870</v>
      </c>
      <c r="C107" s="155" t="s">
        <v>15877</v>
      </c>
      <c r="D107" s="155" t="s">
        <v>6319</v>
      </c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</row>
    <row r="108">
      <c r="A108" s="155" t="s">
        <v>15927</v>
      </c>
      <c r="B108" s="155" t="s">
        <v>15870</v>
      </c>
      <c r="C108" s="155" t="s">
        <v>15877</v>
      </c>
      <c r="D108" s="155" t="s">
        <v>6319</v>
      </c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</row>
    <row r="109">
      <c r="A109" s="155" t="s">
        <v>15836</v>
      </c>
      <c r="B109" s="155" t="s">
        <v>15870</v>
      </c>
      <c r="C109" s="155" t="s">
        <v>15877</v>
      </c>
      <c r="D109" s="155" t="s">
        <v>6319</v>
      </c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</row>
    <row r="110">
      <c r="A110" s="155" t="s">
        <v>15845</v>
      </c>
      <c r="B110" s="155" t="s">
        <v>15870</v>
      </c>
      <c r="C110" s="155" t="s">
        <v>15877</v>
      </c>
      <c r="D110" s="155" t="s">
        <v>6319</v>
      </c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</row>
    <row r="111">
      <c r="A111" s="155" t="s">
        <v>15928</v>
      </c>
      <c r="B111" s="155" t="s">
        <v>15864</v>
      </c>
      <c r="C111" s="155" t="s">
        <v>15867</v>
      </c>
      <c r="D111" s="155" t="s">
        <v>6319</v>
      </c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</row>
    <row r="112">
      <c r="A112" s="155" t="s">
        <v>15840</v>
      </c>
      <c r="B112" s="155" t="s">
        <v>15870</v>
      </c>
      <c r="C112" s="155" t="s">
        <v>15877</v>
      </c>
      <c r="D112" s="155" t="s">
        <v>6319</v>
      </c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</row>
    <row r="113">
      <c r="A113" s="155" t="s">
        <v>15832</v>
      </c>
      <c r="B113" s="155" t="s">
        <v>15870</v>
      </c>
      <c r="C113" s="155" t="s">
        <v>15877</v>
      </c>
      <c r="D113" s="155" t="s">
        <v>6319</v>
      </c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</row>
    <row r="114">
      <c r="A114" s="155" t="s">
        <v>15851</v>
      </c>
      <c r="B114" s="155" t="s">
        <v>15870</v>
      </c>
      <c r="C114" s="155" t="s">
        <v>15877</v>
      </c>
      <c r="D114" s="155" t="s">
        <v>6319</v>
      </c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</row>
    <row r="115">
      <c r="A115" s="155" t="s">
        <v>15841</v>
      </c>
      <c r="B115" s="155" t="s">
        <v>15870</v>
      </c>
      <c r="C115" s="155" t="s">
        <v>15877</v>
      </c>
      <c r="D115" s="155" t="s">
        <v>6319</v>
      </c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</row>
    <row r="116">
      <c r="A116" s="155" t="s">
        <v>15849</v>
      </c>
      <c r="B116" s="155" t="s">
        <v>15870</v>
      </c>
      <c r="C116" s="155" t="s">
        <v>15877</v>
      </c>
      <c r="D116" s="155" t="s">
        <v>6319</v>
      </c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</row>
    <row r="117">
      <c r="A117" s="155" t="s">
        <v>15929</v>
      </c>
      <c r="B117" s="155" t="s">
        <v>15870</v>
      </c>
      <c r="C117" s="155" t="s">
        <v>15877</v>
      </c>
      <c r="D117" s="155" t="s">
        <v>6319</v>
      </c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</row>
    <row r="118">
      <c r="A118" s="155" t="s">
        <v>15828</v>
      </c>
      <c r="B118" s="155" t="s">
        <v>15870</v>
      </c>
      <c r="C118" s="155" t="s">
        <v>15877</v>
      </c>
      <c r="D118" s="155" t="s">
        <v>6319</v>
      </c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</row>
    <row r="119">
      <c r="A119" s="155" t="s">
        <v>15805</v>
      </c>
      <c r="B119" s="155" t="s">
        <v>15861</v>
      </c>
      <c r="C119" s="155" t="s">
        <v>15867</v>
      </c>
      <c r="D119" s="155" t="s">
        <v>6319</v>
      </c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</row>
    <row r="120">
      <c r="A120" s="155" t="s">
        <v>15830</v>
      </c>
      <c r="B120" s="155" t="s">
        <v>15870</v>
      </c>
      <c r="C120" s="155" t="s">
        <v>15877</v>
      </c>
      <c r="D120" s="155" t="s">
        <v>6319</v>
      </c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</row>
    <row r="121">
      <c r="A121" s="155" t="s">
        <v>15852</v>
      </c>
      <c r="B121" s="155" t="s">
        <v>15870</v>
      </c>
      <c r="C121" s="155" t="s">
        <v>15877</v>
      </c>
      <c r="D121" s="155" t="s">
        <v>6319</v>
      </c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</row>
    <row r="122">
      <c r="A122" s="155" t="s">
        <v>15930</v>
      </c>
      <c r="B122" s="155" t="s">
        <v>15864</v>
      </c>
      <c r="C122" s="155" t="s">
        <v>15931</v>
      </c>
      <c r="D122" s="155" t="s">
        <v>6319</v>
      </c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</row>
    <row r="123">
      <c r="A123" s="155" t="s">
        <v>15856</v>
      </c>
      <c r="B123" s="155" t="s">
        <v>15533</v>
      </c>
      <c r="C123" s="155" t="s">
        <v>15876</v>
      </c>
      <c r="D123" s="155" t="s">
        <v>6319</v>
      </c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</row>
    <row r="124">
      <c r="A124" s="155" t="s">
        <v>15932</v>
      </c>
      <c r="B124" s="155" t="s">
        <v>15870</v>
      </c>
      <c r="C124" s="155" t="s">
        <v>15877</v>
      </c>
      <c r="D124" s="155" t="s">
        <v>6319</v>
      </c>
      <c r="E124" s="156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</row>
    <row r="125">
      <c r="A125" s="155" t="s">
        <v>15856</v>
      </c>
      <c r="B125" s="155" t="s">
        <v>15533</v>
      </c>
      <c r="C125" s="155" t="s">
        <v>15876</v>
      </c>
      <c r="D125" s="155" t="s">
        <v>6319</v>
      </c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</row>
    <row r="126">
      <c r="A126" s="156"/>
      <c r="B126" s="156"/>
      <c r="C126" s="156"/>
      <c r="D126" s="156"/>
      <c r="E126" s="156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</row>
    <row r="127">
      <c r="A127" s="156"/>
      <c r="B127" s="156"/>
      <c r="C127" s="156"/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</row>
    <row r="128">
      <c r="A128" s="156"/>
      <c r="B128" s="156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</row>
    <row r="129">
      <c r="A129" s="156"/>
      <c r="B129" s="156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</row>
    <row r="130">
      <c r="A130" s="156"/>
      <c r="B130" s="156"/>
      <c r="C130" s="156"/>
      <c r="D130" s="156"/>
      <c r="E130" s="156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</row>
    <row r="131">
      <c r="A131" s="156"/>
      <c r="B131" s="156"/>
      <c r="C131" s="156"/>
      <c r="D131" s="156"/>
      <c r="E131" s="156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</row>
    <row r="132">
      <c r="A132" s="156"/>
      <c r="B132" s="156"/>
      <c r="C132" s="156"/>
      <c r="D132" s="156"/>
      <c r="E132" s="156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</row>
    <row r="133">
      <c r="A133" s="156"/>
      <c r="B133" s="156"/>
      <c r="C133" s="156"/>
      <c r="D133" s="156"/>
      <c r="E133" s="156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</row>
    <row r="134">
      <c r="A134" s="156"/>
      <c r="B134" s="156"/>
      <c r="C134" s="156"/>
      <c r="D134" s="156"/>
      <c r="E134" s="156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</row>
    <row r="135">
      <c r="A135" s="156"/>
      <c r="B135" s="156"/>
      <c r="C135" s="156"/>
      <c r="D135" s="156"/>
      <c r="E135" s="156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</row>
    <row r="136">
      <c r="A136" s="156"/>
      <c r="B136" s="156"/>
      <c r="C136" s="156"/>
      <c r="D136" s="156"/>
      <c r="E136" s="156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</row>
    <row r="137">
      <c r="A137" s="156"/>
      <c r="B137" s="156"/>
      <c r="C137" s="156"/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</row>
    <row r="138">
      <c r="A138" s="156"/>
      <c r="B138" s="156"/>
      <c r="C138" s="156"/>
      <c r="D138" s="156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</row>
    <row r="139">
      <c r="A139" s="156"/>
      <c r="B139" s="156"/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</row>
    <row r="140">
      <c r="A140" s="156"/>
      <c r="B140" s="156"/>
      <c r="C140" s="156"/>
      <c r="D140" s="156"/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</row>
    <row r="141">
      <c r="A141" s="156"/>
      <c r="B141" s="156"/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</row>
    <row r="142">
      <c r="A142" s="156"/>
      <c r="B142" s="156"/>
      <c r="C142" s="156"/>
      <c r="D142" s="156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</row>
    <row r="143">
      <c r="A143" s="156"/>
      <c r="B143" s="156"/>
      <c r="C143" s="156"/>
      <c r="D143" s="156"/>
      <c r="E143" s="156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</row>
    <row r="144">
      <c r="A144" s="156"/>
      <c r="B144" s="156"/>
      <c r="C144" s="156"/>
      <c r="D144" s="156"/>
      <c r="E144" s="156"/>
      <c r="F144" s="156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</row>
    <row r="145">
      <c r="A145" s="156"/>
      <c r="B145" s="156"/>
      <c r="C145" s="156"/>
      <c r="D145" s="156"/>
      <c r="E145" s="156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</row>
    <row r="146">
      <c r="A146" s="156"/>
      <c r="B146" s="156"/>
      <c r="C146" s="156"/>
      <c r="D146" s="156"/>
      <c r="E146" s="156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</row>
    <row r="147">
      <c r="A147" s="156"/>
      <c r="B147" s="156"/>
      <c r="C147" s="156"/>
      <c r="D147" s="156"/>
      <c r="E147" s="156"/>
      <c r="F147" s="156"/>
      <c r="G147" s="156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</row>
    <row r="148">
      <c r="A148" s="156"/>
      <c r="B148" s="156"/>
      <c r="C148" s="156"/>
      <c r="D148" s="156"/>
      <c r="E148" s="156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</row>
    <row r="149">
      <c r="A149" s="156"/>
      <c r="B149" s="156"/>
      <c r="C149" s="156"/>
      <c r="D149" s="156"/>
      <c r="E149" s="156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</row>
    <row r="150">
      <c r="A150" s="156"/>
      <c r="B150" s="156"/>
      <c r="C150" s="156"/>
      <c r="D150" s="156"/>
      <c r="E150" s="156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</row>
    <row r="151">
      <c r="A151" s="156"/>
      <c r="B151" s="156"/>
      <c r="C151" s="156"/>
      <c r="D151" s="156"/>
      <c r="E151" s="156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</row>
    <row r="152">
      <c r="A152" s="156"/>
      <c r="B152" s="156"/>
      <c r="C152" s="156"/>
      <c r="D152" s="156"/>
      <c r="E152" s="156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</row>
    <row r="153">
      <c r="A153" s="156"/>
      <c r="B153" s="156"/>
      <c r="C153" s="156"/>
      <c r="D153" s="156"/>
      <c r="E153" s="156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</row>
    <row r="154">
      <c r="A154" s="156"/>
      <c r="B154" s="156"/>
      <c r="C154" s="156"/>
      <c r="D154" s="156"/>
      <c r="E154" s="156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</row>
    <row r="155">
      <c r="A155" s="156"/>
      <c r="B155" s="156"/>
      <c r="C155" s="156"/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</row>
    <row r="156">
      <c r="A156" s="156"/>
      <c r="B156" s="156"/>
      <c r="C156" s="156"/>
      <c r="D156" s="156"/>
      <c r="E156" s="156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</row>
    <row r="157">
      <c r="A157" s="156"/>
      <c r="B157" s="156"/>
      <c r="C157" s="156"/>
      <c r="D157" s="156"/>
      <c r="E157" s="156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</row>
    <row r="158">
      <c r="A158" s="156"/>
      <c r="B158" s="156"/>
      <c r="C158" s="156"/>
      <c r="D158" s="156"/>
      <c r="E158" s="156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</row>
    <row r="159">
      <c r="A159" s="156"/>
      <c r="B159" s="156"/>
      <c r="C159" s="156"/>
      <c r="D159" s="156"/>
      <c r="E159" s="156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</row>
    <row r="160">
      <c r="A160" s="156"/>
      <c r="B160" s="156"/>
      <c r="C160" s="156"/>
      <c r="D160" s="156"/>
      <c r="E160" s="156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</row>
    <row r="161">
      <c r="A161" s="156"/>
      <c r="B161" s="156"/>
      <c r="C161" s="156"/>
      <c r="D161" s="156"/>
      <c r="E161" s="156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</row>
    <row r="162">
      <c r="A162" s="156"/>
      <c r="B162" s="156"/>
      <c r="C162" s="156"/>
      <c r="D162" s="156"/>
      <c r="E162" s="156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</row>
    <row r="163">
      <c r="A163" s="156"/>
      <c r="B163" s="156"/>
      <c r="C163" s="156"/>
      <c r="D163" s="156"/>
      <c r="E163" s="156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  <c r="Z163" s="156"/>
    </row>
    <row r="164">
      <c r="A164" s="156"/>
      <c r="B164" s="156"/>
      <c r="C164" s="156"/>
      <c r="D164" s="156"/>
      <c r="E164" s="156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</row>
    <row r="165">
      <c r="A165" s="156"/>
      <c r="B165" s="156"/>
      <c r="C165" s="156"/>
      <c r="D165" s="156"/>
      <c r="E165" s="156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</row>
    <row r="166">
      <c r="A166" s="156"/>
      <c r="B166" s="156"/>
      <c r="C166" s="156"/>
      <c r="D166" s="156"/>
      <c r="E166" s="156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</row>
    <row r="167">
      <c r="A167" s="156"/>
      <c r="B167" s="156"/>
      <c r="C167" s="156"/>
      <c r="D167" s="156"/>
      <c r="E167" s="156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</row>
    <row r="168">
      <c r="A168" s="156"/>
      <c r="B168" s="156"/>
      <c r="C168" s="156"/>
      <c r="D168" s="156"/>
      <c r="E168" s="156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</row>
    <row r="169">
      <c r="A169" s="156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</row>
    <row r="170">
      <c r="A170" s="156"/>
      <c r="B170" s="156"/>
      <c r="C170" s="156"/>
      <c r="D170" s="156"/>
      <c r="E170" s="156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</row>
    <row r="171">
      <c r="A171" s="156"/>
      <c r="B171" s="156"/>
      <c r="C171" s="156"/>
      <c r="D171" s="156"/>
      <c r="E171" s="156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</row>
    <row r="172">
      <c r="A172" s="156"/>
      <c r="B172" s="156"/>
      <c r="C172" s="156"/>
      <c r="D172" s="156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</row>
    <row r="173">
      <c r="A173" s="156"/>
      <c r="B173" s="156"/>
      <c r="C173" s="156"/>
      <c r="D173" s="156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</row>
    <row r="174">
      <c r="A174" s="156"/>
      <c r="B174" s="156"/>
      <c r="C174" s="156"/>
      <c r="D174" s="156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</row>
    <row r="175">
      <c r="A175" s="156"/>
      <c r="B175" s="156"/>
      <c r="C175" s="156"/>
      <c r="D175" s="156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</row>
    <row r="176">
      <c r="A176" s="156"/>
      <c r="B176" s="156"/>
      <c r="C176" s="156"/>
      <c r="D176" s="156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</row>
    <row r="177">
      <c r="A177" s="156"/>
      <c r="B177" s="156"/>
      <c r="C177" s="156"/>
      <c r="D177" s="156"/>
      <c r="E177" s="156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</row>
    <row r="178">
      <c r="A178" s="156"/>
      <c r="B178" s="156"/>
      <c r="C178" s="156"/>
      <c r="D178" s="156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</row>
    <row r="179">
      <c r="A179" s="156"/>
      <c r="B179" s="156"/>
      <c r="C179" s="156"/>
      <c r="D179" s="156"/>
      <c r="E179" s="156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</row>
    <row r="180">
      <c r="A180" s="156"/>
      <c r="B180" s="156"/>
      <c r="C180" s="156"/>
      <c r="D180" s="156"/>
      <c r="E180" s="156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</row>
    <row r="181">
      <c r="A181" s="156"/>
      <c r="B181" s="156"/>
      <c r="C181" s="156"/>
      <c r="D181" s="156"/>
      <c r="E181" s="156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</row>
    <row r="182">
      <c r="A182" s="156"/>
      <c r="B182" s="156"/>
      <c r="C182" s="156"/>
      <c r="D182" s="156"/>
      <c r="E182" s="156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</row>
    <row r="183">
      <c r="A183" s="156"/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</row>
    <row r="184">
      <c r="A184" s="156"/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</row>
    <row r="185">
      <c r="A185" s="156"/>
      <c r="B185" s="156"/>
      <c r="C185" s="156"/>
      <c r="D185" s="156"/>
      <c r="E185" s="156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</row>
    <row r="186">
      <c r="A186" s="156"/>
      <c r="B186" s="156"/>
      <c r="C186" s="156"/>
      <c r="D186" s="156"/>
      <c r="E186" s="156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</row>
    <row r="187">
      <c r="A187" s="156"/>
      <c r="B187" s="156"/>
      <c r="C187" s="156"/>
      <c r="D187" s="156"/>
      <c r="E187" s="156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</row>
    <row r="188">
      <c r="A188" s="156"/>
      <c r="B188" s="156"/>
      <c r="C188" s="156"/>
      <c r="D188" s="156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</row>
    <row r="189">
      <c r="A189" s="156"/>
      <c r="B189" s="156"/>
      <c r="C189" s="156"/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</row>
    <row r="190">
      <c r="A190" s="156"/>
      <c r="B190" s="156"/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</row>
    <row r="191">
      <c r="A191" s="156"/>
      <c r="B191" s="156"/>
      <c r="C191" s="156"/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</row>
    <row r="192">
      <c r="A192" s="156"/>
      <c r="B192" s="156"/>
      <c r="C192" s="156"/>
      <c r="D192" s="156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</row>
    <row r="193">
      <c r="A193" s="156"/>
      <c r="B193" s="156"/>
      <c r="C193" s="156"/>
      <c r="D193" s="156"/>
      <c r="E193" s="156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</row>
    <row r="194">
      <c r="A194" s="156"/>
      <c r="B194" s="156"/>
      <c r="C194" s="156"/>
      <c r="D194" s="156"/>
      <c r="E194" s="156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</row>
    <row r="195">
      <c r="A195" s="156"/>
      <c r="B195" s="156"/>
      <c r="C195" s="156"/>
      <c r="D195" s="156"/>
      <c r="E195" s="156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</row>
    <row r="196">
      <c r="A196" s="156"/>
      <c r="B196" s="156"/>
      <c r="C196" s="156"/>
      <c r="D196" s="156"/>
      <c r="E196" s="156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</row>
    <row r="197">
      <c r="A197" s="156"/>
      <c r="B197" s="156"/>
      <c r="C197" s="156"/>
      <c r="D197" s="156"/>
      <c r="E197" s="156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</row>
    <row r="198">
      <c r="A198" s="156"/>
      <c r="B198" s="156"/>
      <c r="C198" s="156"/>
      <c r="D198" s="156"/>
      <c r="E198" s="156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</row>
    <row r="199">
      <c r="A199" s="156"/>
      <c r="B199" s="156"/>
      <c r="C199" s="156"/>
      <c r="D199" s="156"/>
      <c r="E199" s="156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</row>
    <row r="200">
      <c r="A200" s="156"/>
      <c r="B200" s="156"/>
      <c r="C200" s="156"/>
      <c r="D200" s="156"/>
      <c r="E200" s="156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</row>
    <row r="201">
      <c r="A201" s="156"/>
      <c r="B201" s="156"/>
      <c r="C201" s="156"/>
      <c r="D201" s="156"/>
      <c r="E201" s="156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</row>
    <row r="202">
      <c r="A202" s="156"/>
      <c r="B202" s="156"/>
      <c r="C202" s="156"/>
      <c r="D202" s="156"/>
      <c r="E202" s="156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</row>
    <row r="203">
      <c r="A203" s="156"/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</row>
    <row r="204">
      <c r="A204" s="156"/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</row>
    <row r="205">
      <c r="A205" s="156"/>
      <c r="B205" s="156"/>
      <c r="C205" s="156"/>
      <c r="D205" s="156"/>
      <c r="E205" s="156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</row>
    <row r="206">
      <c r="A206" s="156"/>
      <c r="B206" s="156"/>
      <c r="C206" s="156"/>
      <c r="D206" s="156"/>
      <c r="E206" s="156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</row>
    <row r="207">
      <c r="A207" s="156"/>
      <c r="B207" s="156"/>
      <c r="C207" s="156"/>
      <c r="D207" s="156"/>
      <c r="E207" s="156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</row>
    <row r="208">
      <c r="A208" s="156"/>
      <c r="B208" s="156"/>
      <c r="C208" s="156"/>
      <c r="D208" s="156"/>
      <c r="E208" s="156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</row>
    <row r="209">
      <c r="A209" s="156"/>
      <c r="B209" s="156"/>
      <c r="C209" s="156"/>
      <c r="D209" s="156"/>
      <c r="E209" s="156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</row>
    <row r="210">
      <c r="A210" s="156"/>
      <c r="B210" s="156"/>
      <c r="C210" s="156"/>
      <c r="D210" s="156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</row>
    <row r="211">
      <c r="A211" s="156"/>
      <c r="B211" s="156"/>
      <c r="C211" s="156"/>
      <c r="D211" s="156"/>
      <c r="E211" s="156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</row>
    <row r="212">
      <c r="A212" s="156"/>
      <c r="B212" s="156"/>
      <c r="C212" s="156"/>
      <c r="D212" s="156"/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</row>
    <row r="213">
      <c r="A213" s="156"/>
      <c r="B213" s="156"/>
      <c r="C213" s="156"/>
      <c r="D213" s="156"/>
      <c r="E213" s="156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</row>
    <row r="214">
      <c r="A214" s="156"/>
      <c r="B214" s="156"/>
      <c r="C214" s="156"/>
      <c r="D214" s="156"/>
      <c r="E214" s="156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</row>
    <row r="215">
      <c r="A215" s="156"/>
      <c r="B215" s="156"/>
      <c r="C215" s="156"/>
      <c r="D215" s="156"/>
      <c r="E215" s="156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</row>
    <row r="216">
      <c r="A216" s="156"/>
      <c r="B216" s="156"/>
      <c r="C216" s="156"/>
      <c r="D216" s="156"/>
      <c r="E216" s="156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</row>
    <row r="217">
      <c r="A217" s="156"/>
      <c r="B217" s="156"/>
      <c r="C217" s="156"/>
      <c r="D217" s="156"/>
      <c r="E217" s="156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</row>
    <row r="218">
      <c r="A218" s="156"/>
      <c r="B218" s="156"/>
      <c r="C218" s="156"/>
      <c r="D218" s="156"/>
      <c r="E218" s="156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</row>
    <row r="219">
      <c r="A219" s="156"/>
      <c r="B219" s="156"/>
      <c r="C219" s="156"/>
      <c r="D219" s="156"/>
      <c r="E219" s="156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</row>
    <row r="220">
      <c r="A220" s="156"/>
      <c r="B220" s="156"/>
      <c r="C220" s="156"/>
      <c r="D220" s="156"/>
      <c r="E220" s="156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</row>
    <row r="221">
      <c r="A221" s="156"/>
      <c r="B221" s="156"/>
      <c r="C221" s="156"/>
      <c r="D221" s="156"/>
      <c r="E221" s="156"/>
      <c r="F221" s="156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  <c r="Z221" s="156"/>
    </row>
    <row r="222">
      <c r="A222" s="156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</row>
    <row r="223">
      <c r="A223" s="156"/>
      <c r="B223" s="156"/>
      <c r="C223" s="156"/>
      <c r="D223" s="156"/>
      <c r="E223" s="156"/>
      <c r="F223" s="156"/>
      <c r="G223" s="156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  <c r="Z223" s="156"/>
    </row>
    <row r="224">
      <c r="A224" s="156"/>
      <c r="B224" s="156"/>
      <c r="C224" s="156"/>
      <c r="D224" s="156"/>
      <c r="E224" s="156"/>
      <c r="F224" s="156"/>
      <c r="G224" s="156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  <c r="Y224" s="156"/>
      <c r="Z224" s="156"/>
    </row>
    <row r="225">
      <c r="A225" s="156"/>
      <c r="B225" s="156"/>
      <c r="C225" s="156"/>
      <c r="D225" s="156"/>
      <c r="E225" s="156"/>
      <c r="F225" s="156"/>
      <c r="G225" s="156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  <c r="Z225" s="156"/>
    </row>
    <row r="226">
      <c r="A226" s="156"/>
      <c r="B226" s="156"/>
      <c r="C226" s="156"/>
      <c r="D226" s="156"/>
      <c r="E226" s="156"/>
      <c r="F226" s="156"/>
      <c r="G226" s="156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  <c r="Z226" s="156"/>
    </row>
    <row r="227">
      <c r="A227" s="156"/>
      <c r="B227" s="156"/>
      <c r="C227" s="156"/>
      <c r="D227" s="156"/>
      <c r="E227" s="156"/>
      <c r="F227" s="156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</row>
    <row r="228">
      <c r="A228" s="156"/>
      <c r="B228" s="156"/>
      <c r="C228" s="156"/>
      <c r="D228" s="156"/>
      <c r="E228" s="156"/>
      <c r="F228" s="156"/>
      <c r="G228" s="156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  <c r="Z228" s="156"/>
    </row>
    <row r="229">
      <c r="A229" s="156"/>
      <c r="B229" s="156"/>
      <c r="C229" s="156"/>
      <c r="D229" s="156"/>
      <c r="E229" s="156"/>
      <c r="F229" s="156"/>
      <c r="G229" s="156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  <c r="Z229" s="156"/>
    </row>
    <row r="230">
      <c r="A230" s="156"/>
      <c r="B230" s="156"/>
      <c r="C230" s="156"/>
      <c r="D230" s="156"/>
      <c r="E230" s="156"/>
      <c r="F230" s="156"/>
      <c r="G230" s="156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</row>
    <row r="231">
      <c r="A231" s="156"/>
      <c r="B231" s="156"/>
      <c r="C231" s="156"/>
      <c r="D231" s="156"/>
      <c r="E231" s="156"/>
      <c r="F231" s="156"/>
      <c r="G231" s="156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  <c r="Z231" s="156"/>
    </row>
    <row r="232">
      <c r="A232" s="156"/>
      <c r="B232" s="156"/>
      <c r="C232" s="156"/>
      <c r="D232" s="156"/>
      <c r="E232" s="156"/>
      <c r="F232" s="156"/>
      <c r="G232" s="156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  <c r="Y232" s="156"/>
      <c r="Z232" s="156"/>
    </row>
    <row r="233">
      <c r="A233" s="156"/>
      <c r="B233" s="156"/>
      <c r="C233" s="156"/>
      <c r="D233" s="156"/>
      <c r="E233" s="156"/>
      <c r="F233" s="156"/>
      <c r="G233" s="156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  <c r="Z233" s="156"/>
    </row>
    <row r="234">
      <c r="A234" s="156"/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</row>
    <row r="235">
      <c r="A235" s="156"/>
      <c r="B235" s="156"/>
      <c r="C235" s="156"/>
      <c r="D235" s="156"/>
      <c r="E235" s="156"/>
      <c r="F235" s="156"/>
      <c r="G235" s="156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  <c r="Z235" s="156"/>
    </row>
    <row r="236">
      <c r="A236" s="156"/>
      <c r="B236" s="156"/>
      <c r="C236" s="156"/>
      <c r="D236" s="156"/>
      <c r="E236" s="156"/>
      <c r="F236" s="156"/>
      <c r="G236" s="156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  <c r="Y236" s="156"/>
      <c r="Z236" s="156"/>
    </row>
    <row r="237">
      <c r="A237" s="156"/>
      <c r="B237" s="156"/>
      <c r="C237" s="156"/>
      <c r="D237" s="156"/>
      <c r="E237" s="156"/>
      <c r="F237" s="156"/>
      <c r="G237" s="156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  <c r="Z237" s="156"/>
    </row>
    <row r="238">
      <c r="A238" s="156"/>
      <c r="B238" s="156"/>
      <c r="C238" s="156"/>
      <c r="D238" s="156"/>
      <c r="E238" s="156"/>
      <c r="F238" s="156"/>
      <c r="G238" s="156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  <c r="Y238" s="156"/>
      <c r="Z238" s="156"/>
    </row>
    <row r="239">
      <c r="A239" s="156"/>
      <c r="B239" s="156"/>
      <c r="C239" s="156"/>
      <c r="D239" s="156"/>
      <c r="E239" s="156"/>
      <c r="F239" s="156"/>
      <c r="G239" s="156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  <c r="Z239" s="156"/>
    </row>
    <row r="240">
      <c r="A240" s="156"/>
      <c r="B240" s="156"/>
      <c r="C240" s="156"/>
      <c r="D240" s="156"/>
      <c r="E240" s="156"/>
      <c r="F240" s="156"/>
      <c r="G240" s="156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  <c r="Z240" s="156"/>
    </row>
    <row r="241">
      <c r="A241" s="156"/>
      <c r="B241" s="156"/>
      <c r="C241" s="156"/>
      <c r="D241" s="156"/>
      <c r="E241" s="156"/>
      <c r="F241" s="156"/>
      <c r="G241" s="156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  <c r="Z241" s="156"/>
    </row>
    <row r="242">
      <c r="A242" s="156"/>
      <c r="B242" s="156"/>
      <c r="C242" s="156"/>
      <c r="D242" s="156"/>
      <c r="E242" s="156"/>
      <c r="F242" s="156"/>
      <c r="G242" s="156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</row>
    <row r="243">
      <c r="A243" s="156"/>
      <c r="B243" s="156"/>
      <c r="C243" s="156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</row>
    <row r="244">
      <c r="A244" s="156"/>
      <c r="B244" s="156"/>
      <c r="C244" s="156"/>
      <c r="D244" s="156"/>
      <c r="E244" s="156"/>
      <c r="F244" s="156"/>
      <c r="G244" s="156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  <c r="Y244" s="156"/>
      <c r="Z244" s="156"/>
    </row>
    <row r="245">
      <c r="A245" s="156"/>
      <c r="B245" s="156"/>
      <c r="C245" s="156"/>
      <c r="D245" s="156"/>
      <c r="E245" s="156"/>
      <c r="F245" s="156"/>
      <c r="G245" s="156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  <c r="Y245" s="156"/>
      <c r="Z245" s="156"/>
    </row>
    <row r="246">
      <c r="A246" s="156"/>
      <c r="B246" s="156"/>
      <c r="C246" s="156"/>
      <c r="D246" s="156"/>
      <c r="E246" s="156"/>
      <c r="F246" s="156"/>
      <c r="G246" s="156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  <c r="Y246" s="156"/>
      <c r="Z246" s="156"/>
    </row>
    <row r="247">
      <c r="A247" s="156"/>
      <c r="B247" s="156"/>
      <c r="C247" s="156"/>
      <c r="D247" s="156"/>
      <c r="E247" s="156"/>
      <c r="F247" s="156"/>
      <c r="G247" s="156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  <c r="Y247" s="156"/>
      <c r="Z247" s="156"/>
    </row>
    <row r="248">
      <c r="A248" s="156"/>
      <c r="B248" s="156"/>
      <c r="C248" s="156"/>
      <c r="D248" s="156"/>
      <c r="E248" s="156"/>
      <c r="F248" s="156"/>
      <c r="G248" s="156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  <c r="Y248" s="156"/>
      <c r="Z248" s="156"/>
    </row>
    <row r="249">
      <c r="A249" s="156"/>
      <c r="B249" s="156"/>
      <c r="C249" s="156"/>
      <c r="D249" s="156"/>
      <c r="E249" s="156"/>
      <c r="F249" s="156"/>
      <c r="G249" s="156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  <c r="Y249" s="156"/>
      <c r="Z249" s="156"/>
    </row>
    <row r="250">
      <c r="A250" s="156"/>
      <c r="B250" s="156"/>
      <c r="C250" s="156"/>
      <c r="D250" s="156"/>
      <c r="E250" s="156"/>
      <c r="F250" s="156"/>
      <c r="G250" s="156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  <c r="Y250" s="156"/>
      <c r="Z250" s="156"/>
    </row>
    <row r="251">
      <c r="A251" s="156"/>
      <c r="B251" s="156"/>
      <c r="C251" s="156"/>
      <c r="D251" s="156"/>
      <c r="E251" s="156"/>
      <c r="F251" s="156"/>
      <c r="G251" s="156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  <c r="Y251" s="156"/>
      <c r="Z251" s="156"/>
    </row>
    <row r="252">
      <c r="A252" s="156"/>
      <c r="B252" s="156"/>
      <c r="C252" s="156"/>
      <c r="D252" s="156"/>
      <c r="E252" s="156"/>
      <c r="F252" s="156"/>
      <c r="G252" s="156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  <c r="Y252" s="156"/>
      <c r="Z252" s="156"/>
    </row>
    <row r="253">
      <c r="A253" s="156"/>
      <c r="B253" s="156"/>
      <c r="C253" s="156"/>
      <c r="D253" s="156"/>
      <c r="E253" s="156"/>
      <c r="F253" s="156"/>
      <c r="G253" s="156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  <c r="Y253" s="156"/>
      <c r="Z253" s="156"/>
    </row>
    <row r="254">
      <c r="A254" s="156"/>
      <c r="B254" s="156"/>
      <c r="C254" s="156"/>
      <c r="D254" s="156"/>
      <c r="E254" s="156"/>
      <c r="F254" s="156"/>
      <c r="G254" s="156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  <c r="Y254" s="156"/>
      <c r="Z254" s="156"/>
    </row>
    <row r="255">
      <c r="A255" s="156"/>
      <c r="B255" s="156"/>
      <c r="C255" s="156"/>
      <c r="D255" s="156"/>
      <c r="E255" s="156"/>
      <c r="F255" s="156"/>
      <c r="G255" s="156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  <c r="Y255" s="156"/>
      <c r="Z255" s="156"/>
    </row>
    <row r="256">
      <c r="A256" s="156"/>
      <c r="B256" s="156"/>
      <c r="C256" s="156"/>
      <c r="D256" s="156"/>
      <c r="E256" s="156"/>
      <c r="F256" s="156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</row>
    <row r="257">
      <c r="A257" s="156"/>
      <c r="B257" s="156"/>
      <c r="C257" s="156"/>
      <c r="D257" s="156"/>
      <c r="E257" s="156"/>
      <c r="F257" s="156"/>
      <c r="G257" s="156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  <c r="Y257" s="156"/>
      <c r="Z257" s="156"/>
    </row>
    <row r="258">
      <c r="A258" s="156"/>
      <c r="B258" s="156"/>
      <c r="C258" s="156"/>
      <c r="D258" s="156"/>
      <c r="E258" s="156"/>
      <c r="F258" s="156"/>
      <c r="G258" s="156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  <c r="Y258" s="156"/>
      <c r="Z258" s="156"/>
    </row>
    <row r="259">
      <c r="A259" s="156"/>
      <c r="B259" s="156"/>
      <c r="C259" s="156"/>
      <c r="D259" s="156"/>
      <c r="E259" s="156"/>
      <c r="F259" s="156"/>
      <c r="G259" s="156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  <c r="Z259" s="156"/>
    </row>
    <row r="260">
      <c r="A260" s="156"/>
      <c r="B260" s="156"/>
      <c r="C260" s="156"/>
      <c r="D260" s="156"/>
      <c r="E260" s="156"/>
      <c r="F260" s="156"/>
      <c r="G260" s="156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  <c r="Y260" s="156"/>
      <c r="Z260" s="156"/>
    </row>
    <row r="261">
      <c r="A261" s="156"/>
      <c r="B261" s="156"/>
      <c r="C261" s="156"/>
      <c r="D261" s="156"/>
      <c r="E261" s="156"/>
      <c r="F261" s="156"/>
      <c r="G261" s="156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  <c r="Y261" s="156"/>
      <c r="Z261" s="156"/>
    </row>
    <row r="262">
      <c r="A262" s="156"/>
      <c r="B262" s="156"/>
      <c r="C262" s="156"/>
      <c r="D262" s="156"/>
      <c r="E262" s="156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  <c r="Y262" s="156"/>
      <c r="Z262" s="156"/>
    </row>
    <row r="263">
      <c r="A263" s="156"/>
      <c r="B263" s="156"/>
      <c r="C263" s="156"/>
      <c r="D263" s="156"/>
      <c r="E263" s="156"/>
      <c r="F263" s="156"/>
      <c r="G263" s="156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  <c r="Y263" s="156"/>
      <c r="Z263" s="156"/>
    </row>
    <row r="264">
      <c r="A264" s="156"/>
      <c r="B264" s="156"/>
      <c r="C264" s="156"/>
      <c r="D264" s="156"/>
      <c r="E264" s="156"/>
      <c r="F264" s="156"/>
      <c r="G264" s="156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  <c r="Y264" s="156"/>
      <c r="Z264" s="156"/>
    </row>
    <row r="265">
      <c r="A265" s="156"/>
      <c r="B265" s="156"/>
      <c r="C265" s="156"/>
      <c r="D265" s="156"/>
      <c r="E265" s="156"/>
      <c r="F265" s="156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</row>
    <row r="266">
      <c r="A266" s="156"/>
      <c r="B266" s="156"/>
      <c r="C266" s="156"/>
      <c r="D266" s="156"/>
      <c r="E266" s="156"/>
      <c r="F266" s="156"/>
      <c r="G266" s="156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  <c r="Y266" s="156"/>
      <c r="Z266" s="156"/>
    </row>
    <row r="267">
      <c r="A267" s="156"/>
      <c r="B267" s="156"/>
      <c r="C267" s="156"/>
      <c r="D267" s="156"/>
      <c r="E267" s="156"/>
      <c r="F267" s="156"/>
      <c r="G267" s="156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  <c r="Y267" s="156"/>
      <c r="Z267" s="156"/>
    </row>
    <row r="268">
      <c r="A268" s="156"/>
      <c r="B268" s="156"/>
      <c r="C268" s="156"/>
      <c r="D268" s="156"/>
      <c r="E268" s="156"/>
      <c r="F268" s="156"/>
      <c r="G268" s="156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  <c r="Y268" s="156"/>
      <c r="Z268" s="156"/>
    </row>
    <row r="269">
      <c r="A269" s="156"/>
      <c r="B269" s="156"/>
      <c r="C269" s="156"/>
      <c r="D269" s="156"/>
      <c r="E269" s="156"/>
      <c r="F269" s="156"/>
      <c r="G269" s="156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  <c r="Y269" s="156"/>
      <c r="Z269" s="156"/>
    </row>
    <row r="270">
      <c r="A270" s="156"/>
      <c r="B270" s="156"/>
      <c r="C270" s="156"/>
      <c r="D270" s="156"/>
      <c r="E270" s="156"/>
      <c r="F270" s="156"/>
      <c r="G270" s="156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  <c r="Y270" s="156"/>
      <c r="Z270" s="156"/>
    </row>
    <row r="271">
      <c r="A271" s="156"/>
      <c r="B271" s="156"/>
      <c r="C271" s="156"/>
      <c r="D271" s="156"/>
      <c r="E271" s="156"/>
      <c r="F271" s="156"/>
      <c r="G271" s="156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  <c r="Y271" s="156"/>
      <c r="Z271" s="156"/>
    </row>
    <row r="272">
      <c r="A272" s="156"/>
      <c r="B272" s="156"/>
      <c r="C272" s="156"/>
      <c r="D272" s="156"/>
      <c r="E272" s="156"/>
      <c r="F272" s="156"/>
      <c r="G272" s="156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  <c r="Y272" s="156"/>
      <c r="Z272" s="156"/>
    </row>
    <row r="273">
      <c r="A273" s="156"/>
      <c r="B273" s="156"/>
      <c r="C273" s="156"/>
      <c r="D273" s="156"/>
      <c r="E273" s="156"/>
      <c r="F273" s="156"/>
      <c r="G273" s="156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  <c r="Y273" s="156"/>
      <c r="Z273" s="156"/>
    </row>
    <row r="274">
      <c r="A274" s="156"/>
      <c r="B274" s="156"/>
      <c r="C274" s="156"/>
      <c r="D274" s="156"/>
      <c r="E274" s="156"/>
      <c r="F274" s="156"/>
      <c r="G274" s="156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156"/>
      <c r="Y274" s="156"/>
      <c r="Z274" s="156"/>
    </row>
    <row r="275">
      <c r="A275" s="156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</row>
    <row r="276">
      <c r="A276" s="156"/>
      <c r="B276" s="156"/>
      <c r="C276" s="156"/>
      <c r="D276" s="156"/>
      <c r="E276" s="156"/>
      <c r="F276" s="156"/>
      <c r="G276" s="156"/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  <c r="X276" s="156"/>
      <c r="Y276" s="156"/>
      <c r="Z276" s="156"/>
    </row>
    <row r="277">
      <c r="A277" s="156"/>
      <c r="B277" s="156"/>
      <c r="C277" s="156"/>
      <c r="D277" s="156"/>
      <c r="E277" s="156"/>
      <c r="F277" s="156"/>
      <c r="G277" s="156"/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156"/>
      <c r="Y277" s="156"/>
      <c r="Z277" s="156"/>
    </row>
    <row r="278">
      <c r="A278" s="156"/>
      <c r="B278" s="156"/>
      <c r="C278" s="156"/>
      <c r="D278" s="156"/>
      <c r="E278" s="156"/>
      <c r="F278" s="156"/>
      <c r="G278" s="156"/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  <c r="X278" s="156"/>
      <c r="Y278" s="156"/>
      <c r="Z278" s="156"/>
    </row>
    <row r="279">
      <c r="A279" s="156"/>
      <c r="B279" s="156"/>
      <c r="C279" s="156"/>
      <c r="D279" s="156"/>
      <c r="E279" s="156"/>
      <c r="F279" s="156"/>
      <c r="G279" s="156"/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  <c r="X279" s="156"/>
      <c r="Y279" s="156"/>
      <c r="Z279" s="156"/>
    </row>
    <row r="280">
      <c r="A280" s="156"/>
      <c r="B280" s="156"/>
      <c r="C280" s="156"/>
      <c r="D280" s="156"/>
      <c r="E280" s="156"/>
      <c r="F280" s="156"/>
      <c r="G280" s="156"/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  <c r="Y280" s="156"/>
      <c r="Z280" s="156"/>
    </row>
    <row r="281">
      <c r="A281" s="156"/>
      <c r="B281" s="156"/>
      <c r="C281" s="156"/>
      <c r="D281" s="156"/>
      <c r="E281" s="156"/>
      <c r="F281" s="156"/>
      <c r="G281" s="156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156"/>
      <c r="Y281" s="156"/>
      <c r="Z281" s="156"/>
    </row>
    <row r="282">
      <c r="A282" s="156"/>
      <c r="B282" s="156"/>
      <c r="C282" s="156"/>
      <c r="D282" s="156"/>
      <c r="E282" s="156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  <c r="Y282" s="156"/>
      <c r="Z282" s="156"/>
    </row>
    <row r="283">
      <c r="A283" s="156"/>
      <c r="B283" s="156"/>
      <c r="C283" s="156"/>
      <c r="D283" s="156"/>
      <c r="E283" s="156"/>
      <c r="F283" s="156"/>
      <c r="G283" s="156"/>
      <c r="H283" s="156"/>
      <c r="I283" s="156"/>
      <c r="J283" s="156"/>
      <c r="K283" s="156"/>
      <c r="L283" s="156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  <c r="X283" s="156"/>
      <c r="Y283" s="156"/>
      <c r="Z283" s="156"/>
    </row>
    <row r="284">
      <c r="A284" s="156"/>
      <c r="B284" s="156"/>
      <c r="C284" s="156"/>
      <c r="D284" s="156"/>
      <c r="E284" s="156"/>
      <c r="F284" s="156"/>
      <c r="G284" s="156"/>
      <c r="H284" s="156"/>
      <c r="I284" s="156"/>
      <c r="J284" s="156"/>
      <c r="K284" s="156"/>
      <c r="L284" s="156"/>
      <c r="M284" s="156"/>
      <c r="N284" s="156"/>
      <c r="O284" s="156"/>
      <c r="P284" s="156"/>
      <c r="Q284" s="156"/>
      <c r="R284" s="156"/>
      <c r="S284" s="156"/>
      <c r="T284" s="156"/>
      <c r="U284" s="156"/>
      <c r="V284" s="156"/>
      <c r="W284" s="156"/>
      <c r="X284" s="156"/>
      <c r="Y284" s="156"/>
      <c r="Z284" s="156"/>
    </row>
    <row r="285">
      <c r="A285" s="156"/>
      <c r="B285" s="156"/>
      <c r="C285" s="156"/>
      <c r="D285" s="156"/>
      <c r="E285" s="156"/>
      <c r="F285" s="156"/>
      <c r="G285" s="156"/>
      <c r="H285" s="156"/>
      <c r="I285" s="156"/>
      <c r="J285" s="156"/>
      <c r="K285" s="156"/>
      <c r="L285" s="156"/>
      <c r="M285" s="156"/>
      <c r="N285" s="156"/>
      <c r="O285" s="156"/>
      <c r="P285" s="156"/>
      <c r="Q285" s="156"/>
      <c r="R285" s="156"/>
      <c r="S285" s="156"/>
      <c r="T285" s="156"/>
      <c r="U285" s="156"/>
      <c r="V285" s="156"/>
      <c r="W285" s="156"/>
      <c r="X285" s="156"/>
      <c r="Y285" s="156"/>
      <c r="Z285" s="156"/>
    </row>
    <row r="286">
      <c r="A286" s="156"/>
      <c r="B286" s="156"/>
      <c r="C286" s="156"/>
      <c r="D286" s="156"/>
      <c r="E286" s="156"/>
      <c r="F286" s="156"/>
      <c r="G286" s="156"/>
      <c r="H286" s="156"/>
      <c r="I286" s="156"/>
      <c r="J286" s="156"/>
      <c r="K286" s="156"/>
      <c r="L286" s="156"/>
      <c r="M286" s="156"/>
      <c r="N286" s="156"/>
      <c r="O286" s="156"/>
      <c r="P286" s="156"/>
      <c r="Q286" s="156"/>
      <c r="R286" s="156"/>
      <c r="S286" s="156"/>
      <c r="T286" s="156"/>
      <c r="U286" s="156"/>
      <c r="V286" s="156"/>
      <c r="W286" s="156"/>
      <c r="X286" s="156"/>
      <c r="Y286" s="156"/>
      <c r="Z286" s="156"/>
    </row>
    <row r="287">
      <c r="A287" s="156"/>
      <c r="B287" s="156"/>
      <c r="C287" s="156"/>
      <c r="D287" s="156"/>
      <c r="E287" s="156"/>
      <c r="F287" s="156"/>
      <c r="G287" s="156"/>
      <c r="H287" s="156"/>
      <c r="I287" s="156"/>
      <c r="J287" s="156"/>
      <c r="K287" s="156"/>
      <c r="L287" s="156"/>
      <c r="M287" s="156"/>
      <c r="N287" s="156"/>
      <c r="O287" s="156"/>
      <c r="P287" s="156"/>
      <c r="Q287" s="156"/>
      <c r="R287" s="156"/>
      <c r="S287" s="156"/>
      <c r="T287" s="156"/>
      <c r="U287" s="156"/>
      <c r="V287" s="156"/>
      <c r="W287" s="156"/>
      <c r="X287" s="156"/>
      <c r="Y287" s="156"/>
      <c r="Z287" s="156"/>
    </row>
    <row r="288">
      <c r="A288" s="156"/>
      <c r="B288" s="156"/>
      <c r="C288" s="156"/>
      <c r="D288" s="156"/>
      <c r="E288" s="156"/>
      <c r="F288" s="156"/>
      <c r="G288" s="156"/>
      <c r="H288" s="156"/>
      <c r="I288" s="156"/>
      <c r="J288" s="156"/>
      <c r="K288" s="156"/>
      <c r="L288" s="156"/>
      <c r="M288" s="156"/>
      <c r="N288" s="156"/>
      <c r="O288" s="156"/>
      <c r="P288" s="156"/>
      <c r="Q288" s="156"/>
      <c r="R288" s="156"/>
      <c r="S288" s="156"/>
      <c r="T288" s="156"/>
      <c r="U288" s="156"/>
      <c r="V288" s="156"/>
      <c r="W288" s="156"/>
      <c r="X288" s="156"/>
      <c r="Y288" s="156"/>
      <c r="Z288" s="156"/>
    </row>
    <row r="289">
      <c r="A289" s="156"/>
      <c r="B289" s="156"/>
      <c r="C289" s="156"/>
      <c r="D289" s="156"/>
      <c r="E289" s="156"/>
      <c r="F289" s="156"/>
      <c r="G289" s="156"/>
      <c r="H289" s="156"/>
      <c r="I289" s="156"/>
      <c r="J289" s="156"/>
      <c r="K289" s="156"/>
      <c r="L289" s="156"/>
      <c r="M289" s="156"/>
      <c r="N289" s="156"/>
      <c r="O289" s="156"/>
      <c r="P289" s="156"/>
      <c r="Q289" s="156"/>
      <c r="R289" s="156"/>
      <c r="S289" s="156"/>
      <c r="T289" s="156"/>
      <c r="U289" s="156"/>
      <c r="V289" s="156"/>
      <c r="W289" s="156"/>
      <c r="X289" s="156"/>
      <c r="Y289" s="156"/>
      <c r="Z289" s="156"/>
    </row>
    <row r="290">
      <c r="A290" s="156"/>
      <c r="B290" s="156"/>
      <c r="C290" s="156"/>
      <c r="D290" s="156"/>
      <c r="E290" s="156"/>
      <c r="F290" s="156"/>
      <c r="G290" s="156"/>
      <c r="H290" s="156"/>
      <c r="I290" s="156"/>
      <c r="J290" s="156"/>
      <c r="K290" s="156"/>
      <c r="L290" s="156"/>
      <c r="M290" s="156"/>
      <c r="N290" s="156"/>
      <c r="O290" s="156"/>
      <c r="P290" s="156"/>
      <c r="Q290" s="156"/>
      <c r="R290" s="156"/>
      <c r="S290" s="156"/>
      <c r="T290" s="156"/>
      <c r="U290" s="156"/>
      <c r="V290" s="156"/>
      <c r="W290" s="156"/>
      <c r="X290" s="156"/>
      <c r="Y290" s="156"/>
      <c r="Z290" s="156"/>
    </row>
    <row r="291">
      <c r="A291" s="156"/>
      <c r="B291" s="156"/>
      <c r="C291" s="156"/>
      <c r="D291" s="156"/>
      <c r="E291" s="156"/>
      <c r="F291" s="156"/>
      <c r="G291" s="156"/>
      <c r="H291" s="156"/>
      <c r="I291" s="156"/>
      <c r="J291" s="156"/>
      <c r="K291" s="156"/>
      <c r="L291" s="156"/>
      <c r="M291" s="156"/>
      <c r="N291" s="156"/>
      <c r="O291" s="156"/>
      <c r="P291" s="156"/>
      <c r="Q291" s="156"/>
      <c r="R291" s="156"/>
      <c r="S291" s="156"/>
      <c r="T291" s="156"/>
      <c r="U291" s="156"/>
      <c r="V291" s="156"/>
      <c r="W291" s="156"/>
      <c r="X291" s="156"/>
      <c r="Y291" s="156"/>
      <c r="Z291" s="156"/>
    </row>
    <row r="292">
      <c r="A292" s="156"/>
      <c r="B292" s="156"/>
      <c r="C292" s="156"/>
      <c r="D292" s="156"/>
      <c r="E292" s="156"/>
      <c r="F292" s="156"/>
      <c r="G292" s="156"/>
      <c r="H292" s="156"/>
      <c r="I292" s="156"/>
      <c r="J292" s="156"/>
      <c r="K292" s="156"/>
      <c r="L292" s="156"/>
      <c r="M292" s="156"/>
      <c r="N292" s="156"/>
      <c r="O292" s="156"/>
      <c r="P292" s="156"/>
      <c r="Q292" s="156"/>
      <c r="R292" s="156"/>
      <c r="S292" s="156"/>
      <c r="T292" s="156"/>
      <c r="U292" s="156"/>
      <c r="V292" s="156"/>
      <c r="W292" s="156"/>
      <c r="X292" s="156"/>
      <c r="Y292" s="156"/>
      <c r="Z292" s="156"/>
    </row>
    <row r="293">
      <c r="A293" s="156"/>
      <c r="B293" s="156"/>
      <c r="C293" s="156"/>
      <c r="D293" s="156"/>
      <c r="E293" s="156"/>
      <c r="F293" s="156"/>
      <c r="G293" s="156"/>
      <c r="H293" s="156"/>
      <c r="I293" s="156"/>
      <c r="J293" s="156"/>
      <c r="K293" s="156"/>
      <c r="L293" s="156"/>
      <c r="M293" s="156"/>
      <c r="N293" s="156"/>
      <c r="O293" s="156"/>
      <c r="P293" s="156"/>
      <c r="Q293" s="156"/>
      <c r="R293" s="156"/>
      <c r="S293" s="156"/>
      <c r="T293" s="156"/>
      <c r="U293" s="156"/>
      <c r="V293" s="156"/>
      <c r="W293" s="156"/>
      <c r="X293" s="156"/>
      <c r="Y293" s="156"/>
      <c r="Z293" s="156"/>
    </row>
    <row r="294">
      <c r="A294" s="156"/>
      <c r="B294" s="156"/>
      <c r="C294" s="156"/>
      <c r="D294" s="156"/>
      <c r="E294" s="156"/>
      <c r="F294" s="156"/>
      <c r="G294" s="156"/>
      <c r="H294" s="156"/>
      <c r="I294" s="156"/>
      <c r="J294" s="156"/>
      <c r="K294" s="156"/>
      <c r="L294" s="156"/>
      <c r="M294" s="156"/>
      <c r="N294" s="156"/>
      <c r="O294" s="156"/>
      <c r="P294" s="156"/>
      <c r="Q294" s="156"/>
      <c r="R294" s="156"/>
      <c r="S294" s="156"/>
      <c r="T294" s="156"/>
      <c r="U294" s="156"/>
      <c r="V294" s="156"/>
      <c r="W294" s="156"/>
      <c r="X294" s="156"/>
      <c r="Y294" s="156"/>
      <c r="Z294" s="156"/>
    </row>
    <row r="295">
      <c r="A295" s="156"/>
      <c r="B295" s="156"/>
      <c r="C295" s="156"/>
      <c r="D295" s="156"/>
      <c r="E295" s="156"/>
      <c r="F295" s="156"/>
      <c r="G295" s="156"/>
      <c r="H295" s="156"/>
      <c r="I295" s="156"/>
      <c r="J295" s="156"/>
      <c r="K295" s="156"/>
      <c r="L295" s="156"/>
      <c r="M295" s="156"/>
      <c r="N295" s="156"/>
      <c r="O295" s="156"/>
      <c r="P295" s="156"/>
      <c r="Q295" s="156"/>
      <c r="R295" s="156"/>
      <c r="S295" s="156"/>
      <c r="T295" s="156"/>
      <c r="U295" s="156"/>
      <c r="V295" s="156"/>
      <c r="W295" s="156"/>
      <c r="X295" s="156"/>
      <c r="Y295" s="156"/>
      <c r="Z295" s="156"/>
    </row>
    <row r="296">
      <c r="A296" s="156"/>
      <c r="B296" s="156"/>
      <c r="C296" s="156"/>
      <c r="D296" s="156"/>
      <c r="E296" s="156"/>
      <c r="F296" s="156"/>
      <c r="G296" s="156"/>
      <c r="H296" s="156"/>
      <c r="I296" s="156"/>
      <c r="J296" s="156"/>
      <c r="K296" s="156"/>
      <c r="L296" s="156"/>
      <c r="M296" s="156"/>
      <c r="N296" s="156"/>
      <c r="O296" s="156"/>
      <c r="P296" s="156"/>
      <c r="Q296" s="156"/>
      <c r="R296" s="156"/>
      <c r="S296" s="156"/>
      <c r="T296" s="156"/>
      <c r="U296" s="156"/>
      <c r="V296" s="156"/>
      <c r="W296" s="156"/>
      <c r="X296" s="156"/>
      <c r="Y296" s="156"/>
      <c r="Z296" s="156"/>
    </row>
    <row r="297">
      <c r="A297" s="156"/>
      <c r="B297" s="156"/>
      <c r="C297" s="156"/>
      <c r="D297" s="156"/>
      <c r="E297" s="156"/>
      <c r="F297" s="156"/>
      <c r="G297" s="156"/>
      <c r="H297" s="156"/>
      <c r="I297" s="156"/>
      <c r="J297" s="156"/>
      <c r="K297" s="156"/>
      <c r="L297" s="156"/>
      <c r="M297" s="156"/>
      <c r="N297" s="156"/>
      <c r="O297" s="156"/>
      <c r="P297" s="156"/>
      <c r="Q297" s="156"/>
      <c r="R297" s="156"/>
      <c r="S297" s="156"/>
      <c r="T297" s="156"/>
      <c r="U297" s="156"/>
      <c r="V297" s="156"/>
      <c r="W297" s="156"/>
      <c r="X297" s="156"/>
      <c r="Y297" s="156"/>
      <c r="Z297" s="156"/>
    </row>
    <row r="298">
      <c r="A298" s="156"/>
      <c r="B298" s="156"/>
      <c r="C298" s="156"/>
      <c r="D298" s="156"/>
      <c r="E298" s="156"/>
      <c r="F298" s="156"/>
      <c r="G298" s="156"/>
      <c r="H298" s="156"/>
      <c r="I298" s="156"/>
      <c r="J298" s="156"/>
      <c r="K298" s="156"/>
      <c r="L298" s="156"/>
      <c r="M298" s="156"/>
      <c r="N298" s="156"/>
      <c r="O298" s="156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</row>
    <row r="299">
      <c r="A299" s="156"/>
      <c r="B299" s="156"/>
      <c r="C299" s="156"/>
      <c r="D299" s="156"/>
      <c r="E299" s="156"/>
      <c r="F299" s="156"/>
      <c r="G299" s="156"/>
      <c r="H299" s="156"/>
      <c r="I299" s="156"/>
      <c r="J299" s="156"/>
      <c r="K299" s="156"/>
      <c r="L299" s="156"/>
      <c r="M299" s="156"/>
      <c r="N299" s="156"/>
      <c r="O299" s="156"/>
      <c r="P299" s="156"/>
      <c r="Q299" s="156"/>
      <c r="R299" s="156"/>
      <c r="S299" s="156"/>
      <c r="T299" s="156"/>
      <c r="U299" s="156"/>
      <c r="V299" s="156"/>
      <c r="W299" s="156"/>
      <c r="X299" s="156"/>
      <c r="Y299" s="156"/>
      <c r="Z299" s="156"/>
    </row>
    <row r="300">
      <c r="A300" s="156"/>
      <c r="B300" s="156"/>
      <c r="C300" s="156"/>
      <c r="D300" s="156"/>
      <c r="E300" s="156"/>
      <c r="F300" s="156"/>
      <c r="G300" s="156"/>
      <c r="H300" s="156"/>
      <c r="I300" s="156"/>
      <c r="J300" s="156"/>
      <c r="K300" s="156"/>
      <c r="L300" s="156"/>
      <c r="M300" s="156"/>
      <c r="N300" s="156"/>
      <c r="O300" s="156"/>
      <c r="P300" s="156"/>
      <c r="Q300" s="156"/>
      <c r="R300" s="156"/>
      <c r="S300" s="156"/>
      <c r="T300" s="156"/>
      <c r="U300" s="156"/>
      <c r="V300" s="156"/>
      <c r="W300" s="156"/>
      <c r="X300" s="156"/>
      <c r="Y300" s="156"/>
      <c r="Z300" s="156"/>
    </row>
    <row r="301">
      <c r="A301" s="156"/>
      <c r="B301" s="156"/>
      <c r="C301" s="156"/>
      <c r="D301" s="156"/>
      <c r="E301" s="156"/>
      <c r="F301" s="156"/>
      <c r="G301" s="156"/>
      <c r="H301" s="156"/>
      <c r="I301" s="156"/>
      <c r="J301" s="156"/>
      <c r="K301" s="156"/>
      <c r="L301" s="156"/>
      <c r="M301" s="156"/>
      <c r="N301" s="156"/>
      <c r="O301" s="156"/>
      <c r="P301" s="156"/>
      <c r="Q301" s="156"/>
      <c r="R301" s="156"/>
      <c r="S301" s="156"/>
      <c r="T301" s="156"/>
      <c r="U301" s="156"/>
      <c r="V301" s="156"/>
      <c r="W301" s="156"/>
      <c r="X301" s="156"/>
      <c r="Y301" s="156"/>
      <c r="Z301" s="156"/>
    </row>
    <row r="302">
      <c r="A302" s="156"/>
      <c r="B302" s="156"/>
      <c r="C302" s="156"/>
      <c r="D302" s="156"/>
      <c r="E302" s="156"/>
      <c r="F302" s="156"/>
      <c r="G302" s="156"/>
      <c r="H302" s="156"/>
      <c r="I302" s="156"/>
      <c r="J302" s="156"/>
      <c r="K302" s="156"/>
      <c r="L302" s="156"/>
      <c r="M302" s="156"/>
      <c r="N302" s="156"/>
      <c r="O302" s="156"/>
      <c r="P302" s="156"/>
      <c r="Q302" s="156"/>
      <c r="R302" s="156"/>
      <c r="S302" s="156"/>
      <c r="T302" s="156"/>
      <c r="U302" s="156"/>
      <c r="V302" s="156"/>
      <c r="W302" s="156"/>
      <c r="X302" s="156"/>
      <c r="Y302" s="156"/>
      <c r="Z302" s="156"/>
    </row>
    <row r="303">
      <c r="A303" s="156"/>
      <c r="B303" s="156"/>
      <c r="C303" s="156"/>
      <c r="D303" s="156"/>
      <c r="E303" s="156"/>
      <c r="F303" s="156"/>
      <c r="G303" s="156"/>
      <c r="H303" s="156"/>
      <c r="I303" s="156"/>
      <c r="J303" s="156"/>
      <c r="K303" s="156"/>
      <c r="L303" s="156"/>
      <c r="M303" s="156"/>
      <c r="N303" s="156"/>
      <c r="O303" s="156"/>
      <c r="P303" s="156"/>
      <c r="Q303" s="156"/>
      <c r="R303" s="156"/>
      <c r="S303" s="156"/>
      <c r="T303" s="156"/>
      <c r="U303" s="156"/>
      <c r="V303" s="156"/>
      <c r="W303" s="156"/>
      <c r="X303" s="156"/>
      <c r="Y303" s="156"/>
      <c r="Z303" s="156"/>
    </row>
    <row r="304">
      <c r="A304" s="156"/>
      <c r="B304" s="156"/>
      <c r="C304" s="156"/>
      <c r="D304" s="156"/>
      <c r="E304" s="156"/>
      <c r="F304" s="156"/>
      <c r="G304" s="156"/>
      <c r="H304" s="156"/>
      <c r="I304" s="156"/>
      <c r="J304" s="156"/>
      <c r="K304" s="156"/>
      <c r="L304" s="156"/>
      <c r="M304" s="156"/>
      <c r="N304" s="156"/>
      <c r="O304" s="156"/>
      <c r="P304" s="156"/>
      <c r="Q304" s="156"/>
      <c r="R304" s="156"/>
      <c r="S304" s="156"/>
      <c r="T304" s="156"/>
      <c r="U304" s="156"/>
      <c r="V304" s="156"/>
      <c r="W304" s="156"/>
      <c r="X304" s="156"/>
      <c r="Y304" s="156"/>
      <c r="Z304" s="156"/>
    </row>
    <row r="305">
      <c r="A305" s="156"/>
      <c r="B305" s="156"/>
      <c r="C305" s="156"/>
      <c r="D305" s="156"/>
      <c r="E305" s="156"/>
      <c r="F305" s="156"/>
      <c r="G305" s="156"/>
      <c r="H305" s="156"/>
      <c r="I305" s="156"/>
      <c r="J305" s="156"/>
      <c r="K305" s="156"/>
      <c r="L305" s="156"/>
      <c r="M305" s="156"/>
      <c r="N305" s="156"/>
      <c r="O305" s="156"/>
      <c r="P305" s="156"/>
      <c r="Q305" s="156"/>
      <c r="R305" s="156"/>
      <c r="S305" s="156"/>
      <c r="T305" s="156"/>
      <c r="U305" s="156"/>
      <c r="V305" s="156"/>
      <c r="W305" s="156"/>
      <c r="X305" s="156"/>
      <c r="Y305" s="156"/>
      <c r="Z305" s="156"/>
    </row>
    <row r="306">
      <c r="A306" s="156"/>
      <c r="B306" s="156"/>
      <c r="C306" s="156"/>
      <c r="D306" s="156"/>
      <c r="E306" s="156"/>
      <c r="F306" s="156"/>
      <c r="G306" s="156"/>
      <c r="H306" s="156"/>
      <c r="I306" s="156"/>
      <c r="J306" s="156"/>
      <c r="K306" s="156"/>
      <c r="L306" s="156"/>
      <c r="M306" s="156"/>
      <c r="N306" s="156"/>
      <c r="O306" s="156"/>
      <c r="P306" s="156"/>
      <c r="Q306" s="156"/>
      <c r="R306" s="156"/>
      <c r="S306" s="156"/>
      <c r="T306" s="156"/>
      <c r="U306" s="156"/>
      <c r="V306" s="156"/>
      <c r="W306" s="156"/>
      <c r="X306" s="156"/>
      <c r="Y306" s="156"/>
      <c r="Z306" s="156"/>
    </row>
    <row r="307">
      <c r="A307" s="156"/>
      <c r="B307" s="156"/>
      <c r="C307" s="156"/>
      <c r="D307" s="156"/>
      <c r="E307" s="156"/>
      <c r="F307" s="156"/>
      <c r="G307" s="156"/>
      <c r="H307" s="156"/>
      <c r="I307" s="156"/>
      <c r="J307" s="156"/>
      <c r="K307" s="156"/>
      <c r="L307" s="156"/>
      <c r="M307" s="156"/>
      <c r="N307" s="156"/>
      <c r="O307" s="156"/>
      <c r="P307" s="156"/>
      <c r="Q307" s="156"/>
      <c r="R307" s="156"/>
      <c r="S307" s="156"/>
      <c r="T307" s="156"/>
      <c r="U307" s="156"/>
      <c r="V307" s="156"/>
      <c r="W307" s="156"/>
      <c r="X307" s="156"/>
      <c r="Y307" s="156"/>
      <c r="Z307" s="156"/>
    </row>
    <row r="308">
      <c r="A308" s="156"/>
      <c r="B308" s="156"/>
      <c r="C308" s="156"/>
      <c r="D308" s="156"/>
      <c r="E308" s="156"/>
      <c r="F308" s="156"/>
      <c r="G308" s="156"/>
      <c r="H308" s="156"/>
      <c r="I308" s="156"/>
      <c r="J308" s="156"/>
      <c r="K308" s="156"/>
      <c r="L308" s="156"/>
      <c r="M308" s="156"/>
      <c r="N308" s="156"/>
      <c r="O308" s="156"/>
      <c r="P308" s="156"/>
      <c r="Q308" s="156"/>
      <c r="R308" s="156"/>
      <c r="S308" s="156"/>
      <c r="T308" s="156"/>
      <c r="U308" s="156"/>
      <c r="V308" s="156"/>
      <c r="W308" s="156"/>
      <c r="X308" s="156"/>
      <c r="Y308" s="156"/>
      <c r="Z308" s="156"/>
    </row>
    <row r="309">
      <c r="A309" s="156"/>
      <c r="B309" s="156"/>
      <c r="C309" s="156"/>
      <c r="D309" s="156"/>
      <c r="E309" s="156"/>
      <c r="F309" s="156"/>
      <c r="G309" s="156"/>
      <c r="H309" s="156"/>
      <c r="I309" s="156"/>
      <c r="J309" s="156"/>
      <c r="K309" s="156"/>
      <c r="L309" s="156"/>
      <c r="M309" s="156"/>
      <c r="N309" s="156"/>
      <c r="O309" s="156"/>
      <c r="P309" s="156"/>
      <c r="Q309" s="156"/>
      <c r="R309" s="156"/>
      <c r="S309" s="156"/>
      <c r="T309" s="156"/>
      <c r="U309" s="156"/>
      <c r="V309" s="156"/>
      <c r="W309" s="156"/>
      <c r="X309" s="156"/>
      <c r="Y309" s="156"/>
      <c r="Z309" s="156"/>
    </row>
    <row r="310">
      <c r="A310" s="156"/>
      <c r="B310" s="156"/>
      <c r="C310" s="156"/>
      <c r="D310" s="156"/>
      <c r="E310" s="156"/>
      <c r="F310" s="156"/>
      <c r="G310" s="156"/>
      <c r="H310" s="156"/>
      <c r="I310" s="156"/>
      <c r="J310" s="156"/>
      <c r="K310" s="156"/>
      <c r="L310" s="156"/>
      <c r="M310" s="156"/>
      <c r="N310" s="156"/>
      <c r="O310" s="156"/>
      <c r="P310" s="156"/>
      <c r="Q310" s="156"/>
      <c r="R310" s="156"/>
      <c r="S310" s="156"/>
      <c r="T310" s="156"/>
      <c r="U310" s="156"/>
      <c r="V310" s="156"/>
      <c r="W310" s="156"/>
      <c r="X310" s="156"/>
      <c r="Y310" s="156"/>
      <c r="Z310" s="156"/>
    </row>
    <row r="311">
      <c r="A311" s="156"/>
      <c r="B311" s="156"/>
      <c r="C311" s="156"/>
      <c r="D311" s="156"/>
      <c r="E311" s="156"/>
      <c r="F311" s="156"/>
      <c r="G311" s="156"/>
      <c r="H311" s="156"/>
      <c r="I311" s="156"/>
      <c r="J311" s="156"/>
      <c r="K311" s="156"/>
      <c r="L311" s="156"/>
      <c r="M311" s="156"/>
      <c r="N311" s="156"/>
      <c r="O311" s="156"/>
      <c r="P311" s="156"/>
      <c r="Q311" s="156"/>
      <c r="R311" s="156"/>
      <c r="S311" s="156"/>
      <c r="T311" s="156"/>
      <c r="U311" s="156"/>
      <c r="V311" s="156"/>
      <c r="W311" s="156"/>
      <c r="X311" s="156"/>
      <c r="Y311" s="156"/>
      <c r="Z311" s="156"/>
    </row>
    <row r="312">
      <c r="A312" s="156"/>
      <c r="B312" s="156"/>
      <c r="C312" s="156"/>
      <c r="D312" s="156"/>
      <c r="E312" s="156"/>
      <c r="F312" s="156"/>
      <c r="G312" s="156"/>
      <c r="H312" s="156"/>
      <c r="I312" s="156"/>
      <c r="J312" s="156"/>
      <c r="K312" s="156"/>
      <c r="L312" s="156"/>
      <c r="M312" s="156"/>
      <c r="N312" s="156"/>
      <c r="O312" s="156"/>
      <c r="P312" s="156"/>
      <c r="Q312" s="156"/>
      <c r="R312" s="156"/>
      <c r="S312" s="156"/>
      <c r="T312" s="156"/>
      <c r="U312" s="156"/>
      <c r="V312" s="156"/>
      <c r="W312" s="156"/>
      <c r="X312" s="156"/>
      <c r="Y312" s="156"/>
      <c r="Z312" s="156"/>
    </row>
    <row r="313">
      <c r="A313" s="156"/>
      <c r="B313" s="156"/>
      <c r="C313" s="156"/>
      <c r="D313" s="156"/>
      <c r="E313" s="156"/>
      <c r="F313" s="156"/>
      <c r="G313" s="156"/>
      <c r="H313" s="156"/>
      <c r="I313" s="156"/>
      <c r="J313" s="156"/>
      <c r="K313" s="156"/>
      <c r="L313" s="156"/>
      <c r="M313" s="156"/>
      <c r="N313" s="156"/>
      <c r="O313" s="156"/>
      <c r="P313" s="156"/>
      <c r="Q313" s="156"/>
      <c r="R313" s="156"/>
      <c r="S313" s="156"/>
      <c r="T313" s="156"/>
      <c r="U313" s="156"/>
      <c r="V313" s="156"/>
      <c r="W313" s="156"/>
      <c r="X313" s="156"/>
      <c r="Y313" s="156"/>
      <c r="Z313" s="156"/>
    </row>
    <row r="314">
      <c r="A314" s="156"/>
      <c r="B314" s="156"/>
      <c r="C314" s="156"/>
      <c r="D314" s="156"/>
      <c r="E314" s="156"/>
      <c r="F314" s="156"/>
      <c r="G314" s="156"/>
      <c r="H314" s="156"/>
      <c r="I314" s="156"/>
      <c r="J314" s="156"/>
      <c r="K314" s="156"/>
      <c r="L314" s="156"/>
      <c r="M314" s="156"/>
      <c r="N314" s="156"/>
      <c r="O314" s="156"/>
      <c r="P314" s="156"/>
      <c r="Q314" s="156"/>
      <c r="R314" s="156"/>
      <c r="S314" s="156"/>
      <c r="T314" s="156"/>
      <c r="U314" s="156"/>
      <c r="V314" s="156"/>
      <c r="W314" s="156"/>
      <c r="X314" s="156"/>
      <c r="Y314" s="156"/>
      <c r="Z314" s="156"/>
    </row>
    <row r="315">
      <c r="A315" s="156"/>
      <c r="B315" s="156"/>
      <c r="C315" s="156"/>
      <c r="D315" s="156"/>
      <c r="E315" s="156"/>
      <c r="F315" s="156"/>
      <c r="G315" s="156"/>
      <c r="H315" s="156"/>
      <c r="I315" s="156"/>
      <c r="J315" s="156"/>
      <c r="K315" s="156"/>
      <c r="L315" s="156"/>
      <c r="M315" s="156"/>
      <c r="N315" s="156"/>
      <c r="O315" s="156"/>
      <c r="P315" s="156"/>
      <c r="Q315" s="156"/>
      <c r="R315" s="156"/>
      <c r="S315" s="156"/>
      <c r="T315" s="156"/>
      <c r="U315" s="156"/>
      <c r="V315" s="156"/>
      <c r="W315" s="156"/>
      <c r="X315" s="156"/>
      <c r="Y315" s="156"/>
      <c r="Z315" s="156"/>
    </row>
    <row r="316">
      <c r="A316" s="156"/>
      <c r="B316" s="156"/>
      <c r="C316" s="156"/>
      <c r="D316" s="156"/>
      <c r="E316" s="156"/>
      <c r="F316" s="156"/>
      <c r="G316" s="156"/>
      <c r="H316" s="156"/>
      <c r="I316" s="156"/>
      <c r="J316" s="156"/>
      <c r="K316" s="156"/>
      <c r="L316" s="156"/>
      <c r="M316" s="156"/>
      <c r="N316" s="156"/>
      <c r="O316" s="156"/>
      <c r="P316" s="156"/>
      <c r="Q316" s="156"/>
      <c r="R316" s="156"/>
      <c r="S316" s="156"/>
      <c r="T316" s="156"/>
      <c r="U316" s="156"/>
      <c r="V316" s="156"/>
      <c r="W316" s="156"/>
      <c r="X316" s="156"/>
      <c r="Y316" s="156"/>
      <c r="Z316" s="156"/>
    </row>
    <row r="317">
      <c r="A317" s="156"/>
      <c r="B317" s="156"/>
      <c r="C317" s="156"/>
      <c r="D317" s="156"/>
      <c r="E317" s="156"/>
      <c r="F317" s="156"/>
      <c r="G317" s="156"/>
      <c r="H317" s="156"/>
      <c r="I317" s="156"/>
      <c r="J317" s="156"/>
      <c r="K317" s="156"/>
      <c r="L317" s="156"/>
      <c r="M317" s="156"/>
      <c r="N317" s="156"/>
      <c r="O317" s="156"/>
      <c r="P317" s="156"/>
      <c r="Q317" s="156"/>
      <c r="R317" s="156"/>
      <c r="S317" s="156"/>
      <c r="T317" s="156"/>
      <c r="U317" s="156"/>
      <c r="V317" s="156"/>
      <c r="W317" s="156"/>
      <c r="X317" s="156"/>
      <c r="Y317" s="156"/>
      <c r="Z317" s="156"/>
    </row>
    <row r="318">
      <c r="A318" s="156"/>
      <c r="B318" s="156"/>
      <c r="C318" s="156"/>
      <c r="D318" s="156"/>
      <c r="E318" s="156"/>
      <c r="F318" s="156"/>
      <c r="G318" s="156"/>
      <c r="H318" s="156"/>
      <c r="I318" s="156"/>
      <c r="J318" s="156"/>
      <c r="K318" s="156"/>
      <c r="L318" s="156"/>
      <c r="M318" s="156"/>
      <c r="N318" s="156"/>
      <c r="O318" s="156"/>
      <c r="P318" s="156"/>
      <c r="Q318" s="156"/>
      <c r="R318" s="156"/>
      <c r="S318" s="156"/>
      <c r="T318" s="156"/>
      <c r="U318" s="156"/>
      <c r="V318" s="156"/>
      <c r="W318" s="156"/>
      <c r="X318" s="156"/>
      <c r="Y318" s="156"/>
      <c r="Z318" s="156"/>
    </row>
    <row r="319">
      <c r="A319" s="156"/>
      <c r="B319" s="156"/>
      <c r="C319" s="156"/>
      <c r="D319" s="156"/>
      <c r="E319" s="156"/>
      <c r="F319" s="156"/>
      <c r="G319" s="156"/>
      <c r="H319" s="156"/>
      <c r="I319" s="156"/>
      <c r="J319" s="156"/>
      <c r="K319" s="156"/>
      <c r="L319" s="156"/>
      <c r="M319" s="156"/>
      <c r="N319" s="156"/>
      <c r="O319" s="156"/>
      <c r="P319" s="156"/>
      <c r="Q319" s="156"/>
      <c r="R319" s="156"/>
      <c r="S319" s="156"/>
      <c r="T319" s="156"/>
      <c r="U319" s="156"/>
      <c r="V319" s="156"/>
      <c r="W319" s="156"/>
      <c r="X319" s="156"/>
      <c r="Y319" s="156"/>
      <c r="Z319" s="156"/>
    </row>
    <row r="320">
      <c r="A320" s="156"/>
      <c r="B320" s="156"/>
      <c r="C320" s="156"/>
      <c r="D320" s="156"/>
      <c r="E320" s="156"/>
      <c r="F320" s="156"/>
      <c r="G320" s="156"/>
      <c r="H320" s="156"/>
      <c r="I320" s="156"/>
      <c r="J320" s="156"/>
      <c r="K320" s="156"/>
      <c r="L320" s="156"/>
      <c r="M320" s="156"/>
      <c r="N320" s="156"/>
      <c r="O320" s="156"/>
      <c r="P320" s="156"/>
      <c r="Q320" s="156"/>
      <c r="R320" s="156"/>
      <c r="S320" s="156"/>
      <c r="T320" s="156"/>
      <c r="U320" s="156"/>
      <c r="V320" s="156"/>
      <c r="W320" s="156"/>
      <c r="X320" s="156"/>
      <c r="Y320" s="156"/>
      <c r="Z320" s="156"/>
    </row>
    <row r="321">
      <c r="A321" s="156"/>
      <c r="B321" s="156"/>
      <c r="C321" s="156"/>
      <c r="D321" s="156"/>
      <c r="E321" s="156"/>
      <c r="F321" s="156"/>
      <c r="G321" s="156"/>
      <c r="H321" s="156"/>
      <c r="I321" s="156"/>
      <c r="J321" s="156"/>
      <c r="K321" s="156"/>
      <c r="L321" s="156"/>
      <c r="M321" s="156"/>
      <c r="N321" s="156"/>
      <c r="O321" s="156"/>
      <c r="P321" s="156"/>
      <c r="Q321" s="156"/>
      <c r="R321" s="156"/>
      <c r="S321" s="156"/>
      <c r="T321" s="156"/>
      <c r="U321" s="156"/>
      <c r="V321" s="156"/>
      <c r="W321" s="156"/>
      <c r="X321" s="156"/>
      <c r="Y321" s="156"/>
      <c r="Z321" s="156"/>
    </row>
    <row r="322">
      <c r="A322" s="156"/>
      <c r="B322" s="156"/>
      <c r="C322" s="156"/>
      <c r="D322" s="156"/>
      <c r="E322" s="156"/>
      <c r="F322" s="156"/>
      <c r="G322" s="156"/>
      <c r="H322" s="156"/>
      <c r="I322" s="156"/>
      <c r="J322" s="156"/>
      <c r="K322" s="156"/>
      <c r="L322" s="156"/>
      <c r="M322" s="156"/>
      <c r="N322" s="156"/>
      <c r="O322" s="156"/>
      <c r="P322" s="156"/>
      <c r="Q322" s="156"/>
      <c r="R322" s="156"/>
      <c r="S322" s="156"/>
      <c r="T322" s="156"/>
      <c r="U322" s="156"/>
      <c r="V322" s="156"/>
      <c r="W322" s="156"/>
      <c r="X322" s="156"/>
      <c r="Y322" s="156"/>
      <c r="Z322" s="156"/>
    </row>
    <row r="323">
      <c r="A323" s="156"/>
      <c r="B323" s="156"/>
      <c r="C323" s="156"/>
      <c r="D323" s="156"/>
      <c r="E323" s="156"/>
      <c r="F323" s="156"/>
      <c r="G323" s="156"/>
      <c r="H323" s="156"/>
      <c r="I323" s="156"/>
      <c r="J323" s="156"/>
      <c r="K323" s="156"/>
      <c r="L323" s="156"/>
      <c r="M323" s="156"/>
      <c r="N323" s="156"/>
      <c r="O323" s="156"/>
      <c r="P323" s="156"/>
      <c r="Q323" s="156"/>
      <c r="R323" s="156"/>
      <c r="S323" s="156"/>
      <c r="T323" s="156"/>
      <c r="U323" s="156"/>
      <c r="V323" s="156"/>
      <c r="W323" s="156"/>
      <c r="X323" s="156"/>
      <c r="Y323" s="156"/>
      <c r="Z323" s="156"/>
    </row>
    <row r="324">
      <c r="A324" s="156"/>
      <c r="B324" s="156"/>
      <c r="C324" s="156"/>
      <c r="D324" s="156"/>
      <c r="E324" s="156"/>
      <c r="F324" s="156"/>
      <c r="G324" s="156"/>
      <c r="H324" s="156"/>
      <c r="I324" s="156"/>
      <c r="J324" s="156"/>
      <c r="K324" s="156"/>
      <c r="L324" s="156"/>
      <c r="M324" s="156"/>
      <c r="N324" s="156"/>
      <c r="O324" s="156"/>
      <c r="P324" s="156"/>
      <c r="Q324" s="156"/>
      <c r="R324" s="156"/>
      <c r="S324" s="156"/>
      <c r="T324" s="156"/>
      <c r="U324" s="156"/>
      <c r="V324" s="156"/>
      <c r="W324" s="156"/>
      <c r="X324" s="156"/>
      <c r="Y324" s="156"/>
      <c r="Z324" s="156"/>
    </row>
    <row r="325">
      <c r="A325" s="156"/>
      <c r="B325" s="156"/>
      <c r="C325" s="156"/>
      <c r="D325" s="156"/>
      <c r="E325" s="156"/>
      <c r="F325" s="156"/>
      <c r="G325" s="156"/>
      <c r="H325" s="156"/>
      <c r="I325" s="156"/>
      <c r="J325" s="156"/>
      <c r="K325" s="156"/>
      <c r="L325" s="156"/>
      <c r="M325" s="156"/>
      <c r="N325" s="156"/>
      <c r="O325" s="156"/>
      <c r="P325" s="156"/>
      <c r="Q325" s="156"/>
      <c r="R325" s="156"/>
      <c r="S325" s="156"/>
      <c r="T325" s="156"/>
      <c r="U325" s="156"/>
      <c r="V325" s="156"/>
      <c r="W325" s="156"/>
      <c r="X325" s="156"/>
      <c r="Y325" s="156"/>
      <c r="Z325" s="156"/>
    </row>
    <row r="326">
      <c r="A326" s="156"/>
      <c r="B326" s="156"/>
      <c r="C326" s="156"/>
      <c r="D326" s="156"/>
      <c r="E326" s="156"/>
      <c r="F326" s="156"/>
      <c r="G326" s="156"/>
      <c r="H326" s="156"/>
      <c r="I326" s="156"/>
      <c r="J326" s="156"/>
      <c r="K326" s="156"/>
      <c r="L326" s="156"/>
      <c r="M326" s="156"/>
      <c r="N326" s="156"/>
      <c r="O326" s="156"/>
      <c r="P326" s="156"/>
      <c r="Q326" s="156"/>
      <c r="R326" s="156"/>
      <c r="S326" s="156"/>
      <c r="T326" s="156"/>
      <c r="U326" s="156"/>
      <c r="V326" s="156"/>
      <c r="W326" s="156"/>
      <c r="X326" s="156"/>
      <c r="Y326" s="156"/>
      <c r="Z326" s="156"/>
    </row>
    <row r="327">
      <c r="A327" s="156"/>
      <c r="B327" s="156"/>
      <c r="C327" s="156"/>
      <c r="D327" s="156"/>
      <c r="E327" s="156"/>
      <c r="F327" s="156"/>
      <c r="G327" s="156"/>
      <c r="H327" s="156"/>
      <c r="I327" s="156"/>
      <c r="J327" s="156"/>
      <c r="K327" s="156"/>
      <c r="L327" s="156"/>
      <c r="M327" s="156"/>
      <c r="N327" s="156"/>
      <c r="O327" s="156"/>
      <c r="P327" s="156"/>
      <c r="Q327" s="156"/>
      <c r="R327" s="156"/>
      <c r="S327" s="156"/>
      <c r="T327" s="156"/>
      <c r="U327" s="156"/>
      <c r="V327" s="156"/>
      <c r="W327" s="156"/>
      <c r="X327" s="156"/>
      <c r="Y327" s="156"/>
      <c r="Z327" s="156"/>
    </row>
    <row r="328">
      <c r="A328" s="156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</row>
    <row r="329">
      <c r="A329" s="156"/>
      <c r="B329" s="156"/>
      <c r="C329" s="156"/>
      <c r="D329" s="156"/>
      <c r="E329" s="156"/>
      <c r="F329" s="156"/>
      <c r="G329" s="156"/>
      <c r="H329" s="156"/>
      <c r="I329" s="156"/>
      <c r="J329" s="156"/>
      <c r="K329" s="156"/>
      <c r="L329" s="156"/>
      <c r="M329" s="156"/>
      <c r="N329" s="156"/>
      <c r="O329" s="156"/>
      <c r="P329" s="156"/>
      <c r="Q329" s="156"/>
      <c r="R329" s="156"/>
      <c r="S329" s="156"/>
      <c r="T329" s="156"/>
      <c r="U329" s="156"/>
      <c r="V329" s="156"/>
      <c r="W329" s="156"/>
      <c r="X329" s="156"/>
      <c r="Y329" s="156"/>
      <c r="Z329" s="156"/>
    </row>
    <row r="330">
      <c r="A330" s="156"/>
      <c r="B330" s="156"/>
      <c r="C330" s="156"/>
      <c r="D330" s="156"/>
      <c r="E330" s="156"/>
      <c r="F330" s="156"/>
      <c r="G330" s="156"/>
      <c r="H330" s="156"/>
      <c r="I330" s="156"/>
      <c r="J330" s="156"/>
      <c r="K330" s="156"/>
      <c r="L330" s="156"/>
      <c r="M330" s="156"/>
      <c r="N330" s="156"/>
      <c r="O330" s="156"/>
      <c r="P330" s="156"/>
      <c r="Q330" s="156"/>
      <c r="R330" s="156"/>
      <c r="S330" s="156"/>
      <c r="T330" s="156"/>
      <c r="U330" s="156"/>
      <c r="V330" s="156"/>
      <c r="W330" s="156"/>
      <c r="X330" s="156"/>
      <c r="Y330" s="156"/>
      <c r="Z330" s="156"/>
    </row>
    <row r="331">
      <c r="A331" s="156"/>
      <c r="B331" s="156"/>
      <c r="C331" s="156"/>
      <c r="D331" s="156"/>
      <c r="E331" s="156"/>
      <c r="F331" s="156"/>
      <c r="G331" s="156"/>
      <c r="H331" s="156"/>
      <c r="I331" s="156"/>
      <c r="J331" s="156"/>
      <c r="K331" s="156"/>
      <c r="L331" s="156"/>
      <c r="M331" s="156"/>
      <c r="N331" s="156"/>
      <c r="O331" s="156"/>
      <c r="P331" s="156"/>
      <c r="Q331" s="156"/>
      <c r="R331" s="156"/>
      <c r="S331" s="156"/>
      <c r="T331" s="156"/>
      <c r="U331" s="156"/>
      <c r="V331" s="156"/>
      <c r="W331" s="156"/>
      <c r="X331" s="156"/>
      <c r="Y331" s="156"/>
      <c r="Z331" s="156"/>
    </row>
    <row r="332">
      <c r="A332" s="156"/>
      <c r="B332" s="156"/>
      <c r="C332" s="156"/>
      <c r="D332" s="156"/>
      <c r="E332" s="156"/>
      <c r="F332" s="156"/>
      <c r="G332" s="156"/>
      <c r="H332" s="156"/>
      <c r="I332" s="156"/>
      <c r="J332" s="156"/>
      <c r="K332" s="156"/>
      <c r="L332" s="156"/>
      <c r="M332" s="156"/>
      <c r="N332" s="156"/>
      <c r="O332" s="156"/>
      <c r="P332" s="156"/>
      <c r="Q332" s="156"/>
      <c r="R332" s="156"/>
      <c r="S332" s="156"/>
      <c r="T332" s="156"/>
      <c r="U332" s="156"/>
      <c r="V332" s="156"/>
      <c r="W332" s="156"/>
      <c r="X332" s="156"/>
      <c r="Y332" s="156"/>
      <c r="Z332" s="156"/>
    </row>
    <row r="333">
      <c r="A333" s="156"/>
      <c r="B333" s="156"/>
      <c r="C333" s="156"/>
      <c r="D333" s="156"/>
      <c r="E333" s="156"/>
      <c r="F333" s="156"/>
      <c r="G333" s="156"/>
      <c r="H333" s="156"/>
      <c r="I333" s="156"/>
      <c r="J333" s="156"/>
      <c r="K333" s="156"/>
      <c r="L333" s="156"/>
      <c r="M333" s="156"/>
      <c r="N333" s="156"/>
      <c r="O333" s="156"/>
      <c r="P333" s="156"/>
      <c r="Q333" s="156"/>
      <c r="R333" s="156"/>
      <c r="S333" s="156"/>
      <c r="T333" s="156"/>
      <c r="U333" s="156"/>
      <c r="V333" s="156"/>
      <c r="W333" s="156"/>
      <c r="X333" s="156"/>
      <c r="Y333" s="156"/>
      <c r="Z333" s="156"/>
    </row>
    <row r="334">
      <c r="A334" s="156"/>
      <c r="B334" s="156"/>
      <c r="C334" s="156"/>
      <c r="D334" s="156"/>
      <c r="E334" s="156"/>
      <c r="F334" s="156"/>
      <c r="G334" s="156"/>
      <c r="H334" s="156"/>
      <c r="I334" s="156"/>
      <c r="J334" s="156"/>
      <c r="K334" s="156"/>
      <c r="L334" s="156"/>
      <c r="M334" s="156"/>
      <c r="N334" s="156"/>
      <c r="O334" s="156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</row>
    <row r="335">
      <c r="A335" s="156"/>
      <c r="B335" s="156"/>
      <c r="C335" s="156"/>
      <c r="D335" s="156"/>
      <c r="E335" s="156"/>
      <c r="F335" s="156"/>
      <c r="G335" s="156"/>
      <c r="H335" s="156"/>
      <c r="I335" s="156"/>
      <c r="J335" s="156"/>
      <c r="K335" s="156"/>
      <c r="L335" s="156"/>
      <c r="M335" s="156"/>
      <c r="N335" s="156"/>
      <c r="O335" s="156"/>
      <c r="P335" s="156"/>
      <c r="Q335" s="156"/>
      <c r="R335" s="156"/>
      <c r="S335" s="156"/>
      <c r="T335" s="156"/>
      <c r="U335" s="156"/>
      <c r="V335" s="156"/>
      <c r="W335" s="156"/>
      <c r="X335" s="156"/>
      <c r="Y335" s="156"/>
      <c r="Z335" s="156"/>
    </row>
    <row r="336">
      <c r="A336" s="156"/>
      <c r="B336" s="156"/>
      <c r="C336" s="156"/>
      <c r="D336" s="156"/>
      <c r="E336" s="156"/>
      <c r="F336" s="156"/>
      <c r="G336" s="156"/>
      <c r="H336" s="156"/>
      <c r="I336" s="156"/>
      <c r="J336" s="156"/>
      <c r="K336" s="156"/>
      <c r="L336" s="156"/>
      <c r="M336" s="156"/>
      <c r="N336" s="156"/>
      <c r="O336" s="156"/>
      <c r="P336" s="156"/>
      <c r="Q336" s="156"/>
      <c r="R336" s="156"/>
      <c r="S336" s="156"/>
      <c r="T336" s="156"/>
      <c r="U336" s="156"/>
      <c r="V336" s="156"/>
      <c r="W336" s="156"/>
      <c r="X336" s="156"/>
      <c r="Y336" s="156"/>
      <c r="Z336" s="156"/>
    </row>
    <row r="337">
      <c r="A337" s="156"/>
      <c r="B337" s="156"/>
      <c r="C337" s="156"/>
      <c r="D337" s="156"/>
      <c r="E337" s="156"/>
      <c r="F337" s="156"/>
      <c r="G337" s="156"/>
      <c r="H337" s="156"/>
      <c r="I337" s="156"/>
      <c r="J337" s="156"/>
      <c r="K337" s="156"/>
      <c r="L337" s="156"/>
      <c r="M337" s="156"/>
      <c r="N337" s="156"/>
      <c r="O337" s="156"/>
      <c r="P337" s="156"/>
      <c r="Q337" s="156"/>
      <c r="R337" s="156"/>
      <c r="S337" s="156"/>
      <c r="T337" s="156"/>
      <c r="U337" s="156"/>
      <c r="V337" s="156"/>
      <c r="W337" s="156"/>
      <c r="X337" s="156"/>
      <c r="Y337" s="156"/>
      <c r="Z337" s="156"/>
    </row>
    <row r="338">
      <c r="A338" s="156"/>
      <c r="B338" s="156"/>
      <c r="C338" s="156"/>
      <c r="D338" s="156"/>
      <c r="E338" s="156"/>
      <c r="F338" s="156"/>
      <c r="G338" s="156"/>
      <c r="H338" s="156"/>
      <c r="I338" s="156"/>
      <c r="J338" s="156"/>
      <c r="K338" s="156"/>
      <c r="L338" s="156"/>
      <c r="M338" s="156"/>
      <c r="N338" s="156"/>
      <c r="O338" s="156"/>
      <c r="P338" s="156"/>
      <c r="Q338" s="156"/>
      <c r="R338" s="156"/>
      <c r="S338" s="156"/>
      <c r="T338" s="156"/>
      <c r="U338" s="156"/>
      <c r="V338" s="156"/>
      <c r="W338" s="156"/>
      <c r="X338" s="156"/>
      <c r="Y338" s="156"/>
      <c r="Z338" s="156"/>
    </row>
    <row r="339">
      <c r="A339" s="156"/>
      <c r="B339" s="156"/>
      <c r="C339" s="156"/>
      <c r="D339" s="156"/>
      <c r="E339" s="156"/>
      <c r="F339" s="156"/>
      <c r="G339" s="156"/>
      <c r="H339" s="156"/>
      <c r="I339" s="156"/>
      <c r="J339" s="156"/>
      <c r="K339" s="156"/>
      <c r="L339" s="156"/>
      <c r="M339" s="156"/>
      <c r="N339" s="156"/>
      <c r="O339" s="156"/>
      <c r="P339" s="156"/>
      <c r="Q339" s="156"/>
      <c r="R339" s="156"/>
      <c r="S339" s="156"/>
      <c r="T339" s="156"/>
      <c r="U339" s="156"/>
      <c r="V339" s="156"/>
      <c r="W339" s="156"/>
      <c r="X339" s="156"/>
      <c r="Y339" s="156"/>
      <c r="Z339" s="156"/>
    </row>
    <row r="340">
      <c r="A340" s="156"/>
      <c r="B340" s="156"/>
      <c r="C340" s="156"/>
      <c r="D340" s="156"/>
      <c r="E340" s="156"/>
      <c r="F340" s="156"/>
      <c r="G340" s="156"/>
      <c r="H340" s="156"/>
      <c r="I340" s="156"/>
      <c r="J340" s="156"/>
      <c r="K340" s="156"/>
      <c r="L340" s="156"/>
      <c r="M340" s="156"/>
      <c r="N340" s="156"/>
      <c r="O340" s="156"/>
      <c r="P340" s="156"/>
      <c r="Q340" s="156"/>
      <c r="R340" s="156"/>
      <c r="S340" s="156"/>
      <c r="T340" s="156"/>
      <c r="U340" s="156"/>
      <c r="V340" s="156"/>
      <c r="W340" s="156"/>
      <c r="X340" s="156"/>
      <c r="Y340" s="156"/>
      <c r="Z340" s="156"/>
    </row>
    <row r="341">
      <c r="A341" s="156"/>
      <c r="B341" s="156"/>
      <c r="C341" s="156"/>
      <c r="D341" s="156"/>
      <c r="E341" s="156"/>
      <c r="F341" s="156"/>
      <c r="G341" s="156"/>
      <c r="H341" s="156"/>
      <c r="I341" s="156"/>
      <c r="J341" s="156"/>
      <c r="K341" s="156"/>
      <c r="L341" s="156"/>
      <c r="M341" s="156"/>
      <c r="N341" s="156"/>
      <c r="O341" s="156"/>
      <c r="P341" s="156"/>
      <c r="Q341" s="156"/>
      <c r="R341" s="156"/>
      <c r="S341" s="156"/>
      <c r="T341" s="156"/>
      <c r="U341" s="156"/>
      <c r="V341" s="156"/>
      <c r="W341" s="156"/>
      <c r="X341" s="156"/>
      <c r="Y341" s="156"/>
      <c r="Z341" s="156"/>
    </row>
    <row r="342">
      <c r="A342" s="156"/>
      <c r="B342" s="156"/>
      <c r="C342" s="156"/>
      <c r="D342" s="156"/>
      <c r="E342" s="156"/>
      <c r="F342" s="156"/>
      <c r="G342" s="156"/>
      <c r="H342" s="156"/>
      <c r="I342" s="156"/>
      <c r="J342" s="156"/>
      <c r="K342" s="156"/>
      <c r="L342" s="156"/>
      <c r="M342" s="156"/>
      <c r="N342" s="156"/>
      <c r="O342" s="156"/>
      <c r="P342" s="156"/>
      <c r="Q342" s="156"/>
      <c r="R342" s="156"/>
      <c r="S342" s="156"/>
      <c r="T342" s="156"/>
      <c r="U342" s="156"/>
      <c r="V342" s="156"/>
      <c r="W342" s="156"/>
      <c r="X342" s="156"/>
      <c r="Y342" s="156"/>
      <c r="Z342" s="156"/>
    </row>
    <row r="343">
      <c r="A343" s="156"/>
      <c r="B343" s="156"/>
      <c r="C343" s="156"/>
      <c r="D343" s="156"/>
      <c r="E343" s="156"/>
      <c r="F343" s="156"/>
      <c r="G343" s="156"/>
      <c r="H343" s="156"/>
      <c r="I343" s="156"/>
      <c r="J343" s="156"/>
      <c r="K343" s="156"/>
      <c r="L343" s="156"/>
      <c r="M343" s="156"/>
      <c r="N343" s="156"/>
      <c r="O343" s="156"/>
      <c r="P343" s="156"/>
      <c r="Q343" s="156"/>
      <c r="R343" s="156"/>
      <c r="S343" s="156"/>
      <c r="T343" s="156"/>
      <c r="U343" s="156"/>
      <c r="V343" s="156"/>
      <c r="W343" s="156"/>
      <c r="X343" s="156"/>
      <c r="Y343" s="156"/>
      <c r="Z343" s="156"/>
    </row>
    <row r="344">
      <c r="A344" s="156"/>
      <c r="B344" s="156"/>
      <c r="C344" s="156"/>
      <c r="D344" s="156"/>
      <c r="E344" s="156"/>
      <c r="F344" s="156"/>
      <c r="G344" s="156"/>
      <c r="H344" s="156"/>
      <c r="I344" s="156"/>
      <c r="J344" s="156"/>
      <c r="K344" s="156"/>
      <c r="L344" s="156"/>
      <c r="M344" s="156"/>
      <c r="N344" s="156"/>
      <c r="O344" s="156"/>
      <c r="P344" s="156"/>
      <c r="Q344" s="156"/>
      <c r="R344" s="156"/>
      <c r="S344" s="156"/>
      <c r="T344" s="156"/>
      <c r="U344" s="156"/>
      <c r="V344" s="156"/>
      <c r="W344" s="156"/>
      <c r="X344" s="156"/>
      <c r="Y344" s="156"/>
      <c r="Z344" s="156"/>
    </row>
    <row r="345">
      <c r="A345" s="156"/>
      <c r="B345" s="156"/>
      <c r="C345" s="156"/>
      <c r="D345" s="156"/>
      <c r="E345" s="156"/>
      <c r="F345" s="156"/>
      <c r="G345" s="156"/>
      <c r="H345" s="156"/>
      <c r="I345" s="156"/>
      <c r="J345" s="156"/>
      <c r="K345" s="156"/>
      <c r="L345" s="156"/>
      <c r="M345" s="156"/>
      <c r="N345" s="156"/>
      <c r="O345" s="156"/>
      <c r="P345" s="156"/>
      <c r="Q345" s="156"/>
      <c r="R345" s="156"/>
      <c r="S345" s="156"/>
      <c r="T345" s="156"/>
      <c r="U345" s="156"/>
      <c r="V345" s="156"/>
      <c r="W345" s="156"/>
      <c r="X345" s="156"/>
      <c r="Y345" s="156"/>
      <c r="Z345" s="156"/>
    </row>
    <row r="346">
      <c r="A346" s="156"/>
      <c r="B346" s="156"/>
      <c r="C346" s="156"/>
      <c r="D346" s="156"/>
      <c r="E346" s="156"/>
      <c r="F346" s="156"/>
      <c r="G346" s="156"/>
      <c r="H346" s="156"/>
      <c r="I346" s="156"/>
      <c r="J346" s="156"/>
      <c r="K346" s="156"/>
      <c r="L346" s="156"/>
      <c r="M346" s="156"/>
      <c r="N346" s="156"/>
      <c r="O346" s="156"/>
      <c r="P346" s="156"/>
      <c r="Q346" s="156"/>
      <c r="R346" s="156"/>
      <c r="S346" s="156"/>
      <c r="T346" s="156"/>
      <c r="U346" s="156"/>
      <c r="V346" s="156"/>
      <c r="W346" s="156"/>
      <c r="X346" s="156"/>
      <c r="Y346" s="156"/>
      <c r="Z346" s="156"/>
    </row>
    <row r="347">
      <c r="A347" s="156"/>
      <c r="B347" s="156"/>
      <c r="C347" s="156"/>
      <c r="D347" s="156"/>
      <c r="E347" s="156"/>
      <c r="F347" s="156"/>
      <c r="G347" s="156"/>
      <c r="H347" s="156"/>
      <c r="I347" s="156"/>
      <c r="J347" s="156"/>
      <c r="K347" s="156"/>
      <c r="L347" s="156"/>
      <c r="M347" s="156"/>
      <c r="N347" s="156"/>
      <c r="O347" s="156"/>
      <c r="P347" s="156"/>
      <c r="Q347" s="156"/>
      <c r="R347" s="156"/>
      <c r="S347" s="156"/>
      <c r="T347" s="156"/>
      <c r="U347" s="156"/>
      <c r="V347" s="156"/>
      <c r="W347" s="156"/>
      <c r="X347" s="156"/>
      <c r="Y347" s="156"/>
      <c r="Z347" s="156"/>
    </row>
    <row r="348">
      <c r="A348" s="156"/>
      <c r="B348" s="156"/>
      <c r="C348" s="156"/>
      <c r="D348" s="156"/>
      <c r="E348" s="156"/>
      <c r="F348" s="156"/>
      <c r="G348" s="156"/>
      <c r="H348" s="156"/>
      <c r="I348" s="156"/>
      <c r="J348" s="156"/>
      <c r="K348" s="156"/>
      <c r="L348" s="156"/>
      <c r="M348" s="156"/>
      <c r="N348" s="156"/>
      <c r="O348" s="156"/>
      <c r="P348" s="156"/>
      <c r="Q348" s="156"/>
      <c r="R348" s="156"/>
      <c r="S348" s="156"/>
      <c r="T348" s="156"/>
      <c r="U348" s="156"/>
      <c r="V348" s="156"/>
      <c r="W348" s="156"/>
      <c r="X348" s="156"/>
      <c r="Y348" s="156"/>
      <c r="Z348" s="156"/>
    </row>
    <row r="349">
      <c r="A349" s="156"/>
      <c r="B349" s="156"/>
      <c r="C349" s="156"/>
      <c r="D349" s="156"/>
      <c r="E349" s="156"/>
      <c r="F349" s="156"/>
      <c r="G349" s="156"/>
      <c r="H349" s="156"/>
      <c r="I349" s="156"/>
      <c r="J349" s="156"/>
      <c r="K349" s="156"/>
      <c r="L349" s="156"/>
      <c r="M349" s="156"/>
      <c r="N349" s="156"/>
      <c r="O349" s="156"/>
      <c r="P349" s="156"/>
      <c r="Q349" s="156"/>
      <c r="R349" s="156"/>
      <c r="S349" s="156"/>
      <c r="T349" s="156"/>
      <c r="U349" s="156"/>
      <c r="V349" s="156"/>
      <c r="W349" s="156"/>
      <c r="X349" s="156"/>
      <c r="Y349" s="156"/>
      <c r="Z349" s="156"/>
    </row>
    <row r="350">
      <c r="A350" s="156"/>
      <c r="B350" s="156"/>
      <c r="C350" s="156"/>
      <c r="D350" s="156"/>
      <c r="E350" s="156"/>
      <c r="F350" s="156"/>
      <c r="G350" s="156"/>
      <c r="H350" s="156"/>
      <c r="I350" s="156"/>
      <c r="J350" s="156"/>
      <c r="K350" s="156"/>
      <c r="L350" s="156"/>
      <c r="M350" s="156"/>
      <c r="N350" s="156"/>
      <c r="O350" s="156"/>
      <c r="P350" s="156"/>
      <c r="Q350" s="156"/>
      <c r="R350" s="156"/>
      <c r="S350" s="156"/>
      <c r="T350" s="156"/>
      <c r="U350" s="156"/>
      <c r="V350" s="156"/>
      <c r="W350" s="156"/>
      <c r="X350" s="156"/>
      <c r="Y350" s="156"/>
      <c r="Z350" s="156"/>
    </row>
    <row r="351">
      <c r="A351" s="156"/>
      <c r="B351" s="156"/>
      <c r="C351" s="156"/>
      <c r="D351" s="156"/>
      <c r="E351" s="156"/>
      <c r="F351" s="156"/>
      <c r="G351" s="156"/>
      <c r="H351" s="156"/>
      <c r="I351" s="156"/>
      <c r="J351" s="156"/>
      <c r="K351" s="156"/>
      <c r="L351" s="156"/>
      <c r="M351" s="156"/>
      <c r="N351" s="156"/>
      <c r="O351" s="156"/>
      <c r="P351" s="156"/>
      <c r="Q351" s="156"/>
      <c r="R351" s="156"/>
      <c r="S351" s="156"/>
      <c r="T351" s="156"/>
      <c r="U351" s="156"/>
      <c r="V351" s="156"/>
      <c r="W351" s="156"/>
      <c r="X351" s="156"/>
      <c r="Y351" s="156"/>
      <c r="Z351" s="156"/>
    </row>
    <row r="352">
      <c r="A352" s="156"/>
      <c r="B352" s="156"/>
      <c r="C352" s="156"/>
      <c r="D352" s="156"/>
      <c r="E352" s="156"/>
      <c r="F352" s="156"/>
      <c r="G352" s="156"/>
      <c r="H352" s="156"/>
      <c r="I352" s="156"/>
      <c r="J352" s="156"/>
      <c r="K352" s="156"/>
      <c r="L352" s="156"/>
      <c r="M352" s="156"/>
      <c r="N352" s="156"/>
      <c r="O352" s="156"/>
      <c r="P352" s="156"/>
      <c r="Q352" s="156"/>
      <c r="R352" s="156"/>
      <c r="S352" s="156"/>
      <c r="T352" s="156"/>
      <c r="U352" s="156"/>
      <c r="V352" s="156"/>
      <c r="W352" s="156"/>
      <c r="X352" s="156"/>
      <c r="Y352" s="156"/>
      <c r="Z352" s="156"/>
    </row>
    <row r="353">
      <c r="A353" s="156"/>
      <c r="B353" s="156"/>
      <c r="C353" s="156"/>
      <c r="D353" s="156"/>
      <c r="E353" s="156"/>
      <c r="F353" s="156"/>
      <c r="G353" s="156"/>
      <c r="H353" s="156"/>
      <c r="I353" s="156"/>
      <c r="J353" s="156"/>
      <c r="K353" s="156"/>
      <c r="L353" s="156"/>
      <c r="M353" s="156"/>
      <c r="N353" s="156"/>
      <c r="O353" s="156"/>
      <c r="P353" s="156"/>
      <c r="Q353" s="156"/>
      <c r="R353" s="156"/>
      <c r="S353" s="156"/>
      <c r="T353" s="156"/>
      <c r="U353" s="156"/>
      <c r="V353" s="156"/>
      <c r="W353" s="156"/>
      <c r="X353" s="156"/>
      <c r="Y353" s="156"/>
      <c r="Z353" s="156"/>
    </row>
    <row r="354">
      <c r="A354" s="156"/>
      <c r="B354" s="156"/>
      <c r="C354" s="156"/>
      <c r="D354" s="156"/>
      <c r="E354" s="156"/>
      <c r="F354" s="156"/>
      <c r="G354" s="156"/>
      <c r="H354" s="156"/>
      <c r="I354" s="156"/>
      <c r="J354" s="156"/>
      <c r="K354" s="156"/>
      <c r="L354" s="156"/>
      <c r="M354" s="156"/>
      <c r="N354" s="156"/>
      <c r="O354" s="156"/>
      <c r="P354" s="156"/>
      <c r="Q354" s="156"/>
      <c r="R354" s="156"/>
      <c r="S354" s="156"/>
      <c r="T354" s="156"/>
      <c r="U354" s="156"/>
      <c r="V354" s="156"/>
      <c r="W354" s="156"/>
      <c r="X354" s="156"/>
      <c r="Y354" s="156"/>
      <c r="Z354" s="156"/>
    </row>
    <row r="355">
      <c r="A355" s="156"/>
      <c r="B355" s="156"/>
      <c r="C355" s="156"/>
      <c r="D355" s="156"/>
      <c r="E355" s="156"/>
      <c r="F355" s="156"/>
      <c r="G355" s="156"/>
      <c r="H355" s="156"/>
      <c r="I355" s="156"/>
      <c r="J355" s="156"/>
      <c r="K355" s="156"/>
      <c r="L355" s="156"/>
      <c r="M355" s="156"/>
      <c r="N355" s="156"/>
      <c r="O355" s="156"/>
      <c r="P355" s="156"/>
      <c r="Q355" s="156"/>
      <c r="R355" s="156"/>
      <c r="S355" s="156"/>
      <c r="T355" s="156"/>
      <c r="U355" s="156"/>
      <c r="V355" s="156"/>
      <c r="W355" s="156"/>
      <c r="X355" s="156"/>
      <c r="Y355" s="156"/>
      <c r="Z355" s="156"/>
    </row>
    <row r="356">
      <c r="A356" s="156"/>
      <c r="B356" s="156"/>
      <c r="C356" s="156"/>
      <c r="D356" s="156"/>
      <c r="E356" s="156"/>
      <c r="F356" s="156"/>
      <c r="G356" s="156"/>
      <c r="H356" s="156"/>
      <c r="I356" s="156"/>
      <c r="J356" s="156"/>
      <c r="K356" s="156"/>
      <c r="L356" s="156"/>
      <c r="M356" s="156"/>
      <c r="N356" s="156"/>
      <c r="O356" s="156"/>
      <c r="P356" s="156"/>
      <c r="Q356" s="156"/>
      <c r="R356" s="156"/>
      <c r="S356" s="156"/>
      <c r="T356" s="156"/>
      <c r="U356" s="156"/>
      <c r="V356" s="156"/>
      <c r="W356" s="156"/>
      <c r="X356" s="156"/>
      <c r="Y356" s="156"/>
      <c r="Z356" s="156"/>
    </row>
    <row r="357">
      <c r="A357" s="156"/>
      <c r="B357" s="156"/>
      <c r="C357" s="156"/>
      <c r="D357" s="156"/>
      <c r="E357" s="156"/>
      <c r="F357" s="156"/>
      <c r="G357" s="156"/>
      <c r="H357" s="156"/>
      <c r="I357" s="156"/>
      <c r="J357" s="156"/>
      <c r="K357" s="156"/>
      <c r="L357" s="156"/>
      <c r="M357" s="156"/>
      <c r="N357" s="156"/>
      <c r="O357" s="156"/>
      <c r="P357" s="156"/>
      <c r="Q357" s="156"/>
      <c r="R357" s="156"/>
      <c r="S357" s="156"/>
      <c r="T357" s="156"/>
      <c r="U357" s="156"/>
      <c r="V357" s="156"/>
      <c r="W357" s="156"/>
      <c r="X357" s="156"/>
      <c r="Y357" s="156"/>
      <c r="Z357" s="156"/>
    </row>
    <row r="358">
      <c r="A358" s="156"/>
      <c r="B358" s="156"/>
      <c r="C358" s="156"/>
      <c r="D358" s="156"/>
      <c r="E358" s="156"/>
      <c r="F358" s="156"/>
      <c r="G358" s="156"/>
      <c r="H358" s="156"/>
      <c r="I358" s="156"/>
      <c r="J358" s="156"/>
      <c r="K358" s="156"/>
      <c r="L358" s="156"/>
      <c r="M358" s="156"/>
      <c r="N358" s="156"/>
      <c r="O358" s="156"/>
      <c r="P358" s="156"/>
      <c r="Q358" s="156"/>
      <c r="R358" s="156"/>
      <c r="S358" s="156"/>
      <c r="T358" s="156"/>
      <c r="U358" s="156"/>
      <c r="V358" s="156"/>
      <c r="W358" s="156"/>
      <c r="X358" s="156"/>
      <c r="Y358" s="156"/>
      <c r="Z358" s="156"/>
    </row>
    <row r="359">
      <c r="A359" s="156"/>
      <c r="B359" s="156"/>
      <c r="C359" s="156"/>
      <c r="D359" s="156"/>
      <c r="E359" s="156"/>
      <c r="F359" s="156"/>
      <c r="G359" s="156"/>
      <c r="H359" s="156"/>
      <c r="I359" s="156"/>
      <c r="J359" s="156"/>
      <c r="K359" s="156"/>
      <c r="L359" s="156"/>
      <c r="M359" s="156"/>
      <c r="N359" s="156"/>
      <c r="O359" s="156"/>
      <c r="P359" s="156"/>
      <c r="Q359" s="156"/>
      <c r="R359" s="156"/>
      <c r="S359" s="156"/>
      <c r="T359" s="156"/>
      <c r="U359" s="156"/>
      <c r="V359" s="156"/>
      <c r="W359" s="156"/>
      <c r="X359" s="156"/>
      <c r="Y359" s="156"/>
      <c r="Z359" s="156"/>
    </row>
    <row r="360">
      <c r="A360" s="156"/>
      <c r="B360" s="156"/>
      <c r="C360" s="156"/>
      <c r="D360" s="156"/>
      <c r="E360" s="156"/>
      <c r="F360" s="156"/>
      <c r="G360" s="156"/>
      <c r="H360" s="156"/>
      <c r="I360" s="156"/>
      <c r="J360" s="156"/>
      <c r="K360" s="156"/>
      <c r="L360" s="156"/>
      <c r="M360" s="156"/>
      <c r="N360" s="156"/>
      <c r="O360" s="156"/>
      <c r="P360" s="156"/>
      <c r="Q360" s="156"/>
      <c r="R360" s="156"/>
      <c r="S360" s="156"/>
      <c r="T360" s="156"/>
      <c r="U360" s="156"/>
      <c r="V360" s="156"/>
      <c r="W360" s="156"/>
      <c r="X360" s="156"/>
      <c r="Y360" s="156"/>
      <c r="Z360" s="156"/>
    </row>
    <row r="361">
      <c r="A361" s="156"/>
      <c r="B361" s="156"/>
      <c r="C361" s="156"/>
      <c r="D361" s="156"/>
      <c r="E361" s="156"/>
      <c r="F361" s="156"/>
      <c r="G361" s="156"/>
      <c r="H361" s="156"/>
      <c r="I361" s="156"/>
      <c r="J361" s="156"/>
      <c r="K361" s="156"/>
      <c r="L361" s="156"/>
      <c r="M361" s="156"/>
      <c r="N361" s="156"/>
      <c r="O361" s="156"/>
      <c r="P361" s="156"/>
      <c r="Q361" s="156"/>
      <c r="R361" s="156"/>
      <c r="S361" s="156"/>
      <c r="T361" s="156"/>
      <c r="U361" s="156"/>
      <c r="V361" s="156"/>
      <c r="W361" s="156"/>
      <c r="X361" s="156"/>
      <c r="Y361" s="156"/>
      <c r="Z361" s="156"/>
    </row>
    <row r="362">
      <c r="A362" s="156"/>
      <c r="B362" s="156"/>
      <c r="C362" s="156"/>
      <c r="D362" s="156"/>
      <c r="E362" s="156"/>
      <c r="F362" s="156"/>
      <c r="G362" s="156"/>
      <c r="H362" s="156"/>
      <c r="I362" s="156"/>
      <c r="J362" s="156"/>
      <c r="K362" s="156"/>
      <c r="L362" s="156"/>
      <c r="M362" s="156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156"/>
      <c r="Y362" s="156"/>
      <c r="Z362" s="156"/>
    </row>
    <row r="363">
      <c r="A363" s="156"/>
      <c r="B363" s="156"/>
      <c r="C363" s="156"/>
      <c r="D363" s="156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6"/>
      <c r="R363" s="156"/>
      <c r="S363" s="156"/>
      <c r="T363" s="156"/>
      <c r="U363" s="156"/>
      <c r="V363" s="156"/>
      <c r="W363" s="156"/>
      <c r="X363" s="156"/>
      <c r="Y363" s="156"/>
      <c r="Z363" s="156"/>
    </row>
    <row r="364">
      <c r="A364" s="156"/>
      <c r="B364" s="156"/>
      <c r="C364" s="156"/>
      <c r="D364" s="156"/>
      <c r="E364" s="156"/>
      <c r="F364" s="156"/>
      <c r="G364" s="156"/>
      <c r="H364" s="156"/>
      <c r="I364" s="156"/>
      <c r="J364" s="156"/>
      <c r="K364" s="156"/>
      <c r="L364" s="156"/>
      <c r="M364" s="156"/>
      <c r="N364" s="156"/>
      <c r="O364" s="156"/>
      <c r="P364" s="156"/>
      <c r="Q364" s="156"/>
      <c r="R364" s="156"/>
      <c r="S364" s="156"/>
      <c r="T364" s="156"/>
      <c r="U364" s="156"/>
      <c r="V364" s="156"/>
      <c r="W364" s="156"/>
      <c r="X364" s="156"/>
      <c r="Y364" s="156"/>
      <c r="Z364" s="156"/>
    </row>
    <row r="365">
      <c r="A365" s="156"/>
      <c r="B365" s="156"/>
      <c r="C365" s="156"/>
      <c r="D365" s="156"/>
      <c r="E365" s="156"/>
      <c r="F365" s="156"/>
      <c r="G365" s="156"/>
      <c r="H365" s="156"/>
      <c r="I365" s="156"/>
      <c r="J365" s="156"/>
      <c r="K365" s="156"/>
      <c r="L365" s="156"/>
      <c r="M365" s="156"/>
      <c r="N365" s="156"/>
      <c r="O365" s="156"/>
      <c r="P365" s="156"/>
      <c r="Q365" s="156"/>
      <c r="R365" s="156"/>
      <c r="S365" s="156"/>
      <c r="T365" s="156"/>
      <c r="U365" s="156"/>
      <c r="V365" s="156"/>
      <c r="W365" s="156"/>
      <c r="X365" s="156"/>
      <c r="Y365" s="156"/>
      <c r="Z365" s="156"/>
    </row>
    <row r="366">
      <c r="A366" s="156"/>
      <c r="B366" s="156"/>
      <c r="C366" s="156"/>
      <c r="D366" s="156"/>
      <c r="E366" s="156"/>
      <c r="F366" s="156"/>
      <c r="G366" s="156"/>
      <c r="H366" s="156"/>
      <c r="I366" s="156"/>
      <c r="J366" s="156"/>
      <c r="K366" s="156"/>
      <c r="L366" s="156"/>
      <c r="M366" s="156"/>
      <c r="N366" s="156"/>
      <c r="O366" s="156"/>
      <c r="P366" s="156"/>
      <c r="Q366" s="156"/>
      <c r="R366" s="156"/>
      <c r="S366" s="156"/>
      <c r="T366" s="156"/>
      <c r="U366" s="156"/>
      <c r="V366" s="156"/>
      <c r="W366" s="156"/>
      <c r="X366" s="156"/>
      <c r="Y366" s="156"/>
      <c r="Z366" s="156"/>
    </row>
    <row r="367">
      <c r="A367" s="156"/>
      <c r="B367" s="156"/>
      <c r="C367" s="156"/>
      <c r="D367" s="156"/>
      <c r="E367" s="156"/>
      <c r="F367" s="156"/>
      <c r="G367" s="156"/>
      <c r="H367" s="156"/>
      <c r="I367" s="156"/>
      <c r="J367" s="156"/>
      <c r="K367" s="156"/>
      <c r="L367" s="156"/>
      <c r="M367" s="156"/>
      <c r="N367" s="156"/>
      <c r="O367" s="156"/>
      <c r="P367" s="156"/>
      <c r="Q367" s="156"/>
      <c r="R367" s="156"/>
      <c r="S367" s="156"/>
      <c r="T367" s="156"/>
      <c r="U367" s="156"/>
      <c r="V367" s="156"/>
      <c r="W367" s="156"/>
      <c r="X367" s="156"/>
      <c r="Y367" s="156"/>
      <c r="Z367" s="156"/>
    </row>
    <row r="368">
      <c r="A368" s="156"/>
      <c r="B368" s="156"/>
      <c r="C368" s="156"/>
      <c r="D368" s="156"/>
      <c r="E368" s="156"/>
      <c r="F368" s="156"/>
      <c r="G368" s="156"/>
      <c r="H368" s="156"/>
      <c r="I368" s="156"/>
      <c r="J368" s="156"/>
      <c r="K368" s="156"/>
      <c r="L368" s="156"/>
      <c r="M368" s="156"/>
      <c r="N368" s="156"/>
      <c r="O368" s="156"/>
      <c r="P368" s="156"/>
      <c r="Q368" s="156"/>
      <c r="R368" s="156"/>
      <c r="S368" s="156"/>
      <c r="T368" s="156"/>
      <c r="U368" s="156"/>
      <c r="V368" s="156"/>
      <c r="W368" s="156"/>
      <c r="X368" s="156"/>
      <c r="Y368" s="156"/>
      <c r="Z368" s="156"/>
    </row>
    <row r="369">
      <c r="A369" s="156"/>
      <c r="B369" s="156"/>
      <c r="C369" s="156"/>
      <c r="D369" s="156"/>
      <c r="E369" s="156"/>
      <c r="F369" s="156"/>
      <c r="G369" s="156"/>
      <c r="H369" s="156"/>
      <c r="I369" s="156"/>
      <c r="J369" s="156"/>
      <c r="K369" s="156"/>
      <c r="L369" s="156"/>
      <c r="M369" s="156"/>
      <c r="N369" s="156"/>
      <c r="O369" s="156"/>
      <c r="P369" s="156"/>
      <c r="Q369" s="156"/>
      <c r="R369" s="156"/>
      <c r="S369" s="156"/>
      <c r="T369" s="156"/>
      <c r="U369" s="156"/>
      <c r="V369" s="156"/>
      <c r="W369" s="156"/>
      <c r="X369" s="156"/>
      <c r="Y369" s="156"/>
      <c r="Z369" s="156"/>
    </row>
    <row r="370">
      <c r="A370" s="156"/>
      <c r="B370" s="156"/>
      <c r="C370" s="156"/>
      <c r="D370" s="156"/>
      <c r="E370" s="156"/>
      <c r="F370" s="156"/>
      <c r="G370" s="156"/>
      <c r="H370" s="156"/>
      <c r="I370" s="156"/>
      <c r="J370" s="156"/>
      <c r="K370" s="156"/>
      <c r="L370" s="156"/>
      <c r="M370" s="156"/>
      <c r="N370" s="156"/>
      <c r="O370" s="156"/>
      <c r="P370" s="156"/>
      <c r="Q370" s="156"/>
      <c r="R370" s="156"/>
      <c r="S370" s="156"/>
      <c r="T370" s="156"/>
      <c r="U370" s="156"/>
      <c r="V370" s="156"/>
      <c r="W370" s="156"/>
      <c r="X370" s="156"/>
      <c r="Y370" s="156"/>
      <c r="Z370" s="156"/>
    </row>
    <row r="371">
      <c r="A371" s="156"/>
      <c r="B371" s="156"/>
      <c r="C371" s="156"/>
      <c r="D371" s="156"/>
      <c r="E371" s="156"/>
      <c r="F371" s="156"/>
      <c r="G371" s="156"/>
      <c r="H371" s="156"/>
      <c r="I371" s="156"/>
      <c r="J371" s="156"/>
      <c r="K371" s="156"/>
      <c r="L371" s="156"/>
      <c r="M371" s="156"/>
      <c r="N371" s="156"/>
      <c r="O371" s="156"/>
      <c r="P371" s="156"/>
      <c r="Q371" s="156"/>
      <c r="R371" s="156"/>
      <c r="S371" s="156"/>
      <c r="T371" s="156"/>
      <c r="U371" s="156"/>
      <c r="V371" s="156"/>
      <c r="W371" s="156"/>
      <c r="X371" s="156"/>
      <c r="Y371" s="156"/>
      <c r="Z371" s="156"/>
    </row>
    <row r="372">
      <c r="A372" s="156"/>
      <c r="B372" s="156"/>
      <c r="C372" s="156"/>
      <c r="D372" s="156"/>
      <c r="E372" s="156"/>
      <c r="F372" s="156"/>
      <c r="G372" s="156"/>
      <c r="H372" s="156"/>
      <c r="I372" s="156"/>
      <c r="J372" s="156"/>
      <c r="K372" s="156"/>
      <c r="L372" s="156"/>
      <c r="M372" s="156"/>
      <c r="N372" s="156"/>
      <c r="O372" s="156"/>
      <c r="P372" s="156"/>
      <c r="Q372" s="156"/>
      <c r="R372" s="156"/>
      <c r="S372" s="156"/>
      <c r="T372" s="156"/>
      <c r="U372" s="156"/>
      <c r="V372" s="156"/>
      <c r="W372" s="156"/>
      <c r="X372" s="156"/>
      <c r="Y372" s="156"/>
      <c r="Z372" s="156"/>
    </row>
    <row r="373">
      <c r="A373" s="156"/>
      <c r="B373" s="156"/>
      <c r="C373" s="156"/>
      <c r="D373" s="156"/>
      <c r="E373" s="156"/>
      <c r="F373" s="156"/>
      <c r="G373" s="156"/>
      <c r="H373" s="156"/>
      <c r="I373" s="156"/>
      <c r="J373" s="156"/>
      <c r="K373" s="156"/>
      <c r="L373" s="156"/>
      <c r="M373" s="156"/>
      <c r="N373" s="156"/>
      <c r="O373" s="156"/>
      <c r="P373" s="156"/>
      <c r="Q373" s="156"/>
      <c r="R373" s="156"/>
      <c r="S373" s="156"/>
      <c r="T373" s="156"/>
      <c r="U373" s="156"/>
      <c r="V373" s="156"/>
      <c r="W373" s="156"/>
      <c r="X373" s="156"/>
      <c r="Y373" s="156"/>
      <c r="Z373" s="156"/>
    </row>
    <row r="374">
      <c r="A374" s="156"/>
      <c r="B374" s="156"/>
      <c r="C374" s="156"/>
      <c r="D374" s="156"/>
      <c r="E374" s="156"/>
      <c r="F374" s="156"/>
      <c r="G374" s="156"/>
      <c r="H374" s="156"/>
      <c r="I374" s="156"/>
      <c r="J374" s="156"/>
      <c r="K374" s="156"/>
      <c r="L374" s="156"/>
      <c r="M374" s="156"/>
      <c r="N374" s="156"/>
      <c r="O374" s="156"/>
      <c r="P374" s="156"/>
      <c r="Q374" s="156"/>
      <c r="R374" s="156"/>
      <c r="S374" s="156"/>
      <c r="T374" s="156"/>
      <c r="U374" s="156"/>
      <c r="V374" s="156"/>
      <c r="W374" s="156"/>
      <c r="X374" s="156"/>
      <c r="Y374" s="156"/>
      <c r="Z374" s="156"/>
    </row>
    <row r="375">
      <c r="A375" s="156"/>
      <c r="B375" s="156"/>
      <c r="C375" s="156"/>
      <c r="D375" s="156"/>
      <c r="E375" s="156"/>
      <c r="F375" s="156"/>
      <c r="G375" s="156"/>
      <c r="H375" s="156"/>
      <c r="I375" s="156"/>
      <c r="J375" s="156"/>
      <c r="K375" s="156"/>
      <c r="L375" s="156"/>
      <c r="M375" s="156"/>
      <c r="N375" s="156"/>
      <c r="O375" s="156"/>
      <c r="P375" s="156"/>
      <c r="Q375" s="156"/>
      <c r="R375" s="156"/>
      <c r="S375" s="156"/>
      <c r="T375" s="156"/>
      <c r="U375" s="156"/>
      <c r="V375" s="156"/>
      <c r="W375" s="156"/>
      <c r="X375" s="156"/>
      <c r="Y375" s="156"/>
      <c r="Z375" s="156"/>
    </row>
    <row r="376">
      <c r="A376" s="156"/>
      <c r="B376" s="156"/>
      <c r="C376" s="156"/>
      <c r="D376" s="156"/>
      <c r="E376" s="156"/>
      <c r="F376" s="156"/>
      <c r="G376" s="156"/>
      <c r="H376" s="156"/>
      <c r="I376" s="156"/>
      <c r="J376" s="156"/>
      <c r="K376" s="156"/>
      <c r="L376" s="156"/>
      <c r="M376" s="156"/>
      <c r="N376" s="156"/>
      <c r="O376" s="156"/>
      <c r="P376" s="156"/>
      <c r="Q376" s="156"/>
      <c r="R376" s="156"/>
      <c r="S376" s="156"/>
      <c r="T376" s="156"/>
      <c r="U376" s="156"/>
      <c r="V376" s="156"/>
      <c r="W376" s="156"/>
      <c r="X376" s="156"/>
      <c r="Y376" s="156"/>
      <c r="Z376" s="156"/>
    </row>
    <row r="377">
      <c r="A377" s="156"/>
      <c r="B377" s="156"/>
      <c r="C377" s="156"/>
      <c r="D377" s="156"/>
      <c r="E377" s="156"/>
      <c r="F377" s="156"/>
      <c r="G377" s="156"/>
      <c r="H377" s="156"/>
      <c r="I377" s="156"/>
      <c r="J377" s="156"/>
      <c r="K377" s="156"/>
      <c r="L377" s="156"/>
      <c r="M377" s="156"/>
      <c r="N377" s="156"/>
      <c r="O377" s="156"/>
      <c r="P377" s="156"/>
      <c r="Q377" s="156"/>
      <c r="R377" s="156"/>
      <c r="S377" s="156"/>
      <c r="T377" s="156"/>
      <c r="U377" s="156"/>
      <c r="V377" s="156"/>
      <c r="W377" s="156"/>
      <c r="X377" s="156"/>
      <c r="Y377" s="156"/>
      <c r="Z377" s="156"/>
    </row>
    <row r="378">
      <c r="A378" s="156"/>
      <c r="B378" s="156"/>
      <c r="C378" s="156"/>
      <c r="D378" s="156"/>
      <c r="E378" s="156"/>
      <c r="F378" s="156"/>
      <c r="G378" s="156"/>
      <c r="H378" s="156"/>
      <c r="I378" s="156"/>
      <c r="J378" s="156"/>
      <c r="K378" s="156"/>
      <c r="L378" s="156"/>
      <c r="M378" s="156"/>
      <c r="N378" s="156"/>
      <c r="O378" s="156"/>
      <c r="P378" s="156"/>
      <c r="Q378" s="156"/>
      <c r="R378" s="156"/>
      <c r="S378" s="156"/>
      <c r="T378" s="156"/>
      <c r="U378" s="156"/>
      <c r="V378" s="156"/>
      <c r="W378" s="156"/>
      <c r="X378" s="156"/>
      <c r="Y378" s="156"/>
      <c r="Z378" s="156"/>
    </row>
    <row r="379">
      <c r="A379" s="156"/>
      <c r="B379" s="156"/>
      <c r="C379" s="156"/>
      <c r="D379" s="156"/>
      <c r="E379" s="156"/>
      <c r="F379" s="156"/>
      <c r="G379" s="156"/>
      <c r="H379" s="156"/>
      <c r="I379" s="156"/>
      <c r="J379" s="156"/>
      <c r="K379" s="156"/>
      <c r="L379" s="156"/>
      <c r="M379" s="156"/>
      <c r="N379" s="156"/>
      <c r="O379" s="156"/>
      <c r="P379" s="156"/>
      <c r="Q379" s="156"/>
      <c r="R379" s="156"/>
      <c r="S379" s="156"/>
      <c r="T379" s="156"/>
      <c r="U379" s="156"/>
      <c r="V379" s="156"/>
      <c r="W379" s="156"/>
      <c r="X379" s="156"/>
      <c r="Y379" s="156"/>
      <c r="Z379" s="156"/>
    </row>
    <row r="380">
      <c r="A380" s="156"/>
      <c r="B380" s="156"/>
      <c r="C380" s="156"/>
      <c r="D380" s="156"/>
      <c r="E380" s="156"/>
      <c r="F380" s="156"/>
      <c r="G380" s="156"/>
      <c r="H380" s="156"/>
      <c r="I380" s="156"/>
      <c r="J380" s="156"/>
      <c r="K380" s="156"/>
      <c r="L380" s="156"/>
      <c r="M380" s="156"/>
      <c r="N380" s="156"/>
      <c r="O380" s="156"/>
      <c r="P380" s="156"/>
      <c r="Q380" s="156"/>
      <c r="R380" s="156"/>
      <c r="S380" s="156"/>
      <c r="T380" s="156"/>
      <c r="U380" s="156"/>
      <c r="V380" s="156"/>
      <c r="W380" s="156"/>
      <c r="X380" s="156"/>
      <c r="Y380" s="156"/>
      <c r="Z380" s="156"/>
    </row>
    <row r="381">
      <c r="A381" s="156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</row>
    <row r="382">
      <c r="A382" s="156"/>
      <c r="B382" s="156"/>
      <c r="C382" s="156"/>
      <c r="D382" s="156"/>
      <c r="E382" s="156"/>
      <c r="F382" s="156"/>
      <c r="G382" s="156"/>
      <c r="H382" s="156"/>
      <c r="I382" s="156"/>
      <c r="J382" s="156"/>
      <c r="K382" s="156"/>
      <c r="L382" s="156"/>
      <c r="M382" s="156"/>
      <c r="N382" s="156"/>
      <c r="O382" s="156"/>
      <c r="P382" s="156"/>
      <c r="Q382" s="156"/>
      <c r="R382" s="156"/>
      <c r="S382" s="156"/>
      <c r="T382" s="156"/>
      <c r="U382" s="156"/>
      <c r="V382" s="156"/>
      <c r="W382" s="156"/>
      <c r="X382" s="156"/>
      <c r="Y382" s="156"/>
      <c r="Z382" s="156"/>
    </row>
    <row r="383">
      <c r="A383" s="156"/>
      <c r="B383" s="156"/>
      <c r="C383" s="156"/>
      <c r="D383" s="156"/>
      <c r="E383" s="156"/>
      <c r="F383" s="156"/>
      <c r="G383" s="156"/>
      <c r="H383" s="156"/>
      <c r="I383" s="156"/>
      <c r="J383" s="156"/>
      <c r="K383" s="156"/>
      <c r="L383" s="156"/>
      <c r="M383" s="156"/>
      <c r="N383" s="156"/>
      <c r="O383" s="156"/>
      <c r="P383" s="156"/>
      <c r="Q383" s="156"/>
      <c r="R383" s="156"/>
      <c r="S383" s="156"/>
      <c r="T383" s="156"/>
      <c r="U383" s="156"/>
      <c r="V383" s="156"/>
      <c r="W383" s="156"/>
      <c r="X383" s="156"/>
      <c r="Y383" s="156"/>
      <c r="Z383" s="156"/>
    </row>
    <row r="384">
      <c r="A384" s="156"/>
      <c r="B384" s="156"/>
      <c r="C384" s="156"/>
      <c r="D384" s="156"/>
      <c r="E384" s="156"/>
      <c r="F384" s="156"/>
      <c r="G384" s="156"/>
      <c r="H384" s="156"/>
      <c r="I384" s="156"/>
      <c r="J384" s="156"/>
      <c r="K384" s="156"/>
      <c r="L384" s="156"/>
      <c r="M384" s="156"/>
      <c r="N384" s="156"/>
      <c r="O384" s="156"/>
      <c r="P384" s="156"/>
      <c r="Q384" s="156"/>
      <c r="R384" s="156"/>
      <c r="S384" s="156"/>
      <c r="T384" s="156"/>
      <c r="U384" s="156"/>
      <c r="V384" s="156"/>
      <c r="W384" s="156"/>
      <c r="X384" s="156"/>
      <c r="Y384" s="156"/>
      <c r="Z384" s="156"/>
    </row>
    <row r="385">
      <c r="A385" s="156"/>
      <c r="B385" s="156"/>
      <c r="C385" s="156"/>
      <c r="D385" s="156"/>
      <c r="E385" s="156"/>
      <c r="F385" s="156"/>
      <c r="G385" s="156"/>
      <c r="H385" s="156"/>
      <c r="I385" s="156"/>
      <c r="J385" s="156"/>
      <c r="K385" s="156"/>
      <c r="L385" s="156"/>
      <c r="M385" s="156"/>
      <c r="N385" s="156"/>
      <c r="O385" s="156"/>
      <c r="P385" s="156"/>
      <c r="Q385" s="156"/>
      <c r="R385" s="156"/>
      <c r="S385" s="156"/>
      <c r="T385" s="156"/>
      <c r="U385" s="156"/>
      <c r="V385" s="156"/>
      <c r="W385" s="156"/>
      <c r="X385" s="156"/>
      <c r="Y385" s="156"/>
      <c r="Z385" s="156"/>
    </row>
    <row r="386">
      <c r="A386" s="156"/>
      <c r="B386" s="156"/>
      <c r="C386" s="156"/>
      <c r="D386" s="156"/>
      <c r="E386" s="156"/>
      <c r="F386" s="156"/>
      <c r="G386" s="156"/>
      <c r="H386" s="156"/>
      <c r="I386" s="156"/>
      <c r="J386" s="156"/>
      <c r="K386" s="156"/>
      <c r="L386" s="156"/>
      <c r="M386" s="156"/>
      <c r="N386" s="156"/>
      <c r="O386" s="156"/>
      <c r="P386" s="156"/>
      <c r="Q386" s="156"/>
      <c r="R386" s="156"/>
      <c r="S386" s="156"/>
      <c r="T386" s="156"/>
      <c r="U386" s="156"/>
      <c r="V386" s="156"/>
      <c r="W386" s="156"/>
      <c r="X386" s="156"/>
      <c r="Y386" s="156"/>
      <c r="Z386" s="156"/>
    </row>
    <row r="387">
      <c r="A387" s="156"/>
      <c r="B387" s="156"/>
      <c r="C387" s="156"/>
      <c r="D387" s="156"/>
      <c r="E387" s="156"/>
      <c r="F387" s="156"/>
      <c r="G387" s="156"/>
      <c r="H387" s="156"/>
      <c r="I387" s="156"/>
      <c r="J387" s="156"/>
      <c r="K387" s="156"/>
      <c r="L387" s="156"/>
      <c r="M387" s="156"/>
      <c r="N387" s="156"/>
      <c r="O387" s="156"/>
      <c r="P387" s="156"/>
      <c r="Q387" s="156"/>
      <c r="R387" s="156"/>
      <c r="S387" s="156"/>
      <c r="T387" s="156"/>
      <c r="U387" s="156"/>
      <c r="V387" s="156"/>
      <c r="W387" s="156"/>
      <c r="X387" s="156"/>
      <c r="Y387" s="156"/>
      <c r="Z387" s="156"/>
    </row>
    <row r="388">
      <c r="A388" s="156"/>
      <c r="B388" s="156"/>
      <c r="C388" s="156"/>
      <c r="D388" s="156"/>
      <c r="E388" s="156"/>
      <c r="F388" s="156"/>
      <c r="G388" s="156"/>
      <c r="H388" s="156"/>
      <c r="I388" s="156"/>
      <c r="J388" s="156"/>
      <c r="K388" s="156"/>
      <c r="L388" s="156"/>
      <c r="M388" s="156"/>
      <c r="N388" s="156"/>
      <c r="O388" s="156"/>
      <c r="P388" s="156"/>
      <c r="Q388" s="156"/>
      <c r="R388" s="156"/>
      <c r="S388" s="156"/>
      <c r="T388" s="156"/>
      <c r="U388" s="156"/>
      <c r="V388" s="156"/>
      <c r="W388" s="156"/>
      <c r="X388" s="156"/>
      <c r="Y388" s="156"/>
      <c r="Z388" s="156"/>
    </row>
    <row r="389">
      <c r="A389" s="156"/>
      <c r="B389" s="156"/>
      <c r="C389" s="156"/>
      <c r="D389" s="156"/>
      <c r="E389" s="156"/>
      <c r="F389" s="156"/>
      <c r="G389" s="156"/>
      <c r="H389" s="156"/>
      <c r="I389" s="156"/>
      <c r="J389" s="156"/>
      <c r="K389" s="156"/>
      <c r="L389" s="156"/>
      <c r="M389" s="156"/>
      <c r="N389" s="156"/>
      <c r="O389" s="156"/>
      <c r="P389" s="156"/>
      <c r="Q389" s="156"/>
      <c r="R389" s="156"/>
      <c r="S389" s="156"/>
      <c r="T389" s="156"/>
      <c r="U389" s="156"/>
      <c r="V389" s="156"/>
      <c r="W389" s="156"/>
      <c r="X389" s="156"/>
      <c r="Y389" s="156"/>
      <c r="Z389" s="156"/>
    </row>
    <row r="390">
      <c r="A390" s="156"/>
      <c r="B390" s="156"/>
      <c r="C390" s="156"/>
      <c r="D390" s="156"/>
      <c r="E390" s="156"/>
      <c r="F390" s="156"/>
      <c r="G390" s="156"/>
      <c r="H390" s="156"/>
      <c r="I390" s="156"/>
      <c r="J390" s="156"/>
      <c r="K390" s="156"/>
      <c r="L390" s="156"/>
      <c r="M390" s="156"/>
      <c r="N390" s="156"/>
      <c r="O390" s="156"/>
      <c r="P390" s="156"/>
      <c r="Q390" s="156"/>
      <c r="R390" s="156"/>
      <c r="S390" s="156"/>
      <c r="T390" s="156"/>
      <c r="U390" s="156"/>
      <c r="V390" s="156"/>
      <c r="W390" s="156"/>
      <c r="X390" s="156"/>
      <c r="Y390" s="156"/>
      <c r="Z390" s="156"/>
    </row>
    <row r="391">
      <c r="A391" s="156"/>
      <c r="B391" s="156"/>
      <c r="C391" s="156"/>
      <c r="D391" s="156"/>
      <c r="E391" s="156"/>
      <c r="F391" s="156"/>
      <c r="G391" s="156"/>
      <c r="H391" s="156"/>
      <c r="I391" s="156"/>
      <c r="J391" s="156"/>
      <c r="K391" s="156"/>
      <c r="L391" s="156"/>
      <c r="M391" s="156"/>
      <c r="N391" s="156"/>
      <c r="O391" s="156"/>
      <c r="P391" s="156"/>
      <c r="Q391" s="156"/>
      <c r="R391" s="156"/>
      <c r="S391" s="156"/>
      <c r="T391" s="156"/>
      <c r="U391" s="156"/>
      <c r="V391" s="156"/>
      <c r="W391" s="156"/>
      <c r="X391" s="156"/>
      <c r="Y391" s="156"/>
      <c r="Z391" s="156"/>
    </row>
    <row r="392">
      <c r="A392" s="156"/>
      <c r="B392" s="156"/>
      <c r="C392" s="156"/>
      <c r="D392" s="156"/>
      <c r="E392" s="156"/>
      <c r="F392" s="156"/>
      <c r="G392" s="156"/>
      <c r="H392" s="156"/>
      <c r="I392" s="156"/>
      <c r="J392" s="156"/>
      <c r="K392" s="156"/>
      <c r="L392" s="156"/>
      <c r="M392" s="156"/>
      <c r="N392" s="156"/>
      <c r="O392" s="156"/>
      <c r="P392" s="156"/>
      <c r="Q392" s="156"/>
      <c r="R392" s="156"/>
      <c r="S392" s="156"/>
      <c r="T392" s="156"/>
      <c r="U392" s="156"/>
      <c r="V392" s="156"/>
      <c r="W392" s="156"/>
      <c r="X392" s="156"/>
      <c r="Y392" s="156"/>
      <c r="Z392" s="156"/>
    </row>
    <row r="393">
      <c r="A393" s="156"/>
      <c r="B393" s="156"/>
      <c r="C393" s="156"/>
      <c r="D393" s="156"/>
      <c r="E393" s="156"/>
      <c r="F393" s="156"/>
      <c r="G393" s="156"/>
      <c r="H393" s="156"/>
      <c r="I393" s="156"/>
      <c r="J393" s="156"/>
      <c r="K393" s="156"/>
      <c r="L393" s="156"/>
      <c r="M393" s="156"/>
      <c r="N393" s="156"/>
      <c r="O393" s="156"/>
      <c r="P393" s="156"/>
      <c r="Q393" s="156"/>
      <c r="R393" s="156"/>
      <c r="S393" s="156"/>
      <c r="T393" s="156"/>
      <c r="U393" s="156"/>
      <c r="V393" s="156"/>
      <c r="W393" s="156"/>
      <c r="X393" s="156"/>
      <c r="Y393" s="156"/>
      <c r="Z393" s="156"/>
    </row>
    <row r="394">
      <c r="A394" s="156"/>
      <c r="B394" s="156"/>
      <c r="C394" s="156"/>
      <c r="D394" s="156"/>
      <c r="E394" s="156"/>
      <c r="F394" s="156"/>
      <c r="G394" s="156"/>
      <c r="H394" s="156"/>
      <c r="I394" s="156"/>
      <c r="J394" s="156"/>
      <c r="K394" s="156"/>
      <c r="L394" s="156"/>
      <c r="M394" s="156"/>
      <c r="N394" s="156"/>
      <c r="O394" s="156"/>
      <c r="P394" s="156"/>
      <c r="Q394" s="156"/>
      <c r="R394" s="156"/>
      <c r="S394" s="156"/>
      <c r="T394" s="156"/>
      <c r="U394" s="156"/>
      <c r="V394" s="156"/>
      <c r="W394" s="156"/>
      <c r="X394" s="156"/>
      <c r="Y394" s="156"/>
      <c r="Z394" s="156"/>
    </row>
    <row r="395">
      <c r="A395" s="156"/>
      <c r="B395" s="156"/>
      <c r="C395" s="156"/>
      <c r="D395" s="156"/>
      <c r="E395" s="156"/>
      <c r="F395" s="156"/>
      <c r="G395" s="156"/>
      <c r="H395" s="156"/>
      <c r="I395" s="156"/>
      <c r="J395" s="156"/>
      <c r="K395" s="156"/>
      <c r="L395" s="156"/>
      <c r="M395" s="156"/>
      <c r="N395" s="156"/>
      <c r="O395" s="156"/>
      <c r="P395" s="156"/>
      <c r="Q395" s="156"/>
      <c r="R395" s="156"/>
      <c r="S395" s="156"/>
      <c r="T395" s="156"/>
      <c r="U395" s="156"/>
      <c r="V395" s="156"/>
      <c r="W395" s="156"/>
      <c r="X395" s="156"/>
      <c r="Y395" s="156"/>
      <c r="Z395" s="156"/>
    </row>
    <row r="396">
      <c r="A396" s="156"/>
      <c r="B396" s="156"/>
      <c r="C396" s="156"/>
      <c r="D396" s="156"/>
      <c r="E396" s="156"/>
      <c r="F396" s="156"/>
      <c r="G396" s="156"/>
      <c r="H396" s="156"/>
      <c r="I396" s="156"/>
      <c r="J396" s="156"/>
      <c r="K396" s="156"/>
      <c r="L396" s="156"/>
      <c r="M396" s="156"/>
      <c r="N396" s="156"/>
      <c r="O396" s="156"/>
      <c r="P396" s="156"/>
      <c r="Q396" s="156"/>
      <c r="R396" s="156"/>
      <c r="S396" s="156"/>
      <c r="T396" s="156"/>
      <c r="U396" s="156"/>
      <c r="V396" s="156"/>
      <c r="W396" s="156"/>
      <c r="X396" s="156"/>
      <c r="Y396" s="156"/>
      <c r="Z396" s="156"/>
    </row>
    <row r="397">
      <c r="A397" s="156"/>
      <c r="B397" s="156"/>
      <c r="C397" s="156"/>
      <c r="D397" s="156"/>
      <c r="E397" s="156"/>
      <c r="F397" s="156"/>
      <c r="G397" s="156"/>
      <c r="H397" s="156"/>
      <c r="I397" s="156"/>
      <c r="J397" s="156"/>
      <c r="K397" s="156"/>
      <c r="L397" s="156"/>
      <c r="M397" s="156"/>
      <c r="N397" s="156"/>
      <c r="O397" s="156"/>
      <c r="P397" s="156"/>
      <c r="Q397" s="156"/>
      <c r="R397" s="156"/>
      <c r="S397" s="156"/>
      <c r="T397" s="156"/>
      <c r="U397" s="156"/>
      <c r="V397" s="156"/>
      <c r="W397" s="156"/>
      <c r="X397" s="156"/>
      <c r="Y397" s="156"/>
      <c r="Z397" s="156"/>
    </row>
    <row r="398">
      <c r="A398" s="156"/>
      <c r="B398" s="156"/>
      <c r="C398" s="156"/>
      <c r="D398" s="156"/>
      <c r="E398" s="156"/>
      <c r="F398" s="156"/>
      <c r="G398" s="156"/>
      <c r="H398" s="156"/>
      <c r="I398" s="156"/>
      <c r="J398" s="156"/>
      <c r="K398" s="156"/>
      <c r="L398" s="156"/>
      <c r="M398" s="156"/>
      <c r="N398" s="156"/>
      <c r="O398" s="156"/>
      <c r="P398" s="156"/>
      <c r="Q398" s="156"/>
      <c r="R398" s="156"/>
      <c r="S398" s="156"/>
      <c r="T398" s="156"/>
      <c r="U398" s="156"/>
      <c r="V398" s="156"/>
      <c r="W398" s="156"/>
      <c r="X398" s="156"/>
      <c r="Y398" s="156"/>
      <c r="Z398" s="156"/>
    </row>
    <row r="399">
      <c r="A399" s="156"/>
      <c r="B399" s="156"/>
      <c r="C399" s="156"/>
      <c r="D399" s="156"/>
      <c r="E399" s="156"/>
      <c r="F399" s="156"/>
      <c r="G399" s="156"/>
      <c r="H399" s="156"/>
      <c r="I399" s="156"/>
      <c r="J399" s="156"/>
      <c r="K399" s="156"/>
      <c r="L399" s="156"/>
      <c r="M399" s="156"/>
      <c r="N399" s="156"/>
      <c r="O399" s="156"/>
      <c r="P399" s="156"/>
      <c r="Q399" s="156"/>
      <c r="R399" s="156"/>
      <c r="S399" s="156"/>
      <c r="T399" s="156"/>
      <c r="U399" s="156"/>
      <c r="V399" s="156"/>
      <c r="W399" s="156"/>
      <c r="X399" s="156"/>
      <c r="Y399" s="156"/>
      <c r="Z399" s="156"/>
    </row>
    <row r="400">
      <c r="A400" s="156"/>
      <c r="B400" s="156"/>
      <c r="C400" s="156"/>
      <c r="D400" s="156"/>
      <c r="E400" s="156"/>
      <c r="F400" s="156"/>
      <c r="G400" s="156"/>
      <c r="H400" s="156"/>
      <c r="I400" s="156"/>
      <c r="J400" s="156"/>
      <c r="K400" s="156"/>
      <c r="L400" s="156"/>
      <c r="M400" s="156"/>
      <c r="N400" s="156"/>
      <c r="O400" s="156"/>
      <c r="P400" s="156"/>
      <c r="Q400" s="156"/>
      <c r="R400" s="156"/>
      <c r="S400" s="156"/>
      <c r="T400" s="156"/>
      <c r="U400" s="156"/>
      <c r="V400" s="156"/>
      <c r="W400" s="156"/>
      <c r="X400" s="156"/>
      <c r="Y400" s="156"/>
      <c r="Z400" s="156"/>
    </row>
    <row r="401">
      <c r="A401" s="156"/>
      <c r="B401" s="156"/>
      <c r="C401" s="156"/>
      <c r="D401" s="156"/>
      <c r="E401" s="156"/>
      <c r="F401" s="156"/>
      <c r="G401" s="156"/>
      <c r="H401" s="156"/>
      <c r="I401" s="156"/>
      <c r="J401" s="156"/>
      <c r="K401" s="156"/>
      <c r="L401" s="156"/>
      <c r="M401" s="156"/>
      <c r="N401" s="156"/>
      <c r="O401" s="156"/>
      <c r="P401" s="156"/>
      <c r="Q401" s="156"/>
      <c r="R401" s="156"/>
      <c r="S401" s="156"/>
      <c r="T401" s="156"/>
      <c r="U401" s="156"/>
      <c r="V401" s="156"/>
      <c r="W401" s="156"/>
      <c r="X401" s="156"/>
      <c r="Y401" s="156"/>
      <c r="Z401" s="156"/>
    </row>
    <row r="402">
      <c r="A402" s="156"/>
      <c r="B402" s="156"/>
      <c r="C402" s="156"/>
      <c r="D402" s="156"/>
      <c r="E402" s="156"/>
      <c r="F402" s="156"/>
      <c r="G402" s="156"/>
      <c r="H402" s="156"/>
      <c r="I402" s="156"/>
      <c r="J402" s="156"/>
      <c r="K402" s="156"/>
      <c r="L402" s="156"/>
      <c r="M402" s="156"/>
      <c r="N402" s="156"/>
      <c r="O402" s="156"/>
      <c r="P402" s="156"/>
      <c r="Q402" s="156"/>
      <c r="R402" s="156"/>
      <c r="S402" s="156"/>
      <c r="T402" s="156"/>
      <c r="U402" s="156"/>
      <c r="V402" s="156"/>
      <c r="W402" s="156"/>
      <c r="X402" s="156"/>
      <c r="Y402" s="156"/>
      <c r="Z402" s="156"/>
    </row>
    <row r="403">
      <c r="A403" s="156"/>
      <c r="B403" s="156"/>
      <c r="C403" s="156"/>
      <c r="D403" s="156"/>
      <c r="E403" s="156"/>
      <c r="F403" s="156"/>
      <c r="G403" s="156"/>
      <c r="H403" s="156"/>
      <c r="I403" s="156"/>
      <c r="J403" s="156"/>
      <c r="K403" s="156"/>
      <c r="L403" s="156"/>
      <c r="M403" s="156"/>
      <c r="N403" s="156"/>
      <c r="O403" s="156"/>
      <c r="P403" s="156"/>
      <c r="Q403" s="156"/>
      <c r="R403" s="156"/>
      <c r="S403" s="156"/>
      <c r="T403" s="156"/>
      <c r="U403" s="156"/>
      <c r="V403" s="156"/>
      <c r="W403" s="156"/>
      <c r="X403" s="156"/>
      <c r="Y403" s="156"/>
      <c r="Z403" s="156"/>
    </row>
    <row r="404">
      <c r="A404" s="156"/>
      <c r="B404" s="156"/>
      <c r="C404" s="156"/>
      <c r="D404" s="156"/>
      <c r="E404" s="156"/>
      <c r="F404" s="156"/>
      <c r="G404" s="156"/>
      <c r="H404" s="156"/>
      <c r="I404" s="156"/>
      <c r="J404" s="156"/>
      <c r="K404" s="156"/>
      <c r="L404" s="156"/>
      <c r="M404" s="156"/>
      <c r="N404" s="156"/>
      <c r="O404" s="156"/>
      <c r="P404" s="156"/>
      <c r="Q404" s="156"/>
      <c r="R404" s="156"/>
      <c r="S404" s="156"/>
      <c r="T404" s="156"/>
      <c r="U404" s="156"/>
      <c r="V404" s="156"/>
      <c r="W404" s="156"/>
      <c r="X404" s="156"/>
      <c r="Y404" s="156"/>
      <c r="Z404" s="156"/>
    </row>
    <row r="405">
      <c r="A405" s="156"/>
      <c r="B405" s="156"/>
      <c r="C405" s="156"/>
      <c r="D405" s="156"/>
      <c r="E405" s="156"/>
      <c r="F405" s="156"/>
      <c r="G405" s="156"/>
      <c r="H405" s="156"/>
      <c r="I405" s="156"/>
      <c r="J405" s="156"/>
      <c r="K405" s="156"/>
      <c r="L405" s="156"/>
      <c r="M405" s="156"/>
      <c r="N405" s="156"/>
      <c r="O405" s="156"/>
      <c r="P405" s="156"/>
      <c r="Q405" s="156"/>
      <c r="R405" s="156"/>
      <c r="S405" s="156"/>
      <c r="T405" s="156"/>
      <c r="U405" s="156"/>
      <c r="V405" s="156"/>
      <c r="W405" s="156"/>
      <c r="X405" s="156"/>
      <c r="Y405" s="156"/>
      <c r="Z405" s="156"/>
    </row>
    <row r="406">
      <c r="A406" s="156"/>
      <c r="B406" s="156"/>
      <c r="C406" s="156"/>
      <c r="D406" s="156"/>
      <c r="E406" s="156"/>
      <c r="F406" s="156"/>
      <c r="G406" s="156"/>
      <c r="H406" s="156"/>
      <c r="I406" s="156"/>
      <c r="J406" s="156"/>
      <c r="K406" s="156"/>
      <c r="L406" s="156"/>
      <c r="M406" s="156"/>
      <c r="N406" s="156"/>
      <c r="O406" s="156"/>
      <c r="P406" s="156"/>
      <c r="Q406" s="156"/>
      <c r="R406" s="156"/>
      <c r="S406" s="156"/>
      <c r="T406" s="156"/>
      <c r="U406" s="156"/>
      <c r="V406" s="156"/>
      <c r="W406" s="156"/>
      <c r="X406" s="156"/>
      <c r="Y406" s="156"/>
      <c r="Z406" s="156"/>
    </row>
    <row r="407">
      <c r="A407" s="156"/>
      <c r="B407" s="156"/>
      <c r="C407" s="156"/>
      <c r="D407" s="156"/>
      <c r="E407" s="156"/>
      <c r="F407" s="156"/>
      <c r="G407" s="156"/>
      <c r="H407" s="156"/>
      <c r="I407" s="156"/>
      <c r="J407" s="156"/>
      <c r="K407" s="156"/>
      <c r="L407" s="156"/>
      <c r="M407" s="156"/>
      <c r="N407" s="156"/>
      <c r="O407" s="156"/>
      <c r="P407" s="156"/>
      <c r="Q407" s="156"/>
      <c r="R407" s="156"/>
      <c r="S407" s="156"/>
      <c r="T407" s="156"/>
      <c r="U407" s="156"/>
      <c r="V407" s="156"/>
      <c r="W407" s="156"/>
      <c r="X407" s="156"/>
      <c r="Y407" s="156"/>
      <c r="Z407" s="156"/>
    </row>
    <row r="408">
      <c r="A408" s="156"/>
      <c r="B408" s="156"/>
      <c r="C408" s="156"/>
      <c r="D408" s="156"/>
      <c r="E408" s="156"/>
      <c r="F408" s="156"/>
      <c r="G408" s="156"/>
      <c r="H408" s="156"/>
      <c r="I408" s="156"/>
      <c r="J408" s="156"/>
      <c r="K408" s="156"/>
      <c r="L408" s="156"/>
      <c r="M408" s="156"/>
      <c r="N408" s="156"/>
      <c r="O408" s="156"/>
      <c r="P408" s="156"/>
      <c r="Q408" s="156"/>
      <c r="R408" s="156"/>
      <c r="S408" s="156"/>
      <c r="T408" s="156"/>
      <c r="U408" s="156"/>
      <c r="V408" s="156"/>
      <c r="W408" s="156"/>
      <c r="X408" s="156"/>
      <c r="Y408" s="156"/>
      <c r="Z408" s="156"/>
    </row>
    <row r="409">
      <c r="A409" s="156"/>
      <c r="B409" s="156"/>
      <c r="C409" s="156"/>
      <c r="D409" s="156"/>
      <c r="E409" s="156"/>
      <c r="F409" s="156"/>
      <c r="G409" s="156"/>
      <c r="H409" s="156"/>
      <c r="I409" s="156"/>
      <c r="J409" s="156"/>
      <c r="K409" s="156"/>
      <c r="L409" s="156"/>
      <c r="M409" s="156"/>
      <c r="N409" s="156"/>
      <c r="O409" s="156"/>
      <c r="P409" s="156"/>
      <c r="Q409" s="156"/>
      <c r="R409" s="156"/>
      <c r="S409" s="156"/>
      <c r="T409" s="156"/>
      <c r="U409" s="156"/>
      <c r="V409" s="156"/>
      <c r="W409" s="156"/>
      <c r="X409" s="156"/>
      <c r="Y409" s="156"/>
      <c r="Z409" s="156"/>
    </row>
    <row r="410">
      <c r="A410" s="156"/>
      <c r="B410" s="156"/>
      <c r="C410" s="156"/>
      <c r="D410" s="156"/>
      <c r="E410" s="156"/>
      <c r="F410" s="156"/>
      <c r="G410" s="156"/>
      <c r="H410" s="156"/>
      <c r="I410" s="156"/>
      <c r="J410" s="156"/>
      <c r="K410" s="156"/>
      <c r="L410" s="156"/>
      <c r="M410" s="156"/>
      <c r="N410" s="156"/>
      <c r="O410" s="156"/>
      <c r="P410" s="156"/>
      <c r="Q410" s="156"/>
      <c r="R410" s="156"/>
      <c r="S410" s="156"/>
      <c r="T410" s="156"/>
      <c r="U410" s="156"/>
      <c r="V410" s="156"/>
      <c r="W410" s="156"/>
      <c r="X410" s="156"/>
      <c r="Y410" s="156"/>
      <c r="Z410" s="156"/>
    </row>
    <row r="411">
      <c r="A411" s="156"/>
      <c r="B411" s="156"/>
      <c r="C411" s="156"/>
      <c r="D411" s="156"/>
      <c r="E411" s="156"/>
      <c r="F411" s="156"/>
      <c r="G411" s="156"/>
      <c r="H411" s="156"/>
      <c r="I411" s="156"/>
      <c r="J411" s="156"/>
      <c r="K411" s="156"/>
      <c r="L411" s="156"/>
      <c r="M411" s="156"/>
      <c r="N411" s="156"/>
      <c r="O411" s="156"/>
      <c r="P411" s="156"/>
      <c r="Q411" s="156"/>
      <c r="R411" s="156"/>
      <c r="S411" s="156"/>
      <c r="T411" s="156"/>
      <c r="U411" s="156"/>
      <c r="V411" s="156"/>
      <c r="W411" s="156"/>
      <c r="X411" s="156"/>
      <c r="Y411" s="156"/>
      <c r="Z411" s="156"/>
    </row>
    <row r="412">
      <c r="A412" s="156"/>
      <c r="B412" s="156"/>
      <c r="C412" s="156"/>
      <c r="D412" s="156"/>
      <c r="E412" s="156"/>
      <c r="F412" s="156"/>
      <c r="G412" s="156"/>
      <c r="H412" s="156"/>
      <c r="I412" s="156"/>
      <c r="J412" s="156"/>
      <c r="K412" s="156"/>
      <c r="L412" s="156"/>
      <c r="M412" s="156"/>
      <c r="N412" s="156"/>
      <c r="O412" s="156"/>
      <c r="P412" s="156"/>
      <c r="Q412" s="156"/>
      <c r="R412" s="156"/>
      <c r="S412" s="156"/>
      <c r="T412" s="156"/>
      <c r="U412" s="156"/>
      <c r="V412" s="156"/>
      <c r="W412" s="156"/>
      <c r="X412" s="156"/>
      <c r="Y412" s="156"/>
      <c r="Z412" s="156"/>
    </row>
    <row r="413">
      <c r="A413" s="156"/>
      <c r="B413" s="156"/>
      <c r="C413" s="156"/>
      <c r="D413" s="156"/>
      <c r="E413" s="156"/>
      <c r="F413" s="156"/>
      <c r="G413" s="156"/>
      <c r="H413" s="156"/>
      <c r="I413" s="156"/>
      <c r="J413" s="156"/>
      <c r="K413" s="156"/>
      <c r="L413" s="156"/>
      <c r="M413" s="156"/>
      <c r="N413" s="156"/>
      <c r="O413" s="156"/>
      <c r="P413" s="156"/>
      <c r="Q413" s="156"/>
      <c r="R413" s="156"/>
      <c r="S413" s="156"/>
      <c r="T413" s="156"/>
      <c r="U413" s="156"/>
      <c r="V413" s="156"/>
      <c r="W413" s="156"/>
      <c r="X413" s="156"/>
      <c r="Y413" s="156"/>
      <c r="Z413" s="156"/>
    </row>
    <row r="414">
      <c r="A414" s="156"/>
      <c r="B414" s="156"/>
      <c r="C414" s="156"/>
      <c r="D414" s="156"/>
      <c r="E414" s="156"/>
      <c r="F414" s="156"/>
      <c r="G414" s="156"/>
      <c r="H414" s="156"/>
      <c r="I414" s="156"/>
      <c r="J414" s="156"/>
      <c r="K414" s="156"/>
      <c r="L414" s="156"/>
      <c r="M414" s="156"/>
      <c r="N414" s="156"/>
      <c r="O414" s="156"/>
      <c r="P414" s="156"/>
      <c r="Q414" s="156"/>
      <c r="R414" s="156"/>
      <c r="S414" s="156"/>
      <c r="T414" s="156"/>
      <c r="U414" s="156"/>
      <c r="V414" s="156"/>
      <c r="W414" s="156"/>
      <c r="X414" s="156"/>
      <c r="Y414" s="156"/>
      <c r="Z414" s="156"/>
    </row>
    <row r="415">
      <c r="A415" s="156"/>
      <c r="B415" s="156"/>
      <c r="C415" s="156"/>
      <c r="D415" s="156"/>
      <c r="E415" s="156"/>
      <c r="F415" s="156"/>
      <c r="G415" s="156"/>
      <c r="H415" s="156"/>
      <c r="I415" s="156"/>
      <c r="J415" s="156"/>
      <c r="K415" s="156"/>
      <c r="L415" s="156"/>
      <c r="M415" s="156"/>
      <c r="N415" s="156"/>
      <c r="O415" s="156"/>
      <c r="P415" s="156"/>
      <c r="Q415" s="156"/>
      <c r="R415" s="156"/>
      <c r="S415" s="156"/>
      <c r="T415" s="156"/>
      <c r="U415" s="156"/>
      <c r="V415" s="156"/>
      <c r="W415" s="156"/>
      <c r="X415" s="156"/>
      <c r="Y415" s="156"/>
      <c r="Z415" s="156"/>
    </row>
    <row r="416">
      <c r="A416" s="156"/>
      <c r="B416" s="156"/>
      <c r="C416" s="156"/>
      <c r="D416" s="156"/>
      <c r="E416" s="156"/>
      <c r="F416" s="156"/>
      <c r="G416" s="156"/>
      <c r="H416" s="156"/>
      <c r="I416" s="156"/>
      <c r="J416" s="156"/>
      <c r="K416" s="156"/>
      <c r="L416" s="156"/>
      <c r="M416" s="156"/>
      <c r="N416" s="156"/>
      <c r="O416" s="156"/>
      <c r="P416" s="156"/>
      <c r="Q416" s="156"/>
      <c r="R416" s="156"/>
      <c r="S416" s="156"/>
      <c r="T416" s="156"/>
      <c r="U416" s="156"/>
      <c r="V416" s="156"/>
      <c r="W416" s="156"/>
      <c r="X416" s="156"/>
      <c r="Y416" s="156"/>
      <c r="Z416" s="156"/>
    </row>
    <row r="417">
      <c r="A417" s="156"/>
      <c r="B417" s="156"/>
      <c r="C417" s="156"/>
      <c r="D417" s="156"/>
      <c r="E417" s="156"/>
      <c r="F417" s="156"/>
      <c r="G417" s="156"/>
      <c r="H417" s="156"/>
      <c r="I417" s="156"/>
      <c r="J417" s="156"/>
      <c r="K417" s="156"/>
      <c r="L417" s="156"/>
      <c r="M417" s="156"/>
      <c r="N417" s="156"/>
      <c r="O417" s="156"/>
      <c r="P417" s="156"/>
      <c r="Q417" s="156"/>
      <c r="R417" s="156"/>
      <c r="S417" s="156"/>
      <c r="T417" s="156"/>
      <c r="U417" s="156"/>
      <c r="V417" s="156"/>
      <c r="W417" s="156"/>
      <c r="X417" s="156"/>
      <c r="Y417" s="156"/>
      <c r="Z417" s="156"/>
    </row>
    <row r="418">
      <c r="A418" s="156"/>
      <c r="B418" s="156"/>
      <c r="C418" s="156"/>
      <c r="D418" s="156"/>
      <c r="E418" s="156"/>
      <c r="F418" s="156"/>
      <c r="G418" s="156"/>
      <c r="H418" s="156"/>
      <c r="I418" s="156"/>
      <c r="J418" s="156"/>
      <c r="K418" s="156"/>
      <c r="L418" s="156"/>
      <c r="M418" s="156"/>
      <c r="N418" s="156"/>
      <c r="O418" s="156"/>
      <c r="P418" s="156"/>
      <c r="Q418" s="156"/>
      <c r="R418" s="156"/>
      <c r="S418" s="156"/>
      <c r="T418" s="156"/>
      <c r="U418" s="156"/>
      <c r="V418" s="156"/>
      <c r="W418" s="156"/>
      <c r="X418" s="156"/>
      <c r="Y418" s="156"/>
      <c r="Z418" s="156"/>
    </row>
    <row r="419">
      <c r="A419" s="156"/>
      <c r="B419" s="156"/>
      <c r="C419" s="156"/>
      <c r="D419" s="156"/>
      <c r="E419" s="156"/>
      <c r="F419" s="156"/>
      <c r="G419" s="156"/>
      <c r="H419" s="156"/>
      <c r="I419" s="156"/>
      <c r="J419" s="156"/>
      <c r="K419" s="156"/>
      <c r="L419" s="156"/>
      <c r="M419" s="156"/>
      <c r="N419" s="156"/>
      <c r="O419" s="156"/>
      <c r="P419" s="156"/>
      <c r="Q419" s="156"/>
      <c r="R419" s="156"/>
      <c r="S419" s="156"/>
      <c r="T419" s="156"/>
      <c r="U419" s="156"/>
      <c r="V419" s="156"/>
      <c r="W419" s="156"/>
      <c r="X419" s="156"/>
      <c r="Y419" s="156"/>
      <c r="Z419" s="156"/>
    </row>
    <row r="420">
      <c r="A420" s="156"/>
      <c r="B420" s="156"/>
      <c r="C420" s="156"/>
      <c r="D420" s="156"/>
      <c r="E420" s="156"/>
      <c r="F420" s="156"/>
      <c r="G420" s="156"/>
      <c r="H420" s="156"/>
      <c r="I420" s="156"/>
      <c r="J420" s="156"/>
      <c r="K420" s="156"/>
      <c r="L420" s="156"/>
      <c r="M420" s="156"/>
      <c r="N420" s="156"/>
      <c r="O420" s="156"/>
      <c r="P420" s="156"/>
      <c r="Q420" s="156"/>
      <c r="R420" s="156"/>
      <c r="S420" s="156"/>
      <c r="T420" s="156"/>
      <c r="U420" s="156"/>
      <c r="V420" s="156"/>
      <c r="W420" s="156"/>
      <c r="X420" s="156"/>
      <c r="Y420" s="156"/>
      <c r="Z420" s="156"/>
    </row>
    <row r="421">
      <c r="A421" s="156"/>
      <c r="B421" s="156"/>
      <c r="C421" s="156"/>
      <c r="D421" s="156"/>
      <c r="E421" s="156"/>
      <c r="F421" s="156"/>
      <c r="G421" s="156"/>
      <c r="H421" s="156"/>
      <c r="I421" s="156"/>
      <c r="J421" s="156"/>
      <c r="K421" s="156"/>
      <c r="L421" s="156"/>
      <c r="M421" s="156"/>
      <c r="N421" s="156"/>
      <c r="O421" s="156"/>
      <c r="P421" s="156"/>
      <c r="Q421" s="156"/>
      <c r="R421" s="156"/>
      <c r="S421" s="156"/>
      <c r="T421" s="156"/>
      <c r="U421" s="156"/>
      <c r="V421" s="156"/>
      <c r="W421" s="156"/>
      <c r="X421" s="156"/>
      <c r="Y421" s="156"/>
      <c r="Z421" s="156"/>
    </row>
    <row r="422">
      <c r="A422" s="156"/>
      <c r="B422" s="156"/>
      <c r="C422" s="156"/>
      <c r="D422" s="156"/>
      <c r="E422" s="156"/>
      <c r="F422" s="156"/>
      <c r="G422" s="156"/>
      <c r="H422" s="156"/>
      <c r="I422" s="156"/>
      <c r="J422" s="156"/>
      <c r="K422" s="156"/>
      <c r="L422" s="156"/>
      <c r="M422" s="156"/>
      <c r="N422" s="156"/>
      <c r="O422" s="156"/>
      <c r="P422" s="156"/>
      <c r="Q422" s="156"/>
      <c r="R422" s="156"/>
      <c r="S422" s="156"/>
      <c r="T422" s="156"/>
      <c r="U422" s="156"/>
      <c r="V422" s="156"/>
      <c r="W422" s="156"/>
      <c r="X422" s="156"/>
      <c r="Y422" s="156"/>
      <c r="Z422" s="156"/>
    </row>
    <row r="423">
      <c r="A423" s="156"/>
      <c r="B423" s="156"/>
      <c r="C423" s="156"/>
      <c r="D423" s="156"/>
      <c r="E423" s="156"/>
      <c r="F423" s="156"/>
      <c r="G423" s="156"/>
      <c r="H423" s="156"/>
      <c r="I423" s="156"/>
      <c r="J423" s="156"/>
      <c r="K423" s="156"/>
      <c r="L423" s="156"/>
      <c r="M423" s="156"/>
      <c r="N423" s="156"/>
      <c r="O423" s="156"/>
      <c r="P423" s="156"/>
      <c r="Q423" s="156"/>
      <c r="R423" s="156"/>
      <c r="S423" s="156"/>
      <c r="T423" s="156"/>
      <c r="U423" s="156"/>
      <c r="V423" s="156"/>
      <c r="W423" s="156"/>
      <c r="X423" s="156"/>
      <c r="Y423" s="156"/>
      <c r="Z423" s="156"/>
    </row>
    <row r="424">
      <c r="A424" s="156"/>
      <c r="B424" s="156"/>
      <c r="C424" s="156"/>
      <c r="D424" s="156"/>
      <c r="E424" s="156"/>
      <c r="F424" s="156"/>
      <c r="G424" s="156"/>
      <c r="H424" s="156"/>
      <c r="I424" s="156"/>
      <c r="J424" s="156"/>
      <c r="K424" s="156"/>
      <c r="L424" s="156"/>
      <c r="M424" s="156"/>
      <c r="N424" s="156"/>
      <c r="O424" s="156"/>
      <c r="P424" s="156"/>
      <c r="Q424" s="156"/>
      <c r="R424" s="156"/>
      <c r="S424" s="156"/>
      <c r="T424" s="156"/>
      <c r="U424" s="156"/>
      <c r="V424" s="156"/>
      <c r="W424" s="156"/>
      <c r="X424" s="156"/>
      <c r="Y424" s="156"/>
      <c r="Z424" s="156"/>
    </row>
    <row r="425">
      <c r="A425" s="156"/>
      <c r="B425" s="156"/>
      <c r="C425" s="156"/>
      <c r="D425" s="156"/>
      <c r="E425" s="156"/>
      <c r="F425" s="156"/>
      <c r="G425" s="156"/>
      <c r="H425" s="156"/>
      <c r="I425" s="156"/>
      <c r="J425" s="156"/>
      <c r="K425" s="156"/>
      <c r="L425" s="156"/>
      <c r="M425" s="156"/>
      <c r="N425" s="156"/>
      <c r="O425" s="156"/>
      <c r="P425" s="156"/>
      <c r="Q425" s="156"/>
      <c r="R425" s="156"/>
      <c r="S425" s="156"/>
      <c r="T425" s="156"/>
      <c r="U425" s="156"/>
      <c r="V425" s="156"/>
      <c r="W425" s="156"/>
      <c r="X425" s="156"/>
      <c r="Y425" s="156"/>
      <c r="Z425" s="156"/>
    </row>
    <row r="426">
      <c r="A426" s="156"/>
      <c r="B426" s="156"/>
      <c r="C426" s="156"/>
      <c r="D426" s="156"/>
      <c r="E426" s="156"/>
      <c r="F426" s="156"/>
      <c r="G426" s="156"/>
      <c r="H426" s="156"/>
      <c r="I426" s="156"/>
      <c r="J426" s="156"/>
      <c r="K426" s="156"/>
      <c r="L426" s="156"/>
      <c r="M426" s="156"/>
      <c r="N426" s="156"/>
      <c r="O426" s="156"/>
      <c r="P426" s="156"/>
      <c r="Q426" s="156"/>
      <c r="R426" s="156"/>
      <c r="S426" s="156"/>
      <c r="T426" s="156"/>
      <c r="U426" s="156"/>
      <c r="V426" s="156"/>
      <c r="W426" s="156"/>
      <c r="X426" s="156"/>
      <c r="Y426" s="156"/>
      <c r="Z426" s="156"/>
    </row>
    <row r="427">
      <c r="A427" s="156"/>
      <c r="B427" s="156"/>
      <c r="C427" s="156"/>
      <c r="D427" s="156"/>
      <c r="E427" s="156"/>
      <c r="F427" s="156"/>
      <c r="G427" s="156"/>
      <c r="H427" s="156"/>
      <c r="I427" s="156"/>
      <c r="J427" s="156"/>
      <c r="K427" s="156"/>
      <c r="L427" s="156"/>
      <c r="M427" s="156"/>
      <c r="N427" s="156"/>
      <c r="O427" s="156"/>
      <c r="P427" s="156"/>
      <c r="Q427" s="156"/>
      <c r="R427" s="156"/>
      <c r="S427" s="156"/>
      <c r="T427" s="156"/>
      <c r="U427" s="156"/>
      <c r="V427" s="156"/>
      <c r="W427" s="156"/>
      <c r="X427" s="156"/>
      <c r="Y427" s="156"/>
      <c r="Z427" s="156"/>
    </row>
    <row r="428">
      <c r="A428" s="156"/>
      <c r="B428" s="156"/>
      <c r="C428" s="156"/>
      <c r="D428" s="156"/>
      <c r="E428" s="156"/>
      <c r="F428" s="156"/>
      <c r="G428" s="156"/>
      <c r="H428" s="156"/>
      <c r="I428" s="156"/>
      <c r="J428" s="156"/>
      <c r="K428" s="156"/>
      <c r="L428" s="156"/>
      <c r="M428" s="156"/>
      <c r="N428" s="156"/>
      <c r="O428" s="156"/>
      <c r="P428" s="156"/>
      <c r="Q428" s="156"/>
      <c r="R428" s="156"/>
      <c r="S428" s="156"/>
      <c r="T428" s="156"/>
      <c r="U428" s="156"/>
      <c r="V428" s="156"/>
      <c r="W428" s="156"/>
      <c r="X428" s="156"/>
      <c r="Y428" s="156"/>
      <c r="Z428" s="156"/>
    </row>
    <row r="429">
      <c r="A429" s="156"/>
      <c r="B429" s="156"/>
      <c r="C429" s="156"/>
      <c r="D429" s="156"/>
      <c r="E429" s="156"/>
      <c r="F429" s="156"/>
      <c r="G429" s="156"/>
      <c r="H429" s="156"/>
      <c r="I429" s="156"/>
      <c r="J429" s="156"/>
      <c r="K429" s="156"/>
      <c r="L429" s="156"/>
      <c r="M429" s="156"/>
      <c r="N429" s="156"/>
      <c r="O429" s="156"/>
      <c r="P429" s="156"/>
      <c r="Q429" s="156"/>
      <c r="R429" s="156"/>
      <c r="S429" s="156"/>
      <c r="T429" s="156"/>
      <c r="U429" s="156"/>
      <c r="V429" s="156"/>
      <c r="W429" s="156"/>
      <c r="X429" s="156"/>
      <c r="Y429" s="156"/>
      <c r="Z429" s="156"/>
    </row>
    <row r="430">
      <c r="A430" s="156"/>
      <c r="B430" s="156"/>
      <c r="C430" s="156"/>
      <c r="D430" s="156"/>
      <c r="E430" s="156"/>
      <c r="F430" s="156"/>
      <c r="G430" s="156"/>
      <c r="H430" s="156"/>
      <c r="I430" s="156"/>
      <c r="J430" s="156"/>
      <c r="K430" s="156"/>
      <c r="L430" s="156"/>
      <c r="M430" s="156"/>
      <c r="N430" s="156"/>
      <c r="O430" s="156"/>
      <c r="P430" s="156"/>
      <c r="Q430" s="156"/>
      <c r="R430" s="156"/>
      <c r="S430" s="156"/>
      <c r="T430" s="156"/>
      <c r="U430" s="156"/>
      <c r="V430" s="156"/>
      <c r="W430" s="156"/>
      <c r="X430" s="156"/>
      <c r="Y430" s="156"/>
      <c r="Z430" s="156"/>
    </row>
    <row r="431">
      <c r="A431" s="156"/>
      <c r="B431" s="156"/>
      <c r="C431" s="156"/>
      <c r="D431" s="156"/>
      <c r="E431" s="156"/>
      <c r="F431" s="156"/>
      <c r="G431" s="156"/>
      <c r="H431" s="156"/>
      <c r="I431" s="156"/>
      <c r="J431" s="156"/>
      <c r="K431" s="156"/>
      <c r="L431" s="156"/>
      <c r="M431" s="156"/>
      <c r="N431" s="156"/>
      <c r="O431" s="156"/>
      <c r="P431" s="156"/>
      <c r="Q431" s="156"/>
      <c r="R431" s="156"/>
      <c r="S431" s="156"/>
      <c r="T431" s="156"/>
      <c r="U431" s="156"/>
      <c r="V431" s="156"/>
      <c r="W431" s="156"/>
      <c r="X431" s="156"/>
      <c r="Y431" s="156"/>
      <c r="Z431" s="156"/>
    </row>
    <row r="432">
      <c r="A432" s="156"/>
      <c r="B432" s="156"/>
      <c r="C432" s="156"/>
      <c r="D432" s="156"/>
      <c r="E432" s="156"/>
      <c r="F432" s="156"/>
      <c r="G432" s="156"/>
      <c r="H432" s="156"/>
      <c r="I432" s="156"/>
      <c r="J432" s="156"/>
      <c r="K432" s="156"/>
      <c r="L432" s="156"/>
      <c r="M432" s="156"/>
      <c r="N432" s="156"/>
      <c r="O432" s="156"/>
      <c r="P432" s="156"/>
      <c r="Q432" s="156"/>
      <c r="R432" s="156"/>
      <c r="S432" s="156"/>
      <c r="T432" s="156"/>
      <c r="U432" s="156"/>
      <c r="V432" s="156"/>
      <c r="W432" s="156"/>
      <c r="X432" s="156"/>
      <c r="Y432" s="156"/>
      <c r="Z432" s="156"/>
    </row>
    <row r="433">
      <c r="A433" s="156"/>
      <c r="B433" s="156"/>
      <c r="C433" s="156"/>
      <c r="D433" s="156"/>
      <c r="E433" s="156"/>
      <c r="F433" s="156"/>
      <c r="G433" s="156"/>
      <c r="H433" s="156"/>
      <c r="I433" s="156"/>
      <c r="J433" s="156"/>
      <c r="K433" s="156"/>
      <c r="L433" s="156"/>
      <c r="M433" s="156"/>
      <c r="N433" s="156"/>
      <c r="O433" s="156"/>
      <c r="P433" s="156"/>
      <c r="Q433" s="156"/>
      <c r="R433" s="156"/>
      <c r="S433" s="156"/>
      <c r="T433" s="156"/>
      <c r="U433" s="156"/>
      <c r="V433" s="156"/>
      <c r="W433" s="156"/>
      <c r="X433" s="156"/>
      <c r="Y433" s="156"/>
      <c r="Z433" s="156"/>
    </row>
    <row r="434">
      <c r="A434" s="156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</row>
    <row r="435">
      <c r="A435" s="156"/>
      <c r="B435" s="156"/>
      <c r="C435" s="156"/>
      <c r="D435" s="156"/>
      <c r="E435" s="156"/>
      <c r="F435" s="156"/>
      <c r="G435" s="156"/>
      <c r="H435" s="156"/>
      <c r="I435" s="156"/>
      <c r="J435" s="156"/>
      <c r="K435" s="156"/>
      <c r="L435" s="156"/>
      <c r="M435" s="156"/>
      <c r="N435" s="156"/>
      <c r="O435" s="156"/>
      <c r="P435" s="156"/>
      <c r="Q435" s="156"/>
      <c r="R435" s="156"/>
      <c r="S435" s="156"/>
      <c r="T435" s="156"/>
      <c r="U435" s="156"/>
      <c r="V435" s="156"/>
      <c r="W435" s="156"/>
      <c r="X435" s="156"/>
      <c r="Y435" s="156"/>
      <c r="Z435" s="156"/>
    </row>
    <row r="436">
      <c r="A436" s="156"/>
      <c r="B436" s="156"/>
      <c r="C436" s="156"/>
      <c r="D436" s="156"/>
      <c r="E436" s="156"/>
      <c r="F436" s="156"/>
      <c r="G436" s="156"/>
      <c r="H436" s="156"/>
      <c r="I436" s="156"/>
      <c r="J436" s="156"/>
      <c r="K436" s="156"/>
      <c r="L436" s="156"/>
      <c r="M436" s="156"/>
      <c r="N436" s="156"/>
      <c r="O436" s="156"/>
      <c r="P436" s="156"/>
      <c r="Q436" s="156"/>
      <c r="R436" s="156"/>
      <c r="S436" s="156"/>
      <c r="T436" s="156"/>
      <c r="U436" s="156"/>
      <c r="V436" s="156"/>
      <c r="W436" s="156"/>
      <c r="X436" s="156"/>
      <c r="Y436" s="156"/>
      <c r="Z436" s="156"/>
    </row>
    <row r="437">
      <c r="A437" s="156"/>
      <c r="B437" s="156"/>
      <c r="C437" s="156"/>
      <c r="D437" s="156"/>
      <c r="E437" s="156"/>
      <c r="F437" s="156"/>
      <c r="G437" s="156"/>
      <c r="H437" s="156"/>
      <c r="I437" s="156"/>
      <c r="J437" s="156"/>
      <c r="K437" s="156"/>
      <c r="L437" s="156"/>
      <c r="M437" s="156"/>
      <c r="N437" s="156"/>
      <c r="O437" s="156"/>
      <c r="P437" s="156"/>
      <c r="Q437" s="156"/>
      <c r="R437" s="156"/>
      <c r="S437" s="156"/>
      <c r="T437" s="156"/>
      <c r="U437" s="156"/>
      <c r="V437" s="156"/>
      <c r="W437" s="156"/>
      <c r="X437" s="156"/>
      <c r="Y437" s="156"/>
      <c r="Z437" s="156"/>
    </row>
    <row r="438">
      <c r="A438" s="156"/>
      <c r="B438" s="156"/>
      <c r="C438" s="156"/>
      <c r="D438" s="156"/>
      <c r="E438" s="156"/>
      <c r="F438" s="156"/>
      <c r="G438" s="156"/>
      <c r="H438" s="156"/>
      <c r="I438" s="156"/>
      <c r="J438" s="156"/>
      <c r="K438" s="156"/>
      <c r="L438" s="156"/>
      <c r="M438" s="156"/>
      <c r="N438" s="156"/>
      <c r="O438" s="156"/>
      <c r="P438" s="156"/>
      <c r="Q438" s="156"/>
      <c r="R438" s="156"/>
      <c r="S438" s="156"/>
      <c r="T438" s="156"/>
      <c r="U438" s="156"/>
      <c r="V438" s="156"/>
      <c r="W438" s="156"/>
      <c r="X438" s="156"/>
      <c r="Y438" s="156"/>
      <c r="Z438" s="156"/>
    </row>
    <row r="439">
      <c r="A439" s="156"/>
      <c r="B439" s="156"/>
      <c r="C439" s="156"/>
      <c r="D439" s="156"/>
      <c r="E439" s="156"/>
      <c r="F439" s="156"/>
      <c r="G439" s="156"/>
      <c r="H439" s="156"/>
      <c r="I439" s="156"/>
      <c r="J439" s="156"/>
      <c r="K439" s="156"/>
      <c r="L439" s="156"/>
      <c r="M439" s="156"/>
      <c r="N439" s="156"/>
      <c r="O439" s="156"/>
      <c r="P439" s="156"/>
      <c r="Q439" s="156"/>
      <c r="R439" s="156"/>
      <c r="S439" s="156"/>
      <c r="T439" s="156"/>
      <c r="U439" s="156"/>
      <c r="V439" s="156"/>
      <c r="W439" s="156"/>
      <c r="X439" s="156"/>
      <c r="Y439" s="156"/>
      <c r="Z439" s="156"/>
    </row>
    <row r="440">
      <c r="A440" s="156"/>
      <c r="B440" s="156"/>
      <c r="C440" s="156"/>
      <c r="D440" s="156"/>
      <c r="E440" s="156"/>
      <c r="F440" s="156"/>
      <c r="G440" s="156"/>
      <c r="H440" s="156"/>
      <c r="I440" s="156"/>
      <c r="J440" s="156"/>
      <c r="K440" s="156"/>
      <c r="L440" s="156"/>
      <c r="M440" s="156"/>
      <c r="N440" s="156"/>
      <c r="O440" s="156"/>
      <c r="P440" s="156"/>
      <c r="Q440" s="156"/>
      <c r="R440" s="156"/>
      <c r="S440" s="156"/>
      <c r="T440" s="156"/>
      <c r="U440" s="156"/>
      <c r="V440" s="156"/>
      <c r="W440" s="156"/>
      <c r="X440" s="156"/>
      <c r="Y440" s="156"/>
      <c r="Z440" s="156"/>
    </row>
    <row r="441">
      <c r="A441" s="156"/>
      <c r="B441" s="156"/>
      <c r="C441" s="156"/>
      <c r="D441" s="156"/>
      <c r="E441" s="156"/>
      <c r="F441" s="156"/>
      <c r="G441" s="156"/>
      <c r="H441" s="156"/>
      <c r="I441" s="156"/>
      <c r="J441" s="156"/>
      <c r="K441" s="156"/>
      <c r="L441" s="156"/>
      <c r="M441" s="156"/>
      <c r="N441" s="156"/>
      <c r="O441" s="156"/>
      <c r="P441" s="156"/>
      <c r="Q441" s="156"/>
      <c r="R441" s="156"/>
      <c r="S441" s="156"/>
      <c r="T441" s="156"/>
      <c r="U441" s="156"/>
      <c r="V441" s="156"/>
      <c r="W441" s="156"/>
      <c r="X441" s="156"/>
      <c r="Y441" s="156"/>
      <c r="Z441" s="156"/>
    </row>
    <row r="442">
      <c r="A442" s="156"/>
      <c r="B442" s="156"/>
      <c r="C442" s="156"/>
      <c r="D442" s="156"/>
      <c r="E442" s="156"/>
      <c r="F442" s="156"/>
      <c r="G442" s="156"/>
      <c r="H442" s="156"/>
      <c r="I442" s="156"/>
      <c r="J442" s="156"/>
      <c r="K442" s="156"/>
      <c r="L442" s="156"/>
      <c r="M442" s="156"/>
      <c r="N442" s="156"/>
      <c r="O442" s="156"/>
      <c r="P442" s="156"/>
      <c r="Q442" s="156"/>
      <c r="R442" s="156"/>
      <c r="S442" s="156"/>
      <c r="T442" s="156"/>
      <c r="U442" s="156"/>
      <c r="V442" s="156"/>
      <c r="W442" s="156"/>
      <c r="X442" s="156"/>
      <c r="Y442" s="156"/>
      <c r="Z442" s="156"/>
    </row>
    <row r="443">
      <c r="A443" s="156"/>
      <c r="B443" s="156"/>
      <c r="C443" s="156"/>
      <c r="D443" s="156"/>
      <c r="E443" s="156"/>
      <c r="F443" s="156"/>
      <c r="G443" s="156"/>
      <c r="H443" s="156"/>
      <c r="I443" s="156"/>
      <c r="J443" s="156"/>
      <c r="K443" s="156"/>
      <c r="L443" s="156"/>
      <c r="M443" s="156"/>
      <c r="N443" s="156"/>
      <c r="O443" s="156"/>
      <c r="P443" s="156"/>
      <c r="Q443" s="156"/>
      <c r="R443" s="156"/>
      <c r="S443" s="156"/>
      <c r="T443" s="156"/>
      <c r="U443" s="156"/>
      <c r="V443" s="156"/>
      <c r="W443" s="156"/>
      <c r="X443" s="156"/>
      <c r="Y443" s="156"/>
      <c r="Z443" s="156"/>
    </row>
    <row r="444">
      <c r="A444" s="156"/>
      <c r="B444" s="156"/>
      <c r="C444" s="156"/>
      <c r="D444" s="156"/>
      <c r="E444" s="156"/>
      <c r="F444" s="156"/>
      <c r="G444" s="156"/>
      <c r="H444" s="156"/>
      <c r="I444" s="156"/>
      <c r="J444" s="156"/>
      <c r="K444" s="156"/>
      <c r="L444" s="156"/>
      <c r="M444" s="156"/>
      <c r="N444" s="156"/>
      <c r="O444" s="156"/>
      <c r="P444" s="156"/>
      <c r="Q444" s="156"/>
      <c r="R444" s="156"/>
      <c r="S444" s="156"/>
      <c r="T444" s="156"/>
      <c r="U444" s="156"/>
      <c r="V444" s="156"/>
      <c r="W444" s="156"/>
      <c r="X444" s="156"/>
      <c r="Y444" s="156"/>
      <c r="Z444" s="156"/>
    </row>
    <row r="445">
      <c r="A445" s="156"/>
      <c r="B445" s="156"/>
      <c r="C445" s="156"/>
      <c r="D445" s="156"/>
      <c r="E445" s="156"/>
      <c r="F445" s="156"/>
      <c r="G445" s="156"/>
      <c r="H445" s="156"/>
      <c r="I445" s="156"/>
      <c r="J445" s="156"/>
      <c r="K445" s="156"/>
      <c r="L445" s="156"/>
      <c r="M445" s="156"/>
      <c r="N445" s="156"/>
      <c r="O445" s="156"/>
      <c r="P445" s="156"/>
      <c r="Q445" s="156"/>
      <c r="R445" s="156"/>
      <c r="S445" s="156"/>
      <c r="T445" s="156"/>
      <c r="U445" s="156"/>
      <c r="V445" s="156"/>
      <c r="W445" s="156"/>
      <c r="X445" s="156"/>
      <c r="Y445" s="156"/>
      <c r="Z445" s="156"/>
    </row>
    <row r="446">
      <c r="A446" s="156"/>
      <c r="B446" s="156"/>
      <c r="C446" s="156"/>
      <c r="D446" s="156"/>
      <c r="E446" s="156"/>
      <c r="F446" s="156"/>
      <c r="G446" s="156"/>
      <c r="H446" s="156"/>
      <c r="I446" s="156"/>
      <c r="J446" s="156"/>
      <c r="K446" s="156"/>
      <c r="L446" s="156"/>
      <c r="M446" s="156"/>
      <c r="N446" s="156"/>
      <c r="O446" s="156"/>
      <c r="P446" s="156"/>
      <c r="Q446" s="156"/>
      <c r="R446" s="156"/>
      <c r="S446" s="156"/>
      <c r="T446" s="156"/>
      <c r="U446" s="156"/>
      <c r="V446" s="156"/>
      <c r="W446" s="156"/>
      <c r="X446" s="156"/>
      <c r="Y446" s="156"/>
      <c r="Z446" s="156"/>
    </row>
    <row r="447">
      <c r="A447" s="156"/>
      <c r="B447" s="156"/>
      <c r="C447" s="156"/>
      <c r="D447" s="156"/>
      <c r="E447" s="156"/>
      <c r="F447" s="156"/>
      <c r="G447" s="156"/>
      <c r="H447" s="156"/>
      <c r="I447" s="156"/>
      <c r="J447" s="156"/>
      <c r="K447" s="156"/>
      <c r="L447" s="156"/>
      <c r="M447" s="156"/>
      <c r="N447" s="156"/>
      <c r="O447" s="156"/>
      <c r="P447" s="156"/>
      <c r="Q447" s="156"/>
      <c r="R447" s="156"/>
      <c r="S447" s="156"/>
      <c r="T447" s="156"/>
      <c r="U447" s="156"/>
      <c r="V447" s="156"/>
      <c r="W447" s="156"/>
      <c r="X447" s="156"/>
      <c r="Y447" s="156"/>
      <c r="Z447" s="156"/>
    </row>
    <row r="448">
      <c r="A448" s="156"/>
      <c r="B448" s="156"/>
      <c r="C448" s="156"/>
      <c r="D448" s="156"/>
      <c r="E448" s="156"/>
      <c r="F448" s="156"/>
      <c r="G448" s="156"/>
      <c r="H448" s="156"/>
      <c r="I448" s="156"/>
      <c r="J448" s="156"/>
      <c r="K448" s="156"/>
      <c r="L448" s="156"/>
      <c r="M448" s="156"/>
      <c r="N448" s="156"/>
      <c r="O448" s="156"/>
      <c r="P448" s="156"/>
      <c r="Q448" s="156"/>
      <c r="R448" s="156"/>
      <c r="S448" s="156"/>
      <c r="T448" s="156"/>
      <c r="U448" s="156"/>
      <c r="V448" s="156"/>
      <c r="W448" s="156"/>
      <c r="X448" s="156"/>
      <c r="Y448" s="156"/>
      <c r="Z448" s="156"/>
    </row>
    <row r="449">
      <c r="A449" s="156"/>
      <c r="B449" s="156"/>
      <c r="C449" s="156"/>
      <c r="D449" s="156"/>
      <c r="E449" s="156"/>
      <c r="F449" s="156"/>
      <c r="G449" s="156"/>
      <c r="H449" s="156"/>
      <c r="I449" s="156"/>
      <c r="J449" s="156"/>
      <c r="K449" s="156"/>
      <c r="L449" s="156"/>
      <c r="M449" s="156"/>
      <c r="N449" s="156"/>
      <c r="O449" s="156"/>
      <c r="P449" s="156"/>
      <c r="Q449" s="156"/>
      <c r="R449" s="156"/>
      <c r="S449" s="156"/>
      <c r="T449" s="156"/>
      <c r="U449" s="156"/>
      <c r="V449" s="156"/>
      <c r="W449" s="156"/>
      <c r="X449" s="156"/>
      <c r="Y449" s="156"/>
      <c r="Z449" s="156"/>
    </row>
    <row r="450">
      <c r="A450" s="156"/>
      <c r="B450" s="156"/>
      <c r="C450" s="156"/>
      <c r="D450" s="156"/>
      <c r="E450" s="156"/>
      <c r="F450" s="156"/>
      <c r="G450" s="156"/>
      <c r="H450" s="156"/>
      <c r="I450" s="156"/>
      <c r="J450" s="156"/>
      <c r="K450" s="156"/>
      <c r="L450" s="156"/>
      <c r="M450" s="156"/>
      <c r="N450" s="156"/>
      <c r="O450" s="156"/>
      <c r="P450" s="156"/>
      <c r="Q450" s="156"/>
      <c r="R450" s="156"/>
      <c r="S450" s="156"/>
      <c r="T450" s="156"/>
      <c r="U450" s="156"/>
      <c r="V450" s="156"/>
      <c r="W450" s="156"/>
      <c r="X450" s="156"/>
      <c r="Y450" s="156"/>
      <c r="Z450" s="156"/>
    </row>
    <row r="451">
      <c r="A451" s="156"/>
      <c r="B451" s="156"/>
      <c r="C451" s="156"/>
      <c r="D451" s="156"/>
      <c r="E451" s="156"/>
      <c r="F451" s="156"/>
      <c r="G451" s="156"/>
      <c r="H451" s="156"/>
      <c r="I451" s="156"/>
      <c r="J451" s="156"/>
      <c r="K451" s="156"/>
      <c r="L451" s="156"/>
      <c r="M451" s="156"/>
      <c r="N451" s="156"/>
      <c r="O451" s="156"/>
      <c r="P451" s="156"/>
      <c r="Q451" s="156"/>
      <c r="R451" s="156"/>
      <c r="S451" s="156"/>
      <c r="T451" s="156"/>
      <c r="U451" s="156"/>
      <c r="V451" s="156"/>
      <c r="W451" s="156"/>
      <c r="X451" s="156"/>
      <c r="Y451" s="156"/>
      <c r="Z451" s="156"/>
    </row>
    <row r="452">
      <c r="A452" s="156"/>
      <c r="B452" s="156"/>
      <c r="C452" s="156"/>
      <c r="D452" s="156"/>
      <c r="E452" s="156"/>
      <c r="F452" s="156"/>
      <c r="G452" s="156"/>
      <c r="H452" s="156"/>
      <c r="I452" s="156"/>
      <c r="J452" s="156"/>
      <c r="K452" s="156"/>
      <c r="L452" s="156"/>
      <c r="M452" s="156"/>
      <c r="N452" s="156"/>
      <c r="O452" s="156"/>
      <c r="P452" s="156"/>
      <c r="Q452" s="156"/>
      <c r="R452" s="156"/>
      <c r="S452" s="156"/>
      <c r="T452" s="156"/>
      <c r="U452" s="156"/>
      <c r="V452" s="156"/>
      <c r="W452" s="156"/>
      <c r="X452" s="156"/>
      <c r="Y452" s="156"/>
      <c r="Z452" s="156"/>
    </row>
    <row r="453">
      <c r="A453" s="156"/>
      <c r="B453" s="156"/>
      <c r="C453" s="156"/>
      <c r="D453" s="156"/>
      <c r="E453" s="156"/>
      <c r="F453" s="156"/>
      <c r="G453" s="156"/>
      <c r="H453" s="156"/>
      <c r="I453" s="156"/>
      <c r="J453" s="156"/>
      <c r="K453" s="156"/>
      <c r="L453" s="156"/>
      <c r="M453" s="156"/>
      <c r="N453" s="156"/>
      <c r="O453" s="156"/>
      <c r="P453" s="156"/>
      <c r="Q453" s="156"/>
      <c r="R453" s="156"/>
      <c r="S453" s="156"/>
      <c r="T453" s="156"/>
      <c r="U453" s="156"/>
      <c r="V453" s="156"/>
      <c r="W453" s="156"/>
      <c r="X453" s="156"/>
      <c r="Y453" s="156"/>
      <c r="Z453" s="156"/>
    </row>
    <row r="454">
      <c r="A454" s="156"/>
      <c r="B454" s="156"/>
      <c r="C454" s="156"/>
      <c r="D454" s="156"/>
      <c r="E454" s="156"/>
      <c r="F454" s="156"/>
      <c r="G454" s="156"/>
      <c r="H454" s="156"/>
      <c r="I454" s="156"/>
      <c r="J454" s="156"/>
      <c r="K454" s="156"/>
      <c r="L454" s="156"/>
      <c r="M454" s="156"/>
      <c r="N454" s="156"/>
      <c r="O454" s="156"/>
      <c r="P454" s="156"/>
      <c r="Q454" s="156"/>
      <c r="R454" s="156"/>
      <c r="S454" s="156"/>
      <c r="T454" s="156"/>
      <c r="U454" s="156"/>
      <c r="V454" s="156"/>
      <c r="W454" s="156"/>
      <c r="X454" s="156"/>
      <c r="Y454" s="156"/>
      <c r="Z454" s="156"/>
    </row>
    <row r="455">
      <c r="A455" s="156"/>
      <c r="B455" s="156"/>
      <c r="C455" s="156"/>
      <c r="D455" s="156"/>
      <c r="E455" s="156"/>
      <c r="F455" s="156"/>
      <c r="G455" s="156"/>
      <c r="H455" s="156"/>
      <c r="I455" s="156"/>
      <c r="J455" s="156"/>
      <c r="K455" s="156"/>
      <c r="L455" s="156"/>
      <c r="M455" s="156"/>
      <c r="N455" s="156"/>
      <c r="O455" s="156"/>
      <c r="P455" s="156"/>
      <c r="Q455" s="156"/>
      <c r="R455" s="156"/>
      <c r="S455" s="156"/>
      <c r="T455" s="156"/>
      <c r="U455" s="156"/>
      <c r="V455" s="156"/>
      <c r="W455" s="156"/>
      <c r="X455" s="156"/>
      <c r="Y455" s="156"/>
      <c r="Z455" s="156"/>
    </row>
    <row r="456">
      <c r="A456" s="156"/>
      <c r="B456" s="156"/>
      <c r="C456" s="156"/>
      <c r="D456" s="156"/>
      <c r="E456" s="156"/>
      <c r="F456" s="156"/>
      <c r="G456" s="156"/>
      <c r="H456" s="156"/>
      <c r="I456" s="156"/>
      <c r="J456" s="156"/>
      <c r="K456" s="156"/>
      <c r="L456" s="156"/>
      <c r="M456" s="156"/>
      <c r="N456" s="156"/>
      <c r="O456" s="156"/>
      <c r="P456" s="156"/>
      <c r="Q456" s="156"/>
      <c r="R456" s="156"/>
      <c r="S456" s="156"/>
      <c r="T456" s="156"/>
      <c r="U456" s="156"/>
      <c r="V456" s="156"/>
      <c r="W456" s="156"/>
      <c r="X456" s="156"/>
      <c r="Y456" s="156"/>
      <c r="Z456" s="156"/>
    </row>
    <row r="457">
      <c r="A457" s="156"/>
      <c r="B457" s="156"/>
      <c r="C457" s="156"/>
      <c r="D457" s="156"/>
      <c r="E457" s="156"/>
      <c r="F457" s="156"/>
      <c r="G457" s="156"/>
      <c r="H457" s="156"/>
      <c r="I457" s="156"/>
      <c r="J457" s="156"/>
      <c r="K457" s="156"/>
      <c r="L457" s="156"/>
      <c r="M457" s="156"/>
      <c r="N457" s="156"/>
      <c r="O457" s="156"/>
      <c r="P457" s="156"/>
      <c r="Q457" s="156"/>
      <c r="R457" s="156"/>
      <c r="S457" s="156"/>
      <c r="T457" s="156"/>
      <c r="U457" s="156"/>
      <c r="V457" s="156"/>
      <c r="W457" s="156"/>
      <c r="X457" s="156"/>
      <c r="Y457" s="156"/>
      <c r="Z457" s="156"/>
    </row>
    <row r="458">
      <c r="A458" s="156"/>
      <c r="B458" s="156"/>
      <c r="C458" s="156"/>
      <c r="D458" s="156"/>
      <c r="E458" s="156"/>
      <c r="F458" s="156"/>
      <c r="G458" s="156"/>
      <c r="H458" s="156"/>
      <c r="I458" s="156"/>
      <c r="J458" s="156"/>
      <c r="K458" s="156"/>
      <c r="L458" s="156"/>
      <c r="M458" s="156"/>
      <c r="N458" s="156"/>
      <c r="O458" s="156"/>
      <c r="P458" s="156"/>
      <c r="Q458" s="156"/>
      <c r="R458" s="156"/>
      <c r="S458" s="156"/>
      <c r="T458" s="156"/>
      <c r="U458" s="156"/>
      <c r="V458" s="156"/>
      <c r="W458" s="156"/>
      <c r="X458" s="156"/>
      <c r="Y458" s="156"/>
      <c r="Z458" s="156"/>
    </row>
    <row r="459">
      <c r="A459" s="156"/>
      <c r="B459" s="156"/>
      <c r="C459" s="156"/>
      <c r="D459" s="156"/>
      <c r="E459" s="156"/>
      <c r="F459" s="156"/>
      <c r="G459" s="156"/>
      <c r="H459" s="156"/>
      <c r="I459" s="156"/>
      <c r="J459" s="156"/>
      <c r="K459" s="156"/>
      <c r="L459" s="156"/>
      <c r="M459" s="156"/>
      <c r="N459" s="156"/>
      <c r="O459" s="156"/>
      <c r="P459" s="156"/>
      <c r="Q459" s="156"/>
      <c r="R459" s="156"/>
      <c r="S459" s="156"/>
      <c r="T459" s="156"/>
      <c r="U459" s="156"/>
      <c r="V459" s="156"/>
      <c r="W459" s="156"/>
      <c r="X459" s="156"/>
      <c r="Y459" s="156"/>
      <c r="Z459" s="156"/>
    </row>
    <row r="460">
      <c r="A460" s="156"/>
      <c r="B460" s="156"/>
      <c r="C460" s="156"/>
      <c r="D460" s="156"/>
      <c r="E460" s="156"/>
      <c r="F460" s="156"/>
      <c r="G460" s="156"/>
      <c r="H460" s="156"/>
      <c r="I460" s="156"/>
      <c r="J460" s="156"/>
      <c r="K460" s="156"/>
      <c r="L460" s="156"/>
      <c r="M460" s="156"/>
      <c r="N460" s="156"/>
      <c r="O460" s="156"/>
      <c r="P460" s="156"/>
      <c r="Q460" s="156"/>
      <c r="R460" s="156"/>
      <c r="S460" s="156"/>
      <c r="T460" s="156"/>
      <c r="U460" s="156"/>
      <c r="V460" s="156"/>
      <c r="W460" s="156"/>
      <c r="X460" s="156"/>
      <c r="Y460" s="156"/>
      <c r="Z460" s="156"/>
    </row>
    <row r="461">
      <c r="A461" s="156"/>
      <c r="B461" s="156"/>
      <c r="C461" s="156"/>
      <c r="D461" s="156"/>
      <c r="E461" s="156"/>
      <c r="F461" s="156"/>
      <c r="G461" s="156"/>
      <c r="H461" s="156"/>
      <c r="I461" s="156"/>
      <c r="J461" s="156"/>
      <c r="K461" s="156"/>
      <c r="L461" s="156"/>
      <c r="M461" s="156"/>
      <c r="N461" s="156"/>
      <c r="O461" s="156"/>
      <c r="P461" s="156"/>
      <c r="Q461" s="156"/>
      <c r="R461" s="156"/>
      <c r="S461" s="156"/>
      <c r="T461" s="156"/>
      <c r="U461" s="156"/>
      <c r="V461" s="156"/>
      <c r="W461" s="156"/>
      <c r="X461" s="156"/>
      <c r="Y461" s="156"/>
      <c r="Z461" s="156"/>
    </row>
    <row r="462">
      <c r="A462" s="156"/>
      <c r="B462" s="156"/>
      <c r="C462" s="156"/>
      <c r="D462" s="156"/>
      <c r="E462" s="156"/>
      <c r="F462" s="156"/>
      <c r="G462" s="156"/>
      <c r="H462" s="156"/>
      <c r="I462" s="156"/>
      <c r="J462" s="156"/>
      <c r="K462" s="156"/>
      <c r="L462" s="156"/>
      <c r="M462" s="156"/>
      <c r="N462" s="156"/>
      <c r="O462" s="156"/>
      <c r="P462" s="156"/>
      <c r="Q462" s="156"/>
      <c r="R462" s="156"/>
      <c r="S462" s="156"/>
      <c r="T462" s="156"/>
      <c r="U462" s="156"/>
      <c r="V462" s="156"/>
      <c r="W462" s="156"/>
      <c r="X462" s="156"/>
      <c r="Y462" s="156"/>
      <c r="Z462" s="156"/>
    </row>
    <row r="463">
      <c r="A463" s="156"/>
      <c r="B463" s="156"/>
      <c r="C463" s="156"/>
      <c r="D463" s="156"/>
      <c r="E463" s="156"/>
      <c r="F463" s="156"/>
      <c r="G463" s="156"/>
      <c r="H463" s="156"/>
      <c r="I463" s="156"/>
      <c r="J463" s="156"/>
      <c r="K463" s="156"/>
      <c r="L463" s="156"/>
      <c r="M463" s="156"/>
      <c r="N463" s="156"/>
      <c r="O463" s="156"/>
      <c r="P463" s="156"/>
      <c r="Q463" s="156"/>
      <c r="R463" s="156"/>
      <c r="S463" s="156"/>
      <c r="T463" s="156"/>
      <c r="U463" s="156"/>
      <c r="V463" s="156"/>
      <c r="W463" s="156"/>
      <c r="X463" s="156"/>
      <c r="Y463" s="156"/>
      <c r="Z463" s="156"/>
    </row>
    <row r="464">
      <c r="A464" s="156"/>
      <c r="B464" s="156"/>
      <c r="C464" s="156"/>
      <c r="D464" s="156"/>
      <c r="E464" s="156"/>
      <c r="F464" s="156"/>
      <c r="G464" s="156"/>
      <c r="H464" s="156"/>
      <c r="I464" s="156"/>
      <c r="J464" s="156"/>
      <c r="K464" s="156"/>
      <c r="L464" s="156"/>
      <c r="M464" s="156"/>
      <c r="N464" s="156"/>
      <c r="O464" s="156"/>
      <c r="P464" s="156"/>
      <c r="Q464" s="156"/>
      <c r="R464" s="156"/>
      <c r="S464" s="156"/>
      <c r="T464" s="156"/>
      <c r="U464" s="156"/>
      <c r="V464" s="156"/>
      <c r="W464" s="156"/>
      <c r="X464" s="156"/>
      <c r="Y464" s="156"/>
      <c r="Z464" s="156"/>
    </row>
    <row r="465">
      <c r="A465" s="156"/>
      <c r="B465" s="156"/>
      <c r="C465" s="156"/>
      <c r="D465" s="156"/>
      <c r="E465" s="156"/>
      <c r="F465" s="156"/>
      <c r="G465" s="156"/>
      <c r="H465" s="156"/>
      <c r="I465" s="156"/>
      <c r="J465" s="156"/>
      <c r="K465" s="156"/>
      <c r="L465" s="156"/>
      <c r="M465" s="156"/>
      <c r="N465" s="156"/>
      <c r="O465" s="156"/>
      <c r="P465" s="156"/>
      <c r="Q465" s="156"/>
      <c r="R465" s="156"/>
      <c r="S465" s="156"/>
      <c r="T465" s="156"/>
      <c r="U465" s="156"/>
      <c r="V465" s="156"/>
      <c r="W465" s="156"/>
      <c r="X465" s="156"/>
      <c r="Y465" s="156"/>
      <c r="Z465" s="156"/>
    </row>
    <row r="466">
      <c r="A466" s="156"/>
      <c r="B466" s="156"/>
      <c r="C466" s="156"/>
      <c r="D466" s="156"/>
      <c r="E466" s="156"/>
      <c r="F466" s="156"/>
      <c r="G466" s="156"/>
      <c r="H466" s="156"/>
      <c r="I466" s="156"/>
      <c r="J466" s="156"/>
      <c r="K466" s="156"/>
      <c r="L466" s="156"/>
      <c r="M466" s="156"/>
      <c r="N466" s="156"/>
      <c r="O466" s="156"/>
      <c r="P466" s="156"/>
      <c r="Q466" s="156"/>
      <c r="R466" s="156"/>
      <c r="S466" s="156"/>
      <c r="T466" s="156"/>
      <c r="U466" s="156"/>
      <c r="V466" s="156"/>
      <c r="W466" s="156"/>
      <c r="X466" s="156"/>
      <c r="Y466" s="156"/>
      <c r="Z466" s="156"/>
    </row>
    <row r="467">
      <c r="A467" s="156"/>
      <c r="B467" s="156"/>
      <c r="C467" s="156"/>
      <c r="D467" s="156"/>
      <c r="E467" s="156"/>
      <c r="F467" s="156"/>
      <c r="G467" s="156"/>
      <c r="H467" s="156"/>
      <c r="I467" s="156"/>
      <c r="J467" s="156"/>
      <c r="K467" s="156"/>
      <c r="L467" s="156"/>
      <c r="M467" s="156"/>
      <c r="N467" s="156"/>
      <c r="O467" s="156"/>
      <c r="P467" s="156"/>
      <c r="Q467" s="156"/>
      <c r="R467" s="156"/>
      <c r="S467" s="156"/>
      <c r="T467" s="156"/>
      <c r="U467" s="156"/>
      <c r="V467" s="156"/>
      <c r="W467" s="156"/>
      <c r="X467" s="156"/>
      <c r="Y467" s="156"/>
      <c r="Z467" s="156"/>
    </row>
    <row r="468">
      <c r="A468" s="156"/>
      <c r="B468" s="156"/>
      <c r="C468" s="156"/>
      <c r="D468" s="156"/>
      <c r="E468" s="156"/>
      <c r="F468" s="156"/>
      <c r="G468" s="156"/>
      <c r="H468" s="156"/>
      <c r="I468" s="156"/>
      <c r="J468" s="156"/>
      <c r="K468" s="156"/>
      <c r="L468" s="156"/>
      <c r="M468" s="156"/>
      <c r="N468" s="156"/>
      <c r="O468" s="156"/>
      <c r="P468" s="156"/>
      <c r="Q468" s="156"/>
      <c r="R468" s="156"/>
      <c r="S468" s="156"/>
      <c r="T468" s="156"/>
      <c r="U468" s="156"/>
      <c r="V468" s="156"/>
      <c r="W468" s="156"/>
      <c r="X468" s="156"/>
      <c r="Y468" s="156"/>
      <c r="Z468" s="156"/>
    </row>
    <row r="469">
      <c r="A469" s="156"/>
      <c r="B469" s="156"/>
      <c r="C469" s="156"/>
      <c r="D469" s="156"/>
      <c r="E469" s="156"/>
      <c r="F469" s="156"/>
      <c r="G469" s="156"/>
      <c r="H469" s="156"/>
      <c r="I469" s="156"/>
      <c r="J469" s="156"/>
      <c r="K469" s="156"/>
      <c r="L469" s="156"/>
      <c r="M469" s="156"/>
      <c r="N469" s="156"/>
      <c r="O469" s="156"/>
      <c r="P469" s="156"/>
      <c r="Q469" s="156"/>
      <c r="R469" s="156"/>
      <c r="S469" s="156"/>
      <c r="T469" s="156"/>
      <c r="U469" s="156"/>
      <c r="V469" s="156"/>
      <c r="W469" s="156"/>
      <c r="X469" s="156"/>
      <c r="Y469" s="156"/>
      <c r="Z469" s="156"/>
    </row>
    <row r="470">
      <c r="A470" s="156"/>
      <c r="B470" s="156"/>
      <c r="C470" s="156"/>
      <c r="D470" s="156"/>
      <c r="E470" s="156"/>
      <c r="F470" s="156"/>
      <c r="G470" s="156"/>
      <c r="H470" s="156"/>
      <c r="I470" s="156"/>
      <c r="J470" s="156"/>
      <c r="K470" s="156"/>
      <c r="L470" s="156"/>
      <c r="M470" s="156"/>
      <c r="N470" s="156"/>
      <c r="O470" s="156"/>
      <c r="P470" s="156"/>
      <c r="Q470" s="156"/>
      <c r="R470" s="156"/>
      <c r="S470" s="156"/>
      <c r="T470" s="156"/>
      <c r="U470" s="156"/>
      <c r="V470" s="156"/>
      <c r="W470" s="156"/>
      <c r="X470" s="156"/>
      <c r="Y470" s="156"/>
      <c r="Z470" s="156"/>
    </row>
    <row r="471">
      <c r="A471" s="156"/>
      <c r="B471" s="156"/>
      <c r="C471" s="156"/>
      <c r="D471" s="156"/>
      <c r="E471" s="156"/>
      <c r="F471" s="156"/>
      <c r="G471" s="156"/>
      <c r="H471" s="156"/>
      <c r="I471" s="156"/>
      <c r="J471" s="156"/>
      <c r="K471" s="156"/>
      <c r="L471" s="156"/>
      <c r="M471" s="156"/>
      <c r="N471" s="156"/>
      <c r="O471" s="156"/>
      <c r="P471" s="156"/>
      <c r="Q471" s="156"/>
      <c r="R471" s="156"/>
      <c r="S471" s="156"/>
      <c r="T471" s="156"/>
      <c r="U471" s="156"/>
      <c r="V471" s="156"/>
      <c r="W471" s="156"/>
      <c r="X471" s="156"/>
      <c r="Y471" s="156"/>
      <c r="Z471" s="156"/>
    </row>
    <row r="472">
      <c r="A472" s="156"/>
      <c r="B472" s="156"/>
      <c r="C472" s="156"/>
      <c r="D472" s="156"/>
      <c r="E472" s="156"/>
      <c r="F472" s="156"/>
      <c r="G472" s="156"/>
      <c r="H472" s="156"/>
      <c r="I472" s="156"/>
      <c r="J472" s="156"/>
      <c r="K472" s="156"/>
      <c r="L472" s="156"/>
      <c r="M472" s="156"/>
      <c r="N472" s="156"/>
      <c r="O472" s="156"/>
      <c r="P472" s="156"/>
      <c r="Q472" s="156"/>
      <c r="R472" s="156"/>
      <c r="S472" s="156"/>
      <c r="T472" s="156"/>
      <c r="U472" s="156"/>
      <c r="V472" s="156"/>
      <c r="W472" s="156"/>
      <c r="X472" s="156"/>
      <c r="Y472" s="156"/>
      <c r="Z472" s="156"/>
    </row>
    <row r="473">
      <c r="A473" s="156"/>
      <c r="B473" s="156"/>
      <c r="C473" s="156"/>
      <c r="D473" s="156"/>
      <c r="E473" s="156"/>
      <c r="F473" s="156"/>
      <c r="G473" s="156"/>
      <c r="H473" s="156"/>
      <c r="I473" s="156"/>
      <c r="J473" s="156"/>
      <c r="K473" s="156"/>
      <c r="L473" s="156"/>
      <c r="M473" s="156"/>
      <c r="N473" s="156"/>
      <c r="O473" s="156"/>
      <c r="P473" s="156"/>
      <c r="Q473" s="156"/>
      <c r="R473" s="156"/>
      <c r="S473" s="156"/>
      <c r="T473" s="156"/>
      <c r="U473" s="156"/>
      <c r="V473" s="156"/>
      <c r="W473" s="156"/>
      <c r="X473" s="156"/>
      <c r="Y473" s="156"/>
      <c r="Z473" s="156"/>
    </row>
    <row r="474">
      <c r="A474" s="156"/>
      <c r="B474" s="156"/>
      <c r="C474" s="156"/>
      <c r="D474" s="156"/>
      <c r="E474" s="156"/>
      <c r="F474" s="156"/>
      <c r="G474" s="156"/>
      <c r="H474" s="156"/>
      <c r="I474" s="156"/>
      <c r="J474" s="156"/>
      <c r="K474" s="156"/>
      <c r="L474" s="156"/>
      <c r="M474" s="156"/>
      <c r="N474" s="156"/>
      <c r="O474" s="156"/>
      <c r="P474" s="156"/>
      <c r="Q474" s="156"/>
      <c r="R474" s="156"/>
      <c r="S474" s="156"/>
      <c r="T474" s="156"/>
      <c r="U474" s="156"/>
      <c r="V474" s="156"/>
      <c r="W474" s="156"/>
      <c r="X474" s="156"/>
      <c r="Y474" s="156"/>
      <c r="Z474" s="156"/>
    </row>
    <row r="475">
      <c r="A475" s="156"/>
      <c r="B475" s="156"/>
      <c r="C475" s="156"/>
      <c r="D475" s="156"/>
      <c r="E475" s="156"/>
      <c r="F475" s="156"/>
      <c r="G475" s="156"/>
      <c r="H475" s="156"/>
      <c r="I475" s="156"/>
      <c r="J475" s="156"/>
      <c r="K475" s="156"/>
      <c r="L475" s="156"/>
      <c r="M475" s="156"/>
      <c r="N475" s="156"/>
      <c r="O475" s="156"/>
      <c r="P475" s="156"/>
      <c r="Q475" s="156"/>
      <c r="R475" s="156"/>
      <c r="S475" s="156"/>
      <c r="T475" s="156"/>
      <c r="U475" s="156"/>
      <c r="V475" s="156"/>
      <c r="W475" s="156"/>
      <c r="X475" s="156"/>
      <c r="Y475" s="156"/>
      <c r="Z475" s="156"/>
    </row>
    <row r="476">
      <c r="A476" s="156"/>
      <c r="B476" s="156"/>
      <c r="C476" s="156"/>
      <c r="D476" s="156"/>
      <c r="E476" s="156"/>
      <c r="F476" s="156"/>
      <c r="G476" s="156"/>
      <c r="H476" s="156"/>
      <c r="I476" s="156"/>
      <c r="J476" s="156"/>
      <c r="K476" s="156"/>
      <c r="L476" s="156"/>
      <c r="M476" s="156"/>
      <c r="N476" s="156"/>
      <c r="O476" s="156"/>
      <c r="P476" s="156"/>
      <c r="Q476" s="156"/>
      <c r="R476" s="156"/>
      <c r="S476" s="156"/>
      <c r="T476" s="156"/>
      <c r="U476" s="156"/>
      <c r="V476" s="156"/>
      <c r="W476" s="156"/>
      <c r="X476" s="156"/>
      <c r="Y476" s="156"/>
      <c r="Z476" s="156"/>
    </row>
    <row r="477">
      <c r="A477" s="156"/>
      <c r="B477" s="156"/>
      <c r="C477" s="156"/>
      <c r="D477" s="156"/>
      <c r="E477" s="156"/>
      <c r="F477" s="156"/>
      <c r="G477" s="156"/>
      <c r="H477" s="156"/>
      <c r="I477" s="156"/>
      <c r="J477" s="156"/>
      <c r="K477" s="156"/>
      <c r="L477" s="156"/>
      <c r="M477" s="156"/>
      <c r="N477" s="156"/>
      <c r="O477" s="156"/>
      <c r="P477" s="156"/>
      <c r="Q477" s="156"/>
      <c r="R477" s="156"/>
      <c r="S477" s="156"/>
      <c r="T477" s="156"/>
      <c r="U477" s="156"/>
      <c r="V477" s="156"/>
      <c r="W477" s="156"/>
      <c r="X477" s="156"/>
      <c r="Y477" s="156"/>
      <c r="Z477" s="156"/>
    </row>
    <row r="478">
      <c r="A478" s="156"/>
      <c r="B478" s="156"/>
      <c r="C478" s="156"/>
      <c r="D478" s="156"/>
      <c r="E478" s="156"/>
      <c r="F478" s="156"/>
      <c r="G478" s="156"/>
      <c r="H478" s="156"/>
      <c r="I478" s="156"/>
      <c r="J478" s="156"/>
      <c r="K478" s="156"/>
      <c r="L478" s="156"/>
      <c r="M478" s="156"/>
      <c r="N478" s="156"/>
      <c r="O478" s="156"/>
      <c r="P478" s="156"/>
      <c r="Q478" s="156"/>
      <c r="R478" s="156"/>
      <c r="S478" s="156"/>
      <c r="T478" s="156"/>
      <c r="U478" s="156"/>
      <c r="V478" s="156"/>
      <c r="W478" s="156"/>
      <c r="X478" s="156"/>
      <c r="Y478" s="156"/>
      <c r="Z478" s="156"/>
    </row>
    <row r="479">
      <c r="A479" s="156"/>
      <c r="B479" s="156"/>
      <c r="C479" s="156"/>
      <c r="D479" s="156"/>
      <c r="E479" s="156"/>
      <c r="F479" s="156"/>
      <c r="G479" s="156"/>
      <c r="H479" s="156"/>
      <c r="I479" s="156"/>
      <c r="J479" s="156"/>
      <c r="K479" s="156"/>
      <c r="L479" s="156"/>
      <c r="M479" s="156"/>
      <c r="N479" s="156"/>
      <c r="O479" s="156"/>
      <c r="P479" s="156"/>
      <c r="Q479" s="156"/>
      <c r="R479" s="156"/>
      <c r="S479" s="156"/>
      <c r="T479" s="156"/>
      <c r="U479" s="156"/>
      <c r="V479" s="156"/>
      <c r="W479" s="156"/>
      <c r="X479" s="156"/>
      <c r="Y479" s="156"/>
      <c r="Z479" s="156"/>
    </row>
    <row r="480">
      <c r="A480" s="156"/>
      <c r="B480" s="156"/>
      <c r="C480" s="156"/>
      <c r="D480" s="156"/>
      <c r="E480" s="156"/>
      <c r="F480" s="156"/>
      <c r="G480" s="156"/>
      <c r="H480" s="156"/>
      <c r="I480" s="156"/>
      <c r="J480" s="156"/>
      <c r="K480" s="156"/>
      <c r="L480" s="156"/>
      <c r="M480" s="156"/>
      <c r="N480" s="156"/>
      <c r="O480" s="156"/>
      <c r="P480" s="156"/>
      <c r="Q480" s="156"/>
      <c r="R480" s="156"/>
      <c r="S480" s="156"/>
      <c r="T480" s="156"/>
      <c r="U480" s="156"/>
      <c r="V480" s="156"/>
      <c r="W480" s="156"/>
      <c r="X480" s="156"/>
      <c r="Y480" s="156"/>
      <c r="Z480" s="156"/>
    </row>
    <row r="481">
      <c r="A481" s="156"/>
      <c r="B481" s="156"/>
      <c r="C481" s="156"/>
      <c r="D481" s="156"/>
      <c r="E481" s="156"/>
      <c r="F481" s="156"/>
      <c r="G481" s="156"/>
      <c r="H481" s="156"/>
      <c r="I481" s="156"/>
      <c r="J481" s="156"/>
      <c r="K481" s="156"/>
      <c r="L481" s="156"/>
      <c r="M481" s="156"/>
      <c r="N481" s="156"/>
      <c r="O481" s="156"/>
      <c r="P481" s="156"/>
      <c r="Q481" s="156"/>
      <c r="R481" s="156"/>
      <c r="S481" s="156"/>
      <c r="T481" s="156"/>
      <c r="U481" s="156"/>
      <c r="V481" s="156"/>
      <c r="W481" s="156"/>
      <c r="X481" s="156"/>
      <c r="Y481" s="156"/>
      <c r="Z481" s="156"/>
    </row>
    <row r="482">
      <c r="A482" s="156"/>
      <c r="B482" s="156"/>
      <c r="C482" s="156"/>
      <c r="D482" s="156"/>
      <c r="E482" s="156"/>
      <c r="F482" s="156"/>
      <c r="G482" s="156"/>
      <c r="H482" s="156"/>
      <c r="I482" s="156"/>
      <c r="J482" s="156"/>
      <c r="K482" s="156"/>
      <c r="L482" s="156"/>
      <c r="M482" s="156"/>
      <c r="N482" s="156"/>
      <c r="O482" s="156"/>
      <c r="P482" s="156"/>
      <c r="Q482" s="156"/>
      <c r="R482" s="156"/>
      <c r="S482" s="156"/>
      <c r="T482" s="156"/>
      <c r="U482" s="156"/>
      <c r="V482" s="156"/>
      <c r="W482" s="156"/>
      <c r="X482" s="156"/>
      <c r="Y482" s="156"/>
      <c r="Z482" s="156"/>
    </row>
    <row r="483">
      <c r="A483" s="156"/>
      <c r="B483" s="156"/>
      <c r="C483" s="156"/>
      <c r="D483" s="156"/>
      <c r="E483" s="156"/>
      <c r="F483" s="156"/>
      <c r="G483" s="156"/>
      <c r="H483" s="156"/>
      <c r="I483" s="156"/>
      <c r="J483" s="156"/>
      <c r="K483" s="156"/>
      <c r="L483" s="156"/>
      <c r="M483" s="156"/>
      <c r="N483" s="156"/>
      <c r="O483" s="156"/>
      <c r="P483" s="156"/>
      <c r="Q483" s="156"/>
      <c r="R483" s="156"/>
      <c r="S483" s="156"/>
      <c r="T483" s="156"/>
      <c r="U483" s="156"/>
      <c r="V483" s="156"/>
      <c r="W483" s="156"/>
      <c r="X483" s="156"/>
      <c r="Y483" s="156"/>
      <c r="Z483" s="156"/>
    </row>
    <row r="484">
      <c r="A484" s="156"/>
      <c r="B484" s="156"/>
      <c r="C484" s="156"/>
      <c r="D484" s="156"/>
      <c r="E484" s="156"/>
      <c r="F484" s="156"/>
      <c r="G484" s="156"/>
      <c r="H484" s="156"/>
      <c r="I484" s="156"/>
      <c r="J484" s="156"/>
      <c r="K484" s="156"/>
      <c r="L484" s="156"/>
      <c r="M484" s="156"/>
      <c r="N484" s="156"/>
      <c r="O484" s="156"/>
      <c r="P484" s="156"/>
      <c r="Q484" s="156"/>
      <c r="R484" s="156"/>
      <c r="S484" s="156"/>
      <c r="T484" s="156"/>
      <c r="U484" s="156"/>
      <c r="V484" s="156"/>
      <c r="W484" s="156"/>
      <c r="X484" s="156"/>
      <c r="Y484" s="156"/>
      <c r="Z484" s="156"/>
    </row>
    <row r="485">
      <c r="A485" s="156"/>
      <c r="B485" s="156"/>
      <c r="C485" s="156"/>
      <c r="D485" s="156"/>
      <c r="E485" s="156"/>
      <c r="F485" s="156"/>
      <c r="G485" s="156"/>
      <c r="H485" s="156"/>
      <c r="I485" s="156"/>
      <c r="J485" s="156"/>
      <c r="K485" s="156"/>
      <c r="L485" s="156"/>
      <c r="M485" s="156"/>
      <c r="N485" s="156"/>
      <c r="O485" s="156"/>
      <c r="P485" s="156"/>
      <c r="Q485" s="156"/>
      <c r="R485" s="156"/>
      <c r="S485" s="156"/>
      <c r="T485" s="156"/>
      <c r="U485" s="156"/>
      <c r="V485" s="156"/>
      <c r="W485" s="156"/>
      <c r="X485" s="156"/>
      <c r="Y485" s="156"/>
      <c r="Z485" s="156"/>
    </row>
    <row r="486">
      <c r="A486" s="156"/>
      <c r="B486" s="156"/>
      <c r="C486" s="156"/>
      <c r="D486" s="156"/>
      <c r="E486" s="156"/>
      <c r="F486" s="156"/>
      <c r="G486" s="156"/>
      <c r="H486" s="156"/>
      <c r="I486" s="156"/>
      <c r="J486" s="156"/>
      <c r="K486" s="156"/>
      <c r="L486" s="156"/>
      <c r="M486" s="156"/>
      <c r="N486" s="156"/>
      <c r="O486" s="156"/>
      <c r="P486" s="156"/>
      <c r="Q486" s="156"/>
      <c r="R486" s="156"/>
      <c r="S486" s="156"/>
      <c r="T486" s="156"/>
      <c r="U486" s="156"/>
      <c r="V486" s="156"/>
      <c r="W486" s="156"/>
      <c r="X486" s="156"/>
      <c r="Y486" s="156"/>
      <c r="Z486" s="156"/>
    </row>
    <row r="487">
      <c r="A487" s="156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</row>
    <row r="488">
      <c r="A488" s="156"/>
      <c r="B488" s="156"/>
      <c r="C488" s="156"/>
      <c r="D488" s="156"/>
      <c r="E488" s="156"/>
      <c r="F488" s="156"/>
      <c r="G488" s="156"/>
      <c r="H488" s="156"/>
      <c r="I488" s="156"/>
      <c r="J488" s="156"/>
      <c r="K488" s="156"/>
      <c r="L488" s="156"/>
      <c r="M488" s="156"/>
      <c r="N488" s="156"/>
      <c r="O488" s="156"/>
      <c r="P488" s="156"/>
      <c r="Q488" s="156"/>
      <c r="R488" s="156"/>
      <c r="S488" s="156"/>
      <c r="T488" s="156"/>
      <c r="U488" s="156"/>
      <c r="V488" s="156"/>
      <c r="W488" s="156"/>
      <c r="X488" s="156"/>
      <c r="Y488" s="156"/>
      <c r="Z488" s="156"/>
    </row>
    <row r="489">
      <c r="A489" s="156"/>
      <c r="B489" s="156"/>
      <c r="C489" s="156"/>
      <c r="D489" s="156"/>
      <c r="E489" s="156"/>
      <c r="F489" s="156"/>
      <c r="G489" s="156"/>
      <c r="H489" s="156"/>
      <c r="I489" s="156"/>
      <c r="J489" s="156"/>
      <c r="K489" s="156"/>
      <c r="L489" s="156"/>
      <c r="M489" s="156"/>
      <c r="N489" s="156"/>
      <c r="O489" s="156"/>
      <c r="P489" s="156"/>
      <c r="Q489" s="156"/>
      <c r="R489" s="156"/>
      <c r="S489" s="156"/>
      <c r="T489" s="156"/>
      <c r="U489" s="156"/>
      <c r="V489" s="156"/>
      <c r="W489" s="156"/>
      <c r="X489" s="156"/>
      <c r="Y489" s="156"/>
      <c r="Z489" s="156"/>
    </row>
    <row r="490">
      <c r="A490" s="156"/>
      <c r="B490" s="156"/>
      <c r="C490" s="156"/>
      <c r="D490" s="156"/>
      <c r="E490" s="156"/>
      <c r="F490" s="156"/>
      <c r="G490" s="156"/>
      <c r="H490" s="156"/>
      <c r="I490" s="156"/>
      <c r="J490" s="156"/>
      <c r="K490" s="156"/>
      <c r="L490" s="156"/>
      <c r="M490" s="156"/>
      <c r="N490" s="156"/>
      <c r="O490" s="156"/>
      <c r="P490" s="156"/>
      <c r="Q490" s="156"/>
      <c r="R490" s="156"/>
      <c r="S490" s="156"/>
      <c r="T490" s="156"/>
      <c r="U490" s="156"/>
      <c r="V490" s="156"/>
      <c r="W490" s="156"/>
      <c r="X490" s="156"/>
      <c r="Y490" s="156"/>
      <c r="Z490" s="156"/>
    </row>
    <row r="491">
      <c r="A491" s="156"/>
      <c r="B491" s="156"/>
      <c r="C491" s="156"/>
      <c r="D491" s="156"/>
      <c r="E491" s="156"/>
      <c r="F491" s="156"/>
      <c r="G491" s="156"/>
      <c r="H491" s="156"/>
      <c r="I491" s="156"/>
      <c r="J491" s="156"/>
      <c r="K491" s="156"/>
      <c r="L491" s="156"/>
      <c r="M491" s="156"/>
      <c r="N491" s="156"/>
      <c r="O491" s="156"/>
      <c r="P491" s="156"/>
      <c r="Q491" s="156"/>
      <c r="R491" s="156"/>
      <c r="S491" s="156"/>
      <c r="T491" s="156"/>
      <c r="U491" s="156"/>
      <c r="V491" s="156"/>
      <c r="W491" s="156"/>
      <c r="X491" s="156"/>
      <c r="Y491" s="156"/>
      <c r="Z491" s="156"/>
    </row>
    <row r="492">
      <c r="A492" s="156"/>
      <c r="B492" s="156"/>
      <c r="C492" s="156"/>
      <c r="D492" s="156"/>
      <c r="E492" s="156"/>
      <c r="F492" s="156"/>
      <c r="G492" s="156"/>
      <c r="H492" s="156"/>
      <c r="I492" s="156"/>
      <c r="J492" s="156"/>
      <c r="K492" s="156"/>
      <c r="L492" s="156"/>
      <c r="M492" s="156"/>
      <c r="N492" s="156"/>
      <c r="O492" s="156"/>
      <c r="P492" s="156"/>
      <c r="Q492" s="156"/>
      <c r="R492" s="156"/>
      <c r="S492" s="156"/>
      <c r="T492" s="156"/>
      <c r="U492" s="156"/>
      <c r="V492" s="156"/>
      <c r="W492" s="156"/>
      <c r="X492" s="156"/>
      <c r="Y492" s="156"/>
      <c r="Z492" s="156"/>
    </row>
    <row r="493">
      <c r="A493" s="156"/>
      <c r="B493" s="156"/>
      <c r="C493" s="156"/>
      <c r="D493" s="156"/>
      <c r="E493" s="156"/>
      <c r="F493" s="156"/>
      <c r="G493" s="156"/>
      <c r="H493" s="156"/>
      <c r="I493" s="156"/>
      <c r="J493" s="156"/>
      <c r="K493" s="156"/>
      <c r="L493" s="156"/>
      <c r="M493" s="156"/>
      <c r="N493" s="156"/>
      <c r="O493" s="156"/>
      <c r="P493" s="156"/>
      <c r="Q493" s="156"/>
      <c r="R493" s="156"/>
      <c r="S493" s="156"/>
      <c r="T493" s="156"/>
      <c r="U493" s="156"/>
      <c r="V493" s="156"/>
      <c r="W493" s="156"/>
      <c r="X493" s="156"/>
      <c r="Y493" s="156"/>
      <c r="Z493" s="156"/>
    </row>
    <row r="494">
      <c r="A494" s="156"/>
      <c r="B494" s="156"/>
      <c r="C494" s="156"/>
      <c r="D494" s="156"/>
      <c r="E494" s="156"/>
      <c r="F494" s="156"/>
      <c r="G494" s="156"/>
      <c r="H494" s="156"/>
      <c r="I494" s="156"/>
      <c r="J494" s="156"/>
      <c r="K494" s="156"/>
      <c r="L494" s="156"/>
      <c r="M494" s="156"/>
      <c r="N494" s="156"/>
      <c r="O494" s="156"/>
      <c r="P494" s="156"/>
      <c r="Q494" s="156"/>
      <c r="R494" s="156"/>
      <c r="S494" s="156"/>
      <c r="T494" s="156"/>
      <c r="U494" s="156"/>
      <c r="V494" s="156"/>
      <c r="W494" s="156"/>
      <c r="X494" s="156"/>
      <c r="Y494" s="156"/>
      <c r="Z494" s="156"/>
    </row>
    <row r="495">
      <c r="A495" s="156"/>
      <c r="B495" s="156"/>
      <c r="C495" s="156"/>
      <c r="D495" s="156"/>
      <c r="E495" s="156"/>
      <c r="F495" s="156"/>
      <c r="G495" s="156"/>
      <c r="H495" s="156"/>
      <c r="I495" s="156"/>
      <c r="J495" s="156"/>
      <c r="K495" s="156"/>
      <c r="L495" s="156"/>
      <c r="M495" s="156"/>
      <c r="N495" s="156"/>
      <c r="O495" s="156"/>
      <c r="P495" s="156"/>
      <c r="Q495" s="156"/>
      <c r="R495" s="156"/>
      <c r="S495" s="156"/>
      <c r="T495" s="156"/>
      <c r="U495" s="156"/>
      <c r="V495" s="156"/>
      <c r="W495" s="156"/>
      <c r="X495" s="156"/>
      <c r="Y495" s="156"/>
      <c r="Z495" s="156"/>
    </row>
    <row r="496">
      <c r="A496" s="156"/>
      <c r="B496" s="156"/>
      <c r="C496" s="156"/>
      <c r="D496" s="156"/>
      <c r="E496" s="156"/>
      <c r="F496" s="156"/>
      <c r="G496" s="156"/>
      <c r="H496" s="156"/>
      <c r="I496" s="156"/>
      <c r="J496" s="156"/>
      <c r="K496" s="156"/>
      <c r="L496" s="156"/>
      <c r="M496" s="156"/>
      <c r="N496" s="156"/>
      <c r="O496" s="156"/>
      <c r="P496" s="156"/>
      <c r="Q496" s="156"/>
      <c r="R496" s="156"/>
      <c r="S496" s="156"/>
      <c r="T496" s="156"/>
      <c r="U496" s="156"/>
      <c r="V496" s="156"/>
      <c r="W496" s="156"/>
      <c r="X496" s="156"/>
      <c r="Y496" s="156"/>
      <c r="Z496" s="156"/>
    </row>
    <row r="497">
      <c r="A497" s="156"/>
      <c r="B497" s="156"/>
      <c r="C497" s="156"/>
      <c r="D497" s="156"/>
      <c r="E497" s="156"/>
      <c r="F497" s="156"/>
      <c r="G497" s="156"/>
      <c r="H497" s="156"/>
      <c r="I497" s="156"/>
      <c r="J497" s="156"/>
      <c r="K497" s="156"/>
      <c r="L497" s="156"/>
      <c r="M497" s="156"/>
      <c r="N497" s="156"/>
      <c r="O497" s="156"/>
      <c r="P497" s="156"/>
      <c r="Q497" s="156"/>
      <c r="R497" s="156"/>
      <c r="S497" s="156"/>
      <c r="T497" s="156"/>
      <c r="U497" s="156"/>
      <c r="V497" s="156"/>
      <c r="W497" s="156"/>
      <c r="X497" s="156"/>
      <c r="Y497" s="156"/>
      <c r="Z497" s="156"/>
    </row>
    <row r="498">
      <c r="A498" s="156"/>
      <c r="B498" s="156"/>
      <c r="C498" s="156"/>
      <c r="D498" s="156"/>
      <c r="E498" s="156"/>
      <c r="F498" s="156"/>
      <c r="G498" s="156"/>
      <c r="H498" s="156"/>
      <c r="I498" s="156"/>
      <c r="J498" s="156"/>
      <c r="K498" s="156"/>
      <c r="L498" s="156"/>
      <c r="M498" s="156"/>
      <c r="N498" s="156"/>
      <c r="O498" s="156"/>
      <c r="P498" s="156"/>
      <c r="Q498" s="156"/>
      <c r="R498" s="156"/>
      <c r="S498" s="156"/>
      <c r="T498" s="156"/>
      <c r="U498" s="156"/>
      <c r="V498" s="156"/>
      <c r="W498" s="156"/>
      <c r="X498" s="156"/>
      <c r="Y498" s="156"/>
      <c r="Z498" s="156"/>
    </row>
    <row r="499">
      <c r="A499" s="156"/>
      <c r="B499" s="156"/>
      <c r="C499" s="156"/>
      <c r="D499" s="156"/>
      <c r="E499" s="156"/>
      <c r="F499" s="156"/>
      <c r="G499" s="156"/>
      <c r="H499" s="156"/>
      <c r="I499" s="156"/>
      <c r="J499" s="156"/>
      <c r="K499" s="156"/>
      <c r="L499" s="156"/>
      <c r="M499" s="156"/>
      <c r="N499" s="156"/>
      <c r="O499" s="156"/>
      <c r="P499" s="156"/>
      <c r="Q499" s="156"/>
      <c r="R499" s="156"/>
      <c r="S499" s="156"/>
      <c r="T499" s="156"/>
      <c r="U499" s="156"/>
      <c r="V499" s="156"/>
      <c r="W499" s="156"/>
      <c r="X499" s="156"/>
      <c r="Y499" s="156"/>
      <c r="Z499" s="156"/>
    </row>
    <row r="500">
      <c r="A500" s="156"/>
      <c r="B500" s="156"/>
      <c r="C500" s="156"/>
      <c r="D500" s="156"/>
      <c r="E500" s="156"/>
      <c r="F500" s="156"/>
      <c r="G500" s="156"/>
      <c r="H500" s="156"/>
      <c r="I500" s="156"/>
      <c r="J500" s="156"/>
      <c r="K500" s="156"/>
      <c r="L500" s="156"/>
      <c r="M500" s="156"/>
      <c r="N500" s="156"/>
      <c r="O500" s="156"/>
      <c r="P500" s="156"/>
      <c r="Q500" s="156"/>
      <c r="R500" s="156"/>
      <c r="S500" s="156"/>
      <c r="T500" s="156"/>
      <c r="U500" s="156"/>
      <c r="V500" s="156"/>
      <c r="W500" s="156"/>
      <c r="X500" s="156"/>
      <c r="Y500" s="156"/>
      <c r="Z500" s="156"/>
    </row>
    <row r="501">
      <c r="A501" s="156"/>
      <c r="B501" s="156"/>
      <c r="C501" s="156"/>
      <c r="D501" s="156"/>
      <c r="E501" s="156"/>
      <c r="F501" s="156"/>
      <c r="G501" s="156"/>
      <c r="H501" s="156"/>
      <c r="I501" s="156"/>
      <c r="J501" s="156"/>
      <c r="K501" s="156"/>
      <c r="L501" s="156"/>
      <c r="M501" s="156"/>
      <c r="N501" s="156"/>
      <c r="O501" s="156"/>
      <c r="P501" s="156"/>
      <c r="Q501" s="156"/>
      <c r="R501" s="156"/>
      <c r="S501" s="156"/>
      <c r="T501" s="156"/>
      <c r="U501" s="156"/>
      <c r="V501" s="156"/>
      <c r="W501" s="156"/>
      <c r="X501" s="156"/>
      <c r="Y501" s="156"/>
      <c r="Z501" s="156"/>
    </row>
    <row r="502">
      <c r="A502" s="156"/>
      <c r="B502" s="156"/>
      <c r="C502" s="156"/>
      <c r="D502" s="156"/>
      <c r="E502" s="156"/>
      <c r="F502" s="156"/>
      <c r="G502" s="156"/>
      <c r="H502" s="156"/>
      <c r="I502" s="156"/>
      <c r="J502" s="156"/>
      <c r="K502" s="156"/>
      <c r="L502" s="156"/>
      <c r="M502" s="156"/>
      <c r="N502" s="156"/>
      <c r="O502" s="156"/>
      <c r="P502" s="156"/>
      <c r="Q502" s="156"/>
      <c r="R502" s="156"/>
      <c r="S502" s="156"/>
      <c r="T502" s="156"/>
      <c r="U502" s="156"/>
      <c r="V502" s="156"/>
      <c r="W502" s="156"/>
      <c r="X502" s="156"/>
      <c r="Y502" s="156"/>
      <c r="Z502" s="156"/>
    </row>
    <row r="503">
      <c r="A503" s="156"/>
      <c r="B503" s="156"/>
      <c r="C503" s="156"/>
      <c r="D503" s="156"/>
      <c r="E503" s="156"/>
      <c r="F503" s="156"/>
      <c r="G503" s="156"/>
      <c r="H503" s="156"/>
      <c r="I503" s="156"/>
      <c r="J503" s="156"/>
      <c r="K503" s="156"/>
      <c r="L503" s="156"/>
      <c r="M503" s="156"/>
      <c r="N503" s="156"/>
      <c r="O503" s="156"/>
      <c r="P503" s="156"/>
      <c r="Q503" s="156"/>
      <c r="R503" s="156"/>
      <c r="S503" s="156"/>
      <c r="T503" s="156"/>
      <c r="U503" s="156"/>
      <c r="V503" s="156"/>
      <c r="W503" s="156"/>
      <c r="X503" s="156"/>
      <c r="Y503" s="156"/>
      <c r="Z503" s="156"/>
    </row>
    <row r="504">
      <c r="A504" s="156"/>
      <c r="B504" s="156"/>
      <c r="C504" s="156"/>
      <c r="D504" s="156"/>
      <c r="E504" s="156"/>
      <c r="F504" s="156"/>
      <c r="G504" s="156"/>
      <c r="H504" s="156"/>
      <c r="I504" s="156"/>
      <c r="J504" s="156"/>
      <c r="K504" s="156"/>
      <c r="L504" s="156"/>
      <c r="M504" s="156"/>
      <c r="N504" s="156"/>
      <c r="O504" s="156"/>
      <c r="P504" s="156"/>
      <c r="Q504" s="156"/>
      <c r="R504" s="156"/>
      <c r="S504" s="156"/>
      <c r="T504" s="156"/>
      <c r="U504" s="156"/>
      <c r="V504" s="156"/>
      <c r="W504" s="156"/>
      <c r="X504" s="156"/>
      <c r="Y504" s="156"/>
      <c r="Z504" s="156"/>
    </row>
    <row r="505">
      <c r="A505" s="156"/>
      <c r="B505" s="156"/>
      <c r="C505" s="156"/>
      <c r="D505" s="156"/>
      <c r="E505" s="156"/>
      <c r="F505" s="156"/>
      <c r="G505" s="156"/>
      <c r="H505" s="156"/>
      <c r="I505" s="156"/>
      <c r="J505" s="156"/>
      <c r="K505" s="156"/>
      <c r="L505" s="156"/>
      <c r="M505" s="156"/>
      <c r="N505" s="156"/>
      <c r="O505" s="156"/>
      <c r="P505" s="156"/>
      <c r="Q505" s="156"/>
      <c r="R505" s="156"/>
      <c r="S505" s="156"/>
      <c r="T505" s="156"/>
      <c r="U505" s="156"/>
      <c r="V505" s="156"/>
      <c r="W505" s="156"/>
      <c r="X505" s="156"/>
      <c r="Y505" s="156"/>
      <c r="Z505" s="156"/>
    </row>
    <row r="506">
      <c r="A506" s="156"/>
      <c r="B506" s="156"/>
      <c r="C506" s="156"/>
      <c r="D506" s="156"/>
      <c r="E506" s="156"/>
      <c r="F506" s="156"/>
      <c r="G506" s="156"/>
      <c r="H506" s="156"/>
      <c r="I506" s="156"/>
      <c r="J506" s="156"/>
      <c r="K506" s="156"/>
      <c r="L506" s="156"/>
      <c r="M506" s="156"/>
      <c r="N506" s="156"/>
      <c r="O506" s="156"/>
      <c r="P506" s="156"/>
      <c r="Q506" s="156"/>
      <c r="R506" s="156"/>
      <c r="S506" s="156"/>
      <c r="T506" s="156"/>
      <c r="U506" s="156"/>
      <c r="V506" s="156"/>
      <c r="W506" s="156"/>
      <c r="X506" s="156"/>
      <c r="Y506" s="156"/>
      <c r="Z506" s="156"/>
    </row>
    <row r="507">
      <c r="A507" s="156"/>
      <c r="B507" s="156"/>
      <c r="C507" s="156"/>
      <c r="D507" s="156"/>
      <c r="E507" s="156"/>
      <c r="F507" s="156"/>
      <c r="G507" s="156"/>
      <c r="H507" s="156"/>
      <c r="I507" s="156"/>
      <c r="J507" s="156"/>
      <c r="K507" s="156"/>
      <c r="L507" s="156"/>
      <c r="M507" s="156"/>
      <c r="N507" s="156"/>
      <c r="O507" s="156"/>
      <c r="P507" s="156"/>
      <c r="Q507" s="156"/>
      <c r="R507" s="156"/>
      <c r="S507" s="156"/>
      <c r="T507" s="156"/>
      <c r="U507" s="156"/>
      <c r="V507" s="156"/>
      <c r="W507" s="156"/>
      <c r="X507" s="156"/>
      <c r="Y507" s="156"/>
      <c r="Z507" s="156"/>
    </row>
    <row r="508">
      <c r="A508" s="156"/>
      <c r="B508" s="156"/>
      <c r="C508" s="156"/>
      <c r="D508" s="156"/>
      <c r="E508" s="156"/>
      <c r="F508" s="156"/>
      <c r="G508" s="156"/>
      <c r="H508" s="156"/>
      <c r="I508" s="156"/>
      <c r="J508" s="156"/>
      <c r="K508" s="156"/>
      <c r="L508" s="156"/>
      <c r="M508" s="156"/>
      <c r="N508" s="156"/>
      <c r="O508" s="156"/>
      <c r="P508" s="156"/>
      <c r="Q508" s="156"/>
      <c r="R508" s="156"/>
      <c r="S508" s="156"/>
      <c r="T508" s="156"/>
      <c r="U508" s="156"/>
      <c r="V508" s="156"/>
      <c r="W508" s="156"/>
      <c r="X508" s="156"/>
      <c r="Y508" s="156"/>
      <c r="Z508" s="156"/>
    </row>
    <row r="509">
      <c r="A509" s="156"/>
      <c r="B509" s="156"/>
      <c r="C509" s="156"/>
      <c r="D509" s="156"/>
      <c r="E509" s="156"/>
      <c r="F509" s="156"/>
      <c r="G509" s="156"/>
      <c r="H509" s="156"/>
      <c r="I509" s="156"/>
      <c r="J509" s="156"/>
      <c r="K509" s="156"/>
      <c r="L509" s="156"/>
      <c r="M509" s="156"/>
      <c r="N509" s="156"/>
      <c r="O509" s="156"/>
      <c r="P509" s="156"/>
      <c r="Q509" s="156"/>
      <c r="R509" s="156"/>
      <c r="S509" s="156"/>
      <c r="T509" s="156"/>
      <c r="U509" s="156"/>
      <c r="V509" s="156"/>
      <c r="W509" s="156"/>
      <c r="X509" s="156"/>
      <c r="Y509" s="156"/>
      <c r="Z509" s="156"/>
    </row>
    <row r="510">
      <c r="A510" s="156"/>
      <c r="B510" s="156"/>
      <c r="C510" s="156"/>
      <c r="D510" s="156"/>
      <c r="E510" s="156"/>
      <c r="F510" s="156"/>
      <c r="G510" s="156"/>
      <c r="H510" s="156"/>
      <c r="I510" s="156"/>
      <c r="J510" s="156"/>
      <c r="K510" s="156"/>
      <c r="L510" s="156"/>
      <c r="M510" s="156"/>
      <c r="N510" s="156"/>
      <c r="O510" s="156"/>
      <c r="P510" s="156"/>
      <c r="Q510" s="156"/>
      <c r="R510" s="156"/>
      <c r="S510" s="156"/>
      <c r="T510" s="156"/>
      <c r="U510" s="156"/>
      <c r="V510" s="156"/>
      <c r="W510" s="156"/>
      <c r="X510" s="156"/>
      <c r="Y510" s="156"/>
      <c r="Z510" s="156"/>
    </row>
    <row r="511">
      <c r="A511" s="156"/>
      <c r="B511" s="156"/>
      <c r="C511" s="156"/>
      <c r="D511" s="156"/>
      <c r="E511" s="156"/>
      <c r="F511" s="156"/>
      <c r="G511" s="156"/>
      <c r="H511" s="156"/>
      <c r="I511" s="156"/>
      <c r="J511" s="156"/>
      <c r="K511" s="156"/>
      <c r="L511" s="156"/>
      <c r="M511" s="156"/>
      <c r="N511" s="156"/>
      <c r="O511" s="156"/>
      <c r="P511" s="156"/>
      <c r="Q511" s="156"/>
      <c r="R511" s="156"/>
      <c r="S511" s="156"/>
      <c r="T511" s="156"/>
      <c r="U511" s="156"/>
      <c r="V511" s="156"/>
      <c r="W511" s="156"/>
      <c r="X511" s="156"/>
      <c r="Y511" s="156"/>
      <c r="Z511" s="156"/>
    </row>
    <row r="512">
      <c r="A512" s="156"/>
      <c r="B512" s="156"/>
      <c r="C512" s="156"/>
      <c r="D512" s="156"/>
      <c r="E512" s="156"/>
      <c r="F512" s="156"/>
      <c r="G512" s="156"/>
      <c r="H512" s="156"/>
      <c r="I512" s="156"/>
      <c r="J512" s="156"/>
      <c r="K512" s="156"/>
      <c r="L512" s="156"/>
      <c r="M512" s="156"/>
      <c r="N512" s="156"/>
      <c r="O512" s="156"/>
      <c r="P512" s="156"/>
      <c r="Q512" s="156"/>
      <c r="R512" s="156"/>
      <c r="S512" s="156"/>
      <c r="T512" s="156"/>
      <c r="U512" s="156"/>
      <c r="V512" s="156"/>
      <c r="W512" s="156"/>
      <c r="X512" s="156"/>
      <c r="Y512" s="156"/>
      <c r="Z512" s="156"/>
    </row>
    <row r="513">
      <c r="A513" s="156"/>
      <c r="B513" s="156"/>
      <c r="C513" s="156"/>
      <c r="D513" s="156"/>
      <c r="E513" s="156"/>
      <c r="F513" s="156"/>
      <c r="G513" s="156"/>
      <c r="H513" s="156"/>
      <c r="I513" s="156"/>
      <c r="J513" s="156"/>
      <c r="K513" s="156"/>
      <c r="L513" s="156"/>
      <c r="M513" s="156"/>
      <c r="N513" s="156"/>
      <c r="O513" s="156"/>
      <c r="P513" s="156"/>
      <c r="Q513" s="156"/>
      <c r="R513" s="156"/>
      <c r="S513" s="156"/>
      <c r="T513" s="156"/>
      <c r="U513" s="156"/>
      <c r="V513" s="156"/>
      <c r="W513" s="156"/>
      <c r="X513" s="156"/>
      <c r="Y513" s="156"/>
      <c r="Z513" s="156"/>
    </row>
    <row r="514">
      <c r="A514" s="156"/>
      <c r="B514" s="156"/>
      <c r="C514" s="156"/>
      <c r="D514" s="156"/>
      <c r="E514" s="156"/>
      <c r="F514" s="156"/>
      <c r="G514" s="156"/>
      <c r="H514" s="156"/>
      <c r="I514" s="156"/>
      <c r="J514" s="156"/>
      <c r="K514" s="156"/>
      <c r="L514" s="156"/>
      <c r="M514" s="156"/>
      <c r="N514" s="156"/>
      <c r="O514" s="156"/>
      <c r="P514" s="156"/>
      <c r="Q514" s="156"/>
      <c r="R514" s="156"/>
      <c r="S514" s="156"/>
      <c r="T514" s="156"/>
      <c r="U514" s="156"/>
      <c r="V514" s="156"/>
      <c r="W514" s="156"/>
      <c r="X514" s="156"/>
      <c r="Y514" s="156"/>
      <c r="Z514" s="156"/>
    </row>
    <row r="515">
      <c r="A515" s="156"/>
      <c r="B515" s="156"/>
      <c r="C515" s="156"/>
      <c r="D515" s="156"/>
      <c r="E515" s="156"/>
      <c r="F515" s="156"/>
      <c r="G515" s="156"/>
      <c r="H515" s="156"/>
      <c r="I515" s="156"/>
      <c r="J515" s="156"/>
      <c r="K515" s="156"/>
      <c r="L515" s="156"/>
      <c r="M515" s="156"/>
      <c r="N515" s="156"/>
      <c r="O515" s="156"/>
      <c r="P515" s="156"/>
      <c r="Q515" s="156"/>
      <c r="R515" s="156"/>
      <c r="S515" s="156"/>
      <c r="T515" s="156"/>
      <c r="U515" s="156"/>
      <c r="V515" s="156"/>
      <c r="W515" s="156"/>
      <c r="X515" s="156"/>
      <c r="Y515" s="156"/>
      <c r="Z515" s="156"/>
    </row>
    <row r="516">
      <c r="A516" s="156"/>
      <c r="B516" s="156"/>
      <c r="C516" s="156"/>
      <c r="D516" s="156"/>
      <c r="E516" s="156"/>
      <c r="F516" s="156"/>
      <c r="G516" s="156"/>
      <c r="H516" s="156"/>
      <c r="I516" s="156"/>
      <c r="J516" s="156"/>
      <c r="K516" s="156"/>
      <c r="L516" s="156"/>
      <c r="M516" s="156"/>
      <c r="N516" s="156"/>
      <c r="O516" s="156"/>
      <c r="P516" s="156"/>
      <c r="Q516" s="156"/>
      <c r="R516" s="156"/>
      <c r="S516" s="156"/>
      <c r="T516" s="156"/>
      <c r="U516" s="156"/>
      <c r="V516" s="156"/>
      <c r="W516" s="156"/>
      <c r="X516" s="156"/>
      <c r="Y516" s="156"/>
      <c r="Z516" s="156"/>
    </row>
    <row r="517">
      <c r="A517" s="156"/>
      <c r="B517" s="156"/>
      <c r="C517" s="156"/>
      <c r="D517" s="156"/>
      <c r="E517" s="156"/>
      <c r="F517" s="156"/>
      <c r="G517" s="156"/>
      <c r="H517" s="156"/>
      <c r="I517" s="156"/>
      <c r="J517" s="156"/>
      <c r="K517" s="156"/>
      <c r="L517" s="156"/>
      <c r="M517" s="156"/>
      <c r="N517" s="156"/>
      <c r="O517" s="156"/>
      <c r="P517" s="156"/>
      <c r="Q517" s="156"/>
      <c r="R517" s="156"/>
      <c r="S517" s="156"/>
      <c r="T517" s="156"/>
      <c r="U517" s="156"/>
      <c r="V517" s="156"/>
      <c r="W517" s="156"/>
      <c r="X517" s="156"/>
      <c r="Y517" s="156"/>
      <c r="Z517" s="156"/>
    </row>
    <row r="518">
      <c r="A518" s="156"/>
      <c r="B518" s="156"/>
      <c r="C518" s="156"/>
      <c r="D518" s="156"/>
      <c r="E518" s="156"/>
      <c r="F518" s="156"/>
      <c r="G518" s="156"/>
      <c r="H518" s="156"/>
      <c r="I518" s="156"/>
      <c r="J518" s="156"/>
      <c r="K518" s="156"/>
      <c r="L518" s="156"/>
      <c r="M518" s="156"/>
      <c r="N518" s="156"/>
      <c r="O518" s="156"/>
      <c r="P518" s="156"/>
      <c r="Q518" s="156"/>
      <c r="R518" s="156"/>
      <c r="S518" s="156"/>
      <c r="T518" s="156"/>
      <c r="U518" s="156"/>
      <c r="V518" s="156"/>
      <c r="W518" s="156"/>
      <c r="X518" s="156"/>
      <c r="Y518" s="156"/>
      <c r="Z518" s="156"/>
    </row>
    <row r="519">
      <c r="A519" s="156"/>
      <c r="B519" s="156"/>
      <c r="C519" s="156"/>
      <c r="D519" s="156"/>
      <c r="E519" s="156"/>
      <c r="F519" s="156"/>
      <c r="G519" s="156"/>
      <c r="H519" s="156"/>
      <c r="I519" s="156"/>
      <c r="J519" s="156"/>
      <c r="K519" s="156"/>
      <c r="L519" s="156"/>
      <c r="M519" s="156"/>
      <c r="N519" s="156"/>
      <c r="O519" s="156"/>
      <c r="P519" s="156"/>
      <c r="Q519" s="156"/>
      <c r="R519" s="156"/>
      <c r="S519" s="156"/>
      <c r="T519" s="156"/>
      <c r="U519" s="156"/>
      <c r="V519" s="156"/>
      <c r="W519" s="156"/>
      <c r="X519" s="156"/>
      <c r="Y519" s="156"/>
      <c r="Z519" s="156"/>
    </row>
    <row r="520">
      <c r="A520" s="156"/>
      <c r="B520" s="156"/>
      <c r="C520" s="156"/>
      <c r="D520" s="156"/>
      <c r="E520" s="156"/>
      <c r="F520" s="156"/>
      <c r="G520" s="156"/>
      <c r="H520" s="156"/>
      <c r="I520" s="156"/>
      <c r="J520" s="156"/>
      <c r="K520" s="156"/>
      <c r="L520" s="156"/>
      <c r="M520" s="156"/>
      <c r="N520" s="156"/>
      <c r="O520" s="156"/>
      <c r="P520" s="156"/>
      <c r="Q520" s="156"/>
      <c r="R520" s="156"/>
      <c r="S520" s="156"/>
      <c r="T520" s="156"/>
      <c r="U520" s="156"/>
      <c r="V520" s="156"/>
      <c r="W520" s="156"/>
      <c r="X520" s="156"/>
      <c r="Y520" s="156"/>
      <c r="Z520" s="156"/>
    </row>
    <row r="521">
      <c r="A521" s="156"/>
      <c r="B521" s="156"/>
      <c r="C521" s="156"/>
      <c r="D521" s="156"/>
      <c r="E521" s="156"/>
      <c r="F521" s="156"/>
      <c r="G521" s="156"/>
      <c r="H521" s="156"/>
      <c r="I521" s="156"/>
      <c r="J521" s="156"/>
      <c r="K521" s="156"/>
      <c r="L521" s="156"/>
      <c r="M521" s="156"/>
      <c r="N521" s="156"/>
      <c r="O521" s="156"/>
      <c r="P521" s="156"/>
      <c r="Q521" s="156"/>
      <c r="R521" s="156"/>
      <c r="S521" s="156"/>
      <c r="T521" s="156"/>
      <c r="U521" s="156"/>
      <c r="V521" s="156"/>
      <c r="W521" s="156"/>
      <c r="X521" s="156"/>
      <c r="Y521" s="156"/>
      <c r="Z521" s="156"/>
    </row>
    <row r="522">
      <c r="A522" s="156"/>
      <c r="B522" s="156"/>
      <c r="C522" s="156"/>
      <c r="D522" s="156"/>
      <c r="E522" s="156"/>
      <c r="F522" s="156"/>
      <c r="G522" s="156"/>
      <c r="H522" s="156"/>
      <c r="I522" s="156"/>
      <c r="J522" s="156"/>
      <c r="K522" s="156"/>
      <c r="L522" s="156"/>
      <c r="M522" s="156"/>
      <c r="N522" s="156"/>
      <c r="O522" s="156"/>
      <c r="P522" s="156"/>
      <c r="Q522" s="156"/>
      <c r="R522" s="156"/>
      <c r="S522" s="156"/>
      <c r="T522" s="156"/>
      <c r="U522" s="156"/>
      <c r="V522" s="156"/>
      <c r="W522" s="156"/>
      <c r="X522" s="156"/>
      <c r="Y522" s="156"/>
      <c r="Z522" s="156"/>
    </row>
    <row r="523">
      <c r="A523" s="156"/>
      <c r="B523" s="156"/>
      <c r="C523" s="156"/>
      <c r="D523" s="156"/>
      <c r="E523" s="156"/>
      <c r="F523" s="156"/>
      <c r="G523" s="156"/>
      <c r="H523" s="156"/>
      <c r="I523" s="156"/>
      <c r="J523" s="156"/>
      <c r="K523" s="156"/>
      <c r="L523" s="156"/>
      <c r="M523" s="156"/>
      <c r="N523" s="156"/>
      <c r="O523" s="156"/>
      <c r="P523" s="156"/>
      <c r="Q523" s="156"/>
      <c r="R523" s="156"/>
      <c r="S523" s="156"/>
      <c r="T523" s="156"/>
      <c r="U523" s="156"/>
      <c r="V523" s="156"/>
      <c r="W523" s="156"/>
      <c r="X523" s="156"/>
      <c r="Y523" s="156"/>
      <c r="Z523" s="156"/>
    </row>
    <row r="524">
      <c r="A524" s="156"/>
      <c r="B524" s="156"/>
      <c r="C524" s="156"/>
      <c r="D524" s="156"/>
      <c r="E524" s="156"/>
      <c r="F524" s="156"/>
      <c r="G524" s="156"/>
      <c r="H524" s="156"/>
      <c r="I524" s="156"/>
      <c r="J524" s="156"/>
      <c r="K524" s="156"/>
      <c r="L524" s="156"/>
      <c r="M524" s="156"/>
      <c r="N524" s="156"/>
      <c r="O524" s="156"/>
      <c r="P524" s="156"/>
      <c r="Q524" s="156"/>
      <c r="R524" s="156"/>
      <c r="S524" s="156"/>
      <c r="T524" s="156"/>
      <c r="U524" s="156"/>
      <c r="V524" s="156"/>
      <c r="W524" s="156"/>
      <c r="X524" s="156"/>
      <c r="Y524" s="156"/>
      <c r="Z524" s="156"/>
    </row>
    <row r="525">
      <c r="A525" s="156"/>
      <c r="B525" s="156"/>
      <c r="C525" s="156"/>
      <c r="D525" s="156"/>
      <c r="E525" s="156"/>
      <c r="F525" s="156"/>
      <c r="G525" s="156"/>
      <c r="H525" s="156"/>
      <c r="I525" s="156"/>
      <c r="J525" s="156"/>
      <c r="K525" s="156"/>
      <c r="L525" s="156"/>
      <c r="M525" s="156"/>
      <c r="N525" s="156"/>
      <c r="O525" s="156"/>
      <c r="P525" s="156"/>
      <c r="Q525" s="156"/>
      <c r="R525" s="156"/>
      <c r="S525" s="156"/>
      <c r="T525" s="156"/>
      <c r="U525" s="156"/>
      <c r="V525" s="156"/>
      <c r="W525" s="156"/>
      <c r="X525" s="156"/>
      <c r="Y525" s="156"/>
      <c r="Z525" s="156"/>
    </row>
    <row r="526">
      <c r="A526" s="156"/>
      <c r="B526" s="156"/>
      <c r="C526" s="156"/>
      <c r="D526" s="156"/>
      <c r="E526" s="156"/>
      <c r="F526" s="156"/>
      <c r="G526" s="156"/>
      <c r="H526" s="156"/>
      <c r="I526" s="156"/>
      <c r="J526" s="156"/>
      <c r="K526" s="156"/>
      <c r="L526" s="156"/>
      <c r="M526" s="156"/>
      <c r="N526" s="156"/>
      <c r="O526" s="156"/>
      <c r="P526" s="156"/>
      <c r="Q526" s="156"/>
      <c r="R526" s="156"/>
      <c r="S526" s="156"/>
      <c r="T526" s="156"/>
      <c r="U526" s="156"/>
      <c r="V526" s="156"/>
      <c r="W526" s="156"/>
      <c r="X526" s="156"/>
      <c r="Y526" s="156"/>
      <c r="Z526" s="156"/>
    </row>
    <row r="527">
      <c r="A527" s="156"/>
      <c r="B527" s="156"/>
      <c r="C527" s="156"/>
      <c r="D527" s="156"/>
      <c r="E527" s="156"/>
      <c r="F527" s="156"/>
      <c r="G527" s="156"/>
      <c r="H527" s="156"/>
      <c r="I527" s="156"/>
      <c r="J527" s="156"/>
      <c r="K527" s="156"/>
      <c r="L527" s="156"/>
      <c r="M527" s="156"/>
      <c r="N527" s="156"/>
      <c r="O527" s="156"/>
      <c r="P527" s="156"/>
      <c r="Q527" s="156"/>
      <c r="R527" s="156"/>
      <c r="S527" s="156"/>
      <c r="T527" s="156"/>
      <c r="U527" s="156"/>
      <c r="V527" s="156"/>
      <c r="W527" s="156"/>
      <c r="X527" s="156"/>
      <c r="Y527" s="156"/>
      <c r="Z527" s="156"/>
    </row>
    <row r="528">
      <c r="A528" s="156"/>
      <c r="B528" s="156"/>
      <c r="C528" s="156"/>
      <c r="D528" s="156"/>
      <c r="E528" s="156"/>
      <c r="F528" s="156"/>
      <c r="G528" s="156"/>
      <c r="H528" s="156"/>
      <c r="I528" s="156"/>
      <c r="J528" s="156"/>
      <c r="K528" s="156"/>
      <c r="L528" s="156"/>
      <c r="M528" s="156"/>
      <c r="N528" s="156"/>
      <c r="O528" s="156"/>
      <c r="P528" s="156"/>
      <c r="Q528" s="156"/>
      <c r="R528" s="156"/>
      <c r="S528" s="156"/>
      <c r="T528" s="156"/>
      <c r="U528" s="156"/>
      <c r="V528" s="156"/>
      <c r="W528" s="156"/>
      <c r="X528" s="156"/>
      <c r="Y528" s="156"/>
      <c r="Z528" s="156"/>
    </row>
    <row r="529">
      <c r="A529" s="156"/>
      <c r="B529" s="156"/>
      <c r="C529" s="156"/>
      <c r="D529" s="156"/>
      <c r="E529" s="156"/>
      <c r="F529" s="156"/>
      <c r="G529" s="156"/>
      <c r="H529" s="156"/>
      <c r="I529" s="156"/>
      <c r="J529" s="156"/>
      <c r="K529" s="156"/>
      <c r="L529" s="156"/>
      <c r="M529" s="156"/>
      <c r="N529" s="156"/>
      <c r="O529" s="156"/>
      <c r="P529" s="156"/>
      <c r="Q529" s="156"/>
      <c r="R529" s="156"/>
      <c r="S529" s="156"/>
      <c r="T529" s="156"/>
      <c r="U529" s="156"/>
      <c r="V529" s="156"/>
      <c r="W529" s="156"/>
      <c r="X529" s="156"/>
      <c r="Y529" s="156"/>
      <c r="Z529" s="156"/>
    </row>
    <row r="530">
      <c r="A530" s="156"/>
      <c r="B530" s="156"/>
      <c r="C530" s="156"/>
      <c r="D530" s="156"/>
      <c r="E530" s="156"/>
      <c r="F530" s="156"/>
      <c r="G530" s="156"/>
      <c r="H530" s="156"/>
      <c r="I530" s="156"/>
      <c r="J530" s="156"/>
      <c r="K530" s="156"/>
      <c r="L530" s="156"/>
      <c r="M530" s="156"/>
      <c r="N530" s="156"/>
      <c r="O530" s="156"/>
      <c r="P530" s="156"/>
      <c r="Q530" s="156"/>
      <c r="R530" s="156"/>
      <c r="S530" s="156"/>
      <c r="T530" s="156"/>
      <c r="U530" s="156"/>
      <c r="V530" s="156"/>
      <c r="W530" s="156"/>
      <c r="X530" s="156"/>
      <c r="Y530" s="156"/>
      <c r="Z530" s="156"/>
    </row>
    <row r="531">
      <c r="A531" s="156"/>
      <c r="B531" s="156"/>
      <c r="C531" s="156"/>
      <c r="D531" s="156"/>
      <c r="E531" s="156"/>
      <c r="F531" s="156"/>
      <c r="G531" s="156"/>
      <c r="H531" s="156"/>
      <c r="I531" s="156"/>
      <c r="J531" s="156"/>
      <c r="K531" s="156"/>
      <c r="L531" s="156"/>
      <c r="M531" s="156"/>
      <c r="N531" s="156"/>
      <c r="O531" s="156"/>
      <c r="P531" s="156"/>
      <c r="Q531" s="156"/>
      <c r="R531" s="156"/>
      <c r="S531" s="156"/>
      <c r="T531" s="156"/>
      <c r="U531" s="156"/>
      <c r="V531" s="156"/>
      <c r="W531" s="156"/>
      <c r="X531" s="156"/>
      <c r="Y531" s="156"/>
      <c r="Z531" s="156"/>
    </row>
    <row r="532">
      <c r="A532" s="156"/>
      <c r="B532" s="156"/>
      <c r="C532" s="156"/>
      <c r="D532" s="156"/>
      <c r="E532" s="156"/>
      <c r="F532" s="156"/>
      <c r="G532" s="156"/>
      <c r="H532" s="156"/>
      <c r="I532" s="156"/>
      <c r="J532" s="156"/>
      <c r="K532" s="156"/>
      <c r="L532" s="156"/>
      <c r="M532" s="156"/>
      <c r="N532" s="156"/>
      <c r="O532" s="156"/>
      <c r="P532" s="156"/>
      <c r="Q532" s="156"/>
      <c r="R532" s="156"/>
      <c r="S532" s="156"/>
      <c r="T532" s="156"/>
      <c r="U532" s="156"/>
      <c r="V532" s="156"/>
      <c r="W532" s="156"/>
      <c r="X532" s="156"/>
      <c r="Y532" s="156"/>
      <c r="Z532" s="156"/>
    </row>
    <row r="533">
      <c r="A533" s="156"/>
      <c r="B533" s="156"/>
      <c r="C533" s="156"/>
      <c r="D533" s="156"/>
      <c r="E533" s="156"/>
      <c r="F533" s="156"/>
      <c r="G533" s="156"/>
      <c r="H533" s="156"/>
      <c r="I533" s="156"/>
      <c r="J533" s="156"/>
      <c r="K533" s="156"/>
      <c r="L533" s="156"/>
      <c r="M533" s="156"/>
      <c r="N533" s="156"/>
      <c r="O533" s="156"/>
      <c r="P533" s="156"/>
      <c r="Q533" s="156"/>
      <c r="R533" s="156"/>
      <c r="S533" s="156"/>
      <c r="T533" s="156"/>
      <c r="U533" s="156"/>
      <c r="V533" s="156"/>
      <c r="W533" s="156"/>
      <c r="X533" s="156"/>
      <c r="Y533" s="156"/>
      <c r="Z533" s="156"/>
    </row>
    <row r="534">
      <c r="A534" s="156"/>
      <c r="B534" s="156"/>
      <c r="C534" s="156"/>
      <c r="D534" s="156"/>
      <c r="E534" s="156"/>
      <c r="F534" s="156"/>
      <c r="G534" s="156"/>
      <c r="H534" s="156"/>
      <c r="I534" s="156"/>
      <c r="J534" s="156"/>
      <c r="K534" s="156"/>
      <c r="L534" s="156"/>
      <c r="M534" s="156"/>
      <c r="N534" s="156"/>
      <c r="O534" s="156"/>
      <c r="P534" s="156"/>
      <c r="Q534" s="156"/>
      <c r="R534" s="156"/>
      <c r="S534" s="156"/>
      <c r="T534" s="156"/>
      <c r="U534" s="156"/>
      <c r="V534" s="156"/>
      <c r="W534" s="156"/>
      <c r="X534" s="156"/>
      <c r="Y534" s="156"/>
      <c r="Z534" s="156"/>
    </row>
    <row r="535">
      <c r="A535" s="156"/>
      <c r="B535" s="156"/>
      <c r="C535" s="156"/>
      <c r="D535" s="156"/>
      <c r="E535" s="156"/>
      <c r="F535" s="156"/>
      <c r="G535" s="156"/>
      <c r="H535" s="156"/>
      <c r="I535" s="156"/>
      <c r="J535" s="156"/>
      <c r="K535" s="156"/>
      <c r="L535" s="156"/>
      <c r="M535" s="156"/>
      <c r="N535" s="156"/>
      <c r="O535" s="156"/>
      <c r="P535" s="156"/>
      <c r="Q535" s="156"/>
      <c r="R535" s="156"/>
      <c r="S535" s="156"/>
      <c r="T535" s="156"/>
      <c r="U535" s="156"/>
      <c r="V535" s="156"/>
      <c r="W535" s="156"/>
      <c r="X535" s="156"/>
      <c r="Y535" s="156"/>
      <c r="Z535" s="156"/>
    </row>
    <row r="536">
      <c r="A536" s="156"/>
      <c r="B536" s="156"/>
      <c r="C536" s="156"/>
      <c r="D536" s="156"/>
      <c r="E536" s="156"/>
      <c r="F536" s="156"/>
      <c r="G536" s="156"/>
      <c r="H536" s="156"/>
      <c r="I536" s="156"/>
      <c r="J536" s="156"/>
      <c r="K536" s="156"/>
      <c r="L536" s="156"/>
      <c r="M536" s="156"/>
      <c r="N536" s="156"/>
      <c r="O536" s="156"/>
      <c r="P536" s="156"/>
      <c r="Q536" s="156"/>
      <c r="R536" s="156"/>
      <c r="S536" s="156"/>
      <c r="T536" s="156"/>
      <c r="U536" s="156"/>
      <c r="V536" s="156"/>
      <c r="W536" s="156"/>
      <c r="X536" s="156"/>
      <c r="Y536" s="156"/>
      <c r="Z536" s="156"/>
    </row>
    <row r="537">
      <c r="A537" s="156"/>
      <c r="B537" s="156"/>
      <c r="C537" s="156"/>
      <c r="D537" s="156"/>
      <c r="E537" s="156"/>
      <c r="F537" s="156"/>
      <c r="G537" s="156"/>
      <c r="H537" s="156"/>
      <c r="I537" s="156"/>
      <c r="J537" s="156"/>
      <c r="K537" s="156"/>
      <c r="L537" s="156"/>
      <c r="M537" s="156"/>
      <c r="N537" s="156"/>
      <c r="O537" s="156"/>
      <c r="P537" s="156"/>
      <c r="Q537" s="156"/>
      <c r="R537" s="156"/>
      <c r="S537" s="156"/>
      <c r="T537" s="156"/>
      <c r="U537" s="156"/>
      <c r="V537" s="156"/>
      <c r="W537" s="156"/>
      <c r="X537" s="156"/>
      <c r="Y537" s="156"/>
      <c r="Z537" s="156"/>
    </row>
    <row r="538">
      <c r="A538" s="156"/>
      <c r="B538" s="156"/>
      <c r="C538" s="156"/>
      <c r="D538" s="156"/>
      <c r="E538" s="156"/>
      <c r="F538" s="156"/>
      <c r="G538" s="156"/>
      <c r="H538" s="156"/>
      <c r="I538" s="156"/>
      <c r="J538" s="156"/>
      <c r="K538" s="156"/>
      <c r="L538" s="156"/>
      <c r="M538" s="156"/>
      <c r="N538" s="156"/>
      <c r="O538" s="156"/>
      <c r="P538" s="156"/>
      <c r="Q538" s="156"/>
      <c r="R538" s="156"/>
      <c r="S538" s="156"/>
      <c r="T538" s="156"/>
      <c r="U538" s="156"/>
      <c r="V538" s="156"/>
      <c r="W538" s="156"/>
      <c r="X538" s="156"/>
      <c r="Y538" s="156"/>
      <c r="Z538" s="156"/>
    </row>
    <row r="539">
      <c r="A539" s="156"/>
      <c r="B539" s="156"/>
      <c r="C539" s="156"/>
      <c r="D539" s="156"/>
      <c r="E539" s="156"/>
      <c r="F539" s="156"/>
      <c r="G539" s="156"/>
      <c r="H539" s="156"/>
      <c r="I539" s="156"/>
      <c r="J539" s="156"/>
      <c r="K539" s="156"/>
      <c r="L539" s="156"/>
      <c r="M539" s="156"/>
      <c r="N539" s="156"/>
      <c r="O539" s="156"/>
      <c r="P539" s="156"/>
      <c r="Q539" s="156"/>
      <c r="R539" s="156"/>
      <c r="S539" s="156"/>
      <c r="T539" s="156"/>
      <c r="U539" s="156"/>
      <c r="V539" s="156"/>
      <c r="W539" s="156"/>
      <c r="X539" s="156"/>
      <c r="Y539" s="156"/>
      <c r="Z539" s="156"/>
    </row>
    <row r="540">
      <c r="A540" s="156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</row>
    <row r="541">
      <c r="A541" s="156"/>
      <c r="B541" s="156"/>
      <c r="C541" s="156"/>
      <c r="D541" s="156"/>
      <c r="E541" s="156"/>
      <c r="F541" s="156"/>
      <c r="G541" s="156"/>
      <c r="H541" s="156"/>
      <c r="I541" s="156"/>
      <c r="J541" s="156"/>
      <c r="K541" s="156"/>
      <c r="L541" s="156"/>
      <c r="M541" s="156"/>
      <c r="N541" s="156"/>
      <c r="O541" s="156"/>
      <c r="P541" s="156"/>
      <c r="Q541" s="156"/>
      <c r="R541" s="156"/>
      <c r="S541" s="156"/>
      <c r="T541" s="156"/>
      <c r="U541" s="156"/>
      <c r="V541" s="156"/>
      <c r="W541" s="156"/>
      <c r="X541" s="156"/>
      <c r="Y541" s="156"/>
      <c r="Z541" s="156"/>
    </row>
    <row r="542">
      <c r="A542" s="156"/>
      <c r="B542" s="156"/>
      <c r="C542" s="156"/>
      <c r="D542" s="156"/>
      <c r="E542" s="156"/>
      <c r="F542" s="156"/>
      <c r="G542" s="156"/>
      <c r="H542" s="156"/>
      <c r="I542" s="156"/>
      <c r="J542" s="156"/>
      <c r="K542" s="156"/>
      <c r="L542" s="156"/>
      <c r="M542" s="156"/>
      <c r="N542" s="156"/>
      <c r="O542" s="156"/>
      <c r="P542" s="156"/>
      <c r="Q542" s="156"/>
      <c r="R542" s="156"/>
      <c r="S542" s="156"/>
      <c r="T542" s="156"/>
      <c r="U542" s="156"/>
      <c r="V542" s="156"/>
      <c r="W542" s="156"/>
      <c r="X542" s="156"/>
      <c r="Y542" s="156"/>
      <c r="Z542" s="156"/>
    </row>
    <row r="543">
      <c r="A543" s="156"/>
      <c r="B543" s="156"/>
      <c r="C543" s="156"/>
      <c r="D543" s="156"/>
      <c r="E543" s="156"/>
      <c r="F543" s="156"/>
      <c r="G543" s="156"/>
      <c r="H543" s="156"/>
      <c r="I543" s="156"/>
      <c r="J543" s="156"/>
      <c r="K543" s="156"/>
      <c r="L543" s="156"/>
      <c r="M543" s="156"/>
      <c r="N543" s="156"/>
      <c r="O543" s="156"/>
      <c r="P543" s="156"/>
      <c r="Q543" s="156"/>
      <c r="R543" s="156"/>
      <c r="S543" s="156"/>
      <c r="T543" s="156"/>
      <c r="U543" s="156"/>
      <c r="V543" s="156"/>
      <c r="W543" s="156"/>
      <c r="X543" s="156"/>
      <c r="Y543" s="156"/>
      <c r="Z543" s="156"/>
    </row>
    <row r="544">
      <c r="A544" s="156"/>
      <c r="B544" s="156"/>
      <c r="C544" s="156"/>
      <c r="D544" s="156"/>
      <c r="E544" s="156"/>
      <c r="F544" s="156"/>
      <c r="G544" s="156"/>
      <c r="H544" s="156"/>
      <c r="I544" s="156"/>
      <c r="J544" s="156"/>
      <c r="K544" s="156"/>
      <c r="L544" s="156"/>
      <c r="M544" s="156"/>
      <c r="N544" s="156"/>
      <c r="O544" s="156"/>
      <c r="P544" s="156"/>
      <c r="Q544" s="156"/>
      <c r="R544" s="156"/>
      <c r="S544" s="156"/>
      <c r="T544" s="156"/>
      <c r="U544" s="156"/>
      <c r="V544" s="156"/>
      <c r="W544" s="156"/>
      <c r="X544" s="156"/>
      <c r="Y544" s="156"/>
      <c r="Z544" s="156"/>
    </row>
    <row r="545">
      <c r="A545" s="156"/>
      <c r="B545" s="156"/>
      <c r="C545" s="156"/>
      <c r="D545" s="156"/>
      <c r="E545" s="156"/>
      <c r="F545" s="156"/>
      <c r="G545" s="156"/>
      <c r="H545" s="156"/>
      <c r="I545" s="156"/>
      <c r="J545" s="156"/>
      <c r="K545" s="156"/>
      <c r="L545" s="156"/>
      <c r="M545" s="156"/>
      <c r="N545" s="156"/>
      <c r="O545" s="156"/>
      <c r="P545" s="156"/>
      <c r="Q545" s="156"/>
      <c r="R545" s="156"/>
      <c r="S545" s="156"/>
      <c r="T545" s="156"/>
      <c r="U545" s="156"/>
      <c r="V545" s="156"/>
      <c r="W545" s="156"/>
      <c r="X545" s="156"/>
      <c r="Y545" s="156"/>
      <c r="Z545" s="156"/>
    </row>
    <row r="546">
      <c r="A546" s="156"/>
      <c r="B546" s="156"/>
      <c r="C546" s="156"/>
      <c r="D546" s="156"/>
      <c r="E546" s="156"/>
      <c r="F546" s="156"/>
      <c r="G546" s="156"/>
      <c r="H546" s="156"/>
      <c r="I546" s="156"/>
      <c r="J546" s="156"/>
      <c r="K546" s="156"/>
      <c r="L546" s="156"/>
      <c r="M546" s="156"/>
      <c r="N546" s="156"/>
      <c r="O546" s="156"/>
      <c r="P546" s="156"/>
      <c r="Q546" s="156"/>
      <c r="R546" s="156"/>
      <c r="S546" s="156"/>
      <c r="T546" s="156"/>
      <c r="U546" s="156"/>
      <c r="V546" s="156"/>
      <c r="W546" s="156"/>
      <c r="X546" s="156"/>
      <c r="Y546" s="156"/>
      <c r="Z546" s="156"/>
    </row>
    <row r="547">
      <c r="A547" s="156"/>
      <c r="B547" s="156"/>
      <c r="C547" s="156"/>
      <c r="D547" s="156"/>
      <c r="E547" s="156"/>
      <c r="F547" s="156"/>
      <c r="G547" s="156"/>
      <c r="H547" s="156"/>
      <c r="I547" s="156"/>
      <c r="J547" s="156"/>
      <c r="K547" s="156"/>
      <c r="L547" s="156"/>
      <c r="M547" s="156"/>
      <c r="N547" s="156"/>
      <c r="O547" s="156"/>
      <c r="P547" s="156"/>
      <c r="Q547" s="156"/>
      <c r="R547" s="156"/>
      <c r="S547" s="156"/>
      <c r="T547" s="156"/>
      <c r="U547" s="156"/>
      <c r="V547" s="156"/>
      <c r="W547" s="156"/>
      <c r="X547" s="156"/>
      <c r="Y547" s="156"/>
      <c r="Z547" s="156"/>
    </row>
    <row r="548">
      <c r="A548" s="156"/>
      <c r="B548" s="156"/>
      <c r="C548" s="156"/>
      <c r="D548" s="156"/>
      <c r="E548" s="156"/>
      <c r="F548" s="156"/>
      <c r="G548" s="156"/>
      <c r="H548" s="156"/>
      <c r="I548" s="156"/>
      <c r="J548" s="156"/>
      <c r="K548" s="156"/>
      <c r="L548" s="156"/>
      <c r="M548" s="156"/>
      <c r="N548" s="156"/>
      <c r="O548" s="156"/>
      <c r="P548" s="156"/>
      <c r="Q548" s="156"/>
      <c r="R548" s="156"/>
      <c r="S548" s="156"/>
      <c r="T548" s="156"/>
      <c r="U548" s="156"/>
      <c r="V548" s="156"/>
      <c r="W548" s="156"/>
      <c r="X548" s="156"/>
      <c r="Y548" s="156"/>
      <c r="Z548" s="156"/>
    </row>
    <row r="549">
      <c r="A549" s="156"/>
      <c r="B549" s="156"/>
      <c r="C549" s="156"/>
      <c r="D549" s="156"/>
      <c r="E549" s="156"/>
      <c r="F549" s="156"/>
      <c r="G549" s="156"/>
      <c r="H549" s="156"/>
      <c r="I549" s="156"/>
      <c r="J549" s="156"/>
      <c r="K549" s="156"/>
      <c r="L549" s="156"/>
      <c r="M549" s="156"/>
      <c r="N549" s="156"/>
      <c r="O549" s="156"/>
      <c r="P549" s="156"/>
      <c r="Q549" s="156"/>
      <c r="R549" s="156"/>
      <c r="S549" s="156"/>
      <c r="T549" s="156"/>
      <c r="U549" s="156"/>
      <c r="V549" s="156"/>
      <c r="W549" s="156"/>
      <c r="X549" s="156"/>
      <c r="Y549" s="156"/>
      <c r="Z549" s="156"/>
    </row>
    <row r="550">
      <c r="A550" s="156"/>
      <c r="B550" s="156"/>
      <c r="C550" s="156"/>
      <c r="D550" s="156"/>
      <c r="E550" s="156"/>
      <c r="F550" s="156"/>
      <c r="G550" s="156"/>
      <c r="H550" s="156"/>
      <c r="I550" s="156"/>
      <c r="J550" s="156"/>
      <c r="K550" s="156"/>
      <c r="L550" s="156"/>
      <c r="M550" s="156"/>
      <c r="N550" s="156"/>
      <c r="O550" s="156"/>
      <c r="P550" s="156"/>
      <c r="Q550" s="156"/>
      <c r="R550" s="156"/>
      <c r="S550" s="156"/>
      <c r="T550" s="156"/>
      <c r="U550" s="156"/>
      <c r="V550" s="156"/>
      <c r="W550" s="156"/>
      <c r="X550" s="156"/>
      <c r="Y550" s="156"/>
      <c r="Z550" s="156"/>
    </row>
    <row r="551">
      <c r="A551" s="156"/>
      <c r="B551" s="156"/>
      <c r="C551" s="156"/>
      <c r="D551" s="156"/>
      <c r="E551" s="156"/>
      <c r="F551" s="156"/>
      <c r="G551" s="156"/>
      <c r="H551" s="156"/>
      <c r="I551" s="156"/>
      <c r="J551" s="156"/>
      <c r="K551" s="156"/>
      <c r="L551" s="156"/>
      <c r="M551" s="156"/>
      <c r="N551" s="156"/>
      <c r="O551" s="156"/>
      <c r="P551" s="156"/>
      <c r="Q551" s="156"/>
      <c r="R551" s="156"/>
      <c r="S551" s="156"/>
      <c r="T551" s="156"/>
      <c r="U551" s="156"/>
      <c r="V551" s="156"/>
      <c r="W551" s="156"/>
      <c r="X551" s="156"/>
      <c r="Y551" s="156"/>
      <c r="Z551" s="156"/>
    </row>
    <row r="552">
      <c r="A552" s="156"/>
      <c r="B552" s="156"/>
      <c r="C552" s="156"/>
      <c r="D552" s="156"/>
      <c r="E552" s="156"/>
      <c r="F552" s="156"/>
      <c r="G552" s="156"/>
      <c r="H552" s="156"/>
      <c r="I552" s="156"/>
      <c r="J552" s="156"/>
      <c r="K552" s="156"/>
      <c r="L552" s="156"/>
      <c r="M552" s="156"/>
      <c r="N552" s="156"/>
      <c r="O552" s="156"/>
      <c r="P552" s="156"/>
      <c r="Q552" s="156"/>
      <c r="R552" s="156"/>
      <c r="S552" s="156"/>
      <c r="T552" s="156"/>
      <c r="U552" s="156"/>
      <c r="V552" s="156"/>
      <c r="W552" s="156"/>
      <c r="X552" s="156"/>
      <c r="Y552" s="156"/>
      <c r="Z552" s="156"/>
    </row>
    <row r="553">
      <c r="A553" s="156"/>
      <c r="B553" s="156"/>
      <c r="C553" s="156"/>
      <c r="D553" s="156"/>
      <c r="E553" s="156"/>
      <c r="F553" s="156"/>
      <c r="G553" s="156"/>
      <c r="H553" s="156"/>
      <c r="I553" s="156"/>
      <c r="J553" s="156"/>
      <c r="K553" s="156"/>
      <c r="L553" s="156"/>
      <c r="M553" s="156"/>
      <c r="N553" s="156"/>
      <c r="O553" s="156"/>
      <c r="P553" s="156"/>
      <c r="Q553" s="156"/>
      <c r="R553" s="156"/>
      <c r="S553" s="156"/>
      <c r="T553" s="156"/>
      <c r="U553" s="156"/>
      <c r="V553" s="156"/>
      <c r="W553" s="156"/>
      <c r="X553" s="156"/>
      <c r="Y553" s="156"/>
      <c r="Z553" s="156"/>
    </row>
    <row r="554">
      <c r="A554" s="156"/>
      <c r="B554" s="156"/>
      <c r="C554" s="156"/>
      <c r="D554" s="156"/>
      <c r="E554" s="156"/>
      <c r="F554" s="156"/>
      <c r="G554" s="156"/>
      <c r="H554" s="156"/>
      <c r="I554" s="156"/>
      <c r="J554" s="156"/>
      <c r="K554" s="156"/>
      <c r="L554" s="156"/>
      <c r="M554" s="156"/>
      <c r="N554" s="156"/>
      <c r="O554" s="156"/>
      <c r="P554" s="156"/>
      <c r="Q554" s="156"/>
      <c r="R554" s="156"/>
      <c r="S554" s="156"/>
      <c r="T554" s="156"/>
      <c r="U554" s="156"/>
      <c r="V554" s="156"/>
      <c r="W554" s="156"/>
      <c r="X554" s="156"/>
      <c r="Y554" s="156"/>
      <c r="Z554" s="156"/>
    </row>
    <row r="555">
      <c r="A555" s="156"/>
      <c r="B555" s="156"/>
      <c r="C555" s="156"/>
      <c r="D555" s="156"/>
      <c r="E555" s="156"/>
      <c r="F555" s="156"/>
      <c r="G555" s="156"/>
      <c r="H555" s="156"/>
      <c r="I555" s="156"/>
      <c r="J555" s="156"/>
      <c r="K555" s="156"/>
      <c r="L555" s="156"/>
      <c r="M555" s="156"/>
      <c r="N555" s="156"/>
      <c r="O555" s="156"/>
      <c r="P555" s="156"/>
      <c r="Q555" s="156"/>
      <c r="R555" s="156"/>
      <c r="S555" s="156"/>
      <c r="T555" s="156"/>
      <c r="U555" s="156"/>
      <c r="V555" s="156"/>
      <c r="W555" s="156"/>
      <c r="X555" s="156"/>
      <c r="Y555" s="156"/>
      <c r="Z555" s="156"/>
    </row>
    <row r="556">
      <c r="A556" s="156"/>
      <c r="B556" s="156"/>
      <c r="C556" s="156"/>
      <c r="D556" s="156"/>
      <c r="E556" s="156"/>
      <c r="F556" s="156"/>
      <c r="G556" s="156"/>
      <c r="H556" s="156"/>
      <c r="I556" s="156"/>
      <c r="J556" s="156"/>
      <c r="K556" s="156"/>
      <c r="L556" s="156"/>
      <c r="M556" s="156"/>
      <c r="N556" s="156"/>
      <c r="O556" s="156"/>
      <c r="P556" s="156"/>
      <c r="Q556" s="156"/>
      <c r="R556" s="156"/>
      <c r="S556" s="156"/>
      <c r="T556" s="156"/>
      <c r="U556" s="156"/>
      <c r="V556" s="156"/>
      <c r="W556" s="156"/>
      <c r="X556" s="156"/>
      <c r="Y556" s="156"/>
      <c r="Z556" s="156"/>
    </row>
    <row r="557">
      <c r="A557" s="156"/>
      <c r="B557" s="156"/>
      <c r="C557" s="156"/>
      <c r="D557" s="156"/>
      <c r="E557" s="156"/>
      <c r="F557" s="156"/>
      <c r="G557" s="156"/>
      <c r="H557" s="156"/>
      <c r="I557" s="156"/>
      <c r="J557" s="156"/>
      <c r="K557" s="156"/>
      <c r="L557" s="156"/>
      <c r="M557" s="156"/>
      <c r="N557" s="156"/>
      <c r="O557" s="156"/>
      <c r="P557" s="156"/>
      <c r="Q557" s="156"/>
      <c r="R557" s="156"/>
      <c r="S557" s="156"/>
      <c r="T557" s="156"/>
      <c r="U557" s="156"/>
      <c r="V557" s="156"/>
      <c r="W557" s="156"/>
      <c r="X557" s="156"/>
      <c r="Y557" s="156"/>
      <c r="Z557" s="156"/>
    </row>
    <row r="558">
      <c r="A558" s="156"/>
      <c r="B558" s="156"/>
      <c r="C558" s="156"/>
      <c r="D558" s="156"/>
      <c r="E558" s="156"/>
      <c r="F558" s="156"/>
      <c r="G558" s="156"/>
      <c r="H558" s="156"/>
      <c r="I558" s="156"/>
      <c r="J558" s="156"/>
      <c r="K558" s="156"/>
      <c r="L558" s="156"/>
      <c r="M558" s="156"/>
      <c r="N558" s="156"/>
      <c r="O558" s="156"/>
      <c r="P558" s="156"/>
      <c r="Q558" s="156"/>
      <c r="R558" s="156"/>
      <c r="S558" s="156"/>
      <c r="T558" s="156"/>
      <c r="U558" s="156"/>
      <c r="V558" s="156"/>
      <c r="W558" s="156"/>
      <c r="X558" s="156"/>
      <c r="Y558" s="156"/>
      <c r="Z558" s="156"/>
    </row>
    <row r="559">
      <c r="A559" s="156"/>
      <c r="B559" s="156"/>
      <c r="C559" s="156"/>
      <c r="D559" s="156"/>
      <c r="E559" s="156"/>
      <c r="F559" s="156"/>
      <c r="G559" s="156"/>
      <c r="H559" s="156"/>
      <c r="I559" s="156"/>
      <c r="J559" s="156"/>
      <c r="K559" s="156"/>
      <c r="L559" s="156"/>
      <c r="M559" s="156"/>
      <c r="N559" s="156"/>
      <c r="O559" s="156"/>
      <c r="P559" s="156"/>
      <c r="Q559" s="156"/>
      <c r="R559" s="156"/>
      <c r="S559" s="156"/>
      <c r="T559" s="156"/>
      <c r="U559" s="156"/>
      <c r="V559" s="156"/>
      <c r="W559" s="156"/>
      <c r="X559" s="156"/>
      <c r="Y559" s="156"/>
      <c r="Z559" s="156"/>
    </row>
    <row r="560">
      <c r="A560" s="156"/>
      <c r="B560" s="156"/>
      <c r="C560" s="156"/>
      <c r="D560" s="156"/>
      <c r="E560" s="156"/>
      <c r="F560" s="156"/>
      <c r="G560" s="156"/>
      <c r="H560" s="156"/>
      <c r="I560" s="156"/>
      <c r="J560" s="156"/>
      <c r="K560" s="156"/>
      <c r="L560" s="156"/>
      <c r="M560" s="156"/>
      <c r="N560" s="156"/>
      <c r="O560" s="156"/>
      <c r="P560" s="156"/>
      <c r="Q560" s="156"/>
      <c r="R560" s="156"/>
      <c r="S560" s="156"/>
      <c r="T560" s="156"/>
      <c r="U560" s="156"/>
      <c r="V560" s="156"/>
      <c r="W560" s="156"/>
      <c r="X560" s="156"/>
      <c r="Y560" s="156"/>
      <c r="Z560" s="156"/>
    </row>
    <row r="561">
      <c r="A561" s="156"/>
      <c r="B561" s="156"/>
      <c r="C561" s="156"/>
      <c r="D561" s="156"/>
      <c r="E561" s="156"/>
      <c r="F561" s="156"/>
      <c r="G561" s="156"/>
      <c r="H561" s="156"/>
      <c r="I561" s="156"/>
      <c r="J561" s="156"/>
      <c r="K561" s="156"/>
      <c r="L561" s="156"/>
      <c r="M561" s="156"/>
      <c r="N561" s="156"/>
      <c r="O561" s="156"/>
      <c r="P561" s="156"/>
      <c r="Q561" s="156"/>
      <c r="R561" s="156"/>
      <c r="S561" s="156"/>
      <c r="T561" s="156"/>
      <c r="U561" s="156"/>
      <c r="V561" s="156"/>
      <c r="W561" s="156"/>
      <c r="X561" s="156"/>
      <c r="Y561" s="156"/>
      <c r="Z561" s="156"/>
    </row>
    <row r="562">
      <c r="A562" s="156"/>
      <c r="B562" s="156"/>
      <c r="C562" s="156"/>
      <c r="D562" s="156"/>
      <c r="E562" s="156"/>
      <c r="F562" s="156"/>
      <c r="G562" s="156"/>
      <c r="H562" s="156"/>
      <c r="I562" s="156"/>
      <c r="J562" s="156"/>
      <c r="K562" s="156"/>
      <c r="L562" s="156"/>
      <c r="M562" s="156"/>
      <c r="N562" s="156"/>
      <c r="O562" s="156"/>
      <c r="P562" s="156"/>
      <c r="Q562" s="156"/>
      <c r="R562" s="156"/>
      <c r="S562" s="156"/>
      <c r="T562" s="156"/>
      <c r="U562" s="156"/>
      <c r="V562" s="156"/>
      <c r="W562" s="156"/>
      <c r="X562" s="156"/>
      <c r="Y562" s="156"/>
      <c r="Z562" s="156"/>
    </row>
    <row r="563">
      <c r="A563" s="156"/>
      <c r="B563" s="156"/>
      <c r="C563" s="156"/>
      <c r="D563" s="156"/>
      <c r="E563" s="156"/>
      <c r="F563" s="156"/>
      <c r="G563" s="156"/>
      <c r="H563" s="156"/>
      <c r="I563" s="156"/>
      <c r="J563" s="156"/>
      <c r="K563" s="156"/>
      <c r="L563" s="156"/>
      <c r="M563" s="156"/>
      <c r="N563" s="156"/>
      <c r="O563" s="156"/>
      <c r="P563" s="156"/>
      <c r="Q563" s="156"/>
      <c r="R563" s="156"/>
      <c r="S563" s="156"/>
      <c r="T563" s="156"/>
      <c r="U563" s="156"/>
      <c r="V563" s="156"/>
      <c r="W563" s="156"/>
      <c r="X563" s="156"/>
      <c r="Y563" s="156"/>
      <c r="Z563" s="156"/>
    </row>
    <row r="564">
      <c r="A564" s="156"/>
      <c r="B564" s="156"/>
      <c r="C564" s="156"/>
      <c r="D564" s="156"/>
      <c r="E564" s="156"/>
      <c r="F564" s="156"/>
      <c r="G564" s="156"/>
      <c r="H564" s="156"/>
      <c r="I564" s="156"/>
      <c r="J564" s="156"/>
      <c r="K564" s="156"/>
      <c r="L564" s="156"/>
      <c r="M564" s="156"/>
      <c r="N564" s="156"/>
      <c r="O564" s="156"/>
      <c r="P564" s="156"/>
      <c r="Q564" s="156"/>
      <c r="R564" s="156"/>
      <c r="S564" s="156"/>
      <c r="T564" s="156"/>
      <c r="U564" s="156"/>
      <c r="V564" s="156"/>
      <c r="W564" s="156"/>
      <c r="X564" s="156"/>
      <c r="Y564" s="156"/>
      <c r="Z564" s="156"/>
    </row>
    <row r="565">
      <c r="A565" s="156"/>
      <c r="B565" s="156"/>
      <c r="C565" s="156"/>
      <c r="D565" s="156"/>
      <c r="E565" s="156"/>
      <c r="F565" s="156"/>
      <c r="G565" s="156"/>
      <c r="H565" s="156"/>
      <c r="I565" s="156"/>
      <c r="J565" s="156"/>
      <c r="K565" s="156"/>
      <c r="L565" s="156"/>
      <c r="M565" s="156"/>
      <c r="N565" s="156"/>
      <c r="O565" s="156"/>
      <c r="P565" s="156"/>
      <c r="Q565" s="156"/>
      <c r="R565" s="156"/>
      <c r="S565" s="156"/>
      <c r="T565" s="156"/>
      <c r="U565" s="156"/>
      <c r="V565" s="156"/>
      <c r="W565" s="156"/>
      <c r="X565" s="156"/>
      <c r="Y565" s="156"/>
      <c r="Z565" s="156"/>
    </row>
    <row r="566">
      <c r="A566" s="156"/>
      <c r="B566" s="156"/>
      <c r="C566" s="156"/>
      <c r="D566" s="156"/>
      <c r="E566" s="156"/>
      <c r="F566" s="156"/>
      <c r="G566" s="156"/>
      <c r="H566" s="156"/>
      <c r="I566" s="156"/>
      <c r="J566" s="156"/>
      <c r="K566" s="156"/>
      <c r="L566" s="156"/>
      <c r="M566" s="156"/>
      <c r="N566" s="156"/>
      <c r="O566" s="156"/>
      <c r="P566" s="156"/>
      <c r="Q566" s="156"/>
      <c r="R566" s="156"/>
      <c r="S566" s="156"/>
      <c r="T566" s="156"/>
      <c r="U566" s="156"/>
      <c r="V566" s="156"/>
      <c r="W566" s="156"/>
      <c r="X566" s="156"/>
      <c r="Y566" s="156"/>
      <c r="Z566" s="156"/>
    </row>
    <row r="567">
      <c r="A567" s="156"/>
      <c r="B567" s="156"/>
      <c r="C567" s="156"/>
      <c r="D567" s="156"/>
      <c r="E567" s="156"/>
      <c r="F567" s="156"/>
      <c r="G567" s="156"/>
      <c r="H567" s="156"/>
      <c r="I567" s="156"/>
      <c r="J567" s="156"/>
      <c r="K567" s="156"/>
      <c r="L567" s="156"/>
      <c r="M567" s="156"/>
      <c r="N567" s="156"/>
      <c r="O567" s="156"/>
      <c r="P567" s="156"/>
      <c r="Q567" s="156"/>
      <c r="R567" s="156"/>
      <c r="S567" s="156"/>
      <c r="T567" s="156"/>
      <c r="U567" s="156"/>
      <c r="V567" s="156"/>
      <c r="W567" s="156"/>
      <c r="X567" s="156"/>
      <c r="Y567" s="156"/>
      <c r="Z567" s="156"/>
    </row>
    <row r="568">
      <c r="A568" s="156"/>
      <c r="B568" s="156"/>
      <c r="C568" s="156"/>
      <c r="D568" s="156"/>
      <c r="E568" s="156"/>
      <c r="F568" s="156"/>
      <c r="G568" s="156"/>
      <c r="H568" s="156"/>
      <c r="I568" s="156"/>
      <c r="J568" s="156"/>
      <c r="K568" s="156"/>
      <c r="L568" s="156"/>
      <c r="M568" s="156"/>
      <c r="N568" s="156"/>
      <c r="O568" s="156"/>
      <c r="P568" s="156"/>
      <c r="Q568" s="156"/>
      <c r="R568" s="156"/>
      <c r="S568" s="156"/>
      <c r="T568" s="156"/>
      <c r="U568" s="156"/>
      <c r="V568" s="156"/>
      <c r="W568" s="156"/>
      <c r="X568" s="156"/>
      <c r="Y568" s="156"/>
      <c r="Z568" s="156"/>
    </row>
    <row r="569">
      <c r="A569" s="156"/>
      <c r="B569" s="156"/>
      <c r="C569" s="156"/>
      <c r="D569" s="156"/>
      <c r="E569" s="156"/>
      <c r="F569" s="156"/>
      <c r="G569" s="156"/>
      <c r="H569" s="156"/>
      <c r="I569" s="156"/>
      <c r="J569" s="156"/>
      <c r="K569" s="156"/>
      <c r="L569" s="156"/>
      <c r="M569" s="156"/>
      <c r="N569" s="156"/>
      <c r="O569" s="156"/>
      <c r="P569" s="156"/>
      <c r="Q569" s="156"/>
      <c r="R569" s="156"/>
      <c r="S569" s="156"/>
      <c r="T569" s="156"/>
      <c r="U569" s="156"/>
      <c r="V569" s="156"/>
      <c r="W569" s="156"/>
      <c r="X569" s="156"/>
      <c r="Y569" s="156"/>
      <c r="Z569" s="156"/>
    </row>
    <row r="570">
      <c r="A570" s="156"/>
      <c r="B570" s="156"/>
      <c r="C570" s="156"/>
      <c r="D570" s="156"/>
      <c r="E570" s="156"/>
      <c r="F570" s="156"/>
      <c r="G570" s="156"/>
      <c r="H570" s="156"/>
      <c r="I570" s="156"/>
      <c r="J570" s="156"/>
      <c r="K570" s="156"/>
      <c r="L570" s="156"/>
      <c r="M570" s="156"/>
      <c r="N570" s="156"/>
      <c r="O570" s="156"/>
      <c r="P570" s="156"/>
      <c r="Q570" s="156"/>
      <c r="R570" s="156"/>
      <c r="S570" s="156"/>
      <c r="T570" s="156"/>
      <c r="U570" s="156"/>
      <c r="V570" s="156"/>
      <c r="W570" s="156"/>
      <c r="X570" s="156"/>
      <c r="Y570" s="156"/>
      <c r="Z570" s="156"/>
    </row>
    <row r="571">
      <c r="A571" s="156"/>
      <c r="B571" s="156"/>
      <c r="C571" s="156"/>
      <c r="D571" s="156"/>
      <c r="E571" s="156"/>
      <c r="F571" s="156"/>
      <c r="G571" s="156"/>
      <c r="H571" s="156"/>
      <c r="I571" s="156"/>
      <c r="J571" s="156"/>
      <c r="K571" s="156"/>
      <c r="L571" s="156"/>
      <c r="M571" s="156"/>
      <c r="N571" s="156"/>
      <c r="O571" s="156"/>
      <c r="P571" s="156"/>
      <c r="Q571" s="156"/>
      <c r="R571" s="156"/>
      <c r="S571" s="156"/>
      <c r="T571" s="156"/>
      <c r="U571" s="156"/>
      <c r="V571" s="156"/>
      <c r="W571" s="156"/>
      <c r="X571" s="156"/>
      <c r="Y571" s="156"/>
      <c r="Z571" s="156"/>
    </row>
    <row r="572">
      <c r="A572" s="156"/>
      <c r="B572" s="156"/>
      <c r="C572" s="156"/>
      <c r="D572" s="156"/>
      <c r="E572" s="156"/>
      <c r="F572" s="156"/>
      <c r="G572" s="156"/>
      <c r="H572" s="156"/>
      <c r="I572" s="156"/>
      <c r="J572" s="156"/>
      <c r="K572" s="156"/>
      <c r="L572" s="156"/>
      <c r="M572" s="156"/>
      <c r="N572" s="156"/>
      <c r="O572" s="156"/>
      <c r="P572" s="156"/>
      <c r="Q572" s="156"/>
      <c r="R572" s="156"/>
      <c r="S572" s="156"/>
      <c r="T572" s="156"/>
      <c r="U572" s="156"/>
      <c r="V572" s="156"/>
      <c r="W572" s="156"/>
      <c r="X572" s="156"/>
      <c r="Y572" s="156"/>
      <c r="Z572" s="156"/>
    </row>
    <row r="573">
      <c r="A573" s="156"/>
      <c r="B573" s="156"/>
      <c r="C573" s="156"/>
      <c r="D573" s="156"/>
      <c r="E573" s="156"/>
      <c r="F573" s="156"/>
      <c r="G573" s="156"/>
      <c r="H573" s="156"/>
      <c r="I573" s="156"/>
      <c r="J573" s="156"/>
      <c r="K573" s="156"/>
      <c r="L573" s="156"/>
      <c r="M573" s="156"/>
      <c r="N573" s="156"/>
      <c r="O573" s="156"/>
      <c r="P573" s="156"/>
      <c r="Q573" s="156"/>
      <c r="R573" s="156"/>
      <c r="S573" s="156"/>
      <c r="T573" s="156"/>
      <c r="U573" s="156"/>
      <c r="V573" s="156"/>
      <c r="W573" s="156"/>
      <c r="X573" s="156"/>
      <c r="Y573" s="156"/>
      <c r="Z573" s="156"/>
    </row>
    <row r="574">
      <c r="A574" s="156"/>
      <c r="B574" s="156"/>
      <c r="C574" s="156"/>
      <c r="D574" s="156"/>
      <c r="E574" s="156"/>
      <c r="F574" s="156"/>
      <c r="G574" s="156"/>
      <c r="H574" s="156"/>
      <c r="I574" s="156"/>
      <c r="J574" s="156"/>
      <c r="K574" s="156"/>
      <c r="L574" s="156"/>
      <c r="M574" s="156"/>
      <c r="N574" s="156"/>
      <c r="O574" s="156"/>
      <c r="P574" s="156"/>
      <c r="Q574" s="156"/>
      <c r="R574" s="156"/>
      <c r="S574" s="156"/>
      <c r="T574" s="156"/>
      <c r="U574" s="156"/>
      <c r="V574" s="156"/>
      <c r="W574" s="156"/>
      <c r="X574" s="156"/>
      <c r="Y574" s="156"/>
      <c r="Z574" s="156"/>
    </row>
    <row r="575">
      <c r="A575" s="156"/>
      <c r="B575" s="156"/>
      <c r="C575" s="156"/>
      <c r="D575" s="156"/>
      <c r="E575" s="156"/>
      <c r="F575" s="156"/>
      <c r="G575" s="156"/>
      <c r="H575" s="156"/>
      <c r="I575" s="156"/>
      <c r="J575" s="156"/>
      <c r="K575" s="156"/>
      <c r="L575" s="156"/>
      <c r="M575" s="156"/>
      <c r="N575" s="156"/>
      <c r="O575" s="156"/>
      <c r="P575" s="156"/>
      <c r="Q575" s="156"/>
      <c r="R575" s="156"/>
      <c r="S575" s="156"/>
      <c r="T575" s="156"/>
      <c r="U575" s="156"/>
      <c r="V575" s="156"/>
      <c r="W575" s="156"/>
      <c r="X575" s="156"/>
      <c r="Y575" s="156"/>
      <c r="Z575" s="156"/>
    </row>
    <row r="576">
      <c r="A576" s="156"/>
      <c r="B576" s="156"/>
      <c r="C576" s="156"/>
      <c r="D576" s="156"/>
      <c r="E576" s="156"/>
      <c r="F576" s="156"/>
      <c r="G576" s="156"/>
      <c r="H576" s="156"/>
      <c r="I576" s="156"/>
      <c r="J576" s="156"/>
      <c r="K576" s="156"/>
      <c r="L576" s="156"/>
      <c r="M576" s="156"/>
      <c r="N576" s="156"/>
      <c r="O576" s="156"/>
      <c r="P576" s="156"/>
      <c r="Q576" s="156"/>
      <c r="R576" s="156"/>
      <c r="S576" s="156"/>
      <c r="T576" s="156"/>
      <c r="U576" s="156"/>
      <c r="V576" s="156"/>
      <c r="W576" s="156"/>
      <c r="X576" s="156"/>
      <c r="Y576" s="156"/>
      <c r="Z576" s="156"/>
    </row>
    <row r="577">
      <c r="A577" s="156"/>
      <c r="B577" s="156"/>
      <c r="C577" s="156"/>
      <c r="D577" s="156"/>
      <c r="E577" s="156"/>
      <c r="F577" s="156"/>
      <c r="G577" s="156"/>
      <c r="H577" s="156"/>
      <c r="I577" s="156"/>
      <c r="J577" s="156"/>
      <c r="K577" s="156"/>
      <c r="L577" s="156"/>
      <c r="M577" s="156"/>
      <c r="N577" s="156"/>
      <c r="O577" s="156"/>
      <c r="P577" s="156"/>
      <c r="Q577" s="156"/>
      <c r="R577" s="156"/>
      <c r="S577" s="156"/>
      <c r="T577" s="156"/>
      <c r="U577" s="156"/>
      <c r="V577" s="156"/>
      <c r="W577" s="156"/>
      <c r="X577" s="156"/>
      <c r="Y577" s="156"/>
      <c r="Z577" s="156"/>
    </row>
    <row r="578">
      <c r="A578" s="156"/>
      <c r="B578" s="156"/>
      <c r="C578" s="156"/>
      <c r="D578" s="156"/>
      <c r="E578" s="156"/>
      <c r="F578" s="156"/>
      <c r="G578" s="156"/>
      <c r="H578" s="156"/>
      <c r="I578" s="156"/>
      <c r="J578" s="156"/>
      <c r="K578" s="156"/>
      <c r="L578" s="156"/>
      <c r="M578" s="156"/>
      <c r="N578" s="156"/>
      <c r="O578" s="156"/>
      <c r="P578" s="156"/>
      <c r="Q578" s="156"/>
      <c r="R578" s="156"/>
      <c r="S578" s="156"/>
      <c r="T578" s="156"/>
      <c r="U578" s="156"/>
      <c r="V578" s="156"/>
      <c r="W578" s="156"/>
      <c r="X578" s="156"/>
      <c r="Y578" s="156"/>
      <c r="Z578" s="156"/>
    </row>
    <row r="579">
      <c r="A579" s="156"/>
      <c r="B579" s="156"/>
      <c r="C579" s="156"/>
      <c r="D579" s="156"/>
      <c r="E579" s="156"/>
      <c r="F579" s="156"/>
      <c r="G579" s="156"/>
      <c r="H579" s="156"/>
      <c r="I579" s="156"/>
      <c r="J579" s="156"/>
      <c r="K579" s="156"/>
      <c r="L579" s="156"/>
      <c r="M579" s="156"/>
      <c r="N579" s="156"/>
      <c r="O579" s="156"/>
      <c r="P579" s="156"/>
      <c r="Q579" s="156"/>
      <c r="R579" s="156"/>
      <c r="S579" s="156"/>
      <c r="T579" s="156"/>
      <c r="U579" s="156"/>
      <c r="V579" s="156"/>
      <c r="W579" s="156"/>
      <c r="X579" s="156"/>
      <c r="Y579" s="156"/>
      <c r="Z579" s="156"/>
    </row>
    <row r="580">
      <c r="A580" s="156"/>
      <c r="B580" s="156"/>
      <c r="C580" s="156"/>
      <c r="D580" s="156"/>
      <c r="E580" s="156"/>
      <c r="F580" s="156"/>
      <c r="G580" s="156"/>
      <c r="H580" s="156"/>
      <c r="I580" s="156"/>
      <c r="J580" s="156"/>
      <c r="K580" s="156"/>
      <c r="L580" s="156"/>
      <c r="M580" s="156"/>
      <c r="N580" s="156"/>
      <c r="O580" s="156"/>
      <c r="P580" s="156"/>
      <c r="Q580" s="156"/>
      <c r="R580" s="156"/>
      <c r="S580" s="156"/>
      <c r="T580" s="156"/>
      <c r="U580" s="156"/>
      <c r="V580" s="156"/>
      <c r="W580" s="156"/>
      <c r="X580" s="156"/>
      <c r="Y580" s="156"/>
      <c r="Z580" s="156"/>
    </row>
    <row r="581">
      <c r="A581" s="156"/>
      <c r="B581" s="156"/>
      <c r="C581" s="156"/>
      <c r="D581" s="156"/>
      <c r="E581" s="156"/>
      <c r="F581" s="156"/>
      <c r="G581" s="156"/>
      <c r="H581" s="156"/>
      <c r="I581" s="156"/>
      <c r="J581" s="156"/>
      <c r="K581" s="156"/>
      <c r="L581" s="156"/>
      <c r="M581" s="156"/>
      <c r="N581" s="156"/>
      <c r="O581" s="156"/>
      <c r="P581" s="156"/>
      <c r="Q581" s="156"/>
      <c r="R581" s="156"/>
      <c r="S581" s="156"/>
      <c r="T581" s="156"/>
      <c r="U581" s="156"/>
      <c r="V581" s="156"/>
      <c r="W581" s="156"/>
      <c r="X581" s="156"/>
      <c r="Y581" s="156"/>
      <c r="Z581" s="156"/>
    </row>
    <row r="582">
      <c r="A582" s="156"/>
      <c r="B582" s="156"/>
      <c r="C582" s="156"/>
      <c r="D582" s="156"/>
      <c r="E582" s="156"/>
      <c r="F582" s="156"/>
      <c r="G582" s="156"/>
      <c r="H582" s="156"/>
      <c r="I582" s="156"/>
      <c r="J582" s="156"/>
      <c r="K582" s="156"/>
      <c r="L582" s="156"/>
      <c r="M582" s="156"/>
      <c r="N582" s="156"/>
      <c r="O582" s="156"/>
      <c r="P582" s="156"/>
      <c r="Q582" s="156"/>
      <c r="R582" s="156"/>
      <c r="S582" s="156"/>
      <c r="T582" s="156"/>
      <c r="U582" s="156"/>
      <c r="V582" s="156"/>
      <c r="W582" s="156"/>
      <c r="X582" s="156"/>
      <c r="Y582" s="156"/>
      <c r="Z582" s="156"/>
    </row>
    <row r="583">
      <c r="A583" s="156"/>
      <c r="B583" s="156"/>
      <c r="C583" s="156"/>
      <c r="D583" s="156"/>
      <c r="E583" s="156"/>
      <c r="F583" s="156"/>
      <c r="G583" s="156"/>
      <c r="H583" s="156"/>
      <c r="I583" s="156"/>
      <c r="J583" s="156"/>
      <c r="K583" s="156"/>
      <c r="L583" s="156"/>
      <c r="M583" s="156"/>
      <c r="N583" s="156"/>
      <c r="O583" s="156"/>
      <c r="P583" s="156"/>
      <c r="Q583" s="156"/>
      <c r="R583" s="156"/>
      <c r="S583" s="156"/>
      <c r="T583" s="156"/>
      <c r="U583" s="156"/>
      <c r="V583" s="156"/>
      <c r="W583" s="156"/>
      <c r="X583" s="156"/>
      <c r="Y583" s="156"/>
      <c r="Z583" s="156"/>
    </row>
    <row r="584">
      <c r="A584" s="156"/>
      <c r="B584" s="156"/>
      <c r="C584" s="156"/>
      <c r="D584" s="156"/>
      <c r="E584" s="156"/>
      <c r="F584" s="156"/>
      <c r="G584" s="156"/>
      <c r="H584" s="156"/>
      <c r="I584" s="156"/>
      <c r="J584" s="156"/>
      <c r="K584" s="156"/>
      <c r="L584" s="156"/>
      <c r="M584" s="156"/>
      <c r="N584" s="156"/>
      <c r="O584" s="156"/>
      <c r="P584" s="156"/>
      <c r="Q584" s="156"/>
      <c r="R584" s="156"/>
      <c r="S584" s="156"/>
      <c r="T584" s="156"/>
      <c r="U584" s="156"/>
      <c r="V584" s="156"/>
      <c r="W584" s="156"/>
      <c r="X584" s="156"/>
      <c r="Y584" s="156"/>
      <c r="Z584" s="156"/>
    </row>
    <row r="585">
      <c r="A585" s="156"/>
      <c r="B585" s="156"/>
      <c r="C585" s="156"/>
      <c r="D585" s="156"/>
      <c r="E585" s="156"/>
      <c r="F585" s="156"/>
      <c r="G585" s="156"/>
      <c r="H585" s="156"/>
      <c r="I585" s="156"/>
      <c r="J585" s="156"/>
      <c r="K585" s="156"/>
      <c r="L585" s="156"/>
      <c r="M585" s="156"/>
      <c r="N585" s="156"/>
      <c r="O585" s="156"/>
      <c r="P585" s="156"/>
      <c r="Q585" s="156"/>
      <c r="R585" s="156"/>
      <c r="S585" s="156"/>
      <c r="T585" s="156"/>
      <c r="U585" s="156"/>
      <c r="V585" s="156"/>
      <c r="W585" s="156"/>
      <c r="X585" s="156"/>
      <c r="Y585" s="156"/>
      <c r="Z585" s="156"/>
    </row>
    <row r="586">
      <c r="A586" s="156"/>
      <c r="B586" s="156"/>
      <c r="C586" s="156"/>
      <c r="D586" s="156"/>
      <c r="E586" s="156"/>
      <c r="F586" s="156"/>
      <c r="G586" s="156"/>
      <c r="H586" s="156"/>
      <c r="I586" s="156"/>
      <c r="J586" s="156"/>
      <c r="K586" s="156"/>
      <c r="L586" s="156"/>
      <c r="M586" s="156"/>
      <c r="N586" s="156"/>
      <c r="O586" s="156"/>
      <c r="P586" s="156"/>
      <c r="Q586" s="156"/>
      <c r="R586" s="156"/>
      <c r="S586" s="156"/>
      <c r="T586" s="156"/>
      <c r="U586" s="156"/>
      <c r="V586" s="156"/>
      <c r="W586" s="156"/>
      <c r="X586" s="156"/>
      <c r="Y586" s="156"/>
      <c r="Z586" s="156"/>
    </row>
    <row r="587">
      <c r="A587" s="156"/>
      <c r="B587" s="156"/>
      <c r="C587" s="156"/>
      <c r="D587" s="156"/>
      <c r="E587" s="156"/>
      <c r="F587" s="156"/>
      <c r="G587" s="156"/>
      <c r="H587" s="156"/>
      <c r="I587" s="156"/>
      <c r="J587" s="156"/>
      <c r="K587" s="156"/>
      <c r="L587" s="156"/>
      <c r="M587" s="156"/>
      <c r="N587" s="156"/>
      <c r="O587" s="156"/>
      <c r="P587" s="156"/>
      <c r="Q587" s="156"/>
      <c r="R587" s="156"/>
      <c r="S587" s="156"/>
      <c r="T587" s="156"/>
      <c r="U587" s="156"/>
      <c r="V587" s="156"/>
      <c r="W587" s="156"/>
      <c r="X587" s="156"/>
      <c r="Y587" s="156"/>
      <c r="Z587" s="156"/>
    </row>
    <row r="588">
      <c r="A588" s="156"/>
      <c r="B588" s="156"/>
      <c r="C588" s="156"/>
      <c r="D588" s="156"/>
      <c r="E588" s="156"/>
      <c r="F588" s="156"/>
      <c r="G588" s="156"/>
      <c r="H588" s="156"/>
      <c r="I588" s="156"/>
      <c r="J588" s="156"/>
      <c r="K588" s="156"/>
      <c r="L588" s="156"/>
      <c r="M588" s="156"/>
      <c r="N588" s="156"/>
      <c r="O588" s="156"/>
      <c r="P588" s="156"/>
      <c r="Q588" s="156"/>
      <c r="R588" s="156"/>
      <c r="S588" s="156"/>
      <c r="T588" s="156"/>
      <c r="U588" s="156"/>
      <c r="V588" s="156"/>
      <c r="W588" s="156"/>
      <c r="X588" s="156"/>
      <c r="Y588" s="156"/>
      <c r="Z588" s="156"/>
    </row>
    <row r="589">
      <c r="A589" s="156"/>
      <c r="B589" s="156"/>
      <c r="C589" s="156"/>
      <c r="D589" s="156"/>
      <c r="E589" s="156"/>
      <c r="F589" s="156"/>
      <c r="G589" s="156"/>
      <c r="H589" s="156"/>
      <c r="I589" s="156"/>
      <c r="J589" s="156"/>
      <c r="K589" s="156"/>
      <c r="L589" s="156"/>
      <c r="M589" s="156"/>
      <c r="N589" s="156"/>
      <c r="O589" s="156"/>
      <c r="P589" s="156"/>
      <c r="Q589" s="156"/>
      <c r="R589" s="156"/>
      <c r="S589" s="156"/>
      <c r="T589" s="156"/>
      <c r="U589" s="156"/>
      <c r="V589" s="156"/>
      <c r="W589" s="156"/>
      <c r="X589" s="156"/>
      <c r="Y589" s="156"/>
      <c r="Z589" s="156"/>
    </row>
    <row r="590">
      <c r="A590" s="156"/>
      <c r="B590" s="156"/>
      <c r="C590" s="156"/>
      <c r="D590" s="156"/>
      <c r="E590" s="156"/>
      <c r="F590" s="156"/>
      <c r="G590" s="156"/>
      <c r="H590" s="156"/>
      <c r="I590" s="156"/>
      <c r="J590" s="156"/>
      <c r="K590" s="156"/>
      <c r="L590" s="156"/>
      <c r="M590" s="156"/>
      <c r="N590" s="156"/>
      <c r="O590" s="156"/>
      <c r="P590" s="156"/>
      <c r="Q590" s="156"/>
      <c r="R590" s="156"/>
      <c r="S590" s="156"/>
      <c r="T590" s="156"/>
      <c r="U590" s="156"/>
      <c r="V590" s="156"/>
      <c r="W590" s="156"/>
      <c r="X590" s="156"/>
      <c r="Y590" s="156"/>
      <c r="Z590" s="156"/>
    </row>
    <row r="591">
      <c r="A591" s="156"/>
      <c r="B591" s="156"/>
      <c r="C591" s="156"/>
      <c r="D591" s="156"/>
      <c r="E591" s="156"/>
      <c r="F591" s="156"/>
      <c r="G591" s="156"/>
      <c r="H591" s="156"/>
      <c r="I591" s="156"/>
      <c r="J591" s="156"/>
      <c r="K591" s="156"/>
      <c r="L591" s="156"/>
      <c r="M591" s="156"/>
      <c r="N591" s="156"/>
      <c r="O591" s="156"/>
      <c r="P591" s="156"/>
      <c r="Q591" s="156"/>
      <c r="R591" s="156"/>
      <c r="S591" s="156"/>
      <c r="T591" s="156"/>
      <c r="U591" s="156"/>
      <c r="V591" s="156"/>
      <c r="W591" s="156"/>
      <c r="X591" s="156"/>
      <c r="Y591" s="156"/>
      <c r="Z591" s="156"/>
    </row>
    <row r="592">
      <c r="A592" s="156"/>
      <c r="B592" s="156"/>
      <c r="C592" s="156"/>
      <c r="D592" s="156"/>
      <c r="E592" s="156"/>
      <c r="F592" s="156"/>
      <c r="G592" s="156"/>
      <c r="H592" s="156"/>
      <c r="I592" s="156"/>
      <c r="J592" s="156"/>
      <c r="K592" s="156"/>
      <c r="L592" s="156"/>
      <c r="M592" s="156"/>
      <c r="N592" s="156"/>
      <c r="O592" s="156"/>
      <c r="P592" s="156"/>
      <c r="Q592" s="156"/>
      <c r="R592" s="156"/>
      <c r="S592" s="156"/>
      <c r="T592" s="156"/>
      <c r="U592" s="156"/>
      <c r="V592" s="156"/>
      <c r="W592" s="156"/>
      <c r="X592" s="156"/>
      <c r="Y592" s="156"/>
      <c r="Z592" s="156"/>
    </row>
    <row r="593">
      <c r="A593" s="156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</row>
    <row r="594">
      <c r="A594" s="156"/>
      <c r="B594" s="156"/>
      <c r="C594" s="156"/>
      <c r="D594" s="156"/>
      <c r="E594" s="156"/>
      <c r="F594" s="156"/>
      <c r="G594" s="156"/>
      <c r="H594" s="156"/>
      <c r="I594" s="156"/>
      <c r="J594" s="156"/>
      <c r="K594" s="156"/>
      <c r="L594" s="156"/>
      <c r="M594" s="156"/>
      <c r="N594" s="156"/>
      <c r="O594" s="156"/>
      <c r="P594" s="156"/>
      <c r="Q594" s="156"/>
      <c r="R594" s="156"/>
      <c r="S594" s="156"/>
      <c r="T594" s="156"/>
      <c r="U594" s="156"/>
      <c r="V594" s="156"/>
      <c r="W594" s="156"/>
      <c r="X594" s="156"/>
      <c r="Y594" s="156"/>
      <c r="Z594" s="156"/>
    </row>
    <row r="595">
      <c r="A595" s="156"/>
      <c r="B595" s="156"/>
      <c r="C595" s="156"/>
      <c r="D595" s="156"/>
      <c r="E595" s="156"/>
      <c r="F595" s="156"/>
      <c r="G595" s="156"/>
      <c r="H595" s="156"/>
      <c r="I595" s="156"/>
      <c r="J595" s="156"/>
      <c r="K595" s="156"/>
      <c r="L595" s="156"/>
      <c r="M595" s="156"/>
      <c r="N595" s="156"/>
      <c r="O595" s="156"/>
      <c r="P595" s="156"/>
      <c r="Q595" s="156"/>
      <c r="R595" s="156"/>
      <c r="S595" s="156"/>
      <c r="T595" s="156"/>
      <c r="U595" s="156"/>
      <c r="V595" s="156"/>
      <c r="W595" s="156"/>
      <c r="X595" s="156"/>
      <c r="Y595" s="156"/>
      <c r="Z595" s="156"/>
    </row>
    <row r="596">
      <c r="A596" s="156"/>
      <c r="B596" s="156"/>
      <c r="C596" s="156"/>
      <c r="D596" s="156"/>
      <c r="E596" s="156"/>
      <c r="F596" s="156"/>
      <c r="G596" s="156"/>
      <c r="H596" s="156"/>
      <c r="I596" s="156"/>
      <c r="J596" s="156"/>
      <c r="K596" s="156"/>
      <c r="L596" s="156"/>
      <c r="M596" s="156"/>
      <c r="N596" s="156"/>
      <c r="O596" s="156"/>
      <c r="P596" s="156"/>
      <c r="Q596" s="156"/>
      <c r="R596" s="156"/>
      <c r="S596" s="156"/>
      <c r="T596" s="156"/>
      <c r="U596" s="156"/>
      <c r="V596" s="156"/>
      <c r="W596" s="156"/>
      <c r="X596" s="156"/>
      <c r="Y596" s="156"/>
      <c r="Z596" s="156"/>
    </row>
    <row r="597">
      <c r="A597" s="156"/>
      <c r="B597" s="156"/>
      <c r="C597" s="156"/>
      <c r="D597" s="156"/>
      <c r="E597" s="156"/>
      <c r="F597" s="156"/>
      <c r="G597" s="156"/>
      <c r="H597" s="156"/>
      <c r="I597" s="156"/>
      <c r="J597" s="156"/>
      <c r="K597" s="156"/>
      <c r="L597" s="156"/>
      <c r="M597" s="156"/>
      <c r="N597" s="156"/>
      <c r="O597" s="156"/>
      <c r="P597" s="156"/>
      <c r="Q597" s="156"/>
      <c r="R597" s="156"/>
      <c r="S597" s="156"/>
      <c r="T597" s="156"/>
      <c r="U597" s="156"/>
      <c r="V597" s="156"/>
      <c r="W597" s="156"/>
      <c r="X597" s="156"/>
      <c r="Y597" s="156"/>
      <c r="Z597" s="156"/>
    </row>
    <row r="598">
      <c r="A598" s="156"/>
      <c r="B598" s="156"/>
      <c r="C598" s="156"/>
      <c r="D598" s="156"/>
      <c r="E598" s="156"/>
      <c r="F598" s="156"/>
      <c r="G598" s="156"/>
      <c r="H598" s="156"/>
      <c r="I598" s="156"/>
      <c r="J598" s="156"/>
      <c r="K598" s="156"/>
      <c r="L598" s="156"/>
      <c r="M598" s="156"/>
      <c r="N598" s="156"/>
      <c r="O598" s="156"/>
      <c r="P598" s="156"/>
      <c r="Q598" s="156"/>
      <c r="R598" s="156"/>
      <c r="S598" s="156"/>
      <c r="T598" s="156"/>
      <c r="U598" s="156"/>
      <c r="V598" s="156"/>
      <c r="W598" s="156"/>
      <c r="X598" s="156"/>
      <c r="Y598" s="156"/>
      <c r="Z598" s="156"/>
    </row>
    <row r="599">
      <c r="A599" s="156"/>
      <c r="B599" s="156"/>
      <c r="C599" s="156"/>
      <c r="D599" s="156"/>
      <c r="E599" s="156"/>
      <c r="F599" s="156"/>
      <c r="G599" s="156"/>
      <c r="H599" s="156"/>
      <c r="I599" s="156"/>
      <c r="J599" s="156"/>
      <c r="K599" s="156"/>
      <c r="L599" s="156"/>
      <c r="M599" s="156"/>
      <c r="N599" s="156"/>
      <c r="O599" s="156"/>
      <c r="P599" s="156"/>
      <c r="Q599" s="156"/>
      <c r="R599" s="156"/>
      <c r="S599" s="156"/>
      <c r="T599" s="156"/>
      <c r="U599" s="156"/>
      <c r="V599" s="156"/>
      <c r="W599" s="156"/>
      <c r="X599" s="156"/>
      <c r="Y599" s="156"/>
      <c r="Z599" s="156"/>
    </row>
    <row r="600">
      <c r="A600" s="156"/>
      <c r="B600" s="156"/>
      <c r="C600" s="156"/>
      <c r="D600" s="156"/>
      <c r="E600" s="156"/>
      <c r="F600" s="156"/>
      <c r="G600" s="156"/>
      <c r="H600" s="156"/>
      <c r="I600" s="156"/>
      <c r="J600" s="156"/>
      <c r="K600" s="156"/>
      <c r="L600" s="156"/>
      <c r="M600" s="156"/>
      <c r="N600" s="156"/>
      <c r="O600" s="156"/>
      <c r="P600" s="156"/>
      <c r="Q600" s="156"/>
      <c r="R600" s="156"/>
      <c r="S600" s="156"/>
      <c r="T600" s="156"/>
      <c r="U600" s="156"/>
      <c r="V600" s="156"/>
      <c r="W600" s="156"/>
      <c r="X600" s="156"/>
      <c r="Y600" s="156"/>
      <c r="Z600" s="156"/>
    </row>
    <row r="601">
      <c r="A601" s="156"/>
      <c r="B601" s="156"/>
      <c r="C601" s="156"/>
      <c r="D601" s="156"/>
      <c r="E601" s="156"/>
      <c r="F601" s="156"/>
      <c r="G601" s="156"/>
      <c r="H601" s="156"/>
      <c r="I601" s="156"/>
      <c r="J601" s="156"/>
      <c r="K601" s="156"/>
      <c r="L601" s="156"/>
      <c r="M601" s="156"/>
      <c r="N601" s="156"/>
      <c r="O601" s="156"/>
      <c r="P601" s="156"/>
      <c r="Q601" s="156"/>
      <c r="R601" s="156"/>
      <c r="S601" s="156"/>
      <c r="T601" s="156"/>
      <c r="U601" s="156"/>
      <c r="V601" s="156"/>
      <c r="W601" s="156"/>
      <c r="X601" s="156"/>
      <c r="Y601" s="156"/>
      <c r="Z601" s="156"/>
    </row>
    <row r="602">
      <c r="A602" s="156"/>
      <c r="B602" s="156"/>
      <c r="C602" s="156"/>
      <c r="D602" s="156"/>
      <c r="E602" s="156"/>
      <c r="F602" s="156"/>
      <c r="G602" s="156"/>
      <c r="H602" s="156"/>
      <c r="I602" s="156"/>
      <c r="J602" s="156"/>
      <c r="K602" s="156"/>
      <c r="L602" s="156"/>
      <c r="M602" s="156"/>
      <c r="N602" s="156"/>
      <c r="O602" s="156"/>
      <c r="P602" s="156"/>
      <c r="Q602" s="156"/>
      <c r="R602" s="156"/>
      <c r="S602" s="156"/>
      <c r="T602" s="156"/>
      <c r="U602" s="156"/>
      <c r="V602" s="156"/>
      <c r="W602" s="156"/>
      <c r="X602" s="156"/>
      <c r="Y602" s="156"/>
      <c r="Z602" s="156"/>
    </row>
    <row r="603">
      <c r="A603" s="156"/>
      <c r="B603" s="156"/>
      <c r="C603" s="156"/>
      <c r="D603" s="156"/>
      <c r="E603" s="156"/>
      <c r="F603" s="156"/>
      <c r="G603" s="156"/>
      <c r="H603" s="156"/>
      <c r="I603" s="156"/>
      <c r="J603" s="156"/>
      <c r="K603" s="156"/>
      <c r="L603" s="156"/>
      <c r="M603" s="156"/>
      <c r="N603" s="156"/>
      <c r="O603" s="156"/>
      <c r="P603" s="156"/>
      <c r="Q603" s="156"/>
      <c r="R603" s="156"/>
      <c r="S603" s="156"/>
      <c r="T603" s="156"/>
      <c r="U603" s="156"/>
      <c r="V603" s="156"/>
      <c r="W603" s="156"/>
      <c r="X603" s="156"/>
      <c r="Y603" s="156"/>
      <c r="Z603" s="156"/>
    </row>
    <row r="604">
      <c r="A604" s="156"/>
      <c r="B604" s="156"/>
      <c r="C604" s="156"/>
      <c r="D604" s="156"/>
      <c r="E604" s="156"/>
      <c r="F604" s="156"/>
      <c r="G604" s="156"/>
      <c r="H604" s="156"/>
      <c r="I604" s="156"/>
      <c r="J604" s="156"/>
      <c r="K604" s="156"/>
      <c r="L604" s="156"/>
      <c r="M604" s="156"/>
      <c r="N604" s="156"/>
      <c r="O604" s="156"/>
      <c r="P604" s="156"/>
      <c r="Q604" s="156"/>
      <c r="R604" s="156"/>
      <c r="S604" s="156"/>
      <c r="T604" s="156"/>
      <c r="U604" s="156"/>
      <c r="V604" s="156"/>
      <c r="W604" s="156"/>
      <c r="X604" s="156"/>
      <c r="Y604" s="156"/>
      <c r="Z604" s="156"/>
    </row>
    <row r="605">
      <c r="A605" s="156"/>
      <c r="B605" s="156"/>
      <c r="C605" s="156"/>
      <c r="D605" s="156"/>
      <c r="E605" s="156"/>
      <c r="F605" s="156"/>
      <c r="G605" s="156"/>
      <c r="H605" s="156"/>
      <c r="I605" s="156"/>
      <c r="J605" s="156"/>
      <c r="K605" s="156"/>
      <c r="L605" s="156"/>
      <c r="M605" s="156"/>
      <c r="N605" s="156"/>
      <c r="O605" s="156"/>
      <c r="P605" s="156"/>
      <c r="Q605" s="156"/>
      <c r="R605" s="156"/>
      <c r="S605" s="156"/>
      <c r="T605" s="156"/>
      <c r="U605" s="156"/>
      <c r="V605" s="156"/>
      <c r="W605" s="156"/>
      <c r="X605" s="156"/>
      <c r="Y605" s="156"/>
      <c r="Z605" s="156"/>
    </row>
    <row r="606">
      <c r="A606" s="156"/>
      <c r="B606" s="156"/>
      <c r="C606" s="156"/>
      <c r="D606" s="156"/>
      <c r="E606" s="156"/>
      <c r="F606" s="156"/>
      <c r="G606" s="156"/>
      <c r="H606" s="156"/>
      <c r="I606" s="156"/>
      <c r="J606" s="156"/>
      <c r="K606" s="156"/>
      <c r="L606" s="156"/>
      <c r="M606" s="156"/>
      <c r="N606" s="156"/>
      <c r="O606" s="156"/>
      <c r="P606" s="156"/>
      <c r="Q606" s="156"/>
      <c r="R606" s="156"/>
      <c r="S606" s="156"/>
      <c r="T606" s="156"/>
      <c r="U606" s="156"/>
      <c r="V606" s="156"/>
      <c r="W606" s="156"/>
      <c r="X606" s="156"/>
      <c r="Y606" s="156"/>
      <c r="Z606" s="156"/>
    </row>
    <row r="607">
      <c r="A607" s="156"/>
      <c r="B607" s="156"/>
      <c r="C607" s="156"/>
      <c r="D607" s="156"/>
      <c r="E607" s="156"/>
      <c r="F607" s="156"/>
      <c r="G607" s="156"/>
      <c r="H607" s="156"/>
      <c r="I607" s="156"/>
      <c r="J607" s="156"/>
      <c r="K607" s="156"/>
      <c r="L607" s="156"/>
      <c r="M607" s="156"/>
      <c r="N607" s="156"/>
      <c r="O607" s="156"/>
      <c r="P607" s="156"/>
      <c r="Q607" s="156"/>
      <c r="R607" s="156"/>
      <c r="S607" s="156"/>
      <c r="T607" s="156"/>
      <c r="U607" s="156"/>
      <c r="V607" s="156"/>
      <c r="W607" s="156"/>
      <c r="X607" s="156"/>
      <c r="Y607" s="156"/>
      <c r="Z607" s="156"/>
    </row>
    <row r="608">
      <c r="A608" s="156"/>
      <c r="B608" s="156"/>
      <c r="C608" s="156"/>
      <c r="D608" s="156"/>
      <c r="E608" s="156"/>
      <c r="F608" s="156"/>
      <c r="G608" s="156"/>
      <c r="H608" s="156"/>
      <c r="I608" s="156"/>
      <c r="J608" s="156"/>
      <c r="K608" s="156"/>
      <c r="L608" s="156"/>
      <c r="M608" s="156"/>
      <c r="N608" s="156"/>
      <c r="O608" s="156"/>
      <c r="P608" s="156"/>
      <c r="Q608" s="156"/>
      <c r="R608" s="156"/>
      <c r="S608" s="156"/>
      <c r="T608" s="156"/>
      <c r="U608" s="156"/>
      <c r="V608" s="156"/>
      <c r="W608" s="156"/>
      <c r="X608" s="156"/>
      <c r="Y608" s="156"/>
      <c r="Z608" s="156"/>
    </row>
    <row r="609">
      <c r="A609" s="156"/>
      <c r="B609" s="156"/>
      <c r="C609" s="156"/>
      <c r="D609" s="156"/>
      <c r="E609" s="156"/>
      <c r="F609" s="156"/>
      <c r="G609" s="156"/>
      <c r="H609" s="156"/>
      <c r="I609" s="156"/>
      <c r="J609" s="156"/>
      <c r="K609" s="156"/>
      <c r="L609" s="156"/>
      <c r="M609" s="156"/>
      <c r="N609" s="156"/>
      <c r="O609" s="156"/>
      <c r="P609" s="156"/>
      <c r="Q609" s="156"/>
      <c r="R609" s="156"/>
      <c r="S609" s="156"/>
      <c r="T609" s="156"/>
      <c r="U609" s="156"/>
      <c r="V609" s="156"/>
      <c r="W609" s="156"/>
      <c r="X609" s="156"/>
      <c r="Y609" s="156"/>
      <c r="Z609" s="156"/>
    </row>
    <row r="610">
      <c r="A610" s="156"/>
      <c r="B610" s="156"/>
      <c r="C610" s="156"/>
      <c r="D610" s="156"/>
      <c r="E610" s="156"/>
      <c r="F610" s="156"/>
      <c r="G610" s="156"/>
      <c r="H610" s="156"/>
      <c r="I610" s="156"/>
      <c r="J610" s="156"/>
      <c r="K610" s="156"/>
      <c r="L610" s="156"/>
      <c r="M610" s="156"/>
      <c r="N610" s="156"/>
      <c r="O610" s="156"/>
      <c r="P610" s="156"/>
      <c r="Q610" s="156"/>
      <c r="R610" s="156"/>
      <c r="S610" s="156"/>
      <c r="T610" s="156"/>
      <c r="U610" s="156"/>
      <c r="V610" s="156"/>
      <c r="W610" s="156"/>
      <c r="X610" s="156"/>
      <c r="Y610" s="156"/>
      <c r="Z610" s="156"/>
    </row>
    <row r="611">
      <c r="A611" s="156"/>
      <c r="B611" s="156"/>
      <c r="C611" s="156"/>
      <c r="D611" s="156"/>
      <c r="E611" s="156"/>
      <c r="F611" s="156"/>
      <c r="G611" s="156"/>
      <c r="H611" s="156"/>
      <c r="I611" s="156"/>
      <c r="J611" s="156"/>
      <c r="K611" s="156"/>
      <c r="L611" s="156"/>
      <c r="M611" s="156"/>
      <c r="N611" s="156"/>
      <c r="O611" s="156"/>
      <c r="P611" s="156"/>
      <c r="Q611" s="156"/>
      <c r="R611" s="156"/>
      <c r="S611" s="156"/>
      <c r="T611" s="156"/>
      <c r="U611" s="156"/>
      <c r="V611" s="156"/>
      <c r="W611" s="156"/>
      <c r="X611" s="156"/>
      <c r="Y611" s="156"/>
      <c r="Z611" s="156"/>
    </row>
    <row r="612">
      <c r="A612" s="156"/>
      <c r="B612" s="156"/>
      <c r="C612" s="156"/>
      <c r="D612" s="156"/>
      <c r="E612" s="156"/>
      <c r="F612" s="156"/>
      <c r="G612" s="156"/>
      <c r="H612" s="156"/>
      <c r="I612" s="156"/>
      <c r="J612" s="156"/>
      <c r="K612" s="156"/>
      <c r="L612" s="156"/>
      <c r="M612" s="156"/>
      <c r="N612" s="156"/>
      <c r="O612" s="156"/>
      <c r="P612" s="156"/>
      <c r="Q612" s="156"/>
      <c r="R612" s="156"/>
      <c r="S612" s="156"/>
      <c r="T612" s="156"/>
      <c r="U612" s="156"/>
      <c r="V612" s="156"/>
      <c r="W612" s="156"/>
      <c r="X612" s="156"/>
      <c r="Y612" s="156"/>
      <c r="Z612" s="156"/>
    </row>
    <row r="613">
      <c r="A613" s="156"/>
      <c r="B613" s="156"/>
      <c r="C613" s="156"/>
      <c r="D613" s="156"/>
      <c r="E613" s="156"/>
      <c r="F613" s="156"/>
      <c r="G613" s="156"/>
      <c r="H613" s="156"/>
      <c r="I613" s="156"/>
      <c r="J613" s="156"/>
      <c r="K613" s="156"/>
      <c r="L613" s="156"/>
      <c r="M613" s="156"/>
      <c r="N613" s="156"/>
      <c r="O613" s="156"/>
      <c r="P613" s="156"/>
      <c r="Q613" s="156"/>
      <c r="R613" s="156"/>
      <c r="S613" s="156"/>
      <c r="T613" s="156"/>
      <c r="U613" s="156"/>
      <c r="V613" s="156"/>
      <c r="W613" s="156"/>
      <c r="X613" s="156"/>
      <c r="Y613" s="156"/>
      <c r="Z613" s="156"/>
    </row>
    <row r="614">
      <c r="A614" s="156"/>
      <c r="B614" s="156"/>
      <c r="C614" s="156"/>
      <c r="D614" s="156"/>
      <c r="E614" s="156"/>
      <c r="F614" s="156"/>
      <c r="G614" s="156"/>
      <c r="H614" s="156"/>
      <c r="I614" s="156"/>
      <c r="J614" s="156"/>
      <c r="K614" s="156"/>
      <c r="L614" s="156"/>
      <c r="M614" s="156"/>
      <c r="N614" s="156"/>
      <c r="O614" s="156"/>
      <c r="P614" s="156"/>
      <c r="Q614" s="156"/>
      <c r="R614" s="156"/>
      <c r="S614" s="156"/>
      <c r="T614" s="156"/>
      <c r="U614" s="156"/>
      <c r="V614" s="156"/>
      <c r="W614" s="156"/>
      <c r="X614" s="156"/>
      <c r="Y614" s="156"/>
      <c r="Z614" s="156"/>
    </row>
    <row r="615">
      <c r="A615" s="156"/>
      <c r="B615" s="156"/>
      <c r="C615" s="156"/>
      <c r="D615" s="156"/>
      <c r="E615" s="156"/>
      <c r="F615" s="156"/>
      <c r="G615" s="156"/>
      <c r="H615" s="156"/>
      <c r="I615" s="156"/>
      <c r="J615" s="156"/>
      <c r="K615" s="156"/>
      <c r="L615" s="156"/>
      <c r="M615" s="156"/>
      <c r="N615" s="156"/>
      <c r="O615" s="156"/>
      <c r="P615" s="156"/>
      <c r="Q615" s="156"/>
      <c r="R615" s="156"/>
      <c r="S615" s="156"/>
      <c r="T615" s="156"/>
      <c r="U615" s="156"/>
      <c r="V615" s="156"/>
      <c r="W615" s="156"/>
      <c r="X615" s="156"/>
      <c r="Y615" s="156"/>
      <c r="Z615" s="156"/>
    </row>
    <row r="616">
      <c r="A616" s="156"/>
      <c r="B616" s="156"/>
      <c r="C616" s="156"/>
      <c r="D616" s="156"/>
      <c r="E616" s="156"/>
      <c r="F616" s="156"/>
      <c r="G616" s="156"/>
      <c r="H616" s="156"/>
      <c r="I616" s="156"/>
      <c r="J616" s="156"/>
      <c r="K616" s="156"/>
      <c r="L616" s="156"/>
      <c r="M616" s="156"/>
      <c r="N616" s="156"/>
      <c r="O616" s="156"/>
      <c r="P616" s="156"/>
      <c r="Q616" s="156"/>
      <c r="R616" s="156"/>
      <c r="S616" s="156"/>
      <c r="T616" s="156"/>
      <c r="U616" s="156"/>
      <c r="V616" s="156"/>
      <c r="W616" s="156"/>
      <c r="X616" s="156"/>
      <c r="Y616" s="156"/>
      <c r="Z616" s="156"/>
    </row>
    <row r="617">
      <c r="A617" s="156"/>
      <c r="B617" s="156"/>
      <c r="C617" s="156"/>
      <c r="D617" s="156"/>
      <c r="E617" s="156"/>
      <c r="F617" s="156"/>
      <c r="G617" s="156"/>
      <c r="H617" s="156"/>
      <c r="I617" s="156"/>
      <c r="J617" s="156"/>
      <c r="K617" s="156"/>
      <c r="L617" s="156"/>
      <c r="M617" s="156"/>
      <c r="N617" s="156"/>
      <c r="O617" s="156"/>
      <c r="P617" s="156"/>
      <c r="Q617" s="156"/>
      <c r="R617" s="156"/>
      <c r="S617" s="156"/>
      <c r="T617" s="156"/>
      <c r="U617" s="156"/>
      <c r="V617" s="156"/>
      <c r="W617" s="156"/>
      <c r="X617" s="156"/>
      <c r="Y617" s="156"/>
      <c r="Z617" s="156"/>
    </row>
    <row r="618">
      <c r="A618" s="156"/>
      <c r="B618" s="156"/>
      <c r="C618" s="156"/>
      <c r="D618" s="156"/>
      <c r="E618" s="156"/>
      <c r="F618" s="156"/>
      <c r="G618" s="156"/>
      <c r="H618" s="156"/>
      <c r="I618" s="156"/>
      <c r="J618" s="156"/>
      <c r="K618" s="156"/>
      <c r="L618" s="156"/>
      <c r="M618" s="156"/>
      <c r="N618" s="156"/>
      <c r="O618" s="156"/>
      <c r="P618" s="156"/>
      <c r="Q618" s="156"/>
      <c r="R618" s="156"/>
      <c r="S618" s="156"/>
      <c r="T618" s="156"/>
      <c r="U618" s="156"/>
      <c r="V618" s="156"/>
      <c r="W618" s="156"/>
      <c r="X618" s="156"/>
      <c r="Y618" s="156"/>
      <c r="Z618" s="156"/>
    </row>
    <row r="619">
      <c r="A619" s="156"/>
      <c r="B619" s="156"/>
      <c r="C619" s="156"/>
      <c r="D619" s="156"/>
      <c r="E619" s="156"/>
      <c r="F619" s="156"/>
      <c r="G619" s="156"/>
      <c r="H619" s="156"/>
      <c r="I619" s="156"/>
      <c r="J619" s="156"/>
      <c r="K619" s="156"/>
      <c r="L619" s="156"/>
      <c r="M619" s="156"/>
      <c r="N619" s="156"/>
      <c r="O619" s="156"/>
      <c r="P619" s="156"/>
      <c r="Q619" s="156"/>
      <c r="R619" s="156"/>
      <c r="S619" s="156"/>
      <c r="T619" s="156"/>
      <c r="U619" s="156"/>
      <c r="V619" s="156"/>
      <c r="W619" s="156"/>
      <c r="X619" s="156"/>
      <c r="Y619" s="156"/>
      <c r="Z619" s="156"/>
    </row>
    <row r="620">
      <c r="A620" s="156"/>
      <c r="B620" s="156"/>
      <c r="C620" s="156"/>
      <c r="D620" s="156"/>
      <c r="E620" s="156"/>
      <c r="F620" s="156"/>
      <c r="G620" s="156"/>
      <c r="H620" s="156"/>
      <c r="I620" s="156"/>
      <c r="J620" s="156"/>
      <c r="K620" s="156"/>
      <c r="L620" s="156"/>
      <c r="M620" s="156"/>
      <c r="N620" s="156"/>
      <c r="O620" s="156"/>
      <c r="P620" s="156"/>
      <c r="Q620" s="156"/>
      <c r="R620" s="156"/>
      <c r="S620" s="156"/>
      <c r="T620" s="156"/>
      <c r="U620" s="156"/>
      <c r="V620" s="156"/>
      <c r="W620" s="156"/>
      <c r="X620" s="156"/>
      <c r="Y620" s="156"/>
      <c r="Z620" s="156"/>
    </row>
    <row r="621">
      <c r="A621" s="156"/>
      <c r="B621" s="156"/>
      <c r="C621" s="156"/>
      <c r="D621" s="156"/>
      <c r="E621" s="156"/>
      <c r="F621" s="156"/>
      <c r="G621" s="156"/>
      <c r="H621" s="156"/>
      <c r="I621" s="156"/>
      <c r="J621" s="156"/>
      <c r="K621" s="156"/>
      <c r="L621" s="156"/>
      <c r="M621" s="156"/>
      <c r="N621" s="156"/>
      <c r="O621" s="156"/>
      <c r="P621" s="156"/>
      <c r="Q621" s="156"/>
      <c r="R621" s="156"/>
      <c r="S621" s="156"/>
      <c r="T621" s="156"/>
      <c r="U621" s="156"/>
      <c r="V621" s="156"/>
      <c r="W621" s="156"/>
      <c r="X621" s="156"/>
      <c r="Y621" s="156"/>
      <c r="Z621" s="156"/>
    </row>
    <row r="622">
      <c r="A622" s="156"/>
      <c r="B622" s="156"/>
      <c r="C622" s="156"/>
      <c r="D622" s="156"/>
      <c r="E622" s="156"/>
      <c r="F622" s="156"/>
      <c r="G622" s="156"/>
      <c r="H622" s="156"/>
      <c r="I622" s="156"/>
      <c r="J622" s="156"/>
      <c r="K622" s="156"/>
      <c r="L622" s="156"/>
      <c r="M622" s="156"/>
      <c r="N622" s="156"/>
      <c r="O622" s="156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</row>
    <row r="623">
      <c r="A623" s="156"/>
      <c r="B623" s="156"/>
      <c r="C623" s="156"/>
      <c r="D623" s="156"/>
      <c r="E623" s="156"/>
      <c r="F623" s="156"/>
      <c r="G623" s="156"/>
      <c r="H623" s="156"/>
      <c r="I623" s="156"/>
      <c r="J623" s="156"/>
      <c r="K623" s="156"/>
      <c r="L623" s="156"/>
      <c r="M623" s="156"/>
      <c r="N623" s="156"/>
      <c r="O623" s="156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</row>
    <row r="624">
      <c r="A624" s="156"/>
      <c r="B624" s="156"/>
      <c r="C624" s="156"/>
      <c r="D624" s="156"/>
      <c r="E624" s="156"/>
      <c r="F624" s="156"/>
      <c r="G624" s="156"/>
      <c r="H624" s="156"/>
      <c r="I624" s="156"/>
      <c r="J624" s="156"/>
      <c r="K624" s="156"/>
      <c r="L624" s="156"/>
      <c r="M624" s="156"/>
      <c r="N624" s="156"/>
      <c r="O624" s="156"/>
      <c r="P624" s="156"/>
      <c r="Q624" s="156"/>
      <c r="R624" s="156"/>
      <c r="S624" s="156"/>
      <c r="T624" s="156"/>
      <c r="U624" s="156"/>
      <c r="V624" s="156"/>
      <c r="W624" s="156"/>
      <c r="X624" s="156"/>
      <c r="Y624" s="156"/>
      <c r="Z624" s="156"/>
    </row>
    <row r="625">
      <c r="A625" s="156"/>
      <c r="B625" s="156"/>
      <c r="C625" s="156"/>
      <c r="D625" s="156"/>
      <c r="E625" s="156"/>
      <c r="F625" s="156"/>
      <c r="G625" s="156"/>
      <c r="H625" s="156"/>
      <c r="I625" s="156"/>
      <c r="J625" s="156"/>
      <c r="K625" s="156"/>
      <c r="L625" s="156"/>
      <c r="M625" s="156"/>
      <c r="N625" s="156"/>
      <c r="O625" s="156"/>
      <c r="P625" s="156"/>
      <c r="Q625" s="156"/>
      <c r="R625" s="156"/>
      <c r="S625" s="156"/>
      <c r="T625" s="156"/>
      <c r="U625" s="156"/>
      <c r="V625" s="156"/>
      <c r="W625" s="156"/>
      <c r="X625" s="156"/>
      <c r="Y625" s="156"/>
      <c r="Z625" s="156"/>
    </row>
    <row r="626">
      <c r="A626" s="156"/>
      <c r="B626" s="156"/>
      <c r="C626" s="156"/>
      <c r="D626" s="156"/>
      <c r="E626" s="156"/>
      <c r="F626" s="156"/>
      <c r="G626" s="156"/>
      <c r="H626" s="156"/>
      <c r="I626" s="156"/>
      <c r="J626" s="156"/>
      <c r="K626" s="156"/>
      <c r="L626" s="156"/>
      <c r="M626" s="156"/>
      <c r="N626" s="156"/>
      <c r="O626" s="156"/>
      <c r="P626" s="156"/>
      <c r="Q626" s="156"/>
      <c r="R626" s="156"/>
      <c r="S626" s="156"/>
      <c r="T626" s="156"/>
      <c r="U626" s="156"/>
      <c r="V626" s="156"/>
      <c r="W626" s="156"/>
      <c r="X626" s="156"/>
      <c r="Y626" s="156"/>
      <c r="Z626" s="156"/>
    </row>
    <row r="627">
      <c r="A627" s="156"/>
      <c r="B627" s="156"/>
      <c r="C627" s="156"/>
      <c r="D627" s="156"/>
      <c r="E627" s="156"/>
      <c r="F627" s="156"/>
      <c r="G627" s="156"/>
      <c r="H627" s="156"/>
      <c r="I627" s="156"/>
      <c r="J627" s="156"/>
      <c r="K627" s="156"/>
      <c r="L627" s="156"/>
      <c r="M627" s="156"/>
      <c r="N627" s="156"/>
      <c r="O627" s="156"/>
      <c r="P627" s="156"/>
      <c r="Q627" s="156"/>
      <c r="R627" s="156"/>
      <c r="S627" s="156"/>
      <c r="T627" s="156"/>
      <c r="U627" s="156"/>
      <c r="V627" s="156"/>
      <c r="W627" s="156"/>
      <c r="X627" s="156"/>
      <c r="Y627" s="156"/>
      <c r="Z627" s="156"/>
    </row>
    <row r="628">
      <c r="A628" s="156"/>
      <c r="B628" s="156"/>
      <c r="C628" s="156"/>
      <c r="D628" s="156"/>
      <c r="E628" s="156"/>
      <c r="F628" s="156"/>
      <c r="G628" s="156"/>
      <c r="H628" s="156"/>
      <c r="I628" s="156"/>
      <c r="J628" s="156"/>
      <c r="K628" s="156"/>
      <c r="L628" s="156"/>
      <c r="M628" s="156"/>
      <c r="N628" s="156"/>
      <c r="O628" s="156"/>
      <c r="P628" s="156"/>
      <c r="Q628" s="156"/>
      <c r="R628" s="156"/>
      <c r="S628" s="156"/>
      <c r="T628" s="156"/>
      <c r="U628" s="156"/>
      <c r="V628" s="156"/>
      <c r="W628" s="156"/>
      <c r="X628" s="156"/>
      <c r="Y628" s="156"/>
      <c r="Z628" s="156"/>
    </row>
    <row r="629">
      <c r="A629" s="156"/>
      <c r="B629" s="156"/>
      <c r="C629" s="156"/>
      <c r="D629" s="156"/>
      <c r="E629" s="156"/>
      <c r="F629" s="156"/>
      <c r="G629" s="156"/>
      <c r="H629" s="156"/>
      <c r="I629" s="156"/>
      <c r="J629" s="156"/>
      <c r="K629" s="156"/>
      <c r="L629" s="156"/>
      <c r="M629" s="156"/>
      <c r="N629" s="156"/>
      <c r="O629" s="156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</row>
    <row r="630">
      <c r="A630" s="156"/>
      <c r="B630" s="156"/>
      <c r="C630" s="156"/>
      <c r="D630" s="156"/>
      <c r="E630" s="156"/>
      <c r="F630" s="156"/>
      <c r="G630" s="156"/>
      <c r="H630" s="156"/>
      <c r="I630" s="156"/>
      <c r="J630" s="156"/>
      <c r="K630" s="156"/>
      <c r="L630" s="156"/>
      <c r="M630" s="156"/>
      <c r="N630" s="156"/>
      <c r="O630" s="156"/>
      <c r="P630" s="156"/>
      <c r="Q630" s="156"/>
      <c r="R630" s="156"/>
      <c r="S630" s="156"/>
      <c r="T630" s="156"/>
      <c r="U630" s="156"/>
      <c r="V630" s="156"/>
      <c r="W630" s="156"/>
      <c r="X630" s="156"/>
      <c r="Y630" s="156"/>
      <c r="Z630" s="156"/>
    </row>
    <row r="631">
      <c r="A631" s="156"/>
      <c r="B631" s="156"/>
      <c r="C631" s="156"/>
      <c r="D631" s="156"/>
      <c r="E631" s="156"/>
      <c r="F631" s="156"/>
      <c r="G631" s="156"/>
      <c r="H631" s="156"/>
      <c r="I631" s="156"/>
      <c r="J631" s="156"/>
      <c r="K631" s="156"/>
      <c r="L631" s="156"/>
      <c r="M631" s="156"/>
      <c r="N631" s="156"/>
      <c r="O631" s="156"/>
      <c r="P631" s="156"/>
      <c r="Q631" s="156"/>
      <c r="R631" s="156"/>
      <c r="S631" s="156"/>
      <c r="T631" s="156"/>
      <c r="U631" s="156"/>
      <c r="V631" s="156"/>
      <c r="W631" s="156"/>
      <c r="X631" s="156"/>
      <c r="Y631" s="156"/>
      <c r="Z631" s="156"/>
    </row>
    <row r="632">
      <c r="A632" s="156"/>
      <c r="B632" s="156"/>
      <c r="C632" s="156"/>
      <c r="D632" s="156"/>
      <c r="E632" s="156"/>
      <c r="F632" s="156"/>
      <c r="G632" s="156"/>
      <c r="H632" s="156"/>
      <c r="I632" s="156"/>
      <c r="J632" s="156"/>
      <c r="K632" s="156"/>
      <c r="L632" s="156"/>
      <c r="M632" s="156"/>
      <c r="N632" s="156"/>
      <c r="O632" s="156"/>
      <c r="P632" s="156"/>
      <c r="Q632" s="156"/>
      <c r="R632" s="156"/>
      <c r="S632" s="156"/>
      <c r="T632" s="156"/>
      <c r="U632" s="156"/>
      <c r="V632" s="156"/>
      <c r="W632" s="156"/>
      <c r="X632" s="156"/>
      <c r="Y632" s="156"/>
      <c r="Z632" s="156"/>
    </row>
    <row r="633">
      <c r="A633" s="156"/>
      <c r="B633" s="156"/>
      <c r="C633" s="156"/>
      <c r="D633" s="156"/>
      <c r="E633" s="156"/>
      <c r="F633" s="156"/>
      <c r="G633" s="156"/>
      <c r="H633" s="156"/>
      <c r="I633" s="156"/>
      <c r="J633" s="156"/>
      <c r="K633" s="156"/>
      <c r="L633" s="156"/>
      <c r="M633" s="156"/>
      <c r="N633" s="156"/>
      <c r="O633" s="156"/>
      <c r="P633" s="156"/>
      <c r="Q633" s="156"/>
      <c r="R633" s="156"/>
      <c r="S633" s="156"/>
      <c r="T633" s="156"/>
      <c r="U633" s="156"/>
      <c r="V633" s="156"/>
      <c r="W633" s="156"/>
      <c r="X633" s="156"/>
      <c r="Y633" s="156"/>
      <c r="Z633" s="156"/>
    </row>
    <row r="634">
      <c r="A634" s="156"/>
      <c r="B634" s="156"/>
      <c r="C634" s="156"/>
      <c r="D634" s="156"/>
      <c r="E634" s="156"/>
      <c r="F634" s="156"/>
      <c r="G634" s="156"/>
      <c r="H634" s="156"/>
      <c r="I634" s="156"/>
      <c r="J634" s="156"/>
      <c r="K634" s="156"/>
      <c r="L634" s="156"/>
      <c r="M634" s="156"/>
      <c r="N634" s="156"/>
      <c r="O634" s="156"/>
      <c r="P634" s="156"/>
      <c r="Q634" s="156"/>
      <c r="R634" s="156"/>
      <c r="S634" s="156"/>
      <c r="T634" s="156"/>
      <c r="U634" s="156"/>
      <c r="V634" s="156"/>
      <c r="W634" s="156"/>
      <c r="X634" s="156"/>
      <c r="Y634" s="156"/>
      <c r="Z634" s="156"/>
    </row>
    <row r="635">
      <c r="A635" s="156"/>
      <c r="B635" s="156"/>
      <c r="C635" s="156"/>
      <c r="D635" s="156"/>
      <c r="E635" s="156"/>
      <c r="F635" s="156"/>
      <c r="G635" s="156"/>
      <c r="H635" s="156"/>
      <c r="I635" s="156"/>
      <c r="J635" s="156"/>
      <c r="K635" s="156"/>
      <c r="L635" s="156"/>
      <c r="M635" s="156"/>
      <c r="N635" s="156"/>
      <c r="O635" s="156"/>
      <c r="P635" s="156"/>
      <c r="Q635" s="156"/>
      <c r="R635" s="156"/>
      <c r="S635" s="156"/>
      <c r="T635" s="156"/>
      <c r="U635" s="156"/>
      <c r="V635" s="156"/>
      <c r="W635" s="156"/>
      <c r="X635" s="156"/>
      <c r="Y635" s="156"/>
      <c r="Z635" s="156"/>
    </row>
    <row r="636">
      <c r="A636" s="156"/>
      <c r="B636" s="156"/>
      <c r="C636" s="156"/>
      <c r="D636" s="156"/>
      <c r="E636" s="156"/>
      <c r="F636" s="156"/>
      <c r="G636" s="156"/>
      <c r="H636" s="156"/>
      <c r="I636" s="156"/>
      <c r="J636" s="156"/>
      <c r="K636" s="156"/>
      <c r="L636" s="156"/>
      <c r="M636" s="156"/>
      <c r="N636" s="156"/>
      <c r="O636" s="156"/>
      <c r="P636" s="156"/>
      <c r="Q636" s="156"/>
      <c r="R636" s="156"/>
      <c r="S636" s="156"/>
      <c r="T636" s="156"/>
      <c r="U636" s="156"/>
      <c r="V636" s="156"/>
      <c r="W636" s="156"/>
      <c r="X636" s="156"/>
      <c r="Y636" s="156"/>
      <c r="Z636" s="156"/>
    </row>
    <row r="637">
      <c r="A637" s="156"/>
      <c r="B637" s="156"/>
      <c r="C637" s="156"/>
      <c r="D637" s="156"/>
      <c r="E637" s="156"/>
      <c r="F637" s="156"/>
      <c r="G637" s="156"/>
      <c r="H637" s="156"/>
      <c r="I637" s="156"/>
      <c r="J637" s="156"/>
      <c r="K637" s="156"/>
      <c r="L637" s="156"/>
      <c r="M637" s="156"/>
      <c r="N637" s="156"/>
      <c r="O637" s="156"/>
      <c r="P637" s="156"/>
      <c r="Q637" s="156"/>
      <c r="R637" s="156"/>
      <c r="S637" s="156"/>
      <c r="T637" s="156"/>
      <c r="U637" s="156"/>
      <c r="V637" s="156"/>
      <c r="W637" s="156"/>
      <c r="X637" s="156"/>
      <c r="Y637" s="156"/>
      <c r="Z637" s="156"/>
    </row>
    <row r="638">
      <c r="A638" s="156"/>
      <c r="B638" s="156"/>
      <c r="C638" s="156"/>
      <c r="D638" s="156"/>
      <c r="E638" s="156"/>
      <c r="F638" s="156"/>
      <c r="G638" s="156"/>
      <c r="H638" s="156"/>
      <c r="I638" s="156"/>
      <c r="J638" s="156"/>
      <c r="K638" s="156"/>
      <c r="L638" s="156"/>
      <c r="M638" s="156"/>
      <c r="N638" s="156"/>
      <c r="O638" s="156"/>
      <c r="P638" s="156"/>
      <c r="Q638" s="156"/>
      <c r="R638" s="156"/>
      <c r="S638" s="156"/>
      <c r="T638" s="156"/>
      <c r="U638" s="156"/>
      <c r="V638" s="156"/>
      <c r="W638" s="156"/>
      <c r="X638" s="156"/>
      <c r="Y638" s="156"/>
      <c r="Z638" s="156"/>
    </row>
    <row r="639">
      <c r="A639" s="156"/>
      <c r="B639" s="156"/>
      <c r="C639" s="156"/>
      <c r="D639" s="156"/>
      <c r="E639" s="156"/>
      <c r="F639" s="156"/>
      <c r="G639" s="156"/>
      <c r="H639" s="156"/>
      <c r="I639" s="156"/>
      <c r="J639" s="156"/>
      <c r="K639" s="156"/>
      <c r="L639" s="156"/>
      <c r="M639" s="156"/>
      <c r="N639" s="156"/>
      <c r="O639" s="156"/>
      <c r="P639" s="156"/>
      <c r="Q639" s="156"/>
      <c r="R639" s="156"/>
      <c r="S639" s="156"/>
      <c r="T639" s="156"/>
      <c r="U639" s="156"/>
      <c r="V639" s="156"/>
      <c r="W639" s="156"/>
      <c r="X639" s="156"/>
      <c r="Y639" s="156"/>
      <c r="Z639" s="156"/>
    </row>
    <row r="640">
      <c r="A640" s="156"/>
      <c r="B640" s="156"/>
      <c r="C640" s="156"/>
      <c r="D640" s="156"/>
      <c r="E640" s="156"/>
      <c r="F640" s="156"/>
      <c r="G640" s="156"/>
      <c r="H640" s="156"/>
      <c r="I640" s="156"/>
      <c r="J640" s="156"/>
      <c r="K640" s="156"/>
      <c r="L640" s="156"/>
      <c r="M640" s="156"/>
      <c r="N640" s="156"/>
      <c r="O640" s="156"/>
      <c r="P640" s="156"/>
      <c r="Q640" s="156"/>
      <c r="R640" s="156"/>
      <c r="S640" s="156"/>
      <c r="T640" s="156"/>
      <c r="U640" s="156"/>
      <c r="V640" s="156"/>
      <c r="W640" s="156"/>
      <c r="X640" s="156"/>
      <c r="Y640" s="156"/>
      <c r="Z640" s="156"/>
    </row>
    <row r="641">
      <c r="A641" s="156"/>
      <c r="B641" s="156"/>
      <c r="C641" s="156"/>
      <c r="D641" s="156"/>
      <c r="E641" s="156"/>
      <c r="F641" s="156"/>
      <c r="G641" s="156"/>
      <c r="H641" s="156"/>
      <c r="I641" s="156"/>
      <c r="J641" s="156"/>
      <c r="K641" s="156"/>
      <c r="L641" s="156"/>
      <c r="M641" s="156"/>
      <c r="N641" s="156"/>
      <c r="O641" s="156"/>
      <c r="P641" s="156"/>
      <c r="Q641" s="156"/>
      <c r="R641" s="156"/>
      <c r="S641" s="156"/>
      <c r="T641" s="156"/>
      <c r="U641" s="156"/>
      <c r="V641" s="156"/>
      <c r="W641" s="156"/>
      <c r="X641" s="156"/>
      <c r="Y641" s="156"/>
      <c r="Z641" s="156"/>
    </row>
    <row r="642">
      <c r="A642" s="156"/>
      <c r="B642" s="156"/>
      <c r="C642" s="156"/>
      <c r="D642" s="156"/>
      <c r="E642" s="156"/>
      <c r="F642" s="156"/>
      <c r="G642" s="156"/>
      <c r="H642" s="156"/>
      <c r="I642" s="156"/>
      <c r="J642" s="156"/>
      <c r="K642" s="156"/>
      <c r="L642" s="156"/>
      <c r="M642" s="156"/>
      <c r="N642" s="156"/>
      <c r="O642" s="156"/>
      <c r="P642" s="156"/>
      <c r="Q642" s="156"/>
      <c r="R642" s="156"/>
      <c r="S642" s="156"/>
      <c r="T642" s="156"/>
      <c r="U642" s="156"/>
      <c r="V642" s="156"/>
      <c r="W642" s="156"/>
      <c r="X642" s="156"/>
      <c r="Y642" s="156"/>
      <c r="Z642" s="156"/>
    </row>
    <row r="643">
      <c r="A643" s="156"/>
      <c r="B643" s="156"/>
      <c r="C643" s="156"/>
      <c r="D643" s="156"/>
      <c r="E643" s="156"/>
      <c r="F643" s="156"/>
      <c r="G643" s="156"/>
      <c r="H643" s="156"/>
      <c r="I643" s="156"/>
      <c r="J643" s="156"/>
      <c r="K643" s="156"/>
      <c r="L643" s="156"/>
      <c r="M643" s="156"/>
      <c r="N643" s="156"/>
      <c r="O643" s="156"/>
      <c r="P643" s="156"/>
      <c r="Q643" s="156"/>
      <c r="R643" s="156"/>
      <c r="S643" s="156"/>
      <c r="T643" s="156"/>
      <c r="U643" s="156"/>
      <c r="V643" s="156"/>
      <c r="W643" s="156"/>
      <c r="X643" s="156"/>
      <c r="Y643" s="156"/>
      <c r="Z643" s="156"/>
    </row>
    <row r="644">
      <c r="A644" s="156"/>
      <c r="B644" s="156"/>
      <c r="C644" s="156"/>
      <c r="D644" s="156"/>
      <c r="E644" s="156"/>
      <c r="F644" s="156"/>
      <c r="G644" s="156"/>
      <c r="H644" s="156"/>
      <c r="I644" s="156"/>
      <c r="J644" s="156"/>
      <c r="K644" s="156"/>
      <c r="L644" s="156"/>
      <c r="M644" s="156"/>
      <c r="N644" s="156"/>
      <c r="O644" s="156"/>
      <c r="P644" s="156"/>
      <c r="Q644" s="156"/>
      <c r="R644" s="156"/>
      <c r="S644" s="156"/>
      <c r="T644" s="156"/>
      <c r="U644" s="156"/>
      <c r="V644" s="156"/>
      <c r="W644" s="156"/>
      <c r="X644" s="156"/>
      <c r="Y644" s="156"/>
      <c r="Z644" s="156"/>
    </row>
    <row r="645">
      <c r="A645" s="156"/>
      <c r="B645" s="156"/>
      <c r="C645" s="156"/>
      <c r="D645" s="156"/>
      <c r="E645" s="156"/>
      <c r="F645" s="156"/>
      <c r="G645" s="156"/>
      <c r="H645" s="156"/>
      <c r="I645" s="156"/>
      <c r="J645" s="156"/>
      <c r="K645" s="156"/>
      <c r="L645" s="156"/>
      <c r="M645" s="156"/>
      <c r="N645" s="156"/>
      <c r="O645" s="156"/>
      <c r="P645" s="156"/>
      <c r="Q645" s="156"/>
      <c r="R645" s="156"/>
      <c r="S645" s="156"/>
      <c r="T645" s="156"/>
      <c r="U645" s="156"/>
      <c r="V645" s="156"/>
      <c r="W645" s="156"/>
      <c r="X645" s="156"/>
      <c r="Y645" s="156"/>
      <c r="Z645" s="156"/>
    </row>
    <row r="646">
      <c r="A646" s="156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</row>
    <row r="647">
      <c r="A647" s="156"/>
      <c r="B647" s="156"/>
      <c r="C647" s="156"/>
      <c r="D647" s="156"/>
      <c r="E647" s="156"/>
      <c r="F647" s="156"/>
      <c r="G647" s="156"/>
      <c r="H647" s="156"/>
      <c r="I647" s="156"/>
      <c r="J647" s="156"/>
      <c r="K647" s="156"/>
      <c r="L647" s="156"/>
      <c r="M647" s="156"/>
      <c r="N647" s="156"/>
      <c r="O647" s="156"/>
      <c r="P647" s="156"/>
      <c r="Q647" s="156"/>
      <c r="R647" s="156"/>
      <c r="S647" s="156"/>
      <c r="T647" s="156"/>
      <c r="U647" s="156"/>
      <c r="V647" s="156"/>
      <c r="W647" s="156"/>
      <c r="X647" s="156"/>
      <c r="Y647" s="156"/>
      <c r="Z647" s="156"/>
    </row>
    <row r="648">
      <c r="A648" s="156"/>
      <c r="B648" s="156"/>
      <c r="C648" s="156"/>
      <c r="D648" s="156"/>
      <c r="E648" s="156"/>
      <c r="F648" s="156"/>
      <c r="G648" s="156"/>
      <c r="H648" s="156"/>
      <c r="I648" s="156"/>
      <c r="J648" s="156"/>
      <c r="K648" s="156"/>
      <c r="L648" s="156"/>
      <c r="M648" s="156"/>
      <c r="N648" s="156"/>
      <c r="O648" s="156"/>
      <c r="P648" s="156"/>
      <c r="Q648" s="156"/>
      <c r="R648" s="156"/>
      <c r="S648" s="156"/>
      <c r="T648" s="156"/>
      <c r="U648" s="156"/>
      <c r="V648" s="156"/>
      <c r="W648" s="156"/>
      <c r="X648" s="156"/>
      <c r="Y648" s="156"/>
      <c r="Z648" s="156"/>
    </row>
    <row r="649">
      <c r="A649" s="156"/>
      <c r="B649" s="156"/>
      <c r="C649" s="156"/>
      <c r="D649" s="156"/>
      <c r="E649" s="156"/>
      <c r="F649" s="156"/>
      <c r="G649" s="156"/>
      <c r="H649" s="156"/>
      <c r="I649" s="156"/>
      <c r="J649" s="156"/>
      <c r="K649" s="156"/>
      <c r="L649" s="156"/>
      <c r="M649" s="156"/>
      <c r="N649" s="156"/>
      <c r="O649" s="156"/>
      <c r="P649" s="156"/>
      <c r="Q649" s="156"/>
      <c r="R649" s="156"/>
      <c r="S649" s="156"/>
      <c r="T649" s="156"/>
      <c r="U649" s="156"/>
      <c r="V649" s="156"/>
      <c r="W649" s="156"/>
      <c r="X649" s="156"/>
      <c r="Y649" s="156"/>
      <c r="Z649" s="156"/>
    </row>
    <row r="650">
      <c r="A650" s="156"/>
      <c r="B650" s="156"/>
      <c r="C650" s="156"/>
      <c r="D650" s="156"/>
      <c r="E650" s="156"/>
      <c r="F650" s="156"/>
      <c r="G650" s="156"/>
      <c r="H650" s="156"/>
      <c r="I650" s="156"/>
      <c r="J650" s="156"/>
      <c r="K650" s="156"/>
      <c r="L650" s="156"/>
      <c r="M650" s="156"/>
      <c r="N650" s="156"/>
      <c r="O650" s="156"/>
      <c r="P650" s="156"/>
      <c r="Q650" s="156"/>
      <c r="R650" s="156"/>
      <c r="S650" s="156"/>
      <c r="T650" s="156"/>
      <c r="U650" s="156"/>
      <c r="V650" s="156"/>
      <c r="W650" s="156"/>
      <c r="X650" s="156"/>
      <c r="Y650" s="156"/>
      <c r="Z650" s="156"/>
    </row>
    <row r="651">
      <c r="A651" s="156"/>
      <c r="B651" s="156"/>
      <c r="C651" s="156"/>
      <c r="D651" s="156"/>
      <c r="E651" s="156"/>
      <c r="F651" s="156"/>
      <c r="G651" s="156"/>
      <c r="H651" s="156"/>
      <c r="I651" s="156"/>
      <c r="J651" s="156"/>
      <c r="K651" s="156"/>
      <c r="L651" s="156"/>
      <c r="M651" s="156"/>
      <c r="N651" s="156"/>
      <c r="O651" s="156"/>
      <c r="P651" s="156"/>
      <c r="Q651" s="156"/>
      <c r="R651" s="156"/>
      <c r="S651" s="156"/>
      <c r="T651" s="156"/>
      <c r="U651" s="156"/>
      <c r="V651" s="156"/>
      <c r="W651" s="156"/>
      <c r="X651" s="156"/>
      <c r="Y651" s="156"/>
      <c r="Z651" s="156"/>
    </row>
    <row r="652">
      <c r="A652" s="156"/>
      <c r="B652" s="156"/>
      <c r="C652" s="156"/>
      <c r="D652" s="156"/>
      <c r="E652" s="156"/>
      <c r="F652" s="156"/>
      <c r="G652" s="156"/>
      <c r="H652" s="156"/>
      <c r="I652" s="156"/>
      <c r="J652" s="156"/>
      <c r="K652" s="156"/>
      <c r="L652" s="156"/>
      <c r="M652" s="156"/>
      <c r="N652" s="156"/>
      <c r="O652" s="156"/>
      <c r="P652" s="156"/>
      <c r="Q652" s="156"/>
      <c r="R652" s="156"/>
      <c r="S652" s="156"/>
      <c r="T652" s="156"/>
      <c r="U652" s="156"/>
      <c r="V652" s="156"/>
      <c r="W652" s="156"/>
      <c r="X652" s="156"/>
      <c r="Y652" s="156"/>
      <c r="Z652" s="156"/>
    </row>
    <row r="653">
      <c r="A653" s="156"/>
      <c r="B653" s="156"/>
      <c r="C653" s="156"/>
      <c r="D653" s="156"/>
      <c r="E653" s="156"/>
      <c r="F653" s="156"/>
      <c r="G653" s="156"/>
      <c r="H653" s="156"/>
      <c r="I653" s="156"/>
      <c r="J653" s="156"/>
      <c r="K653" s="156"/>
      <c r="L653" s="156"/>
      <c r="M653" s="156"/>
      <c r="N653" s="156"/>
      <c r="O653" s="156"/>
      <c r="P653" s="156"/>
      <c r="Q653" s="156"/>
      <c r="R653" s="156"/>
      <c r="S653" s="156"/>
      <c r="T653" s="156"/>
      <c r="U653" s="156"/>
      <c r="V653" s="156"/>
      <c r="W653" s="156"/>
      <c r="X653" s="156"/>
      <c r="Y653" s="156"/>
      <c r="Z653" s="156"/>
    </row>
    <row r="654">
      <c r="A654" s="156"/>
      <c r="B654" s="156"/>
      <c r="C654" s="156"/>
      <c r="D654" s="156"/>
      <c r="E654" s="156"/>
      <c r="F654" s="156"/>
      <c r="G654" s="156"/>
      <c r="H654" s="156"/>
      <c r="I654" s="156"/>
      <c r="J654" s="156"/>
      <c r="K654" s="156"/>
      <c r="L654" s="156"/>
      <c r="M654" s="156"/>
      <c r="N654" s="156"/>
      <c r="O654" s="156"/>
      <c r="P654" s="156"/>
      <c r="Q654" s="156"/>
      <c r="R654" s="156"/>
      <c r="S654" s="156"/>
      <c r="T654" s="156"/>
      <c r="U654" s="156"/>
      <c r="V654" s="156"/>
      <c r="W654" s="156"/>
      <c r="X654" s="156"/>
      <c r="Y654" s="156"/>
      <c r="Z654" s="156"/>
    </row>
    <row r="655">
      <c r="A655" s="156"/>
      <c r="B655" s="156"/>
      <c r="C655" s="156"/>
      <c r="D655" s="156"/>
      <c r="E655" s="156"/>
      <c r="F655" s="156"/>
      <c r="G655" s="156"/>
      <c r="H655" s="156"/>
      <c r="I655" s="156"/>
      <c r="J655" s="156"/>
      <c r="K655" s="156"/>
      <c r="L655" s="156"/>
      <c r="M655" s="156"/>
      <c r="N655" s="156"/>
      <c r="O655" s="156"/>
      <c r="P655" s="156"/>
      <c r="Q655" s="156"/>
      <c r="R655" s="156"/>
      <c r="S655" s="156"/>
      <c r="T655" s="156"/>
      <c r="U655" s="156"/>
      <c r="V655" s="156"/>
      <c r="W655" s="156"/>
      <c r="X655" s="156"/>
      <c r="Y655" s="156"/>
      <c r="Z655" s="156"/>
    </row>
    <row r="656">
      <c r="A656" s="156"/>
      <c r="B656" s="156"/>
      <c r="C656" s="156"/>
      <c r="D656" s="156"/>
      <c r="E656" s="156"/>
      <c r="F656" s="156"/>
      <c r="G656" s="156"/>
      <c r="H656" s="156"/>
      <c r="I656" s="156"/>
      <c r="J656" s="156"/>
      <c r="K656" s="156"/>
      <c r="L656" s="156"/>
      <c r="M656" s="156"/>
      <c r="N656" s="156"/>
      <c r="O656" s="156"/>
      <c r="P656" s="156"/>
      <c r="Q656" s="156"/>
      <c r="R656" s="156"/>
      <c r="S656" s="156"/>
      <c r="T656" s="156"/>
      <c r="U656" s="156"/>
      <c r="V656" s="156"/>
      <c r="W656" s="156"/>
      <c r="X656" s="156"/>
      <c r="Y656" s="156"/>
      <c r="Z656" s="156"/>
    </row>
    <row r="657">
      <c r="A657" s="156"/>
      <c r="B657" s="156"/>
      <c r="C657" s="156"/>
      <c r="D657" s="156"/>
      <c r="E657" s="156"/>
      <c r="F657" s="156"/>
      <c r="G657" s="156"/>
      <c r="H657" s="156"/>
      <c r="I657" s="156"/>
      <c r="J657" s="156"/>
      <c r="K657" s="156"/>
      <c r="L657" s="156"/>
      <c r="M657" s="156"/>
      <c r="N657" s="156"/>
      <c r="O657" s="156"/>
      <c r="P657" s="156"/>
      <c r="Q657" s="156"/>
      <c r="R657" s="156"/>
      <c r="S657" s="156"/>
      <c r="T657" s="156"/>
      <c r="U657" s="156"/>
      <c r="V657" s="156"/>
      <c r="W657" s="156"/>
      <c r="X657" s="156"/>
      <c r="Y657" s="156"/>
      <c r="Z657" s="156"/>
    </row>
    <row r="658">
      <c r="A658" s="156"/>
      <c r="B658" s="156"/>
      <c r="C658" s="156"/>
      <c r="D658" s="156"/>
      <c r="E658" s="156"/>
      <c r="F658" s="156"/>
      <c r="G658" s="156"/>
      <c r="H658" s="156"/>
      <c r="I658" s="156"/>
      <c r="J658" s="156"/>
      <c r="K658" s="156"/>
      <c r="L658" s="156"/>
      <c r="M658" s="156"/>
      <c r="N658" s="156"/>
      <c r="O658" s="156"/>
      <c r="P658" s="156"/>
      <c r="Q658" s="156"/>
      <c r="R658" s="156"/>
      <c r="S658" s="156"/>
      <c r="T658" s="156"/>
      <c r="U658" s="156"/>
      <c r="V658" s="156"/>
      <c r="W658" s="156"/>
      <c r="X658" s="156"/>
      <c r="Y658" s="156"/>
      <c r="Z658" s="156"/>
    </row>
    <row r="659">
      <c r="A659" s="156"/>
      <c r="B659" s="156"/>
      <c r="C659" s="156"/>
      <c r="D659" s="156"/>
      <c r="E659" s="156"/>
      <c r="F659" s="156"/>
      <c r="G659" s="156"/>
      <c r="H659" s="156"/>
      <c r="I659" s="156"/>
      <c r="J659" s="156"/>
      <c r="K659" s="156"/>
      <c r="L659" s="156"/>
      <c r="M659" s="156"/>
      <c r="N659" s="156"/>
      <c r="O659" s="156"/>
      <c r="P659" s="156"/>
      <c r="Q659" s="156"/>
      <c r="R659" s="156"/>
      <c r="S659" s="156"/>
      <c r="T659" s="156"/>
      <c r="U659" s="156"/>
      <c r="V659" s="156"/>
      <c r="W659" s="156"/>
      <c r="X659" s="156"/>
      <c r="Y659" s="156"/>
      <c r="Z659" s="156"/>
    </row>
    <row r="660">
      <c r="A660" s="156"/>
      <c r="B660" s="156"/>
      <c r="C660" s="156"/>
      <c r="D660" s="156"/>
      <c r="E660" s="156"/>
      <c r="F660" s="156"/>
      <c r="G660" s="156"/>
      <c r="H660" s="156"/>
      <c r="I660" s="156"/>
      <c r="J660" s="156"/>
      <c r="K660" s="156"/>
      <c r="L660" s="156"/>
      <c r="M660" s="156"/>
      <c r="N660" s="156"/>
      <c r="O660" s="156"/>
      <c r="P660" s="156"/>
      <c r="Q660" s="156"/>
      <c r="R660" s="156"/>
      <c r="S660" s="156"/>
      <c r="T660" s="156"/>
      <c r="U660" s="156"/>
      <c r="V660" s="156"/>
      <c r="W660" s="156"/>
      <c r="X660" s="156"/>
      <c r="Y660" s="156"/>
      <c r="Z660" s="156"/>
    </row>
    <row r="661">
      <c r="A661" s="156"/>
      <c r="B661" s="156"/>
      <c r="C661" s="156"/>
      <c r="D661" s="156"/>
      <c r="E661" s="156"/>
      <c r="F661" s="156"/>
      <c r="G661" s="156"/>
      <c r="H661" s="156"/>
      <c r="I661" s="156"/>
      <c r="J661" s="156"/>
      <c r="K661" s="156"/>
      <c r="L661" s="156"/>
      <c r="M661" s="156"/>
      <c r="N661" s="156"/>
      <c r="O661" s="156"/>
      <c r="P661" s="156"/>
      <c r="Q661" s="156"/>
      <c r="R661" s="156"/>
      <c r="S661" s="156"/>
      <c r="T661" s="156"/>
      <c r="U661" s="156"/>
      <c r="V661" s="156"/>
      <c r="W661" s="156"/>
      <c r="X661" s="156"/>
      <c r="Y661" s="156"/>
      <c r="Z661" s="156"/>
    </row>
    <row r="662">
      <c r="A662" s="156"/>
      <c r="B662" s="156"/>
      <c r="C662" s="156"/>
      <c r="D662" s="156"/>
      <c r="E662" s="156"/>
      <c r="F662" s="156"/>
      <c r="G662" s="156"/>
      <c r="H662" s="156"/>
      <c r="I662" s="156"/>
      <c r="J662" s="156"/>
      <c r="K662" s="156"/>
      <c r="L662" s="156"/>
      <c r="M662" s="156"/>
      <c r="N662" s="156"/>
      <c r="O662" s="156"/>
      <c r="P662" s="156"/>
      <c r="Q662" s="156"/>
      <c r="R662" s="156"/>
      <c r="S662" s="156"/>
      <c r="T662" s="156"/>
      <c r="U662" s="156"/>
      <c r="V662" s="156"/>
      <c r="W662" s="156"/>
      <c r="X662" s="156"/>
      <c r="Y662" s="156"/>
      <c r="Z662" s="156"/>
    </row>
    <row r="663">
      <c r="A663" s="156"/>
      <c r="B663" s="156"/>
      <c r="C663" s="156"/>
      <c r="D663" s="156"/>
      <c r="E663" s="156"/>
      <c r="F663" s="156"/>
      <c r="G663" s="156"/>
      <c r="H663" s="156"/>
      <c r="I663" s="156"/>
      <c r="J663" s="156"/>
      <c r="K663" s="156"/>
      <c r="L663" s="156"/>
      <c r="M663" s="156"/>
      <c r="N663" s="156"/>
      <c r="O663" s="156"/>
      <c r="P663" s="156"/>
      <c r="Q663" s="156"/>
      <c r="R663" s="156"/>
      <c r="S663" s="156"/>
      <c r="T663" s="156"/>
      <c r="U663" s="156"/>
      <c r="V663" s="156"/>
      <c r="W663" s="156"/>
      <c r="X663" s="156"/>
      <c r="Y663" s="156"/>
      <c r="Z663" s="156"/>
    </row>
    <row r="664">
      <c r="A664" s="156"/>
      <c r="B664" s="156"/>
      <c r="C664" s="156"/>
      <c r="D664" s="156"/>
      <c r="E664" s="156"/>
      <c r="F664" s="156"/>
      <c r="G664" s="156"/>
      <c r="H664" s="156"/>
      <c r="I664" s="156"/>
      <c r="J664" s="156"/>
      <c r="K664" s="156"/>
      <c r="L664" s="156"/>
      <c r="M664" s="156"/>
      <c r="N664" s="156"/>
      <c r="O664" s="156"/>
      <c r="P664" s="156"/>
      <c r="Q664" s="156"/>
      <c r="R664" s="156"/>
      <c r="S664" s="156"/>
      <c r="T664" s="156"/>
      <c r="U664" s="156"/>
      <c r="V664" s="156"/>
      <c r="W664" s="156"/>
      <c r="X664" s="156"/>
      <c r="Y664" s="156"/>
      <c r="Z664" s="156"/>
    </row>
    <row r="665">
      <c r="A665" s="156"/>
      <c r="B665" s="156"/>
      <c r="C665" s="156"/>
      <c r="D665" s="156"/>
      <c r="E665" s="156"/>
      <c r="F665" s="156"/>
      <c r="G665" s="156"/>
      <c r="H665" s="156"/>
      <c r="I665" s="156"/>
      <c r="J665" s="156"/>
      <c r="K665" s="156"/>
      <c r="L665" s="156"/>
      <c r="M665" s="156"/>
      <c r="N665" s="156"/>
      <c r="O665" s="156"/>
      <c r="P665" s="156"/>
      <c r="Q665" s="156"/>
      <c r="R665" s="156"/>
      <c r="S665" s="156"/>
      <c r="T665" s="156"/>
      <c r="U665" s="156"/>
      <c r="V665" s="156"/>
      <c r="W665" s="156"/>
      <c r="X665" s="156"/>
      <c r="Y665" s="156"/>
      <c r="Z665" s="156"/>
    </row>
    <row r="666">
      <c r="A666" s="156"/>
      <c r="B666" s="156"/>
      <c r="C666" s="156"/>
      <c r="D666" s="156"/>
      <c r="E666" s="156"/>
      <c r="F666" s="156"/>
      <c r="G666" s="156"/>
      <c r="H666" s="156"/>
      <c r="I666" s="156"/>
      <c r="J666" s="156"/>
      <c r="K666" s="156"/>
      <c r="L666" s="156"/>
      <c r="M666" s="156"/>
      <c r="N666" s="156"/>
      <c r="O666" s="156"/>
      <c r="P666" s="156"/>
      <c r="Q666" s="156"/>
      <c r="R666" s="156"/>
      <c r="S666" s="156"/>
      <c r="T666" s="156"/>
      <c r="U666" s="156"/>
      <c r="V666" s="156"/>
      <c r="W666" s="156"/>
      <c r="X666" s="156"/>
      <c r="Y666" s="156"/>
      <c r="Z666" s="156"/>
    </row>
    <row r="667">
      <c r="A667" s="156"/>
      <c r="B667" s="156"/>
      <c r="C667" s="156"/>
      <c r="D667" s="156"/>
      <c r="E667" s="156"/>
      <c r="F667" s="156"/>
      <c r="G667" s="156"/>
      <c r="H667" s="156"/>
      <c r="I667" s="156"/>
      <c r="J667" s="156"/>
      <c r="K667" s="156"/>
      <c r="L667" s="156"/>
      <c r="M667" s="156"/>
      <c r="N667" s="156"/>
      <c r="O667" s="156"/>
      <c r="P667" s="156"/>
      <c r="Q667" s="156"/>
      <c r="R667" s="156"/>
      <c r="S667" s="156"/>
      <c r="T667" s="156"/>
      <c r="U667" s="156"/>
      <c r="V667" s="156"/>
      <c r="W667" s="156"/>
      <c r="X667" s="156"/>
      <c r="Y667" s="156"/>
      <c r="Z667" s="156"/>
    </row>
    <row r="668">
      <c r="A668" s="156"/>
      <c r="B668" s="156"/>
      <c r="C668" s="156"/>
      <c r="D668" s="156"/>
      <c r="E668" s="156"/>
      <c r="F668" s="156"/>
      <c r="G668" s="156"/>
      <c r="H668" s="156"/>
      <c r="I668" s="156"/>
      <c r="J668" s="156"/>
      <c r="K668" s="156"/>
      <c r="L668" s="156"/>
      <c r="M668" s="156"/>
      <c r="N668" s="156"/>
      <c r="O668" s="156"/>
      <c r="P668" s="156"/>
      <c r="Q668" s="156"/>
      <c r="R668" s="156"/>
      <c r="S668" s="156"/>
      <c r="T668" s="156"/>
      <c r="U668" s="156"/>
      <c r="V668" s="156"/>
      <c r="W668" s="156"/>
      <c r="X668" s="156"/>
      <c r="Y668" s="156"/>
      <c r="Z668" s="156"/>
    </row>
    <row r="669">
      <c r="A669" s="156"/>
      <c r="B669" s="156"/>
      <c r="C669" s="156"/>
      <c r="D669" s="156"/>
      <c r="E669" s="156"/>
      <c r="F669" s="156"/>
      <c r="G669" s="156"/>
      <c r="H669" s="156"/>
      <c r="I669" s="156"/>
      <c r="J669" s="156"/>
      <c r="K669" s="156"/>
      <c r="L669" s="156"/>
      <c r="M669" s="156"/>
      <c r="N669" s="156"/>
      <c r="O669" s="156"/>
      <c r="P669" s="156"/>
      <c r="Q669" s="156"/>
      <c r="R669" s="156"/>
      <c r="S669" s="156"/>
      <c r="T669" s="156"/>
      <c r="U669" s="156"/>
      <c r="V669" s="156"/>
      <c r="W669" s="156"/>
      <c r="X669" s="156"/>
      <c r="Y669" s="156"/>
      <c r="Z669" s="156"/>
    </row>
    <row r="670">
      <c r="A670" s="156"/>
      <c r="B670" s="156"/>
      <c r="C670" s="156"/>
      <c r="D670" s="156"/>
      <c r="E670" s="156"/>
      <c r="F670" s="156"/>
      <c r="G670" s="156"/>
      <c r="H670" s="156"/>
      <c r="I670" s="156"/>
      <c r="J670" s="156"/>
      <c r="K670" s="156"/>
      <c r="L670" s="156"/>
      <c r="M670" s="156"/>
      <c r="N670" s="156"/>
      <c r="O670" s="156"/>
      <c r="P670" s="156"/>
      <c r="Q670" s="156"/>
      <c r="R670" s="156"/>
      <c r="S670" s="156"/>
      <c r="T670" s="156"/>
      <c r="U670" s="156"/>
      <c r="V670" s="156"/>
      <c r="W670" s="156"/>
      <c r="X670" s="156"/>
      <c r="Y670" s="156"/>
      <c r="Z670" s="156"/>
    </row>
    <row r="671">
      <c r="A671" s="156"/>
      <c r="B671" s="156"/>
      <c r="C671" s="156"/>
      <c r="D671" s="156"/>
      <c r="E671" s="156"/>
      <c r="F671" s="156"/>
      <c r="G671" s="156"/>
      <c r="H671" s="156"/>
      <c r="I671" s="156"/>
      <c r="J671" s="156"/>
      <c r="K671" s="156"/>
      <c r="L671" s="156"/>
      <c r="M671" s="156"/>
      <c r="N671" s="156"/>
      <c r="O671" s="156"/>
      <c r="P671" s="156"/>
      <c r="Q671" s="156"/>
      <c r="R671" s="156"/>
      <c r="S671" s="156"/>
      <c r="T671" s="156"/>
      <c r="U671" s="156"/>
      <c r="V671" s="156"/>
      <c r="W671" s="156"/>
      <c r="X671" s="156"/>
      <c r="Y671" s="156"/>
      <c r="Z671" s="156"/>
    </row>
    <row r="672">
      <c r="A672" s="156"/>
      <c r="B672" s="156"/>
      <c r="C672" s="156"/>
      <c r="D672" s="156"/>
      <c r="E672" s="156"/>
      <c r="F672" s="156"/>
      <c r="G672" s="156"/>
      <c r="H672" s="156"/>
      <c r="I672" s="156"/>
      <c r="J672" s="156"/>
      <c r="K672" s="156"/>
      <c r="L672" s="156"/>
      <c r="M672" s="156"/>
      <c r="N672" s="156"/>
      <c r="O672" s="156"/>
      <c r="P672" s="156"/>
      <c r="Q672" s="156"/>
      <c r="R672" s="156"/>
      <c r="S672" s="156"/>
      <c r="T672" s="156"/>
      <c r="U672" s="156"/>
      <c r="V672" s="156"/>
      <c r="W672" s="156"/>
      <c r="X672" s="156"/>
      <c r="Y672" s="156"/>
      <c r="Z672" s="156"/>
    </row>
    <row r="673">
      <c r="A673" s="156"/>
      <c r="B673" s="156"/>
      <c r="C673" s="156"/>
      <c r="D673" s="156"/>
      <c r="E673" s="156"/>
      <c r="F673" s="156"/>
      <c r="G673" s="156"/>
      <c r="H673" s="156"/>
      <c r="I673" s="156"/>
      <c r="J673" s="156"/>
      <c r="K673" s="156"/>
      <c r="L673" s="156"/>
      <c r="M673" s="156"/>
      <c r="N673" s="156"/>
      <c r="O673" s="156"/>
      <c r="P673" s="156"/>
      <c r="Q673" s="156"/>
      <c r="R673" s="156"/>
      <c r="S673" s="156"/>
      <c r="T673" s="156"/>
      <c r="U673" s="156"/>
      <c r="V673" s="156"/>
      <c r="W673" s="156"/>
      <c r="X673" s="156"/>
      <c r="Y673" s="156"/>
      <c r="Z673" s="156"/>
    </row>
    <row r="674">
      <c r="A674" s="156"/>
      <c r="B674" s="156"/>
      <c r="C674" s="156"/>
      <c r="D674" s="156"/>
      <c r="E674" s="156"/>
      <c r="F674" s="156"/>
      <c r="G674" s="156"/>
      <c r="H674" s="156"/>
      <c r="I674" s="156"/>
      <c r="J674" s="156"/>
      <c r="K674" s="156"/>
      <c r="L674" s="156"/>
      <c r="M674" s="156"/>
      <c r="N674" s="156"/>
      <c r="O674" s="156"/>
      <c r="P674" s="156"/>
      <c r="Q674" s="156"/>
      <c r="R674" s="156"/>
      <c r="S674" s="156"/>
      <c r="T674" s="156"/>
      <c r="U674" s="156"/>
      <c r="V674" s="156"/>
      <c r="W674" s="156"/>
      <c r="X674" s="156"/>
      <c r="Y674" s="156"/>
      <c r="Z674" s="156"/>
    </row>
    <row r="675">
      <c r="A675" s="156"/>
      <c r="B675" s="156"/>
      <c r="C675" s="156"/>
      <c r="D675" s="156"/>
      <c r="E675" s="156"/>
      <c r="F675" s="156"/>
      <c r="G675" s="156"/>
      <c r="H675" s="156"/>
      <c r="I675" s="156"/>
      <c r="J675" s="156"/>
      <c r="K675" s="156"/>
      <c r="L675" s="156"/>
      <c r="M675" s="156"/>
      <c r="N675" s="156"/>
      <c r="O675" s="156"/>
      <c r="P675" s="156"/>
      <c r="Q675" s="156"/>
      <c r="R675" s="156"/>
      <c r="S675" s="156"/>
      <c r="T675" s="156"/>
      <c r="U675" s="156"/>
      <c r="V675" s="156"/>
      <c r="W675" s="156"/>
      <c r="X675" s="156"/>
      <c r="Y675" s="156"/>
      <c r="Z675" s="156"/>
    </row>
    <row r="676">
      <c r="A676" s="156"/>
      <c r="B676" s="156"/>
      <c r="C676" s="156"/>
      <c r="D676" s="156"/>
      <c r="E676" s="156"/>
      <c r="F676" s="156"/>
      <c r="G676" s="156"/>
      <c r="H676" s="156"/>
      <c r="I676" s="156"/>
      <c r="J676" s="156"/>
      <c r="K676" s="156"/>
      <c r="L676" s="156"/>
      <c r="M676" s="156"/>
      <c r="N676" s="156"/>
      <c r="O676" s="156"/>
      <c r="P676" s="156"/>
      <c r="Q676" s="156"/>
      <c r="R676" s="156"/>
      <c r="S676" s="156"/>
      <c r="T676" s="156"/>
      <c r="U676" s="156"/>
      <c r="V676" s="156"/>
      <c r="W676" s="156"/>
      <c r="X676" s="156"/>
      <c r="Y676" s="156"/>
      <c r="Z676" s="156"/>
    </row>
    <row r="677">
      <c r="A677" s="156"/>
      <c r="B677" s="156"/>
      <c r="C677" s="156"/>
      <c r="D677" s="156"/>
      <c r="E677" s="156"/>
      <c r="F677" s="156"/>
      <c r="G677" s="156"/>
      <c r="H677" s="156"/>
      <c r="I677" s="156"/>
      <c r="J677" s="156"/>
      <c r="K677" s="156"/>
      <c r="L677" s="156"/>
      <c r="M677" s="156"/>
      <c r="N677" s="156"/>
      <c r="O677" s="156"/>
      <c r="P677" s="156"/>
      <c r="Q677" s="156"/>
      <c r="R677" s="156"/>
      <c r="S677" s="156"/>
      <c r="T677" s="156"/>
      <c r="U677" s="156"/>
      <c r="V677" s="156"/>
      <c r="W677" s="156"/>
      <c r="X677" s="156"/>
      <c r="Y677" s="156"/>
      <c r="Z677" s="156"/>
    </row>
    <row r="678">
      <c r="A678" s="156"/>
      <c r="B678" s="156"/>
      <c r="C678" s="156"/>
      <c r="D678" s="156"/>
      <c r="E678" s="156"/>
      <c r="F678" s="156"/>
      <c r="G678" s="156"/>
      <c r="H678" s="156"/>
      <c r="I678" s="156"/>
      <c r="J678" s="156"/>
      <c r="K678" s="156"/>
      <c r="L678" s="156"/>
      <c r="M678" s="156"/>
      <c r="N678" s="156"/>
      <c r="O678" s="156"/>
      <c r="P678" s="156"/>
      <c r="Q678" s="156"/>
      <c r="R678" s="156"/>
      <c r="S678" s="156"/>
      <c r="T678" s="156"/>
      <c r="U678" s="156"/>
      <c r="V678" s="156"/>
      <c r="W678" s="156"/>
      <c r="X678" s="156"/>
      <c r="Y678" s="156"/>
      <c r="Z678" s="156"/>
    </row>
    <row r="679">
      <c r="A679" s="156"/>
      <c r="B679" s="156"/>
      <c r="C679" s="156"/>
      <c r="D679" s="156"/>
      <c r="E679" s="156"/>
      <c r="F679" s="156"/>
      <c r="G679" s="156"/>
      <c r="H679" s="156"/>
      <c r="I679" s="156"/>
      <c r="J679" s="156"/>
      <c r="K679" s="156"/>
      <c r="L679" s="156"/>
      <c r="M679" s="156"/>
      <c r="N679" s="156"/>
      <c r="O679" s="156"/>
      <c r="P679" s="156"/>
      <c r="Q679" s="156"/>
      <c r="R679" s="156"/>
      <c r="S679" s="156"/>
      <c r="T679" s="156"/>
      <c r="U679" s="156"/>
      <c r="V679" s="156"/>
      <c r="W679" s="156"/>
      <c r="X679" s="156"/>
      <c r="Y679" s="156"/>
      <c r="Z679" s="156"/>
    </row>
    <row r="680">
      <c r="A680" s="156"/>
      <c r="B680" s="156"/>
      <c r="C680" s="156"/>
      <c r="D680" s="156"/>
      <c r="E680" s="156"/>
      <c r="F680" s="156"/>
      <c r="G680" s="156"/>
      <c r="H680" s="156"/>
      <c r="I680" s="156"/>
      <c r="J680" s="156"/>
      <c r="K680" s="156"/>
      <c r="L680" s="156"/>
      <c r="M680" s="156"/>
      <c r="N680" s="156"/>
      <c r="O680" s="156"/>
      <c r="P680" s="156"/>
      <c r="Q680" s="156"/>
      <c r="R680" s="156"/>
      <c r="S680" s="156"/>
      <c r="T680" s="156"/>
      <c r="U680" s="156"/>
      <c r="V680" s="156"/>
      <c r="W680" s="156"/>
      <c r="X680" s="156"/>
      <c r="Y680" s="156"/>
      <c r="Z680" s="156"/>
    </row>
    <row r="681">
      <c r="A681" s="156"/>
      <c r="B681" s="156"/>
      <c r="C681" s="156"/>
      <c r="D681" s="156"/>
      <c r="E681" s="156"/>
      <c r="F681" s="156"/>
      <c r="G681" s="156"/>
      <c r="H681" s="156"/>
      <c r="I681" s="156"/>
      <c r="J681" s="156"/>
      <c r="K681" s="156"/>
      <c r="L681" s="156"/>
      <c r="M681" s="156"/>
      <c r="N681" s="156"/>
      <c r="O681" s="156"/>
      <c r="P681" s="156"/>
      <c r="Q681" s="156"/>
      <c r="R681" s="156"/>
      <c r="S681" s="156"/>
      <c r="T681" s="156"/>
      <c r="U681" s="156"/>
      <c r="V681" s="156"/>
      <c r="W681" s="156"/>
      <c r="X681" s="156"/>
      <c r="Y681" s="156"/>
      <c r="Z681" s="156"/>
    </row>
    <row r="682">
      <c r="A682" s="156"/>
      <c r="B682" s="156"/>
      <c r="C682" s="156"/>
      <c r="D682" s="156"/>
      <c r="E682" s="156"/>
      <c r="F682" s="156"/>
      <c r="G682" s="156"/>
      <c r="H682" s="156"/>
      <c r="I682" s="156"/>
      <c r="J682" s="156"/>
      <c r="K682" s="156"/>
      <c r="L682" s="156"/>
      <c r="M682" s="156"/>
      <c r="N682" s="156"/>
      <c r="O682" s="156"/>
      <c r="P682" s="156"/>
      <c r="Q682" s="156"/>
      <c r="R682" s="156"/>
      <c r="S682" s="156"/>
      <c r="T682" s="156"/>
      <c r="U682" s="156"/>
      <c r="V682" s="156"/>
      <c r="W682" s="156"/>
      <c r="X682" s="156"/>
      <c r="Y682" s="156"/>
      <c r="Z682" s="156"/>
    </row>
    <row r="683">
      <c r="A683" s="156"/>
      <c r="B683" s="156"/>
      <c r="C683" s="156"/>
      <c r="D683" s="156"/>
      <c r="E683" s="156"/>
      <c r="F683" s="156"/>
      <c r="G683" s="156"/>
      <c r="H683" s="156"/>
      <c r="I683" s="156"/>
      <c r="J683" s="156"/>
      <c r="K683" s="156"/>
      <c r="L683" s="156"/>
      <c r="M683" s="156"/>
      <c r="N683" s="156"/>
      <c r="O683" s="156"/>
      <c r="P683" s="156"/>
      <c r="Q683" s="156"/>
      <c r="R683" s="156"/>
      <c r="S683" s="156"/>
      <c r="T683" s="156"/>
      <c r="U683" s="156"/>
      <c r="V683" s="156"/>
      <c r="W683" s="156"/>
      <c r="X683" s="156"/>
      <c r="Y683" s="156"/>
      <c r="Z683" s="156"/>
    </row>
    <row r="684">
      <c r="A684" s="156"/>
      <c r="B684" s="156"/>
      <c r="C684" s="156"/>
      <c r="D684" s="156"/>
      <c r="E684" s="156"/>
      <c r="F684" s="156"/>
      <c r="G684" s="156"/>
      <c r="H684" s="156"/>
      <c r="I684" s="156"/>
      <c r="J684" s="156"/>
      <c r="K684" s="156"/>
      <c r="L684" s="156"/>
      <c r="M684" s="156"/>
      <c r="N684" s="156"/>
      <c r="O684" s="156"/>
      <c r="P684" s="156"/>
      <c r="Q684" s="156"/>
      <c r="R684" s="156"/>
      <c r="S684" s="156"/>
      <c r="T684" s="156"/>
      <c r="U684" s="156"/>
      <c r="V684" s="156"/>
      <c r="W684" s="156"/>
      <c r="X684" s="156"/>
      <c r="Y684" s="156"/>
      <c r="Z684" s="156"/>
    </row>
    <row r="685">
      <c r="A685" s="156"/>
      <c r="B685" s="156"/>
      <c r="C685" s="156"/>
      <c r="D685" s="156"/>
      <c r="E685" s="156"/>
      <c r="F685" s="156"/>
      <c r="G685" s="156"/>
      <c r="H685" s="156"/>
      <c r="I685" s="156"/>
      <c r="J685" s="156"/>
      <c r="K685" s="156"/>
      <c r="L685" s="156"/>
      <c r="M685" s="156"/>
      <c r="N685" s="156"/>
      <c r="O685" s="156"/>
      <c r="P685" s="156"/>
      <c r="Q685" s="156"/>
      <c r="R685" s="156"/>
      <c r="S685" s="156"/>
      <c r="T685" s="156"/>
      <c r="U685" s="156"/>
      <c r="V685" s="156"/>
      <c r="W685" s="156"/>
      <c r="X685" s="156"/>
      <c r="Y685" s="156"/>
      <c r="Z685" s="156"/>
    </row>
    <row r="686">
      <c r="A686" s="156"/>
      <c r="B686" s="156"/>
      <c r="C686" s="156"/>
      <c r="D686" s="156"/>
      <c r="E686" s="156"/>
      <c r="F686" s="156"/>
      <c r="G686" s="156"/>
      <c r="H686" s="156"/>
      <c r="I686" s="156"/>
      <c r="J686" s="156"/>
      <c r="K686" s="156"/>
      <c r="L686" s="156"/>
      <c r="M686" s="156"/>
      <c r="N686" s="156"/>
      <c r="O686" s="156"/>
      <c r="P686" s="156"/>
      <c r="Q686" s="156"/>
      <c r="R686" s="156"/>
      <c r="S686" s="156"/>
      <c r="T686" s="156"/>
      <c r="U686" s="156"/>
      <c r="V686" s="156"/>
      <c r="W686" s="156"/>
      <c r="X686" s="156"/>
      <c r="Y686" s="156"/>
      <c r="Z686" s="156"/>
    </row>
    <row r="687">
      <c r="A687" s="156"/>
      <c r="B687" s="156"/>
      <c r="C687" s="156"/>
      <c r="D687" s="156"/>
      <c r="E687" s="156"/>
      <c r="F687" s="156"/>
      <c r="G687" s="156"/>
      <c r="H687" s="156"/>
      <c r="I687" s="156"/>
      <c r="J687" s="156"/>
      <c r="K687" s="156"/>
      <c r="L687" s="156"/>
      <c r="M687" s="156"/>
      <c r="N687" s="156"/>
      <c r="O687" s="156"/>
      <c r="P687" s="156"/>
      <c r="Q687" s="156"/>
      <c r="R687" s="156"/>
      <c r="S687" s="156"/>
      <c r="T687" s="156"/>
      <c r="U687" s="156"/>
      <c r="V687" s="156"/>
      <c r="W687" s="156"/>
      <c r="X687" s="156"/>
      <c r="Y687" s="156"/>
      <c r="Z687" s="156"/>
    </row>
    <row r="688">
      <c r="A688" s="156"/>
      <c r="B688" s="156"/>
      <c r="C688" s="156"/>
      <c r="D688" s="156"/>
      <c r="E688" s="156"/>
      <c r="F688" s="156"/>
      <c r="G688" s="156"/>
      <c r="H688" s="156"/>
      <c r="I688" s="156"/>
      <c r="J688" s="156"/>
      <c r="K688" s="156"/>
      <c r="L688" s="156"/>
      <c r="M688" s="156"/>
      <c r="N688" s="156"/>
      <c r="O688" s="156"/>
      <c r="P688" s="156"/>
      <c r="Q688" s="156"/>
      <c r="R688" s="156"/>
      <c r="S688" s="156"/>
      <c r="T688" s="156"/>
      <c r="U688" s="156"/>
      <c r="V688" s="156"/>
      <c r="W688" s="156"/>
      <c r="X688" s="156"/>
      <c r="Y688" s="156"/>
      <c r="Z688" s="156"/>
    </row>
    <row r="689">
      <c r="A689" s="156"/>
      <c r="B689" s="156"/>
      <c r="C689" s="156"/>
      <c r="D689" s="156"/>
      <c r="E689" s="156"/>
      <c r="F689" s="156"/>
      <c r="G689" s="156"/>
      <c r="H689" s="156"/>
      <c r="I689" s="156"/>
      <c r="J689" s="156"/>
      <c r="K689" s="156"/>
      <c r="L689" s="156"/>
      <c r="M689" s="156"/>
      <c r="N689" s="156"/>
      <c r="O689" s="156"/>
      <c r="P689" s="156"/>
      <c r="Q689" s="156"/>
      <c r="R689" s="156"/>
      <c r="S689" s="156"/>
      <c r="T689" s="156"/>
      <c r="U689" s="156"/>
      <c r="V689" s="156"/>
      <c r="W689" s="156"/>
      <c r="X689" s="156"/>
      <c r="Y689" s="156"/>
      <c r="Z689" s="156"/>
    </row>
    <row r="690">
      <c r="A690" s="156"/>
      <c r="B690" s="156"/>
      <c r="C690" s="156"/>
      <c r="D690" s="156"/>
      <c r="E690" s="156"/>
      <c r="F690" s="156"/>
      <c r="G690" s="156"/>
      <c r="H690" s="156"/>
      <c r="I690" s="156"/>
      <c r="J690" s="156"/>
      <c r="K690" s="156"/>
      <c r="L690" s="156"/>
      <c r="M690" s="156"/>
      <c r="N690" s="156"/>
      <c r="O690" s="156"/>
      <c r="P690" s="156"/>
      <c r="Q690" s="156"/>
      <c r="R690" s="156"/>
      <c r="S690" s="156"/>
      <c r="T690" s="156"/>
      <c r="U690" s="156"/>
      <c r="V690" s="156"/>
      <c r="W690" s="156"/>
      <c r="X690" s="156"/>
      <c r="Y690" s="156"/>
      <c r="Z690" s="156"/>
    </row>
    <row r="691">
      <c r="A691" s="156"/>
      <c r="B691" s="156"/>
      <c r="C691" s="156"/>
      <c r="D691" s="156"/>
      <c r="E691" s="156"/>
      <c r="F691" s="156"/>
      <c r="G691" s="156"/>
      <c r="H691" s="156"/>
      <c r="I691" s="156"/>
      <c r="J691" s="156"/>
      <c r="K691" s="156"/>
      <c r="L691" s="156"/>
      <c r="M691" s="156"/>
      <c r="N691" s="156"/>
      <c r="O691" s="156"/>
      <c r="P691" s="156"/>
      <c r="Q691" s="156"/>
      <c r="R691" s="156"/>
      <c r="S691" s="156"/>
      <c r="T691" s="156"/>
      <c r="U691" s="156"/>
      <c r="V691" s="156"/>
      <c r="W691" s="156"/>
      <c r="X691" s="156"/>
      <c r="Y691" s="156"/>
      <c r="Z691" s="156"/>
    </row>
    <row r="692">
      <c r="A692" s="156"/>
      <c r="B692" s="156"/>
      <c r="C692" s="156"/>
      <c r="D692" s="156"/>
      <c r="E692" s="156"/>
      <c r="F692" s="156"/>
      <c r="G692" s="156"/>
      <c r="H692" s="156"/>
      <c r="I692" s="156"/>
      <c r="J692" s="156"/>
      <c r="K692" s="156"/>
      <c r="L692" s="156"/>
      <c r="M692" s="156"/>
      <c r="N692" s="156"/>
      <c r="O692" s="156"/>
      <c r="P692" s="156"/>
      <c r="Q692" s="156"/>
      <c r="R692" s="156"/>
      <c r="S692" s="156"/>
      <c r="T692" s="156"/>
      <c r="U692" s="156"/>
      <c r="V692" s="156"/>
      <c r="W692" s="156"/>
      <c r="X692" s="156"/>
      <c r="Y692" s="156"/>
      <c r="Z692" s="156"/>
    </row>
    <row r="693">
      <c r="A693" s="156"/>
      <c r="B693" s="156"/>
      <c r="C693" s="156"/>
      <c r="D693" s="156"/>
      <c r="E693" s="156"/>
      <c r="F693" s="156"/>
      <c r="G693" s="156"/>
      <c r="H693" s="156"/>
      <c r="I693" s="156"/>
      <c r="J693" s="156"/>
      <c r="K693" s="156"/>
      <c r="L693" s="156"/>
      <c r="M693" s="156"/>
      <c r="N693" s="156"/>
      <c r="O693" s="156"/>
      <c r="P693" s="156"/>
      <c r="Q693" s="156"/>
      <c r="R693" s="156"/>
      <c r="S693" s="156"/>
      <c r="T693" s="156"/>
      <c r="U693" s="156"/>
      <c r="V693" s="156"/>
      <c r="W693" s="156"/>
      <c r="X693" s="156"/>
      <c r="Y693" s="156"/>
      <c r="Z693" s="156"/>
    </row>
    <row r="694">
      <c r="A694" s="156"/>
      <c r="B694" s="156"/>
      <c r="C694" s="156"/>
      <c r="D694" s="156"/>
      <c r="E694" s="156"/>
      <c r="F694" s="156"/>
      <c r="G694" s="156"/>
      <c r="H694" s="156"/>
      <c r="I694" s="156"/>
      <c r="J694" s="156"/>
      <c r="K694" s="156"/>
      <c r="L694" s="156"/>
      <c r="M694" s="156"/>
      <c r="N694" s="156"/>
      <c r="O694" s="156"/>
      <c r="P694" s="156"/>
      <c r="Q694" s="156"/>
      <c r="R694" s="156"/>
      <c r="S694" s="156"/>
      <c r="T694" s="156"/>
      <c r="U694" s="156"/>
      <c r="V694" s="156"/>
      <c r="W694" s="156"/>
      <c r="X694" s="156"/>
      <c r="Y694" s="156"/>
      <c r="Z694" s="156"/>
    </row>
    <row r="695">
      <c r="A695" s="156"/>
      <c r="B695" s="156"/>
      <c r="C695" s="156"/>
      <c r="D695" s="156"/>
      <c r="E695" s="156"/>
      <c r="F695" s="156"/>
      <c r="G695" s="156"/>
      <c r="H695" s="156"/>
      <c r="I695" s="156"/>
      <c r="J695" s="156"/>
      <c r="K695" s="156"/>
      <c r="L695" s="156"/>
      <c r="M695" s="156"/>
      <c r="N695" s="156"/>
      <c r="O695" s="156"/>
      <c r="P695" s="156"/>
      <c r="Q695" s="156"/>
      <c r="R695" s="156"/>
      <c r="S695" s="156"/>
      <c r="T695" s="156"/>
      <c r="U695" s="156"/>
      <c r="V695" s="156"/>
      <c r="W695" s="156"/>
      <c r="X695" s="156"/>
      <c r="Y695" s="156"/>
      <c r="Z695" s="156"/>
    </row>
    <row r="696">
      <c r="A696" s="156"/>
      <c r="B696" s="156"/>
      <c r="C696" s="156"/>
      <c r="D696" s="156"/>
      <c r="E696" s="156"/>
      <c r="F696" s="156"/>
      <c r="G696" s="156"/>
      <c r="H696" s="156"/>
      <c r="I696" s="156"/>
      <c r="J696" s="156"/>
      <c r="K696" s="156"/>
      <c r="L696" s="156"/>
      <c r="M696" s="156"/>
      <c r="N696" s="156"/>
      <c r="O696" s="156"/>
      <c r="P696" s="156"/>
      <c r="Q696" s="156"/>
      <c r="R696" s="156"/>
      <c r="S696" s="156"/>
      <c r="T696" s="156"/>
      <c r="U696" s="156"/>
      <c r="V696" s="156"/>
      <c r="W696" s="156"/>
      <c r="X696" s="156"/>
      <c r="Y696" s="156"/>
      <c r="Z696" s="156"/>
    </row>
    <row r="697">
      <c r="A697" s="156"/>
      <c r="B697" s="156"/>
      <c r="C697" s="156"/>
      <c r="D697" s="156"/>
      <c r="E697" s="156"/>
      <c r="F697" s="156"/>
      <c r="G697" s="156"/>
      <c r="H697" s="156"/>
      <c r="I697" s="156"/>
      <c r="J697" s="156"/>
      <c r="K697" s="156"/>
      <c r="L697" s="156"/>
      <c r="M697" s="156"/>
      <c r="N697" s="156"/>
      <c r="O697" s="156"/>
      <c r="P697" s="156"/>
      <c r="Q697" s="156"/>
      <c r="R697" s="156"/>
      <c r="S697" s="156"/>
      <c r="T697" s="156"/>
      <c r="U697" s="156"/>
      <c r="V697" s="156"/>
      <c r="W697" s="156"/>
      <c r="X697" s="156"/>
      <c r="Y697" s="156"/>
      <c r="Z697" s="156"/>
    </row>
    <row r="698">
      <c r="A698" s="156"/>
      <c r="B698" s="156"/>
      <c r="C698" s="156"/>
      <c r="D698" s="156"/>
      <c r="E698" s="156"/>
      <c r="F698" s="156"/>
      <c r="G698" s="156"/>
      <c r="H698" s="156"/>
      <c r="I698" s="156"/>
      <c r="J698" s="156"/>
      <c r="K698" s="156"/>
      <c r="L698" s="156"/>
      <c r="M698" s="156"/>
      <c r="N698" s="156"/>
      <c r="O698" s="156"/>
      <c r="P698" s="156"/>
      <c r="Q698" s="156"/>
      <c r="R698" s="156"/>
      <c r="S698" s="156"/>
      <c r="T698" s="156"/>
      <c r="U698" s="156"/>
      <c r="V698" s="156"/>
      <c r="W698" s="156"/>
      <c r="X698" s="156"/>
      <c r="Y698" s="156"/>
      <c r="Z698" s="156"/>
    </row>
    <row r="699">
      <c r="A699" s="156"/>
      <c r="B699" s="156"/>
      <c r="C699" s="156"/>
      <c r="D699" s="156"/>
      <c r="E699" s="156"/>
      <c r="F699" s="156"/>
      <c r="G699" s="156"/>
      <c r="H699" s="156"/>
      <c r="I699" s="156"/>
      <c r="J699" s="156"/>
      <c r="K699" s="156"/>
      <c r="L699" s="156"/>
      <c r="M699" s="156"/>
      <c r="N699" s="156"/>
      <c r="O699" s="156"/>
      <c r="P699" s="156"/>
      <c r="Q699" s="156"/>
      <c r="R699" s="156"/>
      <c r="S699" s="156"/>
      <c r="T699" s="156"/>
      <c r="U699" s="156"/>
      <c r="V699" s="156"/>
      <c r="W699" s="156"/>
      <c r="X699" s="156"/>
      <c r="Y699" s="156"/>
      <c r="Z699" s="156"/>
    </row>
    <row r="700">
      <c r="A700" s="156"/>
      <c r="B700" s="156"/>
      <c r="C700" s="156"/>
      <c r="D700" s="156"/>
      <c r="E700" s="156"/>
      <c r="F700" s="156"/>
      <c r="G700" s="156"/>
      <c r="H700" s="156"/>
      <c r="I700" s="156"/>
      <c r="J700" s="156"/>
      <c r="K700" s="156"/>
      <c r="L700" s="156"/>
      <c r="M700" s="156"/>
      <c r="N700" s="156"/>
      <c r="O700" s="156"/>
      <c r="P700" s="156"/>
      <c r="Q700" s="156"/>
      <c r="R700" s="156"/>
      <c r="S700" s="156"/>
      <c r="T700" s="156"/>
      <c r="U700" s="156"/>
      <c r="V700" s="156"/>
      <c r="W700" s="156"/>
      <c r="X700" s="156"/>
      <c r="Y700" s="156"/>
      <c r="Z700" s="156"/>
    </row>
    <row r="701">
      <c r="A701" s="156"/>
      <c r="B701" s="156"/>
      <c r="C701" s="156"/>
      <c r="D701" s="156"/>
      <c r="E701" s="156"/>
      <c r="F701" s="156"/>
      <c r="G701" s="156"/>
      <c r="H701" s="156"/>
      <c r="I701" s="156"/>
      <c r="J701" s="156"/>
      <c r="K701" s="156"/>
      <c r="L701" s="156"/>
      <c r="M701" s="156"/>
      <c r="N701" s="156"/>
      <c r="O701" s="156"/>
      <c r="P701" s="156"/>
      <c r="Q701" s="156"/>
      <c r="R701" s="156"/>
      <c r="S701" s="156"/>
      <c r="T701" s="156"/>
      <c r="U701" s="156"/>
      <c r="V701" s="156"/>
      <c r="W701" s="156"/>
      <c r="X701" s="156"/>
      <c r="Y701" s="156"/>
      <c r="Z701" s="156"/>
    </row>
    <row r="702">
      <c r="A702" s="156"/>
      <c r="B702" s="156"/>
      <c r="C702" s="156"/>
      <c r="D702" s="156"/>
      <c r="E702" s="156"/>
      <c r="F702" s="156"/>
      <c r="G702" s="156"/>
      <c r="H702" s="156"/>
      <c r="I702" s="156"/>
      <c r="J702" s="156"/>
      <c r="K702" s="156"/>
      <c r="L702" s="156"/>
      <c r="M702" s="156"/>
      <c r="N702" s="156"/>
      <c r="O702" s="156"/>
      <c r="P702" s="156"/>
      <c r="Q702" s="156"/>
      <c r="R702" s="156"/>
      <c r="S702" s="156"/>
      <c r="T702" s="156"/>
      <c r="U702" s="156"/>
      <c r="V702" s="156"/>
      <c r="W702" s="156"/>
      <c r="X702" s="156"/>
      <c r="Y702" s="156"/>
      <c r="Z702" s="156"/>
    </row>
    <row r="703">
      <c r="A703" s="156"/>
      <c r="B703" s="156"/>
      <c r="C703" s="156"/>
      <c r="D703" s="156"/>
      <c r="E703" s="156"/>
      <c r="F703" s="156"/>
      <c r="G703" s="156"/>
      <c r="H703" s="156"/>
      <c r="I703" s="156"/>
      <c r="J703" s="156"/>
      <c r="K703" s="156"/>
      <c r="L703" s="156"/>
      <c r="M703" s="156"/>
      <c r="N703" s="156"/>
      <c r="O703" s="156"/>
      <c r="P703" s="156"/>
      <c r="Q703" s="156"/>
      <c r="R703" s="156"/>
      <c r="S703" s="156"/>
      <c r="T703" s="156"/>
      <c r="U703" s="156"/>
      <c r="V703" s="156"/>
      <c r="W703" s="156"/>
      <c r="X703" s="156"/>
      <c r="Y703" s="156"/>
      <c r="Z703" s="156"/>
    </row>
    <row r="704">
      <c r="A704" s="156"/>
      <c r="B704" s="156"/>
      <c r="C704" s="156"/>
      <c r="D704" s="156"/>
      <c r="E704" s="156"/>
      <c r="F704" s="156"/>
      <c r="G704" s="156"/>
      <c r="H704" s="156"/>
      <c r="I704" s="156"/>
      <c r="J704" s="156"/>
      <c r="K704" s="156"/>
      <c r="L704" s="156"/>
      <c r="M704" s="156"/>
      <c r="N704" s="156"/>
      <c r="O704" s="156"/>
      <c r="P704" s="156"/>
      <c r="Q704" s="156"/>
      <c r="R704" s="156"/>
      <c r="S704" s="156"/>
      <c r="T704" s="156"/>
      <c r="U704" s="156"/>
      <c r="V704" s="156"/>
      <c r="W704" s="156"/>
      <c r="X704" s="156"/>
      <c r="Y704" s="156"/>
      <c r="Z704" s="156"/>
    </row>
    <row r="705">
      <c r="A705" s="156"/>
      <c r="B705" s="156"/>
      <c r="C705" s="156"/>
      <c r="D705" s="156"/>
      <c r="E705" s="156"/>
      <c r="F705" s="156"/>
      <c r="G705" s="156"/>
      <c r="H705" s="156"/>
      <c r="I705" s="156"/>
      <c r="J705" s="156"/>
      <c r="K705" s="156"/>
      <c r="L705" s="156"/>
      <c r="M705" s="156"/>
      <c r="N705" s="156"/>
      <c r="O705" s="156"/>
      <c r="P705" s="156"/>
      <c r="Q705" s="156"/>
      <c r="R705" s="156"/>
      <c r="S705" s="156"/>
      <c r="T705" s="156"/>
      <c r="U705" s="156"/>
      <c r="V705" s="156"/>
      <c r="W705" s="156"/>
      <c r="X705" s="156"/>
      <c r="Y705" s="156"/>
      <c r="Z705" s="156"/>
    </row>
    <row r="706">
      <c r="A706" s="156"/>
      <c r="B706" s="156"/>
      <c r="C706" s="156"/>
      <c r="D706" s="156"/>
      <c r="E706" s="156"/>
      <c r="F706" s="156"/>
      <c r="G706" s="156"/>
      <c r="H706" s="156"/>
      <c r="I706" s="156"/>
      <c r="J706" s="156"/>
      <c r="K706" s="156"/>
      <c r="L706" s="156"/>
      <c r="M706" s="156"/>
      <c r="N706" s="156"/>
      <c r="O706" s="156"/>
      <c r="P706" s="156"/>
      <c r="Q706" s="156"/>
      <c r="R706" s="156"/>
      <c r="S706" s="156"/>
      <c r="T706" s="156"/>
      <c r="U706" s="156"/>
      <c r="V706" s="156"/>
      <c r="W706" s="156"/>
      <c r="X706" s="156"/>
      <c r="Y706" s="156"/>
      <c r="Z706" s="156"/>
    </row>
    <row r="707">
      <c r="A707" s="156"/>
      <c r="B707" s="156"/>
      <c r="C707" s="156"/>
      <c r="D707" s="156"/>
      <c r="E707" s="156"/>
      <c r="F707" s="156"/>
      <c r="G707" s="156"/>
      <c r="H707" s="156"/>
      <c r="I707" s="156"/>
      <c r="J707" s="156"/>
      <c r="K707" s="156"/>
      <c r="L707" s="156"/>
      <c r="M707" s="156"/>
      <c r="N707" s="156"/>
      <c r="O707" s="156"/>
      <c r="P707" s="156"/>
      <c r="Q707" s="156"/>
      <c r="R707" s="156"/>
      <c r="S707" s="156"/>
      <c r="T707" s="156"/>
      <c r="U707" s="156"/>
      <c r="V707" s="156"/>
      <c r="W707" s="156"/>
      <c r="X707" s="156"/>
      <c r="Y707" s="156"/>
      <c r="Z707" s="156"/>
    </row>
    <row r="708">
      <c r="A708" s="156"/>
      <c r="B708" s="156"/>
      <c r="C708" s="156"/>
      <c r="D708" s="156"/>
      <c r="E708" s="156"/>
      <c r="F708" s="156"/>
      <c r="G708" s="156"/>
      <c r="H708" s="156"/>
      <c r="I708" s="156"/>
      <c r="J708" s="156"/>
      <c r="K708" s="156"/>
      <c r="L708" s="156"/>
      <c r="M708" s="156"/>
      <c r="N708" s="156"/>
      <c r="O708" s="156"/>
      <c r="P708" s="156"/>
      <c r="Q708" s="156"/>
      <c r="R708" s="156"/>
      <c r="S708" s="156"/>
      <c r="T708" s="156"/>
      <c r="U708" s="156"/>
      <c r="V708" s="156"/>
      <c r="W708" s="156"/>
      <c r="X708" s="156"/>
      <c r="Y708" s="156"/>
      <c r="Z708" s="156"/>
    </row>
    <row r="709">
      <c r="A709" s="156"/>
      <c r="B709" s="156"/>
      <c r="C709" s="156"/>
      <c r="D709" s="156"/>
      <c r="E709" s="156"/>
      <c r="F709" s="156"/>
      <c r="G709" s="156"/>
      <c r="H709" s="156"/>
      <c r="I709" s="156"/>
      <c r="J709" s="156"/>
      <c r="K709" s="156"/>
      <c r="L709" s="156"/>
      <c r="M709" s="156"/>
      <c r="N709" s="156"/>
      <c r="O709" s="156"/>
      <c r="P709" s="156"/>
      <c r="Q709" s="156"/>
      <c r="R709" s="156"/>
      <c r="S709" s="156"/>
      <c r="T709" s="156"/>
      <c r="U709" s="156"/>
      <c r="V709" s="156"/>
      <c r="W709" s="156"/>
      <c r="X709" s="156"/>
      <c r="Y709" s="156"/>
      <c r="Z709" s="156"/>
    </row>
    <row r="710">
      <c r="A710" s="156"/>
      <c r="B710" s="156"/>
      <c r="C710" s="156"/>
      <c r="D710" s="156"/>
      <c r="E710" s="156"/>
      <c r="F710" s="156"/>
      <c r="G710" s="156"/>
      <c r="H710" s="156"/>
      <c r="I710" s="156"/>
      <c r="J710" s="156"/>
      <c r="K710" s="156"/>
      <c r="L710" s="156"/>
      <c r="M710" s="156"/>
      <c r="N710" s="156"/>
      <c r="O710" s="156"/>
      <c r="P710" s="156"/>
      <c r="Q710" s="156"/>
      <c r="R710" s="156"/>
      <c r="S710" s="156"/>
      <c r="T710" s="156"/>
      <c r="U710" s="156"/>
      <c r="V710" s="156"/>
      <c r="W710" s="156"/>
      <c r="X710" s="156"/>
      <c r="Y710" s="156"/>
      <c r="Z710" s="156"/>
    </row>
    <row r="711">
      <c r="A711" s="156"/>
      <c r="B711" s="156"/>
      <c r="C711" s="156"/>
      <c r="D711" s="156"/>
      <c r="E711" s="156"/>
      <c r="F711" s="156"/>
      <c r="G711" s="156"/>
      <c r="H711" s="156"/>
      <c r="I711" s="156"/>
      <c r="J711" s="156"/>
      <c r="K711" s="156"/>
      <c r="L711" s="156"/>
      <c r="M711" s="156"/>
      <c r="N711" s="156"/>
      <c r="O711" s="156"/>
      <c r="P711" s="156"/>
      <c r="Q711" s="156"/>
      <c r="R711" s="156"/>
      <c r="S711" s="156"/>
      <c r="T711" s="156"/>
      <c r="U711" s="156"/>
      <c r="V711" s="156"/>
      <c r="W711" s="156"/>
      <c r="X711" s="156"/>
      <c r="Y711" s="156"/>
      <c r="Z711" s="156"/>
    </row>
    <row r="712">
      <c r="A712" s="156"/>
      <c r="B712" s="156"/>
      <c r="C712" s="156"/>
      <c r="D712" s="156"/>
      <c r="E712" s="156"/>
      <c r="F712" s="156"/>
      <c r="G712" s="156"/>
      <c r="H712" s="156"/>
      <c r="I712" s="156"/>
      <c r="J712" s="156"/>
      <c r="K712" s="156"/>
      <c r="L712" s="156"/>
      <c r="M712" s="156"/>
      <c r="N712" s="156"/>
      <c r="O712" s="156"/>
      <c r="P712" s="156"/>
      <c r="Q712" s="156"/>
      <c r="R712" s="156"/>
      <c r="S712" s="156"/>
      <c r="T712" s="156"/>
      <c r="U712" s="156"/>
      <c r="V712" s="156"/>
      <c r="W712" s="156"/>
      <c r="X712" s="156"/>
      <c r="Y712" s="156"/>
      <c r="Z712" s="156"/>
    </row>
    <row r="713">
      <c r="A713" s="156"/>
      <c r="B713" s="156"/>
      <c r="C713" s="156"/>
      <c r="D713" s="156"/>
      <c r="E713" s="156"/>
      <c r="F713" s="156"/>
      <c r="G713" s="156"/>
      <c r="H713" s="156"/>
      <c r="I713" s="156"/>
      <c r="J713" s="156"/>
      <c r="K713" s="156"/>
      <c r="L713" s="156"/>
      <c r="M713" s="156"/>
      <c r="N713" s="156"/>
      <c r="O713" s="156"/>
      <c r="P713" s="156"/>
      <c r="Q713" s="156"/>
      <c r="R713" s="156"/>
      <c r="S713" s="156"/>
      <c r="T713" s="156"/>
      <c r="U713" s="156"/>
      <c r="V713" s="156"/>
      <c r="W713" s="156"/>
      <c r="X713" s="156"/>
      <c r="Y713" s="156"/>
      <c r="Z713" s="156"/>
    </row>
    <row r="714">
      <c r="A714" s="156"/>
      <c r="B714" s="156"/>
      <c r="C714" s="156"/>
      <c r="D714" s="156"/>
      <c r="E714" s="156"/>
      <c r="F714" s="156"/>
      <c r="G714" s="156"/>
      <c r="H714" s="156"/>
      <c r="I714" s="156"/>
      <c r="J714" s="156"/>
      <c r="K714" s="156"/>
      <c r="L714" s="156"/>
      <c r="M714" s="156"/>
      <c r="N714" s="156"/>
      <c r="O714" s="156"/>
      <c r="P714" s="156"/>
      <c r="Q714" s="156"/>
      <c r="R714" s="156"/>
      <c r="S714" s="156"/>
      <c r="T714" s="156"/>
      <c r="U714" s="156"/>
      <c r="V714" s="156"/>
      <c r="W714" s="156"/>
      <c r="X714" s="156"/>
      <c r="Y714" s="156"/>
      <c r="Z714" s="156"/>
    </row>
    <row r="715">
      <c r="A715" s="156"/>
      <c r="B715" s="156"/>
      <c r="C715" s="156"/>
      <c r="D715" s="156"/>
      <c r="E715" s="156"/>
      <c r="F715" s="156"/>
      <c r="G715" s="156"/>
      <c r="H715" s="156"/>
      <c r="I715" s="156"/>
      <c r="J715" s="156"/>
      <c r="K715" s="156"/>
      <c r="L715" s="156"/>
      <c r="M715" s="156"/>
      <c r="N715" s="156"/>
      <c r="O715" s="156"/>
      <c r="P715" s="156"/>
      <c r="Q715" s="156"/>
      <c r="R715" s="156"/>
      <c r="S715" s="156"/>
      <c r="T715" s="156"/>
      <c r="U715" s="156"/>
      <c r="V715" s="156"/>
      <c r="W715" s="156"/>
      <c r="X715" s="156"/>
      <c r="Y715" s="156"/>
      <c r="Z715" s="156"/>
    </row>
    <row r="716">
      <c r="A716" s="156"/>
      <c r="B716" s="156"/>
      <c r="C716" s="156"/>
      <c r="D716" s="156"/>
      <c r="E716" s="156"/>
      <c r="F716" s="156"/>
      <c r="G716" s="156"/>
      <c r="H716" s="156"/>
      <c r="I716" s="156"/>
      <c r="J716" s="156"/>
      <c r="K716" s="156"/>
      <c r="L716" s="156"/>
      <c r="M716" s="156"/>
      <c r="N716" s="156"/>
      <c r="O716" s="156"/>
      <c r="P716" s="156"/>
      <c r="Q716" s="156"/>
      <c r="R716" s="156"/>
      <c r="S716" s="156"/>
      <c r="T716" s="156"/>
      <c r="U716" s="156"/>
      <c r="V716" s="156"/>
      <c r="W716" s="156"/>
      <c r="X716" s="156"/>
      <c r="Y716" s="156"/>
      <c r="Z716" s="156"/>
    </row>
    <row r="717">
      <c r="A717" s="156"/>
      <c r="B717" s="156"/>
      <c r="C717" s="156"/>
      <c r="D717" s="156"/>
      <c r="E717" s="156"/>
      <c r="F717" s="156"/>
      <c r="G717" s="156"/>
      <c r="H717" s="156"/>
      <c r="I717" s="156"/>
      <c r="J717" s="156"/>
      <c r="K717" s="156"/>
      <c r="L717" s="156"/>
      <c r="M717" s="156"/>
      <c r="N717" s="156"/>
      <c r="O717" s="156"/>
      <c r="P717" s="156"/>
      <c r="Q717" s="156"/>
      <c r="R717" s="156"/>
      <c r="S717" s="156"/>
      <c r="T717" s="156"/>
      <c r="U717" s="156"/>
      <c r="V717" s="156"/>
      <c r="W717" s="156"/>
      <c r="X717" s="156"/>
      <c r="Y717" s="156"/>
      <c r="Z717" s="156"/>
    </row>
    <row r="718">
      <c r="A718" s="156"/>
      <c r="B718" s="156"/>
      <c r="C718" s="156"/>
      <c r="D718" s="156"/>
      <c r="E718" s="156"/>
      <c r="F718" s="156"/>
      <c r="G718" s="156"/>
      <c r="H718" s="156"/>
      <c r="I718" s="156"/>
      <c r="J718" s="156"/>
      <c r="K718" s="156"/>
      <c r="L718" s="156"/>
      <c r="M718" s="156"/>
      <c r="N718" s="156"/>
      <c r="O718" s="156"/>
      <c r="P718" s="156"/>
      <c r="Q718" s="156"/>
      <c r="R718" s="156"/>
      <c r="S718" s="156"/>
      <c r="T718" s="156"/>
      <c r="U718" s="156"/>
      <c r="V718" s="156"/>
      <c r="W718" s="156"/>
      <c r="X718" s="156"/>
      <c r="Y718" s="156"/>
      <c r="Z718" s="156"/>
    </row>
    <row r="719">
      <c r="A719" s="156"/>
      <c r="B719" s="156"/>
      <c r="C719" s="156"/>
      <c r="D719" s="156"/>
      <c r="E719" s="156"/>
      <c r="F719" s="156"/>
      <c r="G719" s="156"/>
      <c r="H719" s="156"/>
      <c r="I719" s="156"/>
      <c r="J719" s="156"/>
      <c r="K719" s="156"/>
      <c r="L719" s="156"/>
      <c r="M719" s="156"/>
      <c r="N719" s="156"/>
      <c r="O719" s="156"/>
      <c r="P719" s="156"/>
      <c r="Q719" s="156"/>
      <c r="R719" s="156"/>
      <c r="S719" s="156"/>
      <c r="T719" s="156"/>
      <c r="U719" s="156"/>
      <c r="V719" s="156"/>
      <c r="W719" s="156"/>
      <c r="X719" s="156"/>
      <c r="Y719" s="156"/>
      <c r="Z719" s="156"/>
    </row>
    <row r="720">
      <c r="A720" s="156"/>
      <c r="B720" s="156"/>
      <c r="C720" s="156"/>
      <c r="D720" s="156"/>
      <c r="E720" s="156"/>
      <c r="F720" s="156"/>
      <c r="G720" s="156"/>
      <c r="H720" s="156"/>
      <c r="I720" s="156"/>
      <c r="J720" s="156"/>
      <c r="K720" s="156"/>
      <c r="L720" s="156"/>
      <c r="M720" s="156"/>
      <c r="N720" s="156"/>
      <c r="O720" s="156"/>
      <c r="P720" s="156"/>
      <c r="Q720" s="156"/>
      <c r="R720" s="156"/>
      <c r="S720" s="156"/>
      <c r="T720" s="156"/>
      <c r="U720" s="156"/>
      <c r="V720" s="156"/>
      <c r="W720" s="156"/>
      <c r="X720" s="156"/>
      <c r="Y720" s="156"/>
      <c r="Z720" s="156"/>
    </row>
    <row r="721">
      <c r="A721" s="156"/>
      <c r="B721" s="156"/>
      <c r="C721" s="156"/>
      <c r="D721" s="156"/>
      <c r="E721" s="156"/>
      <c r="F721" s="156"/>
      <c r="G721" s="156"/>
      <c r="H721" s="156"/>
      <c r="I721" s="156"/>
      <c r="J721" s="156"/>
      <c r="K721" s="156"/>
      <c r="L721" s="156"/>
      <c r="M721" s="156"/>
      <c r="N721" s="156"/>
      <c r="O721" s="156"/>
      <c r="P721" s="156"/>
      <c r="Q721" s="156"/>
      <c r="R721" s="156"/>
      <c r="S721" s="156"/>
      <c r="T721" s="156"/>
      <c r="U721" s="156"/>
      <c r="V721" s="156"/>
      <c r="W721" s="156"/>
      <c r="X721" s="156"/>
      <c r="Y721" s="156"/>
      <c r="Z721" s="156"/>
    </row>
    <row r="722">
      <c r="A722" s="156"/>
      <c r="B722" s="156"/>
      <c r="C722" s="156"/>
      <c r="D722" s="156"/>
      <c r="E722" s="156"/>
      <c r="F722" s="156"/>
      <c r="G722" s="156"/>
      <c r="H722" s="156"/>
      <c r="I722" s="156"/>
      <c r="J722" s="156"/>
      <c r="K722" s="156"/>
      <c r="L722" s="156"/>
      <c r="M722" s="156"/>
      <c r="N722" s="156"/>
      <c r="O722" s="156"/>
      <c r="P722" s="156"/>
      <c r="Q722" s="156"/>
      <c r="R722" s="156"/>
      <c r="S722" s="156"/>
      <c r="T722" s="156"/>
      <c r="U722" s="156"/>
      <c r="V722" s="156"/>
      <c r="W722" s="156"/>
      <c r="X722" s="156"/>
      <c r="Y722" s="156"/>
      <c r="Z722" s="156"/>
    </row>
    <row r="723">
      <c r="A723" s="156"/>
      <c r="B723" s="156"/>
      <c r="C723" s="156"/>
      <c r="D723" s="156"/>
      <c r="E723" s="156"/>
      <c r="F723" s="156"/>
      <c r="G723" s="156"/>
      <c r="H723" s="156"/>
      <c r="I723" s="156"/>
      <c r="J723" s="156"/>
      <c r="K723" s="156"/>
      <c r="L723" s="156"/>
      <c r="M723" s="156"/>
      <c r="N723" s="156"/>
      <c r="O723" s="156"/>
      <c r="P723" s="156"/>
      <c r="Q723" s="156"/>
      <c r="R723" s="156"/>
      <c r="S723" s="156"/>
      <c r="T723" s="156"/>
      <c r="U723" s="156"/>
      <c r="V723" s="156"/>
      <c r="W723" s="156"/>
      <c r="X723" s="156"/>
      <c r="Y723" s="156"/>
      <c r="Z723" s="156"/>
    </row>
    <row r="724">
      <c r="A724" s="156"/>
      <c r="B724" s="156"/>
      <c r="C724" s="156"/>
      <c r="D724" s="156"/>
      <c r="E724" s="156"/>
      <c r="F724" s="156"/>
      <c r="G724" s="156"/>
      <c r="H724" s="156"/>
      <c r="I724" s="156"/>
      <c r="J724" s="156"/>
      <c r="K724" s="156"/>
      <c r="L724" s="156"/>
      <c r="M724" s="156"/>
      <c r="N724" s="156"/>
      <c r="O724" s="156"/>
      <c r="P724" s="156"/>
      <c r="Q724" s="156"/>
      <c r="R724" s="156"/>
      <c r="S724" s="156"/>
      <c r="T724" s="156"/>
      <c r="U724" s="156"/>
      <c r="V724" s="156"/>
      <c r="W724" s="156"/>
      <c r="X724" s="156"/>
      <c r="Y724" s="156"/>
      <c r="Z724" s="156"/>
    </row>
    <row r="725">
      <c r="A725" s="156"/>
      <c r="B725" s="156"/>
      <c r="C725" s="156"/>
      <c r="D725" s="156"/>
      <c r="E725" s="156"/>
      <c r="F725" s="156"/>
      <c r="G725" s="156"/>
      <c r="H725" s="156"/>
      <c r="I725" s="156"/>
      <c r="J725" s="156"/>
      <c r="K725" s="156"/>
      <c r="L725" s="156"/>
      <c r="M725" s="156"/>
      <c r="N725" s="156"/>
      <c r="O725" s="156"/>
      <c r="P725" s="156"/>
      <c r="Q725" s="156"/>
      <c r="R725" s="156"/>
      <c r="S725" s="156"/>
      <c r="T725" s="156"/>
      <c r="U725" s="156"/>
      <c r="V725" s="156"/>
      <c r="W725" s="156"/>
      <c r="X725" s="156"/>
      <c r="Y725" s="156"/>
      <c r="Z725" s="156"/>
    </row>
    <row r="726">
      <c r="A726" s="156"/>
      <c r="B726" s="156"/>
      <c r="C726" s="156"/>
      <c r="D726" s="156"/>
      <c r="E726" s="156"/>
      <c r="F726" s="156"/>
      <c r="G726" s="156"/>
      <c r="H726" s="156"/>
      <c r="I726" s="156"/>
      <c r="J726" s="156"/>
      <c r="K726" s="156"/>
      <c r="L726" s="156"/>
      <c r="M726" s="156"/>
      <c r="N726" s="156"/>
      <c r="O726" s="156"/>
      <c r="P726" s="156"/>
      <c r="Q726" s="156"/>
      <c r="R726" s="156"/>
      <c r="S726" s="156"/>
      <c r="T726" s="156"/>
      <c r="U726" s="156"/>
      <c r="V726" s="156"/>
      <c r="W726" s="156"/>
      <c r="X726" s="156"/>
      <c r="Y726" s="156"/>
      <c r="Z726" s="156"/>
    </row>
    <row r="727">
      <c r="A727" s="156"/>
      <c r="B727" s="156"/>
      <c r="C727" s="156"/>
      <c r="D727" s="156"/>
      <c r="E727" s="156"/>
      <c r="F727" s="156"/>
      <c r="G727" s="156"/>
      <c r="H727" s="156"/>
      <c r="I727" s="156"/>
      <c r="J727" s="156"/>
      <c r="K727" s="156"/>
      <c r="L727" s="156"/>
      <c r="M727" s="156"/>
      <c r="N727" s="156"/>
      <c r="O727" s="156"/>
      <c r="P727" s="156"/>
      <c r="Q727" s="156"/>
      <c r="R727" s="156"/>
      <c r="S727" s="156"/>
      <c r="T727" s="156"/>
      <c r="U727" s="156"/>
      <c r="V727" s="156"/>
      <c r="W727" s="156"/>
      <c r="X727" s="156"/>
      <c r="Y727" s="156"/>
      <c r="Z727" s="156"/>
    </row>
    <row r="728">
      <c r="A728" s="156"/>
      <c r="B728" s="156"/>
      <c r="C728" s="156"/>
      <c r="D728" s="156"/>
      <c r="E728" s="156"/>
      <c r="F728" s="156"/>
      <c r="G728" s="156"/>
      <c r="H728" s="156"/>
      <c r="I728" s="156"/>
      <c r="J728" s="156"/>
      <c r="K728" s="156"/>
      <c r="L728" s="156"/>
      <c r="M728" s="156"/>
      <c r="N728" s="156"/>
      <c r="O728" s="156"/>
      <c r="P728" s="156"/>
      <c r="Q728" s="156"/>
      <c r="R728" s="156"/>
      <c r="S728" s="156"/>
      <c r="T728" s="156"/>
      <c r="U728" s="156"/>
      <c r="V728" s="156"/>
      <c r="W728" s="156"/>
      <c r="X728" s="156"/>
      <c r="Y728" s="156"/>
      <c r="Z728" s="156"/>
    </row>
    <row r="729">
      <c r="A729" s="156"/>
      <c r="B729" s="156"/>
      <c r="C729" s="156"/>
      <c r="D729" s="156"/>
      <c r="E729" s="156"/>
      <c r="F729" s="156"/>
      <c r="G729" s="156"/>
      <c r="H729" s="156"/>
      <c r="I729" s="156"/>
      <c r="J729" s="156"/>
      <c r="K729" s="156"/>
      <c r="L729" s="156"/>
      <c r="M729" s="156"/>
      <c r="N729" s="156"/>
      <c r="O729" s="156"/>
      <c r="P729" s="156"/>
      <c r="Q729" s="156"/>
      <c r="R729" s="156"/>
      <c r="S729" s="156"/>
      <c r="T729" s="156"/>
      <c r="U729" s="156"/>
      <c r="V729" s="156"/>
      <c r="W729" s="156"/>
      <c r="X729" s="156"/>
      <c r="Y729" s="156"/>
      <c r="Z729" s="156"/>
    </row>
    <row r="730">
      <c r="A730" s="156"/>
      <c r="B730" s="156"/>
      <c r="C730" s="156"/>
      <c r="D730" s="156"/>
      <c r="E730" s="156"/>
      <c r="F730" s="156"/>
      <c r="G730" s="156"/>
      <c r="H730" s="156"/>
      <c r="I730" s="156"/>
      <c r="J730" s="156"/>
      <c r="K730" s="156"/>
      <c r="L730" s="156"/>
      <c r="M730" s="156"/>
      <c r="N730" s="156"/>
      <c r="O730" s="156"/>
      <c r="P730" s="156"/>
      <c r="Q730" s="156"/>
      <c r="R730" s="156"/>
      <c r="S730" s="156"/>
      <c r="T730" s="156"/>
      <c r="U730" s="156"/>
      <c r="V730" s="156"/>
      <c r="W730" s="156"/>
      <c r="X730" s="156"/>
      <c r="Y730" s="156"/>
      <c r="Z730" s="156"/>
    </row>
    <row r="731">
      <c r="A731" s="156"/>
      <c r="B731" s="156"/>
      <c r="C731" s="156"/>
      <c r="D731" s="156"/>
      <c r="E731" s="156"/>
      <c r="F731" s="156"/>
      <c r="G731" s="156"/>
      <c r="H731" s="156"/>
      <c r="I731" s="156"/>
      <c r="J731" s="156"/>
      <c r="K731" s="156"/>
      <c r="L731" s="156"/>
      <c r="M731" s="156"/>
      <c r="N731" s="156"/>
      <c r="O731" s="156"/>
      <c r="P731" s="156"/>
      <c r="Q731" s="156"/>
      <c r="R731" s="156"/>
      <c r="S731" s="156"/>
      <c r="T731" s="156"/>
      <c r="U731" s="156"/>
      <c r="V731" s="156"/>
      <c r="W731" s="156"/>
      <c r="X731" s="156"/>
      <c r="Y731" s="156"/>
      <c r="Z731" s="156"/>
    </row>
    <row r="732">
      <c r="A732" s="156"/>
      <c r="B732" s="156"/>
      <c r="C732" s="156"/>
      <c r="D732" s="156"/>
      <c r="E732" s="156"/>
      <c r="F732" s="156"/>
      <c r="G732" s="156"/>
      <c r="H732" s="156"/>
      <c r="I732" s="156"/>
      <c r="J732" s="156"/>
      <c r="K732" s="156"/>
      <c r="L732" s="156"/>
      <c r="M732" s="156"/>
      <c r="N732" s="156"/>
      <c r="O732" s="156"/>
      <c r="P732" s="156"/>
      <c r="Q732" s="156"/>
      <c r="R732" s="156"/>
      <c r="S732" s="156"/>
      <c r="T732" s="156"/>
      <c r="U732" s="156"/>
      <c r="V732" s="156"/>
      <c r="W732" s="156"/>
      <c r="X732" s="156"/>
      <c r="Y732" s="156"/>
      <c r="Z732" s="156"/>
    </row>
    <row r="733">
      <c r="A733" s="156"/>
      <c r="B733" s="156"/>
      <c r="C733" s="156"/>
      <c r="D733" s="156"/>
      <c r="E733" s="156"/>
      <c r="F733" s="156"/>
      <c r="G733" s="156"/>
      <c r="H733" s="156"/>
      <c r="I733" s="156"/>
      <c r="J733" s="156"/>
      <c r="K733" s="156"/>
      <c r="L733" s="156"/>
      <c r="M733" s="156"/>
      <c r="N733" s="156"/>
      <c r="O733" s="156"/>
      <c r="P733" s="156"/>
      <c r="Q733" s="156"/>
      <c r="R733" s="156"/>
      <c r="S733" s="156"/>
      <c r="T733" s="156"/>
      <c r="U733" s="156"/>
      <c r="V733" s="156"/>
      <c r="W733" s="156"/>
      <c r="X733" s="156"/>
      <c r="Y733" s="156"/>
      <c r="Z733" s="156"/>
    </row>
    <row r="734">
      <c r="A734" s="156"/>
      <c r="B734" s="156"/>
      <c r="C734" s="156"/>
      <c r="D734" s="156"/>
      <c r="E734" s="156"/>
      <c r="F734" s="156"/>
      <c r="G734" s="156"/>
      <c r="H734" s="156"/>
      <c r="I734" s="156"/>
      <c r="J734" s="156"/>
      <c r="K734" s="156"/>
      <c r="L734" s="156"/>
      <c r="M734" s="156"/>
      <c r="N734" s="156"/>
      <c r="O734" s="156"/>
      <c r="P734" s="156"/>
      <c r="Q734" s="156"/>
      <c r="R734" s="156"/>
      <c r="S734" s="156"/>
      <c r="T734" s="156"/>
      <c r="U734" s="156"/>
      <c r="V734" s="156"/>
      <c r="W734" s="156"/>
      <c r="X734" s="156"/>
      <c r="Y734" s="156"/>
      <c r="Z734" s="156"/>
    </row>
    <row r="735">
      <c r="A735" s="156"/>
      <c r="B735" s="156"/>
      <c r="C735" s="156"/>
      <c r="D735" s="156"/>
      <c r="E735" s="156"/>
      <c r="F735" s="156"/>
      <c r="G735" s="156"/>
      <c r="H735" s="156"/>
      <c r="I735" s="156"/>
      <c r="J735" s="156"/>
      <c r="K735" s="156"/>
      <c r="L735" s="156"/>
      <c r="M735" s="156"/>
      <c r="N735" s="156"/>
      <c r="O735" s="156"/>
      <c r="P735" s="156"/>
      <c r="Q735" s="156"/>
      <c r="R735" s="156"/>
      <c r="S735" s="156"/>
      <c r="T735" s="156"/>
      <c r="U735" s="156"/>
      <c r="V735" s="156"/>
      <c r="W735" s="156"/>
      <c r="X735" s="156"/>
      <c r="Y735" s="156"/>
      <c r="Z735" s="156"/>
    </row>
    <row r="736">
      <c r="A736" s="156"/>
      <c r="B736" s="156"/>
      <c r="C736" s="156"/>
      <c r="D736" s="156"/>
      <c r="E736" s="156"/>
      <c r="F736" s="156"/>
      <c r="G736" s="156"/>
      <c r="H736" s="156"/>
      <c r="I736" s="156"/>
      <c r="J736" s="156"/>
      <c r="K736" s="156"/>
      <c r="L736" s="156"/>
      <c r="M736" s="156"/>
      <c r="N736" s="156"/>
      <c r="O736" s="156"/>
      <c r="P736" s="156"/>
      <c r="Q736" s="156"/>
      <c r="R736" s="156"/>
      <c r="S736" s="156"/>
      <c r="T736" s="156"/>
      <c r="U736" s="156"/>
      <c r="V736" s="156"/>
      <c r="W736" s="156"/>
      <c r="X736" s="156"/>
      <c r="Y736" s="156"/>
      <c r="Z736" s="156"/>
    </row>
    <row r="737">
      <c r="A737" s="156"/>
      <c r="B737" s="156"/>
      <c r="C737" s="156"/>
      <c r="D737" s="156"/>
      <c r="E737" s="156"/>
      <c r="F737" s="156"/>
      <c r="G737" s="156"/>
      <c r="H737" s="156"/>
      <c r="I737" s="156"/>
      <c r="J737" s="156"/>
      <c r="K737" s="156"/>
      <c r="L737" s="156"/>
      <c r="M737" s="156"/>
      <c r="N737" s="156"/>
      <c r="O737" s="156"/>
      <c r="P737" s="156"/>
      <c r="Q737" s="156"/>
      <c r="R737" s="156"/>
      <c r="S737" s="156"/>
      <c r="T737" s="156"/>
      <c r="U737" s="156"/>
      <c r="V737" s="156"/>
      <c r="W737" s="156"/>
      <c r="X737" s="156"/>
      <c r="Y737" s="156"/>
      <c r="Z737" s="156"/>
    </row>
    <row r="738">
      <c r="A738" s="156"/>
      <c r="B738" s="156"/>
      <c r="C738" s="156"/>
      <c r="D738" s="156"/>
      <c r="E738" s="156"/>
      <c r="F738" s="156"/>
      <c r="G738" s="156"/>
      <c r="H738" s="156"/>
      <c r="I738" s="156"/>
      <c r="J738" s="156"/>
      <c r="K738" s="156"/>
      <c r="L738" s="156"/>
      <c r="M738" s="156"/>
      <c r="N738" s="156"/>
      <c r="O738" s="156"/>
      <c r="P738" s="156"/>
      <c r="Q738" s="156"/>
      <c r="R738" s="156"/>
      <c r="S738" s="156"/>
      <c r="T738" s="156"/>
      <c r="U738" s="156"/>
      <c r="V738" s="156"/>
      <c r="W738" s="156"/>
      <c r="X738" s="156"/>
      <c r="Y738" s="156"/>
      <c r="Z738" s="156"/>
    </row>
    <row r="739">
      <c r="A739" s="156"/>
      <c r="B739" s="156"/>
      <c r="C739" s="156"/>
      <c r="D739" s="156"/>
      <c r="E739" s="156"/>
      <c r="F739" s="156"/>
      <c r="G739" s="156"/>
      <c r="H739" s="156"/>
      <c r="I739" s="156"/>
      <c r="J739" s="156"/>
      <c r="K739" s="156"/>
      <c r="L739" s="156"/>
      <c r="M739" s="156"/>
      <c r="N739" s="156"/>
      <c r="O739" s="156"/>
      <c r="P739" s="156"/>
      <c r="Q739" s="156"/>
      <c r="R739" s="156"/>
      <c r="S739" s="156"/>
      <c r="T739" s="156"/>
      <c r="U739" s="156"/>
      <c r="V739" s="156"/>
      <c r="W739" s="156"/>
      <c r="X739" s="156"/>
      <c r="Y739" s="156"/>
      <c r="Z739" s="156"/>
    </row>
    <row r="740">
      <c r="A740" s="156"/>
      <c r="B740" s="156"/>
      <c r="C740" s="156"/>
      <c r="D740" s="156"/>
      <c r="E740" s="156"/>
      <c r="F740" s="156"/>
      <c r="G740" s="156"/>
      <c r="H740" s="156"/>
      <c r="I740" s="156"/>
      <c r="J740" s="156"/>
      <c r="K740" s="156"/>
      <c r="L740" s="156"/>
      <c r="M740" s="156"/>
      <c r="N740" s="156"/>
      <c r="O740" s="156"/>
      <c r="P740" s="156"/>
      <c r="Q740" s="156"/>
      <c r="R740" s="156"/>
      <c r="S740" s="156"/>
      <c r="T740" s="156"/>
      <c r="U740" s="156"/>
      <c r="V740" s="156"/>
      <c r="W740" s="156"/>
      <c r="X740" s="156"/>
      <c r="Y740" s="156"/>
      <c r="Z740" s="156"/>
    </row>
    <row r="741">
      <c r="A741" s="156"/>
      <c r="B741" s="156"/>
      <c r="C741" s="156"/>
      <c r="D741" s="156"/>
      <c r="E741" s="156"/>
      <c r="F741" s="156"/>
      <c r="G741" s="156"/>
      <c r="H741" s="156"/>
      <c r="I741" s="156"/>
      <c r="J741" s="156"/>
      <c r="K741" s="156"/>
      <c r="L741" s="156"/>
      <c r="M741" s="156"/>
      <c r="N741" s="156"/>
      <c r="O741" s="156"/>
      <c r="P741" s="156"/>
      <c r="Q741" s="156"/>
      <c r="R741" s="156"/>
      <c r="S741" s="156"/>
      <c r="T741" s="156"/>
      <c r="U741" s="156"/>
      <c r="V741" s="156"/>
      <c r="W741" s="156"/>
      <c r="X741" s="156"/>
      <c r="Y741" s="156"/>
      <c r="Z741" s="156"/>
    </row>
    <row r="742">
      <c r="A742" s="156"/>
      <c r="B742" s="156"/>
      <c r="C742" s="156"/>
      <c r="D742" s="156"/>
      <c r="E742" s="156"/>
      <c r="F742" s="156"/>
      <c r="G742" s="156"/>
      <c r="H742" s="156"/>
      <c r="I742" s="156"/>
      <c r="J742" s="156"/>
      <c r="K742" s="156"/>
      <c r="L742" s="156"/>
      <c r="M742" s="156"/>
      <c r="N742" s="156"/>
      <c r="O742" s="156"/>
      <c r="P742" s="156"/>
      <c r="Q742" s="156"/>
      <c r="R742" s="156"/>
      <c r="S742" s="156"/>
      <c r="T742" s="156"/>
      <c r="U742" s="156"/>
      <c r="V742" s="156"/>
      <c r="W742" s="156"/>
      <c r="X742" s="156"/>
      <c r="Y742" s="156"/>
      <c r="Z742" s="156"/>
    </row>
    <row r="743">
      <c r="A743" s="156"/>
      <c r="B743" s="156"/>
      <c r="C743" s="156"/>
      <c r="D743" s="156"/>
      <c r="E743" s="156"/>
      <c r="F743" s="156"/>
      <c r="G743" s="156"/>
      <c r="H743" s="156"/>
      <c r="I743" s="156"/>
      <c r="J743" s="156"/>
      <c r="K743" s="156"/>
      <c r="L743" s="156"/>
      <c r="M743" s="156"/>
      <c r="N743" s="156"/>
      <c r="O743" s="156"/>
      <c r="P743" s="156"/>
      <c r="Q743" s="156"/>
      <c r="R743" s="156"/>
      <c r="S743" s="156"/>
      <c r="T743" s="156"/>
      <c r="U743" s="156"/>
      <c r="V743" s="156"/>
      <c r="W743" s="156"/>
      <c r="X743" s="156"/>
      <c r="Y743" s="156"/>
      <c r="Z743" s="156"/>
    </row>
    <row r="744">
      <c r="A744" s="156"/>
      <c r="B744" s="156"/>
      <c r="C744" s="156"/>
      <c r="D744" s="156"/>
      <c r="E744" s="156"/>
      <c r="F744" s="156"/>
      <c r="G744" s="156"/>
      <c r="H744" s="156"/>
      <c r="I744" s="156"/>
      <c r="J744" s="156"/>
      <c r="K744" s="156"/>
      <c r="L744" s="156"/>
      <c r="M744" s="156"/>
      <c r="N744" s="156"/>
      <c r="O744" s="156"/>
      <c r="P744" s="156"/>
      <c r="Q744" s="156"/>
      <c r="R744" s="156"/>
      <c r="S744" s="156"/>
      <c r="T744" s="156"/>
      <c r="U744" s="156"/>
      <c r="V744" s="156"/>
      <c r="W744" s="156"/>
      <c r="X744" s="156"/>
      <c r="Y744" s="156"/>
      <c r="Z744" s="156"/>
    </row>
    <row r="745">
      <c r="A745" s="156"/>
      <c r="B745" s="156"/>
      <c r="C745" s="156"/>
      <c r="D745" s="156"/>
      <c r="E745" s="156"/>
      <c r="F745" s="156"/>
      <c r="G745" s="156"/>
      <c r="H745" s="156"/>
      <c r="I745" s="156"/>
      <c r="J745" s="156"/>
      <c r="K745" s="156"/>
      <c r="L745" s="156"/>
      <c r="M745" s="156"/>
      <c r="N745" s="156"/>
      <c r="O745" s="156"/>
      <c r="P745" s="156"/>
      <c r="Q745" s="156"/>
      <c r="R745" s="156"/>
      <c r="S745" s="156"/>
      <c r="T745" s="156"/>
      <c r="U745" s="156"/>
      <c r="V745" s="156"/>
      <c r="W745" s="156"/>
      <c r="X745" s="156"/>
      <c r="Y745" s="156"/>
      <c r="Z745" s="156"/>
    </row>
    <row r="746">
      <c r="A746" s="156"/>
      <c r="B746" s="156"/>
      <c r="C746" s="156"/>
      <c r="D746" s="156"/>
      <c r="E746" s="156"/>
      <c r="F746" s="156"/>
      <c r="G746" s="156"/>
      <c r="H746" s="156"/>
      <c r="I746" s="156"/>
      <c r="J746" s="156"/>
      <c r="K746" s="156"/>
      <c r="L746" s="156"/>
      <c r="M746" s="156"/>
      <c r="N746" s="156"/>
      <c r="O746" s="156"/>
      <c r="P746" s="156"/>
      <c r="Q746" s="156"/>
      <c r="R746" s="156"/>
      <c r="S746" s="156"/>
      <c r="T746" s="156"/>
      <c r="U746" s="156"/>
      <c r="V746" s="156"/>
      <c r="W746" s="156"/>
      <c r="X746" s="156"/>
      <c r="Y746" s="156"/>
      <c r="Z746" s="156"/>
    </row>
    <row r="747">
      <c r="A747" s="156"/>
      <c r="B747" s="156"/>
      <c r="C747" s="156"/>
      <c r="D747" s="156"/>
      <c r="E747" s="156"/>
      <c r="F747" s="156"/>
      <c r="G747" s="156"/>
      <c r="H747" s="156"/>
      <c r="I747" s="156"/>
      <c r="J747" s="156"/>
      <c r="K747" s="156"/>
      <c r="L747" s="156"/>
      <c r="M747" s="156"/>
      <c r="N747" s="156"/>
      <c r="O747" s="156"/>
      <c r="P747" s="156"/>
      <c r="Q747" s="156"/>
      <c r="R747" s="156"/>
      <c r="S747" s="156"/>
      <c r="T747" s="156"/>
      <c r="U747" s="156"/>
      <c r="V747" s="156"/>
      <c r="W747" s="156"/>
      <c r="X747" s="156"/>
      <c r="Y747" s="156"/>
      <c r="Z747" s="156"/>
    </row>
    <row r="748">
      <c r="A748" s="156"/>
      <c r="B748" s="156"/>
      <c r="C748" s="156"/>
      <c r="D748" s="156"/>
      <c r="E748" s="156"/>
      <c r="F748" s="156"/>
      <c r="G748" s="156"/>
      <c r="H748" s="156"/>
      <c r="I748" s="156"/>
      <c r="J748" s="156"/>
      <c r="K748" s="156"/>
      <c r="L748" s="156"/>
      <c r="M748" s="156"/>
      <c r="N748" s="156"/>
      <c r="O748" s="156"/>
      <c r="P748" s="156"/>
      <c r="Q748" s="156"/>
      <c r="R748" s="156"/>
      <c r="S748" s="156"/>
      <c r="T748" s="156"/>
      <c r="U748" s="156"/>
      <c r="V748" s="156"/>
      <c r="W748" s="156"/>
      <c r="X748" s="156"/>
      <c r="Y748" s="156"/>
      <c r="Z748" s="156"/>
    </row>
    <row r="749">
      <c r="A749" s="156"/>
      <c r="B749" s="156"/>
      <c r="C749" s="156"/>
      <c r="D749" s="156"/>
      <c r="E749" s="156"/>
      <c r="F749" s="156"/>
      <c r="G749" s="156"/>
      <c r="H749" s="156"/>
      <c r="I749" s="156"/>
      <c r="J749" s="156"/>
      <c r="K749" s="156"/>
      <c r="L749" s="156"/>
      <c r="M749" s="156"/>
      <c r="N749" s="156"/>
      <c r="O749" s="156"/>
      <c r="P749" s="156"/>
      <c r="Q749" s="156"/>
      <c r="R749" s="156"/>
      <c r="S749" s="156"/>
      <c r="T749" s="156"/>
      <c r="U749" s="156"/>
      <c r="V749" s="156"/>
      <c r="W749" s="156"/>
      <c r="X749" s="156"/>
      <c r="Y749" s="156"/>
      <c r="Z749" s="156"/>
    </row>
    <row r="750">
      <c r="A750" s="156"/>
      <c r="B750" s="156"/>
      <c r="C750" s="156"/>
      <c r="D750" s="156"/>
      <c r="E750" s="156"/>
      <c r="F750" s="156"/>
      <c r="G750" s="156"/>
      <c r="H750" s="156"/>
      <c r="I750" s="156"/>
      <c r="J750" s="156"/>
      <c r="K750" s="156"/>
      <c r="L750" s="156"/>
      <c r="M750" s="156"/>
      <c r="N750" s="156"/>
      <c r="O750" s="156"/>
      <c r="P750" s="156"/>
      <c r="Q750" s="156"/>
      <c r="R750" s="156"/>
      <c r="S750" s="156"/>
      <c r="T750" s="156"/>
      <c r="U750" s="156"/>
      <c r="V750" s="156"/>
      <c r="W750" s="156"/>
      <c r="X750" s="156"/>
      <c r="Y750" s="156"/>
      <c r="Z750" s="156"/>
    </row>
    <row r="751">
      <c r="A751" s="156"/>
      <c r="B751" s="156"/>
      <c r="C751" s="156"/>
      <c r="D751" s="156"/>
      <c r="E751" s="156"/>
      <c r="F751" s="156"/>
      <c r="G751" s="156"/>
      <c r="H751" s="156"/>
      <c r="I751" s="156"/>
      <c r="J751" s="156"/>
      <c r="K751" s="156"/>
      <c r="L751" s="156"/>
      <c r="M751" s="156"/>
      <c r="N751" s="156"/>
      <c r="O751" s="156"/>
      <c r="P751" s="156"/>
      <c r="Q751" s="156"/>
      <c r="R751" s="156"/>
      <c r="S751" s="156"/>
      <c r="T751" s="156"/>
      <c r="U751" s="156"/>
      <c r="V751" s="156"/>
      <c r="W751" s="156"/>
      <c r="X751" s="156"/>
      <c r="Y751" s="156"/>
      <c r="Z751" s="156"/>
    </row>
    <row r="752">
      <c r="A752" s="156"/>
      <c r="B752" s="156"/>
      <c r="C752" s="156"/>
      <c r="D752" s="156"/>
      <c r="E752" s="156"/>
      <c r="F752" s="156"/>
      <c r="G752" s="156"/>
      <c r="H752" s="156"/>
      <c r="I752" s="156"/>
      <c r="J752" s="156"/>
      <c r="K752" s="156"/>
      <c r="L752" s="156"/>
      <c r="M752" s="156"/>
      <c r="N752" s="156"/>
      <c r="O752" s="156"/>
      <c r="P752" s="156"/>
      <c r="Q752" s="156"/>
      <c r="R752" s="156"/>
      <c r="S752" s="156"/>
      <c r="T752" s="156"/>
      <c r="U752" s="156"/>
      <c r="V752" s="156"/>
      <c r="W752" s="156"/>
      <c r="X752" s="156"/>
      <c r="Y752" s="156"/>
      <c r="Z752" s="156"/>
    </row>
    <row r="753">
      <c r="A753" s="156"/>
      <c r="B753" s="156"/>
      <c r="C753" s="156"/>
      <c r="D753" s="156"/>
      <c r="E753" s="156"/>
      <c r="F753" s="156"/>
      <c r="G753" s="156"/>
      <c r="H753" s="156"/>
      <c r="I753" s="156"/>
      <c r="J753" s="156"/>
      <c r="K753" s="156"/>
      <c r="L753" s="156"/>
      <c r="M753" s="156"/>
      <c r="N753" s="156"/>
      <c r="O753" s="156"/>
      <c r="P753" s="156"/>
      <c r="Q753" s="156"/>
      <c r="R753" s="156"/>
      <c r="S753" s="156"/>
      <c r="T753" s="156"/>
      <c r="U753" s="156"/>
      <c r="V753" s="156"/>
      <c r="W753" s="156"/>
      <c r="X753" s="156"/>
      <c r="Y753" s="156"/>
      <c r="Z753" s="156"/>
    </row>
    <row r="754">
      <c r="A754" s="156"/>
      <c r="B754" s="156"/>
      <c r="C754" s="156"/>
      <c r="D754" s="156"/>
      <c r="E754" s="156"/>
      <c r="F754" s="156"/>
      <c r="G754" s="156"/>
      <c r="H754" s="156"/>
      <c r="I754" s="156"/>
      <c r="J754" s="156"/>
      <c r="K754" s="156"/>
      <c r="L754" s="156"/>
      <c r="M754" s="156"/>
      <c r="N754" s="156"/>
      <c r="O754" s="156"/>
      <c r="P754" s="156"/>
      <c r="Q754" s="156"/>
      <c r="R754" s="156"/>
      <c r="S754" s="156"/>
      <c r="T754" s="156"/>
      <c r="U754" s="156"/>
      <c r="V754" s="156"/>
      <c r="W754" s="156"/>
      <c r="X754" s="156"/>
      <c r="Y754" s="156"/>
      <c r="Z754" s="156"/>
    </row>
    <row r="755">
      <c r="A755" s="156"/>
      <c r="B755" s="156"/>
      <c r="C755" s="156"/>
      <c r="D755" s="156"/>
      <c r="E755" s="156"/>
      <c r="F755" s="156"/>
      <c r="G755" s="156"/>
      <c r="H755" s="156"/>
      <c r="I755" s="156"/>
      <c r="J755" s="156"/>
      <c r="K755" s="156"/>
      <c r="L755" s="156"/>
      <c r="M755" s="156"/>
      <c r="N755" s="156"/>
      <c r="O755" s="156"/>
      <c r="P755" s="156"/>
      <c r="Q755" s="156"/>
      <c r="R755" s="156"/>
      <c r="S755" s="156"/>
      <c r="T755" s="156"/>
      <c r="U755" s="156"/>
      <c r="V755" s="156"/>
      <c r="W755" s="156"/>
      <c r="X755" s="156"/>
      <c r="Y755" s="156"/>
      <c r="Z755" s="156"/>
    </row>
    <row r="756">
      <c r="A756" s="156"/>
      <c r="B756" s="156"/>
      <c r="C756" s="156"/>
      <c r="D756" s="156"/>
      <c r="E756" s="156"/>
      <c r="F756" s="156"/>
      <c r="G756" s="156"/>
      <c r="H756" s="156"/>
      <c r="I756" s="156"/>
      <c r="J756" s="156"/>
      <c r="K756" s="156"/>
      <c r="L756" s="156"/>
      <c r="M756" s="156"/>
      <c r="N756" s="156"/>
      <c r="O756" s="156"/>
      <c r="P756" s="156"/>
      <c r="Q756" s="156"/>
      <c r="R756" s="156"/>
      <c r="S756" s="156"/>
      <c r="T756" s="156"/>
      <c r="U756" s="156"/>
      <c r="V756" s="156"/>
      <c r="W756" s="156"/>
      <c r="X756" s="156"/>
      <c r="Y756" s="156"/>
      <c r="Z756" s="156"/>
    </row>
    <row r="757">
      <c r="A757" s="156"/>
      <c r="B757" s="156"/>
      <c r="C757" s="156"/>
      <c r="D757" s="156"/>
      <c r="E757" s="156"/>
      <c r="F757" s="156"/>
      <c r="G757" s="156"/>
      <c r="H757" s="156"/>
      <c r="I757" s="156"/>
      <c r="J757" s="156"/>
      <c r="K757" s="156"/>
      <c r="L757" s="156"/>
      <c r="M757" s="156"/>
      <c r="N757" s="156"/>
      <c r="O757" s="156"/>
      <c r="P757" s="156"/>
      <c r="Q757" s="156"/>
      <c r="R757" s="156"/>
      <c r="S757" s="156"/>
      <c r="T757" s="156"/>
      <c r="U757" s="156"/>
      <c r="V757" s="156"/>
      <c r="W757" s="156"/>
      <c r="X757" s="156"/>
      <c r="Y757" s="156"/>
      <c r="Z757" s="156"/>
    </row>
    <row r="758">
      <c r="A758" s="156"/>
      <c r="B758" s="156"/>
      <c r="C758" s="156"/>
      <c r="D758" s="156"/>
      <c r="E758" s="156"/>
      <c r="F758" s="156"/>
      <c r="G758" s="156"/>
      <c r="H758" s="156"/>
      <c r="I758" s="156"/>
      <c r="J758" s="156"/>
      <c r="K758" s="156"/>
      <c r="L758" s="156"/>
      <c r="M758" s="156"/>
      <c r="N758" s="156"/>
      <c r="O758" s="156"/>
      <c r="P758" s="156"/>
      <c r="Q758" s="156"/>
      <c r="R758" s="156"/>
      <c r="S758" s="156"/>
      <c r="T758" s="156"/>
      <c r="U758" s="156"/>
      <c r="V758" s="156"/>
      <c r="W758" s="156"/>
      <c r="X758" s="156"/>
      <c r="Y758" s="156"/>
      <c r="Z758" s="156"/>
    </row>
    <row r="759">
      <c r="A759" s="156"/>
      <c r="B759" s="156"/>
      <c r="C759" s="156"/>
      <c r="D759" s="156"/>
      <c r="E759" s="156"/>
      <c r="F759" s="156"/>
      <c r="G759" s="156"/>
      <c r="H759" s="156"/>
      <c r="I759" s="156"/>
      <c r="J759" s="156"/>
      <c r="K759" s="156"/>
      <c r="L759" s="156"/>
      <c r="M759" s="156"/>
      <c r="N759" s="156"/>
      <c r="O759" s="156"/>
      <c r="P759" s="156"/>
      <c r="Q759" s="156"/>
      <c r="R759" s="156"/>
      <c r="S759" s="156"/>
      <c r="T759" s="156"/>
      <c r="U759" s="156"/>
      <c r="V759" s="156"/>
      <c r="W759" s="156"/>
      <c r="X759" s="156"/>
      <c r="Y759" s="156"/>
      <c r="Z759" s="156"/>
    </row>
    <row r="760">
      <c r="A760" s="156"/>
      <c r="B760" s="156"/>
      <c r="C760" s="156"/>
      <c r="D760" s="156"/>
      <c r="E760" s="156"/>
      <c r="F760" s="156"/>
      <c r="G760" s="156"/>
      <c r="H760" s="156"/>
      <c r="I760" s="156"/>
      <c r="J760" s="156"/>
      <c r="K760" s="156"/>
      <c r="L760" s="156"/>
      <c r="M760" s="156"/>
      <c r="N760" s="156"/>
      <c r="O760" s="156"/>
      <c r="P760" s="156"/>
      <c r="Q760" s="156"/>
      <c r="R760" s="156"/>
      <c r="S760" s="156"/>
      <c r="T760" s="156"/>
      <c r="U760" s="156"/>
      <c r="V760" s="156"/>
      <c r="W760" s="156"/>
      <c r="X760" s="156"/>
      <c r="Y760" s="156"/>
      <c r="Z760" s="156"/>
    </row>
    <row r="761">
      <c r="A761" s="156"/>
      <c r="B761" s="156"/>
      <c r="C761" s="156"/>
      <c r="D761" s="156"/>
      <c r="E761" s="156"/>
      <c r="F761" s="156"/>
      <c r="G761" s="156"/>
      <c r="H761" s="156"/>
      <c r="I761" s="156"/>
      <c r="J761" s="156"/>
      <c r="K761" s="156"/>
      <c r="L761" s="156"/>
      <c r="M761" s="156"/>
      <c r="N761" s="156"/>
      <c r="O761" s="156"/>
      <c r="P761" s="156"/>
      <c r="Q761" s="156"/>
      <c r="R761" s="156"/>
      <c r="S761" s="156"/>
      <c r="T761" s="156"/>
      <c r="U761" s="156"/>
      <c r="V761" s="156"/>
      <c r="W761" s="156"/>
      <c r="X761" s="156"/>
      <c r="Y761" s="156"/>
      <c r="Z761" s="156"/>
    </row>
    <row r="762">
      <c r="A762" s="156"/>
      <c r="B762" s="156"/>
      <c r="C762" s="156"/>
      <c r="D762" s="156"/>
      <c r="E762" s="156"/>
      <c r="F762" s="156"/>
      <c r="G762" s="156"/>
      <c r="H762" s="156"/>
      <c r="I762" s="156"/>
      <c r="J762" s="156"/>
      <c r="K762" s="156"/>
      <c r="L762" s="156"/>
      <c r="M762" s="156"/>
      <c r="N762" s="156"/>
      <c r="O762" s="156"/>
      <c r="P762" s="156"/>
      <c r="Q762" s="156"/>
      <c r="R762" s="156"/>
      <c r="S762" s="156"/>
      <c r="T762" s="156"/>
      <c r="U762" s="156"/>
      <c r="V762" s="156"/>
      <c r="W762" s="156"/>
      <c r="X762" s="156"/>
      <c r="Y762" s="156"/>
      <c r="Z762" s="156"/>
    </row>
    <row r="763">
      <c r="A763" s="156"/>
      <c r="B763" s="156"/>
      <c r="C763" s="156"/>
      <c r="D763" s="156"/>
      <c r="E763" s="156"/>
      <c r="F763" s="156"/>
      <c r="G763" s="156"/>
      <c r="H763" s="156"/>
      <c r="I763" s="156"/>
      <c r="J763" s="156"/>
      <c r="K763" s="156"/>
      <c r="L763" s="156"/>
      <c r="M763" s="156"/>
      <c r="N763" s="156"/>
      <c r="O763" s="156"/>
      <c r="P763" s="156"/>
      <c r="Q763" s="156"/>
      <c r="R763" s="156"/>
      <c r="S763" s="156"/>
      <c r="T763" s="156"/>
      <c r="U763" s="156"/>
      <c r="V763" s="156"/>
      <c r="W763" s="156"/>
      <c r="X763" s="156"/>
      <c r="Y763" s="156"/>
      <c r="Z763" s="156"/>
    </row>
    <row r="764">
      <c r="A764" s="156"/>
      <c r="B764" s="156"/>
      <c r="C764" s="156"/>
      <c r="D764" s="156"/>
      <c r="E764" s="156"/>
      <c r="F764" s="156"/>
      <c r="G764" s="156"/>
      <c r="H764" s="156"/>
      <c r="I764" s="156"/>
      <c r="J764" s="156"/>
      <c r="K764" s="156"/>
      <c r="L764" s="156"/>
      <c r="M764" s="156"/>
      <c r="N764" s="156"/>
      <c r="O764" s="156"/>
      <c r="P764" s="156"/>
      <c r="Q764" s="156"/>
      <c r="R764" s="156"/>
      <c r="S764" s="156"/>
      <c r="T764" s="156"/>
      <c r="U764" s="156"/>
      <c r="V764" s="156"/>
      <c r="W764" s="156"/>
      <c r="X764" s="156"/>
      <c r="Y764" s="156"/>
      <c r="Z764" s="156"/>
    </row>
    <row r="765">
      <c r="A765" s="156"/>
      <c r="B765" s="156"/>
      <c r="C765" s="156"/>
      <c r="D765" s="156"/>
      <c r="E765" s="156"/>
      <c r="F765" s="156"/>
      <c r="G765" s="156"/>
      <c r="H765" s="156"/>
      <c r="I765" s="156"/>
      <c r="J765" s="156"/>
      <c r="K765" s="156"/>
      <c r="L765" s="156"/>
      <c r="M765" s="156"/>
      <c r="N765" s="156"/>
      <c r="O765" s="156"/>
      <c r="P765" s="156"/>
      <c r="Q765" s="156"/>
      <c r="R765" s="156"/>
      <c r="S765" s="156"/>
      <c r="T765" s="156"/>
      <c r="U765" s="156"/>
      <c r="V765" s="156"/>
      <c r="W765" s="156"/>
      <c r="X765" s="156"/>
      <c r="Y765" s="156"/>
      <c r="Z765" s="156"/>
    </row>
    <row r="766">
      <c r="A766" s="156"/>
      <c r="B766" s="156"/>
      <c r="C766" s="156"/>
      <c r="D766" s="156"/>
      <c r="E766" s="156"/>
      <c r="F766" s="156"/>
      <c r="G766" s="156"/>
      <c r="H766" s="156"/>
      <c r="I766" s="156"/>
      <c r="J766" s="156"/>
      <c r="K766" s="156"/>
      <c r="L766" s="156"/>
      <c r="M766" s="156"/>
      <c r="N766" s="156"/>
      <c r="O766" s="156"/>
      <c r="P766" s="156"/>
      <c r="Q766" s="156"/>
      <c r="R766" s="156"/>
      <c r="S766" s="156"/>
      <c r="T766" s="156"/>
      <c r="U766" s="156"/>
      <c r="V766" s="156"/>
      <c r="W766" s="156"/>
      <c r="X766" s="156"/>
      <c r="Y766" s="156"/>
      <c r="Z766" s="156"/>
    </row>
    <row r="767">
      <c r="A767" s="156"/>
      <c r="B767" s="156"/>
      <c r="C767" s="156"/>
      <c r="D767" s="156"/>
      <c r="E767" s="156"/>
      <c r="F767" s="156"/>
      <c r="G767" s="156"/>
      <c r="H767" s="156"/>
      <c r="I767" s="156"/>
      <c r="J767" s="156"/>
      <c r="K767" s="156"/>
      <c r="L767" s="156"/>
      <c r="M767" s="156"/>
      <c r="N767" s="156"/>
      <c r="O767" s="156"/>
      <c r="P767" s="156"/>
      <c r="Q767" s="156"/>
      <c r="R767" s="156"/>
      <c r="S767" s="156"/>
      <c r="T767" s="156"/>
      <c r="U767" s="156"/>
      <c r="V767" s="156"/>
      <c r="W767" s="156"/>
      <c r="X767" s="156"/>
      <c r="Y767" s="156"/>
      <c r="Z767" s="156"/>
    </row>
    <row r="768">
      <c r="A768" s="156"/>
      <c r="B768" s="156"/>
      <c r="C768" s="156"/>
      <c r="D768" s="156"/>
      <c r="E768" s="156"/>
      <c r="F768" s="156"/>
      <c r="G768" s="156"/>
      <c r="H768" s="156"/>
      <c r="I768" s="156"/>
      <c r="J768" s="156"/>
      <c r="K768" s="156"/>
      <c r="L768" s="156"/>
      <c r="M768" s="156"/>
      <c r="N768" s="156"/>
      <c r="O768" s="156"/>
      <c r="P768" s="156"/>
      <c r="Q768" s="156"/>
      <c r="R768" s="156"/>
      <c r="S768" s="156"/>
      <c r="T768" s="156"/>
      <c r="U768" s="156"/>
      <c r="V768" s="156"/>
      <c r="W768" s="156"/>
      <c r="X768" s="156"/>
      <c r="Y768" s="156"/>
      <c r="Z768" s="156"/>
    </row>
    <row r="769">
      <c r="A769" s="156"/>
      <c r="B769" s="156"/>
      <c r="C769" s="156"/>
      <c r="D769" s="156"/>
      <c r="E769" s="156"/>
      <c r="F769" s="156"/>
      <c r="G769" s="156"/>
      <c r="H769" s="156"/>
      <c r="I769" s="156"/>
      <c r="J769" s="156"/>
      <c r="K769" s="156"/>
      <c r="L769" s="156"/>
      <c r="M769" s="156"/>
      <c r="N769" s="156"/>
      <c r="O769" s="156"/>
      <c r="P769" s="156"/>
      <c r="Q769" s="156"/>
      <c r="R769" s="156"/>
      <c r="S769" s="156"/>
      <c r="T769" s="156"/>
      <c r="U769" s="156"/>
      <c r="V769" s="156"/>
      <c r="W769" s="156"/>
      <c r="X769" s="156"/>
      <c r="Y769" s="156"/>
      <c r="Z769" s="156"/>
    </row>
    <row r="770">
      <c r="A770" s="156"/>
      <c r="B770" s="156"/>
      <c r="C770" s="156"/>
      <c r="D770" s="156"/>
      <c r="E770" s="156"/>
      <c r="F770" s="156"/>
      <c r="G770" s="156"/>
      <c r="H770" s="156"/>
      <c r="I770" s="156"/>
      <c r="J770" s="156"/>
      <c r="K770" s="156"/>
      <c r="L770" s="156"/>
      <c r="M770" s="156"/>
      <c r="N770" s="156"/>
      <c r="O770" s="156"/>
      <c r="P770" s="156"/>
      <c r="Q770" s="156"/>
      <c r="R770" s="156"/>
      <c r="S770" s="156"/>
      <c r="T770" s="156"/>
      <c r="U770" s="156"/>
      <c r="V770" s="156"/>
      <c r="W770" s="156"/>
      <c r="X770" s="156"/>
      <c r="Y770" s="156"/>
      <c r="Z770" s="156"/>
    </row>
    <row r="771">
      <c r="A771" s="156"/>
      <c r="B771" s="156"/>
      <c r="C771" s="156"/>
      <c r="D771" s="156"/>
      <c r="E771" s="156"/>
      <c r="F771" s="156"/>
      <c r="G771" s="156"/>
      <c r="H771" s="156"/>
      <c r="I771" s="156"/>
      <c r="J771" s="156"/>
      <c r="K771" s="156"/>
      <c r="L771" s="156"/>
      <c r="M771" s="156"/>
      <c r="N771" s="156"/>
      <c r="O771" s="156"/>
      <c r="P771" s="156"/>
      <c r="Q771" s="156"/>
      <c r="R771" s="156"/>
      <c r="S771" s="156"/>
      <c r="T771" s="156"/>
      <c r="U771" s="156"/>
      <c r="V771" s="156"/>
      <c r="W771" s="156"/>
      <c r="X771" s="156"/>
      <c r="Y771" s="156"/>
      <c r="Z771" s="156"/>
    </row>
    <row r="772">
      <c r="A772" s="156"/>
      <c r="B772" s="156"/>
      <c r="C772" s="156"/>
      <c r="D772" s="156"/>
      <c r="E772" s="156"/>
      <c r="F772" s="156"/>
      <c r="G772" s="156"/>
      <c r="H772" s="156"/>
      <c r="I772" s="156"/>
      <c r="J772" s="156"/>
      <c r="K772" s="156"/>
      <c r="L772" s="156"/>
      <c r="M772" s="156"/>
      <c r="N772" s="156"/>
      <c r="O772" s="156"/>
      <c r="P772" s="156"/>
      <c r="Q772" s="156"/>
      <c r="R772" s="156"/>
      <c r="S772" s="156"/>
      <c r="T772" s="156"/>
      <c r="U772" s="156"/>
      <c r="V772" s="156"/>
      <c r="W772" s="156"/>
      <c r="X772" s="156"/>
      <c r="Y772" s="156"/>
      <c r="Z772" s="156"/>
    </row>
    <row r="773">
      <c r="A773" s="156"/>
      <c r="B773" s="156"/>
      <c r="C773" s="156"/>
      <c r="D773" s="156"/>
      <c r="E773" s="156"/>
      <c r="F773" s="156"/>
      <c r="G773" s="156"/>
      <c r="H773" s="156"/>
      <c r="I773" s="156"/>
      <c r="J773" s="156"/>
      <c r="K773" s="156"/>
      <c r="L773" s="156"/>
      <c r="M773" s="156"/>
      <c r="N773" s="156"/>
      <c r="O773" s="156"/>
      <c r="P773" s="156"/>
      <c r="Q773" s="156"/>
      <c r="R773" s="156"/>
      <c r="S773" s="156"/>
      <c r="T773" s="156"/>
      <c r="U773" s="156"/>
      <c r="V773" s="156"/>
      <c r="W773" s="156"/>
      <c r="X773" s="156"/>
      <c r="Y773" s="156"/>
      <c r="Z773" s="156"/>
    </row>
    <row r="774">
      <c r="A774" s="156"/>
      <c r="B774" s="156"/>
      <c r="C774" s="156"/>
      <c r="D774" s="156"/>
      <c r="E774" s="156"/>
      <c r="F774" s="156"/>
      <c r="G774" s="156"/>
      <c r="H774" s="156"/>
      <c r="I774" s="156"/>
      <c r="J774" s="156"/>
      <c r="K774" s="156"/>
      <c r="L774" s="156"/>
      <c r="M774" s="156"/>
      <c r="N774" s="156"/>
      <c r="O774" s="156"/>
      <c r="P774" s="156"/>
      <c r="Q774" s="156"/>
      <c r="R774" s="156"/>
      <c r="S774" s="156"/>
      <c r="T774" s="156"/>
      <c r="U774" s="156"/>
      <c r="V774" s="156"/>
      <c r="W774" s="156"/>
      <c r="X774" s="156"/>
      <c r="Y774" s="156"/>
      <c r="Z774" s="156"/>
    </row>
    <row r="775">
      <c r="A775" s="156"/>
      <c r="B775" s="156"/>
      <c r="C775" s="156"/>
      <c r="D775" s="156"/>
      <c r="E775" s="156"/>
      <c r="F775" s="156"/>
      <c r="G775" s="156"/>
      <c r="H775" s="156"/>
      <c r="I775" s="156"/>
      <c r="J775" s="156"/>
      <c r="K775" s="156"/>
      <c r="L775" s="156"/>
      <c r="M775" s="156"/>
      <c r="N775" s="156"/>
      <c r="O775" s="156"/>
      <c r="P775" s="156"/>
      <c r="Q775" s="156"/>
      <c r="R775" s="156"/>
      <c r="S775" s="156"/>
      <c r="T775" s="156"/>
      <c r="U775" s="156"/>
      <c r="V775" s="156"/>
      <c r="W775" s="156"/>
      <c r="X775" s="156"/>
      <c r="Y775" s="156"/>
      <c r="Z775" s="156"/>
    </row>
    <row r="776">
      <c r="A776" s="156"/>
      <c r="B776" s="156"/>
      <c r="C776" s="156"/>
      <c r="D776" s="156"/>
      <c r="E776" s="156"/>
      <c r="F776" s="156"/>
      <c r="G776" s="156"/>
      <c r="H776" s="156"/>
      <c r="I776" s="156"/>
      <c r="J776" s="156"/>
      <c r="K776" s="156"/>
      <c r="L776" s="156"/>
      <c r="M776" s="156"/>
      <c r="N776" s="156"/>
      <c r="O776" s="156"/>
      <c r="P776" s="156"/>
      <c r="Q776" s="156"/>
      <c r="R776" s="156"/>
      <c r="S776" s="156"/>
      <c r="T776" s="156"/>
      <c r="U776" s="156"/>
      <c r="V776" s="156"/>
      <c r="W776" s="156"/>
      <c r="X776" s="156"/>
      <c r="Y776" s="156"/>
      <c r="Z776" s="156"/>
    </row>
    <row r="777">
      <c r="A777" s="156"/>
      <c r="B777" s="156"/>
      <c r="C777" s="156"/>
      <c r="D777" s="156"/>
      <c r="E777" s="156"/>
      <c r="F777" s="156"/>
      <c r="G777" s="156"/>
      <c r="H777" s="156"/>
      <c r="I777" s="156"/>
      <c r="J777" s="156"/>
      <c r="K777" s="156"/>
      <c r="L777" s="156"/>
      <c r="M777" s="156"/>
      <c r="N777" s="156"/>
      <c r="O777" s="156"/>
      <c r="P777" s="156"/>
      <c r="Q777" s="156"/>
      <c r="R777" s="156"/>
      <c r="S777" s="156"/>
      <c r="T777" s="156"/>
      <c r="U777" s="156"/>
      <c r="V777" s="156"/>
      <c r="W777" s="156"/>
      <c r="X777" s="156"/>
      <c r="Y777" s="156"/>
      <c r="Z777" s="156"/>
    </row>
    <row r="778">
      <c r="A778" s="156"/>
      <c r="B778" s="156"/>
      <c r="C778" s="156"/>
      <c r="D778" s="156"/>
      <c r="E778" s="156"/>
      <c r="F778" s="156"/>
      <c r="G778" s="156"/>
      <c r="H778" s="156"/>
      <c r="I778" s="156"/>
      <c r="J778" s="156"/>
      <c r="K778" s="156"/>
      <c r="L778" s="156"/>
      <c r="M778" s="156"/>
      <c r="N778" s="156"/>
      <c r="O778" s="156"/>
      <c r="P778" s="156"/>
      <c r="Q778" s="156"/>
      <c r="R778" s="156"/>
      <c r="S778" s="156"/>
      <c r="T778" s="156"/>
      <c r="U778" s="156"/>
      <c r="V778" s="156"/>
      <c r="W778" s="156"/>
      <c r="X778" s="156"/>
      <c r="Y778" s="156"/>
      <c r="Z778" s="156"/>
    </row>
    <row r="779">
      <c r="A779" s="156"/>
      <c r="B779" s="156"/>
      <c r="C779" s="156"/>
      <c r="D779" s="156"/>
      <c r="E779" s="156"/>
      <c r="F779" s="156"/>
      <c r="G779" s="156"/>
      <c r="H779" s="156"/>
      <c r="I779" s="156"/>
      <c r="J779" s="156"/>
      <c r="K779" s="156"/>
      <c r="L779" s="156"/>
      <c r="M779" s="156"/>
      <c r="N779" s="156"/>
      <c r="O779" s="156"/>
      <c r="P779" s="156"/>
      <c r="Q779" s="156"/>
      <c r="R779" s="156"/>
      <c r="S779" s="156"/>
      <c r="T779" s="156"/>
      <c r="U779" s="156"/>
      <c r="V779" s="156"/>
      <c r="W779" s="156"/>
      <c r="X779" s="156"/>
      <c r="Y779" s="156"/>
      <c r="Z779" s="156"/>
    </row>
    <row r="780">
      <c r="A780" s="156"/>
      <c r="B780" s="156"/>
      <c r="C780" s="156"/>
      <c r="D780" s="156"/>
      <c r="E780" s="156"/>
      <c r="F780" s="156"/>
      <c r="G780" s="156"/>
      <c r="H780" s="156"/>
      <c r="I780" s="156"/>
      <c r="J780" s="156"/>
      <c r="K780" s="156"/>
      <c r="L780" s="156"/>
      <c r="M780" s="156"/>
      <c r="N780" s="156"/>
      <c r="O780" s="156"/>
      <c r="P780" s="156"/>
      <c r="Q780" s="156"/>
      <c r="R780" s="156"/>
      <c r="S780" s="156"/>
      <c r="T780" s="156"/>
      <c r="U780" s="156"/>
      <c r="V780" s="156"/>
      <c r="W780" s="156"/>
      <c r="X780" s="156"/>
      <c r="Y780" s="156"/>
      <c r="Z780" s="156"/>
    </row>
    <row r="781">
      <c r="A781" s="156"/>
      <c r="B781" s="156"/>
      <c r="C781" s="156"/>
      <c r="D781" s="156"/>
      <c r="E781" s="156"/>
      <c r="F781" s="156"/>
      <c r="G781" s="156"/>
      <c r="H781" s="156"/>
      <c r="I781" s="156"/>
      <c r="J781" s="156"/>
      <c r="K781" s="156"/>
      <c r="L781" s="156"/>
      <c r="M781" s="156"/>
      <c r="N781" s="156"/>
      <c r="O781" s="156"/>
      <c r="P781" s="156"/>
      <c r="Q781" s="156"/>
      <c r="R781" s="156"/>
      <c r="S781" s="156"/>
      <c r="T781" s="156"/>
      <c r="U781" s="156"/>
      <c r="V781" s="156"/>
      <c r="W781" s="156"/>
      <c r="X781" s="156"/>
      <c r="Y781" s="156"/>
      <c r="Z781" s="156"/>
    </row>
    <row r="782">
      <c r="A782" s="156"/>
      <c r="B782" s="156"/>
      <c r="C782" s="156"/>
      <c r="D782" s="156"/>
      <c r="E782" s="156"/>
      <c r="F782" s="156"/>
      <c r="G782" s="156"/>
      <c r="H782" s="156"/>
      <c r="I782" s="156"/>
      <c r="J782" s="156"/>
      <c r="K782" s="156"/>
      <c r="L782" s="156"/>
      <c r="M782" s="156"/>
      <c r="N782" s="156"/>
      <c r="O782" s="156"/>
      <c r="P782" s="156"/>
      <c r="Q782" s="156"/>
      <c r="R782" s="156"/>
      <c r="S782" s="156"/>
      <c r="T782" s="156"/>
      <c r="U782" s="156"/>
      <c r="V782" s="156"/>
      <c r="W782" s="156"/>
      <c r="X782" s="156"/>
      <c r="Y782" s="156"/>
      <c r="Z782" s="156"/>
    </row>
    <row r="783">
      <c r="A783" s="156"/>
      <c r="B783" s="156"/>
      <c r="C783" s="156"/>
      <c r="D783" s="156"/>
      <c r="E783" s="156"/>
      <c r="F783" s="156"/>
      <c r="G783" s="156"/>
      <c r="H783" s="156"/>
      <c r="I783" s="156"/>
      <c r="J783" s="156"/>
      <c r="K783" s="156"/>
      <c r="L783" s="156"/>
      <c r="M783" s="156"/>
      <c r="N783" s="156"/>
      <c r="O783" s="156"/>
      <c r="P783" s="156"/>
      <c r="Q783" s="156"/>
      <c r="R783" s="156"/>
      <c r="S783" s="156"/>
      <c r="T783" s="156"/>
      <c r="U783" s="156"/>
      <c r="V783" s="156"/>
      <c r="W783" s="156"/>
      <c r="X783" s="156"/>
      <c r="Y783" s="156"/>
      <c r="Z783" s="156"/>
    </row>
    <row r="784">
      <c r="A784" s="156"/>
      <c r="B784" s="156"/>
      <c r="C784" s="156"/>
      <c r="D784" s="156"/>
      <c r="E784" s="156"/>
      <c r="F784" s="156"/>
      <c r="G784" s="156"/>
      <c r="H784" s="156"/>
      <c r="I784" s="156"/>
      <c r="J784" s="156"/>
      <c r="K784" s="156"/>
      <c r="L784" s="156"/>
      <c r="M784" s="156"/>
      <c r="N784" s="156"/>
      <c r="O784" s="156"/>
      <c r="P784" s="156"/>
      <c r="Q784" s="156"/>
      <c r="R784" s="156"/>
      <c r="S784" s="156"/>
      <c r="T784" s="156"/>
      <c r="U784" s="156"/>
      <c r="V784" s="156"/>
      <c r="W784" s="156"/>
      <c r="X784" s="156"/>
      <c r="Y784" s="156"/>
      <c r="Z784" s="156"/>
    </row>
    <row r="785">
      <c r="A785" s="156"/>
      <c r="B785" s="156"/>
      <c r="C785" s="156"/>
      <c r="D785" s="156"/>
      <c r="E785" s="156"/>
      <c r="F785" s="156"/>
      <c r="G785" s="156"/>
      <c r="H785" s="156"/>
      <c r="I785" s="156"/>
      <c r="J785" s="156"/>
      <c r="K785" s="156"/>
      <c r="L785" s="156"/>
      <c r="M785" s="156"/>
      <c r="N785" s="156"/>
      <c r="O785" s="156"/>
      <c r="P785" s="156"/>
      <c r="Q785" s="156"/>
      <c r="R785" s="156"/>
      <c r="S785" s="156"/>
      <c r="T785" s="156"/>
      <c r="U785" s="156"/>
      <c r="V785" s="156"/>
      <c r="W785" s="156"/>
      <c r="X785" s="156"/>
      <c r="Y785" s="156"/>
      <c r="Z785" s="156"/>
    </row>
    <row r="786">
      <c r="A786" s="156"/>
      <c r="B786" s="156"/>
      <c r="C786" s="156"/>
      <c r="D786" s="156"/>
      <c r="E786" s="156"/>
      <c r="F786" s="156"/>
      <c r="G786" s="156"/>
      <c r="H786" s="156"/>
      <c r="I786" s="156"/>
      <c r="J786" s="156"/>
      <c r="K786" s="156"/>
      <c r="L786" s="156"/>
      <c r="M786" s="156"/>
      <c r="N786" s="156"/>
      <c r="O786" s="156"/>
      <c r="P786" s="156"/>
      <c r="Q786" s="156"/>
      <c r="R786" s="156"/>
      <c r="S786" s="156"/>
      <c r="T786" s="156"/>
      <c r="U786" s="156"/>
      <c r="V786" s="156"/>
      <c r="W786" s="156"/>
      <c r="X786" s="156"/>
      <c r="Y786" s="156"/>
      <c r="Z786" s="156"/>
    </row>
    <row r="787">
      <c r="A787" s="156"/>
      <c r="B787" s="156"/>
      <c r="C787" s="156"/>
      <c r="D787" s="156"/>
      <c r="E787" s="156"/>
      <c r="F787" s="156"/>
      <c r="G787" s="156"/>
      <c r="H787" s="156"/>
      <c r="I787" s="156"/>
      <c r="J787" s="156"/>
      <c r="K787" s="156"/>
      <c r="L787" s="156"/>
      <c r="M787" s="156"/>
      <c r="N787" s="156"/>
      <c r="O787" s="156"/>
      <c r="P787" s="156"/>
      <c r="Q787" s="156"/>
      <c r="R787" s="156"/>
      <c r="S787" s="156"/>
      <c r="T787" s="156"/>
      <c r="U787" s="156"/>
      <c r="V787" s="156"/>
      <c r="W787" s="156"/>
      <c r="X787" s="156"/>
      <c r="Y787" s="156"/>
      <c r="Z787" s="156"/>
    </row>
    <row r="788">
      <c r="A788" s="156"/>
      <c r="B788" s="156"/>
      <c r="C788" s="156"/>
      <c r="D788" s="156"/>
      <c r="E788" s="156"/>
      <c r="F788" s="156"/>
      <c r="G788" s="156"/>
      <c r="H788" s="156"/>
      <c r="I788" s="156"/>
      <c r="J788" s="156"/>
      <c r="K788" s="156"/>
      <c r="L788" s="156"/>
      <c r="M788" s="156"/>
      <c r="N788" s="156"/>
      <c r="O788" s="156"/>
      <c r="P788" s="156"/>
      <c r="Q788" s="156"/>
      <c r="R788" s="156"/>
      <c r="S788" s="156"/>
      <c r="T788" s="156"/>
      <c r="U788" s="156"/>
      <c r="V788" s="156"/>
      <c r="W788" s="156"/>
      <c r="X788" s="156"/>
      <c r="Y788" s="156"/>
      <c r="Z788" s="156"/>
    </row>
    <row r="789">
      <c r="A789" s="156"/>
      <c r="B789" s="156"/>
      <c r="C789" s="156"/>
      <c r="D789" s="156"/>
      <c r="E789" s="156"/>
      <c r="F789" s="156"/>
      <c r="G789" s="156"/>
      <c r="H789" s="156"/>
      <c r="I789" s="156"/>
      <c r="J789" s="156"/>
      <c r="K789" s="156"/>
      <c r="L789" s="156"/>
      <c r="M789" s="156"/>
      <c r="N789" s="156"/>
      <c r="O789" s="156"/>
      <c r="P789" s="156"/>
      <c r="Q789" s="156"/>
      <c r="R789" s="156"/>
      <c r="S789" s="156"/>
      <c r="T789" s="156"/>
      <c r="U789" s="156"/>
      <c r="V789" s="156"/>
      <c r="W789" s="156"/>
      <c r="X789" s="156"/>
      <c r="Y789" s="156"/>
      <c r="Z789" s="156"/>
    </row>
    <row r="790">
      <c r="A790" s="156"/>
      <c r="B790" s="156"/>
      <c r="C790" s="156"/>
      <c r="D790" s="156"/>
      <c r="E790" s="156"/>
      <c r="F790" s="156"/>
      <c r="G790" s="156"/>
      <c r="H790" s="156"/>
      <c r="I790" s="156"/>
      <c r="J790" s="156"/>
      <c r="K790" s="156"/>
      <c r="L790" s="156"/>
      <c r="M790" s="156"/>
      <c r="N790" s="156"/>
      <c r="O790" s="156"/>
      <c r="P790" s="156"/>
      <c r="Q790" s="156"/>
      <c r="R790" s="156"/>
      <c r="S790" s="156"/>
      <c r="T790" s="156"/>
      <c r="U790" s="156"/>
      <c r="V790" s="156"/>
      <c r="W790" s="156"/>
      <c r="X790" s="156"/>
      <c r="Y790" s="156"/>
      <c r="Z790" s="156"/>
    </row>
    <row r="791">
      <c r="A791" s="156"/>
      <c r="B791" s="156"/>
      <c r="C791" s="156"/>
      <c r="D791" s="156"/>
      <c r="E791" s="156"/>
      <c r="F791" s="156"/>
      <c r="G791" s="156"/>
      <c r="H791" s="156"/>
      <c r="I791" s="156"/>
      <c r="J791" s="156"/>
      <c r="K791" s="156"/>
      <c r="L791" s="156"/>
      <c r="M791" s="156"/>
      <c r="N791" s="156"/>
      <c r="O791" s="156"/>
      <c r="P791" s="156"/>
      <c r="Q791" s="156"/>
      <c r="R791" s="156"/>
      <c r="S791" s="156"/>
      <c r="T791" s="156"/>
      <c r="U791" s="156"/>
      <c r="V791" s="156"/>
      <c r="W791" s="156"/>
      <c r="X791" s="156"/>
      <c r="Y791" s="156"/>
      <c r="Z791" s="156"/>
    </row>
    <row r="792">
      <c r="A792" s="156"/>
      <c r="B792" s="156"/>
      <c r="C792" s="156"/>
      <c r="D792" s="156"/>
      <c r="E792" s="156"/>
      <c r="F792" s="156"/>
      <c r="G792" s="156"/>
      <c r="H792" s="156"/>
      <c r="I792" s="156"/>
      <c r="J792" s="156"/>
      <c r="K792" s="156"/>
      <c r="L792" s="156"/>
      <c r="M792" s="156"/>
      <c r="N792" s="156"/>
      <c r="O792" s="156"/>
      <c r="P792" s="156"/>
      <c r="Q792" s="156"/>
      <c r="R792" s="156"/>
      <c r="S792" s="156"/>
      <c r="T792" s="156"/>
      <c r="U792" s="156"/>
      <c r="V792" s="156"/>
      <c r="W792" s="156"/>
      <c r="X792" s="156"/>
      <c r="Y792" s="156"/>
      <c r="Z792" s="156"/>
    </row>
    <row r="793">
      <c r="A793" s="156"/>
      <c r="B793" s="156"/>
      <c r="C793" s="156"/>
      <c r="D793" s="156"/>
      <c r="E793" s="156"/>
      <c r="F793" s="156"/>
      <c r="G793" s="156"/>
      <c r="H793" s="156"/>
      <c r="I793" s="156"/>
      <c r="J793" s="156"/>
      <c r="K793" s="156"/>
      <c r="L793" s="156"/>
      <c r="M793" s="156"/>
      <c r="N793" s="156"/>
      <c r="O793" s="156"/>
      <c r="P793" s="156"/>
      <c r="Q793" s="156"/>
      <c r="R793" s="156"/>
      <c r="S793" s="156"/>
      <c r="T793" s="156"/>
      <c r="U793" s="156"/>
      <c r="V793" s="156"/>
      <c r="W793" s="156"/>
      <c r="X793" s="156"/>
      <c r="Y793" s="156"/>
      <c r="Z793" s="156"/>
    </row>
    <row r="794">
      <c r="A794" s="156"/>
      <c r="B794" s="156"/>
      <c r="C794" s="156"/>
      <c r="D794" s="156"/>
      <c r="E794" s="156"/>
      <c r="F794" s="156"/>
      <c r="G794" s="156"/>
      <c r="H794" s="156"/>
      <c r="I794" s="156"/>
      <c r="J794" s="156"/>
      <c r="K794" s="156"/>
      <c r="L794" s="156"/>
      <c r="M794" s="156"/>
      <c r="N794" s="156"/>
      <c r="O794" s="156"/>
      <c r="P794" s="156"/>
      <c r="Q794" s="156"/>
      <c r="R794" s="156"/>
      <c r="S794" s="156"/>
      <c r="T794" s="156"/>
      <c r="U794" s="156"/>
      <c r="V794" s="156"/>
      <c r="W794" s="156"/>
      <c r="X794" s="156"/>
      <c r="Y794" s="156"/>
      <c r="Z794" s="156"/>
    </row>
    <row r="795">
      <c r="A795" s="156"/>
      <c r="B795" s="156"/>
      <c r="C795" s="156"/>
      <c r="D795" s="156"/>
      <c r="E795" s="156"/>
      <c r="F795" s="156"/>
      <c r="G795" s="156"/>
      <c r="H795" s="156"/>
      <c r="I795" s="156"/>
      <c r="J795" s="156"/>
      <c r="K795" s="156"/>
      <c r="L795" s="156"/>
      <c r="M795" s="156"/>
      <c r="N795" s="156"/>
      <c r="O795" s="156"/>
      <c r="P795" s="156"/>
      <c r="Q795" s="156"/>
      <c r="R795" s="156"/>
      <c r="S795" s="156"/>
      <c r="T795" s="156"/>
      <c r="U795" s="156"/>
      <c r="V795" s="156"/>
      <c r="W795" s="156"/>
      <c r="X795" s="156"/>
      <c r="Y795" s="156"/>
      <c r="Z795" s="156"/>
    </row>
    <row r="796">
      <c r="A796" s="156"/>
      <c r="B796" s="156"/>
      <c r="C796" s="156"/>
      <c r="D796" s="156"/>
      <c r="E796" s="156"/>
      <c r="F796" s="156"/>
      <c r="G796" s="156"/>
      <c r="H796" s="156"/>
      <c r="I796" s="156"/>
      <c r="J796" s="156"/>
      <c r="K796" s="156"/>
      <c r="L796" s="156"/>
      <c r="M796" s="156"/>
      <c r="N796" s="156"/>
      <c r="O796" s="156"/>
      <c r="P796" s="156"/>
      <c r="Q796" s="156"/>
      <c r="R796" s="156"/>
      <c r="S796" s="156"/>
      <c r="T796" s="156"/>
      <c r="U796" s="156"/>
      <c r="V796" s="156"/>
      <c r="W796" s="156"/>
      <c r="X796" s="156"/>
      <c r="Y796" s="156"/>
      <c r="Z796" s="156"/>
    </row>
    <row r="797">
      <c r="A797" s="156"/>
      <c r="B797" s="156"/>
      <c r="C797" s="156"/>
      <c r="D797" s="156"/>
      <c r="E797" s="156"/>
      <c r="F797" s="156"/>
      <c r="G797" s="156"/>
      <c r="H797" s="156"/>
      <c r="I797" s="156"/>
      <c r="J797" s="156"/>
      <c r="K797" s="156"/>
      <c r="L797" s="156"/>
      <c r="M797" s="156"/>
      <c r="N797" s="156"/>
      <c r="O797" s="156"/>
      <c r="P797" s="156"/>
      <c r="Q797" s="156"/>
      <c r="R797" s="156"/>
      <c r="S797" s="156"/>
      <c r="T797" s="156"/>
      <c r="U797" s="156"/>
      <c r="V797" s="156"/>
      <c r="W797" s="156"/>
      <c r="X797" s="156"/>
      <c r="Y797" s="156"/>
      <c r="Z797" s="156"/>
    </row>
    <row r="798">
      <c r="A798" s="156"/>
      <c r="B798" s="156"/>
      <c r="C798" s="156"/>
      <c r="D798" s="156"/>
      <c r="E798" s="156"/>
      <c r="F798" s="156"/>
      <c r="G798" s="156"/>
      <c r="H798" s="156"/>
      <c r="I798" s="156"/>
      <c r="J798" s="156"/>
      <c r="K798" s="156"/>
      <c r="L798" s="156"/>
      <c r="M798" s="156"/>
      <c r="N798" s="156"/>
      <c r="O798" s="156"/>
      <c r="P798" s="156"/>
      <c r="Q798" s="156"/>
      <c r="R798" s="156"/>
      <c r="S798" s="156"/>
      <c r="T798" s="156"/>
      <c r="U798" s="156"/>
      <c r="V798" s="156"/>
      <c r="W798" s="156"/>
      <c r="X798" s="156"/>
      <c r="Y798" s="156"/>
      <c r="Z798" s="156"/>
    </row>
    <row r="799">
      <c r="A799" s="156"/>
      <c r="B799" s="156"/>
      <c r="C799" s="156"/>
      <c r="D799" s="156"/>
      <c r="E799" s="156"/>
      <c r="F799" s="156"/>
      <c r="G799" s="156"/>
      <c r="H799" s="156"/>
      <c r="I799" s="156"/>
      <c r="J799" s="156"/>
      <c r="K799" s="156"/>
      <c r="L799" s="156"/>
      <c r="M799" s="156"/>
      <c r="N799" s="156"/>
      <c r="O799" s="156"/>
      <c r="P799" s="156"/>
      <c r="Q799" s="156"/>
      <c r="R799" s="156"/>
      <c r="S799" s="156"/>
      <c r="T799" s="156"/>
      <c r="U799" s="156"/>
      <c r="V799" s="156"/>
      <c r="W799" s="156"/>
      <c r="X799" s="156"/>
      <c r="Y799" s="156"/>
      <c r="Z799" s="156"/>
    </row>
    <row r="800">
      <c r="A800" s="156"/>
      <c r="B800" s="156"/>
      <c r="C800" s="156"/>
      <c r="D800" s="156"/>
      <c r="E800" s="156"/>
      <c r="F800" s="156"/>
      <c r="G800" s="156"/>
      <c r="H800" s="156"/>
      <c r="I800" s="156"/>
      <c r="J800" s="156"/>
      <c r="K800" s="156"/>
      <c r="L800" s="156"/>
      <c r="M800" s="156"/>
      <c r="N800" s="156"/>
      <c r="O800" s="156"/>
      <c r="P800" s="156"/>
      <c r="Q800" s="156"/>
      <c r="R800" s="156"/>
      <c r="S800" s="156"/>
      <c r="T800" s="156"/>
      <c r="U800" s="156"/>
      <c r="V800" s="156"/>
      <c r="W800" s="156"/>
      <c r="X800" s="156"/>
      <c r="Y800" s="156"/>
      <c r="Z800" s="156"/>
    </row>
    <row r="801">
      <c r="A801" s="156"/>
      <c r="B801" s="156"/>
      <c r="C801" s="156"/>
      <c r="D801" s="156"/>
      <c r="E801" s="156"/>
      <c r="F801" s="156"/>
      <c r="G801" s="156"/>
      <c r="H801" s="156"/>
      <c r="I801" s="156"/>
      <c r="J801" s="156"/>
      <c r="K801" s="156"/>
      <c r="L801" s="156"/>
      <c r="M801" s="156"/>
      <c r="N801" s="156"/>
      <c r="O801" s="156"/>
      <c r="P801" s="156"/>
      <c r="Q801" s="156"/>
      <c r="R801" s="156"/>
      <c r="S801" s="156"/>
      <c r="T801" s="156"/>
      <c r="U801" s="156"/>
      <c r="V801" s="156"/>
      <c r="W801" s="156"/>
      <c r="X801" s="156"/>
      <c r="Y801" s="156"/>
      <c r="Z801" s="156"/>
    </row>
    <row r="802">
      <c r="A802" s="156"/>
      <c r="B802" s="156"/>
      <c r="C802" s="156"/>
      <c r="D802" s="156"/>
      <c r="E802" s="156"/>
      <c r="F802" s="156"/>
      <c r="G802" s="156"/>
      <c r="H802" s="156"/>
      <c r="I802" s="156"/>
      <c r="J802" s="156"/>
      <c r="K802" s="156"/>
      <c r="L802" s="156"/>
      <c r="M802" s="156"/>
      <c r="N802" s="156"/>
      <c r="O802" s="156"/>
      <c r="P802" s="156"/>
      <c r="Q802" s="156"/>
      <c r="R802" s="156"/>
      <c r="S802" s="156"/>
      <c r="T802" s="156"/>
      <c r="U802" s="156"/>
      <c r="V802" s="156"/>
      <c r="W802" s="156"/>
      <c r="X802" s="156"/>
      <c r="Y802" s="156"/>
      <c r="Z802" s="156"/>
    </row>
    <row r="803">
      <c r="A803" s="156"/>
      <c r="B803" s="156"/>
      <c r="C803" s="156"/>
      <c r="D803" s="156"/>
      <c r="E803" s="156"/>
      <c r="F803" s="156"/>
      <c r="G803" s="156"/>
      <c r="H803" s="156"/>
      <c r="I803" s="156"/>
      <c r="J803" s="156"/>
      <c r="K803" s="156"/>
      <c r="L803" s="156"/>
      <c r="M803" s="156"/>
      <c r="N803" s="156"/>
      <c r="O803" s="156"/>
      <c r="P803" s="156"/>
      <c r="Q803" s="156"/>
      <c r="R803" s="156"/>
      <c r="S803" s="156"/>
      <c r="T803" s="156"/>
      <c r="U803" s="156"/>
      <c r="V803" s="156"/>
      <c r="W803" s="156"/>
      <c r="X803" s="156"/>
      <c r="Y803" s="156"/>
      <c r="Z803" s="156"/>
    </row>
    <row r="804">
      <c r="A804" s="156"/>
      <c r="B804" s="156"/>
      <c r="C804" s="156"/>
      <c r="D804" s="156"/>
      <c r="E804" s="156"/>
      <c r="F804" s="156"/>
      <c r="G804" s="156"/>
      <c r="H804" s="156"/>
      <c r="I804" s="156"/>
      <c r="J804" s="156"/>
      <c r="K804" s="156"/>
      <c r="L804" s="156"/>
      <c r="M804" s="156"/>
      <c r="N804" s="156"/>
      <c r="O804" s="156"/>
      <c r="P804" s="156"/>
      <c r="Q804" s="156"/>
      <c r="R804" s="156"/>
      <c r="S804" s="156"/>
      <c r="T804" s="156"/>
      <c r="U804" s="156"/>
      <c r="V804" s="156"/>
      <c r="W804" s="156"/>
      <c r="X804" s="156"/>
      <c r="Y804" s="156"/>
      <c r="Z804" s="156"/>
    </row>
    <row r="805">
      <c r="A805" s="156"/>
      <c r="B805" s="156"/>
      <c r="C805" s="156"/>
      <c r="D805" s="156"/>
      <c r="E805" s="156"/>
      <c r="F805" s="156"/>
      <c r="G805" s="156"/>
      <c r="H805" s="156"/>
      <c r="I805" s="156"/>
      <c r="J805" s="156"/>
      <c r="K805" s="156"/>
      <c r="L805" s="156"/>
      <c r="M805" s="156"/>
      <c r="N805" s="156"/>
      <c r="O805" s="156"/>
      <c r="P805" s="156"/>
      <c r="Q805" s="156"/>
      <c r="R805" s="156"/>
      <c r="S805" s="156"/>
      <c r="T805" s="156"/>
      <c r="U805" s="156"/>
      <c r="V805" s="156"/>
      <c r="W805" s="156"/>
      <c r="X805" s="156"/>
      <c r="Y805" s="156"/>
      <c r="Z805" s="156"/>
    </row>
    <row r="806">
      <c r="A806" s="156"/>
      <c r="B806" s="156"/>
      <c r="C806" s="156"/>
      <c r="D806" s="156"/>
      <c r="E806" s="156"/>
      <c r="F806" s="156"/>
      <c r="G806" s="156"/>
      <c r="H806" s="156"/>
      <c r="I806" s="156"/>
      <c r="J806" s="156"/>
      <c r="K806" s="156"/>
      <c r="L806" s="156"/>
      <c r="M806" s="156"/>
      <c r="N806" s="156"/>
      <c r="O806" s="156"/>
      <c r="P806" s="156"/>
      <c r="Q806" s="156"/>
      <c r="R806" s="156"/>
      <c r="S806" s="156"/>
      <c r="T806" s="156"/>
      <c r="U806" s="156"/>
      <c r="V806" s="156"/>
      <c r="W806" s="156"/>
      <c r="X806" s="156"/>
      <c r="Y806" s="156"/>
      <c r="Z806" s="156"/>
    </row>
    <row r="807">
      <c r="A807" s="156"/>
      <c r="B807" s="156"/>
      <c r="C807" s="156"/>
      <c r="D807" s="156"/>
      <c r="E807" s="156"/>
      <c r="F807" s="156"/>
      <c r="G807" s="156"/>
      <c r="H807" s="156"/>
      <c r="I807" s="156"/>
      <c r="J807" s="156"/>
      <c r="K807" s="156"/>
      <c r="L807" s="156"/>
      <c r="M807" s="156"/>
      <c r="N807" s="156"/>
      <c r="O807" s="156"/>
      <c r="P807" s="156"/>
      <c r="Q807" s="156"/>
      <c r="R807" s="156"/>
      <c r="S807" s="156"/>
      <c r="T807" s="156"/>
      <c r="U807" s="156"/>
      <c r="V807" s="156"/>
      <c r="W807" s="156"/>
      <c r="X807" s="156"/>
      <c r="Y807" s="156"/>
      <c r="Z807" s="156"/>
    </row>
    <row r="808">
      <c r="A808" s="156"/>
      <c r="B808" s="156"/>
      <c r="C808" s="156"/>
      <c r="D808" s="156"/>
      <c r="E808" s="156"/>
      <c r="F808" s="156"/>
      <c r="G808" s="156"/>
      <c r="H808" s="156"/>
      <c r="I808" s="156"/>
      <c r="J808" s="156"/>
      <c r="K808" s="156"/>
      <c r="L808" s="156"/>
      <c r="M808" s="156"/>
      <c r="N808" s="156"/>
      <c r="O808" s="156"/>
      <c r="P808" s="156"/>
      <c r="Q808" s="156"/>
      <c r="R808" s="156"/>
      <c r="S808" s="156"/>
      <c r="T808" s="156"/>
      <c r="U808" s="156"/>
      <c r="V808" s="156"/>
      <c r="W808" s="156"/>
      <c r="X808" s="156"/>
      <c r="Y808" s="156"/>
      <c r="Z808" s="156"/>
    </row>
    <row r="809">
      <c r="A809" s="156"/>
      <c r="B809" s="156"/>
      <c r="C809" s="156"/>
      <c r="D809" s="156"/>
      <c r="E809" s="156"/>
      <c r="F809" s="156"/>
      <c r="G809" s="156"/>
      <c r="H809" s="156"/>
      <c r="I809" s="156"/>
      <c r="J809" s="156"/>
      <c r="K809" s="156"/>
      <c r="L809" s="156"/>
      <c r="M809" s="156"/>
      <c r="N809" s="156"/>
      <c r="O809" s="156"/>
      <c r="P809" s="156"/>
      <c r="Q809" s="156"/>
      <c r="R809" s="156"/>
      <c r="S809" s="156"/>
      <c r="T809" s="156"/>
      <c r="U809" s="156"/>
      <c r="V809" s="156"/>
      <c r="W809" s="156"/>
      <c r="X809" s="156"/>
      <c r="Y809" s="156"/>
      <c r="Z809" s="156"/>
    </row>
    <row r="810">
      <c r="A810" s="156"/>
      <c r="B810" s="156"/>
      <c r="C810" s="156"/>
      <c r="D810" s="156"/>
      <c r="E810" s="156"/>
      <c r="F810" s="156"/>
      <c r="G810" s="156"/>
      <c r="H810" s="156"/>
      <c r="I810" s="156"/>
      <c r="J810" s="156"/>
      <c r="K810" s="156"/>
      <c r="L810" s="156"/>
      <c r="M810" s="156"/>
      <c r="N810" s="156"/>
      <c r="O810" s="156"/>
      <c r="P810" s="156"/>
      <c r="Q810" s="156"/>
      <c r="R810" s="156"/>
      <c r="S810" s="156"/>
      <c r="T810" s="156"/>
      <c r="U810" s="156"/>
      <c r="V810" s="156"/>
      <c r="W810" s="156"/>
      <c r="X810" s="156"/>
      <c r="Y810" s="156"/>
      <c r="Z810" s="156"/>
    </row>
    <row r="811">
      <c r="A811" s="156"/>
      <c r="B811" s="156"/>
      <c r="C811" s="156"/>
      <c r="D811" s="156"/>
      <c r="E811" s="156"/>
      <c r="F811" s="156"/>
      <c r="G811" s="156"/>
      <c r="H811" s="156"/>
      <c r="I811" s="156"/>
      <c r="J811" s="156"/>
      <c r="K811" s="156"/>
      <c r="L811" s="156"/>
      <c r="M811" s="156"/>
      <c r="N811" s="156"/>
      <c r="O811" s="156"/>
      <c r="P811" s="156"/>
      <c r="Q811" s="156"/>
      <c r="R811" s="156"/>
      <c r="S811" s="156"/>
      <c r="T811" s="156"/>
      <c r="U811" s="156"/>
      <c r="V811" s="156"/>
      <c r="W811" s="156"/>
      <c r="X811" s="156"/>
      <c r="Y811" s="156"/>
      <c r="Z811" s="156"/>
    </row>
    <row r="812">
      <c r="A812" s="156"/>
      <c r="B812" s="156"/>
      <c r="C812" s="156"/>
      <c r="D812" s="156"/>
      <c r="E812" s="156"/>
      <c r="F812" s="156"/>
      <c r="G812" s="156"/>
      <c r="H812" s="156"/>
      <c r="I812" s="156"/>
      <c r="J812" s="156"/>
      <c r="K812" s="156"/>
      <c r="L812" s="156"/>
      <c r="M812" s="156"/>
      <c r="N812" s="156"/>
      <c r="O812" s="156"/>
      <c r="P812" s="156"/>
      <c r="Q812" s="156"/>
      <c r="R812" s="156"/>
      <c r="S812" s="156"/>
      <c r="T812" s="156"/>
      <c r="U812" s="156"/>
      <c r="V812" s="156"/>
      <c r="W812" s="156"/>
      <c r="X812" s="156"/>
      <c r="Y812" s="156"/>
      <c r="Z812" s="156"/>
    </row>
    <row r="813">
      <c r="A813" s="156"/>
      <c r="B813" s="156"/>
      <c r="C813" s="156"/>
      <c r="D813" s="156"/>
      <c r="E813" s="156"/>
      <c r="F813" s="156"/>
      <c r="G813" s="156"/>
      <c r="H813" s="156"/>
      <c r="I813" s="156"/>
      <c r="J813" s="156"/>
      <c r="K813" s="156"/>
      <c r="L813" s="156"/>
      <c r="M813" s="156"/>
      <c r="N813" s="156"/>
      <c r="O813" s="156"/>
      <c r="P813" s="156"/>
      <c r="Q813" s="156"/>
      <c r="R813" s="156"/>
      <c r="S813" s="156"/>
      <c r="T813" s="156"/>
      <c r="U813" s="156"/>
      <c r="V813" s="156"/>
      <c r="W813" s="156"/>
      <c r="X813" s="156"/>
      <c r="Y813" s="156"/>
      <c r="Z813" s="156"/>
    </row>
    <row r="814">
      <c r="A814" s="156"/>
      <c r="B814" s="156"/>
      <c r="C814" s="156"/>
      <c r="D814" s="156"/>
      <c r="E814" s="156"/>
      <c r="F814" s="156"/>
      <c r="G814" s="156"/>
      <c r="H814" s="156"/>
      <c r="I814" s="156"/>
      <c r="J814" s="156"/>
      <c r="K814" s="156"/>
      <c r="L814" s="156"/>
      <c r="M814" s="156"/>
      <c r="N814" s="156"/>
      <c r="O814" s="156"/>
      <c r="P814" s="156"/>
      <c r="Q814" s="156"/>
      <c r="R814" s="156"/>
      <c r="S814" s="156"/>
      <c r="T814" s="156"/>
      <c r="U814" s="156"/>
      <c r="V814" s="156"/>
      <c r="W814" s="156"/>
      <c r="X814" s="156"/>
      <c r="Y814" s="156"/>
      <c r="Z814" s="156"/>
    </row>
    <row r="815">
      <c r="A815" s="156"/>
      <c r="B815" s="156"/>
      <c r="C815" s="156"/>
      <c r="D815" s="156"/>
      <c r="E815" s="156"/>
      <c r="F815" s="156"/>
      <c r="G815" s="156"/>
      <c r="H815" s="156"/>
      <c r="I815" s="156"/>
      <c r="J815" s="156"/>
      <c r="K815" s="156"/>
      <c r="L815" s="156"/>
      <c r="M815" s="156"/>
      <c r="N815" s="156"/>
      <c r="O815" s="156"/>
      <c r="P815" s="156"/>
      <c r="Q815" s="156"/>
      <c r="R815" s="156"/>
      <c r="S815" s="156"/>
      <c r="T815" s="156"/>
      <c r="U815" s="156"/>
      <c r="V815" s="156"/>
      <c r="W815" s="156"/>
      <c r="X815" s="156"/>
      <c r="Y815" s="156"/>
      <c r="Z815" s="156"/>
    </row>
    <row r="816">
      <c r="A816" s="156"/>
      <c r="B816" s="156"/>
      <c r="C816" s="156"/>
      <c r="D816" s="156"/>
      <c r="E816" s="156"/>
      <c r="F816" s="156"/>
      <c r="G816" s="156"/>
      <c r="H816" s="156"/>
      <c r="I816" s="156"/>
      <c r="J816" s="156"/>
      <c r="K816" s="156"/>
      <c r="L816" s="156"/>
      <c r="M816" s="156"/>
      <c r="N816" s="156"/>
      <c r="O816" s="156"/>
      <c r="P816" s="156"/>
      <c r="Q816" s="156"/>
      <c r="R816" s="156"/>
      <c r="S816" s="156"/>
      <c r="T816" s="156"/>
      <c r="U816" s="156"/>
      <c r="V816" s="156"/>
      <c r="W816" s="156"/>
      <c r="X816" s="156"/>
      <c r="Y816" s="156"/>
      <c r="Z816" s="156"/>
    </row>
    <row r="817">
      <c r="A817" s="156"/>
      <c r="B817" s="156"/>
      <c r="C817" s="156"/>
      <c r="D817" s="156"/>
      <c r="E817" s="156"/>
      <c r="F817" s="156"/>
      <c r="G817" s="156"/>
      <c r="H817" s="156"/>
      <c r="I817" s="156"/>
      <c r="J817" s="156"/>
      <c r="K817" s="156"/>
      <c r="L817" s="156"/>
      <c r="M817" s="156"/>
      <c r="N817" s="156"/>
      <c r="O817" s="156"/>
      <c r="P817" s="156"/>
      <c r="Q817" s="156"/>
      <c r="R817" s="156"/>
      <c r="S817" s="156"/>
      <c r="T817" s="156"/>
      <c r="U817" s="156"/>
      <c r="V817" s="156"/>
      <c r="W817" s="156"/>
      <c r="X817" s="156"/>
      <c r="Y817" s="156"/>
      <c r="Z817" s="156"/>
    </row>
    <row r="818">
      <c r="A818" s="156"/>
      <c r="B818" s="156"/>
      <c r="C818" s="156"/>
      <c r="D818" s="156"/>
      <c r="E818" s="156"/>
      <c r="F818" s="156"/>
      <c r="G818" s="156"/>
      <c r="H818" s="156"/>
      <c r="I818" s="156"/>
      <c r="J818" s="156"/>
      <c r="K818" s="156"/>
      <c r="L818" s="156"/>
      <c r="M818" s="156"/>
      <c r="N818" s="156"/>
      <c r="O818" s="156"/>
      <c r="P818" s="156"/>
      <c r="Q818" s="156"/>
      <c r="R818" s="156"/>
      <c r="S818" s="156"/>
      <c r="T818" s="156"/>
      <c r="U818" s="156"/>
      <c r="V818" s="156"/>
      <c r="W818" s="156"/>
      <c r="X818" s="156"/>
      <c r="Y818" s="156"/>
      <c r="Z818" s="156"/>
    </row>
    <row r="819">
      <c r="A819" s="156"/>
      <c r="B819" s="156"/>
      <c r="C819" s="156"/>
      <c r="D819" s="156"/>
      <c r="E819" s="156"/>
      <c r="F819" s="156"/>
      <c r="G819" s="156"/>
      <c r="H819" s="156"/>
      <c r="I819" s="156"/>
      <c r="J819" s="156"/>
      <c r="K819" s="156"/>
      <c r="L819" s="156"/>
      <c r="M819" s="156"/>
      <c r="N819" s="156"/>
      <c r="O819" s="156"/>
      <c r="P819" s="156"/>
      <c r="Q819" s="156"/>
      <c r="R819" s="156"/>
      <c r="S819" s="156"/>
      <c r="T819" s="156"/>
      <c r="U819" s="156"/>
      <c r="V819" s="156"/>
      <c r="W819" s="156"/>
      <c r="X819" s="156"/>
      <c r="Y819" s="156"/>
      <c r="Z819" s="156"/>
    </row>
    <row r="820">
      <c r="A820" s="156"/>
      <c r="B820" s="156"/>
      <c r="C820" s="156"/>
      <c r="D820" s="156"/>
      <c r="E820" s="156"/>
      <c r="F820" s="156"/>
      <c r="G820" s="156"/>
      <c r="H820" s="156"/>
      <c r="I820" s="156"/>
      <c r="J820" s="156"/>
      <c r="K820" s="156"/>
      <c r="L820" s="156"/>
      <c r="M820" s="156"/>
      <c r="N820" s="156"/>
      <c r="O820" s="156"/>
      <c r="P820" s="156"/>
      <c r="Q820" s="156"/>
      <c r="R820" s="156"/>
      <c r="S820" s="156"/>
      <c r="T820" s="156"/>
      <c r="U820" s="156"/>
      <c r="V820" s="156"/>
      <c r="W820" s="156"/>
      <c r="X820" s="156"/>
      <c r="Y820" s="156"/>
      <c r="Z820" s="156"/>
    </row>
    <row r="821">
      <c r="A821" s="156"/>
      <c r="B821" s="156"/>
      <c r="C821" s="156"/>
      <c r="D821" s="156"/>
      <c r="E821" s="156"/>
      <c r="F821" s="156"/>
      <c r="G821" s="156"/>
      <c r="H821" s="156"/>
      <c r="I821" s="156"/>
      <c r="J821" s="156"/>
      <c r="K821" s="156"/>
      <c r="L821" s="156"/>
      <c r="M821" s="156"/>
      <c r="N821" s="156"/>
      <c r="O821" s="156"/>
      <c r="P821" s="156"/>
      <c r="Q821" s="156"/>
      <c r="R821" s="156"/>
      <c r="S821" s="156"/>
      <c r="T821" s="156"/>
      <c r="U821" s="156"/>
      <c r="V821" s="156"/>
      <c r="W821" s="156"/>
      <c r="X821" s="156"/>
      <c r="Y821" s="156"/>
      <c r="Z821" s="156"/>
    </row>
    <row r="822">
      <c r="A822" s="156"/>
      <c r="B822" s="156"/>
      <c r="C822" s="156"/>
      <c r="D822" s="156"/>
      <c r="E822" s="156"/>
      <c r="F822" s="156"/>
      <c r="G822" s="156"/>
      <c r="H822" s="156"/>
      <c r="I822" s="156"/>
      <c r="J822" s="156"/>
      <c r="K822" s="156"/>
      <c r="L822" s="156"/>
      <c r="M822" s="156"/>
      <c r="N822" s="156"/>
      <c r="O822" s="156"/>
      <c r="P822" s="156"/>
      <c r="Q822" s="156"/>
      <c r="R822" s="156"/>
      <c r="S822" s="156"/>
      <c r="T822" s="156"/>
      <c r="U822" s="156"/>
      <c r="V822" s="156"/>
      <c r="W822" s="156"/>
      <c r="X822" s="156"/>
      <c r="Y822" s="156"/>
      <c r="Z822" s="156"/>
    </row>
    <row r="823">
      <c r="A823" s="156"/>
      <c r="B823" s="156"/>
      <c r="C823" s="156"/>
      <c r="D823" s="156"/>
      <c r="E823" s="156"/>
      <c r="F823" s="156"/>
      <c r="G823" s="156"/>
      <c r="H823" s="156"/>
      <c r="I823" s="156"/>
      <c r="J823" s="156"/>
      <c r="K823" s="156"/>
      <c r="L823" s="156"/>
      <c r="M823" s="156"/>
      <c r="N823" s="156"/>
      <c r="O823" s="156"/>
      <c r="P823" s="156"/>
      <c r="Q823" s="156"/>
      <c r="R823" s="156"/>
      <c r="S823" s="156"/>
      <c r="T823" s="156"/>
      <c r="U823" s="156"/>
      <c r="V823" s="156"/>
      <c r="W823" s="156"/>
      <c r="X823" s="156"/>
      <c r="Y823" s="156"/>
      <c r="Z823" s="156"/>
    </row>
    <row r="824">
      <c r="A824" s="156"/>
      <c r="B824" s="156"/>
      <c r="C824" s="156"/>
      <c r="D824" s="156"/>
      <c r="E824" s="156"/>
      <c r="F824" s="156"/>
      <c r="G824" s="156"/>
      <c r="H824" s="156"/>
      <c r="I824" s="156"/>
      <c r="J824" s="156"/>
      <c r="K824" s="156"/>
      <c r="L824" s="156"/>
      <c r="M824" s="156"/>
      <c r="N824" s="156"/>
      <c r="O824" s="156"/>
      <c r="P824" s="156"/>
      <c r="Q824" s="156"/>
      <c r="R824" s="156"/>
      <c r="S824" s="156"/>
      <c r="T824" s="156"/>
      <c r="U824" s="156"/>
      <c r="V824" s="156"/>
      <c r="W824" s="156"/>
      <c r="X824" s="156"/>
      <c r="Y824" s="156"/>
      <c r="Z824" s="156"/>
    </row>
    <row r="825">
      <c r="A825" s="156"/>
      <c r="B825" s="156"/>
      <c r="C825" s="156"/>
      <c r="D825" s="156"/>
      <c r="E825" s="156"/>
      <c r="F825" s="156"/>
      <c r="G825" s="156"/>
      <c r="H825" s="156"/>
      <c r="I825" s="156"/>
      <c r="J825" s="156"/>
      <c r="K825" s="156"/>
      <c r="L825" s="156"/>
      <c r="M825" s="156"/>
      <c r="N825" s="156"/>
      <c r="O825" s="156"/>
      <c r="P825" s="156"/>
      <c r="Q825" s="156"/>
      <c r="R825" s="156"/>
      <c r="S825" s="156"/>
      <c r="T825" s="156"/>
      <c r="U825" s="156"/>
      <c r="V825" s="156"/>
      <c r="W825" s="156"/>
      <c r="X825" s="156"/>
      <c r="Y825" s="156"/>
      <c r="Z825" s="156"/>
    </row>
    <row r="826">
      <c r="A826" s="156"/>
      <c r="B826" s="156"/>
      <c r="C826" s="156"/>
      <c r="D826" s="156"/>
      <c r="E826" s="156"/>
      <c r="F826" s="156"/>
      <c r="G826" s="156"/>
      <c r="H826" s="156"/>
      <c r="I826" s="156"/>
      <c r="J826" s="156"/>
      <c r="K826" s="156"/>
      <c r="L826" s="156"/>
      <c r="M826" s="156"/>
      <c r="N826" s="156"/>
      <c r="O826" s="156"/>
      <c r="P826" s="156"/>
      <c r="Q826" s="156"/>
      <c r="R826" s="156"/>
      <c r="S826" s="156"/>
      <c r="T826" s="156"/>
      <c r="U826" s="156"/>
      <c r="V826" s="156"/>
      <c r="W826" s="156"/>
      <c r="X826" s="156"/>
      <c r="Y826" s="156"/>
      <c r="Z826" s="156"/>
    </row>
    <row r="827">
      <c r="A827" s="156"/>
      <c r="B827" s="156"/>
      <c r="C827" s="156"/>
      <c r="D827" s="156"/>
      <c r="E827" s="156"/>
      <c r="F827" s="156"/>
      <c r="G827" s="156"/>
      <c r="H827" s="156"/>
      <c r="I827" s="156"/>
      <c r="J827" s="156"/>
      <c r="K827" s="156"/>
      <c r="L827" s="156"/>
      <c r="M827" s="156"/>
      <c r="N827" s="156"/>
      <c r="O827" s="156"/>
      <c r="P827" s="156"/>
      <c r="Q827" s="156"/>
      <c r="R827" s="156"/>
      <c r="S827" s="156"/>
      <c r="T827" s="156"/>
      <c r="U827" s="156"/>
      <c r="V827" s="156"/>
      <c r="W827" s="156"/>
      <c r="X827" s="156"/>
      <c r="Y827" s="156"/>
      <c r="Z827" s="156"/>
    </row>
    <row r="828">
      <c r="A828" s="156"/>
      <c r="B828" s="156"/>
      <c r="C828" s="156"/>
      <c r="D828" s="156"/>
      <c r="E828" s="156"/>
      <c r="F828" s="156"/>
      <c r="G828" s="156"/>
      <c r="H828" s="156"/>
      <c r="I828" s="156"/>
      <c r="J828" s="156"/>
      <c r="K828" s="156"/>
      <c r="L828" s="156"/>
      <c r="M828" s="156"/>
      <c r="N828" s="156"/>
      <c r="O828" s="156"/>
      <c r="P828" s="156"/>
      <c r="Q828" s="156"/>
      <c r="R828" s="156"/>
      <c r="S828" s="156"/>
      <c r="T828" s="156"/>
      <c r="U828" s="156"/>
      <c r="V828" s="156"/>
      <c r="W828" s="156"/>
      <c r="X828" s="156"/>
      <c r="Y828" s="156"/>
      <c r="Z828" s="156"/>
    </row>
    <row r="829">
      <c r="A829" s="156"/>
      <c r="B829" s="156"/>
      <c r="C829" s="156"/>
      <c r="D829" s="156"/>
      <c r="E829" s="156"/>
      <c r="F829" s="156"/>
      <c r="G829" s="156"/>
      <c r="H829" s="156"/>
      <c r="I829" s="156"/>
      <c r="J829" s="156"/>
      <c r="K829" s="156"/>
      <c r="L829" s="156"/>
      <c r="M829" s="156"/>
      <c r="N829" s="156"/>
      <c r="O829" s="156"/>
      <c r="P829" s="156"/>
      <c r="Q829" s="156"/>
      <c r="R829" s="156"/>
      <c r="S829" s="156"/>
      <c r="T829" s="156"/>
      <c r="U829" s="156"/>
      <c r="V829" s="156"/>
      <c r="W829" s="156"/>
      <c r="X829" s="156"/>
      <c r="Y829" s="156"/>
      <c r="Z829" s="156"/>
    </row>
    <row r="830">
      <c r="A830" s="156"/>
      <c r="B830" s="156"/>
      <c r="C830" s="156"/>
      <c r="D830" s="156"/>
      <c r="E830" s="156"/>
      <c r="F830" s="156"/>
      <c r="G830" s="156"/>
      <c r="H830" s="156"/>
      <c r="I830" s="156"/>
      <c r="J830" s="156"/>
      <c r="K830" s="156"/>
      <c r="L830" s="156"/>
      <c r="M830" s="156"/>
      <c r="N830" s="156"/>
      <c r="O830" s="156"/>
      <c r="P830" s="156"/>
      <c r="Q830" s="156"/>
      <c r="R830" s="156"/>
      <c r="S830" s="156"/>
      <c r="T830" s="156"/>
      <c r="U830" s="156"/>
      <c r="V830" s="156"/>
      <c r="W830" s="156"/>
      <c r="X830" s="156"/>
      <c r="Y830" s="156"/>
      <c r="Z830" s="156"/>
    </row>
    <row r="831">
      <c r="A831" s="156"/>
      <c r="B831" s="156"/>
      <c r="C831" s="156"/>
      <c r="D831" s="156"/>
      <c r="E831" s="156"/>
      <c r="F831" s="156"/>
      <c r="G831" s="156"/>
      <c r="H831" s="156"/>
      <c r="I831" s="156"/>
      <c r="J831" s="156"/>
      <c r="K831" s="156"/>
      <c r="L831" s="156"/>
      <c r="M831" s="156"/>
      <c r="N831" s="156"/>
      <c r="O831" s="156"/>
      <c r="P831" s="156"/>
      <c r="Q831" s="156"/>
      <c r="R831" s="156"/>
      <c r="S831" s="156"/>
      <c r="T831" s="156"/>
      <c r="U831" s="156"/>
      <c r="V831" s="156"/>
      <c r="W831" s="156"/>
      <c r="X831" s="156"/>
      <c r="Y831" s="156"/>
      <c r="Z831" s="156"/>
    </row>
    <row r="832">
      <c r="A832" s="156"/>
      <c r="B832" s="156"/>
      <c r="C832" s="156"/>
      <c r="D832" s="156"/>
      <c r="E832" s="156"/>
      <c r="F832" s="156"/>
      <c r="G832" s="156"/>
      <c r="H832" s="156"/>
      <c r="I832" s="156"/>
      <c r="J832" s="156"/>
      <c r="K832" s="156"/>
      <c r="L832" s="156"/>
      <c r="M832" s="156"/>
      <c r="N832" s="156"/>
      <c r="O832" s="156"/>
      <c r="P832" s="156"/>
      <c r="Q832" s="156"/>
      <c r="R832" s="156"/>
      <c r="S832" s="156"/>
      <c r="T832" s="156"/>
      <c r="U832" s="156"/>
      <c r="V832" s="156"/>
      <c r="W832" s="156"/>
      <c r="X832" s="156"/>
      <c r="Y832" s="156"/>
      <c r="Z832" s="156"/>
    </row>
    <row r="833">
      <c r="A833" s="156"/>
      <c r="B833" s="156"/>
      <c r="C833" s="156"/>
      <c r="D833" s="156"/>
      <c r="E833" s="156"/>
      <c r="F833" s="156"/>
      <c r="G833" s="156"/>
      <c r="H833" s="156"/>
      <c r="I833" s="156"/>
      <c r="J833" s="156"/>
      <c r="K833" s="156"/>
      <c r="L833" s="156"/>
      <c r="M833" s="156"/>
      <c r="N833" s="156"/>
      <c r="O833" s="156"/>
      <c r="P833" s="156"/>
      <c r="Q833" s="156"/>
      <c r="R833" s="156"/>
      <c r="S833" s="156"/>
      <c r="T833" s="156"/>
      <c r="U833" s="156"/>
      <c r="V833" s="156"/>
      <c r="W833" s="156"/>
      <c r="X833" s="156"/>
      <c r="Y833" s="156"/>
      <c r="Z833" s="156"/>
    </row>
    <row r="834">
      <c r="A834" s="156"/>
      <c r="B834" s="156"/>
      <c r="C834" s="156"/>
      <c r="D834" s="156"/>
      <c r="E834" s="156"/>
      <c r="F834" s="156"/>
      <c r="G834" s="156"/>
      <c r="H834" s="156"/>
      <c r="I834" s="156"/>
      <c r="J834" s="156"/>
      <c r="K834" s="156"/>
      <c r="L834" s="156"/>
      <c r="M834" s="156"/>
      <c r="N834" s="156"/>
      <c r="O834" s="156"/>
      <c r="P834" s="156"/>
      <c r="Q834" s="156"/>
      <c r="R834" s="156"/>
      <c r="S834" s="156"/>
      <c r="T834" s="156"/>
      <c r="U834" s="156"/>
      <c r="V834" s="156"/>
      <c r="W834" s="156"/>
      <c r="X834" s="156"/>
      <c r="Y834" s="156"/>
      <c r="Z834" s="156"/>
    </row>
    <row r="835">
      <c r="A835" s="156"/>
      <c r="B835" s="156"/>
      <c r="C835" s="156"/>
      <c r="D835" s="156"/>
      <c r="E835" s="156"/>
      <c r="F835" s="156"/>
      <c r="G835" s="156"/>
      <c r="H835" s="156"/>
      <c r="I835" s="156"/>
      <c r="J835" s="156"/>
      <c r="K835" s="156"/>
      <c r="L835" s="156"/>
      <c r="M835" s="156"/>
      <c r="N835" s="156"/>
      <c r="O835" s="156"/>
      <c r="P835" s="156"/>
      <c r="Q835" s="156"/>
      <c r="R835" s="156"/>
      <c r="S835" s="156"/>
      <c r="T835" s="156"/>
      <c r="U835" s="156"/>
      <c r="V835" s="156"/>
      <c r="W835" s="156"/>
      <c r="X835" s="156"/>
      <c r="Y835" s="156"/>
      <c r="Z835" s="156"/>
    </row>
    <row r="836">
      <c r="A836" s="156"/>
      <c r="B836" s="156"/>
      <c r="C836" s="156"/>
      <c r="D836" s="156"/>
      <c r="E836" s="156"/>
      <c r="F836" s="156"/>
      <c r="G836" s="156"/>
      <c r="H836" s="156"/>
      <c r="I836" s="156"/>
      <c r="J836" s="156"/>
      <c r="K836" s="156"/>
      <c r="L836" s="156"/>
      <c r="M836" s="156"/>
      <c r="N836" s="156"/>
      <c r="O836" s="156"/>
      <c r="P836" s="156"/>
      <c r="Q836" s="156"/>
      <c r="R836" s="156"/>
      <c r="S836" s="156"/>
      <c r="T836" s="156"/>
      <c r="U836" s="156"/>
      <c r="V836" s="156"/>
      <c r="W836" s="156"/>
      <c r="X836" s="156"/>
      <c r="Y836" s="156"/>
      <c r="Z836" s="156"/>
    </row>
    <row r="837">
      <c r="A837" s="156"/>
      <c r="B837" s="156"/>
      <c r="C837" s="156"/>
      <c r="D837" s="156"/>
      <c r="E837" s="156"/>
      <c r="F837" s="156"/>
      <c r="G837" s="156"/>
      <c r="H837" s="156"/>
      <c r="I837" s="156"/>
      <c r="J837" s="156"/>
      <c r="K837" s="156"/>
      <c r="L837" s="156"/>
      <c r="M837" s="156"/>
      <c r="N837" s="156"/>
      <c r="O837" s="156"/>
      <c r="P837" s="156"/>
      <c r="Q837" s="156"/>
      <c r="R837" s="156"/>
      <c r="S837" s="156"/>
      <c r="T837" s="156"/>
      <c r="U837" s="156"/>
      <c r="V837" s="156"/>
      <c r="W837" s="156"/>
      <c r="X837" s="156"/>
      <c r="Y837" s="156"/>
      <c r="Z837" s="156"/>
    </row>
    <row r="838">
      <c r="A838" s="156"/>
      <c r="B838" s="156"/>
      <c r="C838" s="156"/>
      <c r="D838" s="156"/>
      <c r="E838" s="156"/>
      <c r="F838" s="156"/>
      <c r="G838" s="156"/>
      <c r="H838" s="156"/>
      <c r="I838" s="156"/>
      <c r="J838" s="156"/>
      <c r="K838" s="156"/>
      <c r="L838" s="156"/>
      <c r="M838" s="156"/>
      <c r="N838" s="156"/>
      <c r="O838" s="156"/>
      <c r="P838" s="156"/>
      <c r="Q838" s="156"/>
      <c r="R838" s="156"/>
      <c r="S838" s="156"/>
      <c r="T838" s="156"/>
      <c r="U838" s="156"/>
      <c r="V838" s="156"/>
      <c r="W838" s="156"/>
      <c r="X838" s="156"/>
      <c r="Y838" s="156"/>
      <c r="Z838" s="156"/>
    </row>
    <row r="839">
      <c r="A839" s="156"/>
      <c r="B839" s="156"/>
      <c r="C839" s="156"/>
      <c r="D839" s="156"/>
      <c r="E839" s="156"/>
      <c r="F839" s="156"/>
      <c r="G839" s="156"/>
      <c r="H839" s="156"/>
      <c r="I839" s="156"/>
      <c r="J839" s="156"/>
      <c r="K839" s="156"/>
      <c r="L839" s="156"/>
      <c r="M839" s="156"/>
      <c r="N839" s="156"/>
      <c r="O839" s="156"/>
      <c r="P839" s="156"/>
      <c r="Q839" s="156"/>
      <c r="R839" s="156"/>
      <c r="S839" s="156"/>
      <c r="T839" s="156"/>
      <c r="U839" s="156"/>
      <c r="V839" s="156"/>
      <c r="W839" s="156"/>
      <c r="X839" s="156"/>
      <c r="Y839" s="156"/>
      <c r="Z839" s="156"/>
    </row>
    <row r="840">
      <c r="A840" s="156"/>
      <c r="B840" s="156"/>
      <c r="C840" s="156"/>
      <c r="D840" s="156"/>
      <c r="E840" s="156"/>
      <c r="F840" s="156"/>
      <c r="G840" s="156"/>
      <c r="H840" s="156"/>
      <c r="I840" s="156"/>
      <c r="J840" s="156"/>
      <c r="K840" s="156"/>
      <c r="L840" s="156"/>
      <c r="M840" s="156"/>
      <c r="N840" s="156"/>
      <c r="O840" s="156"/>
      <c r="P840" s="156"/>
      <c r="Q840" s="156"/>
      <c r="R840" s="156"/>
      <c r="S840" s="156"/>
      <c r="T840" s="156"/>
      <c r="U840" s="156"/>
      <c r="V840" s="156"/>
      <c r="W840" s="156"/>
      <c r="X840" s="156"/>
      <c r="Y840" s="156"/>
      <c r="Z840" s="156"/>
    </row>
    <row r="841">
      <c r="A841" s="156"/>
      <c r="B841" s="156"/>
      <c r="C841" s="156"/>
      <c r="D841" s="156"/>
      <c r="E841" s="156"/>
      <c r="F841" s="156"/>
      <c r="G841" s="156"/>
      <c r="H841" s="156"/>
      <c r="I841" s="156"/>
      <c r="J841" s="156"/>
      <c r="K841" s="156"/>
      <c r="L841" s="156"/>
      <c r="M841" s="156"/>
      <c r="N841" s="156"/>
      <c r="O841" s="156"/>
      <c r="P841" s="156"/>
      <c r="Q841" s="156"/>
      <c r="R841" s="156"/>
      <c r="S841" s="156"/>
      <c r="T841" s="156"/>
      <c r="U841" s="156"/>
      <c r="V841" s="156"/>
      <c r="W841" s="156"/>
      <c r="X841" s="156"/>
      <c r="Y841" s="156"/>
      <c r="Z841" s="156"/>
    </row>
    <row r="842">
      <c r="A842" s="156"/>
      <c r="B842" s="156"/>
      <c r="C842" s="156"/>
      <c r="D842" s="156"/>
      <c r="E842" s="156"/>
      <c r="F842" s="156"/>
      <c r="G842" s="156"/>
      <c r="H842" s="156"/>
      <c r="I842" s="156"/>
      <c r="J842" s="156"/>
      <c r="K842" s="156"/>
      <c r="L842" s="156"/>
      <c r="M842" s="156"/>
      <c r="N842" s="156"/>
      <c r="O842" s="156"/>
      <c r="P842" s="156"/>
      <c r="Q842" s="156"/>
      <c r="R842" s="156"/>
      <c r="S842" s="156"/>
      <c r="T842" s="156"/>
      <c r="U842" s="156"/>
      <c r="V842" s="156"/>
      <c r="W842" s="156"/>
      <c r="X842" s="156"/>
      <c r="Y842" s="156"/>
      <c r="Z842" s="156"/>
    </row>
    <row r="843">
      <c r="A843" s="156"/>
      <c r="B843" s="156"/>
      <c r="C843" s="156"/>
      <c r="D843" s="156"/>
      <c r="E843" s="156"/>
      <c r="F843" s="156"/>
      <c r="G843" s="156"/>
      <c r="H843" s="156"/>
      <c r="I843" s="156"/>
      <c r="J843" s="156"/>
      <c r="K843" s="156"/>
      <c r="L843" s="156"/>
      <c r="M843" s="156"/>
      <c r="N843" s="156"/>
      <c r="O843" s="156"/>
      <c r="P843" s="156"/>
      <c r="Q843" s="156"/>
      <c r="R843" s="156"/>
      <c r="S843" s="156"/>
      <c r="T843" s="156"/>
      <c r="U843" s="156"/>
      <c r="V843" s="156"/>
      <c r="W843" s="156"/>
      <c r="X843" s="156"/>
      <c r="Y843" s="156"/>
      <c r="Z843" s="156"/>
    </row>
    <row r="844">
      <c r="A844" s="156"/>
      <c r="B844" s="156"/>
      <c r="C844" s="156"/>
      <c r="D844" s="156"/>
      <c r="E844" s="156"/>
      <c r="F844" s="156"/>
      <c r="G844" s="156"/>
      <c r="H844" s="156"/>
      <c r="I844" s="156"/>
      <c r="J844" s="156"/>
      <c r="K844" s="156"/>
      <c r="L844" s="156"/>
      <c r="M844" s="156"/>
      <c r="N844" s="156"/>
      <c r="O844" s="156"/>
      <c r="P844" s="156"/>
      <c r="Q844" s="156"/>
      <c r="R844" s="156"/>
      <c r="S844" s="156"/>
      <c r="T844" s="156"/>
      <c r="U844" s="156"/>
      <c r="V844" s="156"/>
      <c r="W844" s="156"/>
      <c r="X844" s="156"/>
      <c r="Y844" s="156"/>
      <c r="Z844" s="156"/>
    </row>
    <row r="845">
      <c r="A845" s="156"/>
      <c r="B845" s="156"/>
      <c r="C845" s="156"/>
      <c r="D845" s="156"/>
      <c r="E845" s="156"/>
      <c r="F845" s="156"/>
      <c r="G845" s="156"/>
      <c r="H845" s="156"/>
      <c r="I845" s="156"/>
      <c r="J845" s="156"/>
      <c r="K845" s="156"/>
      <c r="L845" s="156"/>
      <c r="M845" s="156"/>
      <c r="N845" s="156"/>
      <c r="O845" s="156"/>
      <c r="P845" s="156"/>
      <c r="Q845" s="156"/>
      <c r="R845" s="156"/>
      <c r="S845" s="156"/>
      <c r="T845" s="156"/>
      <c r="U845" s="156"/>
      <c r="V845" s="156"/>
      <c r="W845" s="156"/>
      <c r="X845" s="156"/>
      <c r="Y845" s="156"/>
      <c r="Z845" s="156"/>
    </row>
    <row r="846">
      <c r="A846" s="156"/>
      <c r="B846" s="156"/>
      <c r="C846" s="156"/>
      <c r="D846" s="156"/>
      <c r="E846" s="156"/>
      <c r="F846" s="156"/>
      <c r="G846" s="156"/>
      <c r="H846" s="156"/>
      <c r="I846" s="156"/>
      <c r="J846" s="156"/>
      <c r="K846" s="156"/>
      <c r="L846" s="156"/>
      <c r="M846" s="156"/>
      <c r="N846" s="156"/>
      <c r="O846" s="156"/>
      <c r="P846" s="156"/>
      <c r="Q846" s="156"/>
      <c r="R846" s="156"/>
      <c r="S846" s="156"/>
      <c r="T846" s="156"/>
      <c r="U846" s="156"/>
      <c r="V846" s="156"/>
      <c r="W846" s="156"/>
      <c r="X846" s="156"/>
      <c r="Y846" s="156"/>
      <c r="Z846" s="156"/>
    </row>
    <row r="847">
      <c r="A847" s="156"/>
      <c r="B847" s="156"/>
      <c r="C847" s="156"/>
      <c r="D847" s="156"/>
      <c r="E847" s="156"/>
      <c r="F847" s="156"/>
      <c r="G847" s="156"/>
      <c r="H847" s="156"/>
      <c r="I847" s="156"/>
      <c r="J847" s="156"/>
      <c r="K847" s="156"/>
      <c r="L847" s="156"/>
      <c r="M847" s="156"/>
      <c r="N847" s="156"/>
      <c r="O847" s="156"/>
      <c r="P847" s="156"/>
      <c r="Q847" s="156"/>
      <c r="R847" s="156"/>
      <c r="S847" s="156"/>
      <c r="T847" s="156"/>
      <c r="U847" s="156"/>
      <c r="V847" s="156"/>
      <c r="W847" s="156"/>
      <c r="X847" s="156"/>
      <c r="Y847" s="156"/>
      <c r="Z847" s="156"/>
    </row>
    <row r="848">
      <c r="A848" s="156"/>
      <c r="B848" s="156"/>
      <c r="C848" s="156"/>
      <c r="D848" s="156"/>
      <c r="E848" s="156"/>
      <c r="F848" s="156"/>
      <c r="G848" s="156"/>
      <c r="H848" s="156"/>
      <c r="I848" s="156"/>
      <c r="J848" s="156"/>
      <c r="K848" s="156"/>
      <c r="L848" s="156"/>
      <c r="M848" s="156"/>
      <c r="N848" s="156"/>
      <c r="O848" s="156"/>
      <c r="P848" s="156"/>
      <c r="Q848" s="156"/>
      <c r="R848" s="156"/>
      <c r="S848" s="156"/>
      <c r="T848" s="156"/>
      <c r="U848" s="156"/>
      <c r="V848" s="156"/>
      <c r="W848" s="156"/>
      <c r="X848" s="156"/>
      <c r="Y848" s="156"/>
      <c r="Z848" s="156"/>
    </row>
    <row r="849">
      <c r="A849" s="156"/>
      <c r="B849" s="156"/>
      <c r="C849" s="156"/>
      <c r="D849" s="156"/>
      <c r="E849" s="156"/>
      <c r="F849" s="156"/>
      <c r="G849" s="156"/>
      <c r="H849" s="156"/>
      <c r="I849" s="156"/>
      <c r="J849" s="156"/>
      <c r="K849" s="156"/>
      <c r="L849" s="156"/>
      <c r="M849" s="156"/>
      <c r="N849" s="156"/>
      <c r="O849" s="156"/>
      <c r="P849" s="156"/>
      <c r="Q849" s="156"/>
      <c r="R849" s="156"/>
      <c r="S849" s="156"/>
      <c r="T849" s="156"/>
      <c r="U849" s="156"/>
      <c r="V849" s="156"/>
      <c r="W849" s="156"/>
      <c r="X849" s="156"/>
      <c r="Y849" s="156"/>
      <c r="Z849" s="156"/>
    </row>
    <row r="850">
      <c r="A850" s="156"/>
      <c r="B850" s="156"/>
      <c r="C850" s="156"/>
      <c r="D850" s="156"/>
      <c r="E850" s="156"/>
      <c r="F850" s="156"/>
      <c r="G850" s="156"/>
      <c r="H850" s="156"/>
      <c r="I850" s="156"/>
      <c r="J850" s="156"/>
      <c r="K850" s="156"/>
      <c r="L850" s="156"/>
      <c r="M850" s="156"/>
      <c r="N850" s="156"/>
      <c r="O850" s="156"/>
      <c r="P850" s="156"/>
      <c r="Q850" s="156"/>
      <c r="R850" s="156"/>
      <c r="S850" s="156"/>
      <c r="T850" s="156"/>
      <c r="U850" s="156"/>
      <c r="V850" s="156"/>
      <c r="W850" s="156"/>
      <c r="X850" s="156"/>
      <c r="Y850" s="156"/>
      <c r="Z850" s="156"/>
    </row>
    <row r="851">
      <c r="A851" s="156"/>
      <c r="B851" s="156"/>
      <c r="C851" s="156"/>
      <c r="D851" s="156"/>
      <c r="E851" s="156"/>
      <c r="F851" s="156"/>
      <c r="G851" s="156"/>
      <c r="H851" s="156"/>
      <c r="I851" s="156"/>
      <c r="J851" s="156"/>
      <c r="K851" s="156"/>
      <c r="L851" s="156"/>
      <c r="M851" s="156"/>
      <c r="N851" s="156"/>
      <c r="O851" s="156"/>
      <c r="P851" s="156"/>
      <c r="Q851" s="156"/>
      <c r="R851" s="156"/>
      <c r="S851" s="156"/>
      <c r="T851" s="156"/>
      <c r="U851" s="156"/>
      <c r="V851" s="156"/>
      <c r="W851" s="156"/>
      <c r="X851" s="156"/>
      <c r="Y851" s="156"/>
      <c r="Z851" s="156"/>
    </row>
    <row r="852">
      <c r="A852" s="156"/>
      <c r="B852" s="156"/>
      <c r="C852" s="156"/>
      <c r="D852" s="156"/>
      <c r="E852" s="156"/>
      <c r="F852" s="156"/>
      <c r="G852" s="156"/>
      <c r="H852" s="156"/>
      <c r="I852" s="156"/>
      <c r="J852" s="156"/>
      <c r="K852" s="156"/>
      <c r="L852" s="156"/>
      <c r="M852" s="156"/>
      <c r="N852" s="156"/>
      <c r="O852" s="156"/>
      <c r="P852" s="156"/>
      <c r="Q852" s="156"/>
      <c r="R852" s="156"/>
      <c r="S852" s="156"/>
      <c r="T852" s="156"/>
      <c r="U852" s="156"/>
      <c r="V852" s="156"/>
      <c r="W852" s="156"/>
      <c r="X852" s="156"/>
      <c r="Y852" s="156"/>
      <c r="Z852" s="156"/>
    </row>
    <row r="853">
      <c r="A853" s="156"/>
      <c r="B853" s="156"/>
      <c r="C853" s="156"/>
      <c r="D853" s="156"/>
      <c r="E853" s="156"/>
      <c r="F853" s="156"/>
      <c r="G853" s="156"/>
      <c r="H853" s="156"/>
      <c r="I853" s="156"/>
      <c r="J853" s="156"/>
      <c r="K853" s="156"/>
      <c r="L853" s="156"/>
      <c r="M853" s="156"/>
      <c r="N853" s="156"/>
      <c r="O853" s="156"/>
      <c r="P853" s="156"/>
      <c r="Q853" s="156"/>
      <c r="R853" s="156"/>
      <c r="S853" s="156"/>
      <c r="T853" s="156"/>
      <c r="U853" s="156"/>
      <c r="V853" s="156"/>
      <c r="W853" s="156"/>
      <c r="X853" s="156"/>
      <c r="Y853" s="156"/>
      <c r="Z853" s="156"/>
    </row>
    <row r="854">
      <c r="A854" s="156"/>
      <c r="B854" s="156"/>
      <c r="C854" s="156"/>
      <c r="D854" s="156"/>
      <c r="E854" s="156"/>
      <c r="F854" s="156"/>
      <c r="G854" s="156"/>
      <c r="H854" s="156"/>
      <c r="I854" s="156"/>
      <c r="J854" s="156"/>
      <c r="K854" s="156"/>
      <c r="L854" s="156"/>
      <c r="M854" s="156"/>
      <c r="N854" s="156"/>
      <c r="O854" s="156"/>
      <c r="P854" s="156"/>
      <c r="Q854" s="156"/>
      <c r="R854" s="156"/>
      <c r="S854" s="156"/>
      <c r="T854" s="156"/>
      <c r="U854" s="156"/>
      <c r="V854" s="156"/>
      <c r="W854" s="156"/>
      <c r="X854" s="156"/>
      <c r="Y854" s="156"/>
      <c r="Z854" s="156"/>
    </row>
    <row r="855">
      <c r="A855" s="156"/>
      <c r="B855" s="156"/>
      <c r="C855" s="156"/>
      <c r="D855" s="156"/>
      <c r="E855" s="156"/>
      <c r="F855" s="156"/>
      <c r="G855" s="156"/>
      <c r="H855" s="156"/>
      <c r="I855" s="156"/>
      <c r="J855" s="156"/>
      <c r="K855" s="156"/>
      <c r="L855" s="156"/>
      <c r="M855" s="156"/>
      <c r="N855" s="156"/>
      <c r="O855" s="156"/>
      <c r="P855" s="156"/>
      <c r="Q855" s="156"/>
      <c r="R855" s="156"/>
      <c r="S855" s="156"/>
      <c r="T855" s="156"/>
      <c r="U855" s="156"/>
      <c r="V855" s="156"/>
      <c r="W855" s="156"/>
      <c r="X855" s="156"/>
      <c r="Y855" s="156"/>
      <c r="Z855" s="156"/>
    </row>
    <row r="856">
      <c r="A856" s="156"/>
      <c r="B856" s="156"/>
      <c r="C856" s="156"/>
      <c r="D856" s="156"/>
      <c r="E856" s="156"/>
      <c r="F856" s="156"/>
      <c r="G856" s="156"/>
      <c r="H856" s="156"/>
      <c r="I856" s="156"/>
      <c r="J856" s="156"/>
      <c r="K856" s="156"/>
      <c r="L856" s="156"/>
      <c r="M856" s="156"/>
      <c r="N856" s="156"/>
      <c r="O856" s="156"/>
      <c r="P856" s="156"/>
      <c r="Q856" s="156"/>
      <c r="R856" s="156"/>
      <c r="S856" s="156"/>
      <c r="T856" s="156"/>
      <c r="U856" s="156"/>
      <c r="V856" s="156"/>
      <c r="W856" s="156"/>
      <c r="X856" s="156"/>
      <c r="Y856" s="156"/>
      <c r="Z856" s="156"/>
    </row>
    <row r="857">
      <c r="A857" s="156"/>
      <c r="B857" s="156"/>
      <c r="C857" s="156"/>
      <c r="D857" s="156"/>
      <c r="E857" s="156"/>
      <c r="F857" s="156"/>
      <c r="G857" s="156"/>
      <c r="H857" s="156"/>
      <c r="I857" s="156"/>
      <c r="J857" s="156"/>
      <c r="K857" s="156"/>
      <c r="L857" s="156"/>
      <c r="M857" s="156"/>
      <c r="N857" s="156"/>
      <c r="O857" s="156"/>
      <c r="P857" s="156"/>
      <c r="Q857" s="156"/>
      <c r="R857" s="156"/>
      <c r="S857" s="156"/>
      <c r="T857" s="156"/>
      <c r="U857" s="156"/>
      <c r="V857" s="156"/>
      <c r="W857" s="156"/>
      <c r="X857" s="156"/>
      <c r="Y857" s="156"/>
      <c r="Z857" s="156"/>
    </row>
    <row r="858">
      <c r="A858" s="156"/>
      <c r="B858" s="156"/>
      <c r="C858" s="156"/>
      <c r="D858" s="156"/>
      <c r="E858" s="156"/>
      <c r="F858" s="156"/>
      <c r="G858" s="156"/>
      <c r="H858" s="156"/>
      <c r="I858" s="156"/>
      <c r="J858" s="156"/>
      <c r="K858" s="156"/>
      <c r="L858" s="156"/>
      <c r="M858" s="156"/>
      <c r="N858" s="156"/>
      <c r="O858" s="156"/>
      <c r="P858" s="156"/>
      <c r="Q858" s="156"/>
      <c r="R858" s="156"/>
      <c r="S858" s="156"/>
      <c r="T858" s="156"/>
      <c r="U858" s="156"/>
      <c r="V858" s="156"/>
      <c r="W858" s="156"/>
      <c r="X858" s="156"/>
      <c r="Y858" s="156"/>
      <c r="Z858" s="156"/>
    </row>
    <row r="859">
      <c r="A859" s="156"/>
      <c r="B859" s="156"/>
      <c r="C859" s="156"/>
      <c r="D859" s="156"/>
      <c r="E859" s="156"/>
      <c r="F859" s="156"/>
      <c r="G859" s="156"/>
      <c r="H859" s="156"/>
      <c r="I859" s="156"/>
      <c r="J859" s="156"/>
      <c r="K859" s="156"/>
      <c r="L859" s="156"/>
      <c r="M859" s="156"/>
      <c r="N859" s="156"/>
      <c r="O859" s="156"/>
      <c r="P859" s="156"/>
      <c r="Q859" s="156"/>
      <c r="R859" s="156"/>
      <c r="S859" s="156"/>
      <c r="T859" s="156"/>
      <c r="U859" s="156"/>
      <c r="V859" s="156"/>
      <c r="W859" s="156"/>
      <c r="X859" s="156"/>
      <c r="Y859" s="156"/>
      <c r="Z859" s="156"/>
    </row>
    <row r="860">
      <c r="A860" s="156"/>
      <c r="B860" s="156"/>
      <c r="C860" s="156"/>
      <c r="D860" s="156"/>
      <c r="E860" s="156"/>
      <c r="F860" s="156"/>
      <c r="G860" s="156"/>
      <c r="H860" s="156"/>
      <c r="I860" s="156"/>
      <c r="J860" s="156"/>
      <c r="K860" s="156"/>
      <c r="L860" s="156"/>
      <c r="M860" s="156"/>
      <c r="N860" s="156"/>
      <c r="O860" s="156"/>
      <c r="P860" s="156"/>
      <c r="Q860" s="156"/>
      <c r="R860" s="156"/>
      <c r="S860" s="156"/>
      <c r="T860" s="156"/>
      <c r="U860" s="156"/>
      <c r="V860" s="156"/>
      <c r="W860" s="156"/>
      <c r="X860" s="156"/>
      <c r="Y860" s="156"/>
      <c r="Z860" s="156"/>
    </row>
    <row r="861">
      <c r="A861" s="156"/>
      <c r="B861" s="156"/>
      <c r="C861" s="156"/>
      <c r="D861" s="156"/>
      <c r="E861" s="156"/>
      <c r="F861" s="156"/>
      <c r="G861" s="156"/>
      <c r="H861" s="156"/>
      <c r="I861" s="156"/>
      <c r="J861" s="156"/>
      <c r="K861" s="156"/>
      <c r="L861" s="156"/>
      <c r="M861" s="156"/>
      <c r="N861" s="156"/>
      <c r="O861" s="156"/>
      <c r="P861" s="156"/>
      <c r="Q861" s="156"/>
      <c r="R861" s="156"/>
      <c r="S861" s="156"/>
      <c r="T861" s="156"/>
      <c r="U861" s="156"/>
      <c r="V861" s="156"/>
      <c r="W861" s="156"/>
      <c r="X861" s="156"/>
      <c r="Y861" s="156"/>
      <c r="Z861" s="156"/>
    </row>
    <row r="862">
      <c r="A862" s="156"/>
      <c r="B862" s="156"/>
      <c r="C862" s="156"/>
      <c r="D862" s="156"/>
      <c r="E862" s="156"/>
      <c r="F862" s="156"/>
      <c r="G862" s="156"/>
      <c r="H862" s="156"/>
      <c r="I862" s="156"/>
      <c r="J862" s="156"/>
      <c r="K862" s="156"/>
      <c r="L862" s="156"/>
      <c r="M862" s="156"/>
      <c r="N862" s="156"/>
      <c r="O862" s="156"/>
      <c r="P862" s="156"/>
      <c r="Q862" s="156"/>
      <c r="R862" s="156"/>
      <c r="S862" s="156"/>
      <c r="T862" s="156"/>
      <c r="U862" s="156"/>
      <c r="V862" s="156"/>
      <c r="W862" s="156"/>
      <c r="X862" s="156"/>
      <c r="Y862" s="156"/>
      <c r="Z862" s="156"/>
    </row>
    <row r="863">
      <c r="A863" s="156"/>
      <c r="B863" s="156"/>
      <c r="C863" s="156"/>
      <c r="D863" s="156"/>
      <c r="E863" s="156"/>
      <c r="F863" s="156"/>
      <c r="G863" s="156"/>
      <c r="H863" s="156"/>
      <c r="I863" s="156"/>
      <c r="J863" s="156"/>
      <c r="K863" s="156"/>
      <c r="L863" s="156"/>
      <c r="M863" s="156"/>
      <c r="N863" s="156"/>
      <c r="O863" s="156"/>
      <c r="P863" s="156"/>
      <c r="Q863" s="156"/>
      <c r="R863" s="156"/>
      <c r="S863" s="156"/>
      <c r="T863" s="156"/>
      <c r="U863" s="156"/>
      <c r="V863" s="156"/>
      <c r="W863" s="156"/>
      <c r="X863" s="156"/>
      <c r="Y863" s="156"/>
      <c r="Z863" s="156"/>
    </row>
    <row r="864">
      <c r="A864" s="156"/>
      <c r="B864" s="156"/>
      <c r="C864" s="156"/>
      <c r="D864" s="156"/>
      <c r="E864" s="156"/>
      <c r="F864" s="156"/>
      <c r="G864" s="156"/>
      <c r="H864" s="156"/>
      <c r="I864" s="156"/>
      <c r="J864" s="156"/>
      <c r="K864" s="156"/>
      <c r="L864" s="156"/>
      <c r="M864" s="156"/>
      <c r="N864" s="156"/>
      <c r="O864" s="156"/>
      <c r="P864" s="156"/>
      <c r="Q864" s="156"/>
      <c r="R864" s="156"/>
      <c r="S864" s="156"/>
      <c r="T864" s="156"/>
      <c r="U864" s="156"/>
      <c r="V864" s="156"/>
      <c r="W864" s="156"/>
      <c r="X864" s="156"/>
      <c r="Y864" s="156"/>
      <c r="Z864" s="156"/>
    </row>
    <row r="865">
      <c r="A865" s="156"/>
      <c r="B865" s="156"/>
      <c r="C865" s="156"/>
      <c r="D865" s="156"/>
      <c r="E865" s="156"/>
      <c r="F865" s="156"/>
      <c r="G865" s="156"/>
      <c r="H865" s="156"/>
      <c r="I865" s="156"/>
      <c r="J865" s="156"/>
      <c r="K865" s="156"/>
      <c r="L865" s="156"/>
      <c r="M865" s="156"/>
      <c r="N865" s="156"/>
      <c r="O865" s="156"/>
      <c r="P865" s="156"/>
      <c r="Q865" s="156"/>
      <c r="R865" s="156"/>
      <c r="S865" s="156"/>
      <c r="T865" s="156"/>
      <c r="U865" s="156"/>
      <c r="V865" s="156"/>
      <c r="W865" s="156"/>
      <c r="X865" s="156"/>
      <c r="Y865" s="156"/>
      <c r="Z865" s="156"/>
    </row>
    <row r="866">
      <c r="A866" s="156"/>
      <c r="B866" s="156"/>
      <c r="C866" s="156"/>
      <c r="D866" s="156"/>
      <c r="E866" s="156"/>
      <c r="F866" s="156"/>
      <c r="G866" s="156"/>
      <c r="H866" s="156"/>
      <c r="I866" s="156"/>
      <c r="J866" s="156"/>
      <c r="K866" s="156"/>
      <c r="L866" s="156"/>
      <c r="M866" s="156"/>
      <c r="N866" s="156"/>
      <c r="O866" s="156"/>
      <c r="P866" s="156"/>
      <c r="Q866" s="156"/>
      <c r="R866" s="156"/>
      <c r="S866" s="156"/>
      <c r="T866" s="156"/>
      <c r="U866" s="156"/>
      <c r="V866" s="156"/>
      <c r="W866" s="156"/>
      <c r="X866" s="156"/>
      <c r="Y866" s="156"/>
      <c r="Z866" s="156"/>
    </row>
    <row r="867">
      <c r="A867" s="156"/>
      <c r="B867" s="156"/>
      <c r="C867" s="156"/>
      <c r="D867" s="156"/>
      <c r="E867" s="156"/>
      <c r="F867" s="156"/>
      <c r="G867" s="156"/>
      <c r="H867" s="156"/>
      <c r="I867" s="156"/>
      <c r="J867" s="156"/>
      <c r="K867" s="156"/>
      <c r="L867" s="156"/>
      <c r="M867" s="156"/>
      <c r="N867" s="156"/>
      <c r="O867" s="156"/>
      <c r="P867" s="156"/>
      <c r="Q867" s="156"/>
      <c r="R867" s="156"/>
      <c r="S867" s="156"/>
      <c r="T867" s="156"/>
      <c r="U867" s="156"/>
      <c r="V867" s="156"/>
      <c r="W867" s="156"/>
      <c r="X867" s="156"/>
      <c r="Y867" s="156"/>
      <c r="Z867" s="156"/>
    </row>
    <row r="868">
      <c r="A868" s="156"/>
      <c r="B868" s="156"/>
      <c r="C868" s="156"/>
      <c r="D868" s="156"/>
      <c r="E868" s="156"/>
      <c r="F868" s="156"/>
      <c r="G868" s="156"/>
      <c r="H868" s="156"/>
      <c r="I868" s="156"/>
      <c r="J868" s="156"/>
      <c r="K868" s="156"/>
      <c r="L868" s="156"/>
      <c r="M868" s="156"/>
      <c r="N868" s="156"/>
      <c r="O868" s="156"/>
      <c r="P868" s="156"/>
      <c r="Q868" s="156"/>
      <c r="R868" s="156"/>
      <c r="S868" s="156"/>
      <c r="T868" s="156"/>
      <c r="U868" s="156"/>
      <c r="V868" s="156"/>
      <c r="W868" s="156"/>
      <c r="X868" s="156"/>
      <c r="Y868" s="156"/>
      <c r="Z868" s="156"/>
    </row>
    <row r="869">
      <c r="A869" s="156"/>
      <c r="B869" s="156"/>
      <c r="C869" s="156"/>
      <c r="D869" s="156"/>
      <c r="E869" s="156"/>
      <c r="F869" s="156"/>
      <c r="G869" s="156"/>
      <c r="H869" s="156"/>
      <c r="I869" s="156"/>
      <c r="J869" s="156"/>
      <c r="K869" s="156"/>
      <c r="L869" s="156"/>
      <c r="M869" s="156"/>
      <c r="N869" s="156"/>
      <c r="O869" s="156"/>
      <c r="P869" s="156"/>
      <c r="Q869" s="156"/>
      <c r="R869" s="156"/>
      <c r="S869" s="156"/>
      <c r="T869" s="156"/>
      <c r="U869" s="156"/>
      <c r="V869" s="156"/>
      <c r="W869" s="156"/>
      <c r="X869" s="156"/>
      <c r="Y869" s="156"/>
      <c r="Z869" s="156"/>
    </row>
    <row r="870">
      <c r="A870" s="156"/>
      <c r="B870" s="156"/>
      <c r="C870" s="156"/>
      <c r="D870" s="156"/>
      <c r="E870" s="156"/>
      <c r="F870" s="156"/>
      <c r="G870" s="156"/>
      <c r="H870" s="156"/>
      <c r="I870" s="156"/>
      <c r="J870" s="156"/>
      <c r="K870" s="156"/>
      <c r="L870" s="156"/>
      <c r="M870" s="156"/>
      <c r="N870" s="156"/>
      <c r="O870" s="156"/>
      <c r="P870" s="156"/>
      <c r="Q870" s="156"/>
      <c r="R870" s="156"/>
      <c r="S870" s="156"/>
      <c r="T870" s="156"/>
      <c r="U870" s="156"/>
      <c r="V870" s="156"/>
      <c r="W870" s="156"/>
      <c r="X870" s="156"/>
      <c r="Y870" s="156"/>
      <c r="Z870" s="156"/>
    </row>
    <row r="871">
      <c r="A871" s="156"/>
      <c r="B871" s="156"/>
      <c r="C871" s="156"/>
      <c r="D871" s="156"/>
      <c r="E871" s="156"/>
      <c r="F871" s="156"/>
      <c r="G871" s="156"/>
      <c r="H871" s="156"/>
      <c r="I871" s="156"/>
      <c r="J871" s="156"/>
      <c r="K871" s="156"/>
      <c r="L871" s="156"/>
      <c r="M871" s="156"/>
      <c r="N871" s="156"/>
      <c r="O871" s="156"/>
      <c r="P871" s="156"/>
      <c r="Q871" s="156"/>
      <c r="R871" s="156"/>
      <c r="S871" s="156"/>
      <c r="T871" s="156"/>
      <c r="U871" s="156"/>
      <c r="V871" s="156"/>
      <c r="W871" s="156"/>
      <c r="X871" s="156"/>
      <c r="Y871" s="156"/>
      <c r="Z871" s="156"/>
    </row>
    <row r="872">
      <c r="A872" s="156"/>
      <c r="B872" s="156"/>
      <c r="C872" s="156"/>
      <c r="D872" s="156"/>
      <c r="E872" s="156"/>
      <c r="F872" s="156"/>
      <c r="G872" s="156"/>
      <c r="H872" s="156"/>
      <c r="I872" s="156"/>
      <c r="J872" s="156"/>
      <c r="K872" s="156"/>
      <c r="L872" s="156"/>
      <c r="M872" s="156"/>
      <c r="N872" s="156"/>
      <c r="O872" s="156"/>
      <c r="P872" s="156"/>
      <c r="Q872" s="156"/>
      <c r="R872" s="156"/>
      <c r="S872" s="156"/>
      <c r="T872" s="156"/>
      <c r="U872" s="156"/>
      <c r="V872" s="156"/>
      <c r="W872" s="156"/>
      <c r="X872" s="156"/>
      <c r="Y872" s="156"/>
      <c r="Z872" s="156"/>
    </row>
    <row r="873">
      <c r="A873" s="156"/>
      <c r="B873" s="156"/>
      <c r="C873" s="156"/>
      <c r="D873" s="156"/>
      <c r="E873" s="156"/>
      <c r="F873" s="156"/>
      <c r="G873" s="156"/>
      <c r="H873" s="156"/>
      <c r="I873" s="156"/>
      <c r="J873" s="156"/>
      <c r="K873" s="156"/>
      <c r="L873" s="156"/>
      <c r="M873" s="156"/>
      <c r="N873" s="156"/>
      <c r="O873" s="156"/>
      <c r="P873" s="156"/>
      <c r="Q873" s="156"/>
      <c r="R873" s="156"/>
      <c r="S873" s="156"/>
      <c r="T873" s="156"/>
      <c r="U873" s="156"/>
      <c r="V873" s="156"/>
      <c r="W873" s="156"/>
      <c r="X873" s="156"/>
      <c r="Y873" s="156"/>
      <c r="Z873" s="156"/>
    </row>
    <row r="874">
      <c r="A874" s="156"/>
      <c r="B874" s="156"/>
      <c r="C874" s="156"/>
      <c r="D874" s="156"/>
      <c r="E874" s="156"/>
      <c r="F874" s="156"/>
      <c r="G874" s="156"/>
      <c r="H874" s="156"/>
      <c r="I874" s="156"/>
      <c r="J874" s="156"/>
      <c r="K874" s="156"/>
      <c r="L874" s="156"/>
      <c r="M874" s="156"/>
      <c r="N874" s="156"/>
      <c r="O874" s="156"/>
      <c r="P874" s="156"/>
      <c r="Q874" s="156"/>
      <c r="R874" s="156"/>
      <c r="S874" s="156"/>
      <c r="T874" s="156"/>
      <c r="U874" s="156"/>
      <c r="V874" s="156"/>
      <c r="W874" s="156"/>
      <c r="X874" s="156"/>
      <c r="Y874" s="156"/>
      <c r="Z874" s="156"/>
    </row>
    <row r="875">
      <c r="A875" s="156"/>
      <c r="B875" s="156"/>
      <c r="C875" s="156"/>
      <c r="D875" s="156"/>
      <c r="E875" s="156"/>
      <c r="F875" s="156"/>
      <c r="G875" s="156"/>
      <c r="H875" s="156"/>
      <c r="I875" s="156"/>
      <c r="J875" s="156"/>
      <c r="K875" s="156"/>
      <c r="L875" s="156"/>
      <c r="M875" s="156"/>
      <c r="N875" s="156"/>
      <c r="O875" s="156"/>
      <c r="P875" s="156"/>
      <c r="Q875" s="156"/>
      <c r="R875" s="156"/>
      <c r="S875" s="156"/>
      <c r="T875" s="156"/>
      <c r="U875" s="156"/>
      <c r="V875" s="156"/>
      <c r="W875" s="156"/>
      <c r="X875" s="156"/>
      <c r="Y875" s="156"/>
      <c r="Z875" s="156"/>
    </row>
    <row r="876">
      <c r="A876" s="156"/>
      <c r="B876" s="156"/>
      <c r="C876" s="156"/>
      <c r="D876" s="156"/>
      <c r="E876" s="156"/>
      <c r="F876" s="156"/>
      <c r="G876" s="156"/>
      <c r="H876" s="156"/>
      <c r="I876" s="156"/>
      <c r="J876" s="156"/>
      <c r="K876" s="156"/>
      <c r="L876" s="156"/>
      <c r="M876" s="156"/>
      <c r="N876" s="156"/>
      <c r="O876" s="156"/>
      <c r="P876" s="156"/>
      <c r="Q876" s="156"/>
      <c r="R876" s="156"/>
      <c r="S876" s="156"/>
      <c r="T876" s="156"/>
      <c r="U876" s="156"/>
      <c r="V876" s="156"/>
      <c r="W876" s="156"/>
      <c r="X876" s="156"/>
      <c r="Y876" s="156"/>
      <c r="Z876" s="156"/>
    </row>
    <row r="877">
      <c r="A877" s="156"/>
      <c r="B877" s="156"/>
      <c r="C877" s="156"/>
      <c r="D877" s="156"/>
      <c r="E877" s="156"/>
      <c r="F877" s="156"/>
      <c r="G877" s="156"/>
      <c r="H877" s="156"/>
      <c r="I877" s="156"/>
      <c r="J877" s="156"/>
      <c r="K877" s="156"/>
      <c r="L877" s="156"/>
      <c r="M877" s="156"/>
      <c r="N877" s="156"/>
      <c r="O877" s="156"/>
      <c r="P877" s="156"/>
      <c r="Q877" s="156"/>
      <c r="R877" s="156"/>
      <c r="S877" s="156"/>
      <c r="T877" s="156"/>
      <c r="U877" s="156"/>
      <c r="V877" s="156"/>
      <c r="W877" s="156"/>
      <c r="X877" s="156"/>
      <c r="Y877" s="156"/>
      <c r="Z877" s="156"/>
    </row>
    <row r="878">
      <c r="A878" s="156"/>
      <c r="B878" s="156"/>
      <c r="C878" s="156"/>
      <c r="D878" s="156"/>
      <c r="E878" s="156"/>
      <c r="F878" s="156"/>
      <c r="G878" s="156"/>
      <c r="H878" s="156"/>
      <c r="I878" s="156"/>
      <c r="J878" s="156"/>
      <c r="K878" s="156"/>
      <c r="L878" s="156"/>
      <c r="M878" s="156"/>
      <c r="N878" s="156"/>
      <c r="O878" s="156"/>
      <c r="P878" s="156"/>
      <c r="Q878" s="156"/>
      <c r="R878" s="156"/>
      <c r="S878" s="156"/>
      <c r="T878" s="156"/>
      <c r="U878" s="156"/>
      <c r="V878" s="156"/>
      <c r="W878" s="156"/>
      <c r="X878" s="156"/>
      <c r="Y878" s="156"/>
      <c r="Z878" s="156"/>
    </row>
    <row r="879">
      <c r="A879" s="156"/>
      <c r="B879" s="156"/>
      <c r="C879" s="156"/>
      <c r="D879" s="156"/>
      <c r="E879" s="156"/>
      <c r="F879" s="156"/>
      <c r="G879" s="156"/>
      <c r="H879" s="156"/>
      <c r="I879" s="156"/>
      <c r="J879" s="156"/>
      <c r="K879" s="156"/>
      <c r="L879" s="156"/>
      <c r="M879" s="156"/>
      <c r="N879" s="156"/>
      <c r="O879" s="156"/>
      <c r="P879" s="156"/>
      <c r="Q879" s="156"/>
      <c r="R879" s="156"/>
      <c r="S879" s="156"/>
      <c r="T879" s="156"/>
      <c r="U879" s="156"/>
      <c r="V879" s="156"/>
      <c r="W879" s="156"/>
      <c r="X879" s="156"/>
      <c r="Y879" s="156"/>
      <c r="Z879" s="156"/>
    </row>
    <row r="880">
      <c r="A880" s="156"/>
      <c r="B880" s="156"/>
      <c r="C880" s="156"/>
      <c r="D880" s="156"/>
      <c r="E880" s="156"/>
      <c r="F880" s="156"/>
      <c r="G880" s="156"/>
      <c r="H880" s="156"/>
      <c r="I880" s="156"/>
      <c r="J880" s="156"/>
      <c r="K880" s="156"/>
      <c r="L880" s="156"/>
      <c r="M880" s="156"/>
      <c r="N880" s="156"/>
      <c r="O880" s="156"/>
      <c r="P880" s="156"/>
      <c r="Q880" s="156"/>
      <c r="R880" s="156"/>
      <c r="S880" s="156"/>
      <c r="T880" s="156"/>
      <c r="U880" s="156"/>
      <c r="V880" s="156"/>
      <c r="W880" s="156"/>
      <c r="X880" s="156"/>
      <c r="Y880" s="156"/>
      <c r="Z880" s="156"/>
    </row>
    <row r="881">
      <c r="A881" s="156"/>
      <c r="B881" s="156"/>
      <c r="C881" s="156"/>
      <c r="D881" s="156"/>
      <c r="E881" s="156"/>
      <c r="F881" s="156"/>
      <c r="G881" s="156"/>
      <c r="H881" s="156"/>
      <c r="I881" s="156"/>
      <c r="J881" s="156"/>
      <c r="K881" s="156"/>
      <c r="L881" s="156"/>
      <c r="M881" s="156"/>
      <c r="N881" s="156"/>
      <c r="O881" s="156"/>
      <c r="P881" s="156"/>
      <c r="Q881" s="156"/>
      <c r="R881" s="156"/>
      <c r="S881" s="156"/>
      <c r="T881" s="156"/>
      <c r="U881" s="156"/>
      <c r="V881" s="156"/>
      <c r="W881" s="156"/>
      <c r="X881" s="156"/>
      <c r="Y881" s="156"/>
      <c r="Z881" s="156"/>
    </row>
    <row r="882">
      <c r="A882" s="156"/>
      <c r="B882" s="156"/>
      <c r="C882" s="156"/>
      <c r="D882" s="156"/>
      <c r="E882" s="156"/>
      <c r="F882" s="156"/>
      <c r="G882" s="156"/>
      <c r="H882" s="156"/>
      <c r="I882" s="156"/>
      <c r="J882" s="156"/>
      <c r="K882" s="156"/>
      <c r="L882" s="156"/>
      <c r="M882" s="156"/>
      <c r="N882" s="156"/>
      <c r="O882" s="156"/>
      <c r="P882" s="156"/>
      <c r="Q882" s="156"/>
      <c r="R882" s="156"/>
      <c r="S882" s="156"/>
      <c r="T882" s="156"/>
      <c r="U882" s="156"/>
      <c r="V882" s="156"/>
      <c r="W882" s="156"/>
      <c r="X882" s="156"/>
      <c r="Y882" s="156"/>
      <c r="Z882" s="156"/>
    </row>
    <row r="883">
      <c r="A883" s="156"/>
      <c r="B883" s="156"/>
      <c r="C883" s="156"/>
      <c r="D883" s="156"/>
      <c r="E883" s="156"/>
      <c r="F883" s="156"/>
      <c r="G883" s="156"/>
      <c r="H883" s="156"/>
      <c r="I883" s="156"/>
      <c r="J883" s="156"/>
      <c r="K883" s="156"/>
      <c r="L883" s="156"/>
      <c r="M883" s="156"/>
      <c r="N883" s="156"/>
      <c r="O883" s="156"/>
      <c r="P883" s="156"/>
      <c r="Q883" s="156"/>
      <c r="R883" s="156"/>
      <c r="S883" s="156"/>
      <c r="T883" s="156"/>
      <c r="U883" s="156"/>
      <c r="V883" s="156"/>
      <c r="W883" s="156"/>
      <c r="X883" s="156"/>
      <c r="Y883" s="156"/>
      <c r="Z883" s="156"/>
    </row>
    <row r="884">
      <c r="A884" s="156"/>
      <c r="B884" s="156"/>
      <c r="C884" s="156"/>
      <c r="D884" s="156"/>
      <c r="E884" s="156"/>
      <c r="F884" s="156"/>
      <c r="G884" s="156"/>
      <c r="H884" s="156"/>
      <c r="I884" s="156"/>
      <c r="J884" s="156"/>
      <c r="K884" s="156"/>
      <c r="L884" s="156"/>
      <c r="M884" s="156"/>
      <c r="N884" s="156"/>
      <c r="O884" s="156"/>
      <c r="P884" s="156"/>
      <c r="Q884" s="156"/>
      <c r="R884" s="156"/>
      <c r="S884" s="156"/>
      <c r="T884" s="156"/>
      <c r="U884" s="156"/>
      <c r="V884" s="156"/>
      <c r="W884" s="156"/>
      <c r="X884" s="156"/>
      <c r="Y884" s="156"/>
      <c r="Z884" s="156"/>
    </row>
    <row r="885">
      <c r="A885" s="156"/>
      <c r="B885" s="156"/>
      <c r="C885" s="156"/>
      <c r="D885" s="156"/>
      <c r="E885" s="156"/>
      <c r="F885" s="156"/>
      <c r="G885" s="156"/>
      <c r="H885" s="156"/>
      <c r="I885" s="156"/>
      <c r="J885" s="156"/>
      <c r="K885" s="156"/>
      <c r="L885" s="156"/>
      <c r="M885" s="156"/>
      <c r="N885" s="156"/>
      <c r="O885" s="156"/>
      <c r="P885" s="156"/>
      <c r="Q885" s="156"/>
      <c r="R885" s="156"/>
      <c r="S885" s="156"/>
      <c r="T885" s="156"/>
      <c r="U885" s="156"/>
      <c r="V885" s="156"/>
      <c r="W885" s="156"/>
      <c r="X885" s="156"/>
      <c r="Y885" s="156"/>
      <c r="Z885" s="156"/>
    </row>
    <row r="886">
      <c r="A886" s="156"/>
      <c r="B886" s="156"/>
      <c r="C886" s="156"/>
      <c r="D886" s="156"/>
      <c r="E886" s="156"/>
      <c r="F886" s="156"/>
      <c r="G886" s="156"/>
      <c r="H886" s="156"/>
      <c r="I886" s="156"/>
      <c r="J886" s="156"/>
      <c r="K886" s="156"/>
      <c r="L886" s="156"/>
      <c r="M886" s="156"/>
      <c r="N886" s="156"/>
      <c r="O886" s="156"/>
      <c r="P886" s="156"/>
      <c r="Q886" s="156"/>
      <c r="R886" s="156"/>
      <c r="S886" s="156"/>
      <c r="T886" s="156"/>
      <c r="U886" s="156"/>
      <c r="V886" s="156"/>
      <c r="W886" s="156"/>
      <c r="X886" s="156"/>
      <c r="Y886" s="156"/>
      <c r="Z886" s="156"/>
    </row>
    <row r="887">
      <c r="A887" s="156"/>
      <c r="B887" s="156"/>
      <c r="C887" s="156"/>
      <c r="D887" s="156"/>
      <c r="E887" s="156"/>
      <c r="F887" s="156"/>
      <c r="G887" s="156"/>
      <c r="H887" s="156"/>
      <c r="I887" s="156"/>
      <c r="J887" s="156"/>
      <c r="K887" s="156"/>
      <c r="L887" s="156"/>
      <c r="M887" s="156"/>
      <c r="N887" s="156"/>
      <c r="O887" s="156"/>
      <c r="P887" s="156"/>
      <c r="Q887" s="156"/>
      <c r="R887" s="156"/>
      <c r="S887" s="156"/>
      <c r="T887" s="156"/>
      <c r="U887" s="156"/>
      <c r="V887" s="156"/>
      <c r="W887" s="156"/>
      <c r="X887" s="156"/>
      <c r="Y887" s="156"/>
      <c r="Z887" s="156"/>
    </row>
    <row r="888">
      <c r="A888" s="156"/>
      <c r="B888" s="156"/>
      <c r="C888" s="156"/>
      <c r="D888" s="156"/>
      <c r="E888" s="156"/>
      <c r="F888" s="156"/>
      <c r="G888" s="156"/>
      <c r="H888" s="156"/>
      <c r="I888" s="156"/>
      <c r="J888" s="156"/>
      <c r="K888" s="156"/>
      <c r="L888" s="156"/>
      <c r="M888" s="156"/>
      <c r="N888" s="156"/>
      <c r="O888" s="156"/>
      <c r="P888" s="156"/>
      <c r="Q888" s="156"/>
      <c r="R888" s="156"/>
      <c r="S888" s="156"/>
      <c r="T888" s="156"/>
      <c r="U888" s="156"/>
      <c r="V888" s="156"/>
      <c r="W888" s="156"/>
      <c r="X888" s="156"/>
      <c r="Y888" s="156"/>
      <c r="Z888" s="156"/>
    </row>
    <row r="889">
      <c r="A889" s="156"/>
      <c r="B889" s="156"/>
      <c r="C889" s="156"/>
      <c r="D889" s="156"/>
      <c r="E889" s="156"/>
      <c r="F889" s="156"/>
      <c r="G889" s="156"/>
      <c r="H889" s="156"/>
      <c r="I889" s="156"/>
      <c r="J889" s="156"/>
      <c r="K889" s="156"/>
      <c r="L889" s="156"/>
      <c r="M889" s="156"/>
      <c r="N889" s="156"/>
      <c r="O889" s="156"/>
      <c r="P889" s="156"/>
      <c r="Q889" s="156"/>
      <c r="R889" s="156"/>
      <c r="S889" s="156"/>
      <c r="T889" s="156"/>
      <c r="U889" s="156"/>
      <c r="V889" s="156"/>
      <c r="W889" s="156"/>
      <c r="X889" s="156"/>
      <c r="Y889" s="156"/>
      <c r="Z889" s="156"/>
    </row>
    <row r="890">
      <c r="A890" s="156"/>
      <c r="B890" s="156"/>
      <c r="C890" s="156"/>
      <c r="D890" s="156"/>
      <c r="E890" s="156"/>
      <c r="F890" s="156"/>
      <c r="G890" s="156"/>
      <c r="H890" s="156"/>
      <c r="I890" s="156"/>
      <c r="J890" s="156"/>
      <c r="K890" s="156"/>
      <c r="L890" s="156"/>
      <c r="M890" s="156"/>
      <c r="N890" s="156"/>
      <c r="O890" s="156"/>
      <c r="P890" s="156"/>
      <c r="Q890" s="156"/>
      <c r="R890" s="156"/>
      <c r="S890" s="156"/>
      <c r="T890" s="156"/>
      <c r="U890" s="156"/>
      <c r="V890" s="156"/>
      <c r="W890" s="156"/>
      <c r="X890" s="156"/>
      <c r="Y890" s="156"/>
      <c r="Z890" s="156"/>
    </row>
    <row r="891">
      <c r="A891" s="156"/>
      <c r="B891" s="156"/>
      <c r="C891" s="156"/>
      <c r="D891" s="156"/>
      <c r="E891" s="156"/>
      <c r="F891" s="156"/>
      <c r="G891" s="156"/>
      <c r="H891" s="156"/>
      <c r="I891" s="156"/>
      <c r="J891" s="156"/>
      <c r="K891" s="156"/>
      <c r="L891" s="156"/>
      <c r="M891" s="156"/>
      <c r="N891" s="156"/>
      <c r="O891" s="156"/>
      <c r="P891" s="156"/>
      <c r="Q891" s="156"/>
      <c r="R891" s="156"/>
      <c r="S891" s="156"/>
      <c r="T891" s="156"/>
      <c r="U891" s="156"/>
      <c r="V891" s="156"/>
      <c r="W891" s="156"/>
      <c r="X891" s="156"/>
      <c r="Y891" s="156"/>
      <c r="Z891" s="156"/>
    </row>
    <row r="892">
      <c r="A892" s="156"/>
      <c r="B892" s="156"/>
      <c r="C892" s="156"/>
      <c r="D892" s="156"/>
      <c r="E892" s="156"/>
      <c r="F892" s="156"/>
      <c r="G892" s="156"/>
      <c r="H892" s="156"/>
      <c r="I892" s="156"/>
      <c r="J892" s="156"/>
      <c r="K892" s="156"/>
      <c r="L892" s="156"/>
      <c r="M892" s="156"/>
      <c r="N892" s="156"/>
      <c r="O892" s="156"/>
      <c r="P892" s="156"/>
      <c r="Q892" s="156"/>
      <c r="R892" s="156"/>
      <c r="S892" s="156"/>
      <c r="T892" s="156"/>
      <c r="U892" s="156"/>
      <c r="V892" s="156"/>
      <c r="W892" s="156"/>
      <c r="X892" s="156"/>
      <c r="Y892" s="156"/>
      <c r="Z892" s="156"/>
    </row>
    <row r="893">
      <c r="A893" s="156"/>
      <c r="B893" s="156"/>
      <c r="C893" s="156"/>
      <c r="D893" s="156"/>
      <c r="E893" s="156"/>
      <c r="F893" s="156"/>
      <c r="G893" s="156"/>
      <c r="H893" s="156"/>
      <c r="I893" s="156"/>
      <c r="J893" s="156"/>
      <c r="K893" s="156"/>
      <c r="L893" s="156"/>
      <c r="M893" s="156"/>
      <c r="N893" s="156"/>
      <c r="O893" s="156"/>
      <c r="P893" s="156"/>
      <c r="Q893" s="156"/>
      <c r="R893" s="156"/>
      <c r="S893" s="156"/>
      <c r="T893" s="156"/>
      <c r="U893" s="156"/>
      <c r="V893" s="156"/>
      <c r="W893" s="156"/>
      <c r="X893" s="156"/>
      <c r="Y893" s="156"/>
      <c r="Z893" s="156"/>
    </row>
    <row r="894">
      <c r="A894" s="156"/>
      <c r="B894" s="156"/>
      <c r="C894" s="156"/>
      <c r="D894" s="156"/>
      <c r="E894" s="156"/>
      <c r="F894" s="156"/>
      <c r="G894" s="156"/>
      <c r="H894" s="156"/>
      <c r="I894" s="156"/>
      <c r="J894" s="156"/>
      <c r="K894" s="156"/>
      <c r="L894" s="156"/>
      <c r="M894" s="156"/>
      <c r="N894" s="156"/>
      <c r="O894" s="156"/>
      <c r="P894" s="156"/>
      <c r="Q894" s="156"/>
      <c r="R894" s="156"/>
      <c r="S894" s="156"/>
      <c r="T894" s="156"/>
      <c r="U894" s="156"/>
      <c r="V894" s="156"/>
      <c r="W894" s="156"/>
      <c r="X894" s="156"/>
      <c r="Y894" s="156"/>
      <c r="Z894" s="156"/>
    </row>
    <row r="895">
      <c r="A895" s="156"/>
      <c r="B895" s="156"/>
      <c r="C895" s="156"/>
      <c r="D895" s="156"/>
      <c r="E895" s="156"/>
      <c r="F895" s="156"/>
      <c r="G895" s="156"/>
      <c r="H895" s="156"/>
      <c r="I895" s="156"/>
      <c r="J895" s="156"/>
      <c r="K895" s="156"/>
      <c r="L895" s="156"/>
      <c r="M895" s="156"/>
      <c r="N895" s="156"/>
      <c r="O895" s="156"/>
      <c r="P895" s="156"/>
      <c r="Q895" s="156"/>
      <c r="R895" s="156"/>
      <c r="S895" s="156"/>
      <c r="T895" s="156"/>
      <c r="U895" s="156"/>
      <c r="V895" s="156"/>
      <c r="W895" s="156"/>
      <c r="X895" s="156"/>
      <c r="Y895" s="156"/>
      <c r="Z895" s="156"/>
    </row>
    <row r="896">
      <c r="A896" s="156"/>
      <c r="B896" s="156"/>
      <c r="C896" s="156"/>
      <c r="D896" s="156"/>
      <c r="E896" s="156"/>
      <c r="F896" s="156"/>
      <c r="G896" s="156"/>
      <c r="H896" s="156"/>
      <c r="I896" s="156"/>
      <c r="J896" s="156"/>
      <c r="K896" s="156"/>
      <c r="L896" s="156"/>
      <c r="M896" s="156"/>
      <c r="N896" s="156"/>
      <c r="O896" s="156"/>
      <c r="P896" s="156"/>
      <c r="Q896" s="156"/>
      <c r="R896" s="156"/>
      <c r="S896" s="156"/>
      <c r="T896" s="156"/>
      <c r="U896" s="156"/>
      <c r="V896" s="156"/>
      <c r="W896" s="156"/>
      <c r="X896" s="156"/>
      <c r="Y896" s="156"/>
      <c r="Z896" s="156"/>
    </row>
    <row r="897">
      <c r="A897" s="156"/>
      <c r="B897" s="156"/>
      <c r="C897" s="156"/>
      <c r="D897" s="156"/>
      <c r="E897" s="156"/>
      <c r="F897" s="156"/>
      <c r="G897" s="156"/>
      <c r="H897" s="156"/>
      <c r="I897" s="156"/>
      <c r="J897" s="156"/>
      <c r="K897" s="156"/>
      <c r="L897" s="156"/>
      <c r="M897" s="156"/>
      <c r="N897" s="156"/>
      <c r="O897" s="156"/>
      <c r="P897" s="156"/>
      <c r="Q897" s="156"/>
      <c r="R897" s="156"/>
      <c r="S897" s="156"/>
      <c r="T897" s="156"/>
      <c r="U897" s="156"/>
      <c r="V897" s="156"/>
      <c r="W897" s="156"/>
      <c r="X897" s="156"/>
      <c r="Y897" s="156"/>
      <c r="Z897" s="156"/>
    </row>
    <row r="898">
      <c r="A898" s="156"/>
      <c r="B898" s="156"/>
      <c r="C898" s="156"/>
      <c r="D898" s="156"/>
      <c r="E898" s="156"/>
      <c r="F898" s="156"/>
      <c r="G898" s="156"/>
      <c r="H898" s="156"/>
      <c r="I898" s="156"/>
      <c r="J898" s="156"/>
      <c r="K898" s="156"/>
      <c r="L898" s="156"/>
      <c r="M898" s="156"/>
      <c r="N898" s="156"/>
      <c r="O898" s="156"/>
      <c r="P898" s="156"/>
      <c r="Q898" s="156"/>
      <c r="R898" s="156"/>
      <c r="S898" s="156"/>
      <c r="T898" s="156"/>
      <c r="U898" s="156"/>
      <c r="V898" s="156"/>
      <c r="W898" s="156"/>
      <c r="X898" s="156"/>
      <c r="Y898" s="156"/>
      <c r="Z898" s="156"/>
    </row>
    <row r="899">
      <c r="A899" s="156"/>
      <c r="B899" s="156"/>
      <c r="C899" s="156"/>
      <c r="D899" s="156"/>
      <c r="E899" s="156"/>
      <c r="F899" s="156"/>
      <c r="G899" s="156"/>
      <c r="H899" s="156"/>
      <c r="I899" s="156"/>
      <c r="J899" s="156"/>
      <c r="K899" s="156"/>
      <c r="L899" s="156"/>
      <c r="M899" s="156"/>
      <c r="N899" s="156"/>
      <c r="O899" s="156"/>
      <c r="P899" s="156"/>
      <c r="Q899" s="156"/>
      <c r="R899" s="156"/>
      <c r="S899" s="156"/>
      <c r="T899" s="156"/>
      <c r="U899" s="156"/>
      <c r="V899" s="156"/>
      <c r="W899" s="156"/>
      <c r="X899" s="156"/>
      <c r="Y899" s="156"/>
      <c r="Z899" s="156"/>
    </row>
    <row r="900">
      <c r="A900" s="156"/>
      <c r="B900" s="156"/>
      <c r="C900" s="156"/>
      <c r="D900" s="156"/>
      <c r="E900" s="156"/>
      <c r="F900" s="156"/>
      <c r="G900" s="156"/>
      <c r="H900" s="156"/>
      <c r="I900" s="156"/>
      <c r="J900" s="156"/>
      <c r="K900" s="156"/>
      <c r="L900" s="156"/>
      <c r="M900" s="156"/>
      <c r="N900" s="156"/>
      <c r="O900" s="156"/>
      <c r="P900" s="156"/>
      <c r="Q900" s="156"/>
      <c r="R900" s="156"/>
      <c r="S900" s="156"/>
      <c r="T900" s="156"/>
      <c r="U900" s="156"/>
      <c r="V900" s="156"/>
      <c r="W900" s="156"/>
      <c r="X900" s="156"/>
      <c r="Y900" s="156"/>
      <c r="Z900" s="156"/>
    </row>
    <row r="901">
      <c r="A901" s="156"/>
      <c r="B901" s="156"/>
      <c r="C901" s="156"/>
      <c r="D901" s="156"/>
      <c r="E901" s="156"/>
      <c r="F901" s="156"/>
      <c r="G901" s="156"/>
      <c r="H901" s="156"/>
      <c r="I901" s="156"/>
      <c r="J901" s="156"/>
      <c r="K901" s="156"/>
      <c r="L901" s="156"/>
      <c r="M901" s="156"/>
      <c r="N901" s="156"/>
      <c r="O901" s="156"/>
      <c r="P901" s="156"/>
      <c r="Q901" s="156"/>
      <c r="R901" s="156"/>
      <c r="S901" s="156"/>
      <c r="T901" s="156"/>
      <c r="U901" s="156"/>
      <c r="V901" s="156"/>
      <c r="W901" s="156"/>
      <c r="X901" s="156"/>
      <c r="Y901" s="156"/>
      <c r="Z901" s="156"/>
    </row>
    <row r="902">
      <c r="A902" s="156"/>
      <c r="B902" s="156"/>
      <c r="C902" s="156"/>
      <c r="D902" s="156"/>
      <c r="E902" s="156"/>
      <c r="F902" s="156"/>
      <c r="G902" s="156"/>
      <c r="H902" s="156"/>
      <c r="I902" s="156"/>
      <c r="J902" s="156"/>
      <c r="K902" s="156"/>
      <c r="L902" s="156"/>
      <c r="M902" s="156"/>
      <c r="N902" s="156"/>
      <c r="O902" s="156"/>
      <c r="P902" s="156"/>
      <c r="Q902" s="156"/>
      <c r="R902" s="156"/>
      <c r="S902" s="156"/>
      <c r="T902" s="156"/>
      <c r="U902" s="156"/>
      <c r="V902" s="156"/>
      <c r="W902" s="156"/>
      <c r="X902" s="156"/>
      <c r="Y902" s="156"/>
      <c r="Z902" s="156"/>
    </row>
    <row r="903">
      <c r="A903" s="156"/>
      <c r="B903" s="156"/>
      <c r="C903" s="156"/>
      <c r="D903" s="156"/>
      <c r="E903" s="156"/>
      <c r="F903" s="156"/>
      <c r="G903" s="156"/>
      <c r="H903" s="156"/>
      <c r="I903" s="156"/>
      <c r="J903" s="156"/>
      <c r="K903" s="156"/>
      <c r="L903" s="156"/>
      <c r="M903" s="156"/>
      <c r="N903" s="156"/>
      <c r="O903" s="156"/>
      <c r="P903" s="156"/>
      <c r="Q903" s="156"/>
      <c r="R903" s="156"/>
      <c r="S903" s="156"/>
      <c r="T903" s="156"/>
      <c r="U903" s="156"/>
      <c r="V903" s="156"/>
      <c r="W903" s="156"/>
      <c r="X903" s="156"/>
      <c r="Y903" s="156"/>
      <c r="Z903" s="156"/>
    </row>
    <row r="904">
      <c r="A904" s="156"/>
      <c r="B904" s="156"/>
      <c r="C904" s="156"/>
      <c r="D904" s="156"/>
      <c r="E904" s="156"/>
      <c r="F904" s="156"/>
      <c r="G904" s="156"/>
      <c r="H904" s="156"/>
      <c r="I904" s="156"/>
      <c r="J904" s="156"/>
      <c r="K904" s="156"/>
      <c r="L904" s="156"/>
      <c r="M904" s="156"/>
      <c r="N904" s="156"/>
      <c r="O904" s="156"/>
      <c r="P904" s="156"/>
      <c r="Q904" s="156"/>
      <c r="R904" s="156"/>
      <c r="S904" s="156"/>
      <c r="T904" s="156"/>
      <c r="U904" s="156"/>
      <c r="V904" s="156"/>
      <c r="W904" s="156"/>
      <c r="X904" s="156"/>
      <c r="Y904" s="156"/>
      <c r="Z904" s="156"/>
    </row>
    <row r="905">
      <c r="A905" s="156"/>
      <c r="B905" s="156"/>
      <c r="C905" s="156"/>
      <c r="D905" s="156"/>
      <c r="E905" s="156"/>
      <c r="F905" s="156"/>
      <c r="G905" s="156"/>
      <c r="H905" s="156"/>
      <c r="I905" s="156"/>
      <c r="J905" s="156"/>
      <c r="K905" s="156"/>
      <c r="L905" s="156"/>
      <c r="M905" s="156"/>
      <c r="N905" s="156"/>
      <c r="O905" s="156"/>
      <c r="P905" s="156"/>
      <c r="Q905" s="156"/>
      <c r="R905" s="156"/>
      <c r="S905" s="156"/>
      <c r="T905" s="156"/>
      <c r="U905" s="156"/>
      <c r="V905" s="156"/>
      <c r="W905" s="156"/>
      <c r="X905" s="156"/>
      <c r="Y905" s="156"/>
      <c r="Z905" s="156"/>
    </row>
    <row r="906">
      <c r="A906" s="156"/>
      <c r="B906" s="156"/>
      <c r="C906" s="156"/>
      <c r="D906" s="156"/>
      <c r="E906" s="156"/>
      <c r="F906" s="156"/>
      <c r="G906" s="156"/>
      <c r="H906" s="156"/>
      <c r="I906" s="156"/>
      <c r="J906" s="156"/>
      <c r="K906" s="156"/>
      <c r="L906" s="156"/>
      <c r="M906" s="156"/>
      <c r="N906" s="156"/>
      <c r="O906" s="156"/>
      <c r="P906" s="156"/>
      <c r="Q906" s="156"/>
      <c r="R906" s="156"/>
      <c r="S906" s="156"/>
      <c r="T906" s="156"/>
      <c r="U906" s="156"/>
      <c r="V906" s="156"/>
      <c r="W906" s="156"/>
      <c r="X906" s="156"/>
      <c r="Y906" s="156"/>
      <c r="Z906" s="156"/>
    </row>
    <row r="907">
      <c r="A907" s="156"/>
      <c r="B907" s="156"/>
      <c r="C907" s="156"/>
      <c r="D907" s="156"/>
      <c r="E907" s="156"/>
      <c r="F907" s="156"/>
      <c r="G907" s="156"/>
      <c r="H907" s="156"/>
      <c r="I907" s="156"/>
      <c r="J907" s="156"/>
      <c r="K907" s="156"/>
      <c r="L907" s="156"/>
      <c r="M907" s="156"/>
      <c r="N907" s="156"/>
      <c r="O907" s="156"/>
      <c r="P907" s="156"/>
      <c r="Q907" s="156"/>
      <c r="R907" s="156"/>
      <c r="S907" s="156"/>
      <c r="T907" s="156"/>
      <c r="U907" s="156"/>
      <c r="V907" s="156"/>
      <c r="W907" s="156"/>
      <c r="X907" s="156"/>
      <c r="Y907" s="156"/>
      <c r="Z907" s="156"/>
    </row>
    <row r="908">
      <c r="A908" s="156"/>
      <c r="B908" s="156"/>
      <c r="C908" s="156"/>
      <c r="D908" s="156"/>
      <c r="E908" s="156"/>
      <c r="F908" s="156"/>
      <c r="G908" s="156"/>
      <c r="H908" s="156"/>
      <c r="I908" s="156"/>
      <c r="J908" s="156"/>
      <c r="K908" s="156"/>
      <c r="L908" s="156"/>
      <c r="M908" s="156"/>
      <c r="N908" s="156"/>
      <c r="O908" s="156"/>
      <c r="P908" s="156"/>
      <c r="Q908" s="156"/>
      <c r="R908" s="156"/>
      <c r="S908" s="156"/>
      <c r="T908" s="156"/>
      <c r="U908" s="156"/>
      <c r="V908" s="156"/>
      <c r="W908" s="156"/>
      <c r="X908" s="156"/>
      <c r="Y908" s="156"/>
      <c r="Z908" s="156"/>
    </row>
    <row r="909">
      <c r="A909" s="156"/>
      <c r="B909" s="156"/>
      <c r="C909" s="156"/>
      <c r="D909" s="156"/>
      <c r="E909" s="156"/>
      <c r="F909" s="156"/>
      <c r="G909" s="156"/>
      <c r="H909" s="156"/>
      <c r="I909" s="156"/>
      <c r="J909" s="156"/>
      <c r="K909" s="156"/>
      <c r="L909" s="156"/>
      <c r="M909" s="156"/>
      <c r="N909" s="156"/>
      <c r="O909" s="156"/>
      <c r="P909" s="156"/>
      <c r="Q909" s="156"/>
      <c r="R909" s="156"/>
      <c r="S909" s="156"/>
      <c r="T909" s="156"/>
      <c r="U909" s="156"/>
      <c r="V909" s="156"/>
      <c r="W909" s="156"/>
      <c r="X909" s="156"/>
      <c r="Y909" s="156"/>
      <c r="Z909" s="156"/>
    </row>
    <row r="910">
      <c r="A910" s="156"/>
      <c r="B910" s="156"/>
      <c r="C910" s="156"/>
      <c r="D910" s="156"/>
      <c r="E910" s="156"/>
      <c r="F910" s="156"/>
      <c r="G910" s="156"/>
      <c r="H910" s="156"/>
      <c r="I910" s="156"/>
      <c r="J910" s="156"/>
      <c r="K910" s="156"/>
      <c r="L910" s="156"/>
      <c r="M910" s="156"/>
      <c r="N910" s="156"/>
      <c r="O910" s="156"/>
      <c r="P910" s="156"/>
      <c r="Q910" s="156"/>
      <c r="R910" s="156"/>
      <c r="S910" s="156"/>
      <c r="T910" s="156"/>
      <c r="U910" s="156"/>
      <c r="V910" s="156"/>
      <c r="W910" s="156"/>
      <c r="X910" s="156"/>
      <c r="Y910" s="156"/>
      <c r="Z910" s="156"/>
    </row>
    <row r="911">
      <c r="A911" s="156"/>
      <c r="B911" s="156"/>
      <c r="C911" s="156"/>
      <c r="D911" s="156"/>
      <c r="E911" s="156"/>
      <c r="F911" s="156"/>
      <c r="G911" s="156"/>
      <c r="H911" s="156"/>
      <c r="I911" s="156"/>
      <c r="J911" s="156"/>
      <c r="K911" s="156"/>
      <c r="L911" s="156"/>
      <c r="M911" s="156"/>
      <c r="N911" s="156"/>
      <c r="O911" s="156"/>
      <c r="P911" s="156"/>
      <c r="Q911" s="156"/>
      <c r="R911" s="156"/>
      <c r="S911" s="156"/>
      <c r="T911" s="156"/>
      <c r="U911" s="156"/>
      <c r="V911" s="156"/>
      <c r="W911" s="156"/>
      <c r="X911" s="156"/>
      <c r="Y911" s="156"/>
      <c r="Z911" s="156"/>
    </row>
    <row r="912">
      <c r="A912" s="156"/>
      <c r="B912" s="156"/>
      <c r="C912" s="156"/>
      <c r="D912" s="156"/>
      <c r="E912" s="156"/>
      <c r="F912" s="156"/>
      <c r="G912" s="156"/>
      <c r="H912" s="156"/>
      <c r="I912" s="156"/>
      <c r="J912" s="156"/>
      <c r="K912" s="156"/>
      <c r="L912" s="156"/>
      <c r="M912" s="156"/>
      <c r="N912" s="156"/>
      <c r="O912" s="156"/>
      <c r="P912" s="156"/>
      <c r="Q912" s="156"/>
      <c r="R912" s="156"/>
      <c r="S912" s="156"/>
      <c r="T912" s="156"/>
      <c r="U912" s="156"/>
      <c r="V912" s="156"/>
      <c r="W912" s="156"/>
      <c r="X912" s="156"/>
      <c r="Y912" s="156"/>
      <c r="Z912" s="156"/>
    </row>
    <row r="913">
      <c r="A913" s="156"/>
      <c r="B913" s="156"/>
      <c r="C913" s="156"/>
      <c r="D913" s="156"/>
      <c r="E913" s="156"/>
      <c r="F913" s="156"/>
      <c r="G913" s="156"/>
      <c r="H913" s="156"/>
      <c r="I913" s="156"/>
      <c r="J913" s="156"/>
      <c r="K913" s="156"/>
      <c r="L913" s="156"/>
      <c r="M913" s="156"/>
      <c r="N913" s="156"/>
      <c r="O913" s="156"/>
      <c r="P913" s="156"/>
      <c r="Q913" s="156"/>
      <c r="R913" s="156"/>
      <c r="S913" s="156"/>
      <c r="T913" s="156"/>
      <c r="U913" s="156"/>
      <c r="V913" s="156"/>
      <c r="W913" s="156"/>
      <c r="X913" s="156"/>
      <c r="Y913" s="156"/>
      <c r="Z913" s="156"/>
    </row>
    <row r="914">
      <c r="A914" s="156"/>
      <c r="B914" s="156"/>
      <c r="C914" s="156"/>
      <c r="D914" s="156"/>
      <c r="E914" s="156"/>
      <c r="F914" s="156"/>
      <c r="G914" s="156"/>
      <c r="H914" s="156"/>
      <c r="I914" s="156"/>
      <c r="J914" s="156"/>
      <c r="K914" s="156"/>
      <c r="L914" s="156"/>
      <c r="M914" s="156"/>
      <c r="N914" s="156"/>
      <c r="O914" s="156"/>
      <c r="P914" s="156"/>
      <c r="Q914" s="156"/>
      <c r="R914" s="156"/>
      <c r="S914" s="156"/>
      <c r="T914" s="156"/>
      <c r="U914" s="156"/>
      <c r="V914" s="156"/>
      <c r="W914" s="156"/>
      <c r="X914" s="156"/>
      <c r="Y914" s="156"/>
      <c r="Z914" s="156"/>
    </row>
    <row r="915">
      <c r="A915" s="156"/>
      <c r="B915" s="156"/>
      <c r="C915" s="156"/>
      <c r="D915" s="156"/>
      <c r="E915" s="156"/>
      <c r="F915" s="156"/>
      <c r="G915" s="156"/>
      <c r="H915" s="156"/>
      <c r="I915" s="156"/>
      <c r="J915" s="156"/>
      <c r="K915" s="156"/>
      <c r="L915" s="156"/>
      <c r="M915" s="156"/>
      <c r="N915" s="156"/>
      <c r="O915" s="156"/>
      <c r="P915" s="156"/>
      <c r="Q915" s="156"/>
      <c r="R915" s="156"/>
      <c r="S915" s="156"/>
      <c r="T915" s="156"/>
      <c r="U915" s="156"/>
      <c r="V915" s="156"/>
      <c r="W915" s="156"/>
      <c r="X915" s="156"/>
      <c r="Y915" s="156"/>
      <c r="Z915" s="156"/>
    </row>
    <row r="916">
      <c r="A916" s="156"/>
      <c r="B916" s="156"/>
      <c r="C916" s="156"/>
      <c r="D916" s="156"/>
      <c r="E916" s="156"/>
      <c r="F916" s="156"/>
      <c r="G916" s="156"/>
      <c r="H916" s="156"/>
      <c r="I916" s="156"/>
      <c r="J916" s="156"/>
      <c r="K916" s="156"/>
      <c r="L916" s="156"/>
      <c r="M916" s="156"/>
      <c r="N916" s="156"/>
      <c r="O916" s="156"/>
      <c r="P916" s="156"/>
      <c r="Q916" s="156"/>
      <c r="R916" s="156"/>
      <c r="S916" s="156"/>
      <c r="T916" s="156"/>
      <c r="U916" s="156"/>
      <c r="V916" s="156"/>
      <c r="W916" s="156"/>
      <c r="X916" s="156"/>
      <c r="Y916" s="156"/>
      <c r="Z916" s="156"/>
    </row>
    <row r="917">
      <c r="A917" s="156"/>
      <c r="B917" s="156"/>
      <c r="C917" s="156"/>
      <c r="D917" s="156"/>
      <c r="E917" s="156"/>
      <c r="F917" s="156"/>
      <c r="G917" s="156"/>
      <c r="H917" s="156"/>
      <c r="I917" s="156"/>
      <c r="J917" s="156"/>
      <c r="K917" s="156"/>
      <c r="L917" s="156"/>
      <c r="M917" s="156"/>
      <c r="N917" s="156"/>
      <c r="O917" s="156"/>
      <c r="P917" s="156"/>
      <c r="Q917" s="156"/>
      <c r="R917" s="156"/>
      <c r="S917" s="156"/>
      <c r="T917" s="156"/>
      <c r="U917" s="156"/>
      <c r="V917" s="156"/>
      <c r="W917" s="156"/>
      <c r="X917" s="156"/>
      <c r="Y917" s="156"/>
      <c r="Z917" s="156"/>
    </row>
    <row r="918">
      <c r="A918" s="156"/>
      <c r="B918" s="156"/>
      <c r="C918" s="156"/>
      <c r="D918" s="156"/>
      <c r="E918" s="156"/>
      <c r="F918" s="156"/>
      <c r="G918" s="156"/>
      <c r="H918" s="156"/>
      <c r="I918" s="156"/>
      <c r="J918" s="156"/>
      <c r="K918" s="156"/>
      <c r="L918" s="156"/>
      <c r="M918" s="156"/>
      <c r="N918" s="156"/>
      <c r="O918" s="156"/>
      <c r="P918" s="156"/>
      <c r="Q918" s="156"/>
      <c r="R918" s="156"/>
      <c r="S918" s="156"/>
      <c r="T918" s="156"/>
      <c r="U918" s="156"/>
      <c r="V918" s="156"/>
      <c r="W918" s="156"/>
      <c r="X918" s="156"/>
      <c r="Y918" s="156"/>
      <c r="Z918" s="156"/>
    </row>
    <row r="919">
      <c r="A919" s="156"/>
      <c r="B919" s="156"/>
      <c r="C919" s="156"/>
      <c r="D919" s="156"/>
      <c r="E919" s="156"/>
      <c r="F919" s="156"/>
      <c r="G919" s="156"/>
      <c r="H919" s="156"/>
      <c r="I919" s="156"/>
      <c r="J919" s="156"/>
      <c r="K919" s="156"/>
      <c r="L919" s="156"/>
      <c r="M919" s="156"/>
      <c r="N919" s="156"/>
      <c r="O919" s="156"/>
      <c r="P919" s="156"/>
      <c r="Q919" s="156"/>
      <c r="R919" s="156"/>
      <c r="S919" s="156"/>
      <c r="T919" s="156"/>
      <c r="U919" s="156"/>
      <c r="V919" s="156"/>
      <c r="W919" s="156"/>
      <c r="X919" s="156"/>
      <c r="Y919" s="156"/>
      <c r="Z919" s="156"/>
    </row>
    <row r="920">
      <c r="A920" s="156"/>
      <c r="B920" s="156"/>
      <c r="C920" s="156"/>
      <c r="D920" s="156"/>
      <c r="E920" s="156"/>
      <c r="F920" s="156"/>
      <c r="G920" s="156"/>
      <c r="H920" s="156"/>
      <c r="I920" s="156"/>
      <c r="J920" s="156"/>
      <c r="K920" s="156"/>
      <c r="L920" s="156"/>
      <c r="M920" s="156"/>
      <c r="N920" s="156"/>
      <c r="O920" s="156"/>
      <c r="P920" s="156"/>
      <c r="Q920" s="156"/>
      <c r="R920" s="156"/>
      <c r="S920" s="156"/>
      <c r="T920" s="156"/>
      <c r="U920" s="156"/>
      <c r="V920" s="156"/>
      <c r="W920" s="156"/>
      <c r="X920" s="156"/>
      <c r="Y920" s="156"/>
      <c r="Z920" s="156"/>
    </row>
    <row r="921">
      <c r="A921" s="156"/>
      <c r="B921" s="156"/>
      <c r="C921" s="156"/>
      <c r="D921" s="156"/>
      <c r="E921" s="156"/>
      <c r="F921" s="156"/>
      <c r="G921" s="156"/>
      <c r="H921" s="156"/>
      <c r="I921" s="156"/>
      <c r="J921" s="156"/>
      <c r="K921" s="156"/>
      <c r="L921" s="156"/>
      <c r="M921" s="156"/>
      <c r="N921" s="156"/>
      <c r="O921" s="156"/>
      <c r="P921" s="156"/>
      <c r="Q921" s="156"/>
      <c r="R921" s="156"/>
      <c r="S921" s="156"/>
      <c r="T921" s="156"/>
      <c r="U921" s="156"/>
      <c r="V921" s="156"/>
      <c r="W921" s="156"/>
      <c r="X921" s="156"/>
      <c r="Y921" s="156"/>
      <c r="Z921" s="156"/>
    </row>
    <row r="922">
      <c r="A922" s="156"/>
      <c r="B922" s="156"/>
      <c r="C922" s="156"/>
      <c r="D922" s="156"/>
      <c r="E922" s="156"/>
      <c r="F922" s="156"/>
      <c r="G922" s="156"/>
      <c r="H922" s="156"/>
      <c r="I922" s="156"/>
      <c r="J922" s="156"/>
      <c r="K922" s="156"/>
      <c r="L922" s="156"/>
      <c r="M922" s="156"/>
      <c r="N922" s="156"/>
      <c r="O922" s="156"/>
      <c r="P922" s="156"/>
      <c r="Q922" s="156"/>
      <c r="R922" s="156"/>
      <c r="S922" s="156"/>
      <c r="T922" s="156"/>
      <c r="U922" s="156"/>
      <c r="V922" s="156"/>
      <c r="W922" s="156"/>
      <c r="X922" s="156"/>
      <c r="Y922" s="156"/>
      <c r="Z922" s="156"/>
    </row>
    <row r="923">
      <c r="A923" s="156"/>
      <c r="B923" s="156"/>
      <c r="C923" s="156"/>
      <c r="D923" s="156"/>
      <c r="E923" s="156"/>
      <c r="F923" s="156"/>
      <c r="G923" s="156"/>
      <c r="H923" s="156"/>
      <c r="I923" s="156"/>
      <c r="J923" s="156"/>
      <c r="K923" s="156"/>
      <c r="L923" s="156"/>
      <c r="M923" s="156"/>
      <c r="N923" s="156"/>
      <c r="O923" s="156"/>
      <c r="P923" s="156"/>
      <c r="Q923" s="156"/>
      <c r="R923" s="156"/>
      <c r="S923" s="156"/>
      <c r="T923" s="156"/>
      <c r="U923" s="156"/>
      <c r="V923" s="156"/>
      <c r="W923" s="156"/>
      <c r="X923" s="156"/>
      <c r="Y923" s="156"/>
      <c r="Z923" s="156"/>
    </row>
    <row r="924">
      <c r="A924" s="156"/>
      <c r="B924" s="156"/>
      <c r="C924" s="156"/>
      <c r="D924" s="156"/>
      <c r="E924" s="156"/>
      <c r="F924" s="156"/>
      <c r="G924" s="156"/>
      <c r="H924" s="156"/>
      <c r="I924" s="156"/>
      <c r="J924" s="156"/>
      <c r="K924" s="156"/>
      <c r="L924" s="156"/>
      <c r="M924" s="156"/>
      <c r="N924" s="156"/>
      <c r="O924" s="156"/>
      <c r="P924" s="156"/>
      <c r="Q924" s="156"/>
      <c r="R924" s="156"/>
      <c r="S924" s="156"/>
      <c r="T924" s="156"/>
      <c r="U924" s="156"/>
      <c r="V924" s="156"/>
      <c r="W924" s="156"/>
      <c r="X924" s="156"/>
      <c r="Y924" s="156"/>
      <c r="Z924" s="156"/>
    </row>
    <row r="925">
      <c r="A925" s="156"/>
      <c r="B925" s="156"/>
      <c r="C925" s="156"/>
      <c r="D925" s="156"/>
      <c r="E925" s="156"/>
      <c r="F925" s="156"/>
      <c r="G925" s="156"/>
      <c r="H925" s="156"/>
      <c r="I925" s="156"/>
      <c r="J925" s="156"/>
      <c r="K925" s="156"/>
      <c r="L925" s="156"/>
      <c r="M925" s="156"/>
      <c r="N925" s="156"/>
      <c r="O925" s="156"/>
      <c r="P925" s="156"/>
      <c r="Q925" s="156"/>
      <c r="R925" s="156"/>
      <c r="S925" s="156"/>
      <c r="T925" s="156"/>
      <c r="U925" s="156"/>
      <c r="V925" s="156"/>
      <c r="W925" s="156"/>
      <c r="X925" s="156"/>
      <c r="Y925" s="156"/>
      <c r="Z925" s="156"/>
    </row>
    <row r="926">
      <c r="A926" s="156"/>
      <c r="B926" s="156"/>
      <c r="C926" s="156"/>
      <c r="D926" s="156"/>
      <c r="E926" s="156"/>
      <c r="F926" s="156"/>
      <c r="G926" s="156"/>
      <c r="H926" s="156"/>
      <c r="I926" s="156"/>
      <c r="J926" s="156"/>
      <c r="K926" s="156"/>
      <c r="L926" s="156"/>
      <c r="M926" s="156"/>
      <c r="N926" s="156"/>
      <c r="O926" s="156"/>
      <c r="P926" s="156"/>
      <c r="Q926" s="156"/>
      <c r="R926" s="156"/>
      <c r="S926" s="156"/>
      <c r="T926" s="156"/>
      <c r="U926" s="156"/>
      <c r="V926" s="156"/>
      <c r="W926" s="156"/>
      <c r="X926" s="156"/>
      <c r="Y926" s="156"/>
      <c r="Z926" s="156"/>
    </row>
    <row r="927">
      <c r="A927" s="156"/>
      <c r="B927" s="156"/>
      <c r="C927" s="156"/>
      <c r="D927" s="156"/>
      <c r="E927" s="156"/>
      <c r="F927" s="156"/>
      <c r="G927" s="156"/>
      <c r="H927" s="156"/>
      <c r="I927" s="156"/>
      <c r="J927" s="156"/>
      <c r="K927" s="156"/>
      <c r="L927" s="156"/>
      <c r="M927" s="156"/>
      <c r="N927" s="156"/>
      <c r="O927" s="156"/>
      <c r="P927" s="156"/>
      <c r="Q927" s="156"/>
      <c r="R927" s="156"/>
      <c r="S927" s="156"/>
      <c r="T927" s="156"/>
      <c r="U927" s="156"/>
      <c r="V927" s="156"/>
      <c r="W927" s="156"/>
      <c r="X927" s="156"/>
      <c r="Y927" s="156"/>
      <c r="Z927" s="156"/>
    </row>
    <row r="928">
      <c r="A928" s="156"/>
      <c r="B928" s="156"/>
      <c r="C928" s="156"/>
      <c r="D928" s="156"/>
      <c r="E928" s="156"/>
      <c r="F928" s="156"/>
      <c r="G928" s="156"/>
      <c r="H928" s="156"/>
      <c r="I928" s="156"/>
      <c r="J928" s="156"/>
      <c r="K928" s="156"/>
      <c r="L928" s="156"/>
      <c r="M928" s="156"/>
      <c r="N928" s="156"/>
      <c r="O928" s="156"/>
      <c r="P928" s="156"/>
      <c r="Q928" s="156"/>
      <c r="R928" s="156"/>
      <c r="S928" s="156"/>
      <c r="T928" s="156"/>
      <c r="U928" s="156"/>
      <c r="V928" s="156"/>
      <c r="W928" s="156"/>
      <c r="X928" s="156"/>
      <c r="Y928" s="156"/>
      <c r="Z928" s="156"/>
    </row>
    <row r="929">
      <c r="A929" s="156"/>
      <c r="B929" s="156"/>
      <c r="C929" s="156"/>
      <c r="D929" s="156"/>
      <c r="E929" s="156"/>
      <c r="F929" s="156"/>
      <c r="G929" s="156"/>
      <c r="H929" s="156"/>
      <c r="I929" s="156"/>
      <c r="J929" s="156"/>
      <c r="K929" s="156"/>
      <c r="L929" s="156"/>
      <c r="M929" s="156"/>
      <c r="N929" s="156"/>
      <c r="O929" s="156"/>
      <c r="P929" s="156"/>
      <c r="Q929" s="156"/>
      <c r="R929" s="156"/>
      <c r="S929" s="156"/>
      <c r="T929" s="156"/>
      <c r="U929" s="156"/>
      <c r="V929" s="156"/>
      <c r="W929" s="156"/>
      <c r="X929" s="156"/>
      <c r="Y929" s="156"/>
      <c r="Z929" s="156"/>
    </row>
    <row r="930">
      <c r="A930" s="156"/>
      <c r="B930" s="156"/>
      <c r="C930" s="156"/>
      <c r="D930" s="156"/>
      <c r="E930" s="156"/>
      <c r="F930" s="156"/>
      <c r="G930" s="156"/>
      <c r="H930" s="156"/>
      <c r="I930" s="156"/>
      <c r="J930" s="156"/>
      <c r="K930" s="156"/>
      <c r="L930" s="156"/>
      <c r="M930" s="156"/>
      <c r="N930" s="156"/>
      <c r="O930" s="156"/>
      <c r="P930" s="156"/>
      <c r="Q930" s="156"/>
      <c r="R930" s="156"/>
      <c r="S930" s="156"/>
      <c r="T930" s="156"/>
      <c r="U930" s="156"/>
      <c r="V930" s="156"/>
      <c r="W930" s="156"/>
      <c r="X930" s="156"/>
      <c r="Y930" s="156"/>
      <c r="Z930" s="156"/>
    </row>
    <row r="931">
      <c r="A931" s="156"/>
      <c r="B931" s="156"/>
      <c r="C931" s="156"/>
      <c r="D931" s="156"/>
      <c r="E931" s="156"/>
      <c r="F931" s="156"/>
      <c r="G931" s="156"/>
      <c r="H931" s="156"/>
      <c r="I931" s="156"/>
      <c r="J931" s="156"/>
      <c r="K931" s="156"/>
      <c r="L931" s="156"/>
      <c r="M931" s="156"/>
      <c r="N931" s="156"/>
      <c r="O931" s="156"/>
      <c r="P931" s="156"/>
      <c r="Q931" s="156"/>
      <c r="R931" s="156"/>
      <c r="S931" s="156"/>
      <c r="T931" s="156"/>
      <c r="U931" s="156"/>
      <c r="V931" s="156"/>
      <c r="W931" s="156"/>
      <c r="X931" s="156"/>
      <c r="Y931" s="156"/>
      <c r="Z931" s="156"/>
    </row>
    <row r="932">
      <c r="A932" s="156"/>
      <c r="B932" s="156"/>
      <c r="C932" s="156"/>
      <c r="D932" s="156"/>
      <c r="E932" s="156"/>
      <c r="F932" s="156"/>
      <c r="G932" s="156"/>
      <c r="H932" s="156"/>
      <c r="I932" s="156"/>
      <c r="J932" s="156"/>
      <c r="K932" s="156"/>
      <c r="L932" s="156"/>
      <c r="M932" s="156"/>
      <c r="N932" s="156"/>
      <c r="O932" s="156"/>
      <c r="P932" s="156"/>
      <c r="Q932" s="156"/>
      <c r="R932" s="156"/>
      <c r="S932" s="156"/>
      <c r="T932" s="156"/>
      <c r="U932" s="156"/>
      <c r="V932" s="156"/>
      <c r="W932" s="156"/>
      <c r="X932" s="156"/>
      <c r="Y932" s="156"/>
      <c r="Z932" s="156"/>
    </row>
    <row r="933">
      <c r="A933" s="156"/>
      <c r="B933" s="156"/>
      <c r="C933" s="156"/>
      <c r="D933" s="156"/>
      <c r="E933" s="156"/>
      <c r="F933" s="156"/>
      <c r="G933" s="156"/>
      <c r="H933" s="156"/>
      <c r="I933" s="156"/>
      <c r="J933" s="156"/>
      <c r="K933" s="156"/>
      <c r="L933" s="156"/>
      <c r="M933" s="156"/>
      <c r="N933" s="156"/>
      <c r="O933" s="156"/>
      <c r="P933" s="156"/>
      <c r="Q933" s="156"/>
      <c r="R933" s="156"/>
      <c r="S933" s="156"/>
      <c r="T933" s="156"/>
      <c r="U933" s="156"/>
      <c r="V933" s="156"/>
      <c r="W933" s="156"/>
      <c r="X933" s="156"/>
      <c r="Y933" s="156"/>
      <c r="Z933" s="156"/>
    </row>
    <row r="934">
      <c r="A934" s="156"/>
      <c r="B934" s="156"/>
      <c r="C934" s="156"/>
      <c r="D934" s="156"/>
      <c r="E934" s="156"/>
      <c r="F934" s="156"/>
      <c r="G934" s="156"/>
      <c r="H934" s="156"/>
      <c r="I934" s="156"/>
      <c r="J934" s="156"/>
      <c r="K934" s="156"/>
      <c r="L934" s="156"/>
      <c r="M934" s="156"/>
      <c r="N934" s="156"/>
      <c r="O934" s="156"/>
      <c r="P934" s="156"/>
      <c r="Q934" s="156"/>
      <c r="R934" s="156"/>
      <c r="S934" s="156"/>
      <c r="T934" s="156"/>
      <c r="U934" s="156"/>
      <c r="V934" s="156"/>
      <c r="W934" s="156"/>
      <c r="X934" s="156"/>
      <c r="Y934" s="156"/>
      <c r="Z934" s="156"/>
    </row>
    <row r="935">
      <c r="A935" s="156"/>
      <c r="B935" s="156"/>
      <c r="C935" s="156"/>
      <c r="D935" s="156"/>
      <c r="E935" s="156"/>
      <c r="F935" s="156"/>
      <c r="G935" s="156"/>
      <c r="H935" s="156"/>
      <c r="I935" s="156"/>
      <c r="J935" s="156"/>
      <c r="K935" s="156"/>
      <c r="L935" s="156"/>
      <c r="M935" s="156"/>
      <c r="N935" s="156"/>
      <c r="O935" s="156"/>
      <c r="P935" s="156"/>
      <c r="Q935" s="156"/>
      <c r="R935" s="156"/>
      <c r="S935" s="156"/>
      <c r="T935" s="156"/>
      <c r="U935" s="156"/>
      <c r="V935" s="156"/>
      <c r="W935" s="156"/>
      <c r="X935" s="156"/>
      <c r="Y935" s="156"/>
      <c r="Z935" s="156"/>
    </row>
    <row r="936">
      <c r="A936" s="156"/>
      <c r="B936" s="156"/>
      <c r="C936" s="156"/>
      <c r="D936" s="156"/>
      <c r="E936" s="156"/>
      <c r="F936" s="156"/>
      <c r="G936" s="156"/>
      <c r="H936" s="156"/>
      <c r="I936" s="156"/>
      <c r="J936" s="156"/>
      <c r="K936" s="156"/>
      <c r="L936" s="156"/>
      <c r="M936" s="156"/>
      <c r="N936" s="156"/>
      <c r="O936" s="156"/>
      <c r="P936" s="156"/>
      <c r="Q936" s="156"/>
      <c r="R936" s="156"/>
      <c r="S936" s="156"/>
      <c r="T936" s="156"/>
      <c r="U936" s="156"/>
      <c r="V936" s="156"/>
      <c r="W936" s="156"/>
      <c r="X936" s="156"/>
      <c r="Y936" s="156"/>
      <c r="Z936" s="156"/>
    </row>
    <row r="937">
      <c r="A937" s="156"/>
      <c r="B937" s="156"/>
      <c r="C937" s="156"/>
      <c r="D937" s="156"/>
      <c r="E937" s="156"/>
      <c r="F937" s="156"/>
      <c r="G937" s="156"/>
      <c r="H937" s="156"/>
      <c r="I937" s="156"/>
      <c r="J937" s="156"/>
      <c r="K937" s="156"/>
      <c r="L937" s="156"/>
      <c r="M937" s="156"/>
      <c r="N937" s="156"/>
      <c r="O937" s="156"/>
      <c r="P937" s="156"/>
      <c r="Q937" s="156"/>
      <c r="R937" s="156"/>
      <c r="S937" s="156"/>
      <c r="T937" s="156"/>
      <c r="U937" s="156"/>
      <c r="V937" s="156"/>
      <c r="W937" s="156"/>
      <c r="X937" s="156"/>
      <c r="Y937" s="156"/>
      <c r="Z937" s="156"/>
    </row>
    <row r="938">
      <c r="A938" s="156"/>
      <c r="B938" s="156"/>
      <c r="C938" s="156"/>
      <c r="D938" s="156"/>
      <c r="E938" s="156"/>
      <c r="F938" s="156"/>
      <c r="G938" s="156"/>
      <c r="H938" s="156"/>
      <c r="I938" s="156"/>
      <c r="J938" s="156"/>
      <c r="K938" s="156"/>
      <c r="L938" s="156"/>
      <c r="M938" s="156"/>
      <c r="N938" s="156"/>
      <c r="O938" s="156"/>
      <c r="P938" s="156"/>
      <c r="Q938" s="156"/>
      <c r="R938" s="156"/>
      <c r="S938" s="156"/>
      <c r="T938" s="156"/>
      <c r="U938" s="156"/>
      <c r="V938" s="156"/>
      <c r="W938" s="156"/>
      <c r="X938" s="156"/>
      <c r="Y938" s="156"/>
      <c r="Z938" s="156"/>
    </row>
    <row r="939">
      <c r="A939" s="156"/>
      <c r="B939" s="156"/>
      <c r="C939" s="156"/>
      <c r="D939" s="156"/>
      <c r="E939" s="156"/>
      <c r="F939" s="156"/>
      <c r="G939" s="156"/>
      <c r="H939" s="156"/>
      <c r="I939" s="156"/>
      <c r="J939" s="156"/>
      <c r="K939" s="156"/>
      <c r="L939" s="156"/>
      <c r="M939" s="156"/>
      <c r="N939" s="156"/>
      <c r="O939" s="156"/>
      <c r="P939" s="156"/>
      <c r="Q939" s="156"/>
      <c r="R939" s="156"/>
      <c r="S939" s="156"/>
      <c r="T939" s="156"/>
      <c r="U939" s="156"/>
      <c r="V939" s="156"/>
      <c r="W939" s="156"/>
      <c r="X939" s="156"/>
      <c r="Y939" s="156"/>
      <c r="Z939" s="156"/>
    </row>
    <row r="940">
      <c r="A940" s="156"/>
      <c r="B940" s="156"/>
      <c r="C940" s="156"/>
      <c r="D940" s="156"/>
      <c r="E940" s="156"/>
      <c r="F940" s="156"/>
      <c r="G940" s="156"/>
      <c r="H940" s="156"/>
      <c r="I940" s="156"/>
      <c r="J940" s="156"/>
      <c r="K940" s="156"/>
      <c r="L940" s="156"/>
      <c r="M940" s="156"/>
      <c r="N940" s="156"/>
      <c r="O940" s="156"/>
      <c r="P940" s="156"/>
      <c r="Q940" s="156"/>
      <c r="R940" s="156"/>
      <c r="S940" s="156"/>
      <c r="T940" s="156"/>
      <c r="U940" s="156"/>
      <c r="V940" s="156"/>
      <c r="W940" s="156"/>
      <c r="X940" s="156"/>
      <c r="Y940" s="156"/>
      <c r="Z940" s="156"/>
    </row>
    <row r="941">
      <c r="A941" s="156"/>
      <c r="B941" s="156"/>
      <c r="C941" s="156"/>
      <c r="D941" s="156"/>
      <c r="E941" s="156"/>
      <c r="F941" s="156"/>
      <c r="G941" s="156"/>
      <c r="H941" s="156"/>
      <c r="I941" s="156"/>
      <c r="J941" s="156"/>
      <c r="K941" s="156"/>
      <c r="L941" s="156"/>
      <c r="M941" s="156"/>
      <c r="N941" s="156"/>
      <c r="O941" s="156"/>
      <c r="P941" s="156"/>
      <c r="Q941" s="156"/>
      <c r="R941" s="156"/>
      <c r="S941" s="156"/>
      <c r="T941" s="156"/>
      <c r="U941" s="156"/>
      <c r="V941" s="156"/>
      <c r="W941" s="156"/>
      <c r="X941" s="156"/>
      <c r="Y941" s="156"/>
      <c r="Z941" s="156"/>
    </row>
    <row r="942">
      <c r="A942" s="156"/>
      <c r="B942" s="156"/>
      <c r="C942" s="156"/>
      <c r="D942" s="156"/>
      <c r="E942" s="156"/>
      <c r="F942" s="156"/>
      <c r="G942" s="156"/>
      <c r="H942" s="156"/>
      <c r="I942" s="156"/>
      <c r="J942" s="156"/>
      <c r="K942" s="156"/>
      <c r="L942" s="156"/>
      <c r="M942" s="156"/>
      <c r="N942" s="156"/>
      <c r="O942" s="156"/>
      <c r="P942" s="156"/>
      <c r="Q942" s="156"/>
      <c r="R942" s="156"/>
      <c r="S942" s="156"/>
      <c r="T942" s="156"/>
      <c r="U942" s="156"/>
      <c r="V942" s="156"/>
      <c r="W942" s="156"/>
      <c r="X942" s="156"/>
      <c r="Y942" s="156"/>
      <c r="Z942" s="156"/>
    </row>
    <row r="943">
      <c r="A943" s="156"/>
      <c r="B943" s="156"/>
      <c r="C943" s="156"/>
      <c r="D943" s="156"/>
      <c r="E943" s="156"/>
      <c r="F943" s="156"/>
      <c r="G943" s="156"/>
      <c r="H943" s="156"/>
      <c r="I943" s="156"/>
      <c r="J943" s="156"/>
      <c r="K943" s="156"/>
      <c r="L943" s="156"/>
      <c r="M943" s="156"/>
      <c r="N943" s="156"/>
      <c r="O943" s="156"/>
      <c r="P943" s="156"/>
      <c r="Q943" s="156"/>
      <c r="R943" s="156"/>
      <c r="S943" s="156"/>
      <c r="T943" s="156"/>
      <c r="U943" s="156"/>
      <c r="V943" s="156"/>
      <c r="W943" s="156"/>
      <c r="X943" s="156"/>
      <c r="Y943" s="156"/>
      <c r="Z943" s="156"/>
    </row>
    <row r="944">
      <c r="A944" s="156"/>
      <c r="B944" s="156"/>
      <c r="C944" s="156"/>
      <c r="D944" s="156"/>
      <c r="E944" s="156"/>
      <c r="F944" s="156"/>
      <c r="G944" s="156"/>
      <c r="H944" s="156"/>
      <c r="I944" s="156"/>
      <c r="J944" s="156"/>
      <c r="K944" s="156"/>
      <c r="L944" s="156"/>
      <c r="M944" s="156"/>
      <c r="N944" s="156"/>
      <c r="O944" s="156"/>
      <c r="P944" s="156"/>
      <c r="Q944" s="156"/>
      <c r="R944" s="156"/>
      <c r="S944" s="156"/>
      <c r="T944" s="156"/>
      <c r="U944" s="156"/>
      <c r="V944" s="156"/>
      <c r="W944" s="156"/>
      <c r="X944" s="156"/>
      <c r="Y944" s="156"/>
      <c r="Z944" s="156"/>
    </row>
    <row r="945">
      <c r="A945" s="156"/>
      <c r="B945" s="156"/>
      <c r="C945" s="156"/>
      <c r="D945" s="156"/>
      <c r="E945" s="156"/>
      <c r="F945" s="156"/>
      <c r="G945" s="156"/>
      <c r="H945" s="156"/>
      <c r="I945" s="156"/>
      <c r="J945" s="156"/>
      <c r="K945" s="156"/>
      <c r="L945" s="156"/>
      <c r="M945" s="156"/>
      <c r="N945" s="156"/>
      <c r="O945" s="156"/>
      <c r="P945" s="156"/>
      <c r="Q945" s="156"/>
      <c r="R945" s="156"/>
      <c r="S945" s="156"/>
      <c r="T945" s="156"/>
      <c r="U945" s="156"/>
      <c r="V945" s="156"/>
      <c r="W945" s="156"/>
      <c r="X945" s="156"/>
      <c r="Y945" s="156"/>
      <c r="Z945" s="156"/>
    </row>
    <row r="946">
      <c r="A946" s="156"/>
      <c r="B946" s="156"/>
      <c r="C946" s="156"/>
      <c r="D946" s="156"/>
      <c r="E946" s="156"/>
      <c r="F946" s="156"/>
      <c r="G946" s="156"/>
      <c r="H946" s="156"/>
      <c r="I946" s="156"/>
      <c r="J946" s="156"/>
      <c r="K946" s="156"/>
      <c r="L946" s="156"/>
      <c r="M946" s="156"/>
      <c r="N946" s="156"/>
      <c r="O946" s="156"/>
      <c r="P946" s="156"/>
      <c r="Q946" s="156"/>
      <c r="R946" s="156"/>
      <c r="S946" s="156"/>
      <c r="T946" s="156"/>
      <c r="U946" s="156"/>
      <c r="V946" s="156"/>
      <c r="W946" s="156"/>
      <c r="X946" s="156"/>
      <c r="Y946" s="156"/>
      <c r="Z946" s="156"/>
    </row>
    <row r="947">
      <c r="A947" s="156"/>
      <c r="B947" s="156"/>
      <c r="C947" s="156"/>
      <c r="D947" s="156"/>
      <c r="E947" s="156"/>
      <c r="F947" s="156"/>
      <c r="G947" s="156"/>
      <c r="H947" s="156"/>
      <c r="I947" s="156"/>
      <c r="J947" s="156"/>
      <c r="K947" s="156"/>
      <c r="L947" s="156"/>
      <c r="M947" s="156"/>
      <c r="N947" s="156"/>
      <c r="O947" s="156"/>
      <c r="P947" s="156"/>
      <c r="Q947" s="156"/>
      <c r="R947" s="156"/>
      <c r="S947" s="156"/>
      <c r="T947" s="156"/>
      <c r="U947" s="156"/>
      <c r="V947" s="156"/>
      <c r="W947" s="156"/>
      <c r="X947" s="156"/>
      <c r="Y947" s="156"/>
      <c r="Z947" s="156"/>
    </row>
    <row r="948">
      <c r="A948" s="156"/>
      <c r="B948" s="156"/>
      <c r="C948" s="156"/>
      <c r="D948" s="156"/>
      <c r="E948" s="156"/>
      <c r="F948" s="156"/>
      <c r="G948" s="156"/>
      <c r="H948" s="156"/>
      <c r="I948" s="156"/>
      <c r="J948" s="156"/>
      <c r="K948" s="156"/>
      <c r="L948" s="156"/>
      <c r="M948" s="156"/>
      <c r="N948" s="156"/>
      <c r="O948" s="156"/>
      <c r="P948" s="156"/>
      <c r="Q948" s="156"/>
      <c r="R948" s="156"/>
      <c r="S948" s="156"/>
      <c r="T948" s="156"/>
      <c r="U948" s="156"/>
      <c r="V948" s="156"/>
      <c r="W948" s="156"/>
      <c r="X948" s="156"/>
      <c r="Y948" s="156"/>
      <c r="Z948" s="156"/>
    </row>
    <row r="949">
      <c r="A949" s="156"/>
      <c r="B949" s="156"/>
      <c r="C949" s="156"/>
      <c r="D949" s="156"/>
      <c r="E949" s="156"/>
      <c r="F949" s="156"/>
      <c r="G949" s="156"/>
      <c r="H949" s="156"/>
      <c r="I949" s="156"/>
      <c r="J949" s="156"/>
      <c r="K949" s="156"/>
      <c r="L949" s="156"/>
      <c r="M949" s="156"/>
      <c r="N949" s="156"/>
      <c r="O949" s="156"/>
      <c r="P949" s="156"/>
      <c r="Q949" s="156"/>
      <c r="R949" s="156"/>
      <c r="S949" s="156"/>
      <c r="T949" s="156"/>
      <c r="U949" s="156"/>
      <c r="V949" s="156"/>
      <c r="W949" s="156"/>
      <c r="X949" s="156"/>
      <c r="Y949" s="156"/>
      <c r="Z949" s="156"/>
    </row>
    <row r="950">
      <c r="A950" s="156"/>
      <c r="B950" s="156"/>
      <c r="C950" s="156"/>
      <c r="D950" s="156"/>
      <c r="E950" s="156"/>
      <c r="F950" s="156"/>
      <c r="G950" s="156"/>
      <c r="H950" s="156"/>
      <c r="I950" s="156"/>
      <c r="J950" s="156"/>
      <c r="K950" s="156"/>
      <c r="L950" s="156"/>
      <c r="M950" s="156"/>
      <c r="N950" s="156"/>
      <c r="O950" s="156"/>
      <c r="P950" s="156"/>
      <c r="Q950" s="156"/>
      <c r="R950" s="156"/>
      <c r="S950" s="156"/>
      <c r="T950" s="156"/>
      <c r="U950" s="156"/>
      <c r="V950" s="156"/>
      <c r="W950" s="156"/>
      <c r="X950" s="156"/>
      <c r="Y950" s="156"/>
      <c r="Z950" s="156"/>
    </row>
    <row r="951">
      <c r="A951" s="156"/>
      <c r="B951" s="156"/>
      <c r="C951" s="156"/>
      <c r="D951" s="156"/>
      <c r="E951" s="156"/>
      <c r="F951" s="156"/>
      <c r="G951" s="156"/>
      <c r="H951" s="156"/>
      <c r="I951" s="156"/>
      <c r="J951" s="156"/>
      <c r="K951" s="156"/>
      <c r="L951" s="156"/>
      <c r="M951" s="156"/>
      <c r="N951" s="156"/>
      <c r="O951" s="156"/>
      <c r="P951" s="156"/>
      <c r="Q951" s="156"/>
      <c r="R951" s="156"/>
      <c r="S951" s="156"/>
      <c r="T951" s="156"/>
      <c r="U951" s="156"/>
      <c r="V951" s="156"/>
      <c r="W951" s="156"/>
      <c r="X951" s="156"/>
      <c r="Y951" s="156"/>
      <c r="Z951" s="156"/>
    </row>
    <row r="952">
      <c r="A952" s="156"/>
      <c r="B952" s="156"/>
      <c r="C952" s="156"/>
      <c r="D952" s="156"/>
      <c r="E952" s="156"/>
      <c r="F952" s="156"/>
      <c r="G952" s="156"/>
      <c r="H952" s="156"/>
      <c r="I952" s="156"/>
      <c r="J952" s="156"/>
      <c r="K952" s="156"/>
      <c r="L952" s="156"/>
      <c r="M952" s="156"/>
      <c r="N952" s="156"/>
      <c r="O952" s="156"/>
      <c r="P952" s="156"/>
      <c r="Q952" s="156"/>
      <c r="R952" s="156"/>
      <c r="S952" s="156"/>
      <c r="T952" s="156"/>
      <c r="U952" s="156"/>
      <c r="V952" s="156"/>
      <c r="W952" s="156"/>
      <c r="X952" s="156"/>
      <c r="Y952" s="156"/>
      <c r="Z952" s="156"/>
    </row>
    <row r="953">
      <c r="A953" s="156"/>
      <c r="B953" s="156"/>
      <c r="C953" s="156"/>
      <c r="D953" s="156"/>
      <c r="E953" s="156"/>
      <c r="F953" s="156"/>
      <c r="G953" s="156"/>
      <c r="H953" s="156"/>
      <c r="I953" s="156"/>
      <c r="J953" s="156"/>
      <c r="K953" s="156"/>
      <c r="L953" s="156"/>
      <c r="M953" s="156"/>
      <c r="N953" s="156"/>
      <c r="O953" s="156"/>
      <c r="P953" s="156"/>
      <c r="Q953" s="156"/>
      <c r="R953" s="156"/>
      <c r="S953" s="156"/>
      <c r="T953" s="156"/>
      <c r="U953" s="156"/>
      <c r="V953" s="156"/>
      <c r="W953" s="156"/>
      <c r="X953" s="156"/>
      <c r="Y953" s="156"/>
      <c r="Z953" s="156"/>
    </row>
    <row r="954">
      <c r="A954" s="156"/>
      <c r="B954" s="156"/>
      <c r="C954" s="156"/>
      <c r="D954" s="156"/>
      <c r="E954" s="156"/>
      <c r="F954" s="156"/>
      <c r="G954" s="156"/>
      <c r="H954" s="156"/>
      <c r="I954" s="156"/>
      <c r="J954" s="156"/>
      <c r="K954" s="156"/>
      <c r="L954" s="156"/>
      <c r="M954" s="156"/>
      <c r="N954" s="156"/>
      <c r="O954" s="156"/>
      <c r="P954" s="156"/>
      <c r="Q954" s="156"/>
      <c r="R954" s="156"/>
      <c r="S954" s="156"/>
      <c r="T954" s="156"/>
      <c r="U954" s="156"/>
      <c r="V954" s="156"/>
      <c r="W954" s="156"/>
      <c r="X954" s="156"/>
      <c r="Y954" s="156"/>
      <c r="Z954" s="156"/>
    </row>
    <row r="955">
      <c r="A955" s="156"/>
      <c r="B955" s="156"/>
      <c r="C955" s="156"/>
      <c r="D955" s="156"/>
      <c r="E955" s="156"/>
      <c r="F955" s="156"/>
      <c r="G955" s="156"/>
      <c r="H955" s="156"/>
      <c r="I955" s="156"/>
      <c r="J955" s="156"/>
      <c r="K955" s="156"/>
      <c r="L955" s="156"/>
      <c r="M955" s="156"/>
      <c r="N955" s="156"/>
      <c r="O955" s="156"/>
      <c r="P955" s="156"/>
      <c r="Q955" s="156"/>
      <c r="R955" s="156"/>
      <c r="S955" s="156"/>
      <c r="T955" s="156"/>
      <c r="U955" s="156"/>
      <c r="V955" s="156"/>
      <c r="W955" s="156"/>
      <c r="X955" s="156"/>
      <c r="Y955" s="156"/>
      <c r="Z955" s="156"/>
    </row>
    <row r="956">
      <c r="A956" s="156"/>
      <c r="B956" s="156"/>
      <c r="C956" s="156"/>
      <c r="D956" s="156"/>
      <c r="E956" s="156"/>
      <c r="F956" s="156"/>
      <c r="G956" s="156"/>
      <c r="H956" s="156"/>
      <c r="I956" s="156"/>
      <c r="J956" s="156"/>
      <c r="K956" s="156"/>
      <c r="L956" s="156"/>
      <c r="M956" s="156"/>
      <c r="N956" s="156"/>
      <c r="O956" s="156"/>
      <c r="P956" s="156"/>
      <c r="Q956" s="156"/>
      <c r="R956" s="156"/>
      <c r="S956" s="156"/>
      <c r="T956" s="156"/>
      <c r="U956" s="156"/>
      <c r="V956" s="156"/>
      <c r="W956" s="156"/>
      <c r="X956" s="156"/>
      <c r="Y956" s="156"/>
      <c r="Z956" s="156"/>
    </row>
    <row r="957">
      <c r="A957" s="156"/>
      <c r="B957" s="156"/>
      <c r="C957" s="156"/>
      <c r="D957" s="156"/>
      <c r="E957" s="156"/>
      <c r="F957" s="156"/>
      <c r="G957" s="156"/>
      <c r="H957" s="156"/>
      <c r="I957" s="156"/>
      <c r="J957" s="156"/>
      <c r="K957" s="156"/>
      <c r="L957" s="156"/>
      <c r="M957" s="156"/>
      <c r="N957" s="156"/>
      <c r="O957" s="156"/>
      <c r="P957" s="156"/>
      <c r="Q957" s="156"/>
      <c r="R957" s="156"/>
      <c r="S957" s="156"/>
      <c r="T957" s="156"/>
      <c r="U957" s="156"/>
      <c r="V957" s="156"/>
      <c r="W957" s="156"/>
      <c r="X957" s="156"/>
      <c r="Y957" s="156"/>
      <c r="Z957" s="156"/>
    </row>
    <row r="958">
      <c r="A958" s="156"/>
      <c r="B958" s="156"/>
      <c r="C958" s="156"/>
      <c r="D958" s="156"/>
      <c r="E958" s="156"/>
      <c r="F958" s="156"/>
      <c r="G958" s="156"/>
      <c r="H958" s="156"/>
      <c r="I958" s="156"/>
      <c r="J958" s="156"/>
      <c r="K958" s="156"/>
      <c r="L958" s="156"/>
      <c r="M958" s="156"/>
      <c r="N958" s="156"/>
      <c r="O958" s="156"/>
      <c r="P958" s="156"/>
      <c r="Q958" s="156"/>
      <c r="R958" s="156"/>
      <c r="S958" s="156"/>
      <c r="T958" s="156"/>
      <c r="U958" s="156"/>
      <c r="V958" s="156"/>
      <c r="W958" s="156"/>
      <c r="X958" s="156"/>
      <c r="Y958" s="156"/>
      <c r="Z958" s="156"/>
    </row>
    <row r="959">
      <c r="A959" s="156"/>
      <c r="B959" s="156"/>
      <c r="C959" s="156"/>
      <c r="D959" s="156"/>
      <c r="E959" s="156"/>
      <c r="F959" s="156"/>
      <c r="G959" s="156"/>
      <c r="H959" s="156"/>
      <c r="I959" s="156"/>
      <c r="J959" s="156"/>
      <c r="K959" s="156"/>
      <c r="L959" s="156"/>
      <c r="M959" s="156"/>
      <c r="N959" s="156"/>
      <c r="O959" s="156"/>
      <c r="P959" s="156"/>
      <c r="Q959" s="156"/>
      <c r="R959" s="156"/>
      <c r="S959" s="156"/>
      <c r="T959" s="156"/>
      <c r="U959" s="156"/>
      <c r="V959" s="156"/>
      <c r="W959" s="156"/>
      <c r="X959" s="156"/>
      <c r="Y959" s="156"/>
      <c r="Z959" s="156"/>
    </row>
    <row r="960">
      <c r="A960" s="156"/>
      <c r="B960" s="156"/>
      <c r="C960" s="156"/>
      <c r="D960" s="156"/>
      <c r="E960" s="156"/>
      <c r="F960" s="156"/>
      <c r="G960" s="156"/>
      <c r="H960" s="156"/>
      <c r="I960" s="156"/>
      <c r="J960" s="156"/>
      <c r="K960" s="156"/>
      <c r="L960" s="156"/>
      <c r="M960" s="156"/>
      <c r="N960" s="156"/>
      <c r="O960" s="156"/>
      <c r="P960" s="156"/>
      <c r="Q960" s="156"/>
      <c r="R960" s="156"/>
      <c r="S960" s="156"/>
      <c r="T960" s="156"/>
      <c r="U960" s="156"/>
      <c r="V960" s="156"/>
      <c r="W960" s="156"/>
      <c r="X960" s="156"/>
      <c r="Y960" s="156"/>
      <c r="Z960" s="156"/>
    </row>
    <row r="961">
      <c r="A961" s="156"/>
      <c r="B961" s="156"/>
      <c r="C961" s="156"/>
      <c r="D961" s="156"/>
      <c r="E961" s="156"/>
      <c r="F961" s="156"/>
      <c r="G961" s="156"/>
      <c r="H961" s="156"/>
      <c r="I961" s="156"/>
      <c r="J961" s="156"/>
      <c r="K961" s="156"/>
      <c r="L961" s="156"/>
      <c r="M961" s="156"/>
      <c r="N961" s="156"/>
      <c r="O961" s="156"/>
      <c r="P961" s="156"/>
      <c r="Q961" s="156"/>
      <c r="R961" s="156"/>
      <c r="S961" s="156"/>
      <c r="T961" s="156"/>
      <c r="U961" s="156"/>
      <c r="V961" s="156"/>
      <c r="W961" s="156"/>
      <c r="X961" s="156"/>
      <c r="Y961" s="156"/>
      <c r="Z961" s="156"/>
    </row>
    <row r="962">
      <c r="A962" s="156"/>
      <c r="B962" s="156"/>
      <c r="C962" s="156"/>
      <c r="D962" s="156"/>
      <c r="E962" s="156"/>
      <c r="F962" s="156"/>
      <c r="G962" s="156"/>
      <c r="H962" s="156"/>
      <c r="I962" s="156"/>
      <c r="J962" s="156"/>
      <c r="K962" s="156"/>
      <c r="L962" s="156"/>
      <c r="M962" s="156"/>
      <c r="N962" s="156"/>
      <c r="O962" s="156"/>
      <c r="P962" s="156"/>
      <c r="Q962" s="156"/>
      <c r="R962" s="156"/>
      <c r="S962" s="156"/>
      <c r="T962" s="156"/>
      <c r="U962" s="156"/>
      <c r="V962" s="156"/>
      <c r="W962" s="156"/>
      <c r="X962" s="156"/>
      <c r="Y962" s="156"/>
      <c r="Z962" s="156"/>
    </row>
    <row r="963">
      <c r="A963" s="156"/>
      <c r="B963" s="156"/>
      <c r="C963" s="156"/>
      <c r="D963" s="156"/>
      <c r="E963" s="156"/>
      <c r="F963" s="156"/>
      <c r="G963" s="156"/>
      <c r="H963" s="156"/>
      <c r="I963" s="156"/>
      <c r="J963" s="156"/>
      <c r="K963" s="156"/>
      <c r="L963" s="156"/>
      <c r="M963" s="156"/>
      <c r="N963" s="156"/>
      <c r="O963" s="156"/>
      <c r="P963" s="156"/>
      <c r="Q963" s="156"/>
      <c r="R963" s="156"/>
      <c r="S963" s="156"/>
      <c r="T963" s="156"/>
      <c r="U963" s="156"/>
      <c r="V963" s="156"/>
      <c r="W963" s="156"/>
      <c r="X963" s="156"/>
      <c r="Y963" s="156"/>
      <c r="Z963" s="156"/>
    </row>
    <row r="964">
      <c r="A964" s="156"/>
      <c r="B964" s="156"/>
      <c r="C964" s="156"/>
      <c r="D964" s="156"/>
      <c r="E964" s="156"/>
      <c r="F964" s="156"/>
      <c r="G964" s="156"/>
      <c r="H964" s="156"/>
      <c r="I964" s="156"/>
      <c r="J964" s="156"/>
      <c r="K964" s="156"/>
      <c r="L964" s="156"/>
      <c r="M964" s="156"/>
      <c r="N964" s="156"/>
      <c r="O964" s="156"/>
      <c r="P964" s="156"/>
      <c r="Q964" s="156"/>
      <c r="R964" s="156"/>
      <c r="S964" s="156"/>
      <c r="T964" s="156"/>
      <c r="U964" s="156"/>
      <c r="V964" s="156"/>
      <c r="W964" s="156"/>
      <c r="X964" s="156"/>
      <c r="Y964" s="156"/>
      <c r="Z964" s="156"/>
    </row>
    <row r="965">
      <c r="A965" s="156"/>
      <c r="B965" s="156"/>
      <c r="C965" s="156"/>
      <c r="D965" s="156"/>
      <c r="E965" s="156"/>
      <c r="F965" s="156"/>
      <c r="G965" s="156"/>
      <c r="H965" s="156"/>
      <c r="I965" s="156"/>
      <c r="J965" s="156"/>
      <c r="K965" s="156"/>
      <c r="L965" s="156"/>
      <c r="M965" s="156"/>
      <c r="N965" s="156"/>
      <c r="O965" s="156"/>
      <c r="P965" s="156"/>
      <c r="Q965" s="156"/>
      <c r="R965" s="156"/>
      <c r="S965" s="156"/>
      <c r="T965" s="156"/>
      <c r="U965" s="156"/>
      <c r="V965" s="156"/>
      <c r="W965" s="156"/>
      <c r="X965" s="156"/>
      <c r="Y965" s="156"/>
      <c r="Z965" s="156"/>
    </row>
    <row r="966">
      <c r="A966" s="156"/>
      <c r="B966" s="156"/>
      <c r="C966" s="156"/>
      <c r="D966" s="156"/>
      <c r="E966" s="156"/>
      <c r="F966" s="156"/>
      <c r="G966" s="156"/>
      <c r="H966" s="156"/>
      <c r="I966" s="156"/>
      <c r="J966" s="156"/>
      <c r="K966" s="156"/>
      <c r="L966" s="156"/>
      <c r="M966" s="156"/>
      <c r="N966" s="156"/>
      <c r="O966" s="156"/>
      <c r="P966" s="156"/>
      <c r="Q966" s="156"/>
      <c r="R966" s="156"/>
      <c r="S966" s="156"/>
      <c r="T966" s="156"/>
      <c r="U966" s="156"/>
      <c r="V966" s="156"/>
      <c r="W966" s="156"/>
      <c r="X966" s="156"/>
      <c r="Y966" s="156"/>
      <c r="Z966" s="156"/>
    </row>
    <row r="967">
      <c r="A967" s="156"/>
      <c r="B967" s="156"/>
      <c r="C967" s="156"/>
      <c r="D967" s="156"/>
      <c r="E967" s="156"/>
      <c r="F967" s="156"/>
      <c r="G967" s="156"/>
      <c r="H967" s="156"/>
      <c r="I967" s="156"/>
      <c r="J967" s="156"/>
      <c r="K967" s="156"/>
      <c r="L967" s="156"/>
      <c r="M967" s="156"/>
      <c r="N967" s="156"/>
      <c r="O967" s="156"/>
      <c r="P967" s="156"/>
      <c r="Q967" s="156"/>
      <c r="R967" s="156"/>
      <c r="S967" s="156"/>
      <c r="T967" s="156"/>
      <c r="U967" s="156"/>
      <c r="V967" s="156"/>
      <c r="W967" s="156"/>
      <c r="X967" s="156"/>
      <c r="Y967" s="156"/>
      <c r="Z967" s="156"/>
    </row>
    <row r="968">
      <c r="A968" s="156"/>
      <c r="B968" s="156"/>
      <c r="C968" s="156"/>
      <c r="D968" s="156"/>
      <c r="E968" s="156"/>
      <c r="F968" s="156"/>
      <c r="G968" s="156"/>
      <c r="H968" s="156"/>
      <c r="I968" s="156"/>
      <c r="J968" s="156"/>
      <c r="K968" s="156"/>
      <c r="L968" s="156"/>
      <c r="M968" s="156"/>
      <c r="N968" s="156"/>
      <c r="O968" s="156"/>
      <c r="P968" s="156"/>
      <c r="Q968" s="156"/>
      <c r="R968" s="156"/>
      <c r="S968" s="156"/>
      <c r="T968" s="156"/>
      <c r="U968" s="156"/>
      <c r="V968" s="156"/>
      <c r="W968" s="156"/>
      <c r="X968" s="156"/>
      <c r="Y968" s="156"/>
      <c r="Z968" s="156"/>
    </row>
    <row r="969">
      <c r="A969" s="156"/>
      <c r="B969" s="156"/>
      <c r="C969" s="156"/>
      <c r="D969" s="156"/>
      <c r="E969" s="156"/>
      <c r="F969" s="156"/>
      <c r="G969" s="156"/>
      <c r="H969" s="156"/>
      <c r="I969" s="156"/>
      <c r="J969" s="156"/>
      <c r="K969" s="156"/>
      <c r="L969" s="156"/>
      <c r="M969" s="156"/>
      <c r="N969" s="156"/>
      <c r="O969" s="156"/>
      <c r="P969" s="156"/>
      <c r="Q969" s="156"/>
      <c r="R969" s="156"/>
      <c r="S969" s="156"/>
      <c r="T969" s="156"/>
      <c r="U969" s="156"/>
      <c r="V969" s="156"/>
      <c r="W969" s="156"/>
      <c r="X969" s="156"/>
      <c r="Y969" s="156"/>
      <c r="Z969" s="156"/>
    </row>
    <row r="970">
      <c r="A970" s="156"/>
      <c r="B970" s="156"/>
      <c r="C970" s="156"/>
      <c r="D970" s="156"/>
      <c r="E970" s="156"/>
      <c r="F970" s="156"/>
      <c r="G970" s="156"/>
      <c r="H970" s="156"/>
      <c r="I970" s="156"/>
      <c r="J970" s="156"/>
      <c r="K970" s="156"/>
      <c r="L970" s="156"/>
      <c r="M970" s="156"/>
      <c r="N970" s="156"/>
      <c r="O970" s="156"/>
      <c r="P970" s="156"/>
      <c r="Q970" s="156"/>
      <c r="R970" s="156"/>
      <c r="S970" s="156"/>
      <c r="T970" s="156"/>
      <c r="U970" s="156"/>
      <c r="V970" s="156"/>
      <c r="W970" s="156"/>
      <c r="X970" s="156"/>
      <c r="Y970" s="156"/>
      <c r="Z970" s="156"/>
    </row>
    <row r="971">
      <c r="A971" s="156"/>
      <c r="B971" s="156"/>
      <c r="C971" s="156"/>
      <c r="D971" s="156"/>
      <c r="E971" s="156"/>
      <c r="F971" s="156"/>
      <c r="G971" s="156"/>
      <c r="H971" s="156"/>
      <c r="I971" s="156"/>
      <c r="J971" s="156"/>
      <c r="K971" s="156"/>
      <c r="L971" s="156"/>
      <c r="M971" s="156"/>
      <c r="N971" s="156"/>
      <c r="O971" s="156"/>
      <c r="P971" s="156"/>
      <c r="Q971" s="156"/>
      <c r="R971" s="156"/>
      <c r="S971" s="156"/>
      <c r="T971" s="156"/>
      <c r="U971" s="156"/>
      <c r="V971" s="156"/>
      <c r="W971" s="156"/>
      <c r="X971" s="156"/>
      <c r="Y971" s="156"/>
      <c r="Z971" s="156"/>
    </row>
    <row r="972">
      <c r="A972" s="156"/>
      <c r="B972" s="156"/>
      <c r="C972" s="156"/>
      <c r="D972" s="156"/>
      <c r="E972" s="156"/>
      <c r="F972" s="156"/>
      <c r="G972" s="156"/>
      <c r="H972" s="156"/>
      <c r="I972" s="156"/>
      <c r="J972" s="156"/>
      <c r="K972" s="156"/>
      <c r="L972" s="156"/>
      <c r="M972" s="156"/>
      <c r="N972" s="156"/>
      <c r="O972" s="156"/>
      <c r="P972" s="156"/>
      <c r="Q972" s="156"/>
      <c r="R972" s="156"/>
      <c r="S972" s="156"/>
      <c r="T972" s="156"/>
      <c r="U972" s="156"/>
      <c r="V972" s="156"/>
      <c r="W972" s="156"/>
      <c r="X972" s="156"/>
      <c r="Y972" s="156"/>
      <c r="Z972" s="156"/>
    </row>
    <row r="973">
      <c r="A973" s="156"/>
      <c r="B973" s="156"/>
      <c r="C973" s="156"/>
      <c r="D973" s="156"/>
      <c r="E973" s="156"/>
      <c r="F973" s="156"/>
      <c r="G973" s="156"/>
      <c r="H973" s="156"/>
      <c r="I973" s="156"/>
      <c r="J973" s="156"/>
      <c r="K973" s="156"/>
      <c r="L973" s="156"/>
      <c r="M973" s="156"/>
      <c r="N973" s="156"/>
      <c r="O973" s="156"/>
      <c r="P973" s="156"/>
      <c r="Q973" s="156"/>
      <c r="R973" s="156"/>
      <c r="S973" s="156"/>
      <c r="T973" s="156"/>
      <c r="U973" s="156"/>
      <c r="V973" s="156"/>
      <c r="W973" s="156"/>
      <c r="X973" s="156"/>
      <c r="Y973" s="156"/>
      <c r="Z973" s="156"/>
    </row>
    <row r="974">
      <c r="A974" s="156"/>
      <c r="B974" s="156"/>
      <c r="C974" s="156"/>
      <c r="D974" s="156"/>
      <c r="E974" s="156"/>
      <c r="F974" s="156"/>
      <c r="G974" s="156"/>
      <c r="H974" s="156"/>
      <c r="I974" s="156"/>
      <c r="J974" s="156"/>
      <c r="K974" s="156"/>
      <c r="L974" s="156"/>
      <c r="M974" s="156"/>
      <c r="N974" s="156"/>
      <c r="O974" s="156"/>
      <c r="P974" s="156"/>
      <c r="Q974" s="156"/>
      <c r="R974" s="156"/>
      <c r="S974" s="156"/>
      <c r="T974" s="156"/>
      <c r="U974" s="156"/>
      <c r="V974" s="156"/>
      <c r="W974" s="156"/>
      <c r="X974" s="156"/>
      <c r="Y974" s="156"/>
      <c r="Z974" s="156"/>
    </row>
    <row r="975">
      <c r="A975" s="156"/>
      <c r="B975" s="156"/>
      <c r="C975" s="156"/>
      <c r="D975" s="156"/>
      <c r="E975" s="156"/>
      <c r="F975" s="156"/>
      <c r="G975" s="156"/>
      <c r="H975" s="156"/>
      <c r="I975" s="156"/>
      <c r="J975" s="156"/>
      <c r="K975" s="156"/>
      <c r="L975" s="156"/>
      <c r="M975" s="156"/>
      <c r="N975" s="156"/>
      <c r="O975" s="156"/>
      <c r="P975" s="156"/>
      <c r="Q975" s="156"/>
      <c r="R975" s="156"/>
      <c r="S975" s="156"/>
      <c r="T975" s="156"/>
      <c r="U975" s="156"/>
      <c r="V975" s="156"/>
      <c r="W975" s="156"/>
      <c r="X975" s="156"/>
      <c r="Y975" s="156"/>
      <c r="Z975" s="156"/>
    </row>
    <row r="976">
      <c r="A976" s="156"/>
      <c r="B976" s="156"/>
      <c r="C976" s="156"/>
      <c r="D976" s="156"/>
      <c r="E976" s="156"/>
      <c r="F976" s="156"/>
      <c r="G976" s="156"/>
      <c r="H976" s="156"/>
      <c r="I976" s="156"/>
      <c r="J976" s="156"/>
      <c r="K976" s="156"/>
      <c r="L976" s="156"/>
      <c r="M976" s="156"/>
      <c r="N976" s="156"/>
      <c r="O976" s="156"/>
      <c r="P976" s="156"/>
      <c r="Q976" s="156"/>
      <c r="R976" s="156"/>
      <c r="S976" s="156"/>
      <c r="T976" s="156"/>
      <c r="U976" s="156"/>
      <c r="V976" s="156"/>
      <c r="W976" s="156"/>
      <c r="X976" s="156"/>
      <c r="Y976" s="156"/>
      <c r="Z976" s="156"/>
    </row>
    <row r="977">
      <c r="A977" s="156"/>
      <c r="B977" s="156"/>
      <c r="C977" s="156"/>
      <c r="D977" s="156"/>
      <c r="E977" s="156"/>
      <c r="F977" s="156"/>
      <c r="G977" s="156"/>
      <c r="H977" s="156"/>
      <c r="I977" s="156"/>
      <c r="J977" s="156"/>
      <c r="K977" s="156"/>
      <c r="L977" s="156"/>
      <c r="M977" s="156"/>
      <c r="N977" s="156"/>
      <c r="O977" s="156"/>
      <c r="P977" s="156"/>
      <c r="Q977" s="156"/>
      <c r="R977" s="156"/>
      <c r="S977" s="156"/>
      <c r="T977" s="156"/>
      <c r="U977" s="156"/>
      <c r="V977" s="156"/>
      <c r="W977" s="156"/>
      <c r="X977" s="156"/>
      <c r="Y977" s="156"/>
      <c r="Z977" s="156"/>
    </row>
    <row r="978">
      <c r="A978" s="156"/>
      <c r="B978" s="156"/>
      <c r="C978" s="156"/>
      <c r="D978" s="156"/>
      <c r="E978" s="156"/>
      <c r="F978" s="156"/>
      <c r="G978" s="156"/>
      <c r="H978" s="156"/>
      <c r="I978" s="156"/>
      <c r="J978" s="156"/>
      <c r="K978" s="156"/>
      <c r="L978" s="156"/>
      <c r="M978" s="156"/>
      <c r="N978" s="156"/>
      <c r="O978" s="156"/>
      <c r="P978" s="156"/>
      <c r="Q978" s="156"/>
      <c r="R978" s="156"/>
      <c r="S978" s="156"/>
      <c r="T978" s="156"/>
      <c r="U978" s="156"/>
      <c r="V978" s="156"/>
      <c r="W978" s="156"/>
      <c r="X978" s="156"/>
      <c r="Y978" s="156"/>
      <c r="Z978" s="156"/>
    </row>
    <row r="979">
      <c r="A979" s="156"/>
      <c r="B979" s="156"/>
      <c r="C979" s="156"/>
      <c r="D979" s="156"/>
      <c r="E979" s="156"/>
      <c r="F979" s="156"/>
      <c r="G979" s="156"/>
      <c r="H979" s="156"/>
      <c r="I979" s="156"/>
      <c r="J979" s="156"/>
      <c r="K979" s="156"/>
      <c r="L979" s="156"/>
      <c r="M979" s="156"/>
      <c r="N979" s="156"/>
      <c r="O979" s="156"/>
      <c r="P979" s="156"/>
      <c r="Q979" s="156"/>
      <c r="R979" s="156"/>
      <c r="S979" s="156"/>
      <c r="T979" s="156"/>
      <c r="U979" s="156"/>
      <c r="V979" s="156"/>
      <c r="W979" s="156"/>
      <c r="X979" s="156"/>
      <c r="Y979" s="156"/>
      <c r="Z979" s="156"/>
    </row>
    <row r="980">
      <c r="A980" s="156"/>
      <c r="B980" s="156"/>
      <c r="C980" s="156"/>
      <c r="D980" s="156"/>
      <c r="E980" s="156"/>
      <c r="F980" s="156"/>
      <c r="G980" s="156"/>
      <c r="H980" s="156"/>
      <c r="I980" s="156"/>
      <c r="J980" s="156"/>
      <c r="K980" s="156"/>
      <c r="L980" s="156"/>
      <c r="M980" s="156"/>
      <c r="N980" s="156"/>
      <c r="O980" s="156"/>
      <c r="P980" s="156"/>
      <c r="Q980" s="156"/>
      <c r="R980" s="156"/>
      <c r="S980" s="156"/>
      <c r="T980" s="156"/>
      <c r="U980" s="156"/>
      <c r="V980" s="156"/>
      <c r="W980" s="156"/>
      <c r="X980" s="156"/>
      <c r="Y980" s="156"/>
      <c r="Z980" s="156"/>
    </row>
    <row r="981">
      <c r="A981" s="156"/>
      <c r="B981" s="156"/>
      <c r="C981" s="156"/>
      <c r="D981" s="156"/>
      <c r="E981" s="156"/>
      <c r="F981" s="156"/>
      <c r="G981" s="156"/>
      <c r="H981" s="156"/>
      <c r="I981" s="156"/>
      <c r="J981" s="156"/>
      <c r="K981" s="156"/>
      <c r="L981" s="156"/>
      <c r="M981" s="156"/>
      <c r="N981" s="156"/>
      <c r="O981" s="156"/>
      <c r="P981" s="156"/>
      <c r="Q981" s="156"/>
      <c r="R981" s="156"/>
      <c r="S981" s="156"/>
      <c r="T981" s="156"/>
      <c r="U981" s="156"/>
      <c r="V981" s="156"/>
      <c r="W981" s="156"/>
      <c r="X981" s="156"/>
      <c r="Y981" s="156"/>
      <c r="Z981" s="156"/>
    </row>
    <row r="982">
      <c r="A982" s="156"/>
      <c r="B982" s="156"/>
      <c r="C982" s="156"/>
      <c r="D982" s="156"/>
      <c r="E982" s="156"/>
      <c r="F982" s="156"/>
      <c r="G982" s="156"/>
      <c r="H982" s="156"/>
      <c r="I982" s="156"/>
      <c r="J982" s="156"/>
      <c r="K982" s="156"/>
      <c r="L982" s="156"/>
      <c r="M982" s="156"/>
      <c r="N982" s="156"/>
      <c r="O982" s="156"/>
      <c r="P982" s="156"/>
      <c r="Q982" s="156"/>
      <c r="R982" s="156"/>
      <c r="S982" s="156"/>
      <c r="T982" s="156"/>
      <c r="U982" s="156"/>
      <c r="V982" s="156"/>
      <c r="W982" s="156"/>
      <c r="X982" s="156"/>
      <c r="Y982" s="156"/>
      <c r="Z982" s="156"/>
    </row>
    <row r="983">
      <c r="A983" s="156"/>
      <c r="B983" s="156"/>
      <c r="C983" s="156"/>
      <c r="D983" s="156"/>
      <c r="E983" s="156"/>
      <c r="F983" s="156"/>
      <c r="G983" s="156"/>
      <c r="H983" s="156"/>
      <c r="I983" s="156"/>
      <c r="J983" s="156"/>
      <c r="K983" s="156"/>
      <c r="L983" s="156"/>
      <c r="M983" s="156"/>
      <c r="N983" s="156"/>
      <c r="O983" s="156"/>
      <c r="P983" s="156"/>
      <c r="Q983" s="156"/>
      <c r="R983" s="156"/>
      <c r="S983" s="156"/>
      <c r="T983" s="156"/>
      <c r="U983" s="156"/>
      <c r="V983" s="156"/>
      <c r="W983" s="156"/>
      <c r="X983" s="156"/>
      <c r="Y983" s="156"/>
      <c r="Z983" s="156"/>
    </row>
    <row r="984">
      <c r="A984" s="156"/>
      <c r="B984" s="156"/>
      <c r="C984" s="156"/>
      <c r="D984" s="156"/>
      <c r="E984" s="156"/>
      <c r="F984" s="156"/>
      <c r="G984" s="156"/>
      <c r="H984" s="156"/>
      <c r="I984" s="156"/>
      <c r="J984" s="156"/>
      <c r="K984" s="156"/>
      <c r="L984" s="156"/>
      <c r="M984" s="156"/>
      <c r="N984" s="156"/>
      <c r="O984" s="156"/>
      <c r="P984" s="156"/>
      <c r="Q984" s="156"/>
      <c r="R984" s="156"/>
      <c r="S984" s="156"/>
      <c r="T984" s="156"/>
      <c r="U984" s="156"/>
      <c r="V984" s="156"/>
      <c r="W984" s="156"/>
      <c r="X984" s="156"/>
      <c r="Y984" s="156"/>
      <c r="Z984" s="156"/>
    </row>
    <row r="985">
      <c r="A985" s="156"/>
      <c r="B985" s="156"/>
      <c r="C985" s="156"/>
      <c r="D985" s="156"/>
      <c r="E985" s="156"/>
      <c r="F985" s="156"/>
      <c r="G985" s="156"/>
      <c r="H985" s="156"/>
      <c r="I985" s="156"/>
      <c r="J985" s="156"/>
      <c r="K985" s="156"/>
      <c r="L985" s="156"/>
      <c r="M985" s="156"/>
      <c r="N985" s="156"/>
      <c r="O985" s="156"/>
      <c r="P985" s="156"/>
      <c r="Q985" s="156"/>
      <c r="R985" s="156"/>
      <c r="S985" s="156"/>
      <c r="T985" s="156"/>
      <c r="U985" s="156"/>
      <c r="V985" s="156"/>
      <c r="W985" s="156"/>
      <c r="X985" s="156"/>
      <c r="Y985" s="156"/>
      <c r="Z985" s="156"/>
    </row>
    <row r="986">
      <c r="A986" s="156"/>
      <c r="B986" s="156"/>
      <c r="C986" s="156"/>
      <c r="D986" s="156"/>
      <c r="E986" s="156"/>
      <c r="F986" s="156"/>
      <c r="G986" s="156"/>
      <c r="H986" s="156"/>
      <c r="I986" s="156"/>
      <c r="J986" s="156"/>
      <c r="K986" s="156"/>
      <c r="L986" s="156"/>
      <c r="M986" s="156"/>
      <c r="N986" s="156"/>
      <c r="O986" s="156"/>
      <c r="P986" s="156"/>
      <c r="Q986" s="156"/>
      <c r="R986" s="156"/>
      <c r="S986" s="156"/>
      <c r="T986" s="156"/>
      <c r="U986" s="156"/>
      <c r="V986" s="156"/>
      <c r="W986" s="156"/>
      <c r="X986" s="156"/>
      <c r="Y986" s="156"/>
      <c r="Z986" s="156"/>
    </row>
    <row r="987">
      <c r="A987" s="156"/>
      <c r="B987" s="156"/>
      <c r="C987" s="156"/>
      <c r="D987" s="156"/>
      <c r="E987" s="156"/>
      <c r="F987" s="156"/>
      <c r="G987" s="156"/>
      <c r="H987" s="156"/>
      <c r="I987" s="156"/>
      <c r="J987" s="156"/>
      <c r="K987" s="156"/>
      <c r="L987" s="156"/>
      <c r="M987" s="156"/>
      <c r="N987" s="156"/>
      <c r="O987" s="156"/>
      <c r="P987" s="156"/>
      <c r="Q987" s="156"/>
      <c r="R987" s="156"/>
      <c r="S987" s="156"/>
      <c r="T987" s="156"/>
      <c r="U987" s="156"/>
      <c r="V987" s="156"/>
      <c r="W987" s="156"/>
      <c r="X987" s="156"/>
      <c r="Y987" s="156"/>
      <c r="Z987" s="156"/>
    </row>
    <row r="988">
      <c r="A988" s="156"/>
      <c r="B988" s="156"/>
      <c r="C988" s="156"/>
      <c r="D988" s="156"/>
      <c r="E988" s="156"/>
      <c r="F988" s="156"/>
      <c r="G988" s="156"/>
      <c r="H988" s="156"/>
      <c r="I988" s="156"/>
      <c r="J988" s="156"/>
      <c r="K988" s="156"/>
      <c r="L988" s="156"/>
      <c r="M988" s="156"/>
      <c r="N988" s="156"/>
      <c r="O988" s="156"/>
      <c r="P988" s="156"/>
      <c r="Q988" s="156"/>
      <c r="R988" s="156"/>
      <c r="S988" s="156"/>
      <c r="T988" s="156"/>
      <c r="U988" s="156"/>
      <c r="V988" s="156"/>
      <c r="W988" s="156"/>
      <c r="X988" s="156"/>
      <c r="Y988" s="156"/>
      <c r="Z988" s="156"/>
    </row>
    <row r="989">
      <c r="A989" s="156"/>
      <c r="B989" s="156"/>
      <c r="C989" s="156"/>
      <c r="D989" s="156"/>
      <c r="E989" s="156"/>
      <c r="F989" s="156"/>
      <c r="G989" s="156"/>
      <c r="H989" s="156"/>
      <c r="I989" s="156"/>
      <c r="J989" s="156"/>
      <c r="K989" s="156"/>
      <c r="L989" s="156"/>
      <c r="M989" s="156"/>
      <c r="N989" s="156"/>
      <c r="O989" s="156"/>
      <c r="P989" s="156"/>
      <c r="Q989" s="156"/>
      <c r="R989" s="156"/>
      <c r="S989" s="156"/>
      <c r="T989" s="156"/>
      <c r="U989" s="156"/>
      <c r="V989" s="156"/>
      <c r="W989" s="156"/>
      <c r="X989" s="156"/>
      <c r="Y989" s="156"/>
      <c r="Z989" s="156"/>
    </row>
    <row r="990">
      <c r="A990" s="156"/>
      <c r="B990" s="156"/>
      <c r="C990" s="156"/>
      <c r="D990" s="156"/>
      <c r="E990" s="156"/>
      <c r="F990" s="156"/>
      <c r="G990" s="156"/>
      <c r="H990" s="156"/>
      <c r="I990" s="156"/>
      <c r="J990" s="156"/>
      <c r="K990" s="156"/>
      <c r="L990" s="156"/>
      <c r="M990" s="156"/>
      <c r="N990" s="156"/>
      <c r="O990" s="156"/>
      <c r="P990" s="156"/>
      <c r="Q990" s="156"/>
      <c r="R990" s="156"/>
      <c r="S990" s="156"/>
      <c r="T990" s="156"/>
      <c r="U990" s="156"/>
      <c r="V990" s="156"/>
      <c r="W990" s="156"/>
      <c r="X990" s="156"/>
      <c r="Y990" s="156"/>
      <c r="Z990" s="156"/>
    </row>
    <row r="991">
      <c r="A991" s="156"/>
      <c r="B991" s="156"/>
      <c r="C991" s="156"/>
      <c r="D991" s="156"/>
      <c r="E991" s="156"/>
      <c r="F991" s="156"/>
      <c r="G991" s="156"/>
      <c r="H991" s="156"/>
      <c r="I991" s="156"/>
      <c r="J991" s="156"/>
      <c r="K991" s="156"/>
      <c r="L991" s="156"/>
      <c r="M991" s="156"/>
      <c r="N991" s="156"/>
      <c r="O991" s="156"/>
      <c r="P991" s="156"/>
      <c r="Q991" s="156"/>
      <c r="R991" s="156"/>
      <c r="S991" s="156"/>
      <c r="T991" s="156"/>
      <c r="U991" s="156"/>
      <c r="V991" s="156"/>
      <c r="W991" s="156"/>
      <c r="X991" s="156"/>
      <c r="Y991" s="156"/>
      <c r="Z991" s="156"/>
    </row>
    <row r="992">
      <c r="A992" s="156"/>
      <c r="B992" s="156"/>
      <c r="C992" s="156"/>
      <c r="D992" s="156"/>
      <c r="E992" s="156"/>
      <c r="F992" s="156"/>
      <c r="G992" s="156"/>
      <c r="H992" s="156"/>
      <c r="I992" s="156"/>
      <c r="J992" s="156"/>
      <c r="K992" s="156"/>
      <c r="L992" s="156"/>
      <c r="M992" s="156"/>
      <c r="N992" s="156"/>
      <c r="O992" s="156"/>
      <c r="P992" s="156"/>
      <c r="Q992" s="156"/>
      <c r="R992" s="156"/>
      <c r="S992" s="156"/>
      <c r="T992" s="156"/>
      <c r="U992" s="156"/>
      <c r="V992" s="156"/>
      <c r="W992" s="156"/>
      <c r="X992" s="156"/>
      <c r="Y992" s="156"/>
      <c r="Z992" s="156"/>
    </row>
    <row r="993">
      <c r="A993" s="156"/>
      <c r="B993" s="156"/>
      <c r="C993" s="156"/>
      <c r="D993" s="156"/>
      <c r="E993" s="156"/>
      <c r="F993" s="156"/>
      <c r="G993" s="156"/>
      <c r="H993" s="156"/>
      <c r="I993" s="156"/>
      <c r="J993" s="156"/>
      <c r="K993" s="156"/>
      <c r="L993" s="156"/>
      <c r="M993" s="156"/>
      <c r="N993" s="156"/>
      <c r="O993" s="156"/>
      <c r="P993" s="156"/>
      <c r="Q993" s="156"/>
      <c r="R993" s="156"/>
      <c r="S993" s="156"/>
      <c r="T993" s="156"/>
      <c r="U993" s="156"/>
      <c r="V993" s="156"/>
      <c r="W993" s="156"/>
      <c r="X993" s="156"/>
      <c r="Y993" s="156"/>
      <c r="Z993" s="156"/>
    </row>
    <row r="994">
      <c r="A994" s="156"/>
      <c r="B994" s="156"/>
      <c r="C994" s="156"/>
      <c r="D994" s="156"/>
      <c r="E994" s="156"/>
      <c r="F994" s="156"/>
      <c r="G994" s="156"/>
      <c r="H994" s="156"/>
      <c r="I994" s="156"/>
      <c r="J994" s="156"/>
      <c r="K994" s="156"/>
      <c r="L994" s="156"/>
      <c r="M994" s="156"/>
      <c r="N994" s="156"/>
      <c r="O994" s="156"/>
      <c r="P994" s="156"/>
      <c r="Q994" s="156"/>
      <c r="R994" s="156"/>
      <c r="S994" s="156"/>
      <c r="T994" s="156"/>
      <c r="U994" s="156"/>
      <c r="V994" s="156"/>
      <c r="W994" s="156"/>
      <c r="X994" s="156"/>
      <c r="Y994" s="156"/>
      <c r="Z994" s="156"/>
    </row>
    <row r="995">
      <c r="A995" s="156"/>
      <c r="B995" s="156"/>
      <c r="C995" s="156"/>
      <c r="D995" s="156"/>
      <c r="E995" s="156"/>
      <c r="F995" s="156"/>
      <c r="G995" s="156"/>
      <c r="H995" s="156"/>
      <c r="I995" s="156"/>
      <c r="J995" s="156"/>
      <c r="K995" s="156"/>
      <c r="L995" s="156"/>
      <c r="M995" s="156"/>
      <c r="N995" s="156"/>
      <c r="O995" s="156"/>
      <c r="P995" s="156"/>
      <c r="Q995" s="156"/>
      <c r="R995" s="156"/>
      <c r="S995" s="156"/>
      <c r="T995" s="156"/>
      <c r="U995" s="156"/>
      <c r="V995" s="156"/>
      <c r="W995" s="156"/>
      <c r="X995" s="156"/>
      <c r="Y995" s="156"/>
      <c r="Z995" s="156"/>
    </row>
    <row r="996">
      <c r="A996" s="156"/>
      <c r="B996" s="156"/>
      <c r="C996" s="156"/>
      <c r="D996" s="156"/>
      <c r="E996" s="156"/>
      <c r="F996" s="156"/>
      <c r="G996" s="156"/>
      <c r="H996" s="156"/>
      <c r="I996" s="156"/>
      <c r="J996" s="156"/>
      <c r="K996" s="156"/>
      <c r="L996" s="156"/>
      <c r="M996" s="156"/>
      <c r="N996" s="156"/>
      <c r="O996" s="156"/>
      <c r="P996" s="156"/>
      <c r="Q996" s="156"/>
      <c r="R996" s="156"/>
      <c r="S996" s="156"/>
      <c r="T996" s="156"/>
      <c r="U996" s="156"/>
      <c r="V996" s="156"/>
      <c r="W996" s="156"/>
      <c r="X996" s="156"/>
      <c r="Y996" s="156"/>
      <c r="Z996" s="156"/>
    </row>
    <row r="997">
      <c r="A997" s="156"/>
      <c r="B997" s="156"/>
      <c r="C997" s="156"/>
      <c r="D997" s="156"/>
      <c r="E997" s="156"/>
      <c r="F997" s="156"/>
      <c r="G997" s="156"/>
      <c r="H997" s="156"/>
      <c r="I997" s="156"/>
      <c r="J997" s="156"/>
      <c r="K997" s="156"/>
      <c r="L997" s="156"/>
      <c r="M997" s="156"/>
      <c r="N997" s="156"/>
      <c r="O997" s="156"/>
      <c r="P997" s="156"/>
      <c r="Q997" s="156"/>
      <c r="R997" s="156"/>
      <c r="S997" s="156"/>
      <c r="T997" s="156"/>
      <c r="U997" s="156"/>
      <c r="V997" s="156"/>
      <c r="W997" s="156"/>
      <c r="X997" s="156"/>
      <c r="Y997" s="156"/>
      <c r="Z997" s="156"/>
    </row>
    <row r="998">
      <c r="A998" s="156"/>
      <c r="B998" s="156"/>
      <c r="C998" s="156"/>
      <c r="D998" s="156"/>
      <c r="E998" s="156"/>
      <c r="F998" s="156"/>
      <c r="G998" s="156"/>
      <c r="H998" s="156"/>
      <c r="I998" s="156"/>
      <c r="J998" s="156"/>
      <c r="K998" s="156"/>
      <c r="L998" s="156"/>
      <c r="M998" s="156"/>
      <c r="N998" s="156"/>
      <c r="O998" s="156"/>
      <c r="P998" s="156"/>
      <c r="Q998" s="156"/>
      <c r="R998" s="156"/>
      <c r="S998" s="156"/>
      <c r="T998" s="156"/>
      <c r="U998" s="156"/>
      <c r="V998" s="156"/>
      <c r="W998" s="156"/>
      <c r="X998" s="156"/>
      <c r="Y998" s="156"/>
      <c r="Z998" s="156"/>
    </row>
    <row r="999">
      <c r="A999" s="156"/>
      <c r="B999" s="156"/>
      <c r="C999" s="156"/>
      <c r="D999" s="156"/>
      <c r="E999" s="156"/>
      <c r="F999" s="156"/>
      <c r="G999" s="156"/>
      <c r="H999" s="156"/>
      <c r="I999" s="156"/>
      <c r="J999" s="156"/>
      <c r="K999" s="156"/>
      <c r="L999" s="156"/>
      <c r="M999" s="156"/>
      <c r="N999" s="156"/>
      <c r="O999" s="156"/>
      <c r="P999" s="156"/>
      <c r="Q999" s="156"/>
      <c r="R999" s="156"/>
      <c r="S999" s="156"/>
      <c r="T999" s="156"/>
      <c r="U999" s="156"/>
      <c r="V999" s="156"/>
      <c r="W999" s="156"/>
      <c r="X999" s="156"/>
      <c r="Y999" s="156"/>
      <c r="Z999" s="156"/>
    </row>
    <row r="1000">
      <c r="A1000" s="156"/>
      <c r="B1000" s="156"/>
      <c r="C1000" s="156"/>
      <c r="D1000" s="156"/>
      <c r="E1000" s="156"/>
      <c r="F1000" s="156"/>
      <c r="G1000" s="156"/>
      <c r="H1000" s="156"/>
      <c r="I1000" s="156"/>
      <c r="J1000" s="156"/>
      <c r="K1000" s="156"/>
      <c r="L1000" s="156"/>
      <c r="M1000" s="156"/>
      <c r="N1000" s="156"/>
      <c r="O1000" s="156"/>
      <c r="P1000" s="156"/>
      <c r="Q1000" s="156"/>
      <c r="R1000" s="156"/>
      <c r="S1000" s="156"/>
      <c r="T1000" s="156"/>
      <c r="U1000" s="156"/>
      <c r="V1000" s="156"/>
      <c r="W1000" s="156"/>
      <c r="X1000" s="156"/>
      <c r="Y1000" s="156"/>
      <c r="Z1000" s="15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0.0"/>
    <col customWidth="1" min="2" max="2" width="18.63"/>
    <col customWidth="1" min="3" max="3" width="9.88"/>
    <col customWidth="1" min="4" max="4" width="7.5"/>
    <col customWidth="1" min="5" max="26" width="10.63"/>
  </cols>
  <sheetData>
    <row r="1" ht="14.25" customHeight="1">
      <c r="A1" s="3" t="s">
        <v>3643</v>
      </c>
      <c r="B1" s="3" t="s">
        <v>8</v>
      </c>
      <c r="C1" s="3" t="s">
        <v>15933</v>
      </c>
      <c r="D1" s="3" t="s">
        <v>15934</v>
      </c>
    </row>
    <row r="2" ht="14.25" customHeight="1">
      <c r="A2" s="3" t="s">
        <v>5588</v>
      </c>
      <c r="B2" s="3" t="s">
        <v>5589</v>
      </c>
      <c r="C2" s="3">
        <v>22280.0</v>
      </c>
      <c r="D2" s="3">
        <v>69.0</v>
      </c>
    </row>
    <row r="3" ht="14.25" hidden="1" customHeight="1">
      <c r="A3" s="3" t="s">
        <v>15935</v>
      </c>
      <c r="B3" s="3">
        <v>1.0001374E7</v>
      </c>
      <c r="C3" s="3">
        <v>6490.0</v>
      </c>
      <c r="D3" s="3">
        <v>1.0</v>
      </c>
    </row>
    <row r="4" ht="14.25" hidden="1" customHeight="1">
      <c r="A4" s="3" t="s">
        <v>2358</v>
      </c>
      <c r="B4" s="3">
        <v>1.000190502E9</v>
      </c>
      <c r="C4" s="3">
        <v>0.0</v>
      </c>
      <c r="D4" s="3">
        <v>6.0</v>
      </c>
    </row>
    <row r="5" ht="14.25" hidden="1" customHeight="1">
      <c r="A5" s="3" t="s">
        <v>3646</v>
      </c>
      <c r="B5" s="3">
        <v>1.000190507E9</v>
      </c>
      <c r="C5" s="3">
        <v>0.0</v>
      </c>
      <c r="D5" s="3">
        <v>3.0</v>
      </c>
    </row>
    <row r="6" ht="14.25" hidden="1" customHeight="1">
      <c r="A6" s="3" t="s">
        <v>3647</v>
      </c>
      <c r="B6" s="3">
        <v>1.000190521E9</v>
      </c>
      <c r="C6" s="3">
        <v>0.0</v>
      </c>
      <c r="D6" s="3">
        <v>3.0</v>
      </c>
    </row>
    <row r="7" ht="14.25" hidden="1" customHeight="1">
      <c r="A7" s="3" t="s">
        <v>3648</v>
      </c>
      <c r="B7" s="3">
        <v>1.000190602E9</v>
      </c>
      <c r="C7" s="3">
        <v>0.0</v>
      </c>
      <c r="D7" s="3">
        <v>3.0</v>
      </c>
    </row>
    <row r="8" ht="14.25" hidden="1" customHeight="1">
      <c r="A8" s="3" t="s">
        <v>3649</v>
      </c>
      <c r="B8" s="3">
        <v>1.000190607E9</v>
      </c>
      <c r="C8" s="3">
        <v>0.0</v>
      </c>
      <c r="D8" s="3">
        <v>3.0</v>
      </c>
    </row>
    <row r="9" ht="14.25" hidden="1" customHeight="1">
      <c r="A9" s="3" t="s">
        <v>3650</v>
      </c>
      <c r="B9" s="3">
        <v>1.000190621E9</v>
      </c>
      <c r="C9" s="3">
        <v>0.0</v>
      </c>
      <c r="D9" s="3">
        <v>3.0</v>
      </c>
    </row>
    <row r="10" ht="14.25" hidden="1" customHeight="1">
      <c r="A10" s="3" t="s">
        <v>3651</v>
      </c>
      <c r="B10" s="3">
        <v>1.000190702E9</v>
      </c>
      <c r="C10" s="3">
        <v>0.0</v>
      </c>
      <c r="D10" s="3">
        <v>2.0</v>
      </c>
    </row>
    <row r="11" ht="14.25" hidden="1" customHeight="1">
      <c r="A11" s="3" t="s">
        <v>3652</v>
      </c>
      <c r="B11" s="3">
        <v>1.000190707E9</v>
      </c>
      <c r="C11" s="3">
        <v>0.0</v>
      </c>
      <c r="D11" s="3">
        <v>4.0</v>
      </c>
    </row>
    <row r="12" ht="14.25" hidden="1" customHeight="1">
      <c r="A12" s="3" t="s">
        <v>3653</v>
      </c>
      <c r="B12" s="3">
        <v>1.000190721E9</v>
      </c>
      <c r="C12" s="3">
        <v>0.0</v>
      </c>
      <c r="D12" s="3">
        <v>3.0</v>
      </c>
    </row>
    <row r="13" ht="14.25" hidden="1" customHeight="1">
      <c r="A13" s="3" t="s">
        <v>3654</v>
      </c>
      <c r="B13" s="3">
        <v>1.000190802E9</v>
      </c>
      <c r="C13" s="3">
        <v>0.0</v>
      </c>
      <c r="D13" s="3">
        <v>4.0</v>
      </c>
    </row>
    <row r="14" ht="14.25" hidden="1" customHeight="1">
      <c r="A14" s="3" t="s">
        <v>3655</v>
      </c>
      <c r="B14" s="3">
        <v>1.000190807E9</v>
      </c>
      <c r="C14" s="3">
        <v>0.0</v>
      </c>
      <c r="D14" s="3">
        <v>4.0</v>
      </c>
    </row>
    <row r="15" ht="14.25" hidden="1" customHeight="1">
      <c r="A15" s="3" t="s">
        <v>3656</v>
      </c>
      <c r="B15" s="3">
        <v>1.000190821E9</v>
      </c>
      <c r="C15" s="3">
        <v>0.0</v>
      </c>
      <c r="D15" s="3">
        <v>4.0</v>
      </c>
    </row>
    <row r="16" ht="14.25" hidden="1" customHeight="1">
      <c r="A16" s="3" t="s">
        <v>3657</v>
      </c>
      <c r="B16" s="3">
        <v>1.00020051E9</v>
      </c>
      <c r="C16" s="3">
        <v>0.0</v>
      </c>
      <c r="D16" s="3">
        <v>3.0</v>
      </c>
    </row>
    <row r="17" ht="14.25" hidden="1" customHeight="1">
      <c r="A17" s="3" t="s">
        <v>3658</v>
      </c>
      <c r="B17" s="3">
        <v>1.000200512E9</v>
      </c>
      <c r="C17" s="3">
        <v>0.0</v>
      </c>
      <c r="D17" s="3">
        <v>3.0</v>
      </c>
    </row>
    <row r="18" ht="14.25" hidden="1" customHeight="1">
      <c r="A18" s="3" t="s">
        <v>3659</v>
      </c>
      <c r="B18" s="3">
        <v>1.000200519E9</v>
      </c>
      <c r="C18" s="3">
        <v>0.0</v>
      </c>
      <c r="D18" s="3">
        <v>3.0</v>
      </c>
    </row>
    <row r="19" ht="14.25" hidden="1" customHeight="1">
      <c r="A19" s="3" t="s">
        <v>3660</v>
      </c>
      <c r="B19" s="3">
        <v>1.00020061E9</v>
      </c>
      <c r="C19" s="3">
        <v>0.0</v>
      </c>
      <c r="D19" s="3">
        <v>3.0</v>
      </c>
    </row>
    <row r="20" ht="14.25" hidden="1" customHeight="1">
      <c r="A20" s="3" t="s">
        <v>3661</v>
      </c>
      <c r="B20" s="3">
        <v>1.000200612E9</v>
      </c>
      <c r="C20" s="3">
        <v>0.0</v>
      </c>
      <c r="D20" s="3">
        <v>3.0</v>
      </c>
    </row>
    <row r="21" ht="14.25" hidden="1" customHeight="1">
      <c r="A21" s="3" t="s">
        <v>3662</v>
      </c>
      <c r="B21" s="3">
        <v>1.000200619E9</v>
      </c>
      <c r="C21" s="3">
        <v>0.0</v>
      </c>
      <c r="D21" s="3">
        <v>3.0</v>
      </c>
    </row>
    <row r="22" ht="14.25" hidden="1" customHeight="1">
      <c r="A22" s="3" t="s">
        <v>3663</v>
      </c>
      <c r="B22" s="3">
        <v>1.00020071E9</v>
      </c>
      <c r="C22" s="3">
        <v>0.0</v>
      </c>
      <c r="D22" s="3">
        <v>2.0</v>
      </c>
    </row>
    <row r="23" ht="14.25" hidden="1" customHeight="1">
      <c r="A23" s="3" t="s">
        <v>3664</v>
      </c>
      <c r="B23" s="3">
        <v>1.000200712E9</v>
      </c>
      <c r="C23" s="3">
        <v>0.0</v>
      </c>
      <c r="D23" s="3">
        <v>3.0</v>
      </c>
    </row>
    <row r="24" ht="14.25" hidden="1" customHeight="1">
      <c r="A24" s="3" t="s">
        <v>3665</v>
      </c>
      <c r="B24" s="3">
        <v>1.000200719E9</v>
      </c>
      <c r="C24" s="3">
        <v>0.0</v>
      </c>
      <c r="D24" s="3">
        <v>2.0</v>
      </c>
    </row>
    <row r="25" ht="14.25" hidden="1" customHeight="1">
      <c r="A25" s="3" t="s">
        <v>3666</v>
      </c>
      <c r="B25" s="3">
        <v>1.00020081E9</v>
      </c>
      <c r="C25" s="3">
        <v>0.0</v>
      </c>
      <c r="D25" s="3">
        <v>3.0</v>
      </c>
    </row>
    <row r="26" ht="14.25" hidden="1" customHeight="1">
      <c r="A26" s="3" t="s">
        <v>3667</v>
      </c>
      <c r="B26" s="3">
        <v>1.000200812E9</v>
      </c>
      <c r="C26" s="3">
        <v>0.0</v>
      </c>
      <c r="D26" s="3">
        <v>3.0</v>
      </c>
    </row>
    <row r="27" ht="14.25" hidden="1" customHeight="1">
      <c r="A27" s="3" t="s">
        <v>3668</v>
      </c>
      <c r="B27" s="3">
        <v>1.000200819E9</v>
      </c>
      <c r="C27" s="3">
        <v>0.0</v>
      </c>
      <c r="D27" s="3">
        <v>3.0</v>
      </c>
    </row>
    <row r="28" ht="14.25" hidden="1" customHeight="1">
      <c r="A28" s="3" t="s">
        <v>3669</v>
      </c>
      <c r="B28" s="3">
        <v>1.000210501E9</v>
      </c>
      <c r="C28" s="3">
        <v>0.0</v>
      </c>
      <c r="D28" s="3">
        <v>3.0</v>
      </c>
    </row>
    <row r="29" ht="14.25" hidden="1" customHeight="1">
      <c r="A29" s="3" t="s">
        <v>3670</v>
      </c>
      <c r="B29" s="3">
        <v>1.000210509E9</v>
      </c>
      <c r="C29" s="3">
        <v>0.0</v>
      </c>
      <c r="D29" s="3">
        <v>3.0</v>
      </c>
    </row>
    <row r="30" ht="14.25" hidden="1" customHeight="1">
      <c r="A30" s="3" t="s">
        <v>3671</v>
      </c>
      <c r="B30" s="3">
        <v>1.00021051E9</v>
      </c>
      <c r="C30" s="3">
        <v>0.0</v>
      </c>
      <c r="D30" s="3">
        <v>2.0</v>
      </c>
    </row>
    <row r="31" ht="14.25" hidden="1" customHeight="1">
      <c r="A31" s="3" t="s">
        <v>3672</v>
      </c>
      <c r="B31" s="3">
        <v>1.000210601E9</v>
      </c>
      <c r="C31" s="3">
        <v>0.0</v>
      </c>
      <c r="D31" s="3">
        <v>3.0</v>
      </c>
    </row>
    <row r="32" ht="14.25" hidden="1" customHeight="1">
      <c r="A32" s="3" t="s">
        <v>3673</v>
      </c>
      <c r="B32" s="3">
        <v>1.000210609E9</v>
      </c>
      <c r="C32" s="3">
        <v>0.0</v>
      </c>
      <c r="D32" s="3">
        <v>3.0</v>
      </c>
    </row>
    <row r="33" ht="14.25" hidden="1" customHeight="1">
      <c r="A33" s="3" t="s">
        <v>3674</v>
      </c>
      <c r="B33" s="3">
        <v>1.00021061E9</v>
      </c>
      <c r="C33" s="3">
        <v>0.0</v>
      </c>
      <c r="D33" s="3">
        <v>5.0</v>
      </c>
    </row>
    <row r="34" ht="14.25" hidden="1" customHeight="1">
      <c r="A34" s="3" t="s">
        <v>3675</v>
      </c>
      <c r="B34" s="3">
        <v>1.000210701E9</v>
      </c>
      <c r="C34" s="3">
        <v>0.0</v>
      </c>
      <c r="D34" s="3">
        <v>3.0</v>
      </c>
    </row>
    <row r="35" ht="14.25" hidden="1" customHeight="1">
      <c r="A35" s="3" t="s">
        <v>3676</v>
      </c>
      <c r="B35" s="3">
        <v>1.000210709E9</v>
      </c>
      <c r="C35" s="3">
        <v>0.0</v>
      </c>
      <c r="D35" s="3">
        <v>3.0</v>
      </c>
    </row>
    <row r="36" ht="14.25" hidden="1" customHeight="1">
      <c r="A36" s="3" t="s">
        <v>3677</v>
      </c>
      <c r="B36" s="3">
        <v>1.00021071E9</v>
      </c>
      <c r="C36" s="3">
        <v>0.0</v>
      </c>
      <c r="D36" s="3">
        <v>3.0</v>
      </c>
    </row>
    <row r="37" ht="14.25" hidden="1" customHeight="1">
      <c r="A37" s="3" t="s">
        <v>3678</v>
      </c>
      <c r="B37" s="3">
        <v>1.000210801E9</v>
      </c>
      <c r="C37" s="3">
        <v>0.0</v>
      </c>
      <c r="D37" s="3">
        <v>3.0</v>
      </c>
    </row>
    <row r="38" ht="14.25" hidden="1" customHeight="1">
      <c r="A38" s="3" t="s">
        <v>3679</v>
      </c>
      <c r="B38" s="3">
        <v>1.000210809E9</v>
      </c>
      <c r="C38" s="3">
        <v>0.0</v>
      </c>
      <c r="D38" s="3">
        <v>2.0</v>
      </c>
    </row>
    <row r="39" ht="14.25" hidden="1" customHeight="1">
      <c r="A39" s="3" t="s">
        <v>3680</v>
      </c>
      <c r="B39" s="3">
        <v>1.00021081E9</v>
      </c>
      <c r="C39" s="3">
        <v>0.0</v>
      </c>
      <c r="D39" s="3">
        <v>3.0</v>
      </c>
    </row>
    <row r="40" ht="14.25" hidden="1" customHeight="1">
      <c r="A40" s="3" t="s">
        <v>3681</v>
      </c>
      <c r="B40" s="3">
        <v>1.000220502E9</v>
      </c>
      <c r="C40" s="3">
        <v>0.0</v>
      </c>
      <c r="D40" s="3">
        <v>2.0</v>
      </c>
    </row>
    <row r="41" ht="14.25" hidden="1" customHeight="1">
      <c r="A41" s="3" t="s">
        <v>3682</v>
      </c>
      <c r="B41" s="3">
        <v>1.000220508E9</v>
      </c>
      <c r="C41" s="3">
        <v>0.0</v>
      </c>
      <c r="D41" s="3">
        <v>3.0</v>
      </c>
    </row>
    <row r="42" ht="14.25" hidden="1" customHeight="1">
      <c r="A42" s="3" t="s">
        <v>3683</v>
      </c>
      <c r="B42" s="3">
        <v>1.000220521E9</v>
      </c>
      <c r="C42" s="3">
        <v>0.0</v>
      </c>
      <c r="D42" s="3">
        <v>2.0</v>
      </c>
    </row>
    <row r="43" ht="14.25" hidden="1" customHeight="1">
      <c r="A43" s="3" t="s">
        <v>3684</v>
      </c>
      <c r="B43" s="3">
        <v>1.000220602E9</v>
      </c>
      <c r="C43" s="3">
        <v>0.0</v>
      </c>
      <c r="D43" s="3">
        <v>3.0</v>
      </c>
    </row>
    <row r="44" ht="14.25" hidden="1" customHeight="1">
      <c r="A44" s="3" t="s">
        <v>3685</v>
      </c>
      <c r="B44" s="3">
        <v>1.000220608E9</v>
      </c>
      <c r="C44" s="3">
        <v>0.0</v>
      </c>
      <c r="D44" s="3">
        <v>1.0</v>
      </c>
    </row>
    <row r="45" ht="14.25" hidden="1" customHeight="1">
      <c r="A45" s="3" t="s">
        <v>3686</v>
      </c>
      <c r="B45" s="3">
        <v>1.000220621E9</v>
      </c>
      <c r="C45" s="3">
        <v>0.0</v>
      </c>
      <c r="D45" s="3">
        <v>3.0</v>
      </c>
    </row>
    <row r="46" ht="14.25" hidden="1" customHeight="1">
      <c r="A46" s="3" t="s">
        <v>3687</v>
      </c>
      <c r="B46" s="3">
        <v>1.000220702E9</v>
      </c>
      <c r="C46" s="3">
        <v>0.0</v>
      </c>
      <c r="D46" s="3">
        <v>3.0</v>
      </c>
    </row>
    <row r="47" ht="14.25" hidden="1" customHeight="1">
      <c r="A47" s="3" t="s">
        <v>3688</v>
      </c>
      <c r="B47" s="3">
        <v>1.000220708E9</v>
      </c>
      <c r="C47" s="3">
        <v>0.0</v>
      </c>
      <c r="D47" s="3">
        <v>3.0</v>
      </c>
    </row>
    <row r="48" ht="14.25" hidden="1" customHeight="1">
      <c r="A48" s="3" t="s">
        <v>3689</v>
      </c>
      <c r="B48" s="3">
        <v>1.000220721E9</v>
      </c>
      <c r="C48" s="3">
        <v>0.0</v>
      </c>
      <c r="D48" s="3">
        <v>4.0</v>
      </c>
    </row>
    <row r="49" ht="14.25" hidden="1" customHeight="1">
      <c r="A49" s="3" t="s">
        <v>3690</v>
      </c>
      <c r="B49" s="3">
        <v>1.000220802E9</v>
      </c>
      <c r="C49" s="3">
        <v>0.0</v>
      </c>
      <c r="D49" s="3">
        <v>3.0</v>
      </c>
    </row>
    <row r="50" ht="14.25" hidden="1" customHeight="1">
      <c r="A50" s="3" t="s">
        <v>3691</v>
      </c>
      <c r="B50" s="3">
        <v>1.000220808E9</v>
      </c>
      <c r="C50" s="3">
        <v>0.0</v>
      </c>
      <c r="D50" s="3">
        <v>3.0</v>
      </c>
    </row>
    <row r="51" ht="14.25" hidden="1" customHeight="1">
      <c r="A51" s="3" t="s">
        <v>3692</v>
      </c>
      <c r="B51" s="3">
        <v>1.000220821E9</v>
      </c>
      <c r="C51" s="3">
        <v>0.0</v>
      </c>
      <c r="D51" s="3">
        <v>3.0</v>
      </c>
    </row>
    <row r="52" ht="14.25" hidden="1" customHeight="1">
      <c r="A52" s="3" t="s">
        <v>15936</v>
      </c>
      <c r="B52" s="3">
        <v>100135.0</v>
      </c>
      <c r="C52" s="3">
        <v>120163.0</v>
      </c>
      <c r="D52" s="3">
        <v>1.0</v>
      </c>
    </row>
    <row r="53" ht="14.25" hidden="1" customHeight="1">
      <c r="A53" s="3" t="s">
        <v>3447</v>
      </c>
      <c r="B53" s="3">
        <v>1.0020020040103E13</v>
      </c>
      <c r="C53" s="3">
        <v>35157.0</v>
      </c>
      <c r="D53" s="3">
        <v>13.0</v>
      </c>
    </row>
    <row r="54" ht="14.25" hidden="1" customHeight="1">
      <c r="A54" s="3" t="s">
        <v>15937</v>
      </c>
      <c r="B54" s="3">
        <v>1.0020020060102E13</v>
      </c>
      <c r="C54" s="3">
        <v>52935.0</v>
      </c>
      <c r="D54" s="3">
        <v>1.0</v>
      </c>
    </row>
    <row r="55" ht="14.25" hidden="1" customHeight="1">
      <c r="A55" s="3" t="s">
        <v>5590</v>
      </c>
      <c r="B55" s="3">
        <v>1.0020020080107E13</v>
      </c>
      <c r="C55" s="3">
        <v>0.0</v>
      </c>
      <c r="D55" s="3">
        <v>2.0</v>
      </c>
    </row>
    <row r="56" ht="14.25" hidden="1" customHeight="1">
      <c r="A56" s="3" t="s">
        <v>3693</v>
      </c>
      <c r="B56" s="3">
        <v>1.0030030110102E13</v>
      </c>
      <c r="C56" s="3">
        <v>29406.0</v>
      </c>
      <c r="D56" s="3">
        <v>15.0</v>
      </c>
    </row>
    <row r="57" ht="14.25" hidden="1" customHeight="1">
      <c r="A57" s="3" t="s">
        <v>3241</v>
      </c>
      <c r="B57" s="3">
        <v>1.0030030120102E13</v>
      </c>
      <c r="C57" s="3">
        <v>105876.0</v>
      </c>
      <c r="D57" s="3">
        <v>25.0</v>
      </c>
    </row>
    <row r="58" ht="14.25" hidden="1" customHeight="1">
      <c r="A58" s="3" t="s">
        <v>3694</v>
      </c>
      <c r="B58" s="3">
        <v>1.0030050150102E13</v>
      </c>
      <c r="C58" s="3">
        <v>0.0</v>
      </c>
      <c r="D58" s="3">
        <v>42.0</v>
      </c>
    </row>
    <row r="59" ht="14.25" hidden="1" customHeight="1">
      <c r="A59" s="3" t="s">
        <v>15938</v>
      </c>
      <c r="B59" s="3">
        <v>1.0040010010201E13</v>
      </c>
      <c r="C59" s="3">
        <v>0.0</v>
      </c>
      <c r="D59" s="3">
        <v>4.0</v>
      </c>
    </row>
    <row r="60" ht="14.25" hidden="1" customHeight="1">
      <c r="A60" s="3" t="s">
        <v>3449</v>
      </c>
      <c r="B60" s="3">
        <v>1.0040010020401E13</v>
      </c>
      <c r="C60" s="3">
        <v>0.0</v>
      </c>
      <c r="D60" s="3">
        <v>5.0</v>
      </c>
    </row>
    <row r="61" ht="14.25" hidden="1" customHeight="1">
      <c r="A61" s="3" t="s">
        <v>15939</v>
      </c>
      <c r="B61" s="3">
        <v>1.0040010030101E13</v>
      </c>
      <c r="C61" s="3">
        <v>0.0</v>
      </c>
      <c r="D61" s="3">
        <v>3.0</v>
      </c>
    </row>
    <row r="62" ht="14.25" hidden="1" customHeight="1">
      <c r="A62" s="3" t="s">
        <v>3721</v>
      </c>
      <c r="B62" s="3">
        <v>1.0070050170103E13</v>
      </c>
      <c r="C62" s="3">
        <v>0.0</v>
      </c>
      <c r="D62" s="3">
        <v>13.0</v>
      </c>
    </row>
    <row r="63" ht="14.25" hidden="1" customHeight="1">
      <c r="A63" s="3" t="s">
        <v>3727</v>
      </c>
      <c r="B63" s="3">
        <v>1.00800501801E13</v>
      </c>
      <c r="C63" s="3">
        <v>52935.0</v>
      </c>
      <c r="D63" s="3">
        <v>6.0</v>
      </c>
    </row>
    <row r="64" ht="14.25" hidden="1" customHeight="1">
      <c r="A64" s="3" t="s">
        <v>3451</v>
      </c>
      <c r="B64" s="3">
        <v>1.0080050230002E13</v>
      </c>
      <c r="C64" s="3">
        <v>0.0</v>
      </c>
      <c r="D64" s="3">
        <v>6.0</v>
      </c>
    </row>
    <row r="65" ht="14.25" hidden="1" customHeight="1">
      <c r="A65" s="3" t="s">
        <v>15940</v>
      </c>
      <c r="B65" s="3">
        <v>1.0080050240002E13</v>
      </c>
      <c r="C65" s="3">
        <v>0.0</v>
      </c>
      <c r="D65" s="3">
        <v>6.0</v>
      </c>
    </row>
    <row r="66" ht="14.25" hidden="1" customHeight="1">
      <c r="A66" s="3" t="s">
        <v>3371</v>
      </c>
      <c r="B66" s="3">
        <v>1.0080050250002E13</v>
      </c>
      <c r="C66" s="3">
        <v>67641.0</v>
      </c>
      <c r="D66" s="3">
        <v>11.0</v>
      </c>
    </row>
    <row r="67" ht="14.25" hidden="1" customHeight="1">
      <c r="A67" s="3" t="s">
        <v>3728</v>
      </c>
      <c r="B67" s="3">
        <v>1.0080050260002E13</v>
      </c>
      <c r="C67" s="3">
        <v>0.0</v>
      </c>
      <c r="D67" s="3">
        <v>6.0</v>
      </c>
    </row>
    <row r="68" ht="14.25" hidden="1" customHeight="1">
      <c r="A68" s="3" t="s">
        <v>3729</v>
      </c>
      <c r="B68" s="3">
        <v>1.0080050270007E13</v>
      </c>
      <c r="C68" s="3">
        <v>0.0</v>
      </c>
      <c r="D68" s="3">
        <v>10.0</v>
      </c>
    </row>
    <row r="69" ht="14.25" hidden="1" customHeight="1">
      <c r="A69" s="3" t="s">
        <v>3452</v>
      </c>
      <c r="B69" s="3">
        <v>1.0080050320007E13</v>
      </c>
      <c r="C69" s="3">
        <v>0.0</v>
      </c>
      <c r="D69" s="3">
        <v>12.0</v>
      </c>
    </row>
    <row r="70" ht="14.25" hidden="1" customHeight="1">
      <c r="A70" s="3" t="s">
        <v>15941</v>
      </c>
      <c r="B70" s="3">
        <v>1.0080050330007E13</v>
      </c>
      <c r="C70" s="3">
        <v>0.0</v>
      </c>
      <c r="D70" s="3">
        <v>6.0</v>
      </c>
    </row>
    <row r="71" ht="14.25" hidden="1" customHeight="1">
      <c r="A71" s="3" t="s">
        <v>3731</v>
      </c>
      <c r="B71" s="3">
        <v>1.0080050340007E13</v>
      </c>
      <c r="C71" s="3">
        <v>0.0</v>
      </c>
      <c r="D71" s="3">
        <v>7.0</v>
      </c>
    </row>
    <row r="72" ht="14.25" hidden="1" customHeight="1">
      <c r="A72" s="3" t="s">
        <v>3453</v>
      </c>
      <c r="B72" s="3">
        <v>1.0080050430002E13</v>
      </c>
      <c r="C72" s="3">
        <v>52935.0</v>
      </c>
      <c r="D72" s="3">
        <v>14.0</v>
      </c>
    </row>
    <row r="73" ht="14.25" hidden="1" customHeight="1">
      <c r="A73" s="3" t="s">
        <v>3454</v>
      </c>
      <c r="B73" s="3">
        <v>1.0080100220101E13</v>
      </c>
      <c r="C73" s="3">
        <v>99994.0</v>
      </c>
      <c r="D73" s="3">
        <v>2.0</v>
      </c>
    </row>
    <row r="74" ht="14.25" hidden="1" customHeight="1">
      <c r="A74" s="3" t="s">
        <v>3733</v>
      </c>
      <c r="B74" s="3">
        <v>1.0080100220103E13</v>
      </c>
      <c r="C74" s="3">
        <v>0.0</v>
      </c>
      <c r="D74" s="3">
        <v>1.0</v>
      </c>
    </row>
    <row r="75" ht="14.25" hidden="1" customHeight="1">
      <c r="A75" s="3" t="s">
        <v>3734</v>
      </c>
      <c r="B75" s="3">
        <v>1.0080100220107E13</v>
      </c>
      <c r="C75" s="3">
        <v>0.0</v>
      </c>
      <c r="D75" s="3">
        <v>6.0</v>
      </c>
    </row>
    <row r="76" ht="14.25" hidden="1" customHeight="1">
      <c r="A76" s="3" t="s">
        <v>3735</v>
      </c>
      <c r="B76" s="3">
        <v>1.0080100230101E13</v>
      </c>
      <c r="C76" s="3">
        <v>0.0</v>
      </c>
      <c r="D76" s="3">
        <v>17.0</v>
      </c>
    </row>
    <row r="77" ht="14.25" hidden="1" customHeight="1">
      <c r="A77" s="3" t="s">
        <v>15942</v>
      </c>
      <c r="B77" s="3">
        <v>1.0080100230102E13</v>
      </c>
      <c r="C77" s="3">
        <v>0.0</v>
      </c>
      <c r="D77" s="3">
        <v>3.0</v>
      </c>
    </row>
    <row r="78" ht="14.25" hidden="1" customHeight="1">
      <c r="A78" s="3" t="s">
        <v>15943</v>
      </c>
      <c r="B78" s="3">
        <v>1.0080100230103E13</v>
      </c>
      <c r="C78" s="3">
        <v>0.0</v>
      </c>
      <c r="D78" s="3">
        <v>7.0</v>
      </c>
    </row>
    <row r="79" ht="14.25" hidden="1" customHeight="1">
      <c r="A79" s="3" t="s">
        <v>5591</v>
      </c>
      <c r="B79" s="3">
        <v>1.0080100240107E13</v>
      </c>
      <c r="C79" s="3">
        <v>0.0</v>
      </c>
      <c r="D79" s="3">
        <v>5.0</v>
      </c>
    </row>
    <row r="80" ht="14.25" hidden="1" customHeight="1">
      <c r="A80" s="3" t="s">
        <v>3455</v>
      </c>
      <c r="B80" s="3">
        <v>1.0080110250103E13</v>
      </c>
      <c r="C80" s="3">
        <v>76465.0</v>
      </c>
      <c r="D80" s="3">
        <v>5.0</v>
      </c>
    </row>
    <row r="81" ht="14.25" hidden="1" customHeight="1">
      <c r="A81" s="3" t="s">
        <v>3242</v>
      </c>
      <c r="B81" s="3">
        <v>1.008011025014E13</v>
      </c>
      <c r="C81" s="3">
        <v>76465.0</v>
      </c>
      <c r="D81" s="3">
        <v>7.0</v>
      </c>
    </row>
    <row r="82" ht="14.25" hidden="1" customHeight="1">
      <c r="A82" s="3" t="s">
        <v>3736</v>
      </c>
      <c r="B82" s="3">
        <v>1.008012042004E13</v>
      </c>
      <c r="C82" s="3">
        <v>0.0</v>
      </c>
      <c r="D82" s="3">
        <v>6.0</v>
      </c>
    </row>
    <row r="83" ht="14.25" hidden="1" customHeight="1">
      <c r="A83" s="3" t="s">
        <v>3457</v>
      </c>
      <c r="B83" s="3">
        <v>1.0080130220002E13</v>
      </c>
      <c r="C83" s="3">
        <v>0.0</v>
      </c>
      <c r="D83" s="3">
        <v>5.0</v>
      </c>
    </row>
    <row r="84" ht="14.25" hidden="1" customHeight="1">
      <c r="A84" s="3" t="s">
        <v>3737</v>
      </c>
      <c r="B84" s="3">
        <v>1.0080130510002E13</v>
      </c>
      <c r="C84" s="3">
        <v>76465.0</v>
      </c>
      <c r="D84" s="3">
        <v>11.0</v>
      </c>
    </row>
    <row r="85" ht="14.25" hidden="1" customHeight="1">
      <c r="A85" s="3" t="s">
        <v>3243</v>
      </c>
      <c r="B85" s="3">
        <v>1.0080140470002E13</v>
      </c>
      <c r="C85" s="3">
        <v>35288.0</v>
      </c>
      <c r="D85" s="3">
        <v>12.0</v>
      </c>
    </row>
    <row r="86" ht="14.25" hidden="1" customHeight="1">
      <c r="A86" s="3" t="s">
        <v>3458</v>
      </c>
      <c r="B86" s="3">
        <v>1.0080150490001E13</v>
      </c>
      <c r="C86" s="3">
        <v>0.0</v>
      </c>
      <c r="D86" s="3">
        <v>32.0</v>
      </c>
    </row>
    <row r="87" ht="14.25" hidden="1" customHeight="1">
      <c r="A87" s="3" t="s">
        <v>3738</v>
      </c>
      <c r="B87" s="3">
        <v>1.0080150490002E13</v>
      </c>
      <c r="C87" s="3">
        <v>0.0</v>
      </c>
      <c r="D87" s="3">
        <v>64.0</v>
      </c>
    </row>
    <row r="88" ht="14.25" hidden="1" customHeight="1">
      <c r="A88" s="3" t="s">
        <v>3741</v>
      </c>
      <c r="B88" s="3">
        <v>1.009005045E13</v>
      </c>
      <c r="C88" s="3">
        <v>0.0</v>
      </c>
      <c r="D88" s="3">
        <v>5.0</v>
      </c>
    </row>
    <row r="89" ht="14.25" hidden="1" customHeight="1">
      <c r="A89" s="3" t="s">
        <v>3742</v>
      </c>
      <c r="B89" s="3">
        <v>1.009013046E13</v>
      </c>
      <c r="C89" s="3">
        <v>0.0</v>
      </c>
      <c r="D89" s="3">
        <v>8.0</v>
      </c>
    </row>
    <row r="90" ht="14.25" hidden="1" customHeight="1">
      <c r="A90" s="3" t="s">
        <v>3743</v>
      </c>
      <c r="B90" s="3">
        <v>1010.0</v>
      </c>
      <c r="C90" s="3">
        <v>0.0</v>
      </c>
      <c r="D90" s="3">
        <v>6.0</v>
      </c>
    </row>
    <row r="91" ht="14.25" hidden="1" customHeight="1">
      <c r="A91" s="3" t="s">
        <v>15944</v>
      </c>
      <c r="B91" s="3">
        <v>1.0100130360002E13</v>
      </c>
      <c r="C91" s="3">
        <v>0.0</v>
      </c>
      <c r="D91" s="3">
        <v>3.0</v>
      </c>
    </row>
    <row r="92" ht="14.25" hidden="1" customHeight="1">
      <c r="A92" s="3" t="s">
        <v>3245</v>
      </c>
      <c r="B92" s="3">
        <v>1.0100150210007E13</v>
      </c>
      <c r="C92" s="3">
        <v>23524.0</v>
      </c>
      <c r="D92" s="3">
        <v>13.0</v>
      </c>
    </row>
    <row r="93" ht="14.25" hidden="1" customHeight="1">
      <c r="A93" s="3" t="s">
        <v>3745</v>
      </c>
      <c r="B93" s="3">
        <v>1015.0</v>
      </c>
      <c r="C93" s="3">
        <v>0.0</v>
      </c>
      <c r="D93" s="3">
        <v>6.0</v>
      </c>
    </row>
    <row r="94" ht="14.25" hidden="1" customHeight="1">
      <c r="A94" s="3" t="s">
        <v>3746</v>
      </c>
      <c r="B94" s="3">
        <v>1028.0</v>
      </c>
      <c r="C94" s="3">
        <v>0.0</v>
      </c>
      <c r="D94" s="3">
        <v>5.0</v>
      </c>
    </row>
    <row r="95" ht="14.25" hidden="1" customHeight="1">
      <c r="A95" s="3" t="s">
        <v>3747</v>
      </c>
      <c r="B95" s="3">
        <v>1029.0</v>
      </c>
      <c r="C95" s="3">
        <v>0.0</v>
      </c>
      <c r="D95" s="3">
        <v>5.0</v>
      </c>
    </row>
    <row r="96" ht="14.25" hidden="1" customHeight="1">
      <c r="A96" s="3" t="s">
        <v>3748</v>
      </c>
      <c r="B96" s="3">
        <v>1034.0</v>
      </c>
      <c r="C96" s="3">
        <v>0.0</v>
      </c>
      <c r="D96" s="3">
        <v>5.0</v>
      </c>
    </row>
    <row r="97" ht="14.25" hidden="1" customHeight="1">
      <c r="A97" s="3" t="s">
        <v>3749</v>
      </c>
      <c r="B97" s="3">
        <v>1035.0</v>
      </c>
      <c r="C97" s="3">
        <v>0.0</v>
      </c>
      <c r="D97" s="3">
        <v>3.0</v>
      </c>
    </row>
    <row r="98" ht="14.25" hidden="1" customHeight="1">
      <c r="A98" s="3" t="s">
        <v>3750</v>
      </c>
      <c r="B98" s="3">
        <v>1036.0</v>
      </c>
      <c r="C98" s="3">
        <v>0.0</v>
      </c>
      <c r="D98" s="3">
        <v>6.0</v>
      </c>
    </row>
    <row r="99" ht="14.25" hidden="1" customHeight="1">
      <c r="A99" s="3" t="s">
        <v>3751</v>
      </c>
      <c r="B99" s="3">
        <v>1052.0</v>
      </c>
      <c r="C99" s="3">
        <v>0.0</v>
      </c>
      <c r="D99" s="3">
        <v>6.0</v>
      </c>
    </row>
    <row r="100" ht="14.25" hidden="1" customHeight="1">
      <c r="A100" s="3" t="s">
        <v>3752</v>
      </c>
      <c r="B100" s="3">
        <v>1053.0</v>
      </c>
      <c r="C100" s="3">
        <v>0.0</v>
      </c>
      <c r="D100" s="3">
        <v>6.0</v>
      </c>
    </row>
    <row r="101" ht="14.25" hidden="1" customHeight="1">
      <c r="A101" s="3" t="s">
        <v>3753</v>
      </c>
      <c r="B101" s="3">
        <v>1061.0</v>
      </c>
      <c r="C101" s="3">
        <v>0.0</v>
      </c>
      <c r="D101" s="3">
        <v>6.0</v>
      </c>
    </row>
    <row r="102" ht="14.25" hidden="1" customHeight="1">
      <c r="A102" s="3" t="s">
        <v>5592</v>
      </c>
      <c r="B102" s="3">
        <v>1123001.0</v>
      </c>
      <c r="C102" s="3">
        <v>55490.0</v>
      </c>
      <c r="D102" s="3">
        <v>2.0</v>
      </c>
    </row>
    <row r="103" ht="14.25" hidden="1" customHeight="1">
      <c r="A103" s="3" t="s">
        <v>3460</v>
      </c>
      <c r="B103" s="3">
        <v>1.20312743019E11</v>
      </c>
      <c r="C103" s="3">
        <v>17971.0</v>
      </c>
      <c r="D103" s="3">
        <v>3.0</v>
      </c>
    </row>
    <row r="104" ht="14.25" hidden="1" customHeight="1">
      <c r="A104" s="3" t="s">
        <v>15945</v>
      </c>
      <c r="B104" s="3">
        <v>1.20312744419E11</v>
      </c>
      <c r="C104" s="3">
        <v>19063.0</v>
      </c>
      <c r="D104" s="3">
        <v>1.0</v>
      </c>
    </row>
    <row r="105" ht="14.25" hidden="1" customHeight="1">
      <c r="A105" s="3" t="s">
        <v>15946</v>
      </c>
      <c r="B105" s="3">
        <v>1.21312914584E11</v>
      </c>
      <c r="C105" s="3">
        <v>17971.0</v>
      </c>
      <c r="D105" s="3">
        <v>2.0</v>
      </c>
    </row>
    <row r="106" ht="14.25" hidden="1" customHeight="1">
      <c r="A106" s="3" t="s">
        <v>15947</v>
      </c>
      <c r="B106" s="3">
        <v>1.21312919278E11</v>
      </c>
      <c r="C106" s="3">
        <v>20155.0</v>
      </c>
      <c r="D106" s="3">
        <v>2.0</v>
      </c>
    </row>
    <row r="107" ht="14.25" hidden="1" customHeight="1">
      <c r="A107" s="3" t="s">
        <v>15948</v>
      </c>
      <c r="B107" s="3">
        <v>1.21312919419E11</v>
      </c>
      <c r="C107" s="3">
        <v>19063.0</v>
      </c>
      <c r="D107" s="3">
        <v>2.0</v>
      </c>
    </row>
    <row r="108" ht="14.25" hidden="1" customHeight="1">
      <c r="A108" s="3" t="s">
        <v>3761</v>
      </c>
      <c r="B108" s="3">
        <v>1.21312926717E11</v>
      </c>
      <c r="C108" s="3">
        <v>17971.0</v>
      </c>
      <c r="D108" s="3">
        <v>1.0</v>
      </c>
    </row>
    <row r="109" ht="14.25" hidden="1" customHeight="1">
      <c r="A109" s="3" t="s">
        <v>3762</v>
      </c>
      <c r="B109" s="3">
        <v>1.21312926721E11</v>
      </c>
      <c r="C109" s="3">
        <v>17971.0</v>
      </c>
      <c r="D109" s="3">
        <v>8.0</v>
      </c>
    </row>
    <row r="110" ht="14.25" hidden="1" customHeight="1">
      <c r="A110" s="3" t="s">
        <v>15949</v>
      </c>
      <c r="B110" s="3">
        <v>1.21312954217E11</v>
      </c>
      <c r="C110" s="3">
        <v>19063.0</v>
      </c>
      <c r="D110" s="3">
        <v>1.0</v>
      </c>
    </row>
    <row r="111" ht="14.25" hidden="1" customHeight="1">
      <c r="A111" s="3" t="s">
        <v>3019</v>
      </c>
      <c r="B111" s="3">
        <v>1.479750635184E12</v>
      </c>
      <c r="C111" s="3">
        <v>2825.0</v>
      </c>
      <c r="D111" s="3">
        <v>1392.0</v>
      </c>
    </row>
    <row r="112" ht="14.25" hidden="1" customHeight="1">
      <c r="A112" s="3" t="s">
        <v>3072</v>
      </c>
      <c r="B112" s="3">
        <v>1.479755068919E12</v>
      </c>
      <c r="C112" s="3">
        <v>12932.0</v>
      </c>
      <c r="D112" s="3">
        <v>3.0</v>
      </c>
    </row>
    <row r="113" ht="14.25" hidden="1" customHeight="1">
      <c r="A113" s="3" t="s">
        <v>3073</v>
      </c>
      <c r="B113" s="3">
        <v>1.479823191801E12</v>
      </c>
      <c r="C113" s="3">
        <v>2709.0</v>
      </c>
      <c r="D113" s="3">
        <v>165.0</v>
      </c>
    </row>
    <row r="114" ht="14.25" hidden="1" customHeight="1">
      <c r="A114" s="3" t="s">
        <v>3768</v>
      </c>
      <c r="B114" s="3">
        <v>1.481123752846E12</v>
      </c>
      <c r="C114" s="3">
        <v>6098.0</v>
      </c>
      <c r="D114" s="3">
        <v>72.0</v>
      </c>
    </row>
    <row r="115" ht="14.25" hidden="1" customHeight="1">
      <c r="A115" s="3" t="s">
        <v>3074</v>
      </c>
      <c r="B115" s="3">
        <v>1.481123917144E12</v>
      </c>
      <c r="C115" s="3">
        <v>0.0</v>
      </c>
      <c r="D115" s="3">
        <v>24.0</v>
      </c>
    </row>
    <row r="116" ht="14.25" hidden="1" customHeight="1">
      <c r="A116" s="3" t="s">
        <v>3769</v>
      </c>
      <c r="B116" s="3">
        <v>1.481123937937E12</v>
      </c>
      <c r="C116" s="3">
        <v>0.0</v>
      </c>
      <c r="D116" s="3">
        <v>5.0</v>
      </c>
    </row>
    <row r="117" ht="14.25" hidden="1" customHeight="1">
      <c r="A117" s="3" t="s">
        <v>3770</v>
      </c>
      <c r="B117" s="3" t="e">
        <v>#N/A</v>
      </c>
      <c r="C117" s="3" t="e">
        <v>#N/A</v>
      </c>
      <c r="D117" s="3">
        <v>10.0</v>
      </c>
    </row>
    <row r="118" ht="14.25" hidden="1" customHeight="1">
      <c r="A118" s="3" t="s">
        <v>3020</v>
      </c>
      <c r="B118" s="3">
        <v>1.496183099853E12</v>
      </c>
      <c r="C118" s="3">
        <v>17422.0</v>
      </c>
      <c r="D118" s="3">
        <v>123.0</v>
      </c>
    </row>
    <row r="119" ht="14.25" hidden="1" customHeight="1">
      <c r="A119" s="3" t="s">
        <v>3772</v>
      </c>
      <c r="B119" s="3">
        <v>1.507904554106E12</v>
      </c>
      <c r="C119" s="3">
        <v>1200.0</v>
      </c>
      <c r="D119" s="3">
        <v>1.0</v>
      </c>
    </row>
    <row r="120" ht="14.25" hidden="1" customHeight="1">
      <c r="A120" s="3" t="s">
        <v>3465</v>
      </c>
      <c r="B120" s="3">
        <v>1.513100019184E12</v>
      </c>
      <c r="C120" s="3">
        <v>6665.0</v>
      </c>
      <c r="D120" s="3">
        <v>3.0</v>
      </c>
    </row>
    <row r="121" ht="14.25" hidden="1" customHeight="1">
      <c r="A121" s="3" t="s">
        <v>2360</v>
      </c>
      <c r="B121" s="3">
        <v>1.513614057219E12</v>
      </c>
      <c r="C121" s="3">
        <v>3379.0</v>
      </c>
      <c r="D121" s="3">
        <v>266.0</v>
      </c>
    </row>
    <row r="122" ht="14.25" hidden="1" customHeight="1">
      <c r="A122" s="3" t="s">
        <v>3773</v>
      </c>
      <c r="B122" s="3">
        <v>1.513615220412E12</v>
      </c>
      <c r="C122" s="3">
        <v>8987.0</v>
      </c>
      <c r="D122" s="3">
        <v>36.0</v>
      </c>
    </row>
    <row r="123" ht="14.25" hidden="1" customHeight="1">
      <c r="A123" s="3" t="s">
        <v>3247</v>
      </c>
      <c r="B123" s="3">
        <v>1.513615272195E12</v>
      </c>
      <c r="C123" s="3">
        <v>13329.0</v>
      </c>
      <c r="D123" s="3">
        <v>6.0</v>
      </c>
    </row>
    <row r="124" ht="14.25" hidden="1" customHeight="1">
      <c r="A124" s="3" t="s">
        <v>3775</v>
      </c>
      <c r="B124" s="3">
        <v>1.514379781861E12</v>
      </c>
      <c r="C124" s="3">
        <v>3505.0</v>
      </c>
      <c r="D124" s="3">
        <v>1.0</v>
      </c>
    </row>
    <row r="125" ht="14.25" hidden="1" customHeight="1">
      <c r="A125" s="3" t="s">
        <v>2362</v>
      </c>
      <c r="B125" s="3">
        <v>1.52353664788E12</v>
      </c>
      <c r="C125" s="3">
        <v>11468.0</v>
      </c>
      <c r="D125" s="3">
        <v>123.0</v>
      </c>
    </row>
    <row r="126" ht="14.25" hidden="1" customHeight="1">
      <c r="A126" s="3" t="s">
        <v>15950</v>
      </c>
      <c r="B126" s="3">
        <v>1.535543463599E12</v>
      </c>
      <c r="C126" s="3">
        <v>17356.0</v>
      </c>
      <c r="D126" s="3">
        <v>12.0</v>
      </c>
    </row>
    <row r="127" ht="14.25" hidden="1" customHeight="1">
      <c r="A127" s="3" t="s">
        <v>3466</v>
      </c>
      <c r="B127" s="3">
        <v>1.535566560027E12</v>
      </c>
      <c r="C127" s="3">
        <v>7128.0</v>
      </c>
      <c r="D127" s="3">
        <v>9.0</v>
      </c>
    </row>
    <row r="128" ht="14.25" hidden="1" customHeight="1">
      <c r="A128" s="3" t="s">
        <v>3021</v>
      </c>
      <c r="B128" s="3">
        <v>1.53788936885E12</v>
      </c>
      <c r="C128" s="3">
        <v>4355.0</v>
      </c>
      <c r="D128" s="3">
        <v>328.0</v>
      </c>
    </row>
    <row r="129" ht="14.25" hidden="1" customHeight="1">
      <c r="A129" s="3" t="s">
        <v>2748</v>
      </c>
      <c r="B129" s="3">
        <v>1.538141129434E12</v>
      </c>
      <c r="C129" s="3">
        <v>3649.0</v>
      </c>
      <c r="D129" s="3">
        <v>757.0</v>
      </c>
    </row>
    <row r="130" ht="14.25" hidden="1" customHeight="1">
      <c r="A130" s="3" t="s">
        <v>3777</v>
      </c>
      <c r="B130" s="3">
        <v>1.538141179064E12</v>
      </c>
      <c r="C130" s="3">
        <v>9692.0</v>
      </c>
      <c r="D130" s="3">
        <v>11.0</v>
      </c>
    </row>
    <row r="131" ht="14.25" hidden="1" customHeight="1">
      <c r="A131" s="3" t="s">
        <v>3778</v>
      </c>
      <c r="B131" s="3">
        <v>1.538481335277E12</v>
      </c>
      <c r="C131" s="3">
        <v>6961.0</v>
      </c>
      <c r="D131" s="3">
        <v>3.0</v>
      </c>
    </row>
    <row r="132" ht="14.25" hidden="1" customHeight="1">
      <c r="A132" s="3" t="s">
        <v>3076</v>
      </c>
      <c r="B132" s="3">
        <v>1.538657933192E12</v>
      </c>
      <c r="C132" s="3">
        <v>7083.0</v>
      </c>
      <c r="D132" s="3">
        <v>1.0</v>
      </c>
    </row>
    <row r="133" ht="14.25" hidden="1" customHeight="1">
      <c r="A133" s="3" t="s">
        <v>3467</v>
      </c>
      <c r="B133" s="3">
        <v>1.539703106378E12</v>
      </c>
      <c r="C133" s="3">
        <v>9510.0</v>
      </c>
      <c r="D133" s="3">
        <v>69.0</v>
      </c>
    </row>
    <row r="134" ht="14.25" hidden="1" customHeight="1">
      <c r="A134" s="3" t="s">
        <v>3468</v>
      </c>
      <c r="B134" s="3">
        <v>1.539703126734E12</v>
      </c>
      <c r="C134" s="3">
        <v>8818.0</v>
      </c>
      <c r="D134" s="3">
        <v>3.0</v>
      </c>
    </row>
    <row r="135" ht="14.25" hidden="1" customHeight="1">
      <c r="A135" s="3" t="s">
        <v>3779</v>
      </c>
      <c r="B135" s="3">
        <v>1.541697243401E12</v>
      </c>
      <c r="C135" s="3">
        <v>168495.0</v>
      </c>
      <c r="D135" s="3">
        <v>9.0</v>
      </c>
    </row>
    <row r="136" ht="14.25" hidden="1" customHeight="1">
      <c r="A136" s="3" t="s">
        <v>3024</v>
      </c>
      <c r="B136" s="3">
        <v>1.542051526349E12</v>
      </c>
      <c r="C136" s="3">
        <v>835.0</v>
      </c>
      <c r="D136" s="3">
        <v>674.0</v>
      </c>
    </row>
    <row r="137" ht="14.25" hidden="1" customHeight="1">
      <c r="A137" s="3" t="s">
        <v>3026</v>
      </c>
      <c r="B137" s="3">
        <v>1.542051822796E12</v>
      </c>
      <c r="C137" s="3">
        <v>1127.0</v>
      </c>
      <c r="D137" s="3">
        <v>2.0</v>
      </c>
    </row>
    <row r="138" ht="14.25" hidden="1" customHeight="1">
      <c r="A138" s="3" t="s">
        <v>3249</v>
      </c>
      <c r="B138" s="3">
        <v>1.542823095263E12</v>
      </c>
      <c r="C138" s="3">
        <v>1976.0</v>
      </c>
      <c r="D138" s="3">
        <v>250.0</v>
      </c>
    </row>
    <row r="139" ht="14.25" hidden="1" customHeight="1">
      <c r="A139" s="3" t="s">
        <v>2749</v>
      </c>
      <c r="B139" s="3">
        <v>1.543406075297E12</v>
      </c>
      <c r="C139" s="3">
        <v>3641.0</v>
      </c>
      <c r="D139" s="3">
        <v>795.0</v>
      </c>
    </row>
    <row r="140" ht="14.25" hidden="1" customHeight="1">
      <c r="A140" s="3" t="s">
        <v>2750</v>
      </c>
      <c r="B140" s="3">
        <v>1.548358566329E12</v>
      </c>
      <c r="C140" s="3">
        <v>9566.0</v>
      </c>
      <c r="D140" s="3">
        <v>47.0</v>
      </c>
    </row>
    <row r="141" ht="14.25" hidden="1" customHeight="1">
      <c r="A141" s="3" t="s">
        <v>3782</v>
      </c>
      <c r="B141" s="3">
        <v>1.549546168927E12</v>
      </c>
      <c r="C141" s="3">
        <v>1015.0</v>
      </c>
      <c r="D141" s="3">
        <v>26.0</v>
      </c>
    </row>
    <row r="142" ht="14.25" hidden="1" customHeight="1">
      <c r="A142" s="3" t="s">
        <v>3783</v>
      </c>
      <c r="B142" s="3" t="e">
        <v>#N/A</v>
      </c>
      <c r="C142" s="3" t="e">
        <v>#N/A</v>
      </c>
      <c r="D142" s="3">
        <v>2.0</v>
      </c>
    </row>
    <row r="143" ht="14.25" hidden="1" customHeight="1">
      <c r="A143" s="3" t="s">
        <v>15951</v>
      </c>
      <c r="B143" s="3">
        <v>1.564147623145E12</v>
      </c>
      <c r="C143" s="3">
        <v>1382.0</v>
      </c>
      <c r="D143" s="3">
        <v>24.0</v>
      </c>
    </row>
    <row r="144" ht="14.25" hidden="1" customHeight="1">
      <c r="A144" s="3" t="s">
        <v>2364</v>
      </c>
      <c r="B144" s="3">
        <v>1.564150627423E12</v>
      </c>
      <c r="C144" s="3">
        <v>3214.0</v>
      </c>
      <c r="D144" s="3">
        <v>6238.0</v>
      </c>
    </row>
    <row r="145" ht="14.25" hidden="1" customHeight="1">
      <c r="A145" s="3" t="s">
        <v>2366</v>
      </c>
      <c r="B145" s="3">
        <v>1.564150661249E12</v>
      </c>
      <c r="C145" s="3">
        <v>3054.0</v>
      </c>
      <c r="D145" s="3">
        <v>9907.0</v>
      </c>
    </row>
    <row r="146" ht="14.25" hidden="1" customHeight="1">
      <c r="A146" s="3" t="s">
        <v>3788</v>
      </c>
      <c r="B146" s="3">
        <v>1.565218463197E12</v>
      </c>
      <c r="C146" s="3">
        <v>4055.0</v>
      </c>
      <c r="D146" s="3">
        <v>2.0</v>
      </c>
    </row>
    <row r="147" ht="14.25" hidden="1" customHeight="1">
      <c r="A147" s="3" t="s">
        <v>3789</v>
      </c>
      <c r="B147" s="3">
        <v>1.565277372026E12</v>
      </c>
      <c r="C147" s="3">
        <v>734.0</v>
      </c>
      <c r="D147" s="3">
        <v>379.0</v>
      </c>
    </row>
    <row r="148" ht="14.25" hidden="1" customHeight="1">
      <c r="A148" s="3" t="s">
        <v>15952</v>
      </c>
      <c r="B148" s="3">
        <v>1.566335721736E12</v>
      </c>
      <c r="C148" s="3">
        <v>2920.0</v>
      </c>
      <c r="D148" s="3">
        <v>3977.0</v>
      </c>
    </row>
    <row r="149" ht="14.25" hidden="1" customHeight="1">
      <c r="A149" s="3" t="s">
        <v>2369</v>
      </c>
      <c r="B149" s="3">
        <v>1.566849947902E12</v>
      </c>
      <c r="C149" s="3">
        <v>9579.0</v>
      </c>
      <c r="D149" s="3">
        <v>258.0</v>
      </c>
    </row>
    <row r="150" ht="14.25" hidden="1" customHeight="1">
      <c r="A150" s="3" t="s">
        <v>3372</v>
      </c>
      <c r="B150" s="3">
        <v>1.571055493973E12</v>
      </c>
      <c r="C150" s="3">
        <v>21535.0</v>
      </c>
      <c r="D150" s="3">
        <v>324.0</v>
      </c>
    </row>
    <row r="151" ht="14.25" hidden="1" customHeight="1">
      <c r="A151" s="3" t="s">
        <v>3798</v>
      </c>
      <c r="B151" s="3">
        <v>1.574177821495E12</v>
      </c>
      <c r="C151" s="3">
        <v>26245.0</v>
      </c>
      <c r="D151" s="3">
        <v>1.0</v>
      </c>
    </row>
    <row r="152" ht="14.25" hidden="1" customHeight="1">
      <c r="A152" s="3" t="s">
        <v>3471</v>
      </c>
      <c r="B152" s="3">
        <v>1.579117587919E12</v>
      </c>
      <c r="C152" s="3">
        <v>14143.0</v>
      </c>
      <c r="D152" s="3">
        <v>11.0</v>
      </c>
    </row>
    <row r="153" ht="14.25" hidden="1" customHeight="1">
      <c r="A153" s="3" t="s">
        <v>3472</v>
      </c>
      <c r="B153" s="3">
        <v>1.579117612971E12</v>
      </c>
      <c r="C153" s="3">
        <v>14572.0</v>
      </c>
      <c r="D153" s="3">
        <v>2.0</v>
      </c>
    </row>
    <row r="154" ht="14.25" hidden="1" customHeight="1">
      <c r="A154" s="3" t="s">
        <v>3030</v>
      </c>
      <c r="B154" s="3">
        <v>1.581963986702E12</v>
      </c>
      <c r="C154" s="3">
        <v>16835.0</v>
      </c>
      <c r="D154" s="3">
        <v>1.0</v>
      </c>
    </row>
    <row r="155" ht="14.25" hidden="1" customHeight="1">
      <c r="A155" s="3" t="s">
        <v>3031</v>
      </c>
      <c r="B155" s="3">
        <v>1.581963991564E12</v>
      </c>
      <c r="C155" s="3">
        <v>15218.0</v>
      </c>
      <c r="D155" s="3">
        <v>4.0</v>
      </c>
    </row>
    <row r="156" ht="14.25" hidden="1" customHeight="1">
      <c r="A156" s="3" t="s">
        <v>3799</v>
      </c>
      <c r="B156" s="3">
        <v>1.585575578419E12</v>
      </c>
      <c r="C156" s="3">
        <v>17493.0</v>
      </c>
      <c r="D156" s="3">
        <v>18.0</v>
      </c>
    </row>
    <row r="157" ht="14.25" hidden="1" customHeight="1">
      <c r="A157" s="3" t="s">
        <v>15953</v>
      </c>
      <c r="B157" s="3">
        <v>1.586964198052E12</v>
      </c>
      <c r="C157" s="3">
        <v>840.0</v>
      </c>
      <c r="D157" s="3">
        <v>364.0</v>
      </c>
    </row>
    <row r="158" ht="14.25" hidden="1" customHeight="1">
      <c r="A158" s="3" t="s">
        <v>2753</v>
      </c>
      <c r="B158" s="3">
        <v>1.589209076056E12</v>
      </c>
      <c r="C158" s="3">
        <v>2785.0</v>
      </c>
      <c r="D158" s="3">
        <v>129.0</v>
      </c>
    </row>
    <row r="159" ht="14.25" hidden="1" customHeight="1">
      <c r="A159" s="3" t="s">
        <v>3801</v>
      </c>
      <c r="B159" s="3">
        <v>1.591103835523E12</v>
      </c>
      <c r="C159" s="3">
        <v>71800.0</v>
      </c>
      <c r="D159" s="3">
        <v>1.0</v>
      </c>
    </row>
    <row r="160" ht="14.25" hidden="1" customHeight="1">
      <c r="A160" s="3" t="s">
        <v>2373</v>
      </c>
      <c r="B160" s="3">
        <v>1.592492799236E12</v>
      </c>
      <c r="C160" s="3">
        <v>3001.0</v>
      </c>
      <c r="D160" s="3">
        <v>3471.0</v>
      </c>
    </row>
    <row r="161" ht="14.25" hidden="1" customHeight="1">
      <c r="A161" s="3" t="s">
        <v>3803</v>
      </c>
      <c r="B161" s="3">
        <v>1.593115256999E12</v>
      </c>
      <c r="C161" s="3">
        <v>2353.0</v>
      </c>
      <c r="D161" s="3">
        <v>86.0</v>
      </c>
    </row>
    <row r="162" ht="14.25" hidden="1" customHeight="1">
      <c r="A162" s="3" t="s">
        <v>3473</v>
      </c>
      <c r="B162" s="3">
        <v>1.594337749167E12</v>
      </c>
      <c r="C162" s="3">
        <v>11670.0</v>
      </c>
      <c r="D162" s="3">
        <v>22.0</v>
      </c>
    </row>
    <row r="163" ht="14.25" hidden="1" customHeight="1">
      <c r="A163" s="3" t="s">
        <v>3805</v>
      </c>
      <c r="B163" s="3">
        <v>1.595007277212E12</v>
      </c>
      <c r="C163" s="3">
        <v>6033.0</v>
      </c>
      <c r="D163" s="3">
        <v>177.0</v>
      </c>
    </row>
    <row r="164" ht="14.25" hidden="1" customHeight="1">
      <c r="A164" s="3" t="s">
        <v>3807</v>
      </c>
      <c r="B164" s="3">
        <v>1.595007331468E12</v>
      </c>
      <c r="C164" s="3">
        <v>2500.0</v>
      </c>
      <c r="D164" s="3">
        <v>20.0</v>
      </c>
    </row>
    <row r="165" ht="14.25" hidden="1" customHeight="1">
      <c r="A165" s="3" t="s">
        <v>15954</v>
      </c>
      <c r="B165" s="3">
        <v>1.595434263015E12</v>
      </c>
      <c r="C165" s="3">
        <v>1868.0</v>
      </c>
      <c r="D165" s="3">
        <v>1.0</v>
      </c>
    </row>
    <row r="166" ht="14.25" hidden="1" customHeight="1">
      <c r="A166" s="3" t="s">
        <v>3808</v>
      </c>
      <c r="B166" s="3" t="e">
        <v>#N/A</v>
      </c>
      <c r="C166" s="3" t="e">
        <v>#N/A</v>
      </c>
      <c r="D166" s="3">
        <v>1.0</v>
      </c>
    </row>
    <row r="167" ht="14.25" hidden="1" customHeight="1">
      <c r="A167" s="3" t="s">
        <v>2374</v>
      </c>
      <c r="B167" s="3">
        <v>1.59708649984E12</v>
      </c>
      <c r="C167" s="3">
        <v>5529.0</v>
      </c>
      <c r="D167" s="3">
        <v>1464.0</v>
      </c>
    </row>
    <row r="168" ht="14.25" hidden="1" customHeight="1">
      <c r="A168" s="3" t="s">
        <v>2375</v>
      </c>
      <c r="B168" s="3">
        <v>1.597098592591E12</v>
      </c>
      <c r="C168" s="3">
        <v>6248.0</v>
      </c>
      <c r="D168" s="3">
        <v>1287.0</v>
      </c>
    </row>
    <row r="169" ht="14.25" hidden="1" customHeight="1">
      <c r="A169" s="3" t="s">
        <v>3812</v>
      </c>
      <c r="B169" s="3">
        <v>1.600117183428E12</v>
      </c>
      <c r="C169" s="3">
        <v>8.0</v>
      </c>
      <c r="D169" s="3">
        <v>3555.0</v>
      </c>
    </row>
    <row r="170" ht="14.25" hidden="1" customHeight="1">
      <c r="A170" s="3" t="s">
        <v>3814</v>
      </c>
      <c r="B170" s="3">
        <v>1.601323542043E12</v>
      </c>
      <c r="C170" s="3">
        <v>315.0</v>
      </c>
      <c r="D170" s="3">
        <v>8.0</v>
      </c>
    </row>
    <row r="171" ht="14.25" hidden="1" customHeight="1">
      <c r="A171" s="3" t="s">
        <v>3815</v>
      </c>
      <c r="B171" s="3">
        <v>1.602029190396E12</v>
      </c>
      <c r="C171" s="3">
        <v>28513.0</v>
      </c>
      <c r="D171" s="3">
        <v>2.0</v>
      </c>
    </row>
    <row r="172" ht="14.25" hidden="1" customHeight="1">
      <c r="A172" s="3" t="s">
        <v>3816</v>
      </c>
      <c r="B172" s="3">
        <v>1.602163055069E12</v>
      </c>
      <c r="C172" s="3">
        <v>26000.0</v>
      </c>
      <c r="D172" s="3">
        <v>2.0</v>
      </c>
    </row>
    <row r="173" ht="14.25" hidden="1" customHeight="1">
      <c r="A173" s="3" t="s">
        <v>15955</v>
      </c>
      <c r="B173" s="3">
        <v>1.602623210379E12</v>
      </c>
      <c r="C173" s="3">
        <v>3760.0</v>
      </c>
      <c r="D173" s="3">
        <v>6.0</v>
      </c>
    </row>
    <row r="174" ht="14.25" hidden="1" customHeight="1">
      <c r="A174" s="3" t="s">
        <v>3818</v>
      </c>
      <c r="B174" s="3">
        <v>1.605622069868E12</v>
      </c>
      <c r="C174" s="3">
        <v>9869.0</v>
      </c>
      <c r="D174" s="3">
        <v>1.0</v>
      </c>
    </row>
    <row r="175" ht="14.25" hidden="1" customHeight="1">
      <c r="A175" s="3" t="s">
        <v>3819</v>
      </c>
      <c r="B175" s="3">
        <v>1.605624656414E12</v>
      </c>
      <c r="C175" s="3">
        <v>14271.0</v>
      </c>
      <c r="D175" s="3">
        <v>2.0</v>
      </c>
    </row>
    <row r="176" ht="14.25" hidden="1" customHeight="1">
      <c r="A176" s="3" t="s">
        <v>3820</v>
      </c>
      <c r="B176" s="3">
        <v>1.605624727428E12</v>
      </c>
      <c r="C176" s="3">
        <v>16835.0</v>
      </c>
      <c r="D176" s="3">
        <v>2.0</v>
      </c>
    </row>
    <row r="177" ht="14.25" hidden="1" customHeight="1">
      <c r="A177" s="3" t="s">
        <v>3821</v>
      </c>
      <c r="B177" s="3">
        <v>1.605708086872E12</v>
      </c>
      <c r="C177" s="3">
        <v>14860.0</v>
      </c>
      <c r="D177" s="3">
        <v>2.0</v>
      </c>
    </row>
    <row r="178" ht="14.25" hidden="1" customHeight="1">
      <c r="A178" s="3" t="s">
        <v>3822</v>
      </c>
      <c r="B178" s="3">
        <v>1.605820909877E12</v>
      </c>
      <c r="C178" s="3">
        <v>3.0</v>
      </c>
      <c r="D178" s="3">
        <v>1.0</v>
      </c>
    </row>
    <row r="179" ht="14.25" hidden="1" customHeight="1">
      <c r="A179" s="3" t="s">
        <v>3035</v>
      </c>
      <c r="B179" s="3">
        <v>1.606847480521E12</v>
      </c>
      <c r="C179" s="3">
        <v>10101.0</v>
      </c>
      <c r="D179" s="3">
        <v>7.0</v>
      </c>
    </row>
    <row r="180" ht="14.25" hidden="1" customHeight="1">
      <c r="A180" s="3" t="s">
        <v>3479</v>
      </c>
      <c r="B180" s="3">
        <v>1.607526253622E12</v>
      </c>
      <c r="C180" s="3">
        <v>9931.0</v>
      </c>
      <c r="D180" s="3">
        <v>1.0</v>
      </c>
    </row>
    <row r="181" ht="14.25" hidden="1" customHeight="1">
      <c r="A181" s="3" t="s">
        <v>3036</v>
      </c>
      <c r="B181" s="3">
        <v>1.608208175202E12</v>
      </c>
      <c r="C181" s="3">
        <v>20058.0</v>
      </c>
      <c r="D181" s="3">
        <v>2.0</v>
      </c>
    </row>
    <row r="182" ht="14.25" hidden="1" customHeight="1">
      <c r="A182" s="3" t="s">
        <v>3825</v>
      </c>
      <c r="B182" s="3">
        <v>1.61039624675E12</v>
      </c>
      <c r="C182" s="3">
        <v>72787.0</v>
      </c>
      <c r="D182" s="3">
        <v>1.0</v>
      </c>
    </row>
    <row r="183" ht="14.25" hidden="1" customHeight="1">
      <c r="A183" s="3" t="s">
        <v>3826</v>
      </c>
      <c r="B183" s="3">
        <v>1.610816087324E12</v>
      </c>
      <c r="C183" s="3">
        <v>800.0</v>
      </c>
      <c r="D183" s="3">
        <v>211.0</v>
      </c>
    </row>
    <row r="184" ht="14.25" hidden="1" customHeight="1">
      <c r="A184" s="3" t="s">
        <v>3079</v>
      </c>
      <c r="B184" s="3">
        <v>1.610816377646E12</v>
      </c>
      <c r="C184" s="3">
        <v>900.0</v>
      </c>
      <c r="D184" s="3">
        <v>381.0</v>
      </c>
    </row>
    <row r="185" ht="14.25" hidden="1" customHeight="1">
      <c r="A185" s="3" t="s">
        <v>3829</v>
      </c>
      <c r="B185" s="3">
        <v>1.612801611908E12</v>
      </c>
      <c r="C185" s="3">
        <v>1013.0</v>
      </c>
      <c r="D185" s="3">
        <v>12.0</v>
      </c>
    </row>
    <row r="186" ht="14.25" hidden="1" customHeight="1">
      <c r="A186" s="3" t="s">
        <v>2754</v>
      </c>
      <c r="B186" s="3">
        <v>1.614194024408E12</v>
      </c>
      <c r="C186" s="3">
        <v>686.0</v>
      </c>
      <c r="D186" s="3">
        <v>3.0</v>
      </c>
    </row>
    <row r="187" ht="14.25" hidden="1" customHeight="1">
      <c r="A187" s="3" t="s">
        <v>2377</v>
      </c>
      <c r="B187" s="3">
        <v>1.61538336617E12</v>
      </c>
      <c r="C187" s="3">
        <v>31219.0</v>
      </c>
      <c r="D187" s="3">
        <v>34.0</v>
      </c>
    </row>
    <row r="188" ht="14.25" hidden="1" customHeight="1">
      <c r="A188" s="3" t="s">
        <v>3040</v>
      </c>
      <c r="B188" s="3">
        <v>1.616006958885E12</v>
      </c>
      <c r="C188" s="3">
        <v>12643.0</v>
      </c>
      <c r="D188" s="3">
        <v>1.0</v>
      </c>
    </row>
    <row r="189" ht="14.25" hidden="1" customHeight="1">
      <c r="A189" s="3" t="s">
        <v>2755</v>
      </c>
      <c r="B189" s="3">
        <v>1.616009024556E12</v>
      </c>
      <c r="C189" s="3">
        <v>14452.0</v>
      </c>
      <c r="D189" s="3">
        <v>145.0</v>
      </c>
    </row>
    <row r="190" ht="14.25" hidden="1" customHeight="1">
      <c r="A190" s="3" t="s">
        <v>15956</v>
      </c>
      <c r="B190" s="3">
        <v>1.616011311193E12</v>
      </c>
      <c r="C190" s="3">
        <v>986.0</v>
      </c>
      <c r="D190" s="3">
        <v>6.0</v>
      </c>
    </row>
    <row r="191" ht="14.25" hidden="1" customHeight="1">
      <c r="A191" s="3" t="s">
        <v>3831</v>
      </c>
      <c r="B191" s="3">
        <v>1.616011328526E12</v>
      </c>
      <c r="C191" s="3">
        <v>6900.0</v>
      </c>
      <c r="D191" s="3">
        <v>16.0</v>
      </c>
    </row>
    <row r="192" ht="14.25" hidden="1" customHeight="1">
      <c r="A192" s="3" t="s">
        <v>3832</v>
      </c>
      <c r="B192" s="3">
        <v>1.617981582842E12</v>
      </c>
      <c r="C192" s="3">
        <v>1210.0</v>
      </c>
      <c r="D192" s="3">
        <v>500.0</v>
      </c>
    </row>
    <row r="193" ht="14.25" hidden="1" customHeight="1">
      <c r="A193" s="3" t="s">
        <v>3834</v>
      </c>
      <c r="B193" s="3">
        <v>1.619101669158E12</v>
      </c>
      <c r="C193" s="3">
        <v>26200.0</v>
      </c>
      <c r="D193" s="3">
        <v>2.0</v>
      </c>
    </row>
    <row r="194" ht="14.25" hidden="1" customHeight="1">
      <c r="A194" s="3" t="s">
        <v>3835</v>
      </c>
      <c r="B194" s="3">
        <v>1.619101943225E12</v>
      </c>
      <c r="C194" s="3">
        <v>23900.0</v>
      </c>
      <c r="D194" s="3">
        <v>2.0</v>
      </c>
    </row>
    <row r="195" ht="14.25" hidden="1" customHeight="1">
      <c r="A195" s="3" t="s">
        <v>3837</v>
      </c>
      <c r="B195" s="3">
        <v>1.621435991486E12</v>
      </c>
      <c r="C195" s="3">
        <v>221431.0</v>
      </c>
      <c r="D195" s="3">
        <v>1.0</v>
      </c>
    </row>
    <row r="196" ht="14.25" hidden="1" customHeight="1">
      <c r="A196" s="3" t="s">
        <v>3838</v>
      </c>
      <c r="B196" s="3">
        <v>1.621436042191E12</v>
      </c>
      <c r="C196" s="3">
        <v>74049.0</v>
      </c>
      <c r="D196" s="3">
        <v>1.0</v>
      </c>
    </row>
    <row r="197" ht="14.25" hidden="1" customHeight="1">
      <c r="A197" s="3" t="s">
        <v>3839</v>
      </c>
      <c r="B197" s="3">
        <v>1.621436109437E12</v>
      </c>
      <c r="C197" s="3">
        <v>8560.0</v>
      </c>
      <c r="D197" s="3">
        <v>3.0</v>
      </c>
    </row>
    <row r="198" ht="14.25" hidden="1" customHeight="1">
      <c r="A198" s="3" t="s">
        <v>2381</v>
      </c>
      <c r="B198" s="3">
        <v>1.623703690011E12</v>
      </c>
      <c r="C198" s="3">
        <v>8513.0</v>
      </c>
      <c r="D198" s="3">
        <v>424.0</v>
      </c>
    </row>
    <row r="199" ht="14.25" hidden="1" customHeight="1">
      <c r="A199" s="3" t="s">
        <v>2383</v>
      </c>
      <c r="B199" s="3">
        <v>1.623703728452E12</v>
      </c>
      <c r="C199" s="3">
        <v>8697.0</v>
      </c>
      <c r="D199" s="3">
        <v>198.0</v>
      </c>
    </row>
    <row r="200" ht="14.25" hidden="1" customHeight="1">
      <c r="A200" s="3" t="s">
        <v>2385</v>
      </c>
      <c r="B200" s="3">
        <v>1.623703861303E12</v>
      </c>
      <c r="C200" s="3">
        <v>9138.0</v>
      </c>
      <c r="D200" s="3">
        <v>526.0</v>
      </c>
    </row>
    <row r="201" ht="14.25" hidden="1" customHeight="1">
      <c r="A201" s="3" t="s">
        <v>2757</v>
      </c>
      <c r="B201" s="3">
        <v>1.623703942966E12</v>
      </c>
      <c r="C201" s="3">
        <v>2251.0</v>
      </c>
      <c r="D201" s="3">
        <v>44.0</v>
      </c>
    </row>
    <row r="202" ht="14.25" hidden="1" customHeight="1">
      <c r="A202" s="3" t="s">
        <v>3845</v>
      </c>
      <c r="B202" s="3">
        <v>1.627069056921E12</v>
      </c>
      <c r="C202" s="3">
        <v>5771.0</v>
      </c>
      <c r="D202" s="3">
        <v>3.0</v>
      </c>
    </row>
    <row r="203" ht="14.25" hidden="1" customHeight="1">
      <c r="A203" s="3" t="s">
        <v>2387</v>
      </c>
      <c r="B203" s="3">
        <v>1.62741684103E12</v>
      </c>
      <c r="C203" s="3">
        <v>5216.0</v>
      </c>
      <c r="D203" s="3">
        <v>1041.0</v>
      </c>
    </row>
    <row r="204" ht="14.25" hidden="1" customHeight="1">
      <c r="A204" s="3" t="s">
        <v>2389</v>
      </c>
      <c r="B204" s="3">
        <v>1.627418180602E12</v>
      </c>
      <c r="C204" s="3">
        <v>5545.0</v>
      </c>
      <c r="D204" s="3">
        <v>419.0</v>
      </c>
    </row>
    <row r="205" ht="14.25" hidden="1" customHeight="1">
      <c r="A205" s="3" t="s">
        <v>2391</v>
      </c>
      <c r="B205" s="3">
        <v>1.627418212924E12</v>
      </c>
      <c r="C205" s="3">
        <v>7243.0</v>
      </c>
      <c r="D205" s="3">
        <v>2944.0</v>
      </c>
    </row>
    <row r="206" ht="14.25" hidden="1" customHeight="1">
      <c r="A206" s="3" t="s">
        <v>3044</v>
      </c>
      <c r="B206" s="3">
        <v>1.627418225537E12</v>
      </c>
      <c r="C206" s="3">
        <v>5246.0</v>
      </c>
      <c r="D206" s="3">
        <v>251.0</v>
      </c>
    </row>
    <row r="207" ht="14.25" hidden="1" customHeight="1">
      <c r="A207" s="3" t="s">
        <v>3046</v>
      </c>
      <c r="B207" s="3">
        <v>1.627418329116E12</v>
      </c>
      <c r="C207" s="3">
        <v>6374.0</v>
      </c>
      <c r="D207" s="3">
        <v>633.0</v>
      </c>
    </row>
    <row r="208" ht="14.25" hidden="1" customHeight="1">
      <c r="A208" s="3" t="s">
        <v>3047</v>
      </c>
      <c r="B208" s="3">
        <v>1.627424867043E12</v>
      </c>
      <c r="C208" s="3">
        <v>5171.0</v>
      </c>
      <c r="D208" s="3">
        <v>233.0</v>
      </c>
    </row>
    <row r="209" ht="14.25" hidden="1" customHeight="1">
      <c r="A209" s="3" t="s">
        <v>15957</v>
      </c>
      <c r="B209" s="3">
        <v>1.628016796209E12</v>
      </c>
      <c r="C209" s="3">
        <v>15964.0</v>
      </c>
      <c r="D209" s="3">
        <v>28.0</v>
      </c>
    </row>
    <row r="210" ht="14.25" hidden="1" customHeight="1">
      <c r="A210" s="3" t="s">
        <v>2393</v>
      </c>
      <c r="B210" s="3">
        <v>1.62801820637E12</v>
      </c>
      <c r="C210" s="3">
        <v>4582.0</v>
      </c>
      <c r="D210" s="3">
        <v>517.0</v>
      </c>
    </row>
    <row r="211" ht="14.25" hidden="1" customHeight="1">
      <c r="A211" s="3" t="s">
        <v>3850</v>
      </c>
      <c r="B211" s="3">
        <v>1.628778259856E12</v>
      </c>
      <c r="C211" s="3">
        <v>5687.0</v>
      </c>
      <c r="D211" s="3">
        <v>1.0</v>
      </c>
    </row>
    <row r="212" ht="14.25" hidden="1" customHeight="1">
      <c r="A212" s="3" t="s">
        <v>3851</v>
      </c>
      <c r="B212" s="3">
        <v>1.628778289266E12</v>
      </c>
      <c r="C212" s="3">
        <v>6915.0</v>
      </c>
      <c r="D212" s="3">
        <v>1.0</v>
      </c>
    </row>
    <row r="213" ht="14.25" hidden="1" customHeight="1">
      <c r="A213" s="3" t="s">
        <v>3852</v>
      </c>
      <c r="B213" s="3">
        <v>1.628778300463E12</v>
      </c>
      <c r="C213" s="3">
        <v>9814.0</v>
      </c>
      <c r="D213" s="3">
        <v>1.0</v>
      </c>
    </row>
    <row r="214" ht="14.25" hidden="1" customHeight="1">
      <c r="A214" s="3" t="s">
        <v>3853</v>
      </c>
      <c r="B214" s="3">
        <v>1.6287783356E12</v>
      </c>
      <c r="C214" s="3">
        <v>15757.0</v>
      </c>
      <c r="D214" s="3">
        <v>1.0</v>
      </c>
    </row>
    <row r="215" ht="14.25" hidden="1" customHeight="1">
      <c r="A215" s="3" t="s">
        <v>3854</v>
      </c>
      <c r="B215" s="3">
        <v>1.628778362232E12</v>
      </c>
      <c r="C215" s="3">
        <v>36459.0</v>
      </c>
      <c r="D215" s="3">
        <v>1.0</v>
      </c>
    </row>
    <row r="216" ht="14.25" hidden="1" customHeight="1">
      <c r="A216" s="3" t="s">
        <v>3855</v>
      </c>
      <c r="B216" s="3">
        <v>1.62877837368E12</v>
      </c>
      <c r="C216" s="3">
        <v>32073.0</v>
      </c>
      <c r="D216" s="3">
        <v>1.0</v>
      </c>
    </row>
    <row r="217" ht="14.25" hidden="1" customHeight="1">
      <c r="A217" s="3" t="s">
        <v>3856</v>
      </c>
      <c r="B217" s="3">
        <v>1.628801818864E12</v>
      </c>
      <c r="C217" s="3">
        <v>4000.0</v>
      </c>
      <c r="D217" s="3">
        <v>2.0</v>
      </c>
    </row>
    <row r="218" ht="14.25" hidden="1" customHeight="1">
      <c r="A218" s="3" t="s">
        <v>3857</v>
      </c>
      <c r="B218" s="3">
        <v>1.629291104067E12</v>
      </c>
      <c r="C218" s="3">
        <v>1127.0</v>
      </c>
      <c r="D218" s="3">
        <v>35.0</v>
      </c>
    </row>
    <row r="219" ht="14.25" hidden="1" customHeight="1">
      <c r="A219" s="3" t="s">
        <v>2761</v>
      </c>
      <c r="B219" s="3">
        <v>1.629726091782E12</v>
      </c>
      <c r="C219" s="3">
        <v>6176.0</v>
      </c>
      <c r="D219" s="3">
        <v>61.0</v>
      </c>
    </row>
    <row r="220" ht="14.25" hidden="1" customHeight="1">
      <c r="A220" s="3" t="s">
        <v>2762</v>
      </c>
      <c r="B220" s="3">
        <v>1.629726117626E12</v>
      </c>
      <c r="C220" s="3">
        <v>6175.0</v>
      </c>
      <c r="D220" s="3">
        <v>408.0</v>
      </c>
    </row>
    <row r="221" ht="14.25" hidden="1" customHeight="1">
      <c r="A221" s="3" t="s">
        <v>3080</v>
      </c>
      <c r="B221" s="3">
        <v>1.629726159155E12</v>
      </c>
      <c r="C221" s="3">
        <v>6671.0</v>
      </c>
      <c r="D221" s="3">
        <v>713.0</v>
      </c>
    </row>
    <row r="222" ht="14.25" hidden="1" customHeight="1">
      <c r="A222" s="3" t="s">
        <v>3859</v>
      </c>
      <c r="B222" s="3">
        <v>1.629727814806E12</v>
      </c>
      <c r="C222" s="3">
        <v>498.0</v>
      </c>
      <c r="D222" s="3">
        <v>1014.0</v>
      </c>
    </row>
    <row r="223" ht="14.25" hidden="1" customHeight="1">
      <c r="A223" s="3" t="s">
        <v>3861</v>
      </c>
      <c r="B223" s="3">
        <v>1.629727823148E12</v>
      </c>
      <c r="C223" s="3">
        <v>546.0</v>
      </c>
      <c r="D223" s="3">
        <v>1014.0</v>
      </c>
    </row>
    <row r="224" ht="14.25" hidden="1" customHeight="1">
      <c r="A224" s="3" t="s">
        <v>3081</v>
      </c>
      <c r="B224" s="3">
        <v>1.630369674271E12</v>
      </c>
      <c r="C224" s="3">
        <v>3699.0</v>
      </c>
      <c r="D224" s="3">
        <v>806.0</v>
      </c>
    </row>
    <row r="225" ht="14.25" hidden="1" customHeight="1">
      <c r="A225" s="3" t="s">
        <v>2763</v>
      </c>
      <c r="B225" s="3">
        <v>1.6303705794E12</v>
      </c>
      <c r="C225" s="3">
        <v>48846.0</v>
      </c>
      <c r="D225" s="3">
        <v>3.0</v>
      </c>
    </row>
    <row r="226" ht="14.25" customHeight="1">
      <c r="A226" s="3" t="s">
        <v>2764</v>
      </c>
      <c r="B226" s="3">
        <v>1.630370852776E12</v>
      </c>
      <c r="C226" s="3">
        <v>38505.0</v>
      </c>
      <c r="D226" s="3">
        <v>87.0</v>
      </c>
    </row>
    <row r="227" ht="14.25" hidden="1" customHeight="1">
      <c r="A227" s="3" t="s">
        <v>3863</v>
      </c>
      <c r="B227" s="3">
        <v>1.630371162211E12</v>
      </c>
      <c r="C227" s="3">
        <v>24200.0</v>
      </c>
      <c r="D227" s="3">
        <v>1.0</v>
      </c>
    </row>
    <row r="228" ht="14.25" hidden="1" customHeight="1">
      <c r="A228" s="3" t="s">
        <v>3864</v>
      </c>
      <c r="B228" s="3">
        <v>1.63037120774E12</v>
      </c>
      <c r="C228" s="3">
        <v>226604.0</v>
      </c>
      <c r="D228" s="3">
        <v>1.0</v>
      </c>
    </row>
    <row r="229" ht="14.25" hidden="1" customHeight="1">
      <c r="A229" s="3" t="s">
        <v>15958</v>
      </c>
      <c r="B229" s="3">
        <v>1.632149054121E12</v>
      </c>
      <c r="C229" s="3">
        <v>6303.0</v>
      </c>
      <c r="D229" s="3">
        <v>2.0</v>
      </c>
    </row>
    <row r="230" ht="14.25" hidden="1" customHeight="1">
      <c r="A230" s="3" t="s">
        <v>3865</v>
      </c>
      <c r="B230" s="3">
        <v>1.632149131003E12</v>
      </c>
      <c r="C230" s="3">
        <v>9076.0</v>
      </c>
      <c r="D230" s="3">
        <v>1.0</v>
      </c>
    </row>
    <row r="231" ht="14.25" hidden="1" customHeight="1">
      <c r="A231" s="3" t="s">
        <v>3866</v>
      </c>
      <c r="B231" s="3">
        <v>1.632938525133E12</v>
      </c>
      <c r="C231" s="3">
        <v>26475.0</v>
      </c>
      <c r="D231" s="3">
        <v>1.0</v>
      </c>
    </row>
    <row r="232" ht="14.25" customHeight="1">
      <c r="A232" s="3" t="s">
        <v>2765</v>
      </c>
      <c r="B232" s="3">
        <v>1.63456703401E12</v>
      </c>
      <c r="C232" s="3">
        <v>59706.0</v>
      </c>
      <c r="D232" s="3">
        <v>512.0</v>
      </c>
    </row>
    <row r="233" ht="14.25" hidden="1" customHeight="1">
      <c r="A233" s="3" t="s">
        <v>2395</v>
      </c>
      <c r="B233" s="3">
        <v>1.634845754276E12</v>
      </c>
      <c r="C233" s="3">
        <v>41530.0</v>
      </c>
      <c r="D233" s="3">
        <v>889.0</v>
      </c>
    </row>
    <row r="234" ht="14.25" hidden="1" customHeight="1">
      <c r="A234" s="3" t="s">
        <v>2397</v>
      </c>
      <c r="B234" s="3">
        <v>1.635956574926E12</v>
      </c>
      <c r="C234" s="3">
        <v>25357.0</v>
      </c>
      <c r="D234" s="3">
        <v>614.0</v>
      </c>
    </row>
    <row r="235" ht="14.25" hidden="1" customHeight="1">
      <c r="A235" s="3" t="s">
        <v>3253</v>
      </c>
      <c r="B235" s="3">
        <v>1.635956592996E12</v>
      </c>
      <c r="C235" s="3">
        <v>8390.0</v>
      </c>
      <c r="D235" s="3">
        <v>1044.0</v>
      </c>
    </row>
    <row r="236" ht="14.25" hidden="1" customHeight="1">
      <c r="A236" s="3" t="s">
        <v>2398</v>
      </c>
      <c r="B236" s="3">
        <v>1.635956597983E12</v>
      </c>
      <c r="C236" s="3">
        <v>5419.0</v>
      </c>
      <c r="D236" s="3">
        <v>959.0</v>
      </c>
    </row>
    <row r="237" ht="14.25" hidden="1" customHeight="1">
      <c r="A237" s="3" t="s">
        <v>3871</v>
      </c>
      <c r="B237" s="3">
        <v>1.636122379069E12</v>
      </c>
      <c r="C237" s="3">
        <v>5662.0</v>
      </c>
      <c r="D237" s="3">
        <v>3.0</v>
      </c>
    </row>
    <row r="238" ht="14.25" hidden="1" customHeight="1">
      <c r="A238" s="3" t="s">
        <v>3872</v>
      </c>
      <c r="B238" s="3">
        <v>1.6370904393E12</v>
      </c>
      <c r="C238" s="3">
        <v>10084.0</v>
      </c>
      <c r="D238" s="3">
        <v>2.0</v>
      </c>
    </row>
    <row r="239" ht="14.25" hidden="1" customHeight="1">
      <c r="A239" s="3" t="s">
        <v>3873</v>
      </c>
      <c r="B239" s="3">
        <v>1.637090501146E12</v>
      </c>
      <c r="C239" s="3">
        <v>8319.0</v>
      </c>
      <c r="D239" s="3">
        <v>6.0</v>
      </c>
    </row>
    <row r="240" ht="14.25" hidden="1" customHeight="1">
      <c r="A240" s="3" t="s">
        <v>3874</v>
      </c>
      <c r="B240" s="3">
        <v>1.637682789024E12</v>
      </c>
      <c r="C240" s="3">
        <v>4577.0</v>
      </c>
      <c r="D240" s="3">
        <v>1.0</v>
      </c>
    </row>
    <row r="241" ht="14.25" hidden="1" customHeight="1">
      <c r="A241" s="3" t="s">
        <v>2766</v>
      </c>
      <c r="B241" s="3">
        <v>1.638799019582E12</v>
      </c>
      <c r="C241" s="3">
        <v>65912.0</v>
      </c>
      <c r="D241" s="3">
        <v>1.0</v>
      </c>
    </row>
    <row r="242" ht="14.25" hidden="1" customHeight="1">
      <c r="A242" s="3" t="s">
        <v>3048</v>
      </c>
      <c r="B242" s="3">
        <v>1.639085736261E12</v>
      </c>
      <c r="C242" s="3">
        <v>21819.0</v>
      </c>
      <c r="D242" s="3">
        <v>8.0</v>
      </c>
    </row>
    <row r="243" ht="14.25" hidden="1" customHeight="1">
      <c r="A243" s="3" t="s">
        <v>15959</v>
      </c>
      <c r="B243" s="3">
        <v>1.639085745522E12</v>
      </c>
      <c r="C243" s="3">
        <v>32149.0</v>
      </c>
      <c r="D243" s="3">
        <v>2.0</v>
      </c>
    </row>
    <row r="244" ht="14.25" hidden="1" customHeight="1">
      <c r="A244" s="3" t="s">
        <v>15960</v>
      </c>
      <c r="B244" s="3">
        <v>1.639085755244E12</v>
      </c>
      <c r="C244" s="3">
        <v>32051.0</v>
      </c>
      <c r="D244" s="3">
        <v>2.0</v>
      </c>
    </row>
    <row r="245" ht="14.25" hidden="1" customHeight="1">
      <c r="A245" s="3" t="s">
        <v>15961</v>
      </c>
      <c r="B245" s="3">
        <v>1.63908577239E12</v>
      </c>
      <c r="C245" s="3">
        <v>18810.0</v>
      </c>
      <c r="D245" s="3">
        <v>511.0</v>
      </c>
    </row>
    <row r="246" ht="14.25" hidden="1" customHeight="1">
      <c r="A246" s="3" t="s">
        <v>15962</v>
      </c>
      <c r="B246" s="3">
        <v>1.639085780345E12</v>
      </c>
      <c r="C246" s="3">
        <v>21962.0</v>
      </c>
      <c r="D246" s="3">
        <v>31.0</v>
      </c>
    </row>
    <row r="247" ht="14.25" hidden="1" customHeight="1">
      <c r="A247" s="3" t="s">
        <v>15963</v>
      </c>
      <c r="B247" s="3">
        <v>1.639085790351E12</v>
      </c>
      <c r="C247" s="3">
        <v>21735.0</v>
      </c>
      <c r="D247" s="3">
        <v>1.0</v>
      </c>
    </row>
    <row r="248" ht="14.25" hidden="1" customHeight="1">
      <c r="A248" s="3" t="s">
        <v>15964</v>
      </c>
      <c r="B248" s="3">
        <v>1.639085799549E12</v>
      </c>
      <c r="C248" s="3">
        <v>15751.0</v>
      </c>
      <c r="D248" s="3">
        <v>128.0</v>
      </c>
    </row>
    <row r="249" ht="14.25" hidden="1" customHeight="1">
      <c r="A249" s="3" t="s">
        <v>2400</v>
      </c>
      <c r="B249" s="3">
        <v>1.639085807876E12</v>
      </c>
      <c r="C249" s="3">
        <v>13194.0</v>
      </c>
      <c r="D249" s="3">
        <v>14.0</v>
      </c>
    </row>
    <row r="250" ht="14.25" hidden="1" customHeight="1">
      <c r="A250" s="3" t="s">
        <v>3875</v>
      </c>
      <c r="B250" s="3">
        <v>1.639422799417E12</v>
      </c>
      <c r="C250" s="3">
        <v>18891.0</v>
      </c>
      <c r="D250" s="3">
        <v>2.0</v>
      </c>
    </row>
    <row r="251" ht="14.25" hidden="1" customHeight="1">
      <c r="A251" s="3" t="s">
        <v>3144</v>
      </c>
      <c r="B251" s="3">
        <v>1.639488921197E12</v>
      </c>
      <c r="C251" s="3">
        <v>2740.0</v>
      </c>
      <c r="D251" s="3">
        <v>528.0</v>
      </c>
    </row>
    <row r="252" ht="14.25" hidden="1" customHeight="1">
      <c r="A252" s="3" t="s">
        <v>2770</v>
      </c>
      <c r="B252" s="3">
        <v>1.640091153797E12</v>
      </c>
      <c r="C252" s="3">
        <v>33583.0</v>
      </c>
      <c r="D252" s="3">
        <v>68.0</v>
      </c>
    </row>
    <row r="253" ht="14.25" hidden="1" customHeight="1">
      <c r="A253" s="3" t="s">
        <v>3876</v>
      </c>
      <c r="B253" s="3">
        <v>1.641933886673E12</v>
      </c>
      <c r="C253" s="3">
        <v>15000.0</v>
      </c>
      <c r="D253" s="3">
        <v>1.0</v>
      </c>
    </row>
    <row r="254" ht="14.25" hidden="1" customHeight="1">
      <c r="A254" s="3" t="s">
        <v>3877</v>
      </c>
      <c r="B254" s="3">
        <v>1.64425877092E12</v>
      </c>
      <c r="C254" s="3">
        <v>51050.0</v>
      </c>
      <c r="D254" s="3">
        <v>1.0</v>
      </c>
    </row>
    <row r="255" ht="14.25" hidden="1" customHeight="1">
      <c r="A255" s="3" t="s">
        <v>3878</v>
      </c>
      <c r="B255" s="3">
        <v>1.644258777141E12</v>
      </c>
      <c r="C255" s="3">
        <v>51050.0</v>
      </c>
      <c r="D255" s="3">
        <v>1.0</v>
      </c>
    </row>
    <row r="256" ht="14.25" hidden="1" customHeight="1">
      <c r="A256" s="3" t="s">
        <v>3879</v>
      </c>
      <c r="B256" s="3">
        <v>1.644258822428E12</v>
      </c>
      <c r="C256" s="3">
        <v>3527.0</v>
      </c>
      <c r="D256" s="3">
        <v>1.0</v>
      </c>
    </row>
    <row r="257" ht="14.25" hidden="1" customHeight="1">
      <c r="A257" s="3" t="s">
        <v>3880</v>
      </c>
      <c r="B257" s="3">
        <v>1.644258839009E12</v>
      </c>
      <c r="C257" s="3">
        <v>7263.0</v>
      </c>
      <c r="D257" s="3">
        <v>1.0</v>
      </c>
    </row>
    <row r="258" ht="14.25" hidden="1" customHeight="1">
      <c r="A258" s="3" t="s">
        <v>3881</v>
      </c>
      <c r="B258" s="3">
        <v>1.644258852971E12</v>
      </c>
      <c r="C258" s="3">
        <v>15779.0</v>
      </c>
      <c r="D258" s="3">
        <v>1.0</v>
      </c>
    </row>
    <row r="259" ht="14.25" hidden="1" customHeight="1">
      <c r="A259" s="3" t="s">
        <v>3882</v>
      </c>
      <c r="B259" s="3">
        <v>1.644258868016E12</v>
      </c>
      <c r="C259" s="3">
        <v>5105.0</v>
      </c>
      <c r="D259" s="3">
        <v>1.0</v>
      </c>
    </row>
    <row r="260" ht="14.25" hidden="1" customHeight="1">
      <c r="A260" s="3" t="s">
        <v>3883</v>
      </c>
      <c r="B260" s="3">
        <v>1.644258884424E12</v>
      </c>
      <c r="C260" s="3">
        <v>6497.0</v>
      </c>
      <c r="D260" s="3">
        <v>1.0</v>
      </c>
    </row>
    <row r="261" ht="14.25" hidden="1" customHeight="1">
      <c r="A261" s="3" t="s">
        <v>3884</v>
      </c>
      <c r="B261" s="3">
        <v>1.644258895286E12</v>
      </c>
      <c r="C261" s="3">
        <v>3713.0</v>
      </c>
      <c r="D261" s="3">
        <v>1.0</v>
      </c>
    </row>
    <row r="262" ht="14.25" hidden="1" customHeight="1">
      <c r="A262" s="3" t="s">
        <v>3885</v>
      </c>
      <c r="B262" s="3">
        <v>1.644258923159E12</v>
      </c>
      <c r="C262" s="3">
        <v>3713.0</v>
      </c>
      <c r="D262" s="3">
        <v>1.0</v>
      </c>
    </row>
    <row r="263" ht="14.25" hidden="1" customHeight="1">
      <c r="A263" s="3" t="s">
        <v>3886</v>
      </c>
      <c r="B263" s="3">
        <v>1.644258979631E12</v>
      </c>
      <c r="C263" s="3">
        <v>10210.0</v>
      </c>
      <c r="D263" s="3">
        <v>1.0</v>
      </c>
    </row>
    <row r="264" ht="14.25" hidden="1" customHeight="1">
      <c r="A264" s="3" t="s">
        <v>3887</v>
      </c>
      <c r="B264" s="3">
        <v>1.644258989378E12</v>
      </c>
      <c r="C264" s="3">
        <v>32486.0</v>
      </c>
      <c r="D264" s="3">
        <v>1.0</v>
      </c>
    </row>
    <row r="265" ht="14.25" hidden="1" customHeight="1">
      <c r="A265" s="3" t="s">
        <v>3888</v>
      </c>
      <c r="B265" s="3">
        <v>1.644259023303E12</v>
      </c>
      <c r="C265" s="3">
        <v>3713.0</v>
      </c>
      <c r="D265" s="3">
        <v>1.0</v>
      </c>
    </row>
    <row r="266" ht="14.25" hidden="1" customHeight="1">
      <c r="A266" s="3" t="s">
        <v>3889</v>
      </c>
      <c r="B266" s="3">
        <v>1.644259048756E12</v>
      </c>
      <c r="C266" s="3">
        <v>43624.0</v>
      </c>
      <c r="D266" s="3">
        <v>1.0</v>
      </c>
    </row>
    <row r="267" ht="14.25" hidden="1" customHeight="1">
      <c r="A267" s="3" t="s">
        <v>3890</v>
      </c>
      <c r="B267" s="3">
        <v>1.644259059993E12</v>
      </c>
      <c r="C267" s="3">
        <v>9282.0</v>
      </c>
      <c r="D267" s="3">
        <v>1.0</v>
      </c>
    </row>
    <row r="268" ht="14.25" hidden="1" customHeight="1">
      <c r="A268" s="3" t="s">
        <v>3891</v>
      </c>
      <c r="B268" s="3">
        <v>1.64425907182E12</v>
      </c>
      <c r="C268" s="3">
        <v>9746.0</v>
      </c>
      <c r="D268" s="3">
        <v>1.0</v>
      </c>
    </row>
    <row r="269" ht="14.25" hidden="1" customHeight="1">
      <c r="A269" s="3" t="s">
        <v>3892</v>
      </c>
      <c r="B269" s="3">
        <v>1.644259088244E12</v>
      </c>
      <c r="C269" s="3">
        <v>2785.0</v>
      </c>
      <c r="D269" s="3">
        <v>1.0</v>
      </c>
    </row>
    <row r="270" ht="14.25" hidden="1" customHeight="1">
      <c r="A270" s="3" t="s">
        <v>3893</v>
      </c>
      <c r="B270" s="3">
        <v>1.644259102328E12</v>
      </c>
      <c r="C270" s="3">
        <v>5460.0</v>
      </c>
      <c r="D270" s="3">
        <v>1.0</v>
      </c>
    </row>
    <row r="271" ht="14.25" hidden="1" customHeight="1">
      <c r="A271" s="3" t="s">
        <v>3894</v>
      </c>
      <c r="B271" s="3">
        <v>1.644259122271E12</v>
      </c>
      <c r="C271" s="3">
        <v>6033.0</v>
      </c>
      <c r="D271" s="3">
        <v>1.0</v>
      </c>
    </row>
    <row r="272" ht="14.25" hidden="1" customHeight="1">
      <c r="A272" s="3" t="s">
        <v>2401</v>
      </c>
      <c r="B272" s="3">
        <v>1.645629782262E12</v>
      </c>
      <c r="C272" s="3">
        <v>4130.0</v>
      </c>
      <c r="D272" s="3">
        <v>359.0</v>
      </c>
    </row>
    <row r="273" ht="14.25" hidden="1" customHeight="1">
      <c r="A273" s="3" t="s">
        <v>2403</v>
      </c>
      <c r="B273" s="3">
        <v>1.650295261109E12</v>
      </c>
      <c r="C273" s="3">
        <v>2301.0</v>
      </c>
      <c r="D273" s="3">
        <v>809.0</v>
      </c>
    </row>
    <row r="274" ht="14.25" hidden="1" customHeight="1">
      <c r="A274" s="3" t="s">
        <v>2405</v>
      </c>
      <c r="B274" s="3">
        <v>1.650295282448E12</v>
      </c>
      <c r="C274" s="3">
        <v>3358.0</v>
      </c>
      <c r="D274" s="3">
        <v>548.0</v>
      </c>
    </row>
    <row r="275" ht="14.25" hidden="1" customHeight="1">
      <c r="A275" s="3" t="s">
        <v>2772</v>
      </c>
      <c r="B275" s="3">
        <v>1.650298908518E12</v>
      </c>
      <c r="C275" s="3">
        <v>5368.0</v>
      </c>
      <c r="D275" s="3">
        <v>3000.0</v>
      </c>
    </row>
    <row r="276" ht="14.25" hidden="1" customHeight="1">
      <c r="A276" s="3" t="s">
        <v>3145</v>
      </c>
      <c r="B276" s="3">
        <v>1.650299083874E12</v>
      </c>
      <c r="C276" s="3">
        <v>5773.0</v>
      </c>
      <c r="D276" s="3">
        <v>290.0</v>
      </c>
    </row>
    <row r="277" ht="14.25" hidden="1" customHeight="1">
      <c r="A277" s="3" t="s">
        <v>15965</v>
      </c>
      <c r="B277" s="3">
        <v>1.650301031879E12</v>
      </c>
      <c r="C277" s="3">
        <v>20673.0</v>
      </c>
      <c r="D277" s="3">
        <v>340.0</v>
      </c>
    </row>
    <row r="278" ht="14.25" hidden="1" customHeight="1">
      <c r="A278" s="3" t="s">
        <v>2408</v>
      </c>
      <c r="B278" s="3">
        <v>1.650302269777E12</v>
      </c>
      <c r="C278" s="3">
        <v>66681.0</v>
      </c>
      <c r="D278" s="3">
        <v>59.0</v>
      </c>
    </row>
    <row r="279" ht="14.25" hidden="1" customHeight="1">
      <c r="A279" s="3" t="s">
        <v>3373</v>
      </c>
      <c r="B279" s="3">
        <v>1.650302273911E12</v>
      </c>
      <c r="C279" s="3">
        <v>36635.0</v>
      </c>
      <c r="D279" s="3">
        <v>29.0</v>
      </c>
    </row>
    <row r="280" ht="14.25" hidden="1" customHeight="1">
      <c r="A280" s="3" t="s">
        <v>3902</v>
      </c>
      <c r="B280" s="3">
        <v>1.650477967885E12</v>
      </c>
      <c r="C280" s="3">
        <v>38595.0</v>
      </c>
      <c r="D280" s="3">
        <v>1.0</v>
      </c>
    </row>
    <row r="281" ht="14.25" hidden="1" customHeight="1">
      <c r="A281" s="3" t="s">
        <v>3903</v>
      </c>
      <c r="B281" s="3">
        <v>1.650478008436E12</v>
      </c>
      <c r="C281" s="3">
        <v>6035.0</v>
      </c>
      <c r="D281" s="3">
        <v>1.0</v>
      </c>
    </row>
    <row r="282" ht="14.25" hidden="1" customHeight="1">
      <c r="A282" s="3" t="s">
        <v>3904</v>
      </c>
      <c r="B282" s="3">
        <v>1.650478021227E12</v>
      </c>
      <c r="C282" s="3">
        <v>27107.0</v>
      </c>
      <c r="D282" s="3">
        <v>1.0</v>
      </c>
    </row>
    <row r="283" ht="14.25" hidden="1" customHeight="1">
      <c r="A283" s="3" t="s">
        <v>3905</v>
      </c>
      <c r="B283" s="3">
        <v>1.65047803451E12</v>
      </c>
      <c r="C283" s="3">
        <v>5824.0</v>
      </c>
      <c r="D283" s="3">
        <v>1.0</v>
      </c>
    </row>
    <row r="284" ht="14.25" hidden="1" customHeight="1">
      <c r="A284" s="3" t="s">
        <v>3906</v>
      </c>
      <c r="B284" s="3">
        <v>1.650478050242E12</v>
      </c>
      <c r="C284" s="3">
        <v>13765.0</v>
      </c>
      <c r="D284" s="3">
        <v>1.0</v>
      </c>
    </row>
    <row r="285" ht="14.25" hidden="1" customHeight="1">
      <c r="A285" s="3" t="s">
        <v>15966</v>
      </c>
      <c r="B285" s="3">
        <v>1.650478062964E12</v>
      </c>
      <c r="C285" s="3">
        <v>2753.0</v>
      </c>
      <c r="D285" s="3">
        <v>1.0</v>
      </c>
    </row>
    <row r="286" ht="14.25" hidden="1" customHeight="1">
      <c r="A286" s="3" t="s">
        <v>15967</v>
      </c>
      <c r="B286" s="3">
        <v>1.650478074858E12</v>
      </c>
      <c r="C286" s="3">
        <v>3388.0</v>
      </c>
      <c r="D286" s="3">
        <v>1.0</v>
      </c>
    </row>
    <row r="287" ht="14.25" hidden="1" customHeight="1">
      <c r="A287" s="3" t="s">
        <v>3907</v>
      </c>
      <c r="B287" s="3">
        <v>1.650478089929E12</v>
      </c>
      <c r="C287" s="3">
        <v>9318.0</v>
      </c>
      <c r="D287" s="3">
        <v>1.0</v>
      </c>
    </row>
    <row r="288" ht="14.25" hidden="1" customHeight="1">
      <c r="A288" s="3" t="s">
        <v>3908</v>
      </c>
      <c r="B288" s="3">
        <v>1.650478100917E12</v>
      </c>
      <c r="C288" s="3">
        <v>12177.0</v>
      </c>
      <c r="D288" s="3">
        <v>1.0</v>
      </c>
    </row>
    <row r="289" ht="14.25" hidden="1" customHeight="1">
      <c r="A289" s="3" t="s">
        <v>3909</v>
      </c>
      <c r="B289" s="3">
        <v>1.650478111691E12</v>
      </c>
      <c r="C289" s="3">
        <v>9212.0</v>
      </c>
      <c r="D289" s="3">
        <v>1.0</v>
      </c>
    </row>
    <row r="290" ht="14.25" hidden="1" customHeight="1">
      <c r="A290" s="3" t="s">
        <v>3910</v>
      </c>
      <c r="B290" s="3">
        <v>1.650478123588E12</v>
      </c>
      <c r="C290" s="3">
        <v>7624.0</v>
      </c>
      <c r="D290" s="3">
        <v>1.0</v>
      </c>
    </row>
    <row r="291" ht="14.25" hidden="1" customHeight="1">
      <c r="A291" s="3" t="s">
        <v>3911</v>
      </c>
      <c r="B291" s="3">
        <v>1.650478146139E12</v>
      </c>
      <c r="C291" s="3">
        <v>6671.0</v>
      </c>
      <c r="D291" s="3">
        <v>1.0</v>
      </c>
    </row>
    <row r="292" ht="14.25" hidden="1" customHeight="1">
      <c r="A292" s="3" t="s">
        <v>3912</v>
      </c>
      <c r="B292" s="3">
        <v>1.65047815776E12</v>
      </c>
      <c r="C292" s="3">
        <v>33883.0</v>
      </c>
      <c r="D292" s="3">
        <v>1.0</v>
      </c>
    </row>
    <row r="293" ht="14.25" hidden="1" customHeight="1">
      <c r="A293" s="3" t="s">
        <v>3913</v>
      </c>
      <c r="B293" s="3">
        <v>1.650478169323E12</v>
      </c>
      <c r="C293" s="3">
        <v>8471.0</v>
      </c>
      <c r="D293" s="3">
        <v>1.0</v>
      </c>
    </row>
    <row r="294" ht="14.25" hidden="1" customHeight="1">
      <c r="A294" s="3" t="s">
        <v>3914</v>
      </c>
      <c r="B294" s="3">
        <v>1.650478206093E12</v>
      </c>
      <c r="C294" s="3">
        <v>10377.0</v>
      </c>
      <c r="D294" s="3">
        <v>1.0</v>
      </c>
    </row>
    <row r="295" ht="14.25" hidden="1" customHeight="1">
      <c r="A295" s="3" t="s">
        <v>3915</v>
      </c>
      <c r="B295" s="3">
        <v>1.650478249084E12</v>
      </c>
      <c r="C295" s="3">
        <v>36357.0</v>
      </c>
      <c r="D295" s="3">
        <v>1.0</v>
      </c>
    </row>
    <row r="296" ht="14.25" hidden="1" customHeight="1">
      <c r="A296" s="3" t="s">
        <v>3916</v>
      </c>
      <c r="B296" s="3">
        <v>1.650478277346E12</v>
      </c>
      <c r="C296" s="3">
        <v>6777.0</v>
      </c>
      <c r="D296" s="3">
        <v>1.0</v>
      </c>
    </row>
    <row r="297" ht="14.25" hidden="1" customHeight="1">
      <c r="A297" s="3" t="s">
        <v>3917</v>
      </c>
      <c r="B297" s="3">
        <v>1.65047829052E12</v>
      </c>
      <c r="C297" s="3">
        <v>3177.0</v>
      </c>
      <c r="D297" s="3">
        <v>1.0</v>
      </c>
    </row>
    <row r="298" ht="14.25" hidden="1" customHeight="1">
      <c r="A298" s="3" t="s">
        <v>3918</v>
      </c>
      <c r="B298" s="3">
        <v>1.650478301588E12</v>
      </c>
      <c r="C298" s="3">
        <v>5294.0</v>
      </c>
      <c r="D298" s="3">
        <v>1.0</v>
      </c>
    </row>
    <row r="299" ht="14.25" hidden="1" customHeight="1">
      <c r="A299" s="3" t="s">
        <v>3919</v>
      </c>
      <c r="B299" s="3">
        <v>1.650478333611E12</v>
      </c>
      <c r="C299" s="3">
        <v>5824.0</v>
      </c>
      <c r="D299" s="3">
        <v>1.0</v>
      </c>
    </row>
    <row r="300" ht="14.25" hidden="1" customHeight="1">
      <c r="A300" s="3" t="s">
        <v>3920</v>
      </c>
      <c r="B300" s="3">
        <v>1.651602983648E12</v>
      </c>
      <c r="C300" s="3">
        <v>3273.0</v>
      </c>
      <c r="D300" s="3">
        <v>28.0</v>
      </c>
    </row>
    <row r="301" ht="14.25" hidden="1" customHeight="1">
      <c r="A301" s="3" t="s">
        <v>3921</v>
      </c>
      <c r="B301" s="3">
        <v>1.651603020408E12</v>
      </c>
      <c r="C301" s="3">
        <v>655.0</v>
      </c>
      <c r="D301" s="3">
        <v>100.0</v>
      </c>
    </row>
    <row r="302" ht="14.25" hidden="1" customHeight="1">
      <c r="A302" s="3" t="s">
        <v>3055</v>
      </c>
      <c r="B302" s="3">
        <v>1.652824769553E12</v>
      </c>
      <c r="C302" s="3">
        <v>11839.0</v>
      </c>
      <c r="D302" s="3">
        <v>12.0</v>
      </c>
    </row>
    <row r="303" ht="14.25" hidden="1" customHeight="1">
      <c r="A303" s="3" t="s">
        <v>3255</v>
      </c>
      <c r="B303" s="3">
        <v>1.652824782363E12</v>
      </c>
      <c r="C303" s="3">
        <v>11664.0</v>
      </c>
      <c r="D303" s="3">
        <v>962.0</v>
      </c>
    </row>
    <row r="304" ht="14.25" hidden="1" customHeight="1">
      <c r="A304" s="3" t="s">
        <v>2773</v>
      </c>
      <c r="B304" s="3">
        <v>1.652824796337E12</v>
      </c>
      <c r="C304" s="3">
        <v>11665.0</v>
      </c>
      <c r="D304" s="3">
        <v>1367.0</v>
      </c>
    </row>
    <row r="305" ht="14.25" hidden="1" customHeight="1">
      <c r="A305" s="3" t="s">
        <v>15968</v>
      </c>
      <c r="B305" s="3">
        <v>1.652824902758E12</v>
      </c>
      <c r="C305" s="3">
        <v>18668.0</v>
      </c>
      <c r="D305" s="3">
        <v>2.0</v>
      </c>
    </row>
    <row r="306" ht="14.25" hidden="1" customHeight="1">
      <c r="A306" s="3" t="s">
        <v>15969</v>
      </c>
      <c r="B306" s="3">
        <v>1.652824924113E12</v>
      </c>
      <c r="C306" s="3">
        <v>20635.0</v>
      </c>
      <c r="D306" s="3">
        <v>42.0</v>
      </c>
    </row>
    <row r="307" ht="14.25" hidden="1" customHeight="1">
      <c r="A307" s="3" t="s">
        <v>15970</v>
      </c>
      <c r="B307" s="3">
        <v>1.652824942453E12</v>
      </c>
      <c r="C307" s="3">
        <v>20255.0</v>
      </c>
      <c r="D307" s="3">
        <v>832.0</v>
      </c>
    </row>
    <row r="308" ht="14.25" hidden="1" customHeight="1">
      <c r="A308" s="3" t="s">
        <v>15971</v>
      </c>
      <c r="B308" s="3">
        <v>1.652824957424E12</v>
      </c>
      <c r="C308" s="3">
        <v>20647.0</v>
      </c>
      <c r="D308" s="3">
        <v>382.0</v>
      </c>
    </row>
    <row r="309" ht="14.25" hidden="1" customHeight="1">
      <c r="A309" s="3" t="s">
        <v>2410</v>
      </c>
      <c r="B309" s="3">
        <v>1.652825027456E12</v>
      </c>
      <c r="C309" s="3">
        <v>6698.0</v>
      </c>
      <c r="D309" s="3">
        <v>161.0</v>
      </c>
    </row>
    <row r="310" ht="14.25" hidden="1" customHeight="1">
      <c r="A310" s="3" t="s">
        <v>3433</v>
      </c>
      <c r="B310" s="3">
        <v>1.652825203439E12</v>
      </c>
      <c r="C310" s="3">
        <v>5980.0</v>
      </c>
      <c r="D310" s="3">
        <v>356.0</v>
      </c>
    </row>
    <row r="311" ht="14.25" hidden="1" customHeight="1">
      <c r="A311" s="3" t="s">
        <v>2736</v>
      </c>
      <c r="B311" s="3">
        <v>1.652825295706E12</v>
      </c>
      <c r="C311" s="3">
        <v>8335.0</v>
      </c>
      <c r="D311" s="3">
        <v>609.0</v>
      </c>
    </row>
    <row r="312" ht="14.25" hidden="1" customHeight="1">
      <c r="A312" s="3" t="s">
        <v>3925</v>
      </c>
      <c r="B312" s="3">
        <v>1.653404584202E12</v>
      </c>
      <c r="C312" s="3">
        <v>17264.0</v>
      </c>
      <c r="D312" s="3">
        <v>1.0</v>
      </c>
    </row>
    <row r="313" ht="14.25" hidden="1" customHeight="1">
      <c r="A313" s="3" t="s">
        <v>3926</v>
      </c>
      <c r="B313" s="3">
        <v>1.653404596846E12</v>
      </c>
      <c r="C313" s="3">
        <v>15439.0</v>
      </c>
      <c r="D313" s="3">
        <v>1.0</v>
      </c>
    </row>
    <row r="314" ht="14.25" hidden="1" customHeight="1">
      <c r="A314" s="3" t="s">
        <v>3927</v>
      </c>
      <c r="B314" s="3">
        <v>1.653404613464E12</v>
      </c>
      <c r="C314" s="3">
        <v>12913.0</v>
      </c>
      <c r="D314" s="3">
        <v>1.0</v>
      </c>
    </row>
    <row r="315" ht="14.25" hidden="1" customHeight="1">
      <c r="A315" s="3" t="s">
        <v>3928</v>
      </c>
      <c r="B315" s="3">
        <v>1.653404633176E12</v>
      </c>
      <c r="C315" s="3">
        <v>18527.0</v>
      </c>
      <c r="D315" s="3">
        <v>1.0</v>
      </c>
    </row>
    <row r="316" ht="14.25" customHeight="1">
      <c r="A316" s="3" t="s">
        <v>3929</v>
      </c>
      <c r="B316" s="3">
        <v>1.653404646981E12</v>
      </c>
      <c r="C316" s="3">
        <v>120849.0</v>
      </c>
      <c r="D316" s="3">
        <v>1.0</v>
      </c>
    </row>
    <row r="317" ht="14.25" hidden="1" customHeight="1">
      <c r="A317" s="3" t="s">
        <v>3930</v>
      </c>
      <c r="B317" s="3">
        <v>1.653404660401E12</v>
      </c>
      <c r="C317" s="3">
        <v>4491.0</v>
      </c>
      <c r="D317" s="3">
        <v>1.0</v>
      </c>
    </row>
    <row r="318" ht="14.25" hidden="1" customHeight="1">
      <c r="A318" s="3" t="s">
        <v>3931</v>
      </c>
      <c r="B318" s="3">
        <v>1.653404672596E12</v>
      </c>
      <c r="C318" s="3">
        <v>9544.0</v>
      </c>
      <c r="D318" s="3">
        <v>1.0</v>
      </c>
    </row>
    <row r="319" ht="14.25" hidden="1" customHeight="1">
      <c r="A319" s="3" t="s">
        <v>3932</v>
      </c>
      <c r="B319" s="3">
        <v>1.653404687721E12</v>
      </c>
      <c r="C319" s="3">
        <v>6878.0</v>
      </c>
      <c r="D319" s="3">
        <v>1.0</v>
      </c>
    </row>
    <row r="320" ht="14.25" hidden="1" customHeight="1">
      <c r="A320" s="3" t="s">
        <v>3933</v>
      </c>
      <c r="B320" s="3">
        <v>1.653404698359E12</v>
      </c>
      <c r="C320" s="3">
        <v>6597.0</v>
      </c>
      <c r="D320" s="3">
        <v>1.0</v>
      </c>
    </row>
    <row r="321" ht="14.25" hidden="1" customHeight="1">
      <c r="A321" s="3" t="s">
        <v>3934</v>
      </c>
      <c r="B321" s="3">
        <v>1.653404709747E12</v>
      </c>
      <c r="C321" s="3">
        <v>3790.0</v>
      </c>
      <c r="D321" s="3">
        <v>1.0</v>
      </c>
    </row>
    <row r="322" ht="14.25" hidden="1" customHeight="1">
      <c r="A322" s="3" t="s">
        <v>3935</v>
      </c>
      <c r="B322" s="3">
        <v>1.653404720633E12</v>
      </c>
      <c r="C322" s="3">
        <v>7158.0</v>
      </c>
      <c r="D322" s="3">
        <v>1.0</v>
      </c>
    </row>
    <row r="323" ht="14.25" hidden="1" customHeight="1">
      <c r="A323" s="3" t="s">
        <v>3936</v>
      </c>
      <c r="B323" s="3">
        <v>1.653404731061E12</v>
      </c>
      <c r="C323" s="3">
        <v>3790.0</v>
      </c>
      <c r="D323" s="3">
        <v>1.0</v>
      </c>
    </row>
    <row r="324" ht="14.25" hidden="1" customHeight="1">
      <c r="A324" s="3" t="s">
        <v>3937</v>
      </c>
      <c r="B324" s="3">
        <v>1.653404741817E12</v>
      </c>
      <c r="C324" s="3">
        <v>3088.0</v>
      </c>
      <c r="D324" s="3">
        <v>1.0</v>
      </c>
    </row>
    <row r="325" ht="14.25" hidden="1" customHeight="1">
      <c r="A325" s="3" t="s">
        <v>2412</v>
      </c>
      <c r="B325" s="3">
        <v>1.654189048611E12</v>
      </c>
      <c r="C325" s="3">
        <v>3001.0</v>
      </c>
      <c r="D325" s="3">
        <v>298.0</v>
      </c>
    </row>
    <row r="326" ht="14.25" hidden="1" customHeight="1">
      <c r="A326" s="3" t="s">
        <v>2414</v>
      </c>
      <c r="B326" s="3">
        <v>1.654189204021E12</v>
      </c>
      <c r="C326" s="3">
        <v>3879.0</v>
      </c>
      <c r="D326" s="3">
        <v>502.0</v>
      </c>
    </row>
    <row r="327" ht="14.25" hidden="1" customHeight="1">
      <c r="A327" s="3" t="s">
        <v>2415</v>
      </c>
      <c r="B327" s="3">
        <v>1.654207295633E12</v>
      </c>
      <c r="C327" s="3">
        <v>1445.0</v>
      </c>
      <c r="D327" s="3">
        <v>2793.0</v>
      </c>
    </row>
    <row r="328" ht="14.25" hidden="1" customHeight="1">
      <c r="A328" s="3" t="s">
        <v>2418</v>
      </c>
      <c r="B328" s="3">
        <v>1.654207333519E12</v>
      </c>
      <c r="C328" s="3">
        <v>1876.0</v>
      </c>
      <c r="D328" s="3">
        <v>40.0</v>
      </c>
    </row>
    <row r="329" ht="14.25" hidden="1" customHeight="1">
      <c r="A329" s="3" t="s">
        <v>2777</v>
      </c>
      <c r="B329" s="3">
        <v>1.654207352499E12</v>
      </c>
      <c r="C329" s="3">
        <v>3427.0</v>
      </c>
      <c r="D329" s="3">
        <v>595.0</v>
      </c>
    </row>
    <row r="330" ht="14.25" hidden="1" customHeight="1">
      <c r="A330" s="3" t="s">
        <v>2420</v>
      </c>
      <c r="B330" s="3">
        <v>1.654207372101E12</v>
      </c>
      <c r="C330" s="3">
        <v>1879.0</v>
      </c>
      <c r="D330" s="3">
        <v>721.0</v>
      </c>
    </row>
    <row r="331" ht="14.25" hidden="1" customHeight="1">
      <c r="A331" s="3" t="s">
        <v>2778</v>
      </c>
      <c r="B331" s="3">
        <v>1.65420774834E12</v>
      </c>
      <c r="C331" s="3">
        <v>7372.0</v>
      </c>
      <c r="D331" s="3">
        <v>193.0</v>
      </c>
    </row>
    <row r="332" ht="14.25" hidden="1" customHeight="1">
      <c r="A332" s="3" t="s">
        <v>2422</v>
      </c>
      <c r="B332" s="3">
        <v>1.656603353038E12</v>
      </c>
      <c r="C332" s="3">
        <v>8969.0</v>
      </c>
      <c r="D332" s="3">
        <v>185.0</v>
      </c>
    </row>
    <row r="333" ht="14.25" hidden="1" customHeight="1">
      <c r="A333" s="3" t="s">
        <v>3058</v>
      </c>
      <c r="B333" s="3">
        <v>1.656603823688E12</v>
      </c>
      <c r="C333" s="3">
        <v>23649.0</v>
      </c>
      <c r="D333" s="3">
        <v>47.0</v>
      </c>
    </row>
    <row r="334" ht="14.25" hidden="1" customHeight="1">
      <c r="A334" s="3" t="s">
        <v>3943</v>
      </c>
      <c r="B334" s="3">
        <v>1.656617537266E12</v>
      </c>
      <c r="C334" s="3">
        <v>5769.0</v>
      </c>
      <c r="D334" s="3">
        <v>1.0</v>
      </c>
    </row>
    <row r="335" ht="14.25" hidden="1" customHeight="1">
      <c r="A335" s="3" t="s">
        <v>3944</v>
      </c>
      <c r="B335" s="3">
        <v>1.656617557771E12</v>
      </c>
      <c r="C335" s="3">
        <v>7379.0</v>
      </c>
      <c r="D335" s="3">
        <v>1.0</v>
      </c>
    </row>
    <row r="336" ht="14.25" hidden="1" customHeight="1">
      <c r="A336" s="3" t="s">
        <v>3945</v>
      </c>
      <c r="B336" s="3">
        <v>1.656617655162E12</v>
      </c>
      <c r="C336" s="3">
        <v>6037.0</v>
      </c>
      <c r="D336" s="3">
        <v>1.0</v>
      </c>
    </row>
    <row r="337" ht="14.25" hidden="1" customHeight="1">
      <c r="A337" s="3" t="s">
        <v>3946</v>
      </c>
      <c r="B337" s="3">
        <v>1.656617666249E12</v>
      </c>
      <c r="C337" s="3">
        <v>5232.0</v>
      </c>
      <c r="D337" s="3">
        <v>1.0</v>
      </c>
    </row>
    <row r="338" ht="14.25" hidden="1" customHeight="1">
      <c r="A338" s="3" t="s">
        <v>2780</v>
      </c>
      <c r="B338" s="3">
        <v>1.657222641841E12</v>
      </c>
      <c r="C338" s="3">
        <v>5748.0</v>
      </c>
      <c r="D338" s="3">
        <v>-922.0</v>
      </c>
    </row>
    <row r="339" ht="14.25" hidden="1" customHeight="1">
      <c r="A339" s="3" t="s">
        <v>2781</v>
      </c>
      <c r="B339" s="3">
        <v>1.658269683485E12</v>
      </c>
      <c r="C339" s="3">
        <v>10616.0</v>
      </c>
      <c r="D339" s="3">
        <v>-3035.0</v>
      </c>
    </row>
    <row r="340" ht="14.25" hidden="1" customHeight="1">
      <c r="A340" s="3" t="s">
        <v>3256</v>
      </c>
      <c r="B340" s="3">
        <v>1.658329968514E12</v>
      </c>
      <c r="C340" s="3">
        <v>6516.0</v>
      </c>
      <c r="D340" s="3">
        <v>375.0</v>
      </c>
    </row>
    <row r="341" ht="14.25" customHeight="1">
      <c r="A341" s="3" t="s">
        <v>3131</v>
      </c>
      <c r="B341" s="3">
        <v>1.658330471799E12</v>
      </c>
      <c r="C341" s="3">
        <v>100381.0</v>
      </c>
      <c r="D341" s="3">
        <v>299.0</v>
      </c>
    </row>
    <row r="342" ht="14.25" hidden="1" customHeight="1">
      <c r="A342" s="3" t="s">
        <v>3950</v>
      </c>
      <c r="B342" s="3">
        <v>1.658434022703E12</v>
      </c>
      <c r="C342" s="3">
        <v>29546.0</v>
      </c>
      <c r="D342" s="3">
        <v>8.0</v>
      </c>
    </row>
    <row r="343" ht="14.25" hidden="1" customHeight="1">
      <c r="A343" s="3" t="s">
        <v>3951</v>
      </c>
      <c r="B343" s="3">
        <v>1.658434052995E12</v>
      </c>
      <c r="C343" s="3">
        <v>44227.0</v>
      </c>
      <c r="D343" s="3">
        <v>1.0</v>
      </c>
    </row>
    <row r="344" ht="14.25" hidden="1" customHeight="1">
      <c r="A344" s="3" t="s">
        <v>3952</v>
      </c>
      <c r="B344" s="3">
        <v>1.658436173706E12</v>
      </c>
      <c r="C344" s="3">
        <v>68399.0</v>
      </c>
      <c r="D344" s="3">
        <v>1.0</v>
      </c>
    </row>
    <row r="345" ht="14.25" hidden="1" customHeight="1">
      <c r="A345" s="3" t="s">
        <v>3953</v>
      </c>
      <c r="B345" s="3">
        <v>1.658436211628E12</v>
      </c>
      <c r="C345" s="3">
        <v>45585.0</v>
      </c>
      <c r="D345" s="3">
        <v>1.0</v>
      </c>
    </row>
    <row r="346" ht="14.25" hidden="1" customHeight="1">
      <c r="A346" s="3" t="s">
        <v>2783</v>
      </c>
      <c r="B346" s="3">
        <v>1.658525816907E12</v>
      </c>
      <c r="C346" s="3">
        <v>6598.0</v>
      </c>
      <c r="D346" s="3">
        <v>5.0</v>
      </c>
    </row>
    <row r="347" ht="14.25" hidden="1" customHeight="1">
      <c r="A347" s="3" t="s">
        <v>3954</v>
      </c>
      <c r="B347" s="3">
        <v>1.659132834108E12</v>
      </c>
      <c r="C347" s="3">
        <v>202403.0</v>
      </c>
      <c r="D347" s="3">
        <v>10.0</v>
      </c>
    </row>
    <row r="348" ht="14.25" hidden="1" customHeight="1">
      <c r="A348" s="3" t="s">
        <v>3083</v>
      </c>
      <c r="B348" s="3">
        <v>1.659971347046E12</v>
      </c>
      <c r="C348" s="3">
        <v>2802.0</v>
      </c>
      <c r="D348" s="3">
        <v>778.0</v>
      </c>
    </row>
    <row r="349" ht="14.25" hidden="1" customHeight="1">
      <c r="A349" s="3" t="s">
        <v>3955</v>
      </c>
      <c r="B349" s="3">
        <v>1.659987555067E12</v>
      </c>
      <c r="C349" s="3">
        <v>3776.0</v>
      </c>
      <c r="D349" s="3">
        <v>14.0</v>
      </c>
    </row>
    <row r="350" ht="14.25" hidden="1" customHeight="1">
      <c r="A350" s="3" t="s">
        <v>3956</v>
      </c>
      <c r="B350" s="3">
        <v>1.659987577541E12</v>
      </c>
      <c r="C350" s="3">
        <v>3752.0</v>
      </c>
      <c r="D350" s="3">
        <v>19.0</v>
      </c>
    </row>
    <row r="351" ht="14.25" hidden="1" customHeight="1">
      <c r="A351" s="3" t="s">
        <v>2784</v>
      </c>
      <c r="B351" s="3">
        <v>1.659989549286E12</v>
      </c>
      <c r="C351" s="3">
        <v>3712.0</v>
      </c>
      <c r="D351" s="3">
        <v>360.0</v>
      </c>
    </row>
    <row r="352" ht="14.25" hidden="1" customHeight="1">
      <c r="A352" s="3" t="s">
        <v>2785</v>
      </c>
      <c r="B352" s="3">
        <v>1.659989621591E12</v>
      </c>
      <c r="C352" s="3">
        <v>15231.0</v>
      </c>
      <c r="D352" s="3">
        <v>170.0</v>
      </c>
    </row>
    <row r="353" ht="14.25" hidden="1" customHeight="1">
      <c r="A353" s="3" t="s">
        <v>2786</v>
      </c>
      <c r="B353" s="3">
        <v>1.659990725288E12</v>
      </c>
      <c r="C353" s="3">
        <v>9787.0</v>
      </c>
      <c r="D353" s="3">
        <v>298.0</v>
      </c>
    </row>
    <row r="354" ht="14.25" hidden="1" customHeight="1">
      <c r="A354" s="3" t="s">
        <v>15972</v>
      </c>
      <c r="B354" s="3">
        <v>1.659990788079E12</v>
      </c>
      <c r="C354" s="3">
        <v>10451.0</v>
      </c>
      <c r="D354" s="3">
        <v>235.0</v>
      </c>
    </row>
    <row r="355" ht="14.25" hidden="1" customHeight="1">
      <c r="A355" s="3" t="s">
        <v>3085</v>
      </c>
      <c r="B355" s="3">
        <v>1.65999080731E12</v>
      </c>
      <c r="C355" s="3">
        <v>8841.0</v>
      </c>
      <c r="D355" s="3">
        <v>175.0</v>
      </c>
    </row>
    <row r="356" ht="14.25" hidden="1" customHeight="1">
      <c r="A356" s="3" t="s">
        <v>15973</v>
      </c>
      <c r="B356" s="3">
        <v>1.659990828178E12</v>
      </c>
      <c r="C356" s="3">
        <v>8181.0</v>
      </c>
      <c r="D356" s="3">
        <v>152.0</v>
      </c>
    </row>
    <row r="357" ht="14.25" hidden="1" customHeight="1">
      <c r="A357" s="3" t="s">
        <v>2787</v>
      </c>
      <c r="B357" s="3">
        <v>1.659991379695E12</v>
      </c>
      <c r="C357" s="3">
        <v>5796.0</v>
      </c>
      <c r="D357" s="3">
        <v>1603.0</v>
      </c>
    </row>
    <row r="358" ht="14.25" hidden="1" customHeight="1">
      <c r="A358" s="3" t="s">
        <v>2788</v>
      </c>
      <c r="B358" s="3">
        <v>1.659991481176E12</v>
      </c>
      <c r="C358" s="3">
        <v>3772.0</v>
      </c>
      <c r="D358" s="3">
        <v>276.0</v>
      </c>
    </row>
    <row r="359" ht="14.25" customHeight="1">
      <c r="A359" s="3" t="s">
        <v>15974</v>
      </c>
      <c r="B359" s="3">
        <v>1.659991971809E12</v>
      </c>
      <c r="C359" s="3">
        <v>25028.0</v>
      </c>
      <c r="D359" s="3">
        <v>766.0</v>
      </c>
    </row>
    <row r="360" ht="14.25" customHeight="1">
      <c r="A360" s="3" t="s">
        <v>15975</v>
      </c>
      <c r="B360" s="3">
        <v>1.659991999728E12</v>
      </c>
      <c r="C360" s="3">
        <v>13773.0</v>
      </c>
      <c r="D360" s="3">
        <v>466.0</v>
      </c>
    </row>
    <row r="361" ht="14.25" hidden="1" customHeight="1">
      <c r="A361" s="3" t="s">
        <v>2789</v>
      </c>
      <c r="B361" s="3">
        <v>1.659992478281E12</v>
      </c>
      <c r="C361" s="3">
        <v>3670.0</v>
      </c>
      <c r="D361" s="3">
        <v>146.0</v>
      </c>
    </row>
    <row r="362" ht="14.25" hidden="1" customHeight="1">
      <c r="A362" s="3" t="s">
        <v>3059</v>
      </c>
      <c r="B362" s="3">
        <v>1.659992503614E12</v>
      </c>
      <c r="C362" s="3">
        <v>3636.0</v>
      </c>
      <c r="D362" s="3">
        <v>75.0</v>
      </c>
    </row>
    <row r="363" ht="14.25" hidden="1" customHeight="1">
      <c r="A363" s="3" t="s">
        <v>2425</v>
      </c>
      <c r="B363" s="3">
        <v>1.659999392257E12</v>
      </c>
      <c r="C363" s="3">
        <v>3331.0</v>
      </c>
      <c r="D363" s="3">
        <v>173.0</v>
      </c>
    </row>
    <row r="364" ht="14.25" hidden="1" customHeight="1">
      <c r="A364" s="3" t="s">
        <v>2427</v>
      </c>
      <c r="B364" s="3">
        <v>1.659999410637E12</v>
      </c>
      <c r="C364" s="3">
        <v>3561.0</v>
      </c>
      <c r="D364" s="3">
        <v>891.0</v>
      </c>
    </row>
    <row r="365" ht="14.25" hidden="1" customHeight="1">
      <c r="A365" s="3" t="s">
        <v>2790</v>
      </c>
      <c r="B365" s="3" t="s">
        <v>2791</v>
      </c>
      <c r="C365" s="3">
        <v>5436.0</v>
      </c>
      <c r="D365" s="3">
        <v>47.0</v>
      </c>
    </row>
    <row r="366" ht="14.25" hidden="1" customHeight="1">
      <c r="A366" s="3" t="s">
        <v>3962</v>
      </c>
      <c r="B366" s="3">
        <v>1.660825216719E12</v>
      </c>
      <c r="C366" s="3">
        <v>3917.0</v>
      </c>
      <c r="D366" s="3">
        <v>1.0</v>
      </c>
    </row>
    <row r="367" ht="14.25" hidden="1" customHeight="1">
      <c r="A367" s="3" t="s">
        <v>3963</v>
      </c>
      <c r="B367" s="3">
        <v>1.660825229924E12</v>
      </c>
      <c r="C367" s="3">
        <v>2788.0</v>
      </c>
      <c r="D367" s="3">
        <v>1.0</v>
      </c>
    </row>
    <row r="368" ht="14.25" hidden="1" customHeight="1">
      <c r="A368" s="3" t="s">
        <v>2792</v>
      </c>
      <c r="B368" s="3">
        <v>1.660857800718E12</v>
      </c>
      <c r="C368" s="3">
        <v>5592.0</v>
      </c>
      <c r="D368" s="3">
        <v>222.0</v>
      </c>
    </row>
    <row r="369" ht="14.25" hidden="1" customHeight="1">
      <c r="A369" s="3" t="s">
        <v>2428</v>
      </c>
      <c r="B369" s="3">
        <v>1.660857914743E12</v>
      </c>
      <c r="C369" s="3">
        <v>1413.0</v>
      </c>
      <c r="D369" s="3">
        <v>364.0</v>
      </c>
    </row>
    <row r="370" ht="14.25" hidden="1" customHeight="1">
      <c r="A370" s="3" t="s">
        <v>2429</v>
      </c>
      <c r="B370" s="3">
        <v>1.66085796352E12</v>
      </c>
      <c r="C370" s="3">
        <v>3321.0</v>
      </c>
      <c r="D370" s="3">
        <v>221.0</v>
      </c>
    </row>
    <row r="371" ht="14.25" hidden="1" customHeight="1">
      <c r="A371" s="3" t="s">
        <v>3146</v>
      </c>
      <c r="B371" s="3">
        <v>1.660858025311E12</v>
      </c>
      <c r="C371" s="3">
        <v>2768.0</v>
      </c>
      <c r="D371" s="3">
        <v>298.0</v>
      </c>
    </row>
    <row r="372" ht="14.25" hidden="1" customHeight="1">
      <c r="A372" s="3" t="s">
        <v>2430</v>
      </c>
      <c r="B372" s="3">
        <v>1.660858101318E12</v>
      </c>
      <c r="C372" s="3">
        <v>3084.0</v>
      </c>
      <c r="D372" s="3">
        <v>534.0</v>
      </c>
    </row>
    <row r="373" ht="14.25" hidden="1" customHeight="1">
      <c r="A373" s="3" t="s">
        <v>2431</v>
      </c>
      <c r="B373" s="3">
        <v>1.660858118518E12</v>
      </c>
      <c r="C373" s="3">
        <v>3503.0</v>
      </c>
      <c r="D373" s="3">
        <v>641.0</v>
      </c>
    </row>
    <row r="374" ht="14.25" hidden="1" customHeight="1">
      <c r="A374" s="3" t="s">
        <v>15976</v>
      </c>
      <c r="B374" s="3">
        <v>1.660858235219E12</v>
      </c>
      <c r="C374" s="3">
        <v>8367.0</v>
      </c>
      <c r="D374" s="3">
        <v>127.0</v>
      </c>
    </row>
    <row r="375" ht="14.25" hidden="1" customHeight="1">
      <c r="A375" s="3" t="s">
        <v>3490</v>
      </c>
      <c r="B375" s="3">
        <v>1.660858266475E12</v>
      </c>
      <c r="C375" s="3">
        <v>8359.0</v>
      </c>
      <c r="D375" s="3">
        <v>48.0</v>
      </c>
    </row>
    <row r="376" ht="14.25" hidden="1" customHeight="1">
      <c r="A376" s="3" t="s">
        <v>2433</v>
      </c>
      <c r="B376" s="3">
        <v>1.660858341796E12</v>
      </c>
      <c r="C376" s="3">
        <v>5860.0</v>
      </c>
      <c r="D376" s="3">
        <v>1862.0</v>
      </c>
    </row>
    <row r="377" ht="14.25" hidden="1" customHeight="1">
      <c r="A377" s="3" t="s">
        <v>2434</v>
      </c>
      <c r="B377" s="3">
        <v>1.660858356962E12</v>
      </c>
      <c r="C377" s="3">
        <v>5674.0</v>
      </c>
      <c r="D377" s="3">
        <v>1930.0</v>
      </c>
    </row>
    <row r="378" ht="14.25" hidden="1" customHeight="1">
      <c r="A378" s="3" t="s">
        <v>2436</v>
      </c>
      <c r="B378" s="3">
        <v>1.660858416606E12</v>
      </c>
      <c r="C378" s="3">
        <v>6125.0</v>
      </c>
      <c r="D378" s="3">
        <v>243.0</v>
      </c>
    </row>
    <row r="379" ht="14.25" hidden="1" customHeight="1">
      <c r="A379" s="3" t="s">
        <v>3087</v>
      </c>
      <c r="B379" s="3">
        <v>1.66085857751E12</v>
      </c>
      <c r="C379" s="3">
        <v>22714.0</v>
      </c>
      <c r="D379" s="3">
        <v>9.0</v>
      </c>
    </row>
    <row r="380" ht="14.25" hidden="1" customHeight="1">
      <c r="A380" s="3" t="s">
        <v>2438</v>
      </c>
      <c r="B380" s="3">
        <v>1.6608587024E12</v>
      </c>
      <c r="C380" s="3">
        <v>3281.0</v>
      </c>
      <c r="D380" s="3">
        <v>333.0</v>
      </c>
    </row>
    <row r="381" ht="14.25" hidden="1" customHeight="1">
      <c r="A381" s="3" t="s">
        <v>2440</v>
      </c>
      <c r="B381" s="3">
        <v>1.660858756233E12</v>
      </c>
      <c r="C381" s="3">
        <v>1948.0</v>
      </c>
      <c r="D381" s="3">
        <v>176.0</v>
      </c>
    </row>
    <row r="382" ht="14.25" hidden="1" customHeight="1">
      <c r="A382" s="3" t="s">
        <v>2442</v>
      </c>
      <c r="B382" s="3">
        <v>1.660858776726E12</v>
      </c>
      <c r="C382" s="3">
        <v>2896.0</v>
      </c>
      <c r="D382" s="3">
        <v>178.0</v>
      </c>
    </row>
    <row r="383" ht="14.25" hidden="1" customHeight="1">
      <c r="A383" s="3" t="s">
        <v>2443</v>
      </c>
      <c r="B383" s="3">
        <v>1.660858793429E12</v>
      </c>
      <c r="C383" s="3">
        <v>3539.0</v>
      </c>
      <c r="D383" s="3">
        <v>109.0</v>
      </c>
    </row>
    <row r="384" ht="14.25" hidden="1" customHeight="1">
      <c r="A384" s="3" t="s">
        <v>2444</v>
      </c>
      <c r="B384" s="3">
        <v>1.660858812938E12</v>
      </c>
      <c r="C384" s="3">
        <v>2009.0</v>
      </c>
      <c r="D384" s="3">
        <v>176.0</v>
      </c>
    </row>
    <row r="385" ht="14.25" hidden="1" customHeight="1">
      <c r="A385" s="3" t="s">
        <v>2445</v>
      </c>
      <c r="B385" s="3">
        <v>1.660858828618E12</v>
      </c>
      <c r="C385" s="3">
        <v>3004.0</v>
      </c>
      <c r="D385" s="3">
        <v>157.0</v>
      </c>
    </row>
    <row r="386" ht="14.25" hidden="1" customHeight="1">
      <c r="A386" s="3" t="s">
        <v>2446</v>
      </c>
      <c r="B386" s="3">
        <v>1.660858844449E12</v>
      </c>
      <c r="C386" s="3">
        <v>3608.0</v>
      </c>
      <c r="D386" s="3">
        <v>207.0</v>
      </c>
    </row>
    <row r="387" ht="14.25" hidden="1" customHeight="1">
      <c r="A387" s="3" t="s">
        <v>3148</v>
      </c>
      <c r="B387" s="3">
        <v>1.660859102915E12</v>
      </c>
      <c r="C387" s="3">
        <v>5252.0</v>
      </c>
      <c r="D387" s="3">
        <v>251.0</v>
      </c>
    </row>
    <row r="388" ht="14.25" hidden="1" customHeight="1">
      <c r="A388" s="3" t="s">
        <v>2448</v>
      </c>
      <c r="B388" s="3">
        <v>1.660859171584E12</v>
      </c>
      <c r="C388" s="3">
        <v>14915.0</v>
      </c>
      <c r="D388" s="3">
        <v>943.0</v>
      </c>
    </row>
    <row r="389" ht="14.25" hidden="1" customHeight="1">
      <c r="A389" s="3" t="s">
        <v>15977</v>
      </c>
      <c r="B389" s="3">
        <v>1.660859287583E12</v>
      </c>
      <c r="C389" s="3">
        <v>8278.0</v>
      </c>
      <c r="D389" s="3">
        <v>729.0</v>
      </c>
    </row>
    <row r="390" ht="14.25" hidden="1" customHeight="1">
      <c r="A390" s="3" t="s">
        <v>3088</v>
      </c>
      <c r="B390" s="3">
        <v>1.660859424566E12</v>
      </c>
      <c r="C390" s="3">
        <v>4555.0</v>
      </c>
      <c r="D390" s="3">
        <v>164.0</v>
      </c>
    </row>
    <row r="391" ht="14.25" hidden="1" customHeight="1">
      <c r="A391" s="3" t="s">
        <v>2795</v>
      </c>
      <c r="B391" s="3" t="s">
        <v>2796</v>
      </c>
      <c r="C391" s="3">
        <v>5329.0</v>
      </c>
      <c r="D391" s="3">
        <v>5.0</v>
      </c>
    </row>
    <row r="392" ht="14.25" hidden="1" customHeight="1">
      <c r="A392" s="3" t="s">
        <v>3089</v>
      </c>
      <c r="B392" s="3">
        <v>1.661872713289E12</v>
      </c>
      <c r="C392" s="3">
        <v>4420.0</v>
      </c>
      <c r="D392" s="3">
        <v>259.0</v>
      </c>
    </row>
    <row r="393" ht="14.25" hidden="1" customHeight="1">
      <c r="A393" s="3" t="s">
        <v>2449</v>
      </c>
      <c r="B393" s="3">
        <v>1.661872956577E12</v>
      </c>
      <c r="C393" s="3">
        <v>11461.0</v>
      </c>
      <c r="D393" s="3">
        <v>142.0</v>
      </c>
    </row>
    <row r="394" ht="14.25" hidden="1" customHeight="1">
      <c r="A394" s="3" t="s">
        <v>3060</v>
      </c>
      <c r="B394" s="3">
        <v>1.661873760641E12</v>
      </c>
      <c r="C394" s="3">
        <v>8280.0</v>
      </c>
      <c r="D394" s="3">
        <v>27.0</v>
      </c>
    </row>
    <row r="395" ht="14.25" hidden="1" customHeight="1">
      <c r="A395" s="3" t="s">
        <v>2798</v>
      </c>
      <c r="B395" s="3">
        <v>1.66187377951E12</v>
      </c>
      <c r="C395" s="3">
        <v>8380.0</v>
      </c>
      <c r="D395" s="3">
        <v>2.0</v>
      </c>
    </row>
    <row r="396" ht="14.25" hidden="1" customHeight="1">
      <c r="A396" s="3" t="s">
        <v>2450</v>
      </c>
      <c r="B396" s="3">
        <v>1.661873799978E12</v>
      </c>
      <c r="C396" s="3">
        <v>9255.0</v>
      </c>
      <c r="D396" s="3">
        <v>130.0</v>
      </c>
    </row>
    <row r="397" ht="14.25" hidden="1" customHeight="1">
      <c r="A397" s="3" t="s">
        <v>3235</v>
      </c>
      <c r="B397" s="3">
        <v>1.661873818029E12</v>
      </c>
      <c r="C397" s="3">
        <v>9466.0</v>
      </c>
      <c r="D397" s="3">
        <v>111.0</v>
      </c>
    </row>
    <row r="398" ht="14.25" hidden="1" customHeight="1">
      <c r="A398" s="3" t="s">
        <v>15978</v>
      </c>
      <c r="B398" s="3">
        <v>1.661877072053E12</v>
      </c>
      <c r="C398" s="3">
        <v>270567.0</v>
      </c>
      <c r="D398" s="3">
        <v>2.0</v>
      </c>
    </row>
    <row r="399" ht="14.25" hidden="1" customHeight="1">
      <c r="A399" s="3" t="s">
        <v>15979</v>
      </c>
      <c r="B399" s="3">
        <v>1.661892847912E12</v>
      </c>
      <c r="C399" s="3">
        <v>17761.0</v>
      </c>
      <c r="D399" s="3">
        <v>13.0</v>
      </c>
    </row>
    <row r="400" ht="14.25" hidden="1" customHeight="1">
      <c r="A400" s="3" t="s">
        <v>15980</v>
      </c>
      <c r="B400" s="3">
        <v>1.661892870974E12</v>
      </c>
      <c r="C400" s="3">
        <v>15694.0</v>
      </c>
      <c r="D400" s="3">
        <v>4.0</v>
      </c>
    </row>
    <row r="401" ht="14.25" hidden="1" customHeight="1">
      <c r="A401" s="3" t="s">
        <v>3090</v>
      </c>
      <c r="B401" s="3">
        <v>1.661894945281E12</v>
      </c>
      <c r="C401" s="3">
        <v>6142.0</v>
      </c>
      <c r="D401" s="3">
        <v>10.0</v>
      </c>
    </row>
    <row r="402" ht="14.25" hidden="1" customHeight="1">
      <c r="A402" s="3" t="s">
        <v>3978</v>
      </c>
      <c r="B402" s="3">
        <v>1.661894977439E12</v>
      </c>
      <c r="C402" s="3">
        <v>6511.0</v>
      </c>
      <c r="D402" s="3">
        <v>4.0</v>
      </c>
    </row>
    <row r="403" ht="14.25" hidden="1" customHeight="1">
      <c r="A403" s="3" t="s">
        <v>2799</v>
      </c>
      <c r="B403" s="3">
        <v>1.662389376894E12</v>
      </c>
      <c r="C403" s="3">
        <v>8515.0</v>
      </c>
      <c r="D403" s="3">
        <v>-152.0</v>
      </c>
    </row>
    <row r="404" ht="14.25" hidden="1" customHeight="1">
      <c r="A404" s="3" t="s">
        <v>3980</v>
      </c>
      <c r="B404" s="3">
        <v>1.662389430959E12</v>
      </c>
      <c r="C404" s="3">
        <v>8045.0</v>
      </c>
      <c r="D404" s="3">
        <v>30.0</v>
      </c>
    </row>
    <row r="405" ht="14.25" hidden="1" customHeight="1">
      <c r="A405" s="3" t="s">
        <v>15981</v>
      </c>
      <c r="B405" s="3">
        <v>1720432.0</v>
      </c>
      <c r="C405" s="3">
        <v>4690.0</v>
      </c>
      <c r="D405" s="3">
        <v>9.0</v>
      </c>
    </row>
    <row r="406" ht="14.25" hidden="1" customHeight="1">
      <c r="A406" s="3" t="s">
        <v>15982</v>
      </c>
      <c r="B406" s="3">
        <v>1720433.0</v>
      </c>
      <c r="C406" s="3">
        <v>4690.0</v>
      </c>
      <c r="D406" s="3">
        <v>7.0</v>
      </c>
    </row>
    <row r="407" ht="14.25" hidden="1" customHeight="1">
      <c r="A407" s="3" t="s">
        <v>2803</v>
      </c>
      <c r="B407" s="3">
        <v>1720662.0</v>
      </c>
      <c r="C407" s="3">
        <v>4221.0</v>
      </c>
      <c r="D407" s="3">
        <v>9.0</v>
      </c>
    </row>
    <row r="408" ht="14.25" hidden="1" customHeight="1">
      <c r="A408" s="3" t="s">
        <v>3061</v>
      </c>
      <c r="B408" s="3">
        <v>1.748316345017E12</v>
      </c>
      <c r="C408" s="3">
        <v>28138.0</v>
      </c>
      <c r="D408" s="3">
        <v>113.0</v>
      </c>
    </row>
    <row r="409" ht="14.25" hidden="1" customHeight="1">
      <c r="A409" s="3" t="s">
        <v>3492</v>
      </c>
      <c r="B409" s="3">
        <v>1795456.0</v>
      </c>
      <c r="C409" s="3">
        <v>5985.0</v>
      </c>
      <c r="D409" s="3">
        <v>21.0</v>
      </c>
    </row>
    <row r="410" ht="14.25" hidden="1" customHeight="1">
      <c r="A410" s="3" t="s">
        <v>3092</v>
      </c>
      <c r="B410" s="3">
        <v>1796402.0</v>
      </c>
      <c r="C410" s="3">
        <v>11574.0</v>
      </c>
      <c r="D410" s="3">
        <v>2.0</v>
      </c>
    </row>
    <row r="411" ht="14.25" hidden="1" customHeight="1">
      <c r="A411" s="3" t="s">
        <v>3994</v>
      </c>
      <c r="B411" s="3">
        <v>1.80000115086E11</v>
      </c>
      <c r="C411" s="3">
        <v>0.0</v>
      </c>
      <c r="D411" s="3">
        <v>2.0</v>
      </c>
    </row>
    <row r="412" ht="14.25" hidden="1" customHeight="1">
      <c r="A412" s="3" t="s">
        <v>2452</v>
      </c>
      <c r="B412" s="3">
        <v>186296.0</v>
      </c>
      <c r="C412" s="3">
        <v>13329.0</v>
      </c>
      <c r="D412" s="3">
        <v>9.0</v>
      </c>
    </row>
    <row r="413" ht="14.25" hidden="1" customHeight="1">
      <c r="A413" s="3" t="s">
        <v>2454</v>
      </c>
      <c r="B413" s="3" t="s">
        <v>2455</v>
      </c>
      <c r="C413" s="3">
        <v>8399.0</v>
      </c>
      <c r="D413" s="3">
        <v>17.0</v>
      </c>
    </row>
    <row r="414" ht="14.25" hidden="1" customHeight="1">
      <c r="A414" s="3" t="s">
        <v>15983</v>
      </c>
      <c r="B414" s="3" t="s">
        <v>15081</v>
      </c>
      <c r="C414" s="3">
        <v>7810.0</v>
      </c>
      <c r="D414" s="3">
        <v>7.0</v>
      </c>
    </row>
    <row r="415" ht="14.25" hidden="1" customHeight="1">
      <c r="A415" s="3" t="s">
        <v>3493</v>
      </c>
      <c r="B415" s="3" t="s">
        <v>3494</v>
      </c>
      <c r="C415" s="3">
        <v>7557.0</v>
      </c>
      <c r="D415" s="3">
        <v>18.0</v>
      </c>
    </row>
    <row r="416" ht="14.25" hidden="1" customHeight="1">
      <c r="A416" s="3" t="s">
        <v>2456</v>
      </c>
      <c r="B416" s="3" t="s">
        <v>2457</v>
      </c>
      <c r="C416" s="3">
        <v>7316.0</v>
      </c>
      <c r="D416" s="3">
        <v>16.0</v>
      </c>
    </row>
    <row r="417" ht="14.25" hidden="1" customHeight="1">
      <c r="A417" s="3" t="s">
        <v>4002</v>
      </c>
      <c r="B417" s="3" t="s">
        <v>4003</v>
      </c>
      <c r="C417" s="3">
        <v>7810.0</v>
      </c>
      <c r="D417" s="3">
        <v>19.0</v>
      </c>
    </row>
    <row r="418" ht="14.25" hidden="1" customHeight="1">
      <c r="A418" s="3" t="s">
        <v>15984</v>
      </c>
      <c r="B418" s="3" t="s">
        <v>15083</v>
      </c>
      <c r="C418" s="3">
        <v>8023.0</v>
      </c>
      <c r="D418" s="3">
        <v>11.0</v>
      </c>
    </row>
    <row r="419" ht="14.25" hidden="1" customHeight="1">
      <c r="A419" s="3" t="s">
        <v>4004</v>
      </c>
      <c r="B419" s="3" t="s">
        <v>4005</v>
      </c>
      <c r="C419" s="3">
        <v>2582.0</v>
      </c>
      <c r="D419" s="3">
        <v>3.0</v>
      </c>
    </row>
    <row r="420" ht="14.25" hidden="1" customHeight="1">
      <c r="A420" s="3" t="s">
        <v>4006</v>
      </c>
      <c r="B420" s="3" t="s">
        <v>4007</v>
      </c>
      <c r="C420" s="3">
        <v>2358.0</v>
      </c>
      <c r="D420" s="3">
        <v>7.0</v>
      </c>
    </row>
    <row r="421" ht="14.25" hidden="1" customHeight="1">
      <c r="A421" s="3" t="s">
        <v>15985</v>
      </c>
      <c r="B421" s="3" t="s">
        <v>15069</v>
      </c>
      <c r="C421" s="3">
        <v>2307.0</v>
      </c>
      <c r="D421" s="3">
        <v>2.0</v>
      </c>
    </row>
    <row r="422" ht="14.25" hidden="1" customHeight="1">
      <c r="A422" s="3" t="s">
        <v>15986</v>
      </c>
      <c r="B422" s="3" t="s">
        <v>15071</v>
      </c>
      <c r="C422" s="3">
        <v>2765.0</v>
      </c>
      <c r="D422" s="3">
        <v>9.0</v>
      </c>
    </row>
    <row r="423" ht="14.25" hidden="1" customHeight="1">
      <c r="A423" s="3" t="s">
        <v>4008</v>
      </c>
      <c r="B423" s="3" t="s">
        <v>4009</v>
      </c>
      <c r="C423" s="3">
        <v>2307.0</v>
      </c>
      <c r="D423" s="3">
        <v>6.0</v>
      </c>
    </row>
    <row r="424" ht="14.25" hidden="1" customHeight="1">
      <c r="A424" s="3" t="s">
        <v>4010</v>
      </c>
      <c r="B424" s="3" t="s">
        <v>4011</v>
      </c>
      <c r="C424" s="3">
        <v>2765.0</v>
      </c>
      <c r="D424" s="3">
        <v>2.0</v>
      </c>
    </row>
    <row r="425" ht="14.25" hidden="1" customHeight="1">
      <c r="A425" s="3" t="s">
        <v>15987</v>
      </c>
      <c r="B425" s="3" t="s">
        <v>15067</v>
      </c>
      <c r="C425" s="3">
        <v>2307.0</v>
      </c>
      <c r="D425" s="3">
        <v>20.0</v>
      </c>
    </row>
    <row r="426" ht="14.25" hidden="1" customHeight="1">
      <c r="A426" s="3" t="s">
        <v>15988</v>
      </c>
      <c r="B426" s="3" t="s">
        <v>3378</v>
      </c>
      <c r="C426" s="3">
        <v>3775.0</v>
      </c>
      <c r="D426" s="3">
        <v>1.0</v>
      </c>
    </row>
    <row r="427" ht="14.25" hidden="1" customHeight="1">
      <c r="A427" s="3" t="s">
        <v>3260</v>
      </c>
      <c r="B427" s="3" t="s">
        <v>3261</v>
      </c>
      <c r="C427" s="3">
        <v>3775.0</v>
      </c>
      <c r="D427" s="3">
        <v>5.0</v>
      </c>
    </row>
    <row r="428" ht="14.25" hidden="1" customHeight="1">
      <c r="A428" s="3" t="s">
        <v>15989</v>
      </c>
      <c r="B428" s="3" t="s">
        <v>15060</v>
      </c>
      <c r="C428" s="3">
        <v>3775.0</v>
      </c>
      <c r="D428" s="3">
        <v>3.0</v>
      </c>
    </row>
    <row r="429" ht="14.25" hidden="1" customHeight="1">
      <c r="A429" s="3" t="s">
        <v>4012</v>
      </c>
      <c r="B429" s="3" t="s">
        <v>4013</v>
      </c>
      <c r="C429" s="3">
        <v>12600.0</v>
      </c>
      <c r="D429" s="3">
        <v>14.0</v>
      </c>
    </row>
    <row r="430" ht="14.25" hidden="1" customHeight="1">
      <c r="A430" s="3" t="s">
        <v>2805</v>
      </c>
      <c r="B430" s="3" t="s">
        <v>2806</v>
      </c>
      <c r="C430" s="3">
        <v>12600.0</v>
      </c>
      <c r="D430" s="3">
        <v>5.0</v>
      </c>
    </row>
    <row r="431" ht="14.25" hidden="1" customHeight="1">
      <c r="A431" s="3" t="s">
        <v>4016</v>
      </c>
      <c r="B431" s="3">
        <v>2.0000207087E10</v>
      </c>
      <c r="C431" s="3">
        <v>0.0</v>
      </c>
      <c r="D431" s="3">
        <v>6.0</v>
      </c>
    </row>
    <row r="432" ht="14.25" hidden="1" customHeight="1">
      <c r="A432" s="3" t="s">
        <v>4017</v>
      </c>
      <c r="B432" s="3">
        <v>2.0000208084E10</v>
      </c>
      <c r="C432" s="3">
        <v>0.0</v>
      </c>
      <c r="D432" s="3">
        <v>1.0</v>
      </c>
    </row>
    <row r="433" ht="14.25" hidden="1" customHeight="1">
      <c r="A433" s="3" t="s">
        <v>4018</v>
      </c>
      <c r="B433" s="3">
        <v>2.0000209081E10</v>
      </c>
      <c r="C433" s="3">
        <v>0.0</v>
      </c>
      <c r="D433" s="3">
        <v>3.0</v>
      </c>
    </row>
    <row r="434" ht="14.25" hidden="1" customHeight="1">
      <c r="A434" s="3" t="s">
        <v>4019</v>
      </c>
      <c r="B434" s="3">
        <v>2.000080502E10</v>
      </c>
      <c r="C434" s="3">
        <v>0.0</v>
      </c>
      <c r="D434" s="3">
        <v>5.0</v>
      </c>
    </row>
    <row r="435" ht="14.25" hidden="1" customHeight="1">
      <c r="A435" s="3" t="s">
        <v>4020</v>
      </c>
      <c r="B435" s="3">
        <v>2.000080509E10</v>
      </c>
      <c r="C435" s="3">
        <v>0.0</v>
      </c>
      <c r="D435" s="3">
        <v>2.0</v>
      </c>
    </row>
    <row r="436" ht="14.25" hidden="1" customHeight="1">
      <c r="A436" s="3" t="s">
        <v>4021</v>
      </c>
      <c r="B436" s="3">
        <v>2.000080521E10</v>
      </c>
      <c r="C436" s="3">
        <v>0.0</v>
      </c>
      <c r="D436" s="3">
        <v>4.0</v>
      </c>
    </row>
    <row r="437" ht="14.25" hidden="1" customHeight="1">
      <c r="A437" s="3" t="s">
        <v>4022</v>
      </c>
      <c r="B437" s="3">
        <v>2.000080602E10</v>
      </c>
      <c r="C437" s="3">
        <v>0.0</v>
      </c>
      <c r="D437" s="3">
        <v>4.0</v>
      </c>
    </row>
    <row r="438" ht="14.25" hidden="1" customHeight="1">
      <c r="A438" s="3" t="s">
        <v>4023</v>
      </c>
      <c r="B438" s="3">
        <v>2.000080609E10</v>
      </c>
      <c r="C438" s="3">
        <v>0.0</v>
      </c>
      <c r="D438" s="3">
        <v>6.0</v>
      </c>
    </row>
    <row r="439" ht="14.25" hidden="1" customHeight="1">
      <c r="A439" s="3" t="s">
        <v>4024</v>
      </c>
      <c r="B439" s="3">
        <v>2.000080621E10</v>
      </c>
      <c r="C439" s="3">
        <v>0.0</v>
      </c>
      <c r="D439" s="3">
        <v>3.0</v>
      </c>
    </row>
    <row r="440" ht="14.25" hidden="1" customHeight="1">
      <c r="A440" s="3" t="s">
        <v>4025</v>
      </c>
      <c r="B440" s="3">
        <v>2.000080709E10</v>
      </c>
      <c r="C440" s="3">
        <v>0.0</v>
      </c>
      <c r="D440" s="3">
        <v>3.0</v>
      </c>
    </row>
    <row r="441" ht="14.25" hidden="1" customHeight="1">
      <c r="A441" s="3" t="s">
        <v>3380</v>
      </c>
      <c r="B441" s="3">
        <v>2.000080721E10</v>
      </c>
      <c r="C441" s="3">
        <v>0.0</v>
      </c>
      <c r="D441" s="3">
        <v>4.0</v>
      </c>
    </row>
    <row r="442" ht="14.25" hidden="1" customHeight="1">
      <c r="A442" s="3" t="s">
        <v>4026</v>
      </c>
      <c r="B442" s="3">
        <v>2.0000808024E10</v>
      </c>
      <c r="C442" s="3">
        <v>0.0</v>
      </c>
      <c r="D442" s="3">
        <v>3.0</v>
      </c>
    </row>
    <row r="443" ht="14.25" hidden="1" customHeight="1">
      <c r="A443" s="3" t="s">
        <v>4028</v>
      </c>
      <c r="B443" s="3">
        <v>2.000080821E10</v>
      </c>
      <c r="C443" s="3">
        <v>0.0</v>
      </c>
      <c r="D443" s="3">
        <v>4.0</v>
      </c>
    </row>
    <row r="444" ht="14.25" hidden="1" customHeight="1">
      <c r="A444" s="3" t="s">
        <v>4029</v>
      </c>
      <c r="B444" s="3">
        <v>2.0001007081E10</v>
      </c>
      <c r="C444" s="3">
        <v>0.0</v>
      </c>
      <c r="D444" s="3">
        <v>3.0</v>
      </c>
    </row>
    <row r="445" ht="14.25" hidden="1" customHeight="1">
      <c r="A445" s="3" t="s">
        <v>4030</v>
      </c>
      <c r="B445" s="3">
        <v>2.0001008089E10</v>
      </c>
      <c r="C445" s="3">
        <v>0.0</v>
      </c>
      <c r="D445" s="3">
        <v>2.0</v>
      </c>
    </row>
    <row r="446" ht="14.25" hidden="1" customHeight="1">
      <c r="A446" s="3" t="s">
        <v>3262</v>
      </c>
      <c r="B446" s="3">
        <v>2.0001009086E10</v>
      </c>
      <c r="C446" s="3">
        <v>7290.0</v>
      </c>
      <c r="D446" s="3">
        <v>3.0</v>
      </c>
    </row>
    <row r="447" ht="14.25" hidden="1" customHeight="1">
      <c r="A447" s="3" t="s">
        <v>4031</v>
      </c>
      <c r="B447" s="3">
        <v>2.0001010082E10</v>
      </c>
      <c r="C447" s="3">
        <v>0.0</v>
      </c>
      <c r="D447" s="3">
        <v>7.0</v>
      </c>
    </row>
    <row r="448" ht="14.25" hidden="1" customHeight="1">
      <c r="A448" s="3" t="s">
        <v>4032</v>
      </c>
      <c r="B448" s="3">
        <v>2.000110607E9</v>
      </c>
      <c r="C448" s="3">
        <v>0.0</v>
      </c>
      <c r="D448" s="3">
        <v>7.0</v>
      </c>
    </row>
    <row r="449" ht="14.25" hidden="1" customHeight="1">
      <c r="A449" s="3" t="s">
        <v>4033</v>
      </c>
      <c r="B449" s="3">
        <v>2.00011061E9</v>
      </c>
      <c r="C449" s="3">
        <v>0.0</v>
      </c>
      <c r="D449" s="3">
        <v>17.0</v>
      </c>
    </row>
    <row r="450" ht="14.25" hidden="1" customHeight="1">
      <c r="A450" s="3" t="s">
        <v>4034</v>
      </c>
      <c r="B450" s="3">
        <v>2.000110621E9</v>
      </c>
      <c r="C450" s="3">
        <v>0.0</v>
      </c>
      <c r="D450" s="3">
        <v>5.0</v>
      </c>
    </row>
    <row r="451" ht="14.25" hidden="1" customHeight="1">
      <c r="A451" s="3" t="s">
        <v>4035</v>
      </c>
      <c r="B451" s="3">
        <v>2.000110707E9</v>
      </c>
      <c r="C451" s="3">
        <v>0.0</v>
      </c>
      <c r="D451" s="3">
        <v>4.0</v>
      </c>
    </row>
    <row r="452" ht="14.25" hidden="1" customHeight="1">
      <c r="A452" s="3" t="s">
        <v>4036</v>
      </c>
      <c r="B452" s="3">
        <v>2.00011071E9</v>
      </c>
      <c r="C452" s="3">
        <v>0.0</v>
      </c>
      <c r="D452" s="3">
        <v>2.0</v>
      </c>
    </row>
    <row r="453" ht="14.25" hidden="1" customHeight="1">
      <c r="A453" s="3" t="s">
        <v>4037</v>
      </c>
      <c r="B453" s="3">
        <v>2.000110721E9</v>
      </c>
      <c r="C453" s="3">
        <v>0.0</v>
      </c>
      <c r="D453" s="3">
        <v>2.0</v>
      </c>
    </row>
    <row r="454" ht="14.25" hidden="1" customHeight="1">
      <c r="A454" s="3" t="s">
        <v>4038</v>
      </c>
      <c r="B454" s="3">
        <v>2.000110807E9</v>
      </c>
      <c r="C454" s="3">
        <v>0.0</v>
      </c>
      <c r="D454" s="3">
        <v>8.0</v>
      </c>
    </row>
    <row r="455" ht="14.25" hidden="1" customHeight="1">
      <c r="A455" s="3" t="s">
        <v>4039</v>
      </c>
      <c r="B455" s="3">
        <v>2.00011081E9</v>
      </c>
      <c r="C455" s="3">
        <v>0.0</v>
      </c>
      <c r="D455" s="3">
        <v>1.0</v>
      </c>
    </row>
    <row r="456" ht="14.25" hidden="1" customHeight="1">
      <c r="A456" s="3" t="s">
        <v>15990</v>
      </c>
      <c r="B456" s="3">
        <v>2.000110821E9</v>
      </c>
      <c r="C456" s="3">
        <v>0.0</v>
      </c>
      <c r="D456" s="3">
        <v>1.0</v>
      </c>
    </row>
    <row r="457" ht="14.25" hidden="1" customHeight="1">
      <c r="A457" s="3" t="s">
        <v>4040</v>
      </c>
      <c r="B457" s="3">
        <v>2.000110907E9</v>
      </c>
      <c r="C457" s="3">
        <v>0.0</v>
      </c>
      <c r="D457" s="3">
        <v>2.0</v>
      </c>
    </row>
    <row r="458" ht="14.25" hidden="1" customHeight="1">
      <c r="A458" s="3" t="s">
        <v>4041</v>
      </c>
      <c r="B458" s="3">
        <v>2.00011091E9</v>
      </c>
      <c r="C458" s="3">
        <v>0.0</v>
      </c>
      <c r="D458" s="3">
        <v>3.0</v>
      </c>
    </row>
    <row r="459" ht="14.25" hidden="1" customHeight="1">
      <c r="A459" s="3" t="s">
        <v>4042</v>
      </c>
      <c r="B459" s="3">
        <v>2.000110921E9</v>
      </c>
      <c r="C459" s="3">
        <v>0.0</v>
      </c>
      <c r="D459" s="3">
        <v>7.0</v>
      </c>
    </row>
    <row r="460" ht="14.25" hidden="1" customHeight="1">
      <c r="A460" s="3" t="s">
        <v>4043</v>
      </c>
      <c r="B460" s="3">
        <v>2.014000011508E12</v>
      </c>
      <c r="C460" s="3">
        <v>0.0</v>
      </c>
      <c r="D460" s="3">
        <v>9.0</v>
      </c>
    </row>
    <row r="461" ht="14.25" hidden="1" customHeight="1">
      <c r="A461" s="3" t="s">
        <v>3263</v>
      </c>
      <c r="B461" s="3">
        <v>2.014000021508E12</v>
      </c>
      <c r="C461" s="3">
        <v>25740.0</v>
      </c>
      <c r="D461" s="3">
        <v>14.0</v>
      </c>
    </row>
    <row r="462" ht="14.25" hidden="1" customHeight="1">
      <c r="A462" s="3" t="s">
        <v>3264</v>
      </c>
      <c r="B462" s="3">
        <v>2.11312923506E11</v>
      </c>
      <c r="C462" s="3">
        <v>8187.0</v>
      </c>
      <c r="D462" s="3">
        <v>1.0</v>
      </c>
    </row>
    <row r="463" ht="14.25" hidden="1" customHeight="1">
      <c r="A463" s="3" t="s">
        <v>4046</v>
      </c>
      <c r="B463" s="3">
        <v>2.2130608802E10</v>
      </c>
      <c r="C463" s="3">
        <v>24574.0</v>
      </c>
      <c r="D463" s="3">
        <v>1.0</v>
      </c>
    </row>
    <row r="464" ht="14.25" hidden="1" customHeight="1">
      <c r="A464" s="3" t="s">
        <v>15991</v>
      </c>
      <c r="B464" s="3">
        <v>2.2130608831E10</v>
      </c>
      <c r="C464" s="3">
        <v>20205.0</v>
      </c>
      <c r="D464" s="3">
        <v>2.0</v>
      </c>
    </row>
    <row r="465" ht="14.25" hidden="1" customHeight="1">
      <c r="A465" s="3" t="s">
        <v>15992</v>
      </c>
      <c r="B465" s="3">
        <v>2253002.0</v>
      </c>
      <c r="C465" s="3">
        <v>31410.0</v>
      </c>
      <c r="D465" s="3">
        <v>3.0</v>
      </c>
    </row>
    <row r="466" ht="14.25" hidden="1" customHeight="1">
      <c r="A466" s="3" t="s">
        <v>3269</v>
      </c>
      <c r="B466" s="3" t="s">
        <v>3270</v>
      </c>
      <c r="C466" s="3">
        <v>10000.0</v>
      </c>
      <c r="D466" s="3">
        <v>10.0</v>
      </c>
    </row>
    <row r="467" ht="14.25" hidden="1" customHeight="1">
      <c r="A467" s="3" t="s">
        <v>3271</v>
      </c>
      <c r="B467" s="3" t="s">
        <v>3272</v>
      </c>
      <c r="C467" s="3">
        <v>11591.0</v>
      </c>
      <c r="D467" s="3">
        <v>13.0</v>
      </c>
    </row>
    <row r="468" ht="14.25" hidden="1" customHeight="1">
      <c r="A468" s="3" t="s">
        <v>15993</v>
      </c>
      <c r="B468" s="3">
        <v>23669.0</v>
      </c>
      <c r="C468" s="3">
        <v>0.0</v>
      </c>
      <c r="D468" s="3">
        <v>6.0</v>
      </c>
    </row>
    <row r="469" ht="14.25" hidden="1" customHeight="1">
      <c r="A469" s="3" t="s">
        <v>15994</v>
      </c>
      <c r="B469" s="3">
        <v>24767.0</v>
      </c>
      <c r="C469" s="3">
        <v>0.0</v>
      </c>
      <c r="D469" s="3">
        <v>6.0</v>
      </c>
    </row>
    <row r="470" ht="14.25" hidden="1" customHeight="1">
      <c r="A470" s="3" t="s">
        <v>15995</v>
      </c>
      <c r="B470" s="3">
        <v>25163.0</v>
      </c>
      <c r="C470" s="3">
        <v>0.0</v>
      </c>
      <c r="D470" s="3">
        <v>9.0</v>
      </c>
    </row>
    <row r="471" ht="14.25" hidden="1" customHeight="1">
      <c r="A471" s="3" t="s">
        <v>15996</v>
      </c>
      <c r="B471" s="3">
        <v>25566.0</v>
      </c>
      <c r="C471" s="3">
        <v>0.0</v>
      </c>
      <c r="D471" s="3">
        <v>7.0</v>
      </c>
    </row>
    <row r="472" ht="14.25" hidden="1" customHeight="1">
      <c r="A472" s="3" t="s">
        <v>2808</v>
      </c>
      <c r="B472" s="3">
        <v>25782.0</v>
      </c>
      <c r="C472" s="3">
        <v>0.0</v>
      </c>
      <c r="D472" s="3">
        <v>6.0</v>
      </c>
    </row>
    <row r="473" ht="14.25" hidden="1" customHeight="1">
      <c r="A473" s="3" t="s">
        <v>5599</v>
      </c>
      <c r="B473" s="3">
        <v>25803.0</v>
      </c>
      <c r="C473" s="3">
        <v>0.0</v>
      </c>
      <c r="D473" s="3">
        <v>5.0</v>
      </c>
    </row>
    <row r="474" ht="14.25" hidden="1" customHeight="1">
      <c r="A474" s="3" t="s">
        <v>3273</v>
      </c>
      <c r="B474" s="3">
        <v>25835.0</v>
      </c>
      <c r="C474" s="3">
        <v>3500.0</v>
      </c>
      <c r="D474" s="3">
        <v>12.0</v>
      </c>
    </row>
    <row r="475" ht="14.25" hidden="1" customHeight="1">
      <c r="A475" s="3" t="s">
        <v>15997</v>
      </c>
      <c r="B475" s="3">
        <v>26018.0</v>
      </c>
      <c r="C475" s="3">
        <v>0.0</v>
      </c>
      <c r="D475" s="3">
        <v>8.0</v>
      </c>
    </row>
    <row r="476" ht="14.25" hidden="1" customHeight="1">
      <c r="A476" s="3" t="s">
        <v>15998</v>
      </c>
      <c r="B476" s="3">
        <v>26021.0</v>
      </c>
      <c r="C476" s="3">
        <v>0.0</v>
      </c>
      <c r="D476" s="3">
        <v>60.0</v>
      </c>
    </row>
    <row r="477" ht="14.25" hidden="1" customHeight="1">
      <c r="A477" s="3" t="s">
        <v>15999</v>
      </c>
      <c r="B477" s="3" t="s">
        <v>6648</v>
      </c>
      <c r="C477" s="3">
        <v>0.0</v>
      </c>
      <c r="D477" s="3">
        <v>1.0</v>
      </c>
    </row>
    <row r="478" ht="14.25" hidden="1" customHeight="1">
      <c r="A478" s="3" t="s">
        <v>16000</v>
      </c>
      <c r="B478" s="3" t="s">
        <v>6650</v>
      </c>
      <c r="C478" s="3">
        <v>0.0</v>
      </c>
      <c r="D478" s="3">
        <v>3.0</v>
      </c>
    </row>
    <row r="479" ht="14.25" hidden="1" customHeight="1">
      <c r="A479" s="3" t="s">
        <v>16001</v>
      </c>
      <c r="B479" s="3">
        <v>26022.0</v>
      </c>
      <c r="C479" s="3">
        <v>0.0</v>
      </c>
      <c r="D479" s="3">
        <v>5.0</v>
      </c>
    </row>
    <row r="480" ht="14.25" hidden="1" customHeight="1">
      <c r="A480" s="3" t="s">
        <v>5600</v>
      </c>
      <c r="B480" s="3">
        <v>26055.0</v>
      </c>
      <c r="C480" s="3">
        <v>0.0</v>
      </c>
      <c r="D480" s="3">
        <v>2.0</v>
      </c>
    </row>
    <row r="481" ht="14.25" hidden="1" customHeight="1">
      <c r="A481" s="3" t="s">
        <v>16002</v>
      </c>
      <c r="B481" s="3">
        <v>26057.0</v>
      </c>
      <c r="C481" s="3">
        <v>0.0</v>
      </c>
      <c r="D481" s="3">
        <v>2.0</v>
      </c>
    </row>
    <row r="482" ht="14.25" hidden="1" customHeight="1">
      <c r="A482" s="3" t="s">
        <v>16003</v>
      </c>
      <c r="B482" s="3">
        <v>26065.0</v>
      </c>
      <c r="C482" s="3">
        <v>0.0</v>
      </c>
      <c r="D482" s="3">
        <v>3.0</v>
      </c>
    </row>
    <row r="483" ht="14.25" hidden="1" customHeight="1">
      <c r="A483" s="3" t="s">
        <v>16004</v>
      </c>
      <c r="B483" s="3">
        <v>26070.0</v>
      </c>
      <c r="C483" s="3">
        <v>0.0</v>
      </c>
      <c r="D483" s="3">
        <v>5.0</v>
      </c>
    </row>
    <row r="484" ht="14.25" hidden="1" customHeight="1">
      <c r="A484" s="3" t="s">
        <v>16005</v>
      </c>
      <c r="B484" s="3">
        <v>26233.0</v>
      </c>
      <c r="C484" s="3">
        <v>0.0</v>
      </c>
      <c r="D484" s="3">
        <v>7.0</v>
      </c>
    </row>
    <row r="485" ht="14.25" hidden="1" customHeight="1">
      <c r="A485" s="3" t="s">
        <v>16006</v>
      </c>
      <c r="B485" s="3">
        <v>26250.0</v>
      </c>
      <c r="C485" s="3">
        <v>0.0</v>
      </c>
      <c r="D485" s="3">
        <v>4.0</v>
      </c>
    </row>
    <row r="486" ht="14.25" hidden="1" customHeight="1">
      <c r="A486" s="3" t="s">
        <v>16007</v>
      </c>
      <c r="B486" s="3">
        <v>26404.0</v>
      </c>
      <c r="C486" s="3">
        <v>0.0</v>
      </c>
      <c r="D486" s="3">
        <v>9.0</v>
      </c>
    </row>
    <row r="487" ht="14.25" hidden="1" customHeight="1">
      <c r="A487" s="3" t="s">
        <v>16008</v>
      </c>
      <c r="B487" s="3">
        <v>26409.0</v>
      </c>
      <c r="C487" s="3">
        <v>0.0</v>
      </c>
      <c r="D487" s="3">
        <v>7.0</v>
      </c>
    </row>
    <row r="488" ht="14.25" hidden="1" customHeight="1">
      <c r="A488" s="3" t="s">
        <v>16009</v>
      </c>
      <c r="B488" s="3">
        <v>26502.0</v>
      </c>
      <c r="C488" s="3">
        <v>0.0</v>
      </c>
      <c r="D488" s="3">
        <v>6.0</v>
      </c>
    </row>
    <row r="489" ht="14.25" hidden="1" customHeight="1">
      <c r="A489" s="3" t="s">
        <v>3500</v>
      </c>
      <c r="B489" s="3">
        <v>2651002.0</v>
      </c>
      <c r="C489" s="3">
        <v>4941.0</v>
      </c>
      <c r="D489" s="3">
        <v>2.0</v>
      </c>
    </row>
    <row r="490" ht="14.25" hidden="1" customHeight="1">
      <c r="A490" s="3" t="s">
        <v>16010</v>
      </c>
      <c r="B490" s="3">
        <v>26575.0</v>
      </c>
      <c r="C490" s="3">
        <v>0.0</v>
      </c>
      <c r="D490" s="3">
        <v>11.0</v>
      </c>
    </row>
    <row r="491" ht="14.25" hidden="1" customHeight="1">
      <c r="A491" s="3" t="s">
        <v>16011</v>
      </c>
      <c r="B491" s="3">
        <v>26596.0</v>
      </c>
      <c r="C491" s="3">
        <v>0.0</v>
      </c>
      <c r="D491" s="3">
        <v>7.0</v>
      </c>
    </row>
    <row r="492" ht="14.25" hidden="1" customHeight="1">
      <c r="A492" s="3" t="s">
        <v>2809</v>
      </c>
      <c r="B492" s="3">
        <v>26667.0</v>
      </c>
      <c r="C492" s="3">
        <v>0.0</v>
      </c>
      <c r="D492" s="3">
        <v>3.0</v>
      </c>
    </row>
    <row r="493" ht="14.25" hidden="1" customHeight="1">
      <c r="A493" s="3" t="s">
        <v>2810</v>
      </c>
      <c r="B493" s="3">
        <v>26668.0</v>
      </c>
      <c r="C493" s="3">
        <v>0.0</v>
      </c>
      <c r="D493" s="3">
        <v>5.0</v>
      </c>
    </row>
    <row r="494" ht="14.25" hidden="1" customHeight="1">
      <c r="A494" s="3" t="s">
        <v>16012</v>
      </c>
      <c r="B494" s="3">
        <v>26736.0</v>
      </c>
      <c r="C494" s="3">
        <v>0.0</v>
      </c>
      <c r="D494" s="3">
        <v>8.0</v>
      </c>
    </row>
    <row r="495" ht="14.25" hidden="1" customHeight="1">
      <c r="A495" s="3" t="s">
        <v>16013</v>
      </c>
      <c r="B495" s="3">
        <v>26760.0</v>
      </c>
      <c r="C495" s="3">
        <v>0.0</v>
      </c>
      <c r="D495" s="3">
        <v>6.0</v>
      </c>
    </row>
    <row r="496" ht="14.25" hidden="1" customHeight="1">
      <c r="A496" s="3" t="s">
        <v>16014</v>
      </c>
      <c r="B496" s="3">
        <v>26764.0</v>
      </c>
      <c r="C496" s="3">
        <v>0.0</v>
      </c>
      <c r="D496" s="3">
        <v>5.0</v>
      </c>
    </row>
    <row r="497" ht="14.25" hidden="1" customHeight="1">
      <c r="A497" s="3" t="s">
        <v>16015</v>
      </c>
      <c r="B497" s="3">
        <v>26766.0</v>
      </c>
      <c r="C497" s="3">
        <v>0.0</v>
      </c>
      <c r="D497" s="3">
        <v>5.0</v>
      </c>
    </row>
    <row r="498" ht="14.25" hidden="1" customHeight="1">
      <c r="A498" s="3" t="s">
        <v>16016</v>
      </c>
      <c r="B498" s="3">
        <v>26773.0</v>
      </c>
      <c r="C498" s="3">
        <v>0.0</v>
      </c>
      <c r="D498" s="3">
        <v>10.0</v>
      </c>
    </row>
    <row r="499" ht="14.25" hidden="1" customHeight="1">
      <c r="A499" s="3" t="s">
        <v>3501</v>
      </c>
      <c r="B499" s="3">
        <v>26807.0</v>
      </c>
      <c r="C499" s="3">
        <v>0.0</v>
      </c>
      <c r="D499" s="3">
        <v>11.0</v>
      </c>
    </row>
    <row r="500" ht="14.25" hidden="1" customHeight="1">
      <c r="A500" s="3" t="s">
        <v>5603</v>
      </c>
      <c r="B500" s="3">
        <v>26808.0</v>
      </c>
      <c r="C500" s="3">
        <v>0.0</v>
      </c>
      <c r="D500" s="3">
        <v>9.0</v>
      </c>
    </row>
    <row r="501" ht="14.25" hidden="1" customHeight="1">
      <c r="A501" s="3" t="s">
        <v>16017</v>
      </c>
      <c r="B501" s="3">
        <v>26875.0</v>
      </c>
      <c r="C501" s="3">
        <v>0.0</v>
      </c>
      <c r="D501" s="3">
        <v>5.0</v>
      </c>
    </row>
    <row r="502" ht="14.25" hidden="1" customHeight="1">
      <c r="A502" s="3" t="s">
        <v>16018</v>
      </c>
      <c r="B502" s="3">
        <v>26876.0</v>
      </c>
      <c r="C502" s="3">
        <v>0.0</v>
      </c>
      <c r="D502" s="3">
        <v>11.0</v>
      </c>
    </row>
    <row r="503" ht="14.25" hidden="1" customHeight="1">
      <c r="A503" s="3" t="s">
        <v>16019</v>
      </c>
      <c r="B503" s="3">
        <v>26879.0</v>
      </c>
      <c r="C503" s="3">
        <v>0.0</v>
      </c>
      <c r="D503" s="3">
        <v>4.0</v>
      </c>
    </row>
    <row r="504" ht="14.25" hidden="1" customHeight="1">
      <c r="A504" s="3" t="s">
        <v>2811</v>
      </c>
      <c r="B504" s="3">
        <v>26882.0</v>
      </c>
      <c r="C504" s="3">
        <v>0.0</v>
      </c>
      <c r="D504" s="3">
        <v>3.0</v>
      </c>
    </row>
    <row r="505" ht="14.25" hidden="1" customHeight="1">
      <c r="A505" s="3" t="s">
        <v>16020</v>
      </c>
      <c r="B505" s="3">
        <v>26883.0</v>
      </c>
      <c r="C505" s="3">
        <v>0.0</v>
      </c>
      <c r="D505" s="3">
        <v>5.0</v>
      </c>
    </row>
    <row r="506" ht="14.25" hidden="1" customHeight="1">
      <c r="A506" s="3" t="s">
        <v>16021</v>
      </c>
      <c r="B506" s="3">
        <v>26884.0</v>
      </c>
      <c r="C506" s="3">
        <v>0.0</v>
      </c>
      <c r="D506" s="3">
        <v>6.0</v>
      </c>
    </row>
    <row r="507" ht="14.25" hidden="1" customHeight="1">
      <c r="A507" s="3" t="s">
        <v>16022</v>
      </c>
      <c r="B507" s="3">
        <v>26885.0</v>
      </c>
      <c r="C507" s="3">
        <v>0.0</v>
      </c>
      <c r="D507" s="3">
        <v>6.0</v>
      </c>
    </row>
    <row r="508" ht="14.25" hidden="1" customHeight="1">
      <c r="A508" s="3" t="s">
        <v>16023</v>
      </c>
      <c r="B508" s="3">
        <v>26915.0</v>
      </c>
      <c r="C508" s="3">
        <v>0.0</v>
      </c>
      <c r="D508" s="3">
        <v>10.0</v>
      </c>
    </row>
    <row r="509" ht="14.25" hidden="1" customHeight="1">
      <c r="A509" s="3" t="s">
        <v>2812</v>
      </c>
      <c r="B509" s="3">
        <v>2691516.0</v>
      </c>
      <c r="C509" s="3">
        <v>0.0</v>
      </c>
      <c r="D509" s="3">
        <v>6.0</v>
      </c>
    </row>
    <row r="510" ht="14.25" hidden="1" customHeight="1">
      <c r="A510" s="3" t="s">
        <v>16024</v>
      </c>
      <c r="B510" s="3">
        <v>2691517.0</v>
      </c>
      <c r="C510" s="3">
        <v>0.0</v>
      </c>
      <c r="D510" s="3">
        <v>7.0</v>
      </c>
    </row>
    <row r="511" ht="14.25" hidden="1" customHeight="1">
      <c r="A511" s="3" t="s">
        <v>3275</v>
      </c>
      <c r="B511" s="3">
        <v>26916.0</v>
      </c>
      <c r="C511" s="3">
        <v>2500.0</v>
      </c>
      <c r="D511" s="3">
        <v>5.0</v>
      </c>
    </row>
    <row r="512" ht="14.25" hidden="1" customHeight="1">
      <c r="A512" s="3" t="s">
        <v>3276</v>
      </c>
      <c r="B512" s="3">
        <v>26917.0</v>
      </c>
      <c r="C512" s="3">
        <v>2500.0</v>
      </c>
      <c r="D512" s="3">
        <v>16.0</v>
      </c>
    </row>
    <row r="513" ht="14.25" hidden="1" customHeight="1">
      <c r="A513" s="3" t="s">
        <v>2813</v>
      </c>
      <c r="B513" s="3">
        <v>26925.0</v>
      </c>
      <c r="C513" s="3">
        <v>0.0</v>
      </c>
      <c r="D513" s="3">
        <v>5.0</v>
      </c>
    </row>
    <row r="514" ht="14.25" hidden="1" customHeight="1">
      <c r="A514" s="3" t="s">
        <v>16025</v>
      </c>
      <c r="B514" s="3">
        <v>26935.0</v>
      </c>
      <c r="C514" s="3">
        <v>0.0</v>
      </c>
      <c r="D514" s="3">
        <v>2.0</v>
      </c>
    </row>
    <row r="515" ht="14.25" hidden="1" customHeight="1">
      <c r="A515" s="3" t="s">
        <v>16026</v>
      </c>
      <c r="B515" s="3">
        <v>26966.0</v>
      </c>
      <c r="C515" s="3">
        <v>0.0</v>
      </c>
      <c r="D515" s="3">
        <v>5.0</v>
      </c>
    </row>
    <row r="516" ht="14.25" hidden="1" customHeight="1">
      <c r="A516" s="3" t="s">
        <v>2814</v>
      </c>
      <c r="B516" s="3">
        <v>26967.0</v>
      </c>
      <c r="C516" s="3">
        <v>0.0</v>
      </c>
      <c r="D516" s="3">
        <v>4.0</v>
      </c>
    </row>
    <row r="517" ht="14.25" hidden="1" customHeight="1">
      <c r="A517" s="3" t="s">
        <v>3502</v>
      </c>
      <c r="B517" s="3">
        <v>26968.0</v>
      </c>
      <c r="C517" s="3">
        <v>0.0</v>
      </c>
      <c r="D517" s="3">
        <v>16.0</v>
      </c>
    </row>
    <row r="518" ht="14.25" hidden="1" customHeight="1">
      <c r="A518" s="3" t="s">
        <v>16027</v>
      </c>
      <c r="B518" s="3">
        <v>26969.0</v>
      </c>
      <c r="C518" s="3">
        <v>0.0</v>
      </c>
      <c r="D518" s="3">
        <v>2.0</v>
      </c>
    </row>
    <row r="519" ht="14.25" hidden="1" customHeight="1">
      <c r="A519" s="3" t="s">
        <v>16028</v>
      </c>
      <c r="B519" s="3">
        <v>26970.0</v>
      </c>
      <c r="C519" s="3">
        <v>0.0</v>
      </c>
      <c r="D519" s="3">
        <v>6.0</v>
      </c>
    </row>
    <row r="520" ht="14.25" hidden="1" customHeight="1">
      <c r="A520" s="3" t="s">
        <v>3503</v>
      </c>
      <c r="B520" s="3">
        <v>26994.0</v>
      </c>
      <c r="C520" s="3">
        <v>0.0</v>
      </c>
      <c r="D520" s="3">
        <v>5.0</v>
      </c>
    </row>
    <row r="521" ht="14.25" hidden="1" customHeight="1">
      <c r="A521" s="3" t="s">
        <v>16029</v>
      </c>
      <c r="B521" s="3">
        <v>27016.0</v>
      </c>
      <c r="C521" s="3">
        <v>0.0</v>
      </c>
      <c r="D521" s="3">
        <v>17.0</v>
      </c>
    </row>
    <row r="522" ht="14.25" hidden="1" customHeight="1">
      <c r="A522" s="3" t="s">
        <v>5605</v>
      </c>
      <c r="B522" s="3">
        <v>27027.0</v>
      </c>
      <c r="C522" s="3">
        <v>0.0</v>
      </c>
      <c r="D522" s="3">
        <v>6.0</v>
      </c>
    </row>
    <row r="523" ht="14.25" hidden="1" customHeight="1">
      <c r="A523" s="3" t="s">
        <v>16030</v>
      </c>
      <c r="B523" s="3">
        <v>27106.0</v>
      </c>
      <c r="C523" s="3">
        <v>0.0</v>
      </c>
      <c r="D523" s="3">
        <v>5.0</v>
      </c>
    </row>
    <row r="524" ht="14.25" hidden="1" customHeight="1">
      <c r="A524" s="3" t="s">
        <v>16031</v>
      </c>
      <c r="B524" s="3">
        <v>27122.0</v>
      </c>
      <c r="C524" s="3">
        <v>0.0</v>
      </c>
      <c r="D524" s="3">
        <v>3.0</v>
      </c>
    </row>
    <row r="525" ht="14.25" hidden="1" customHeight="1">
      <c r="A525" s="3" t="s">
        <v>4047</v>
      </c>
      <c r="B525" s="3">
        <v>27123.0</v>
      </c>
      <c r="C525" s="3">
        <v>0.0</v>
      </c>
      <c r="D525" s="3">
        <v>5.0</v>
      </c>
    </row>
    <row r="526" ht="14.25" hidden="1" customHeight="1">
      <c r="A526" s="3" t="s">
        <v>16032</v>
      </c>
      <c r="B526" s="3">
        <v>27124.0</v>
      </c>
      <c r="C526" s="3">
        <v>0.0</v>
      </c>
      <c r="D526" s="3">
        <v>3.0</v>
      </c>
    </row>
    <row r="527" ht="14.25" hidden="1" customHeight="1">
      <c r="A527" s="3" t="s">
        <v>16033</v>
      </c>
      <c r="B527" s="3">
        <v>27125.0</v>
      </c>
      <c r="C527" s="3">
        <v>0.0</v>
      </c>
      <c r="D527" s="3">
        <v>4.0</v>
      </c>
    </row>
    <row r="528" ht="14.25" hidden="1" customHeight="1">
      <c r="A528" s="3" t="s">
        <v>16034</v>
      </c>
      <c r="B528" s="3">
        <v>27174.0</v>
      </c>
      <c r="C528" s="3">
        <v>0.0</v>
      </c>
      <c r="D528" s="3">
        <v>6.0</v>
      </c>
    </row>
    <row r="529" ht="14.25" hidden="1" customHeight="1">
      <c r="A529" s="3" t="s">
        <v>16035</v>
      </c>
      <c r="B529" s="3">
        <v>27184.0</v>
      </c>
      <c r="C529" s="3">
        <v>0.0</v>
      </c>
      <c r="D529" s="3">
        <v>6.0</v>
      </c>
    </row>
    <row r="530" ht="14.25" hidden="1" customHeight="1">
      <c r="A530" s="3" t="s">
        <v>16036</v>
      </c>
      <c r="B530" s="3">
        <v>27185.0</v>
      </c>
      <c r="C530" s="3">
        <v>0.0</v>
      </c>
      <c r="D530" s="3">
        <v>6.0</v>
      </c>
    </row>
    <row r="531" ht="14.25" hidden="1" customHeight="1">
      <c r="A531" s="3" t="s">
        <v>16037</v>
      </c>
      <c r="B531" s="3">
        <v>27213.0</v>
      </c>
      <c r="C531" s="3">
        <v>0.0</v>
      </c>
      <c r="D531" s="3">
        <v>10.0</v>
      </c>
    </row>
    <row r="532" ht="14.25" hidden="1" customHeight="1">
      <c r="A532" s="3" t="s">
        <v>16038</v>
      </c>
      <c r="B532" s="3">
        <v>27239.0</v>
      </c>
      <c r="C532" s="3">
        <v>0.0</v>
      </c>
      <c r="D532" s="3">
        <v>3.0</v>
      </c>
    </row>
    <row r="533" ht="14.25" hidden="1" customHeight="1">
      <c r="A533" s="3" t="s">
        <v>3277</v>
      </c>
      <c r="B533" s="3">
        <v>27245.0</v>
      </c>
      <c r="C533" s="3">
        <v>7600.0</v>
      </c>
      <c r="D533" s="3">
        <v>13.0</v>
      </c>
    </row>
    <row r="534" ht="14.25" hidden="1" customHeight="1">
      <c r="A534" s="3" t="s">
        <v>16039</v>
      </c>
      <c r="B534" s="3">
        <v>27246.0</v>
      </c>
      <c r="C534" s="3">
        <v>0.0</v>
      </c>
      <c r="D534" s="3">
        <v>11.0</v>
      </c>
    </row>
    <row r="535" ht="14.25" hidden="1" customHeight="1">
      <c r="A535" s="3" t="s">
        <v>16040</v>
      </c>
      <c r="B535" s="3">
        <v>27249.0</v>
      </c>
      <c r="C535" s="3">
        <v>0.0</v>
      </c>
      <c r="D535" s="3">
        <v>7.0</v>
      </c>
    </row>
    <row r="536" ht="14.25" hidden="1" customHeight="1">
      <c r="A536" s="3" t="s">
        <v>16041</v>
      </c>
      <c r="B536" s="3">
        <v>27261.0</v>
      </c>
      <c r="C536" s="3">
        <v>0.0</v>
      </c>
      <c r="D536" s="3">
        <v>7.0</v>
      </c>
    </row>
    <row r="537" ht="14.25" hidden="1" customHeight="1">
      <c r="A537" s="3" t="s">
        <v>16042</v>
      </c>
      <c r="B537" s="3">
        <v>27353.0</v>
      </c>
      <c r="C537" s="3">
        <v>0.0</v>
      </c>
      <c r="D537" s="3">
        <v>3.0</v>
      </c>
    </row>
    <row r="538" ht="14.25" hidden="1" customHeight="1">
      <c r="A538" s="3" t="s">
        <v>16043</v>
      </c>
      <c r="B538" s="3">
        <v>27409.0</v>
      </c>
      <c r="C538" s="3">
        <v>0.0</v>
      </c>
      <c r="D538" s="3">
        <v>3.0</v>
      </c>
    </row>
    <row r="539" ht="14.25" hidden="1" customHeight="1">
      <c r="A539" s="3" t="s">
        <v>16044</v>
      </c>
      <c r="B539" s="3">
        <v>27411.0</v>
      </c>
      <c r="C539" s="3">
        <v>0.0</v>
      </c>
      <c r="D539" s="3">
        <v>13.0</v>
      </c>
    </row>
    <row r="540" ht="14.25" hidden="1" customHeight="1">
      <c r="A540" s="3" t="s">
        <v>16045</v>
      </c>
      <c r="B540" s="3">
        <v>27413.0</v>
      </c>
      <c r="C540" s="3">
        <v>0.0</v>
      </c>
      <c r="D540" s="3">
        <v>10.0</v>
      </c>
    </row>
    <row r="541" ht="14.25" hidden="1" customHeight="1">
      <c r="A541" s="3" t="s">
        <v>3505</v>
      </c>
      <c r="B541" s="3">
        <v>27433.0</v>
      </c>
      <c r="C541" s="3">
        <v>0.0</v>
      </c>
      <c r="D541" s="3">
        <v>6.0</v>
      </c>
    </row>
    <row r="542" ht="14.25" hidden="1" customHeight="1">
      <c r="A542" s="3" t="s">
        <v>16046</v>
      </c>
      <c r="B542" s="3">
        <v>27445.0</v>
      </c>
      <c r="C542" s="3">
        <v>0.0</v>
      </c>
      <c r="D542" s="3">
        <v>4.0</v>
      </c>
    </row>
    <row r="543" ht="14.25" hidden="1" customHeight="1">
      <c r="A543" s="3" t="s">
        <v>16047</v>
      </c>
      <c r="B543" s="3">
        <v>27446.0</v>
      </c>
      <c r="C543" s="3">
        <v>0.0</v>
      </c>
      <c r="D543" s="3">
        <v>6.0</v>
      </c>
    </row>
    <row r="544" ht="14.25" hidden="1" customHeight="1">
      <c r="A544" s="3" t="s">
        <v>16048</v>
      </c>
      <c r="B544" s="3">
        <v>27487.0</v>
      </c>
      <c r="C544" s="3">
        <v>0.0</v>
      </c>
      <c r="D544" s="3">
        <v>2.0</v>
      </c>
    </row>
    <row r="545" ht="14.25" hidden="1" customHeight="1">
      <c r="A545" s="3" t="s">
        <v>16049</v>
      </c>
      <c r="B545" s="3">
        <v>27488.0</v>
      </c>
      <c r="C545" s="3">
        <v>0.0</v>
      </c>
      <c r="D545" s="3">
        <v>5.0</v>
      </c>
    </row>
    <row r="546" ht="14.25" hidden="1" customHeight="1">
      <c r="A546" s="3" t="s">
        <v>16050</v>
      </c>
      <c r="B546" s="3">
        <v>27489.0</v>
      </c>
      <c r="C546" s="3">
        <v>0.0</v>
      </c>
      <c r="D546" s="3">
        <v>8.0</v>
      </c>
    </row>
    <row r="547" ht="14.25" hidden="1" customHeight="1">
      <c r="A547" s="3" t="s">
        <v>16051</v>
      </c>
      <c r="B547" s="3">
        <v>27495.0</v>
      </c>
      <c r="C547" s="3">
        <v>0.0</v>
      </c>
      <c r="D547" s="3">
        <v>3.0</v>
      </c>
    </row>
    <row r="548" ht="14.25" hidden="1" customHeight="1">
      <c r="A548" s="3" t="s">
        <v>16052</v>
      </c>
      <c r="B548" s="3">
        <v>27496.0</v>
      </c>
      <c r="C548" s="3">
        <v>0.0</v>
      </c>
      <c r="D548" s="3">
        <v>6.0</v>
      </c>
    </row>
    <row r="549" ht="14.25" hidden="1" customHeight="1">
      <c r="A549" s="3" t="s">
        <v>16053</v>
      </c>
      <c r="B549" s="3">
        <v>27534.0</v>
      </c>
      <c r="C549" s="3">
        <v>0.0</v>
      </c>
      <c r="D549" s="3">
        <v>6.0</v>
      </c>
    </row>
    <row r="550" ht="14.25" hidden="1" customHeight="1">
      <c r="A550" s="3" t="s">
        <v>16054</v>
      </c>
      <c r="B550" s="3">
        <v>27535.0</v>
      </c>
      <c r="C550" s="3">
        <v>0.0</v>
      </c>
      <c r="D550" s="3">
        <v>5.0</v>
      </c>
    </row>
    <row r="551" ht="14.25" hidden="1" customHeight="1">
      <c r="A551" s="3" t="s">
        <v>16055</v>
      </c>
      <c r="B551" s="3">
        <v>27585.0</v>
      </c>
      <c r="C551" s="3">
        <v>0.0</v>
      </c>
      <c r="D551" s="3">
        <v>8.0</v>
      </c>
    </row>
    <row r="552" ht="14.25" hidden="1" customHeight="1">
      <c r="A552" s="3" t="s">
        <v>3278</v>
      </c>
      <c r="B552" s="3" t="s">
        <v>3279</v>
      </c>
      <c r="C552" s="3">
        <v>8314.0</v>
      </c>
      <c r="D552" s="3">
        <v>12.0</v>
      </c>
    </row>
    <row r="553" ht="14.25" hidden="1" customHeight="1">
      <c r="A553" s="3" t="s">
        <v>3507</v>
      </c>
      <c r="B553" s="3">
        <v>3.000140708E10</v>
      </c>
      <c r="C553" s="3">
        <v>0.0</v>
      </c>
      <c r="D553" s="3">
        <v>5.0</v>
      </c>
    </row>
    <row r="554" ht="14.25" hidden="1" customHeight="1">
      <c r="A554" s="3" t="s">
        <v>4048</v>
      </c>
      <c r="B554" s="3">
        <v>3.0001407091E10</v>
      </c>
      <c r="C554" s="3">
        <v>0.0</v>
      </c>
      <c r="D554" s="3">
        <v>2.0</v>
      </c>
    </row>
    <row r="555" ht="14.25" hidden="1" customHeight="1">
      <c r="A555" s="3" t="s">
        <v>4049</v>
      </c>
      <c r="B555" s="3">
        <v>3.000141508E10</v>
      </c>
      <c r="C555" s="3">
        <v>0.0</v>
      </c>
      <c r="D555" s="3">
        <v>3.0</v>
      </c>
    </row>
    <row r="556" ht="14.25" hidden="1" customHeight="1">
      <c r="A556" s="3" t="s">
        <v>4050</v>
      </c>
      <c r="B556" s="3">
        <v>3.0001415091E10</v>
      </c>
      <c r="C556" s="3">
        <v>0.0</v>
      </c>
      <c r="D556" s="3">
        <v>1.0</v>
      </c>
    </row>
    <row r="557" ht="14.25" hidden="1" customHeight="1">
      <c r="A557" s="3" t="s">
        <v>4051</v>
      </c>
      <c r="B557" s="3">
        <v>3.000171508E9</v>
      </c>
      <c r="C557" s="3">
        <v>0.0</v>
      </c>
      <c r="D557" s="3">
        <v>8.0</v>
      </c>
    </row>
    <row r="558" ht="14.25" hidden="1" customHeight="1">
      <c r="A558" s="3" t="s">
        <v>4052</v>
      </c>
      <c r="B558" s="3">
        <v>3.000181508E9</v>
      </c>
      <c r="C558" s="3">
        <v>0.0</v>
      </c>
      <c r="D558" s="3">
        <v>6.0</v>
      </c>
    </row>
    <row r="559" ht="14.25" hidden="1" customHeight="1">
      <c r="A559" s="3" t="s">
        <v>4053</v>
      </c>
      <c r="B559" s="3">
        <v>3.000200702E9</v>
      </c>
      <c r="C559" s="3">
        <v>0.0</v>
      </c>
      <c r="D559" s="3">
        <v>2.0</v>
      </c>
    </row>
    <row r="560" ht="14.25" hidden="1" customHeight="1">
      <c r="A560" s="3" t="s">
        <v>4054</v>
      </c>
      <c r="B560" s="3">
        <v>3.000200721E9</v>
      </c>
      <c r="C560" s="3">
        <v>0.0</v>
      </c>
      <c r="D560" s="3">
        <v>4.0</v>
      </c>
    </row>
    <row r="561" ht="14.25" hidden="1" customHeight="1">
      <c r="A561" s="3" t="s">
        <v>4055</v>
      </c>
      <c r="B561" s="3">
        <v>3.000200802E9</v>
      </c>
      <c r="C561" s="3">
        <v>0.0</v>
      </c>
      <c r="D561" s="3">
        <v>1.0</v>
      </c>
    </row>
    <row r="562" ht="14.25" hidden="1" customHeight="1">
      <c r="A562" s="3" t="s">
        <v>3384</v>
      </c>
      <c r="B562" s="3">
        <v>3.000200821E9</v>
      </c>
      <c r="C562" s="3">
        <v>0.0</v>
      </c>
      <c r="D562" s="3">
        <v>3.0</v>
      </c>
    </row>
    <row r="563" ht="14.25" hidden="1" customHeight="1">
      <c r="A563" s="3" t="s">
        <v>4058</v>
      </c>
      <c r="B563" s="3">
        <v>31129.0</v>
      </c>
      <c r="C563" s="3">
        <v>0.0</v>
      </c>
      <c r="D563" s="3">
        <v>2.0</v>
      </c>
    </row>
    <row r="564" ht="14.25" hidden="1" customHeight="1">
      <c r="A564" s="3" t="s">
        <v>5607</v>
      </c>
      <c r="B564" s="3" t="s">
        <v>5608</v>
      </c>
      <c r="C564" s="3">
        <v>7614.0</v>
      </c>
      <c r="D564" s="3">
        <v>4.0</v>
      </c>
    </row>
    <row r="565" ht="14.25" hidden="1" customHeight="1">
      <c r="A565" s="3" t="s">
        <v>16056</v>
      </c>
      <c r="B565" s="3" t="s">
        <v>15273</v>
      </c>
      <c r="C565" s="3">
        <v>7614.0</v>
      </c>
      <c r="D565" s="3">
        <v>10.0</v>
      </c>
    </row>
    <row r="566" ht="14.25" hidden="1" customHeight="1">
      <c r="A566" s="3" t="s">
        <v>16057</v>
      </c>
      <c r="B566" s="3" t="s">
        <v>15277</v>
      </c>
      <c r="C566" s="3">
        <v>9252.0</v>
      </c>
      <c r="D566" s="3">
        <v>5.0</v>
      </c>
    </row>
    <row r="567" ht="14.25" hidden="1" customHeight="1">
      <c r="A567" s="3" t="s">
        <v>4063</v>
      </c>
      <c r="B567" s="3" t="e">
        <v>#N/A</v>
      </c>
      <c r="C567" s="3" t="e">
        <v>#N/A</v>
      </c>
      <c r="D567" s="3">
        <v>2.0</v>
      </c>
    </row>
    <row r="568" ht="14.25" hidden="1" customHeight="1">
      <c r="A568" s="3" t="s">
        <v>4064</v>
      </c>
      <c r="B568" s="3">
        <v>3.21096000001E12</v>
      </c>
      <c r="C568" s="3">
        <v>0.0</v>
      </c>
      <c r="D568" s="3">
        <v>89.0</v>
      </c>
    </row>
    <row r="569" ht="14.25" hidden="1" customHeight="1">
      <c r="A569" s="3" t="s">
        <v>4066</v>
      </c>
      <c r="B569" s="3" t="e">
        <v>#N/A</v>
      </c>
      <c r="C569" s="3" t="e">
        <v>#N/A</v>
      </c>
      <c r="D569" s="3">
        <v>1.0</v>
      </c>
    </row>
    <row r="570" ht="14.25" hidden="1" customHeight="1">
      <c r="A570" s="3" t="s">
        <v>16058</v>
      </c>
      <c r="B570" s="3" t="s">
        <v>15303</v>
      </c>
      <c r="C570" s="3">
        <v>8649.0</v>
      </c>
      <c r="D570" s="3">
        <v>2.0</v>
      </c>
    </row>
    <row r="571" ht="14.25" hidden="1" customHeight="1">
      <c r="A571" s="3" t="s">
        <v>16059</v>
      </c>
      <c r="B571" s="3">
        <v>3461.0</v>
      </c>
      <c r="C571" s="3">
        <v>0.0</v>
      </c>
      <c r="D571" s="3">
        <v>2.0</v>
      </c>
    </row>
    <row r="572" ht="14.25" hidden="1" customHeight="1">
      <c r="A572" s="3" t="s">
        <v>4071</v>
      </c>
      <c r="B572" s="3">
        <v>3478.0</v>
      </c>
      <c r="C572" s="3">
        <v>0.0</v>
      </c>
      <c r="D572" s="3">
        <v>5.0</v>
      </c>
    </row>
    <row r="573" ht="14.25" hidden="1" customHeight="1">
      <c r="A573" s="3" t="s">
        <v>16060</v>
      </c>
      <c r="B573" s="3">
        <v>3492.0</v>
      </c>
      <c r="C573" s="3">
        <v>0.0</v>
      </c>
      <c r="D573" s="3">
        <v>6.0</v>
      </c>
    </row>
    <row r="574" ht="14.25" hidden="1" customHeight="1">
      <c r="A574" s="3" t="s">
        <v>4072</v>
      </c>
      <c r="B574" s="3">
        <v>3522.0</v>
      </c>
      <c r="C574" s="3">
        <v>0.0</v>
      </c>
      <c r="D574" s="3">
        <v>4.0</v>
      </c>
    </row>
    <row r="575" ht="14.25" hidden="1" customHeight="1">
      <c r="A575" s="3" t="s">
        <v>4073</v>
      </c>
      <c r="B575" s="3">
        <v>3539.0</v>
      </c>
      <c r="C575" s="3">
        <v>0.0</v>
      </c>
      <c r="D575" s="3">
        <v>6.0</v>
      </c>
    </row>
    <row r="576" ht="14.25" hidden="1" customHeight="1">
      <c r="A576" s="3" t="s">
        <v>4074</v>
      </c>
      <c r="B576" s="3">
        <v>36712.0</v>
      </c>
      <c r="C576" s="3">
        <v>0.0</v>
      </c>
      <c r="D576" s="3">
        <v>2.0</v>
      </c>
    </row>
    <row r="577" ht="14.25" hidden="1" customHeight="1">
      <c r="A577" s="3" t="s">
        <v>4075</v>
      </c>
      <c r="B577" s="3">
        <v>36860.0</v>
      </c>
      <c r="C577" s="3">
        <v>0.0</v>
      </c>
      <c r="D577" s="3">
        <v>3.0</v>
      </c>
    </row>
    <row r="578" ht="14.25" hidden="1" customHeight="1">
      <c r="A578" s="3" t="s">
        <v>4076</v>
      </c>
      <c r="B578" s="3">
        <v>39279.0</v>
      </c>
      <c r="C578" s="3">
        <v>0.0</v>
      </c>
      <c r="D578" s="3">
        <v>2.0</v>
      </c>
    </row>
    <row r="579" ht="14.25" hidden="1" customHeight="1">
      <c r="A579" s="3" t="s">
        <v>16061</v>
      </c>
      <c r="B579" s="3">
        <v>45720.0</v>
      </c>
      <c r="C579" s="3">
        <v>0.0</v>
      </c>
      <c r="D579" s="3">
        <v>3.0</v>
      </c>
    </row>
    <row r="580" ht="14.25" hidden="1" customHeight="1">
      <c r="A580" s="3" t="s">
        <v>4079</v>
      </c>
      <c r="B580" s="3">
        <v>45744.0</v>
      </c>
      <c r="C580" s="3">
        <v>0.0</v>
      </c>
      <c r="D580" s="3">
        <v>2.0</v>
      </c>
    </row>
    <row r="581" ht="14.25" hidden="1" customHeight="1">
      <c r="A581" s="3" t="s">
        <v>4080</v>
      </c>
      <c r="B581" s="3">
        <v>45935.0</v>
      </c>
      <c r="C581" s="3">
        <v>0.0</v>
      </c>
      <c r="D581" s="3">
        <v>2.0</v>
      </c>
    </row>
    <row r="582" ht="14.25" hidden="1" customHeight="1">
      <c r="A582" s="3" t="s">
        <v>4081</v>
      </c>
      <c r="B582" s="3">
        <v>47465.0</v>
      </c>
      <c r="C582" s="3">
        <v>0.0</v>
      </c>
      <c r="D582" s="3">
        <v>6.0</v>
      </c>
    </row>
    <row r="583" ht="14.25" hidden="1" customHeight="1">
      <c r="A583" s="3" t="s">
        <v>16062</v>
      </c>
      <c r="B583" s="3">
        <v>4.75103083094E12</v>
      </c>
      <c r="C583" s="3">
        <v>5037.0</v>
      </c>
      <c r="D583" s="3">
        <v>1.0</v>
      </c>
    </row>
    <row r="584" ht="14.25" hidden="1" customHeight="1">
      <c r="A584" s="3" t="s">
        <v>16063</v>
      </c>
      <c r="B584" s="3">
        <v>49063.0</v>
      </c>
      <c r="C584" s="3">
        <v>8750.0</v>
      </c>
      <c r="D584" s="3">
        <v>3.0</v>
      </c>
    </row>
    <row r="585" ht="14.25" hidden="1" customHeight="1">
      <c r="A585" s="3" t="s">
        <v>16064</v>
      </c>
      <c r="B585" s="3">
        <v>49070.0</v>
      </c>
      <c r="C585" s="3">
        <v>0.0</v>
      </c>
      <c r="D585" s="3">
        <v>3.0</v>
      </c>
    </row>
    <row r="586" ht="14.25" hidden="1" customHeight="1">
      <c r="A586" s="3" t="s">
        <v>16065</v>
      </c>
      <c r="B586" s="3">
        <v>49360.0</v>
      </c>
      <c r="C586" s="3">
        <v>0.0</v>
      </c>
      <c r="D586" s="3">
        <v>2.0</v>
      </c>
    </row>
    <row r="587" ht="14.25" hidden="1" customHeight="1">
      <c r="A587" s="3" t="s">
        <v>16066</v>
      </c>
      <c r="B587" s="3">
        <v>51950.0</v>
      </c>
      <c r="C587" s="3">
        <v>0.0</v>
      </c>
      <c r="D587" s="3">
        <v>2.0</v>
      </c>
    </row>
    <row r="588" ht="14.25" hidden="1" customHeight="1">
      <c r="A588" s="3" t="s">
        <v>16067</v>
      </c>
      <c r="B588" s="3">
        <v>52056.0</v>
      </c>
      <c r="C588" s="3">
        <v>0.0</v>
      </c>
      <c r="D588" s="3">
        <v>2.0</v>
      </c>
    </row>
    <row r="589" ht="14.25" hidden="1" customHeight="1">
      <c r="A589" s="3" t="s">
        <v>4083</v>
      </c>
      <c r="B589" s="3">
        <v>52063.0</v>
      </c>
      <c r="C589" s="3">
        <v>0.0</v>
      </c>
      <c r="D589" s="3">
        <v>2.0</v>
      </c>
    </row>
    <row r="590" ht="14.25" hidden="1" customHeight="1">
      <c r="A590" s="3" t="s">
        <v>4084</v>
      </c>
      <c r="B590" s="3">
        <v>53251.0</v>
      </c>
      <c r="C590" s="3">
        <v>0.0</v>
      </c>
      <c r="D590" s="3">
        <v>2.0</v>
      </c>
    </row>
    <row r="591" ht="14.25" hidden="1" customHeight="1">
      <c r="A591" s="3" t="s">
        <v>4085</v>
      </c>
      <c r="B591" s="3">
        <v>53824.0</v>
      </c>
      <c r="C591" s="3">
        <v>0.0</v>
      </c>
      <c r="D591" s="3">
        <v>3.0</v>
      </c>
    </row>
    <row r="592" ht="14.25" hidden="1" customHeight="1">
      <c r="A592" s="3" t="s">
        <v>4086</v>
      </c>
      <c r="B592" s="3">
        <v>53893.0</v>
      </c>
      <c r="C592" s="3">
        <v>0.0</v>
      </c>
      <c r="D592" s="3">
        <v>3.0</v>
      </c>
    </row>
    <row r="593" ht="14.25" hidden="1" customHeight="1">
      <c r="A593" s="3" t="s">
        <v>4087</v>
      </c>
      <c r="B593" s="3">
        <v>56948.0</v>
      </c>
      <c r="C593" s="3">
        <v>0.0</v>
      </c>
      <c r="D593" s="3">
        <v>3.0</v>
      </c>
    </row>
    <row r="594" ht="14.25" hidden="1" customHeight="1">
      <c r="A594" s="3" t="s">
        <v>4088</v>
      </c>
      <c r="B594" s="3">
        <v>57266.0</v>
      </c>
      <c r="C594" s="3">
        <v>0.0</v>
      </c>
      <c r="D594" s="3">
        <v>3.0</v>
      </c>
    </row>
    <row r="595" ht="14.25" hidden="1" customHeight="1">
      <c r="A595" s="3" t="s">
        <v>4089</v>
      </c>
      <c r="B595" s="3">
        <v>57273.0</v>
      </c>
      <c r="C595" s="3">
        <v>0.0</v>
      </c>
      <c r="D595" s="3">
        <v>3.0</v>
      </c>
    </row>
    <row r="596" ht="14.25" hidden="1" customHeight="1">
      <c r="A596" s="3" t="s">
        <v>4090</v>
      </c>
      <c r="B596" s="3">
        <v>57280.0</v>
      </c>
      <c r="C596" s="3">
        <v>0.0</v>
      </c>
      <c r="D596" s="3">
        <v>2.0</v>
      </c>
    </row>
    <row r="597" ht="14.25" hidden="1" customHeight="1">
      <c r="A597" s="3" t="s">
        <v>4091</v>
      </c>
      <c r="B597" s="3">
        <v>57297.0</v>
      </c>
      <c r="C597" s="3">
        <v>0.0</v>
      </c>
      <c r="D597" s="3">
        <v>3.0</v>
      </c>
    </row>
    <row r="598" ht="14.25" hidden="1" customHeight="1">
      <c r="A598" s="3" t="s">
        <v>4092</v>
      </c>
      <c r="B598" s="3">
        <v>57303.0</v>
      </c>
      <c r="C598" s="3">
        <v>0.0</v>
      </c>
      <c r="D598" s="3">
        <v>2.0</v>
      </c>
    </row>
    <row r="599" ht="14.25" hidden="1" customHeight="1">
      <c r="A599" s="3" t="s">
        <v>16068</v>
      </c>
      <c r="B599" s="3">
        <v>57501.0</v>
      </c>
      <c r="C599" s="3">
        <v>0.0</v>
      </c>
      <c r="D599" s="3">
        <v>3.0</v>
      </c>
    </row>
    <row r="600" ht="14.25" hidden="1" customHeight="1">
      <c r="A600" s="3" t="s">
        <v>16069</v>
      </c>
      <c r="B600" s="3">
        <v>57518.0</v>
      </c>
      <c r="C600" s="3">
        <v>0.0</v>
      </c>
      <c r="D600" s="3">
        <v>2.0</v>
      </c>
    </row>
    <row r="601" ht="14.25" hidden="1" customHeight="1">
      <c r="A601" s="3" t="s">
        <v>4093</v>
      </c>
      <c r="B601" s="3">
        <v>57556.0</v>
      </c>
      <c r="C601" s="3">
        <v>0.0</v>
      </c>
      <c r="D601" s="3">
        <v>3.0</v>
      </c>
    </row>
    <row r="602" ht="14.25" hidden="1" customHeight="1">
      <c r="A602" s="3" t="s">
        <v>16070</v>
      </c>
      <c r="B602" s="3">
        <v>57563.0</v>
      </c>
      <c r="C602" s="3">
        <v>0.0</v>
      </c>
      <c r="D602" s="3">
        <v>3.0</v>
      </c>
    </row>
    <row r="603" ht="14.25" hidden="1" customHeight="1">
      <c r="A603" s="3" t="s">
        <v>16071</v>
      </c>
      <c r="B603" s="3">
        <v>57631.0</v>
      </c>
      <c r="C603" s="3">
        <v>0.0</v>
      </c>
      <c r="D603" s="3">
        <v>3.0</v>
      </c>
    </row>
    <row r="604" ht="14.25" hidden="1" customHeight="1">
      <c r="A604" s="3" t="s">
        <v>16072</v>
      </c>
      <c r="B604" s="3">
        <v>57648.0</v>
      </c>
      <c r="C604" s="3">
        <v>0.0</v>
      </c>
      <c r="D604" s="3">
        <v>3.0</v>
      </c>
    </row>
    <row r="605" ht="14.25" hidden="1" customHeight="1">
      <c r="A605" s="3" t="s">
        <v>4094</v>
      </c>
      <c r="B605" s="3">
        <v>57792.0</v>
      </c>
      <c r="C605" s="3">
        <v>0.0</v>
      </c>
      <c r="D605" s="3">
        <v>2.0</v>
      </c>
    </row>
    <row r="606" ht="14.25" hidden="1" customHeight="1">
      <c r="A606" s="3" t="s">
        <v>4095</v>
      </c>
      <c r="B606" s="3">
        <v>57839.0</v>
      </c>
      <c r="C606" s="3">
        <v>0.0</v>
      </c>
      <c r="D606" s="3">
        <v>3.0</v>
      </c>
    </row>
    <row r="607" ht="14.25" hidden="1" customHeight="1">
      <c r="A607" s="3" t="s">
        <v>4096</v>
      </c>
      <c r="B607" s="3">
        <v>57914.0</v>
      </c>
      <c r="C607" s="3">
        <v>0.0</v>
      </c>
      <c r="D607" s="3">
        <v>3.0</v>
      </c>
    </row>
    <row r="608" ht="14.25" hidden="1" customHeight="1">
      <c r="A608" s="3" t="s">
        <v>16073</v>
      </c>
      <c r="B608" s="3">
        <v>58133.0</v>
      </c>
      <c r="C608" s="3">
        <v>0.0</v>
      </c>
      <c r="D608" s="3">
        <v>2.0</v>
      </c>
    </row>
    <row r="609" ht="14.25" hidden="1" customHeight="1">
      <c r="A609" s="3" t="s">
        <v>16074</v>
      </c>
      <c r="B609" s="3">
        <v>59611.0</v>
      </c>
      <c r="C609" s="3">
        <v>0.0</v>
      </c>
      <c r="D609" s="3">
        <v>1.0</v>
      </c>
    </row>
    <row r="610" ht="14.25" hidden="1" customHeight="1">
      <c r="A610" s="3" t="s">
        <v>4097</v>
      </c>
      <c r="B610" s="3">
        <v>60136.0</v>
      </c>
      <c r="C610" s="3">
        <v>0.0</v>
      </c>
      <c r="D610" s="3">
        <v>3.0</v>
      </c>
    </row>
    <row r="611" ht="14.25" hidden="1" customHeight="1">
      <c r="A611" s="3" t="s">
        <v>4098</v>
      </c>
      <c r="B611" s="3">
        <v>60204.0</v>
      </c>
      <c r="C611" s="3">
        <v>0.0</v>
      </c>
      <c r="D611" s="3">
        <v>2.0</v>
      </c>
    </row>
    <row r="612" ht="14.25" hidden="1" customHeight="1">
      <c r="A612" s="3" t="s">
        <v>4099</v>
      </c>
      <c r="B612" s="3">
        <v>60464.0</v>
      </c>
      <c r="C612" s="3">
        <v>0.0</v>
      </c>
      <c r="D612" s="3">
        <v>3.0</v>
      </c>
    </row>
    <row r="613" ht="14.25" hidden="1" customHeight="1">
      <c r="A613" s="3" t="s">
        <v>4100</v>
      </c>
      <c r="B613" s="3">
        <v>60730.0</v>
      </c>
      <c r="C613" s="3">
        <v>0.0</v>
      </c>
      <c r="D613" s="3">
        <v>2.0</v>
      </c>
    </row>
    <row r="614" ht="14.25" hidden="1" customHeight="1">
      <c r="A614" s="3" t="s">
        <v>16075</v>
      </c>
      <c r="B614" s="3">
        <v>60754.0</v>
      </c>
      <c r="C614" s="3">
        <v>0.0</v>
      </c>
      <c r="D614" s="3">
        <v>2.0</v>
      </c>
    </row>
    <row r="615" ht="14.25" hidden="1" customHeight="1">
      <c r="A615" s="3" t="s">
        <v>16076</v>
      </c>
      <c r="B615" s="3">
        <v>60761.0</v>
      </c>
      <c r="C615" s="3">
        <v>0.0</v>
      </c>
      <c r="D615" s="3">
        <v>1.0</v>
      </c>
    </row>
    <row r="616" ht="14.25" hidden="1" customHeight="1">
      <c r="A616" s="3" t="s">
        <v>16077</v>
      </c>
      <c r="B616" s="3">
        <v>60846.0</v>
      </c>
      <c r="C616" s="3">
        <v>0.0</v>
      </c>
      <c r="D616" s="3">
        <v>3.0</v>
      </c>
    </row>
    <row r="617" ht="14.25" hidden="1" customHeight="1">
      <c r="A617" s="3" t="s">
        <v>16078</v>
      </c>
      <c r="B617" s="3">
        <v>6181072.0</v>
      </c>
      <c r="C617" s="3">
        <v>0.0</v>
      </c>
      <c r="D617" s="3">
        <v>2.0</v>
      </c>
    </row>
    <row r="618" ht="14.25" hidden="1" customHeight="1">
      <c r="A618" s="3" t="s">
        <v>4102</v>
      </c>
      <c r="B618" s="3">
        <v>6181075.0</v>
      </c>
      <c r="C618" s="3">
        <v>0.0</v>
      </c>
      <c r="D618" s="3">
        <v>4.0</v>
      </c>
    </row>
    <row r="619" ht="14.25" hidden="1" customHeight="1">
      <c r="A619" s="3" t="s">
        <v>4103</v>
      </c>
      <c r="B619" s="3">
        <v>6181076.0</v>
      </c>
      <c r="C619" s="3">
        <v>0.0</v>
      </c>
      <c r="D619" s="3">
        <v>4.0</v>
      </c>
    </row>
    <row r="620" ht="14.25" hidden="1" customHeight="1">
      <c r="A620" s="3" t="s">
        <v>4104</v>
      </c>
      <c r="B620" s="3">
        <v>6181088.0</v>
      </c>
      <c r="C620" s="3">
        <v>0.0</v>
      </c>
      <c r="D620" s="3">
        <v>4.0</v>
      </c>
    </row>
    <row r="621" ht="14.25" hidden="1" customHeight="1">
      <c r="A621" s="3" t="s">
        <v>4105</v>
      </c>
      <c r="B621" s="3">
        <v>6181090.0</v>
      </c>
      <c r="C621" s="3">
        <v>0.0</v>
      </c>
      <c r="D621" s="3">
        <v>4.0</v>
      </c>
    </row>
    <row r="622" ht="14.25" hidden="1" customHeight="1">
      <c r="A622" s="3" t="s">
        <v>4106</v>
      </c>
      <c r="B622" s="3">
        <v>6181091.0</v>
      </c>
      <c r="C622" s="3">
        <v>0.0</v>
      </c>
      <c r="D622" s="3">
        <v>4.0</v>
      </c>
    </row>
    <row r="623" ht="14.25" hidden="1" customHeight="1">
      <c r="A623" s="3" t="s">
        <v>16079</v>
      </c>
      <c r="B623" s="3">
        <v>6181094.0</v>
      </c>
      <c r="C623" s="3">
        <v>0.0</v>
      </c>
      <c r="D623" s="3">
        <v>3.0</v>
      </c>
    </row>
    <row r="624" ht="14.25" hidden="1" customHeight="1">
      <c r="A624" s="3" t="s">
        <v>4107</v>
      </c>
      <c r="B624" s="3">
        <v>6181095.0</v>
      </c>
      <c r="C624" s="3">
        <v>0.0</v>
      </c>
      <c r="D624" s="3">
        <v>4.0</v>
      </c>
    </row>
    <row r="625" ht="14.25" hidden="1" customHeight="1">
      <c r="A625" s="3" t="s">
        <v>16080</v>
      </c>
      <c r="B625" s="3">
        <v>6181096.0</v>
      </c>
      <c r="C625" s="3">
        <v>0.0</v>
      </c>
      <c r="D625" s="3">
        <v>2.0</v>
      </c>
    </row>
    <row r="626" ht="14.25" hidden="1" customHeight="1">
      <c r="A626" s="3" t="s">
        <v>16081</v>
      </c>
      <c r="B626" s="3">
        <v>6181097.0</v>
      </c>
      <c r="C626" s="3">
        <v>0.0</v>
      </c>
      <c r="D626" s="3">
        <v>4.0</v>
      </c>
    </row>
    <row r="627" ht="14.25" hidden="1" customHeight="1">
      <c r="A627" s="3" t="s">
        <v>4108</v>
      </c>
      <c r="B627" s="3">
        <v>6181103.0</v>
      </c>
      <c r="C627" s="3">
        <v>0.0</v>
      </c>
      <c r="D627" s="3">
        <v>3.0</v>
      </c>
    </row>
    <row r="628" ht="14.25" hidden="1" customHeight="1">
      <c r="A628" s="3" t="s">
        <v>4109</v>
      </c>
      <c r="B628" s="3">
        <v>6181104.0</v>
      </c>
      <c r="C628" s="3">
        <v>0.0</v>
      </c>
      <c r="D628" s="3">
        <v>3.0</v>
      </c>
    </row>
    <row r="629" ht="14.25" hidden="1" customHeight="1">
      <c r="A629" s="3" t="s">
        <v>4110</v>
      </c>
      <c r="B629" s="3">
        <v>6181105.0</v>
      </c>
      <c r="C629" s="3">
        <v>0.0</v>
      </c>
      <c r="D629" s="3">
        <v>3.0</v>
      </c>
    </row>
    <row r="630" ht="14.25" hidden="1" customHeight="1">
      <c r="A630" s="3" t="s">
        <v>16082</v>
      </c>
      <c r="B630" s="3">
        <v>6181109.0</v>
      </c>
      <c r="C630" s="3">
        <v>0.0</v>
      </c>
      <c r="D630" s="3">
        <v>3.0</v>
      </c>
    </row>
    <row r="631" ht="14.25" hidden="1" customHeight="1">
      <c r="A631" s="3" t="s">
        <v>4111</v>
      </c>
      <c r="B631" s="3">
        <v>6181110.0</v>
      </c>
      <c r="C631" s="3">
        <v>0.0</v>
      </c>
      <c r="D631" s="3">
        <v>4.0</v>
      </c>
    </row>
    <row r="632" ht="14.25" hidden="1" customHeight="1">
      <c r="A632" s="3" t="s">
        <v>16083</v>
      </c>
      <c r="B632" s="3">
        <v>6181111.0</v>
      </c>
      <c r="C632" s="3">
        <v>0.0</v>
      </c>
      <c r="D632" s="3">
        <v>4.0</v>
      </c>
    </row>
    <row r="633" ht="14.25" hidden="1" customHeight="1">
      <c r="A633" s="3" t="s">
        <v>3387</v>
      </c>
      <c r="B633" s="3">
        <v>6181130.0</v>
      </c>
      <c r="C633" s="3">
        <v>0.0</v>
      </c>
      <c r="D633" s="3">
        <v>4.0</v>
      </c>
    </row>
    <row r="634" ht="14.25" hidden="1" customHeight="1">
      <c r="A634" s="3" t="s">
        <v>4112</v>
      </c>
      <c r="B634" s="3">
        <v>6181135.0</v>
      </c>
      <c r="C634" s="3">
        <v>0.0</v>
      </c>
      <c r="D634" s="3">
        <v>4.0</v>
      </c>
    </row>
    <row r="635" ht="14.25" hidden="1" customHeight="1">
      <c r="A635" s="3" t="s">
        <v>4113</v>
      </c>
      <c r="B635" s="3">
        <v>6181136.0</v>
      </c>
      <c r="C635" s="3">
        <v>0.0</v>
      </c>
      <c r="D635" s="3">
        <v>4.0</v>
      </c>
    </row>
    <row r="636" ht="14.25" hidden="1" customHeight="1">
      <c r="A636" s="3" t="s">
        <v>4114</v>
      </c>
      <c r="B636" s="3">
        <v>6181140.0</v>
      </c>
      <c r="C636" s="3">
        <v>0.0</v>
      </c>
      <c r="D636" s="3">
        <v>4.0</v>
      </c>
    </row>
    <row r="637" ht="14.25" hidden="1" customHeight="1">
      <c r="A637" s="3" t="s">
        <v>16084</v>
      </c>
      <c r="B637" s="3">
        <v>6181194.0</v>
      </c>
      <c r="C637" s="3">
        <v>0.0</v>
      </c>
      <c r="D637" s="3">
        <v>3.0</v>
      </c>
    </row>
    <row r="638" ht="14.25" hidden="1" customHeight="1">
      <c r="A638" s="3" t="s">
        <v>4115</v>
      </c>
      <c r="B638" s="3">
        <v>6181195.0</v>
      </c>
      <c r="C638" s="3">
        <v>0.0</v>
      </c>
      <c r="D638" s="3">
        <v>3.0</v>
      </c>
    </row>
    <row r="639" ht="14.25" hidden="1" customHeight="1">
      <c r="A639" s="3" t="s">
        <v>16085</v>
      </c>
      <c r="B639" s="3">
        <v>6181196.0</v>
      </c>
      <c r="C639" s="3">
        <v>0.0</v>
      </c>
      <c r="D639" s="3">
        <v>3.0</v>
      </c>
    </row>
    <row r="640" ht="14.25" hidden="1" customHeight="1">
      <c r="A640" s="3" t="s">
        <v>4116</v>
      </c>
      <c r="B640" s="3">
        <v>6181220.0</v>
      </c>
      <c r="C640" s="3">
        <v>0.0</v>
      </c>
      <c r="D640" s="3">
        <v>4.0</v>
      </c>
    </row>
    <row r="641" ht="14.25" hidden="1" customHeight="1">
      <c r="A641" s="3" t="s">
        <v>4117</v>
      </c>
      <c r="B641" s="3">
        <v>6181222.0</v>
      </c>
      <c r="C641" s="3">
        <v>0.0</v>
      </c>
      <c r="D641" s="3">
        <v>4.0</v>
      </c>
    </row>
    <row r="642" ht="14.25" hidden="1" customHeight="1">
      <c r="A642" s="3" t="s">
        <v>4118</v>
      </c>
      <c r="B642" s="3">
        <v>6182204.0</v>
      </c>
      <c r="C642" s="3">
        <v>0.0</v>
      </c>
      <c r="D642" s="3">
        <v>4.0</v>
      </c>
    </row>
    <row r="643" ht="14.25" hidden="1" customHeight="1">
      <c r="A643" s="3" t="s">
        <v>4119</v>
      </c>
      <c r="B643" s="3">
        <v>6182205.0</v>
      </c>
      <c r="C643" s="3">
        <v>0.0</v>
      </c>
      <c r="D643" s="3">
        <v>2.0</v>
      </c>
    </row>
    <row r="644" ht="14.25" hidden="1" customHeight="1">
      <c r="A644" s="3" t="s">
        <v>4120</v>
      </c>
      <c r="B644" s="3">
        <v>6182251.0</v>
      </c>
      <c r="C644" s="3">
        <v>0.0</v>
      </c>
      <c r="D644" s="3">
        <v>4.0</v>
      </c>
    </row>
    <row r="645" ht="14.25" hidden="1" customHeight="1">
      <c r="A645" s="3" t="s">
        <v>2458</v>
      </c>
      <c r="B645" s="3">
        <v>6182252.0</v>
      </c>
      <c r="C645" s="3">
        <v>0.0</v>
      </c>
      <c r="D645" s="3">
        <v>3.0</v>
      </c>
    </row>
    <row r="646" ht="14.25" hidden="1" customHeight="1">
      <c r="A646" s="3" t="s">
        <v>4121</v>
      </c>
      <c r="B646" s="3">
        <v>6182254.0</v>
      </c>
      <c r="C646" s="3">
        <v>0.0</v>
      </c>
      <c r="D646" s="3">
        <v>4.0</v>
      </c>
    </row>
    <row r="647" ht="14.25" hidden="1" customHeight="1">
      <c r="A647" s="3" t="s">
        <v>16086</v>
      </c>
      <c r="B647" s="3">
        <v>62338.0</v>
      </c>
      <c r="C647" s="3">
        <v>0.0</v>
      </c>
      <c r="D647" s="3">
        <v>2.0</v>
      </c>
    </row>
    <row r="648" ht="14.25" hidden="1" customHeight="1">
      <c r="A648" s="3" t="s">
        <v>4122</v>
      </c>
      <c r="B648" s="3">
        <v>62345.0</v>
      </c>
      <c r="C648" s="3">
        <v>0.0</v>
      </c>
      <c r="D648" s="3">
        <v>3.0</v>
      </c>
    </row>
    <row r="649" ht="14.25" hidden="1" customHeight="1">
      <c r="A649" s="3" t="s">
        <v>16087</v>
      </c>
      <c r="B649" s="3">
        <v>62352.0</v>
      </c>
      <c r="C649" s="3">
        <v>8750.0</v>
      </c>
      <c r="D649" s="3">
        <v>3.0</v>
      </c>
    </row>
    <row r="650" ht="14.25" hidden="1" customHeight="1">
      <c r="A650" s="3" t="s">
        <v>16088</v>
      </c>
      <c r="B650" s="3">
        <v>62512.0</v>
      </c>
      <c r="C650" s="3">
        <v>0.0</v>
      </c>
      <c r="D650" s="3">
        <v>2.0</v>
      </c>
    </row>
    <row r="651" ht="14.25" hidden="1" customHeight="1">
      <c r="A651" s="3" t="s">
        <v>4123</v>
      </c>
      <c r="B651" s="3">
        <v>62598.0</v>
      </c>
      <c r="C651" s="3">
        <v>0.0</v>
      </c>
      <c r="D651" s="3">
        <v>3.0</v>
      </c>
    </row>
    <row r="652" ht="14.25" hidden="1" customHeight="1">
      <c r="A652" s="3" t="s">
        <v>16089</v>
      </c>
      <c r="B652" s="3">
        <v>62611.0</v>
      </c>
      <c r="C652" s="3">
        <v>0.0</v>
      </c>
      <c r="D652" s="3">
        <v>2.0</v>
      </c>
    </row>
    <row r="653" ht="14.25" hidden="1" customHeight="1">
      <c r="A653" s="3" t="s">
        <v>16090</v>
      </c>
      <c r="B653" s="3">
        <v>62628.0</v>
      </c>
      <c r="C653" s="3">
        <v>0.0</v>
      </c>
      <c r="D653" s="3">
        <v>3.0</v>
      </c>
    </row>
    <row r="654" ht="14.25" hidden="1" customHeight="1">
      <c r="A654" s="3" t="s">
        <v>16091</v>
      </c>
      <c r="B654" s="3">
        <v>63717.0</v>
      </c>
      <c r="C654" s="3">
        <v>0.0</v>
      </c>
      <c r="D654" s="3">
        <v>3.0</v>
      </c>
    </row>
    <row r="655" ht="14.25" hidden="1" customHeight="1">
      <c r="A655" s="3" t="s">
        <v>4124</v>
      </c>
      <c r="B655" s="3">
        <v>63724.0</v>
      </c>
      <c r="C655" s="3">
        <v>0.0</v>
      </c>
      <c r="D655" s="3">
        <v>2.0</v>
      </c>
    </row>
    <row r="656" ht="14.25" hidden="1" customHeight="1">
      <c r="A656" s="3" t="s">
        <v>16092</v>
      </c>
      <c r="B656" s="3">
        <v>63731.0</v>
      </c>
      <c r="C656" s="3">
        <v>0.0</v>
      </c>
      <c r="D656" s="3">
        <v>2.0</v>
      </c>
    </row>
    <row r="657" ht="14.25" hidden="1" customHeight="1">
      <c r="A657" s="3" t="s">
        <v>4125</v>
      </c>
      <c r="B657" s="3">
        <v>64080.0</v>
      </c>
      <c r="C657" s="3">
        <v>0.0</v>
      </c>
      <c r="D657" s="3">
        <v>2.0</v>
      </c>
    </row>
    <row r="658" ht="14.25" hidden="1" customHeight="1">
      <c r="A658" s="3" t="s">
        <v>4126</v>
      </c>
      <c r="B658" s="3">
        <v>6.500071503E9</v>
      </c>
      <c r="C658" s="3">
        <v>0.0</v>
      </c>
      <c r="D658" s="3">
        <v>6.0</v>
      </c>
    </row>
    <row r="659" ht="14.25" hidden="1" customHeight="1">
      <c r="A659" s="3" t="s">
        <v>16093</v>
      </c>
      <c r="B659" s="3">
        <v>6.6436804863605E13</v>
      </c>
      <c r="C659" s="3">
        <v>8545.0</v>
      </c>
      <c r="D659" s="3">
        <v>220.0</v>
      </c>
    </row>
    <row r="660" ht="14.25" customHeight="1">
      <c r="A660" s="3" t="s">
        <v>16094</v>
      </c>
      <c r="B660" s="3">
        <v>6.6559853294178E13</v>
      </c>
      <c r="C660" s="3">
        <v>26402.0</v>
      </c>
      <c r="D660" s="3">
        <v>1.0</v>
      </c>
    </row>
    <row r="661" ht="14.25" customHeight="1">
      <c r="A661" s="3" t="s">
        <v>4133</v>
      </c>
      <c r="B661" s="3">
        <v>6.6559856061451E13</v>
      </c>
      <c r="C661" s="3">
        <v>26402.0</v>
      </c>
      <c r="D661" s="3">
        <v>1.0</v>
      </c>
    </row>
    <row r="662" ht="14.25" customHeight="1">
      <c r="A662" s="3" t="s">
        <v>4134</v>
      </c>
      <c r="B662" s="3">
        <v>6.6559859669124E13</v>
      </c>
      <c r="C662" s="3">
        <v>72002.0</v>
      </c>
      <c r="D662" s="3">
        <v>1.0</v>
      </c>
    </row>
    <row r="663" ht="14.25" hidden="1" customHeight="1">
      <c r="A663" s="3" t="s">
        <v>4135</v>
      </c>
      <c r="B663" s="3">
        <v>66633.0</v>
      </c>
      <c r="C663" s="3">
        <v>0.0</v>
      </c>
      <c r="D663" s="3">
        <v>1.0</v>
      </c>
    </row>
    <row r="664" ht="14.25" hidden="1" customHeight="1">
      <c r="A664" s="3" t="s">
        <v>4136</v>
      </c>
      <c r="B664" s="3">
        <v>66671.0</v>
      </c>
      <c r="C664" s="3">
        <v>0.0</v>
      </c>
      <c r="D664" s="3">
        <v>3.0</v>
      </c>
    </row>
    <row r="665" ht="14.25" hidden="1" customHeight="1">
      <c r="A665" s="3" t="s">
        <v>4137</v>
      </c>
      <c r="B665" s="3">
        <v>6.6782882621304E13</v>
      </c>
      <c r="C665" s="3">
        <v>23048.0</v>
      </c>
      <c r="D665" s="3">
        <v>5.0</v>
      </c>
    </row>
    <row r="666" ht="14.25" hidden="1" customHeight="1">
      <c r="A666" s="3" t="s">
        <v>4138</v>
      </c>
      <c r="B666" s="3">
        <v>6.6782906770403E13</v>
      </c>
      <c r="C666" s="3">
        <v>6914.0</v>
      </c>
      <c r="D666" s="3">
        <v>1.0</v>
      </c>
    </row>
    <row r="667" ht="14.25" hidden="1" customHeight="1">
      <c r="A667" s="3" t="s">
        <v>4139</v>
      </c>
      <c r="B667" s="3">
        <v>6.6782909003418E13</v>
      </c>
      <c r="C667" s="3">
        <v>9219.0</v>
      </c>
      <c r="D667" s="3">
        <v>1.0</v>
      </c>
    </row>
    <row r="668" ht="14.25" hidden="1" customHeight="1">
      <c r="A668" s="3" t="s">
        <v>2459</v>
      </c>
      <c r="B668" s="3">
        <v>6.6800469437952E13</v>
      </c>
      <c r="C668" s="3">
        <v>6067.0</v>
      </c>
      <c r="D668" s="3">
        <v>889.0</v>
      </c>
    </row>
    <row r="669" ht="14.25" hidden="1" customHeight="1">
      <c r="A669" s="3" t="s">
        <v>2817</v>
      </c>
      <c r="B669" s="3">
        <v>6.6800471275549E13</v>
      </c>
      <c r="C669" s="3">
        <v>6283.0</v>
      </c>
      <c r="D669" s="3">
        <v>851.0</v>
      </c>
    </row>
    <row r="670" ht="14.25" hidden="1" customHeight="1">
      <c r="A670" s="3" t="s">
        <v>2460</v>
      </c>
      <c r="B670" s="3">
        <v>6.6800472805184E13</v>
      </c>
      <c r="C670" s="3">
        <v>6113.0</v>
      </c>
      <c r="D670" s="3">
        <v>487.0</v>
      </c>
    </row>
    <row r="671" ht="14.25" hidden="1" customHeight="1">
      <c r="A671" s="3" t="s">
        <v>2461</v>
      </c>
      <c r="B671" s="3">
        <v>6.6800506435054E13</v>
      </c>
      <c r="C671" s="3">
        <v>614.0</v>
      </c>
      <c r="D671" s="3">
        <v>335.0</v>
      </c>
    </row>
    <row r="672" ht="14.25" hidden="1" customHeight="1">
      <c r="A672" s="3" t="s">
        <v>2818</v>
      </c>
      <c r="B672" s="3">
        <v>6.680050766593E13</v>
      </c>
      <c r="C672" s="3">
        <v>1305.0</v>
      </c>
      <c r="D672" s="3">
        <v>2.0</v>
      </c>
    </row>
    <row r="673" ht="14.25" hidden="1" customHeight="1">
      <c r="A673" s="3" t="s">
        <v>2463</v>
      </c>
      <c r="B673" s="3">
        <v>6.6800509015029E13</v>
      </c>
      <c r="C673" s="3">
        <v>1401.0</v>
      </c>
      <c r="D673" s="3">
        <v>12.0</v>
      </c>
    </row>
    <row r="674" ht="14.25" hidden="1" customHeight="1">
      <c r="A674" s="3" t="s">
        <v>2819</v>
      </c>
      <c r="B674" s="3">
        <v>6.6800510263382E13</v>
      </c>
      <c r="C674" s="3">
        <v>1107.0</v>
      </c>
      <c r="D674" s="3">
        <v>4.0</v>
      </c>
    </row>
    <row r="675" ht="14.25" hidden="1" customHeight="1">
      <c r="A675" s="3" t="s">
        <v>2820</v>
      </c>
      <c r="B675" s="3">
        <v>6.7114505814137E13</v>
      </c>
      <c r="C675" s="3">
        <v>5895.0</v>
      </c>
      <c r="D675" s="3">
        <v>310.0</v>
      </c>
    </row>
    <row r="676" ht="14.25" hidden="1" customHeight="1">
      <c r="A676" s="3" t="s">
        <v>5566</v>
      </c>
      <c r="B676" s="3">
        <v>6.7114507143511E13</v>
      </c>
      <c r="C676" s="3">
        <v>6071.0</v>
      </c>
      <c r="D676" s="3">
        <v>586.0</v>
      </c>
    </row>
    <row r="677" ht="14.25" hidden="1" customHeight="1">
      <c r="A677" s="3" t="s">
        <v>3283</v>
      </c>
      <c r="B677" s="3">
        <v>6.7114508251225E13</v>
      </c>
      <c r="C677" s="3">
        <v>6080.0</v>
      </c>
      <c r="D677" s="3">
        <v>233.0</v>
      </c>
    </row>
    <row r="678" ht="14.25" hidden="1" customHeight="1">
      <c r="A678" s="3" t="s">
        <v>3284</v>
      </c>
      <c r="B678" s="3">
        <v>6.7114509855998E13</v>
      </c>
      <c r="C678" s="3">
        <v>5981.0</v>
      </c>
      <c r="D678" s="3">
        <v>245.0</v>
      </c>
    </row>
    <row r="679" ht="14.25" hidden="1" customHeight="1">
      <c r="A679" s="3" t="s">
        <v>4143</v>
      </c>
      <c r="B679" s="3">
        <v>67135.0</v>
      </c>
      <c r="C679" s="3">
        <v>0.0</v>
      </c>
      <c r="D679" s="3">
        <v>3.0</v>
      </c>
    </row>
    <row r="680" ht="14.25" hidden="1" customHeight="1">
      <c r="A680" s="3" t="s">
        <v>4144</v>
      </c>
      <c r="B680" s="3">
        <v>67142.0</v>
      </c>
      <c r="C680" s="3">
        <v>0.0</v>
      </c>
      <c r="D680" s="3">
        <v>3.0</v>
      </c>
    </row>
    <row r="681" ht="14.25" hidden="1" customHeight="1">
      <c r="A681" s="3" t="s">
        <v>2821</v>
      </c>
      <c r="B681" s="3">
        <v>6.7327559384453E13</v>
      </c>
      <c r="C681" s="3">
        <v>13750.0</v>
      </c>
      <c r="D681" s="3">
        <v>79.0</v>
      </c>
    </row>
    <row r="682" ht="14.25" hidden="1" customHeight="1">
      <c r="A682" s="3" t="s">
        <v>2464</v>
      </c>
      <c r="B682" s="3">
        <v>6.7327712330533E13</v>
      </c>
      <c r="C682" s="3">
        <v>7313.0</v>
      </c>
      <c r="D682" s="3">
        <v>1798.0</v>
      </c>
    </row>
    <row r="683" ht="14.25" hidden="1" customHeight="1">
      <c r="A683" s="3" t="s">
        <v>4149</v>
      </c>
      <c r="B683" s="3">
        <v>6.7414791217036E13</v>
      </c>
      <c r="C683" s="3">
        <v>4378.0</v>
      </c>
      <c r="D683" s="3">
        <v>1.0</v>
      </c>
    </row>
    <row r="684" ht="14.25" hidden="1" customHeight="1">
      <c r="A684" s="3" t="s">
        <v>4150</v>
      </c>
      <c r="B684" s="3">
        <v>6.7414791952688E13</v>
      </c>
      <c r="C684" s="3">
        <v>6707.0</v>
      </c>
      <c r="D684" s="3">
        <v>1.0</v>
      </c>
    </row>
    <row r="685" ht="14.25" hidden="1" customHeight="1">
      <c r="A685" s="3" t="s">
        <v>4151</v>
      </c>
      <c r="B685" s="3">
        <v>6.7414792729571E13</v>
      </c>
      <c r="C685" s="3">
        <v>8771.0</v>
      </c>
      <c r="D685" s="3">
        <v>1.0</v>
      </c>
    </row>
    <row r="686" ht="14.25" hidden="1" customHeight="1">
      <c r="A686" s="3" t="s">
        <v>4152</v>
      </c>
      <c r="B686" s="3">
        <v>6.741479351764E13</v>
      </c>
      <c r="C686" s="3">
        <v>34052.0</v>
      </c>
      <c r="D686" s="3">
        <v>1.0</v>
      </c>
    </row>
    <row r="687" ht="14.25" hidden="1" customHeight="1">
      <c r="A687" s="3" t="s">
        <v>4153</v>
      </c>
      <c r="B687" s="3">
        <v>6.7414809824183E13</v>
      </c>
      <c r="C687" s="3">
        <v>13208.0</v>
      </c>
      <c r="D687" s="3">
        <v>1.0</v>
      </c>
    </row>
    <row r="688" ht="14.25" hidden="1" customHeight="1">
      <c r="A688" s="3" t="s">
        <v>4154</v>
      </c>
      <c r="B688" s="3">
        <v>6.7414812797526E13</v>
      </c>
      <c r="C688" s="3">
        <v>6883.0</v>
      </c>
      <c r="D688" s="3">
        <v>3.0</v>
      </c>
    </row>
    <row r="689" ht="14.25" hidden="1" customHeight="1">
      <c r="A689" s="3" t="s">
        <v>4155</v>
      </c>
      <c r="B689" s="3">
        <v>6.7414820120443E13</v>
      </c>
      <c r="C689" s="3">
        <v>82550.0</v>
      </c>
      <c r="D689" s="3">
        <v>1.0</v>
      </c>
    </row>
    <row r="690" ht="14.25" hidden="1" customHeight="1">
      <c r="A690" s="3" t="s">
        <v>4156</v>
      </c>
      <c r="B690" s="3">
        <v>6.7545214667077E13</v>
      </c>
      <c r="C690" s="3">
        <v>154781.0</v>
      </c>
      <c r="D690" s="3">
        <v>1.0</v>
      </c>
    </row>
    <row r="691" ht="14.25" hidden="1" customHeight="1">
      <c r="A691" s="3" t="s">
        <v>16095</v>
      </c>
      <c r="B691" s="3">
        <v>67722.0</v>
      </c>
      <c r="C691" s="3">
        <v>0.0</v>
      </c>
      <c r="D691" s="3">
        <v>2.0</v>
      </c>
    </row>
    <row r="692" ht="14.25" hidden="1" customHeight="1">
      <c r="A692" s="3" t="s">
        <v>4157</v>
      </c>
      <c r="B692" s="3">
        <v>67739.0</v>
      </c>
      <c r="C692" s="3">
        <v>0.0</v>
      </c>
      <c r="D692" s="3">
        <v>3.0</v>
      </c>
    </row>
    <row r="693" ht="14.25" hidden="1" customHeight="1">
      <c r="A693" s="3" t="s">
        <v>4158</v>
      </c>
      <c r="B693" s="3">
        <v>67784.0</v>
      </c>
      <c r="C693" s="3">
        <v>0.0</v>
      </c>
      <c r="D693" s="3">
        <v>3.0</v>
      </c>
    </row>
    <row r="694" ht="14.25" hidden="1" customHeight="1">
      <c r="A694" s="3" t="s">
        <v>16096</v>
      </c>
      <c r="B694" s="3">
        <v>6.7898087132855E13</v>
      </c>
      <c r="C694" s="3">
        <v>36072.0</v>
      </c>
      <c r="D694" s="3">
        <v>415.0</v>
      </c>
    </row>
    <row r="695" ht="14.25" hidden="1" customHeight="1">
      <c r="A695" s="3" t="s">
        <v>2824</v>
      </c>
      <c r="B695" s="3">
        <v>6.7898258445967E13</v>
      </c>
      <c r="C695" s="3">
        <v>4157.0</v>
      </c>
      <c r="D695" s="3">
        <v>32.0</v>
      </c>
    </row>
    <row r="696" ht="14.25" hidden="1" customHeight="1">
      <c r="A696" s="3" t="s">
        <v>3064</v>
      </c>
      <c r="B696" s="3">
        <v>6.7898307709665E13</v>
      </c>
      <c r="C696" s="3">
        <v>15495.0</v>
      </c>
      <c r="D696" s="3">
        <v>70.0</v>
      </c>
    </row>
    <row r="697" ht="14.25" hidden="1" customHeight="1">
      <c r="A697" s="3" t="s">
        <v>3065</v>
      </c>
      <c r="B697" s="3">
        <v>6.7898461965813E13</v>
      </c>
      <c r="C697" s="3">
        <v>4716.0</v>
      </c>
      <c r="D697" s="3">
        <v>478.0</v>
      </c>
    </row>
    <row r="698" ht="14.25" hidden="1" customHeight="1">
      <c r="A698" s="3" t="s">
        <v>3066</v>
      </c>
      <c r="B698" s="3">
        <v>6.7898463643999E13</v>
      </c>
      <c r="C698" s="3">
        <v>4490.0</v>
      </c>
      <c r="D698" s="3">
        <v>118.0</v>
      </c>
    </row>
    <row r="699" ht="14.25" hidden="1" customHeight="1">
      <c r="A699" s="3" t="s">
        <v>2825</v>
      </c>
      <c r="B699" s="3">
        <v>6.7898465380537E13</v>
      </c>
      <c r="C699" s="3">
        <v>4710.0</v>
      </c>
      <c r="D699" s="3">
        <v>346.0</v>
      </c>
    </row>
    <row r="700" ht="14.25" hidden="1" customHeight="1">
      <c r="A700" s="3" t="s">
        <v>3067</v>
      </c>
      <c r="B700" s="3">
        <v>6.7898466886403E13</v>
      </c>
      <c r="C700" s="3">
        <v>4599.0</v>
      </c>
      <c r="D700" s="3">
        <v>127.0</v>
      </c>
    </row>
    <row r="701" ht="14.25" hidden="1" customHeight="1">
      <c r="A701" s="3" t="s">
        <v>2827</v>
      </c>
      <c r="B701" s="3">
        <v>6.7898499812968E13</v>
      </c>
      <c r="C701" s="3">
        <v>4096.0</v>
      </c>
      <c r="D701" s="3">
        <v>2.0</v>
      </c>
    </row>
    <row r="702" ht="14.25" hidden="1" customHeight="1">
      <c r="A702" s="3" t="s">
        <v>16097</v>
      </c>
      <c r="B702" s="3">
        <v>67906.0</v>
      </c>
      <c r="C702" s="3">
        <v>0.0</v>
      </c>
      <c r="D702" s="3">
        <v>2.0</v>
      </c>
    </row>
    <row r="703" ht="14.25" hidden="1" customHeight="1">
      <c r="A703" s="3" t="s">
        <v>2466</v>
      </c>
      <c r="B703" s="3">
        <v>6.793383184397E13</v>
      </c>
      <c r="C703" s="3">
        <v>4871.0</v>
      </c>
      <c r="D703" s="3">
        <v>990.0</v>
      </c>
    </row>
    <row r="704" ht="14.25" hidden="1" customHeight="1">
      <c r="A704" s="3" t="s">
        <v>2467</v>
      </c>
      <c r="B704" s="3">
        <v>6.7933833934278E13</v>
      </c>
      <c r="C704" s="3">
        <v>4877.0</v>
      </c>
      <c r="D704" s="3">
        <v>1328.0</v>
      </c>
    </row>
    <row r="705" ht="14.25" hidden="1" customHeight="1">
      <c r="A705" s="3" t="s">
        <v>2468</v>
      </c>
      <c r="B705" s="3">
        <v>6.7933835121467E13</v>
      </c>
      <c r="C705" s="3">
        <v>4817.0</v>
      </c>
      <c r="D705" s="3">
        <v>1574.0</v>
      </c>
    </row>
    <row r="706" ht="14.25" hidden="1" customHeight="1">
      <c r="A706" s="3" t="s">
        <v>2828</v>
      </c>
      <c r="B706" s="3">
        <v>6.7933835988925E13</v>
      </c>
      <c r="C706" s="3">
        <v>4803.0</v>
      </c>
      <c r="D706" s="3">
        <v>1700.0</v>
      </c>
    </row>
    <row r="707" ht="14.25" hidden="1" customHeight="1">
      <c r="A707" s="3" t="s">
        <v>2469</v>
      </c>
      <c r="B707" s="3">
        <v>6.7933854599885E13</v>
      </c>
      <c r="C707" s="3">
        <v>5990.0</v>
      </c>
      <c r="D707" s="3">
        <v>539.0</v>
      </c>
    </row>
    <row r="708" ht="14.25" hidden="1" customHeight="1">
      <c r="A708" s="3" t="s">
        <v>3097</v>
      </c>
      <c r="B708" s="3">
        <v>6.7933856404072E13</v>
      </c>
      <c r="C708" s="3">
        <v>3649.0</v>
      </c>
      <c r="D708" s="3">
        <v>183.0</v>
      </c>
    </row>
    <row r="709" ht="14.25" hidden="1" customHeight="1">
      <c r="A709" s="3" t="s">
        <v>2470</v>
      </c>
      <c r="B709" s="3">
        <v>6.7933857637909E13</v>
      </c>
      <c r="C709" s="3">
        <v>4495.0</v>
      </c>
      <c r="D709" s="3">
        <v>170.0</v>
      </c>
    </row>
    <row r="710" ht="14.25" hidden="1" customHeight="1">
      <c r="A710" s="3" t="s">
        <v>2471</v>
      </c>
      <c r="B710" s="3">
        <v>6.7933859111971E13</v>
      </c>
      <c r="C710" s="3">
        <v>3686.0</v>
      </c>
      <c r="D710" s="3">
        <v>272.0</v>
      </c>
    </row>
    <row r="711" ht="14.25" hidden="1" customHeight="1">
      <c r="A711" s="3" t="s">
        <v>2472</v>
      </c>
      <c r="B711" s="3">
        <v>6.7933860407346E13</v>
      </c>
      <c r="C711" s="3">
        <v>3035.0</v>
      </c>
      <c r="D711" s="3">
        <v>371.0</v>
      </c>
    </row>
    <row r="712" ht="14.25" hidden="1" customHeight="1">
      <c r="A712" s="3" t="s">
        <v>3098</v>
      </c>
      <c r="B712" s="3">
        <v>6.7933861722733E13</v>
      </c>
      <c r="C712" s="3">
        <v>3333.0</v>
      </c>
      <c r="D712" s="3">
        <v>409.0</v>
      </c>
    </row>
    <row r="713" ht="14.25" hidden="1" customHeight="1">
      <c r="A713" s="3" t="s">
        <v>2473</v>
      </c>
      <c r="B713" s="3">
        <v>6.7933863068841E13</v>
      </c>
      <c r="C713" s="3">
        <v>4077.0</v>
      </c>
      <c r="D713" s="3">
        <v>139.0</v>
      </c>
    </row>
    <row r="714" ht="14.25" hidden="1" customHeight="1">
      <c r="A714" s="3" t="s">
        <v>2474</v>
      </c>
      <c r="B714" s="3">
        <v>6.7951421434761E13</v>
      </c>
      <c r="C714" s="3">
        <v>3378.0</v>
      </c>
      <c r="D714" s="3">
        <v>49.0</v>
      </c>
    </row>
    <row r="715" ht="14.25" hidden="1" customHeight="1">
      <c r="A715" s="3" t="s">
        <v>3099</v>
      </c>
      <c r="B715" s="3">
        <v>6.7951423489593E13</v>
      </c>
      <c r="C715" s="3">
        <v>3358.0</v>
      </c>
      <c r="D715" s="3">
        <v>112.0</v>
      </c>
    </row>
    <row r="716" ht="14.25" hidden="1" customHeight="1">
      <c r="A716" s="3" t="s">
        <v>2829</v>
      </c>
      <c r="B716" s="3">
        <v>6.7951425161311E13</v>
      </c>
      <c r="C716" s="3">
        <v>3342.0</v>
      </c>
      <c r="D716" s="3">
        <v>125.0</v>
      </c>
    </row>
    <row r="717" ht="14.25" hidden="1" customHeight="1">
      <c r="A717" s="3" t="s">
        <v>3285</v>
      </c>
      <c r="B717" s="3">
        <v>6.8142275737629E13</v>
      </c>
      <c r="C717" s="3">
        <v>3876.0</v>
      </c>
      <c r="D717" s="3">
        <v>788.0</v>
      </c>
    </row>
    <row r="718" ht="14.25" hidden="1" customHeight="1">
      <c r="A718" s="3" t="s">
        <v>2830</v>
      </c>
      <c r="B718" s="3">
        <v>6.8142278578308E13</v>
      </c>
      <c r="C718" s="3">
        <v>4048.0</v>
      </c>
      <c r="D718" s="3">
        <v>791.0</v>
      </c>
    </row>
    <row r="719" ht="14.25" hidden="1" customHeight="1">
      <c r="A719" s="3" t="s">
        <v>2831</v>
      </c>
      <c r="B719" s="3">
        <v>6.814228073269E13</v>
      </c>
      <c r="C719" s="3">
        <v>3817.0</v>
      </c>
      <c r="D719" s="3">
        <v>805.0</v>
      </c>
    </row>
    <row r="720" ht="14.25" hidden="1" customHeight="1">
      <c r="A720" s="3" t="s">
        <v>16098</v>
      </c>
      <c r="B720" s="3">
        <v>6.8236222425789E13</v>
      </c>
      <c r="C720" s="3">
        <v>446590.0</v>
      </c>
      <c r="D720" s="3">
        <v>1.0</v>
      </c>
    </row>
    <row r="721" ht="14.25" hidden="1" customHeight="1">
      <c r="A721" s="3" t="s">
        <v>16099</v>
      </c>
      <c r="B721" s="3">
        <v>6.832138549862E13</v>
      </c>
      <c r="C721" s="3">
        <v>3550.0</v>
      </c>
      <c r="D721" s="3">
        <v>60.0</v>
      </c>
    </row>
    <row r="722" ht="14.25" hidden="1" customHeight="1">
      <c r="A722" s="3" t="s">
        <v>3438</v>
      </c>
      <c r="B722" s="3">
        <v>6.8432930518995E13</v>
      </c>
      <c r="C722" s="3">
        <v>14859.0</v>
      </c>
      <c r="D722" s="3">
        <v>366.0</v>
      </c>
    </row>
    <row r="723" ht="14.25" hidden="1" customHeight="1">
      <c r="A723" s="3" t="s">
        <v>4175</v>
      </c>
      <c r="B723" s="3">
        <v>6.8433275901113E13</v>
      </c>
      <c r="C723" s="3">
        <v>488.0</v>
      </c>
      <c r="D723" s="3">
        <v>10.0</v>
      </c>
    </row>
    <row r="724" ht="14.25" hidden="1" customHeight="1">
      <c r="A724" s="3" t="s">
        <v>4177</v>
      </c>
      <c r="B724" s="3">
        <v>6.8433276883711E13</v>
      </c>
      <c r="C724" s="3">
        <v>488.0</v>
      </c>
      <c r="D724" s="3">
        <v>10.0</v>
      </c>
    </row>
    <row r="725" ht="14.25" hidden="1" customHeight="1">
      <c r="A725" s="3" t="s">
        <v>4178</v>
      </c>
      <c r="B725" s="3">
        <v>6.8433278516107E13</v>
      </c>
      <c r="C725" s="3">
        <v>488.0</v>
      </c>
      <c r="D725" s="3">
        <v>10.0</v>
      </c>
    </row>
    <row r="726" ht="14.25" hidden="1" customHeight="1">
      <c r="A726" s="3" t="s">
        <v>4179</v>
      </c>
      <c r="B726" s="3">
        <v>6.843328016172E13</v>
      </c>
      <c r="C726" s="3">
        <v>488.0</v>
      </c>
      <c r="D726" s="3">
        <v>10.0</v>
      </c>
    </row>
    <row r="727" ht="14.25" customHeight="1">
      <c r="A727" s="3" t="s">
        <v>4180</v>
      </c>
      <c r="B727" s="3">
        <v>6.8433281942863E13</v>
      </c>
      <c r="C727" s="3">
        <v>13015.0</v>
      </c>
      <c r="D727" s="3">
        <v>18.0</v>
      </c>
    </row>
    <row r="728" ht="14.25" customHeight="1">
      <c r="A728" s="3" t="s">
        <v>4181</v>
      </c>
      <c r="B728" s="3">
        <v>6.8433283717553E13</v>
      </c>
      <c r="C728" s="3">
        <v>13015.0</v>
      </c>
      <c r="D728" s="3">
        <v>18.0</v>
      </c>
    </row>
    <row r="729" ht="14.25" customHeight="1">
      <c r="A729" s="3" t="s">
        <v>4182</v>
      </c>
      <c r="B729" s="3">
        <v>6.8433285199445E13</v>
      </c>
      <c r="C729" s="3">
        <v>12862.0</v>
      </c>
      <c r="D729" s="3">
        <v>19.0</v>
      </c>
    </row>
    <row r="730" ht="14.25" customHeight="1">
      <c r="A730" s="3" t="s">
        <v>4183</v>
      </c>
      <c r="B730" s="3">
        <v>6.8433336255939E13</v>
      </c>
      <c r="C730" s="3">
        <v>42300.0</v>
      </c>
      <c r="D730" s="3">
        <v>1.0</v>
      </c>
    </row>
    <row r="731" ht="14.25" customHeight="1">
      <c r="A731" s="3" t="s">
        <v>4184</v>
      </c>
      <c r="B731" s="3">
        <v>6.8433337529096E13</v>
      </c>
      <c r="C731" s="3">
        <v>52813.0</v>
      </c>
      <c r="D731" s="3">
        <v>1.0</v>
      </c>
    </row>
    <row r="732" ht="14.25" hidden="1" customHeight="1">
      <c r="A732" s="3" t="s">
        <v>4185</v>
      </c>
      <c r="B732" s="3">
        <v>6.8433340544078E13</v>
      </c>
      <c r="C732" s="3">
        <v>16114.0</v>
      </c>
      <c r="D732" s="3">
        <v>1.0</v>
      </c>
    </row>
    <row r="733" ht="14.25" hidden="1" customHeight="1">
      <c r="A733" s="3" t="s">
        <v>4186</v>
      </c>
      <c r="B733" s="3">
        <v>6.8433354409679E13</v>
      </c>
      <c r="C733" s="3">
        <v>19745.0</v>
      </c>
      <c r="D733" s="3">
        <v>1.0</v>
      </c>
    </row>
    <row r="734" ht="14.25" hidden="1" customHeight="1">
      <c r="A734" s="3" t="s">
        <v>4187</v>
      </c>
      <c r="B734" s="3">
        <v>6.8433359013019E13</v>
      </c>
      <c r="C734" s="3">
        <v>6043.0</v>
      </c>
      <c r="D734" s="3">
        <v>1.0</v>
      </c>
    </row>
    <row r="735" ht="14.25" hidden="1" customHeight="1">
      <c r="A735" s="3" t="s">
        <v>4188</v>
      </c>
      <c r="B735" s="3">
        <v>6.8433360148837E13</v>
      </c>
      <c r="C735" s="3">
        <v>3021.0</v>
      </c>
      <c r="D735" s="3">
        <v>1.0</v>
      </c>
    </row>
    <row r="736" ht="14.25" hidden="1" customHeight="1">
      <c r="A736" s="3" t="s">
        <v>16100</v>
      </c>
      <c r="B736" s="3">
        <v>68460.0</v>
      </c>
      <c r="C736" s="3">
        <v>0.0</v>
      </c>
      <c r="D736" s="3">
        <v>3.0</v>
      </c>
    </row>
    <row r="737" ht="14.25" hidden="1" customHeight="1">
      <c r="A737" s="3" t="s">
        <v>2833</v>
      </c>
      <c r="B737" s="3">
        <v>6.8540048936286E13</v>
      </c>
      <c r="C737" s="3">
        <v>4680.0</v>
      </c>
      <c r="D737" s="3">
        <v>639.0</v>
      </c>
    </row>
    <row r="738" ht="14.25" hidden="1" customHeight="1">
      <c r="A738" s="3" t="s">
        <v>2475</v>
      </c>
      <c r="B738" s="3">
        <v>6.8540051413139E13</v>
      </c>
      <c r="C738" s="3">
        <v>4759.0</v>
      </c>
      <c r="D738" s="3">
        <v>987.0</v>
      </c>
    </row>
    <row r="739" ht="14.25" customHeight="1">
      <c r="A739" s="3" t="s">
        <v>4189</v>
      </c>
      <c r="B739" s="3">
        <v>6.8617959527128E13</v>
      </c>
      <c r="C739" s="3">
        <v>12471.0</v>
      </c>
      <c r="D739" s="3">
        <v>20.0</v>
      </c>
    </row>
    <row r="740" ht="14.25" hidden="1" customHeight="1">
      <c r="A740" s="3" t="s">
        <v>4190</v>
      </c>
      <c r="B740" s="3">
        <v>6.861798004916E13</v>
      </c>
      <c r="C740" s="3">
        <v>25452.0</v>
      </c>
      <c r="D740" s="3">
        <v>1.0</v>
      </c>
    </row>
    <row r="741" ht="14.25" hidden="1" customHeight="1">
      <c r="A741" s="3" t="s">
        <v>4191</v>
      </c>
      <c r="B741" s="3">
        <v>6.8617981173073E13</v>
      </c>
      <c r="C741" s="3">
        <v>35632.0</v>
      </c>
      <c r="D741" s="3">
        <v>1.0</v>
      </c>
    </row>
    <row r="742" ht="14.25" hidden="1" customHeight="1">
      <c r="A742" s="3" t="s">
        <v>4192</v>
      </c>
      <c r="B742" s="3">
        <v>6.8617982138107E13</v>
      </c>
      <c r="C742" s="3">
        <v>24603.0</v>
      </c>
      <c r="D742" s="3">
        <v>1.0</v>
      </c>
    </row>
    <row r="743" ht="14.25" hidden="1" customHeight="1">
      <c r="A743" s="3" t="s">
        <v>4193</v>
      </c>
      <c r="B743" s="3">
        <v>6.8617983132574E13</v>
      </c>
      <c r="C743" s="3">
        <v>22058.0</v>
      </c>
      <c r="D743" s="3">
        <v>1.0</v>
      </c>
    </row>
    <row r="744" ht="14.25" hidden="1" customHeight="1">
      <c r="A744" s="3" t="s">
        <v>4194</v>
      </c>
      <c r="B744" s="3">
        <v>6.8617984529773E13</v>
      </c>
      <c r="C744" s="3">
        <v>2545.0</v>
      </c>
      <c r="D744" s="3">
        <v>4.0</v>
      </c>
    </row>
    <row r="745" ht="14.25" hidden="1" customHeight="1">
      <c r="A745" s="3" t="s">
        <v>4195</v>
      </c>
      <c r="B745" s="3">
        <v>6.8617985384626E13</v>
      </c>
      <c r="C745" s="3">
        <v>3394.0</v>
      </c>
      <c r="D745" s="3">
        <v>1.0</v>
      </c>
    </row>
    <row r="746" ht="14.25" hidden="1" customHeight="1">
      <c r="A746" s="3" t="s">
        <v>4196</v>
      </c>
      <c r="B746" s="3">
        <v>6.861798625071E13</v>
      </c>
      <c r="C746" s="3">
        <v>6787.0</v>
      </c>
      <c r="D746" s="3">
        <v>1.0</v>
      </c>
    </row>
    <row r="747" ht="14.25" hidden="1" customHeight="1">
      <c r="A747" s="3" t="s">
        <v>16101</v>
      </c>
      <c r="B747" s="3">
        <v>6.8658866289861E13</v>
      </c>
      <c r="C747" s="3">
        <v>5705.0</v>
      </c>
      <c r="D747" s="3">
        <v>2144.0</v>
      </c>
    </row>
    <row r="748" ht="14.25" hidden="1" customHeight="1">
      <c r="A748" s="3" t="s">
        <v>2477</v>
      </c>
      <c r="B748" s="3">
        <v>6.8658868763602E13</v>
      </c>
      <c r="C748" s="3">
        <v>5686.0</v>
      </c>
      <c r="D748" s="3">
        <v>2247.0</v>
      </c>
    </row>
    <row r="749" ht="14.25" hidden="1" customHeight="1">
      <c r="A749" s="3" t="s">
        <v>4199</v>
      </c>
      <c r="B749" s="3">
        <v>6.8911622143156E13</v>
      </c>
      <c r="C749" s="3">
        <v>3226.0</v>
      </c>
      <c r="D749" s="3">
        <v>1.0</v>
      </c>
    </row>
    <row r="750" ht="14.25" hidden="1" customHeight="1">
      <c r="A750" s="3" t="s">
        <v>4200</v>
      </c>
      <c r="B750" s="3">
        <v>6.8911624368184E13</v>
      </c>
      <c r="C750" s="3">
        <v>6175.0</v>
      </c>
      <c r="D750" s="3">
        <v>1.0</v>
      </c>
    </row>
    <row r="751" ht="14.25" hidden="1" customHeight="1">
      <c r="A751" s="3" t="s">
        <v>4201</v>
      </c>
      <c r="B751" s="3">
        <v>6.8911626126569E13</v>
      </c>
      <c r="C751" s="3">
        <v>461.0</v>
      </c>
      <c r="D751" s="3">
        <v>2.0</v>
      </c>
    </row>
    <row r="752" ht="14.25" hidden="1" customHeight="1">
      <c r="A752" s="3" t="s">
        <v>16102</v>
      </c>
      <c r="B752" s="3">
        <v>6.902221293046E12</v>
      </c>
      <c r="C752" s="3">
        <v>3760.0</v>
      </c>
      <c r="D752" s="3">
        <v>5.0</v>
      </c>
    </row>
    <row r="753" ht="14.25" hidden="1" customHeight="1">
      <c r="A753" s="3" t="s">
        <v>4202</v>
      </c>
      <c r="B753" s="3">
        <v>6.902221296276E12</v>
      </c>
      <c r="C753" s="3">
        <v>1570.0</v>
      </c>
      <c r="D753" s="3">
        <v>4.0</v>
      </c>
    </row>
    <row r="754" ht="14.25" hidden="1" customHeight="1">
      <c r="A754" s="3" t="s">
        <v>4203</v>
      </c>
      <c r="B754" s="3">
        <v>6.902221296382E12</v>
      </c>
      <c r="C754" s="3">
        <v>1570.0</v>
      </c>
      <c r="D754" s="3">
        <v>1.0</v>
      </c>
    </row>
    <row r="755" ht="14.25" hidden="1" customHeight="1">
      <c r="A755" s="3" t="s">
        <v>4204</v>
      </c>
      <c r="B755" s="3">
        <v>6.902221297877E12</v>
      </c>
      <c r="C755" s="3">
        <v>5223.0</v>
      </c>
      <c r="D755" s="3">
        <v>43.0</v>
      </c>
    </row>
    <row r="756" ht="14.25" hidden="1" customHeight="1">
      <c r="A756" s="3" t="s">
        <v>3102</v>
      </c>
      <c r="B756" s="3">
        <v>6.902221297884E12</v>
      </c>
      <c r="C756" s="3">
        <v>4722.0</v>
      </c>
      <c r="D756" s="3">
        <v>9.0</v>
      </c>
    </row>
    <row r="757" ht="14.25" hidden="1" customHeight="1">
      <c r="A757" s="3" t="s">
        <v>16103</v>
      </c>
      <c r="B757" s="3">
        <v>6.902221297907E12</v>
      </c>
      <c r="C757" s="3">
        <v>4722.0</v>
      </c>
      <c r="D757" s="3">
        <v>7.0</v>
      </c>
    </row>
    <row r="758" ht="14.25" hidden="1" customHeight="1">
      <c r="A758" s="3" t="s">
        <v>16104</v>
      </c>
      <c r="B758" s="3">
        <v>6.902221311054E12</v>
      </c>
      <c r="C758" s="3">
        <v>16381.0</v>
      </c>
      <c r="D758" s="3">
        <v>1.0</v>
      </c>
    </row>
    <row r="759" ht="14.25" hidden="1" customHeight="1">
      <c r="A759" s="3" t="s">
        <v>4205</v>
      </c>
      <c r="B759" s="3">
        <v>6.902221314598E12</v>
      </c>
      <c r="C759" s="3">
        <v>2517.0</v>
      </c>
      <c r="D759" s="3">
        <v>1.0</v>
      </c>
    </row>
    <row r="760" ht="14.25" hidden="1" customHeight="1">
      <c r="A760" s="3" t="s">
        <v>16105</v>
      </c>
      <c r="B760" s="3">
        <v>6.902221314901E12</v>
      </c>
      <c r="C760" s="3">
        <v>3671.0</v>
      </c>
      <c r="D760" s="3">
        <v>3.0</v>
      </c>
    </row>
    <row r="761" ht="14.25" hidden="1" customHeight="1">
      <c r="A761" s="3" t="s">
        <v>16106</v>
      </c>
      <c r="B761" s="3">
        <v>6.902221315069E12</v>
      </c>
      <c r="C761" s="3">
        <v>7873.0</v>
      </c>
      <c r="D761" s="3">
        <v>1.0</v>
      </c>
    </row>
    <row r="762" ht="14.25" hidden="1" customHeight="1">
      <c r="A762" s="3" t="s">
        <v>2834</v>
      </c>
      <c r="B762" s="3">
        <v>6.902221315267E12</v>
      </c>
      <c r="C762" s="3">
        <v>4196.0</v>
      </c>
      <c r="D762" s="3">
        <v>1.0</v>
      </c>
    </row>
    <row r="763" ht="14.25" hidden="1" customHeight="1">
      <c r="A763" s="3" t="s">
        <v>16107</v>
      </c>
      <c r="B763" s="3">
        <v>6.902221315359E12</v>
      </c>
      <c r="C763" s="3">
        <v>9974.0</v>
      </c>
      <c r="D763" s="3">
        <v>2.0</v>
      </c>
    </row>
    <row r="764" ht="14.25" hidden="1" customHeight="1">
      <c r="A764" s="3" t="s">
        <v>4206</v>
      </c>
      <c r="B764" s="3">
        <v>6.902221316967E12</v>
      </c>
      <c r="C764" s="3">
        <v>2516.0</v>
      </c>
      <c r="D764" s="3">
        <v>24.0</v>
      </c>
    </row>
    <row r="765" ht="14.25" hidden="1" customHeight="1">
      <c r="A765" s="3" t="s">
        <v>4207</v>
      </c>
      <c r="B765" s="3">
        <v>6.902221317032E12</v>
      </c>
      <c r="C765" s="3">
        <v>2516.0</v>
      </c>
      <c r="D765" s="3">
        <v>8.0</v>
      </c>
    </row>
    <row r="766" ht="14.25" hidden="1" customHeight="1">
      <c r="A766" s="3" t="s">
        <v>4208</v>
      </c>
      <c r="B766" s="3">
        <v>6.902221317094E12</v>
      </c>
      <c r="C766" s="3">
        <v>2516.0</v>
      </c>
      <c r="D766" s="3">
        <v>4.0</v>
      </c>
    </row>
    <row r="767" ht="14.25" hidden="1" customHeight="1">
      <c r="A767" s="3" t="s">
        <v>16108</v>
      </c>
      <c r="B767" s="3">
        <v>6.902221318312E12</v>
      </c>
      <c r="C767" s="3">
        <v>7172.0</v>
      </c>
      <c r="D767" s="3">
        <v>3.0</v>
      </c>
    </row>
    <row r="768" ht="14.25" hidden="1" customHeight="1">
      <c r="A768" s="3" t="s">
        <v>16109</v>
      </c>
      <c r="B768" s="3">
        <v>6.902221318329E12</v>
      </c>
      <c r="C768" s="3">
        <v>6822.0</v>
      </c>
      <c r="D768" s="3">
        <v>2.0</v>
      </c>
    </row>
    <row r="769" ht="14.25" hidden="1" customHeight="1">
      <c r="A769" s="3" t="s">
        <v>16110</v>
      </c>
      <c r="B769" s="3">
        <v>6.902221318398E12</v>
      </c>
      <c r="C769" s="3">
        <v>4081.0</v>
      </c>
      <c r="D769" s="3">
        <v>1.0</v>
      </c>
    </row>
    <row r="770" ht="14.25" hidden="1" customHeight="1">
      <c r="A770" s="3" t="s">
        <v>16111</v>
      </c>
      <c r="B770" s="3">
        <v>6.902221318527E12</v>
      </c>
      <c r="C770" s="3">
        <v>4722.0</v>
      </c>
      <c r="D770" s="3">
        <v>1.0</v>
      </c>
    </row>
    <row r="771" ht="14.25" hidden="1" customHeight="1">
      <c r="A771" s="3" t="s">
        <v>3388</v>
      </c>
      <c r="B771" s="3">
        <v>6.902221318633E12</v>
      </c>
      <c r="C771" s="3">
        <v>5687.0</v>
      </c>
      <c r="D771" s="3">
        <v>80.0</v>
      </c>
    </row>
    <row r="772" ht="14.25" hidden="1" customHeight="1">
      <c r="A772" s="3" t="s">
        <v>16112</v>
      </c>
      <c r="B772" s="3">
        <v>6.902221318657E12</v>
      </c>
      <c r="C772" s="3">
        <v>5247.0</v>
      </c>
      <c r="D772" s="3">
        <v>18.0</v>
      </c>
    </row>
    <row r="773" ht="14.25" hidden="1" customHeight="1">
      <c r="A773" s="3" t="s">
        <v>2478</v>
      </c>
      <c r="B773" s="3">
        <v>6.902221318688E12</v>
      </c>
      <c r="C773" s="3">
        <v>8923.0</v>
      </c>
      <c r="D773" s="3">
        <v>32.0</v>
      </c>
    </row>
    <row r="774" ht="14.25" hidden="1" customHeight="1">
      <c r="A774" s="3" t="s">
        <v>4209</v>
      </c>
      <c r="B774" s="3">
        <v>6.902221318817E12</v>
      </c>
      <c r="C774" s="3">
        <v>4087.0</v>
      </c>
      <c r="D774" s="3">
        <v>2.0</v>
      </c>
    </row>
    <row r="775" ht="14.25" hidden="1" customHeight="1">
      <c r="A775" s="3" t="s">
        <v>16113</v>
      </c>
      <c r="B775" s="3">
        <v>6.902221318954E12</v>
      </c>
      <c r="C775" s="3">
        <v>1570.0</v>
      </c>
      <c r="D775" s="3">
        <v>1.0</v>
      </c>
    </row>
    <row r="776" ht="14.25" hidden="1" customHeight="1">
      <c r="A776" s="3" t="s">
        <v>4210</v>
      </c>
      <c r="B776" s="3">
        <v>6.902221319104E12</v>
      </c>
      <c r="C776" s="3">
        <v>2516.0</v>
      </c>
      <c r="D776" s="3">
        <v>6.0</v>
      </c>
    </row>
    <row r="777" ht="14.25" hidden="1" customHeight="1">
      <c r="A777" s="3" t="s">
        <v>4211</v>
      </c>
      <c r="B777" s="3">
        <v>6.902221319111E12</v>
      </c>
      <c r="C777" s="3">
        <v>2516.0</v>
      </c>
      <c r="D777" s="3">
        <v>8.0</v>
      </c>
    </row>
    <row r="778" ht="14.25" hidden="1" customHeight="1">
      <c r="A778" s="3" t="s">
        <v>16114</v>
      </c>
      <c r="B778" s="3">
        <v>6.902221322319E12</v>
      </c>
      <c r="C778" s="3">
        <v>14742.0</v>
      </c>
      <c r="D778" s="3">
        <v>2.0</v>
      </c>
    </row>
    <row r="779" ht="14.25" hidden="1" customHeight="1">
      <c r="A779" s="3" t="s">
        <v>4212</v>
      </c>
      <c r="B779" s="3">
        <v>6.902221322814E12</v>
      </c>
      <c r="C779" s="3">
        <v>2516.0</v>
      </c>
      <c r="D779" s="3">
        <v>9.0</v>
      </c>
    </row>
    <row r="780" ht="14.25" hidden="1" customHeight="1">
      <c r="A780" s="3" t="s">
        <v>4213</v>
      </c>
      <c r="B780" s="3">
        <v>6.902221322838E12</v>
      </c>
      <c r="C780" s="3">
        <v>2516.0</v>
      </c>
      <c r="D780" s="3">
        <v>17.0</v>
      </c>
    </row>
    <row r="781" ht="14.25" hidden="1" customHeight="1">
      <c r="A781" s="3" t="s">
        <v>4214</v>
      </c>
      <c r="B781" s="3">
        <v>6.902221322845E12</v>
      </c>
      <c r="C781" s="3">
        <v>2516.0</v>
      </c>
      <c r="D781" s="3">
        <v>3.0</v>
      </c>
    </row>
    <row r="782" ht="14.25" hidden="1" customHeight="1">
      <c r="A782" s="3" t="s">
        <v>4215</v>
      </c>
      <c r="B782" s="3">
        <v>6.902221322852E12</v>
      </c>
      <c r="C782" s="3">
        <v>2516.0</v>
      </c>
      <c r="D782" s="3">
        <v>16.0</v>
      </c>
    </row>
    <row r="783" ht="14.25" hidden="1" customHeight="1">
      <c r="A783" s="3" t="s">
        <v>4216</v>
      </c>
      <c r="B783" s="3">
        <v>6.902221322883E12</v>
      </c>
      <c r="C783" s="3">
        <v>2516.0</v>
      </c>
      <c r="D783" s="3">
        <v>20.0</v>
      </c>
    </row>
    <row r="784" ht="14.25" hidden="1" customHeight="1">
      <c r="A784" s="3" t="s">
        <v>4217</v>
      </c>
      <c r="B784" s="3">
        <v>6.902221322937E12</v>
      </c>
      <c r="C784" s="3">
        <v>2516.0</v>
      </c>
      <c r="D784" s="3">
        <v>41.0</v>
      </c>
    </row>
    <row r="785" ht="14.25" hidden="1" customHeight="1">
      <c r="A785" s="3" t="s">
        <v>4218</v>
      </c>
      <c r="B785" s="3">
        <v>6.902221322944E12</v>
      </c>
      <c r="C785" s="3">
        <v>2516.0</v>
      </c>
      <c r="D785" s="3">
        <v>27.0</v>
      </c>
    </row>
    <row r="786" ht="14.25" hidden="1" customHeight="1">
      <c r="A786" s="3" t="s">
        <v>4219</v>
      </c>
      <c r="B786" s="3">
        <v>6.902221323545E12</v>
      </c>
      <c r="C786" s="3">
        <v>2516.0</v>
      </c>
      <c r="D786" s="3">
        <v>3.0</v>
      </c>
    </row>
    <row r="787" ht="14.25" hidden="1" customHeight="1">
      <c r="A787" s="3" t="s">
        <v>16115</v>
      </c>
      <c r="B787" s="3">
        <v>6.902221323552E12</v>
      </c>
      <c r="C787" s="3">
        <v>2516.0</v>
      </c>
      <c r="D787" s="3">
        <v>8.0</v>
      </c>
    </row>
    <row r="788" ht="14.25" hidden="1" customHeight="1">
      <c r="A788" s="3" t="s">
        <v>4220</v>
      </c>
      <c r="B788" s="3">
        <v>6.902221324078E12</v>
      </c>
      <c r="C788" s="3">
        <v>2516.0</v>
      </c>
      <c r="D788" s="3">
        <v>14.0</v>
      </c>
    </row>
    <row r="789" ht="14.25" hidden="1" customHeight="1">
      <c r="A789" s="3" t="s">
        <v>4221</v>
      </c>
      <c r="B789" s="3">
        <v>6.902221324641E12</v>
      </c>
      <c r="C789" s="3">
        <v>3671.0</v>
      </c>
      <c r="D789" s="3">
        <v>1.0</v>
      </c>
    </row>
    <row r="790" ht="14.25" hidden="1" customHeight="1">
      <c r="A790" s="3" t="s">
        <v>16116</v>
      </c>
      <c r="B790" s="3">
        <v>6.902221325709E12</v>
      </c>
      <c r="C790" s="3">
        <v>9449.0</v>
      </c>
      <c r="D790" s="3">
        <v>3.0</v>
      </c>
    </row>
    <row r="791" ht="14.25" hidden="1" customHeight="1">
      <c r="A791" s="3" t="s">
        <v>4222</v>
      </c>
      <c r="B791" s="3">
        <v>6.902221325891E12</v>
      </c>
      <c r="C791" s="3">
        <v>3671.0</v>
      </c>
      <c r="D791" s="3">
        <v>1.0</v>
      </c>
    </row>
    <row r="792" ht="14.25" hidden="1" customHeight="1">
      <c r="A792" s="3" t="s">
        <v>16117</v>
      </c>
      <c r="B792" s="3">
        <v>6.902221325907E12</v>
      </c>
      <c r="C792" s="3">
        <v>2096.0</v>
      </c>
      <c r="D792" s="3">
        <v>11.0</v>
      </c>
    </row>
    <row r="793" ht="14.25" hidden="1" customHeight="1">
      <c r="A793" s="3" t="s">
        <v>16118</v>
      </c>
      <c r="B793" s="3">
        <v>6.902221325914E12</v>
      </c>
      <c r="C793" s="3">
        <v>5247.0</v>
      </c>
      <c r="D793" s="3">
        <v>2.0</v>
      </c>
    </row>
    <row r="794" ht="14.25" hidden="1" customHeight="1">
      <c r="A794" s="3" t="s">
        <v>16119</v>
      </c>
      <c r="B794" s="3">
        <v>6.902221325969E12</v>
      </c>
      <c r="C794" s="3">
        <v>14728.0</v>
      </c>
      <c r="D794" s="3">
        <v>3.0</v>
      </c>
    </row>
    <row r="795" ht="14.25" hidden="1" customHeight="1">
      <c r="A795" s="3" t="s">
        <v>16120</v>
      </c>
      <c r="B795" s="3">
        <v>6.902221326102E12</v>
      </c>
      <c r="C795" s="3">
        <v>6822.0</v>
      </c>
      <c r="D795" s="3">
        <v>8.0</v>
      </c>
    </row>
    <row r="796" ht="14.25" hidden="1" customHeight="1">
      <c r="A796" s="3" t="s">
        <v>4223</v>
      </c>
      <c r="B796" s="3">
        <v>6.902221326225E12</v>
      </c>
      <c r="C796" s="3">
        <v>3671.0</v>
      </c>
      <c r="D796" s="3">
        <v>8.0</v>
      </c>
    </row>
    <row r="797" ht="14.25" hidden="1" customHeight="1">
      <c r="A797" s="3" t="s">
        <v>4224</v>
      </c>
      <c r="B797" s="3">
        <v>6.902221326232E12</v>
      </c>
      <c r="C797" s="3">
        <v>4722.0</v>
      </c>
      <c r="D797" s="3">
        <v>6.0</v>
      </c>
    </row>
    <row r="798" ht="14.25" hidden="1" customHeight="1">
      <c r="A798" s="3" t="s">
        <v>16121</v>
      </c>
      <c r="B798" s="3">
        <v>6.902221327284E12</v>
      </c>
      <c r="C798" s="3">
        <v>6822.0</v>
      </c>
      <c r="D798" s="3">
        <v>6.0</v>
      </c>
    </row>
    <row r="799" ht="14.25" hidden="1" customHeight="1">
      <c r="A799" s="3" t="s">
        <v>16122</v>
      </c>
      <c r="B799" s="3">
        <v>6.902221328984E12</v>
      </c>
      <c r="C799" s="3">
        <v>5247.0</v>
      </c>
      <c r="D799" s="3">
        <v>1.0</v>
      </c>
    </row>
    <row r="800" ht="14.25" hidden="1" customHeight="1">
      <c r="A800" s="3" t="s">
        <v>3516</v>
      </c>
      <c r="B800" s="3">
        <v>6.902221332998E12</v>
      </c>
      <c r="C800" s="3">
        <v>5247.0</v>
      </c>
      <c r="D800" s="3">
        <v>2.0</v>
      </c>
    </row>
    <row r="801" ht="14.25" hidden="1" customHeight="1">
      <c r="A801" s="3" t="s">
        <v>16123</v>
      </c>
      <c r="B801" s="3">
        <v>6.902221335166E12</v>
      </c>
      <c r="C801" s="3">
        <v>6822.0</v>
      </c>
      <c r="D801" s="3">
        <v>2.0</v>
      </c>
    </row>
    <row r="802" ht="14.25" hidden="1" customHeight="1">
      <c r="A802" s="3" t="s">
        <v>2837</v>
      </c>
      <c r="B802" s="3">
        <v>6.902221335227E12</v>
      </c>
      <c r="C802" s="3">
        <v>9449.0</v>
      </c>
      <c r="D802" s="3">
        <v>1.0</v>
      </c>
    </row>
    <row r="803" ht="14.25" hidden="1" customHeight="1">
      <c r="A803" s="3" t="s">
        <v>4225</v>
      </c>
      <c r="B803" s="3">
        <v>6.902221335241E12</v>
      </c>
      <c r="C803" s="3">
        <v>7873.0</v>
      </c>
      <c r="D803" s="3">
        <v>3.0</v>
      </c>
    </row>
    <row r="804" ht="14.25" hidden="1" customHeight="1">
      <c r="A804" s="3" t="s">
        <v>4226</v>
      </c>
      <c r="B804" s="3">
        <v>6.902221335258E12</v>
      </c>
      <c r="C804" s="3">
        <v>7873.0</v>
      </c>
      <c r="D804" s="3">
        <v>4.0</v>
      </c>
    </row>
    <row r="805" ht="14.25" hidden="1" customHeight="1">
      <c r="A805" s="3" t="s">
        <v>4227</v>
      </c>
      <c r="B805" s="3">
        <v>6.902221341105E12</v>
      </c>
      <c r="C805" s="3">
        <v>2516.0</v>
      </c>
      <c r="D805" s="3">
        <v>5.0</v>
      </c>
    </row>
    <row r="806" ht="14.25" hidden="1" customHeight="1">
      <c r="A806" s="3" t="s">
        <v>4228</v>
      </c>
      <c r="B806" s="3">
        <v>6.902221341129E12</v>
      </c>
      <c r="C806" s="3">
        <v>2516.0</v>
      </c>
      <c r="D806" s="3">
        <v>11.0</v>
      </c>
    </row>
    <row r="807" ht="14.25" hidden="1" customHeight="1">
      <c r="A807" s="3" t="s">
        <v>4229</v>
      </c>
      <c r="B807" s="3">
        <v>6.902221341167E12</v>
      </c>
      <c r="C807" s="3">
        <v>1887.0</v>
      </c>
      <c r="D807" s="3">
        <v>4.0</v>
      </c>
    </row>
    <row r="808" ht="14.25" hidden="1" customHeight="1">
      <c r="A808" s="3" t="s">
        <v>4230</v>
      </c>
      <c r="B808" s="3">
        <v>6.902221341181E12</v>
      </c>
      <c r="C808" s="3">
        <v>2516.0</v>
      </c>
      <c r="D808" s="3">
        <v>43.0</v>
      </c>
    </row>
    <row r="809" ht="14.25" hidden="1" customHeight="1">
      <c r="A809" s="3" t="s">
        <v>4231</v>
      </c>
      <c r="B809" s="3">
        <v>6.902221341198E12</v>
      </c>
      <c r="C809" s="3">
        <v>2516.0</v>
      </c>
      <c r="D809" s="3">
        <v>10.0</v>
      </c>
    </row>
    <row r="810" ht="14.25" hidden="1" customHeight="1">
      <c r="A810" s="3" t="s">
        <v>4232</v>
      </c>
      <c r="B810" s="3">
        <v>6.902221341204E12</v>
      </c>
      <c r="C810" s="3">
        <v>2516.0</v>
      </c>
      <c r="D810" s="3">
        <v>9.0</v>
      </c>
    </row>
    <row r="811" ht="14.25" hidden="1" customHeight="1">
      <c r="A811" s="3" t="s">
        <v>4233</v>
      </c>
      <c r="B811" s="3">
        <v>6.902221341228E12</v>
      </c>
      <c r="C811" s="3">
        <v>2516.0</v>
      </c>
      <c r="D811" s="3">
        <v>2.0</v>
      </c>
    </row>
    <row r="812" ht="14.25" hidden="1" customHeight="1">
      <c r="A812" s="3" t="s">
        <v>4234</v>
      </c>
      <c r="B812" s="3">
        <v>6.902221341235E12</v>
      </c>
      <c r="C812" s="3">
        <v>2516.0</v>
      </c>
      <c r="D812" s="3">
        <v>5.0</v>
      </c>
    </row>
    <row r="813" ht="14.25" hidden="1" customHeight="1">
      <c r="A813" s="3" t="s">
        <v>4235</v>
      </c>
      <c r="B813" s="3">
        <v>6.902221341983E12</v>
      </c>
      <c r="C813" s="3">
        <v>2516.0</v>
      </c>
      <c r="D813" s="3">
        <v>14.0</v>
      </c>
    </row>
    <row r="814" ht="14.25" hidden="1" customHeight="1">
      <c r="A814" s="3" t="s">
        <v>4236</v>
      </c>
      <c r="B814" s="3">
        <v>6.902221342003E12</v>
      </c>
      <c r="C814" s="3">
        <v>2516.0</v>
      </c>
      <c r="D814" s="3">
        <v>7.0</v>
      </c>
    </row>
    <row r="815" ht="14.25" hidden="1" customHeight="1">
      <c r="A815" s="3" t="s">
        <v>4237</v>
      </c>
      <c r="B815" s="3">
        <v>6.902221342027E12</v>
      </c>
      <c r="C815" s="3">
        <v>2516.0</v>
      </c>
      <c r="D815" s="3">
        <v>9.0</v>
      </c>
    </row>
    <row r="816" ht="14.25" hidden="1" customHeight="1">
      <c r="A816" s="3" t="s">
        <v>4238</v>
      </c>
      <c r="B816" s="3">
        <v>6.902221342034E12</v>
      </c>
      <c r="C816" s="3">
        <v>2516.0</v>
      </c>
      <c r="D816" s="3">
        <v>3.0</v>
      </c>
    </row>
    <row r="817" ht="14.25" hidden="1" customHeight="1">
      <c r="A817" s="3" t="s">
        <v>4239</v>
      </c>
      <c r="B817" s="3">
        <v>6.902221342058E12</v>
      </c>
      <c r="C817" s="3">
        <v>2516.0</v>
      </c>
      <c r="D817" s="3">
        <v>12.0</v>
      </c>
    </row>
    <row r="818" ht="14.25" hidden="1" customHeight="1">
      <c r="A818" s="3" t="s">
        <v>4240</v>
      </c>
      <c r="B818" s="3">
        <v>6.902221342089E12</v>
      </c>
      <c r="C818" s="3">
        <v>2516.0</v>
      </c>
      <c r="D818" s="3">
        <v>19.0</v>
      </c>
    </row>
    <row r="819" ht="14.25" hidden="1" customHeight="1">
      <c r="A819" s="3" t="s">
        <v>16124</v>
      </c>
      <c r="B819" s="3">
        <v>6.902221342492E12</v>
      </c>
      <c r="C819" s="3">
        <v>6550.0</v>
      </c>
      <c r="D819" s="3">
        <v>6.0</v>
      </c>
    </row>
    <row r="820" ht="14.25" hidden="1" customHeight="1">
      <c r="A820" s="3" t="s">
        <v>4241</v>
      </c>
      <c r="B820" s="3">
        <v>6.902221342553E12</v>
      </c>
      <c r="C820" s="3">
        <v>6550.0</v>
      </c>
      <c r="D820" s="3">
        <v>7.0</v>
      </c>
    </row>
    <row r="821" ht="14.25" hidden="1" customHeight="1">
      <c r="A821" s="3" t="s">
        <v>4242</v>
      </c>
      <c r="B821" s="3">
        <v>6.902221342591E12</v>
      </c>
      <c r="C821" s="3">
        <v>2516.0</v>
      </c>
      <c r="D821" s="3">
        <v>26.0</v>
      </c>
    </row>
    <row r="822" ht="14.25" hidden="1" customHeight="1">
      <c r="A822" s="3" t="s">
        <v>3389</v>
      </c>
      <c r="B822" s="3">
        <v>6.902221342614E12</v>
      </c>
      <c r="C822" s="3">
        <v>2516.0</v>
      </c>
      <c r="D822" s="3">
        <v>11.0</v>
      </c>
    </row>
    <row r="823" ht="14.25" hidden="1" customHeight="1">
      <c r="A823" s="3" t="s">
        <v>4243</v>
      </c>
      <c r="B823" s="3">
        <v>6.902221342621E12</v>
      </c>
      <c r="C823" s="3">
        <v>2516.0</v>
      </c>
      <c r="D823" s="3">
        <v>14.0</v>
      </c>
    </row>
    <row r="824" ht="14.25" hidden="1" customHeight="1">
      <c r="A824" s="3" t="s">
        <v>4244</v>
      </c>
      <c r="B824" s="3">
        <v>6.902221342645E12</v>
      </c>
      <c r="C824" s="3">
        <v>2516.0</v>
      </c>
      <c r="D824" s="3">
        <v>11.0</v>
      </c>
    </row>
    <row r="825" ht="14.25" hidden="1" customHeight="1">
      <c r="A825" s="3" t="s">
        <v>4245</v>
      </c>
      <c r="B825" s="3">
        <v>6.902221342652E12</v>
      </c>
      <c r="C825" s="3">
        <v>2516.0</v>
      </c>
      <c r="D825" s="3">
        <v>8.0</v>
      </c>
    </row>
    <row r="826" ht="14.25" hidden="1" customHeight="1">
      <c r="A826" s="3" t="s">
        <v>4246</v>
      </c>
      <c r="B826" s="3">
        <v>6.902221342683E12</v>
      </c>
      <c r="C826" s="3">
        <v>2516.0</v>
      </c>
      <c r="D826" s="3">
        <v>10.0</v>
      </c>
    </row>
    <row r="827" ht="14.25" hidden="1" customHeight="1">
      <c r="A827" s="3" t="s">
        <v>16125</v>
      </c>
      <c r="B827" s="3">
        <v>6.902221345332E12</v>
      </c>
      <c r="C827" s="3">
        <v>10919.0</v>
      </c>
      <c r="D827" s="3">
        <v>1.0</v>
      </c>
    </row>
    <row r="828" ht="14.25" hidden="1" customHeight="1">
      <c r="A828" s="3" t="s">
        <v>16126</v>
      </c>
      <c r="B828" s="3">
        <v>6.902221355591E12</v>
      </c>
      <c r="C828" s="3">
        <v>16381.0</v>
      </c>
      <c r="D828" s="3">
        <v>1.0</v>
      </c>
    </row>
    <row r="829" ht="14.25" hidden="1" customHeight="1">
      <c r="A829" s="3" t="s">
        <v>16127</v>
      </c>
      <c r="B829" s="3">
        <v>6.902221356734E12</v>
      </c>
      <c r="C829" s="3">
        <v>13650.0</v>
      </c>
      <c r="D829" s="3">
        <v>3.0</v>
      </c>
    </row>
    <row r="830" ht="14.25" hidden="1" customHeight="1">
      <c r="A830" s="3" t="s">
        <v>16128</v>
      </c>
      <c r="B830" s="3">
        <v>6.902221356741E12</v>
      </c>
      <c r="C830" s="3">
        <v>17064.0</v>
      </c>
      <c r="D830" s="3">
        <v>3.0</v>
      </c>
    </row>
    <row r="831" ht="14.25" hidden="1" customHeight="1">
      <c r="A831" s="3" t="s">
        <v>16129</v>
      </c>
      <c r="B831" s="3">
        <v>6.902221386373E12</v>
      </c>
      <c r="C831" s="3">
        <v>0.0</v>
      </c>
      <c r="D831" s="3" t="s">
        <v>16130</v>
      </c>
    </row>
    <row r="832" ht="14.25" hidden="1" customHeight="1">
      <c r="A832" s="3" t="s">
        <v>16131</v>
      </c>
      <c r="B832" s="3">
        <v>6.902221390059E12</v>
      </c>
      <c r="C832" s="3">
        <v>49154.0</v>
      </c>
      <c r="D832" s="3">
        <v>1.0</v>
      </c>
    </row>
    <row r="833" ht="14.25" hidden="1" customHeight="1">
      <c r="A833" s="3" t="s">
        <v>16132</v>
      </c>
      <c r="B833" s="3">
        <v>6.903121324885E12</v>
      </c>
      <c r="C833" s="3">
        <v>6550.0</v>
      </c>
      <c r="D833" s="3">
        <v>2.0</v>
      </c>
    </row>
    <row r="834" ht="14.25" hidden="1" customHeight="1">
      <c r="A834" s="3" t="s">
        <v>4250</v>
      </c>
      <c r="B834" s="3">
        <v>6.903421324912E12</v>
      </c>
      <c r="C834" s="3">
        <v>2516.0</v>
      </c>
      <c r="D834" s="3">
        <v>15.0</v>
      </c>
    </row>
    <row r="835" ht="14.25" hidden="1" customHeight="1">
      <c r="A835" s="3" t="s">
        <v>4251</v>
      </c>
      <c r="B835" s="3">
        <v>6.909721325543E12</v>
      </c>
      <c r="C835" s="3">
        <v>3146.0</v>
      </c>
      <c r="D835" s="3">
        <v>1.0</v>
      </c>
    </row>
    <row r="836" ht="14.25" hidden="1" customHeight="1">
      <c r="A836" s="3" t="s">
        <v>16133</v>
      </c>
      <c r="B836" s="3">
        <v>6.934033796201E13</v>
      </c>
      <c r="C836" s="3">
        <v>48840.0</v>
      </c>
      <c r="D836" s="3">
        <v>19.0</v>
      </c>
    </row>
    <row r="837" ht="14.25" hidden="1" customHeight="1">
      <c r="A837" s="3" t="s">
        <v>16134</v>
      </c>
      <c r="B837" s="3">
        <v>6.9348994231884E13</v>
      </c>
      <c r="C837" s="3">
        <v>43538.0</v>
      </c>
      <c r="D837" s="3">
        <v>1.0</v>
      </c>
    </row>
    <row r="838" ht="14.25" hidden="1" customHeight="1">
      <c r="A838" s="3" t="s">
        <v>4253</v>
      </c>
      <c r="B838" s="3">
        <v>6.9348994953762E13</v>
      </c>
      <c r="C838" s="3">
        <v>154196.0</v>
      </c>
      <c r="D838" s="3">
        <v>1.0</v>
      </c>
    </row>
    <row r="839" ht="14.25" hidden="1" customHeight="1">
      <c r="A839" s="3" t="s">
        <v>4254</v>
      </c>
      <c r="B839" s="3">
        <v>6.9653484984761E13</v>
      </c>
      <c r="C839" s="3">
        <v>335.0</v>
      </c>
      <c r="D839" s="3">
        <v>120.0</v>
      </c>
    </row>
    <row r="840" ht="14.25" hidden="1" customHeight="1">
      <c r="A840" s="3" t="s">
        <v>4255</v>
      </c>
      <c r="B840" s="3">
        <v>6.9653486293127E13</v>
      </c>
      <c r="C840" s="3">
        <v>335.0</v>
      </c>
      <c r="D840" s="3">
        <v>118.0</v>
      </c>
    </row>
    <row r="841" ht="14.25" hidden="1" customHeight="1">
      <c r="A841" s="3" t="s">
        <v>4256</v>
      </c>
      <c r="B841" s="3">
        <v>6.9653487487038E13</v>
      </c>
      <c r="C841" s="3">
        <v>335.0</v>
      </c>
      <c r="D841" s="3">
        <v>114.0</v>
      </c>
    </row>
    <row r="842" ht="14.25" hidden="1" customHeight="1">
      <c r="A842" s="3" t="s">
        <v>4258</v>
      </c>
      <c r="B842" s="3">
        <v>6.9653491094344E13</v>
      </c>
      <c r="C842" s="3">
        <v>335.0</v>
      </c>
      <c r="D842" s="3">
        <v>48.0</v>
      </c>
    </row>
    <row r="843" ht="14.25" hidden="1" customHeight="1">
      <c r="A843" s="3" t="s">
        <v>4259</v>
      </c>
      <c r="B843" s="3">
        <v>6.9653492427642E13</v>
      </c>
      <c r="C843" s="3">
        <v>335.0</v>
      </c>
      <c r="D843" s="3">
        <v>48.0</v>
      </c>
    </row>
    <row r="844" ht="14.25" hidden="1" customHeight="1">
      <c r="A844" s="3" t="s">
        <v>4260</v>
      </c>
      <c r="B844" s="3">
        <v>6.965349388611E13</v>
      </c>
      <c r="C844" s="3">
        <v>335.0</v>
      </c>
      <c r="D844" s="3">
        <v>118.0</v>
      </c>
    </row>
    <row r="845" ht="14.25" hidden="1" customHeight="1">
      <c r="A845" s="3" t="s">
        <v>4261</v>
      </c>
      <c r="B845" s="3">
        <v>6.9653495999708E13</v>
      </c>
      <c r="C845" s="3">
        <v>335.0</v>
      </c>
      <c r="D845" s="3">
        <v>85.0</v>
      </c>
    </row>
    <row r="846" ht="14.25" hidden="1" customHeight="1">
      <c r="A846" s="3" t="s">
        <v>4262</v>
      </c>
      <c r="B846" s="3">
        <v>6.9653497087357E13</v>
      </c>
      <c r="C846" s="3">
        <v>335.0</v>
      </c>
      <c r="D846" s="3">
        <v>48.0</v>
      </c>
    </row>
    <row r="847" ht="14.25" hidden="1" customHeight="1">
      <c r="A847" s="3" t="s">
        <v>4263</v>
      </c>
      <c r="B847" s="3">
        <v>6.9653596768424E13</v>
      </c>
      <c r="C847" s="3">
        <v>50.0</v>
      </c>
      <c r="D847" s="3">
        <v>5000.0</v>
      </c>
    </row>
    <row r="848" ht="14.25" hidden="1" customHeight="1">
      <c r="A848" s="3" t="s">
        <v>4265</v>
      </c>
      <c r="B848" s="3">
        <v>6.9653598176576E13</v>
      </c>
      <c r="C848" s="3">
        <v>50.0</v>
      </c>
      <c r="D848" s="3">
        <v>2400.0</v>
      </c>
    </row>
    <row r="849" ht="14.25" hidden="1" customHeight="1">
      <c r="A849" s="3" t="s">
        <v>4267</v>
      </c>
      <c r="B849" s="3">
        <v>6.9653599249811E13</v>
      </c>
      <c r="C849" s="3">
        <v>75.0</v>
      </c>
      <c r="D849" s="3">
        <v>5300.0</v>
      </c>
    </row>
    <row r="850" ht="14.25" hidden="1" customHeight="1">
      <c r="A850" s="3" t="s">
        <v>4269</v>
      </c>
      <c r="B850" s="3">
        <v>6.965360018038E13</v>
      </c>
      <c r="C850" s="3">
        <v>75.0</v>
      </c>
      <c r="D850" s="3">
        <v>2500.0</v>
      </c>
    </row>
    <row r="851" ht="14.25" hidden="1" customHeight="1">
      <c r="A851" s="3" t="s">
        <v>4271</v>
      </c>
      <c r="B851" s="3">
        <v>6.9653601317354E13</v>
      </c>
      <c r="C851" s="3">
        <v>25.0</v>
      </c>
      <c r="D851" s="3">
        <v>10300.0</v>
      </c>
    </row>
    <row r="852" ht="14.25" hidden="1" customHeight="1">
      <c r="A852" s="3" t="s">
        <v>4273</v>
      </c>
      <c r="B852" s="3">
        <v>6.9653602134992E13</v>
      </c>
      <c r="C852" s="3">
        <v>25.0</v>
      </c>
      <c r="D852" s="3">
        <v>5100.0</v>
      </c>
    </row>
    <row r="853" ht="14.25" hidden="1" customHeight="1">
      <c r="A853" s="3" t="s">
        <v>4276</v>
      </c>
      <c r="B853" s="3">
        <v>6.9875994809889E13</v>
      </c>
      <c r="C853" s="3">
        <v>16290.0</v>
      </c>
      <c r="D853" s="3">
        <v>1.0</v>
      </c>
    </row>
    <row r="854" ht="14.25" hidden="1" customHeight="1">
      <c r="A854" s="3" t="s">
        <v>4277</v>
      </c>
      <c r="B854" s="3">
        <v>6.9875997006865E13</v>
      </c>
      <c r="C854" s="3">
        <v>4127.0</v>
      </c>
      <c r="D854" s="3">
        <v>1.0</v>
      </c>
    </row>
    <row r="855" ht="14.25" hidden="1" customHeight="1">
      <c r="A855" s="3" t="s">
        <v>4279</v>
      </c>
      <c r="B855" s="3">
        <v>70135.0</v>
      </c>
      <c r="C855" s="3">
        <v>0.0</v>
      </c>
      <c r="D855" s="3">
        <v>2.0</v>
      </c>
    </row>
    <row r="856" ht="14.25" hidden="1" customHeight="1">
      <c r="A856" s="3" t="s">
        <v>4280</v>
      </c>
      <c r="B856" s="3">
        <v>7.0195453061666E13</v>
      </c>
      <c r="C856" s="3">
        <v>2472.0</v>
      </c>
      <c r="D856" s="3">
        <v>1.0</v>
      </c>
    </row>
    <row r="857" ht="14.25" hidden="1" customHeight="1">
      <c r="A857" s="3" t="s">
        <v>4281</v>
      </c>
      <c r="B857" s="3">
        <v>7.0195453981273E13</v>
      </c>
      <c r="C857" s="3">
        <v>2472.0</v>
      </c>
      <c r="D857" s="3">
        <v>1.0</v>
      </c>
    </row>
    <row r="858" ht="14.25" hidden="1" customHeight="1">
      <c r="A858" s="3" t="s">
        <v>4282</v>
      </c>
      <c r="B858" s="3">
        <v>7.01954546173E13</v>
      </c>
      <c r="C858" s="3">
        <v>2472.0</v>
      </c>
      <c r="D858" s="3">
        <v>1.0</v>
      </c>
    </row>
    <row r="859" ht="14.25" hidden="1" customHeight="1">
      <c r="A859" s="3" t="s">
        <v>4283</v>
      </c>
      <c r="B859" s="3">
        <v>7.0195455304569E13</v>
      </c>
      <c r="C859" s="3">
        <v>2472.0</v>
      </c>
      <c r="D859" s="3">
        <v>1.0</v>
      </c>
    </row>
    <row r="860" ht="14.25" hidden="1" customHeight="1">
      <c r="A860" s="3" t="s">
        <v>4284</v>
      </c>
      <c r="B860" s="3">
        <v>7.0197502690522E13</v>
      </c>
      <c r="C860" s="3">
        <v>17936.0</v>
      </c>
      <c r="D860" s="3">
        <v>2.0</v>
      </c>
    </row>
    <row r="861" ht="14.25" hidden="1" customHeight="1">
      <c r="A861" s="3" t="s">
        <v>4285</v>
      </c>
      <c r="B861" s="3">
        <v>7.0197505407304E13</v>
      </c>
      <c r="C861" s="3">
        <v>26843.0</v>
      </c>
      <c r="D861" s="3">
        <v>1.0</v>
      </c>
    </row>
    <row r="862" ht="14.25" hidden="1" customHeight="1">
      <c r="A862" s="3" t="s">
        <v>4286</v>
      </c>
      <c r="B862" s="3">
        <v>7.0197510577926E13</v>
      </c>
      <c r="C862" s="3">
        <v>30506.0</v>
      </c>
      <c r="D862" s="3">
        <v>1.0</v>
      </c>
    </row>
    <row r="863" ht="14.25" hidden="1" customHeight="1">
      <c r="A863" s="3" t="s">
        <v>4287</v>
      </c>
      <c r="B863" s="3">
        <v>70296.0</v>
      </c>
      <c r="C863" s="3">
        <v>0.0</v>
      </c>
      <c r="D863" s="3">
        <v>3.0</v>
      </c>
    </row>
    <row r="864" ht="14.25" hidden="1" customHeight="1">
      <c r="A864" s="3" t="s">
        <v>4288</v>
      </c>
      <c r="B864" s="3">
        <v>70302.0</v>
      </c>
      <c r="C864" s="3">
        <v>0.0</v>
      </c>
      <c r="D864" s="3">
        <v>3.0</v>
      </c>
    </row>
    <row r="865" ht="14.25" hidden="1" customHeight="1">
      <c r="A865" s="3" t="s">
        <v>4289</v>
      </c>
      <c r="B865" s="3">
        <v>70326.0</v>
      </c>
      <c r="C865" s="3">
        <v>0.0</v>
      </c>
      <c r="D865" s="3">
        <v>3.0</v>
      </c>
    </row>
    <row r="866" ht="14.25" hidden="1" customHeight="1">
      <c r="A866" s="3" t="s">
        <v>4290</v>
      </c>
      <c r="B866" s="3">
        <v>7.0447869307288E13</v>
      </c>
      <c r="C866" s="3">
        <v>6679.0</v>
      </c>
      <c r="D866" s="3">
        <v>1.0</v>
      </c>
    </row>
    <row r="867" ht="14.25" hidden="1" customHeight="1">
      <c r="A867" s="3" t="s">
        <v>4291</v>
      </c>
      <c r="B867" s="3">
        <v>7.0782661369782E13</v>
      </c>
      <c r="C867" s="3">
        <v>4255.0</v>
      </c>
      <c r="D867" s="3">
        <v>1.0</v>
      </c>
    </row>
    <row r="868" ht="14.25" hidden="1" customHeight="1">
      <c r="A868" s="3" t="s">
        <v>4292</v>
      </c>
      <c r="B868" s="3" t="e">
        <v>#N/A</v>
      </c>
      <c r="C868" s="3" t="e">
        <v>#N/A</v>
      </c>
      <c r="D868" s="3" t="s">
        <v>16130</v>
      </c>
    </row>
    <row r="869" ht="14.25" hidden="1" customHeight="1">
      <c r="A869" s="3" t="s">
        <v>4293</v>
      </c>
      <c r="B869" s="3" t="e">
        <v>#N/A</v>
      </c>
      <c r="C869" s="3" t="e">
        <v>#N/A</v>
      </c>
      <c r="D869" s="3" t="s">
        <v>16130</v>
      </c>
    </row>
    <row r="870" ht="14.25" hidden="1" customHeight="1">
      <c r="A870" s="3" t="s">
        <v>4294</v>
      </c>
      <c r="B870" s="3" t="e">
        <v>#N/A</v>
      </c>
      <c r="C870" s="3" t="e">
        <v>#N/A</v>
      </c>
      <c r="D870" s="3" t="s">
        <v>16130</v>
      </c>
    </row>
    <row r="871" ht="14.25" hidden="1" customHeight="1">
      <c r="A871" s="3" t="s">
        <v>4295</v>
      </c>
      <c r="B871" s="3" t="e">
        <v>#N/A</v>
      </c>
      <c r="C871" s="3" t="e">
        <v>#N/A</v>
      </c>
      <c r="D871" s="3" t="s">
        <v>16130</v>
      </c>
    </row>
    <row r="872" ht="14.25" hidden="1" customHeight="1">
      <c r="A872" s="3" t="s">
        <v>4296</v>
      </c>
      <c r="B872" s="3" t="e">
        <v>#N/A</v>
      </c>
      <c r="C872" s="3" t="e">
        <v>#N/A</v>
      </c>
      <c r="D872" s="3" t="s">
        <v>16130</v>
      </c>
    </row>
    <row r="873" ht="14.25" hidden="1" customHeight="1">
      <c r="A873" s="3" t="s">
        <v>4297</v>
      </c>
      <c r="B873" s="3" t="e">
        <v>#N/A</v>
      </c>
      <c r="C873" s="3" t="e">
        <v>#N/A</v>
      </c>
      <c r="D873" s="3" t="s">
        <v>16130</v>
      </c>
    </row>
    <row r="874" ht="14.25" hidden="1" customHeight="1">
      <c r="A874" s="3" t="s">
        <v>4298</v>
      </c>
      <c r="B874" s="3" t="e">
        <v>#N/A</v>
      </c>
      <c r="C874" s="3" t="e">
        <v>#N/A</v>
      </c>
      <c r="D874" s="3" t="s">
        <v>16130</v>
      </c>
    </row>
    <row r="875" ht="14.25" hidden="1" customHeight="1">
      <c r="A875" s="3" t="s">
        <v>4299</v>
      </c>
      <c r="B875" s="3" t="e">
        <v>#N/A</v>
      </c>
      <c r="C875" s="3" t="e">
        <v>#N/A</v>
      </c>
      <c r="D875" s="3" t="s">
        <v>16130</v>
      </c>
    </row>
    <row r="876" ht="14.25" hidden="1" customHeight="1">
      <c r="A876" s="3" t="s">
        <v>4300</v>
      </c>
      <c r="B876" s="3" t="e">
        <v>#N/A</v>
      </c>
      <c r="C876" s="3" t="e">
        <v>#N/A</v>
      </c>
      <c r="D876" s="3" t="s">
        <v>16130</v>
      </c>
    </row>
    <row r="877" ht="14.25" hidden="1" customHeight="1">
      <c r="A877" s="3" t="s">
        <v>4301</v>
      </c>
      <c r="B877" s="3" t="e">
        <v>#N/A</v>
      </c>
      <c r="C877" s="3" t="e">
        <v>#N/A</v>
      </c>
      <c r="D877" s="3" t="s">
        <v>16130</v>
      </c>
    </row>
    <row r="878" ht="14.25" hidden="1" customHeight="1">
      <c r="A878" s="3" t="s">
        <v>4302</v>
      </c>
      <c r="B878" s="3" t="e">
        <v>#N/A</v>
      </c>
      <c r="C878" s="3" t="e">
        <v>#N/A</v>
      </c>
      <c r="D878" s="3" t="s">
        <v>16130</v>
      </c>
    </row>
    <row r="879" ht="14.25" hidden="1" customHeight="1">
      <c r="A879" s="3" t="s">
        <v>4303</v>
      </c>
      <c r="B879" s="3" t="e">
        <v>#N/A</v>
      </c>
      <c r="C879" s="3" t="e">
        <v>#N/A</v>
      </c>
      <c r="D879" s="3" t="s">
        <v>16130</v>
      </c>
    </row>
    <row r="880" ht="14.25" hidden="1" customHeight="1">
      <c r="A880" s="3" t="s">
        <v>4304</v>
      </c>
      <c r="B880" s="3" t="e">
        <v>#N/A</v>
      </c>
      <c r="C880" s="3" t="e">
        <v>#N/A</v>
      </c>
      <c r="D880" s="3" t="s">
        <v>16130</v>
      </c>
    </row>
    <row r="881" ht="14.25" customHeight="1">
      <c r="A881" s="3" t="s">
        <v>4305</v>
      </c>
      <c r="B881" s="3">
        <v>7.0921709583422E13</v>
      </c>
      <c r="C881" s="3">
        <v>0.0</v>
      </c>
      <c r="D881" s="3" t="s">
        <v>16130</v>
      </c>
    </row>
    <row r="882" ht="14.25" hidden="1" customHeight="1">
      <c r="A882" s="3" t="s">
        <v>3521</v>
      </c>
      <c r="B882" s="3">
        <v>715.0</v>
      </c>
      <c r="C882" s="3">
        <v>11007.0</v>
      </c>
      <c r="D882" s="3">
        <v>16.0</v>
      </c>
    </row>
    <row r="883" ht="14.25" hidden="1" customHeight="1">
      <c r="A883" s="3" t="s">
        <v>4308</v>
      </c>
      <c r="B883" s="3">
        <v>72191.0</v>
      </c>
      <c r="C883" s="3">
        <v>0.0</v>
      </c>
      <c r="D883" s="3">
        <v>3.0</v>
      </c>
    </row>
    <row r="884" ht="14.25" hidden="1" customHeight="1">
      <c r="A884" s="3" t="s">
        <v>16135</v>
      </c>
      <c r="B884" s="3">
        <v>7.33003390653E12</v>
      </c>
      <c r="C884" s="3">
        <v>4647.0</v>
      </c>
      <c r="D884" s="3">
        <v>1.0</v>
      </c>
    </row>
    <row r="885" ht="14.25" hidden="1" customHeight="1">
      <c r="A885" s="3" t="s">
        <v>4338</v>
      </c>
      <c r="B885" s="3">
        <v>7.500021502E9</v>
      </c>
      <c r="C885" s="3">
        <v>0.0</v>
      </c>
      <c r="D885" s="3">
        <v>1.0</v>
      </c>
    </row>
    <row r="886" ht="14.25" hidden="1" customHeight="1">
      <c r="A886" s="3" t="s">
        <v>4339</v>
      </c>
      <c r="B886" s="3">
        <v>7.500021521E9</v>
      </c>
      <c r="C886" s="3">
        <v>0.0</v>
      </c>
      <c r="D886" s="3">
        <v>8.0</v>
      </c>
    </row>
    <row r="887" ht="14.25" hidden="1" customHeight="1">
      <c r="A887" s="3" t="s">
        <v>4340</v>
      </c>
      <c r="B887" s="3">
        <v>7.500030702E9</v>
      </c>
      <c r="C887" s="3">
        <v>0.0</v>
      </c>
      <c r="D887" s="3">
        <v>2.0</v>
      </c>
    </row>
    <row r="888" ht="14.25" hidden="1" customHeight="1">
      <c r="A888" s="3" t="s">
        <v>4341</v>
      </c>
      <c r="B888" s="3">
        <v>7.500030721E9</v>
      </c>
      <c r="C888" s="3">
        <v>0.0</v>
      </c>
      <c r="D888" s="3">
        <v>3.0</v>
      </c>
    </row>
    <row r="889" ht="14.25" hidden="1" customHeight="1">
      <c r="A889" s="3" t="s">
        <v>4342</v>
      </c>
      <c r="B889" s="3">
        <v>7.500030802E9</v>
      </c>
      <c r="C889" s="3">
        <v>0.0</v>
      </c>
      <c r="D889" s="3">
        <v>3.0</v>
      </c>
    </row>
    <row r="890" ht="14.25" hidden="1" customHeight="1">
      <c r="A890" s="3" t="s">
        <v>4343</v>
      </c>
      <c r="B890" s="3">
        <v>7.500030821E9</v>
      </c>
      <c r="C890" s="3">
        <v>0.0</v>
      </c>
      <c r="D890" s="3">
        <v>3.0</v>
      </c>
    </row>
    <row r="891" ht="14.25" hidden="1" customHeight="1">
      <c r="A891" s="3" t="s">
        <v>2479</v>
      </c>
      <c r="B891" s="3">
        <v>7.57450527587E11</v>
      </c>
      <c r="C891" s="3">
        <v>5818.0</v>
      </c>
      <c r="D891" s="3">
        <v>11.0</v>
      </c>
    </row>
    <row r="892" ht="14.25" hidden="1" customHeight="1">
      <c r="A892" s="3" t="s">
        <v>3303</v>
      </c>
      <c r="B892" s="3">
        <v>7.57450527594E11</v>
      </c>
      <c r="C892" s="3">
        <v>5818.0</v>
      </c>
      <c r="D892" s="3">
        <v>13.0</v>
      </c>
    </row>
    <row r="893" ht="14.25" hidden="1" customHeight="1">
      <c r="A893" s="3" t="s">
        <v>2839</v>
      </c>
      <c r="B893" s="3">
        <v>7.574505276E11</v>
      </c>
      <c r="C893" s="3">
        <v>6348.0</v>
      </c>
      <c r="D893" s="3">
        <v>10.0</v>
      </c>
    </row>
    <row r="894" ht="14.25" hidden="1" customHeight="1">
      <c r="A894" s="3" t="s">
        <v>4346</v>
      </c>
      <c r="B894" s="3">
        <v>7.57450527655E11</v>
      </c>
      <c r="C894" s="3">
        <v>0.0</v>
      </c>
      <c r="D894" s="3">
        <v>3.0</v>
      </c>
    </row>
    <row r="895" ht="14.25" hidden="1" customHeight="1">
      <c r="A895" s="3" t="s">
        <v>2840</v>
      </c>
      <c r="B895" s="3">
        <v>7.57450527785E11</v>
      </c>
      <c r="C895" s="3">
        <v>10054.0</v>
      </c>
      <c r="D895" s="3">
        <v>1.0</v>
      </c>
    </row>
    <row r="896" ht="14.25" hidden="1" customHeight="1">
      <c r="A896" s="3" t="s">
        <v>3107</v>
      </c>
      <c r="B896" s="3">
        <v>7.57450527792E11</v>
      </c>
      <c r="C896" s="3">
        <v>11642.0</v>
      </c>
      <c r="D896" s="3">
        <v>13.0</v>
      </c>
    </row>
    <row r="897" ht="14.25" hidden="1" customHeight="1">
      <c r="A897" s="3" t="s">
        <v>2480</v>
      </c>
      <c r="B897" s="3">
        <v>7.57450527808E11</v>
      </c>
      <c r="C897" s="3">
        <v>0.0</v>
      </c>
      <c r="D897" s="3">
        <v>13.0</v>
      </c>
    </row>
    <row r="898" ht="14.25" hidden="1" customHeight="1">
      <c r="A898" s="3" t="s">
        <v>4347</v>
      </c>
      <c r="B898" s="3">
        <v>7.57450527815E11</v>
      </c>
      <c r="C898" s="3">
        <v>0.0</v>
      </c>
      <c r="D898" s="3">
        <v>25.0</v>
      </c>
    </row>
    <row r="899" ht="14.25" hidden="1" customHeight="1">
      <c r="A899" s="3" t="s">
        <v>16136</v>
      </c>
      <c r="B899" s="3">
        <v>7.57450527822E11</v>
      </c>
      <c r="C899" s="3">
        <v>0.0</v>
      </c>
      <c r="D899" s="3">
        <v>29.0</v>
      </c>
    </row>
    <row r="900" ht="14.25" hidden="1" customHeight="1">
      <c r="A900" s="3" t="s">
        <v>4348</v>
      </c>
      <c r="B900" s="3">
        <v>7.57450527839E11</v>
      </c>
      <c r="C900" s="3">
        <v>0.0</v>
      </c>
      <c r="D900" s="3">
        <v>18.0</v>
      </c>
    </row>
    <row r="901" ht="14.25" hidden="1" customHeight="1">
      <c r="A901" s="3" t="s">
        <v>2481</v>
      </c>
      <c r="B901" s="3">
        <v>7.57450527853E11</v>
      </c>
      <c r="C901" s="3">
        <v>0.0</v>
      </c>
      <c r="D901" s="3">
        <v>3.0</v>
      </c>
    </row>
    <row r="902" ht="14.25" hidden="1" customHeight="1">
      <c r="A902" s="3" t="s">
        <v>16137</v>
      </c>
      <c r="B902" s="3">
        <v>7.5745052786E11</v>
      </c>
      <c r="C902" s="3">
        <v>0.0</v>
      </c>
      <c r="D902" s="3">
        <v>35.0</v>
      </c>
    </row>
    <row r="903" ht="14.25" hidden="1" customHeight="1">
      <c r="A903" s="3" t="s">
        <v>3522</v>
      </c>
      <c r="B903" s="3">
        <v>7.57450527877E11</v>
      </c>
      <c r="C903" s="3">
        <v>0.0</v>
      </c>
      <c r="D903" s="3">
        <v>21.0</v>
      </c>
    </row>
    <row r="904" ht="14.25" hidden="1" customHeight="1">
      <c r="A904" s="3" t="s">
        <v>2842</v>
      </c>
      <c r="B904" s="3">
        <v>7.57450527884E11</v>
      </c>
      <c r="C904" s="3">
        <v>7936.0</v>
      </c>
      <c r="D904" s="3">
        <v>41.0</v>
      </c>
    </row>
    <row r="905" ht="14.25" hidden="1" customHeight="1">
      <c r="A905" s="3" t="s">
        <v>4349</v>
      </c>
      <c r="B905" s="3">
        <v>7.57450527891E11</v>
      </c>
      <c r="C905" s="3">
        <v>0.0</v>
      </c>
      <c r="D905" s="3">
        <v>6.0</v>
      </c>
    </row>
    <row r="906" ht="14.25" hidden="1" customHeight="1">
      <c r="A906" s="3" t="s">
        <v>16138</v>
      </c>
      <c r="B906" s="3">
        <v>7.57450527907E11</v>
      </c>
      <c r="C906" s="3">
        <v>0.0</v>
      </c>
      <c r="D906" s="3">
        <v>11.0</v>
      </c>
    </row>
    <row r="907" ht="14.25" hidden="1" customHeight="1">
      <c r="A907" s="3" t="s">
        <v>2843</v>
      </c>
      <c r="B907" s="3">
        <v>7.57450527921E11</v>
      </c>
      <c r="C907" s="3">
        <v>0.0</v>
      </c>
      <c r="D907" s="3">
        <v>6.0</v>
      </c>
    </row>
    <row r="908" ht="14.25" hidden="1" customHeight="1">
      <c r="A908" s="3" t="s">
        <v>4350</v>
      </c>
      <c r="B908" s="3">
        <v>7.57450527945E11</v>
      </c>
      <c r="C908" s="3">
        <v>0.0</v>
      </c>
      <c r="D908" s="3">
        <v>1.0</v>
      </c>
    </row>
    <row r="909" ht="14.25" hidden="1" customHeight="1">
      <c r="A909" s="3" t="s">
        <v>2482</v>
      </c>
      <c r="B909" s="3">
        <v>7.57450528058E11</v>
      </c>
      <c r="C909" s="3">
        <v>0.0</v>
      </c>
      <c r="D909" s="3">
        <v>9.0</v>
      </c>
    </row>
    <row r="910" ht="14.25" hidden="1" customHeight="1">
      <c r="A910" s="3" t="s">
        <v>4351</v>
      </c>
      <c r="B910" s="3">
        <v>7.64451134775E11</v>
      </c>
      <c r="C910" s="3">
        <v>0.0</v>
      </c>
      <c r="D910" s="3">
        <v>4.0</v>
      </c>
    </row>
    <row r="911" ht="14.25" hidden="1" customHeight="1">
      <c r="A911" s="3" t="s">
        <v>4352</v>
      </c>
      <c r="B911" s="3">
        <v>7.64451134782E11</v>
      </c>
      <c r="C911" s="3">
        <v>0.0</v>
      </c>
      <c r="D911" s="3">
        <v>6.0</v>
      </c>
    </row>
    <row r="912" ht="14.25" hidden="1" customHeight="1">
      <c r="A912" s="3" t="s">
        <v>2844</v>
      </c>
      <c r="B912" s="3">
        <v>76636.0</v>
      </c>
      <c r="C912" s="3">
        <v>8250.0</v>
      </c>
      <c r="D912" s="3">
        <v>5.0</v>
      </c>
    </row>
    <row r="913" ht="14.25" hidden="1" customHeight="1">
      <c r="A913" s="3" t="s">
        <v>2845</v>
      </c>
      <c r="B913" s="3" t="s">
        <v>2846</v>
      </c>
      <c r="C913" s="3">
        <v>7557.0</v>
      </c>
      <c r="D913" s="3">
        <v>2.0</v>
      </c>
    </row>
    <row r="914" ht="14.25" hidden="1" customHeight="1">
      <c r="A914" s="3" t="s">
        <v>3310</v>
      </c>
      <c r="B914" s="3" t="s">
        <v>3311</v>
      </c>
      <c r="C914" s="3">
        <v>11591.0</v>
      </c>
      <c r="D914" s="3">
        <v>28.0</v>
      </c>
    </row>
    <row r="915" ht="14.25" hidden="1" customHeight="1">
      <c r="A915" s="3" t="s">
        <v>4366</v>
      </c>
      <c r="B915" s="3" t="s">
        <v>4367</v>
      </c>
      <c r="C915" s="3">
        <v>11591.0</v>
      </c>
      <c r="D915" s="3">
        <v>1.0</v>
      </c>
    </row>
    <row r="916" ht="14.25" hidden="1" customHeight="1">
      <c r="A916" s="3" t="s">
        <v>5624</v>
      </c>
      <c r="B916" s="3" t="s">
        <v>5625</v>
      </c>
      <c r="C916" s="3">
        <v>5878.0</v>
      </c>
      <c r="D916" s="3">
        <v>7.0</v>
      </c>
    </row>
    <row r="917" ht="14.25" hidden="1" customHeight="1">
      <c r="A917" s="3" t="s">
        <v>16139</v>
      </c>
      <c r="B917" s="3" t="s">
        <v>15038</v>
      </c>
      <c r="C917" s="3">
        <v>7557.0</v>
      </c>
      <c r="D917" s="3">
        <v>10.0</v>
      </c>
    </row>
    <row r="918" ht="14.25" hidden="1" customHeight="1">
      <c r="A918" s="3" t="s">
        <v>5626</v>
      </c>
      <c r="B918" s="3" t="s">
        <v>5627</v>
      </c>
      <c r="C918" s="3">
        <v>11591.0</v>
      </c>
      <c r="D918" s="3">
        <v>16.0</v>
      </c>
    </row>
    <row r="919" ht="14.25" hidden="1" customHeight="1">
      <c r="A919" s="3" t="s">
        <v>3523</v>
      </c>
      <c r="B919" s="3">
        <v>80317.0</v>
      </c>
      <c r="C919" s="3">
        <v>8640.0</v>
      </c>
      <c r="D919" s="3">
        <v>10.0</v>
      </c>
    </row>
    <row r="920" ht="14.25" hidden="1" customHeight="1">
      <c r="A920" s="3" t="s">
        <v>16140</v>
      </c>
      <c r="B920" s="3">
        <v>8.809541208652E12</v>
      </c>
      <c r="C920" s="3">
        <v>1255.0</v>
      </c>
      <c r="D920" s="3">
        <v>2.0</v>
      </c>
    </row>
    <row r="921" ht="14.25" hidden="1" customHeight="1">
      <c r="A921" s="3" t="s">
        <v>16141</v>
      </c>
      <c r="B921" s="3">
        <v>8.80954120926E12</v>
      </c>
      <c r="C921" s="3">
        <v>1255.0</v>
      </c>
      <c r="D921" s="3">
        <v>1.0</v>
      </c>
    </row>
    <row r="922" ht="14.25" hidden="1" customHeight="1">
      <c r="A922" s="3" t="s">
        <v>16142</v>
      </c>
      <c r="B922" s="3">
        <v>89554.0</v>
      </c>
      <c r="C922" s="3">
        <v>9360.0</v>
      </c>
      <c r="D922" s="3">
        <v>26.0</v>
      </c>
    </row>
    <row r="923" ht="14.25" hidden="1" customHeight="1">
      <c r="A923" s="3" t="s">
        <v>2848</v>
      </c>
      <c r="B923" s="3">
        <v>925166.0</v>
      </c>
      <c r="C923" s="3">
        <v>5715.0</v>
      </c>
      <c r="D923" s="3">
        <v>4.0</v>
      </c>
    </row>
    <row r="924" ht="14.25" hidden="1" customHeight="1">
      <c r="A924" s="3" t="s">
        <v>16143</v>
      </c>
      <c r="B924" s="3">
        <v>925173.0</v>
      </c>
      <c r="C924" s="3">
        <v>5715.0</v>
      </c>
      <c r="D924" s="3">
        <v>2.0</v>
      </c>
    </row>
    <row r="925" ht="14.25" hidden="1" customHeight="1">
      <c r="A925" s="3" t="s">
        <v>16144</v>
      </c>
      <c r="B925" s="3">
        <v>925180.0</v>
      </c>
      <c r="C925" s="3">
        <v>5715.0</v>
      </c>
      <c r="D925" s="3">
        <v>15.0</v>
      </c>
    </row>
    <row r="926" ht="14.25" hidden="1" customHeight="1">
      <c r="A926" s="3" t="s">
        <v>4368</v>
      </c>
      <c r="B926" s="3">
        <v>9.500021503E9</v>
      </c>
      <c r="C926" s="3">
        <v>0.0</v>
      </c>
      <c r="D926" s="3">
        <v>5.0</v>
      </c>
    </row>
    <row r="927" ht="14.25" hidden="1" customHeight="1">
      <c r="A927" s="3" t="s">
        <v>2849</v>
      </c>
      <c r="B927" s="3">
        <v>9550134.0</v>
      </c>
      <c r="C927" s="3">
        <v>2214.0</v>
      </c>
      <c r="D927" s="3">
        <v>4.0</v>
      </c>
    </row>
    <row r="928" ht="14.25" hidden="1" customHeight="1">
      <c r="A928" s="3" t="s">
        <v>16145</v>
      </c>
      <c r="B928" s="3">
        <v>9.9131300325E10</v>
      </c>
      <c r="C928" s="3">
        <v>19112.0</v>
      </c>
      <c r="D928" s="3">
        <v>2.0</v>
      </c>
    </row>
    <row r="929" ht="14.25" hidden="1" customHeight="1">
      <c r="A929" s="3" t="s">
        <v>4369</v>
      </c>
      <c r="B929" s="3" t="s">
        <v>4370</v>
      </c>
      <c r="C929" s="3">
        <v>3141.0</v>
      </c>
      <c r="D929" s="3">
        <v>1.0</v>
      </c>
    </row>
    <row r="930" ht="14.25" hidden="1" customHeight="1">
      <c r="A930" s="3" t="s">
        <v>16146</v>
      </c>
      <c r="B930" s="3" t="s">
        <v>10629</v>
      </c>
      <c r="C930" s="3">
        <v>3020.0</v>
      </c>
      <c r="D930" s="3">
        <v>1.0</v>
      </c>
    </row>
    <row r="931" ht="14.25" hidden="1" customHeight="1">
      <c r="A931" s="3" t="s">
        <v>3313</v>
      </c>
      <c r="B931" s="3" t="s">
        <v>3314</v>
      </c>
      <c r="C931" s="3">
        <v>0.0</v>
      </c>
      <c r="D931" s="3">
        <v>1.0</v>
      </c>
    </row>
    <row r="932" ht="14.25" hidden="1" customHeight="1">
      <c r="A932" s="3" t="s">
        <v>4375</v>
      </c>
      <c r="B932" s="3" t="s">
        <v>4376</v>
      </c>
      <c r="C932" s="3">
        <v>915.0</v>
      </c>
      <c r="D932" s="3">
        <v>46.0</v>
      </c>
    </row>
    <row r="933" ht="14.25" hidden="1" customHeight="1">
      <c r="A933" s="3" t="s">
        <v>4378</v>
      </c>
      <c r="B933" s="3" t="s">
        <v>4379</v>
      </c>
      <c r="C933" s="3">
        <v>997.0</v>
      </c>
      <c r="D933" s="3">
        <v>1.0</v>
      </c>
    </row>
    <row r="934" ht="14.25" hidden="1" customHeight="1">
      <c r="A934" s="3" t="s">
        <v>16147</v>
      </c>
      <c r="B934" s="3" t="s">
        <v>7295</v>
      </c>
      <c r="C934" s="3">
        <v>0.0</v>
      </c>
      <c r="D934" s="3">
        <v>4.0</v>
      </c>
    </row>
    <row r="935" ht="14.25" hidden="1" customHeight="1">
      <c r="A935" s="3" t="s">
        <v>16148</v>
      </c>
      <c r="B935" s="3" t="s">
        <v>7240</v>
      </c>
      <c r="C935" s="3">
        <v>0.0</v>
      </c>
      <c r="D935" s="3">
        <v>4.0</v>
      </c>
    </row>
    <row r="936" ht="14.25" hidden="1" customHeight="1">
      <c r="A936" s="3" t="s">
        <v>16149</v>
      </c>
      <c r="B936" s="3" t="e">
        <v>#N/A</v>
      </c>
      <c r="C936" s="3" t="e">
        <v>#N/A</v>
      </c>
      <c r="D936" s="3">
        <v>4.0</v>
      </c>
    </row>
    <row r="937" ht="14.25" hidden="1" customHeight="1">
      <c r="A937" s="3" t="s">
        <v>3527</v>
      </c>
      <c r="B937" s="3" t="s">
        <v>3528</v>
      </c>
      <c r="C937" s="3">
        <v>25200.0</v>
      </c>
      <c r="D937" s="3">
        <v>1.0</v>
      </c>
    </row>
    <row r="938" ht="14.25" hidden="1" customHeight="1">
      <c r="A938" s="3" t="s">
        <v>16150</v>
      </c>
      <c r="B938" s="3" t="s">
        <v>7293</v>
      </c>
      <c r="C938" s="3">
        <v>0.0</v>
      </c>
      <c r="D938" s="3">
        <v>4.0</v>
      </c>
    </row>
    <row r="939" ht="14.25" hidden="1" customHeight="1">
      <c r="A939" s="3" t="s">
        <v>16151</v>
      </c>
      <c r="B939" s="3" t="s">
        <v>7166</v>
      </c>
      <c r="C939" s="3">
        <v>0.0</v>
      </c>
      <c r="D939" s="3">
        <v>6.0</v>
      </c>
    </row>
    <row r="940" ht="14.25" hidden="1" customHeight="1">
      <c r="A940" s="3" t="s">
        <v>16152</v>
      </c>
      <c r="B940" s="3" t="s">
        <v>7311</v>
      </c>
      <c r="C940" s="3">
        <v>0.0</v>
      </c>
      <c r="D940" s="3">
        <v>3.0</v>
      </c>
    </row>
    <row r="941" ht="14.25" hidden="1" customHeight="1">
      <c r="A941" s="3" t="s">
        <v>16153</v>
      </c>
      <c r="B941" s="3" t="s">
        <v>7317</v>
      </c>
      <c r="C941" s="3">
        <v>0.0</v>
      </c>
      <c r="D941" s="3">
        <v>2.0</v>
      </c>
    </row>
    <row r="942" ht="14.25" hidden="1" customHeight="1">
      <c r="A942" s="3" t="s">
        <v>16154</v>
      </c>
      <c r="B942" s="3" t="s">
        <v>7319</v>
      </c>
      <c r="C942" s="3">
        <v>0.0</v>
      </c>
      <c r="D942" s="3">
        <v>3.0</v>
      </c>
    </row>
    <row r="943" ht="14.25" hidden="1" customHeight="1">
      <c r="A943" s="3" t="s">
        <v>16155</v>
      </c>
      <c r="B943" s="3" t="s">
        <v>7299</v>
      </c>
      <c r="C943" s="3">
        <v>0.0</v>
      </c>
      <c r="D943" s="3">
        <v>9.0</v>
      </c>
    </row>
    <row r="944" ht="14.25" hidden="1" customHeight="1">
      <c r="A944" s="3" t="s">
        <v>16156</v>
      </c>
      <c r="B944" s="3" t="s">
        <v>7307</v>
      </c>
      <c r="C944" s="3">
        <v>0.0</v>
      </c>
      <c r="D944" s="3">
        <v>4.0</v>
      </c>
    </row>
    <row r="945" ht="14.25" hidden="1" customHeight="1">
      <c r="A945" s="3" t="s">
        <v>16157</v>
      </c>
      <c r="B945" s="3" t="s">
        <v>7301</v>
      </c>
      <c r="C945" s="3">
        <v>0.0</v>
      </c>
      <c r="D945" s="3">
        <v>4.0</v>
      </c>
    </row>
    <row r="946" ht="14.25" hidden="1" customHeight="1">
      <c r="A946" s="3" t="s">
        <v>16158</v>
      </c>
      <c r="B946" s="3" t="s">
        <v>7303</v>
      </c>
      <c r="C946" s="3">
        <v>0.0</v>
      </c>
      <c r="D946" s="3">
        <v>1.0</v>
      </c>
    </row>
    <row r="947" ht="14.25" hidden="1" customHeight="1">
      <c r="A947" s="3" t="s">
        <v>16159</v>
      </c>
      <c r="B947" s="3" t="s">
        <v>7313</v>
      </c>
      <c r="C947" s="3">
        <v>0.0</v>
      </c>
      <c r="D947" s="3">
        <v>5.0</v>
      </c>
    </row>
    <row r="948" ht="14.25" hidden="1" customHeight="1">
      <c r="A948" s="3" t="s">
        <v>16160</v>
      </c>
      <c r="B948" s="3" t="s">
        <v>7309</v>
      </c>
      <c r="C948" s="3">
        <v>0.0</v>
      </c>
      <c r="D948" s="3">
        <v>4.0</v>
      </c>
    </row>
    <row r="949" ht="14.25" hidden="1" customHeight="1">
      <c r="A949" s="3" t="s">
        <v>16161</v>
      </c>
      <c r="B949" s="3" t="s">
        <v>7163</v>
      </c>
      <c r="C949" s="3">
        <v>0.0</v>
      </c>
      <c r="D949" s="3">
        <v>5.0</v>
      </c>
    </row>
    <row r="950" ht="14.25" hidden="1" customHeight="1">
      <c r="A950" s="3" t="s">
        <v>3529</v>
      </c>
      <c r="B950" s="3" t="s">
        <v>3530</v>
      </c>
      <c r="C950" s="3">
        <v>0.0</v>
      </c>
      <c r="D950" s="3">
        <v>9.0</v>
      </c>
    </row>
    <row r="951" ht="14.25" hidden="1" customHeight="1">
      <c r="A951" s="3" t="s">
        <v>16162</v>
      </c>
      <c r="B951" s="3" t="s">
        <v>7321</v>
      </c>
      <c r="C951" s="3">
        <v>0.0</v>
      </c>
      <c r="D951" s="3">
        <v>6.0</v>
      </c>
    </row>
    <row r="952" ht="14.25" hidden="1" customHeight="1">
      <c r="A952" s="3" t="s">
        <v>2850</v>
      </c>
      <c r="B952" s="3" t="s">
        <v>2851</v>
      </c>
      <c r="C952" s="3">
        <v>0.0</v>
      </c>
      <c r="D952" s="3">
        <v>9.0</v>
      </c>
    </row>
    <row r="953" ht="14.25" hidden="1" customHeight="1">
      <c r="A953" s="3" t="s">
        <v>16163</v>
      </c>
      <c r="B953" s="3" t="s">
        <v>7335</v>
      </c>
      <c r="C953" s="3">
        <v>0.0</v>
      </c>
      <c r="D953" s="3">
        <v>13.0</v>
      </c>
    </row>
    <row r="954" ht="14.25" hidden="1" customHeight="1">
      <c r="A954" s="3" t="s">
        <v>16164</v>
      </c>
      <c r="B954" s="3" t="s">
        <v>7326</v>
      </c>
      <c r="C954" s="3">
        <v>0.0</v>
      </c>
      <c r="D954" s="3">
        <v>12.0</v>
      </c>
    </row>
    <row r="955" ht="14.25" hidden="1" customHeight="1">
      <c r="A955" s="3" t="s">
        <v>2852</v>
      </c>
      <c r="B955" s="3" t="s">
        <v>2853</v>
      </c>
      <c r="C955" s="3">
        <v>0.0</v>
      </c>
      <c r="D955" s="3">
        <v>10.0</v>
      </c>
    </row>
    <row r="956" ht="14.25" hidden="1" customHeight="1">
      <c r="A956" s="3" t="s">
        <v>16165</v>
      </c>
      <c r="B956" s="3" t="s">
        <v>7333</v>
      </c>
      <c r="C956" s="3">
        <v>0.0</v>
      </c>
      <c r="D956" s="3">
        <v>9.0</v>
      </c>
    </row>
    <row r="957" ht="14.25" hidden="1" customHeight="1">
      <c r="A957" s="3" t="s">
        <v>16166</v>
      </c>
      <c r="B957" s="3" t="s">
        <v>7330</v>
      </c>
      <c r="C957" s="3">
        <v>0.0</v>
      </c>
      <c r="D957" s="3">
        <v>4.0</v>
      </c>
    </row>
    <row r="958" ht="14.25" hidden="1" customHeight="1">
      <c r="A958" s="3" t="s">
        <v>16167</v>
      </c>
      <c r="B958" s="3" t="e">
        <v>#N/A</v>
      </c>
      <c r="C958" s="3" t="e">
        <v>#N/A</v>
      </c>
      <c r="D958" s="3">
        <v>4.0</v>
      </c>
    </row>
    <row r="959" ht="14.25" hidden="1" customHeight="1">
      <c r="A959" s="3" t="s">
        <v>16168</v>
      </c>
      <c r="B959" s="3" t="s">
        <v>7157</v>
      </c>
      <c r="C959" s="3">
        <v>0.0</v>
      </c>
      <c r="D959" s="3">
        <v>3.0</v>
      </c>
    </row>
    <row r="960" ht="14.25" hidden="1" customHeight="1">
      <c r="A960" s="3" t="s">
        <v>16169</v>
      </c>
      <c r="B960" s="3" t="s">
        <v>7155</v>
      </c>
      <c r="C960" s="3">
        <v>0.0</v>
      </c>
      <c r="D960" s="3">
        <v>5.0</v>
      </c>
    </row>
    <row r="961" ht="14.25" hidden="1" customHeight="1">
      <c r="A961" s="3" t="s">
        <v>16170</v>
      </c>
      <c r="B961" s="3" t="s">
        <v>7153</v>
      </c>
      <c r="C961" s="3">
        <v>0.0</v>
      </c>
      <c r="D961" s="3">
        <v>4.0</v>
      </c>
    </row>
    <row r="962" ht="14.25" hidden="1" customHeight="1">
      <c r="A962" s="3" t="s">
        <v>16171</v>
      </c>
      <c r="B962" s="3" t="s">
        <v>7150</v>
      </c>
      <c r="C962" s="3">
        <v>0.0</v>
      </c>
      <c r="D962" s="3">
        <v>6.0</v>
      </c>
    </row>
    <row r="963" ht="14.25" hidden="1" customHeight="1">
      <c r="A963" s="3" t="s">
        <v>16172</v>
      </c>
      <c r="B963" s="3" t="s">
        <v>7159</v>
      </c>
      <c r="C963" s="3">
        <v>0.0</v>
      </c>
      <c r="D963" s="3">
        <v>3.0</v>
      </c>
    </row>
    <row r="964" ht="14.25" hidden="1" customHeight="1">
      <c r="A964" s="3" t="s">
        <v>16173</v>
      </c>
      <c r="B964" s="3" t="s">
        <v>7244</v>
      </c>
      <c r="C964" s="3">
        <v>0.0</v>
      </c>
      <c r="D964" s="3">
        <v>6.0</v>
      </c>
    </row>
    <row r="965" ht="14.25" hidden="1" customHeight="1">
      <c r="A965" s="3" t="s">
        <v>16174</v>
      </c>
      <c r="B965" s="3" t="s">
        <v>7259</v>
      </c>
      <c r="C965" s="3">
        <v>0.0</v>
      </c>
      <c r="D965" s="3">
        <v>3.0</v>
      </c>
    </row>
    <row r="966" ht="14.25" hidden="1" customHeight="1">
      <c r="A966" s="3" t="s">
        <v>16175</v>
      </c>
      <c r="B966" s="3" t="s">
        <v>7161</v>
      </c>
      <c r="C966" s="3">
        <v>0.0</v>
      </c>
      <c r="D966" s="3">
        <v>3.0</v>
      </c>
    </row>
    <row r="967" ht="14.25" hidden="1" customHeight="1">
      <c r="A967" s="3" t="s">
        <v>16176</v>
      </c>
      <c r="B967" s="3" t="s">
        <v>7178</v>
      </c>
      <c r="C967" s="3">
        <v>0.0</v>
      </c>
      <c r="D967" s="3">
        <v>3.0</v>
      </c>
    </row>
    <row r="968" ht="14.25" hidden="1" customHeight="1">
      <c r="A968" s="3" t="s">
        <v>16177</v>
      </c>
      <c r="B968" s="3" t="s">
        <v>7209</v>
      </c>
      <c r="C968" s="3">
        <v>0.0</v>
      </c>
      <c r="D968" s="3">
        <v>5.0</v>
      </c>
    </row>
    <row r="969" ht="14.25" hidden="1" customHeight="1">
      <c r="A969" s="3" t="s">
        <v>16178</v>
      </c>
      <c r="B969" s="3" t="s">
        <v>7192</v>
      </c>
      <c r="C969" s="3">
        <v>0.0</v>
      </c>
      <c r="D969" s="3">
        <v>4.0</v>
      </c>
    </row>
    <row r="970" ht="14.25" hidden="1" customHeight="1">
      <c r="A970" s="3" t="s">
        <v>16179</v>
      </c>
      <c r="B970" s="3" t="s">
        <v>7211</v>
      </c>
      <c r="C970" s="3">
        <v>0.0</v>
      </c>
      <c r="D970" s="3">
        <v>6.0</v>
      </c>
    </row>
    <row r="971" ht="14.25" hidden="1" customHeight="1">
      <c r="A971" s="3" t="s">
        <v>16180</v>
      </c>
      <c r="B971" s="3" t="s">
        <v>7248</v>
      </c>
      <c r="C971" s="3">
        <v>0.0</v>
      </c>
      <c r="D971" s="3">
        <v>6.0</v>
      </c>
    </row>
    <row r="972" ht="14.25" hidden="1" customHeight="1">
      <c r="A972" s="3" t="s">
        <v>3317</v>
      </c>
      <c r="B972" s="3" t="s">
        <v>3318</v>
      </c>
      <c r="C972" s="3">
        <v>7600.0</v>
      </c>
      <c r="D972" s="3">
        <v>9.0</v>
      </c>
    </row>
    <row r="973" ht="14.25" hidden="1" customHeight="1">
      <c r="A973" s="3" t="s">
        <v>16181</v>
      </c>
      <c r="B973" s="3" t="s">
        <v>7252</v>
      </c>
      <c r="C973" s="3">
        <v>0.0</v>
      </c>
      <c r="D973" s="3">
        <v>2.0</v>
      </c>
    </row>
    <row r="974" ht="14.25" hidden="1" customHeight="1">
      <c r="A974" s="3" t="s">
        <v>16182</v>
      </c>
      <c r="B974" s="3" t="s">
        <v>7256</v>
      </c>
      <c r="C974" s="3">
        <v>0.0</v>
      </c>
      <c r="D974" s="3">
        <v>3.0</v>
      </c>
    </row>
    <row r="975" ht="14.25" hidden="1" customHeight="1">
      <c r="A975" s="3" t="s">
        <v>16183</v>
      </c>
      <c r="B975" s="3" t="s">
        <v>7250</v>
      </c>
      <c r="C975" s="3">
        <v>0.0</v>
      </c>
      <c r="D975" s="3">
        <v>7.0</v>
      </c>
    </row>
    <row r="976" ht="14.25" hidden="1" customHeight="1">
      <c r="A976" s="3" t="s">
        <v>16184</v>
      </c>
      <c r="B976" s="3" t="s">
        <v>7172</v>
      </c>
      <c r="C976" s="3">
        <v>0.0</v>
      </c>
      <c r="D976" s="3">
        <v>3.0</v>
      </c>
    </row>
    <row r="977" ht="14.25" hidden="1" customHeight="1">
      <c r="A977" s="3" t="s">
        <v>16185</v>
      </c>
      <c r="B977" s="3" t="s">
        <v>7223</v>
      </c>
      <c r="C977" s="3">
        <v>0.0</v>
      </c>
      <c r="D977" s="3">
        <v>1.0</v>
      </c>
    </row>
    <row r="978" ht="14.25" hidden="1" customHeight="1">
      <c r="A978" s="3" t="s">
        <v>16186</v>
      </c>
      <c r="B978" s="3" t="s">
        <v>7225</v>
      </c>
      <c r="C978" s="3">
        <v>0.0</v>
      </c>
      <c r="D978" s="3">
        <v>7.0</v>
      </c>
    </row>
    <row r="979" ht="14.25" hidden="1" customHeight="1">
      <c r="A979" s="3" t="s">
        <v>16187</v>
      </c>
      <c r="B979" s="3" t="s">
        <v>7231</v>
      </c>
      <c r="C979" s="3">
        <v>0.0</v>
      </c>
      <c r="D979" s="3">
        <v>4.0</v>
      </c>
    </row>
    <row r="980" ht="14.25" hidden="1" customHeight="1">
      <c r="A980" s="3" t="s">
        <v>16188</v>
      </c>
      <c r="B980" s="3" t="s">
        <v>7235</v>
      </c>
      <c r="C980" s="3">
        <v>0.0</v>
      </c>
      <c r="D980" s="3">
        <v>4.0</v>
      </c>
    </row>
    <row r="981" ht="14.25" hidden="1" customHeight="1">
      <c r="A981" s="3" t="s">
        <v>16189</v>
      </c>
      <c r="B981" s="3" t="s">
        <v>7233</v>
      </c>
      <c r="C981" s="3">
        <v>0.0</v>
      </c>
      <c r="D981" s="3">
        <v>4.0</v>
      </c>
    </row>
    <row r="982" ht="14.25" hidden="1" customHeight="1">
      <c r="A982" s="3" t="s">
        <v>16190</v>
      </c>
      <c r="B982" s="3" t="s">
        <v>7182</v>
      </c>
      <c r="C982" s="3">
        <v>0.0</v>
      </c>
      <c r="D982" s="3">
        <v>4.0</v>
      </c>
    </row>
    <row r="983" ht="14.25" hidden="1" customHeight="1">
      <c r="A983" s="3" t="s">
        <v>16191</v>
      </c>
      <c r="B983" s="3" t="e">
        <v>#N/A</v>
      </c>
      <c r="C983" s="3" t="e">
        <v>#N/A</v>
      </c>
      <c r="D983" s="3">
        <v>4.0</v>
      </c>
    </row>
    <row r="984" ht="14.25" hidden="1" customHeight="1">
      <c r="A984" s="3" t="s">
        <v>3531</v>
      </c>
      <c r="B984" s="3" t="s">
        <v>3532</v>
      </c>
      <c r="C984" s="3">
        <v>0.0</v>
      </c>
      <c r="D984" s="3">
        <v>2.0</v>
      </c>
    </row>
    <row r="985" ht="14.25" hidden="1" customHeight="1">
      <c r="A985" s="3" t="s">
        <v>16192</v>
      </c>
      <c r="B985" s="3" t="s">
        <v>7262</v>
      </c>
      <c r="C985" s="3">
        <v>0.0</v>
      </c>
      <c r="D985" s="3">
        <v>6.0</v>
      </c>
    </row>
    <row r="986" ht="14.25" hidden="1" customHeight="1">
      <c r="A986" s="3" t="s">
        <v>16193</v>
      </c>
      <c r="B986" s="3" t="s">
        <v>7274</v>
      </c>
      <c r="C986" s="3">
        <v>0.0</v>
      </c>
      <c r="D986" s="3">
        <v>9.0</v>
      </c>
    </row>
    <row r="987" ht="14.25" hidden="1" customHeight="1">
      <c r="A987" s="3" t="s">
        <v>2854</v>
      </c>
      <c r="B987" s="3" t="s">
        <v>2855</v>
      </c>
      <c r="C987" s="3">
        <v>0.0</v>
      </c>
      <c r="D987" s="3">
        <v>9.0</v>
      </c>
    </row>
    <row r="988" ht="14.25" hidden="1" customHeight="1">
      <c r="A988" s="3" t="s">
        <v>16194</v>
      </c>
      <c r="B988" s="3" t="s">
        <v>7271</v>
      </c>
      <c r="C988" s="3">
        <v>0.0</v>
      </c>
      <c r="D988" s="3">
        <v>12.0</v>
      </c>
    </row>
    <row r="989" ht="14.25" hidden="1" customHeight="1">
      <c r="A989" s="3" t="s">
        <v>3533</v>
      </c>
      <c r="B989" s="3" t="s">
        <v>3534</v>
      </c>
      <c r="C989" s="3">
        <v>0.0</v>
      </c>
      <c r="D989" s="3">
        <v>12.0</v>
      </c>
    </row>
    <row r="990" ht="14.25" hidden="1" customHeight="1">
      <c r="A990" s="3" t="s">
        <v>16195</v>
      </c>
      <c r="B990" s="3" t="s">
        <v>7340</v>
      </c>
      <c r="C990" s="3">
        <v>0.0</v>
      </c>
      <c r="D990" s="3">
        <v>2.0</v>
      </c>
    </row>
    <row r="991" ht="14.25" hidden="1" customHeight="1">
      <c r="A991" s="3" t="s">
        <v>16196</v>
      </c>
      <c r="B991" s="3" t="s">
        <v>7342</v>
      </c>
      <c r="C991" s="3">
        <v>0.0</v>
      </c>
      <c r="D991" s="3">
        <v>9.0</v>
      </c>
    </row>
    <row r="992" ht="14.25" hidden="1" customHeight="1">
      <c r="A992" s="3" t="s">
        <v>3319</v>
      </c>
      <c r="B992" s="3" t="s">
        <v>3320</v>
      </c>
      <c r="C992" s="3">
        <v>30300.0</v>
      </c>
      <c r="D992" s="3">
        <v>6.0</v>
      </c>
    </row>
    <row r="993" ht="14.25" hidden="1" customHeight="1">
      <c r="A993" s="3" t="s">
        <v>16197</v>
      </c>
      <c r="B993" s="3" t="s">
        <v>7219</v>
      </c>
      <c r="C993" s="3">
        <v>0.0</v>
      </c>
      <c r="D993" s="3">
        <v>3.0</v>
      </c>
    </row>
    <row r="994" ht="14.25" hidden="1" customHeight="1">
      <c r="A994" s="3" t="s">
        <v>16198</v>
      </c>
      <c r="B994" s="3" t="s">
        <v>7221</v>
      </c>
      <c r="C994" s="3">
        <v>0.0</v>
      </c>
      <c r="D994" s="3">
        <v>3.0</v>
      </c>
    </row>
    <row r="995" ht="14.25" hidden="1" customHeight="1">
      <c r="A995" s="3" t="s">
        <v>16199</v>
      </c>
      <c r="B995" s="3" t="s">
        <v>7175</v>
      </c>
      <c r="C995" s="3">
        <v>0.0</v>
      </c>
      <c r="D995" s="3">
        <v>3.0</v>
      </c>
    </row>
    <row r="996" ht="14.25" hidden="1" customHeight="1">
      <c r="A996" s="3" t="s">
        <v>16200</v>
      </c>
      <c r="B996" s="3" t="s">
        <v>7194</v>
      </c>
      <c r="C996" s="3">
        <v>0.0</v>
      </c>
      <c r="D996" s="3">
        <v>4.0</v>
      </c>
    </row>
    <row r="997" ht="14.25" hidden="1" customHeight="1">
      <c r="A997" s="3" t="s">
        <v>16201</v>
      </c>
      <c r="B997" s="3" t="s">
        <v>7289</v>
      </c>
      <c r="C997" s="3">
        <v>0.0</v>
      </c>
      <c r="D997" s="3">
        <v>4.0</v>
      </c>
    </row>
    <row r="998" ht="14.25" hidden="1" customHeight="1">
      <c r="A998" s="3" t="s">
        <v>16202</v>
      </c>
      <c r="B998" s="3" t="s">
        <v>7291</v>
      </c>
      <c r="C998" s="3">
        <v>0.0</v>
      </c>
      <c r="D998" s="3">
        <v>3.0</v>
      </c>
    </row>
    <row r="999" ht="14.25" hidden="1" customHeight="1">
      <c r="A999" s="3" t="s">
        <v>16203</v>
      </c>
      <c r="B999" s="3" t="s">
        <v>7286</v>
      </c>
      <c r="C999" s="3">
        <v>0.0</v>
      </c>
      <c r="D999" s="3">
        <v>4.0</v>
      </c>
    </row>
    <row r="1000" ht="14.25" hidden="1" customHeight="1">
      <c r="A1000" s="3" t="s">
        <v>16204</v>
      </c>
      <c r="B1000" s="3" t="s">
        <v>7180</v>
      </c>
      <c r="C1000" s="3">
        <v>0.0</v>
      </c>
      <c r="D1000" s="3">
        <v>4.0</v>
      </c>
    </row>
    <row r="1001" ht="14.25" hidden="1" customHeight="1">
      <c r="A1001" s="3" t="s">
        <v>16205</v>
      </c>
      <c r="B1001" s="3" t="s">
        <v>7215</v>
      </c>
      <c r="C1001" s="3">
        <v>0.0</v>
      </c>
      <c r="D1001" s="3">
        <v>4.0</v>
      </c>
    </row>
    <row r="1002" ht="14.25" hidden="1" customHeight="1">
      <c r="A1002" s="3" t="s">
        <v>4382</v>
      </c>
      <c r="B1002" s="3" t="s">
        <v>4383</v>
      </c>
      <c r="C1002" s="3">
        <v>0.0</v>
      </c>
      <c r="D1002" s="3">
        <v>7.0</v>
      </c>
    </row>
    <row r="1003" ht="14.25" hidden="1" customHeight="1">
      <c r="A1003" s="3" t="s">
        <v>16206</v>
      </c>
      <c r="B1003" s="3" t="s">
        <v>7188</v>
      </c>
      <c r="C1003" s="3">
        <v>0.0</v>
      </c>
      <c r="D1003" s="3">
        <v>4.0</v>
      </c>
    </row>
    <row r="1004" ht="14.25" hidden="1" customHeight="1">
      <c r="A1004" s="3" t="s">
        <v>16207</v>
      </c>
      <c r="B1004" s="3" t="s">
        <v>7197</v>
      </c>
      <c r="C1004" s="3">
        <v>0.0</v>
      </c>
      <c r="D1004" s="3">
        <v>2.0</v>
      </c>
    </row>
    <row r="1005" ht="14.25" hidden="1" customHeight="1">
      <c r="A1005" s="3" t="s">
        <v>3535</v>
      </c>
      <c r="B1005" s="3" t="s">
        <v>3536</v>
      </c>
      <c r="C1005" s="3">
        <v>0.0</v>
      </c>
      <c r="D1005" s="3">
        <v>4.0</v>
      </c>
    </row>
    <row r="1006" ht="14.25" hidden="1" customHeight="1">
      <c r="A1006" s="3" t="s">
        <v>3537</v>
      </c>
      <c r="B1006" s="3" t="s">
        <v>3538</v>
      </c>
      <c r="C1006" s="3">
        <v>0.0</v>
      </c>
      <c r="D1006" s="3">
        <v>9.0</v>
      </c>
    </row>
    <row r="1007" ht="14.25" hidden="1" customHeight="1">
      <c r="A1007" s="3" t="s">
        <v>16208</v>
      </c>
      <c r="B1007" s="3" t="s">
        <v>7281</v>
      </c>
      <c r="C1007" s="3">
        <v>0.0</v>
      </c>
      <c r="D1007" s="3">
        <v>5.0</v>
      </c>
    </row>
    <row r="1008" ht="14.25" hidden="1" customHeight="1">
      <c r="A1008" s="3" t="s">
        <v>3321</v>
      </c>
      <c r="B1008" s="3" t="s">
        <v>3322</v>
      </c>
      <c r="C1008" s="3">
        <v>10100.0</v>
      </c>
      <c r="D1008" s="3">
        <v>8.0</v>
      </c>
    </row>
    <row r="1009" ht="14.25" hidden="1" customHeight="1">
      <c r="A1009" s="3" t="s">
        <v>16209</v>
      </c>
      <c r="B1009" s="3" t="s">
        <v>7277</v>
      </c>
      <c r="C1009" s="3">
        <v>0.0</v>
      </c>
      <c r="D1009" s="3">
        <v>4.0</v>
      </c>
    </row>
    <row r="1010" ht="14.25" hidden="1" customHeight="1">
      <c r="A1010" s="3" t="s">
        <v>16210</v>
      </c>
      <c r="B1010" s="3" t="s">
        <v>7279</v>
      </c>
      <c r="C1010" s="3">
        <v>0.0</v>
      </c>
      <c r="D1010" s="3">
        <v>9.0</v>
      </c>
    </row>
    <row r="1011" ht="14.25" hidden="1" customHeight="1">
      <c r="A1011" s="3" t="s">
        <v>3323</v>
      </c>
      <c r="B1011" s="3" t="s">
        <v>3324</v>
      </c>
      <c r="C1011" s="3">
        <v>11100.0</v>
      </c>
      <c r="D1011" s="3">
        <v>3.0</v>
      </c>
    </row>
    <row r="1012" ht="14.25" hidden="1" customHeight="1">
      <c r="A1012" s="3" t="s">
        <v>16211</v>
      </c>
      <c r="B1012" s="3" t="s">
        <v>7284</v>
      </c>
      <c r="C1012" s="3">
        <v>0.0</v>
      </c>
      <c r="D1012" s="3">
        <v>9.0</v>
      </c>
    </row>
    <row r="1013" ht="14.25" hidden="1" customHeight="1">
      <c r="A1013" s="3" t="s">
        <v>16212</v>
      </c>
      <c r="B1013" s="3" t="s">
        <v>7266</v>
      </c>
      <c r="C1013" s="3">
        <v>0.0</v>
      </c>
      <c r="D1013" s="3">
        <v>4.0</v>
      </c>
    </row>
    <row r="1014" ht="14.25" hidden="1" customHeight="1">
      <c r="A1014" s="3" t="s">
        <v>16213</v>
      </c>
      <c r="B1014" s="3" t="s">
        <v>7246</v>
      </c>
      <c r="C1014" s="3">
        <v>0.0</v>
      </c>
      <c r="D1014" s="3">
        <v>3.0</v>
      </c>
    </row>
    <row r="1015" ht="14.25" hidden="1" customHeight="1">
      <c r="A1015" s="3" t="s">
        <v>16214</v>
      </c>
      <c r="B1015" s="3" t="s">
        <v>7237</v>
      </c>
      <c r="C1015" s="3">
        <v>0.0</v>
      </c>
      <c r="D1015" s="3">
        <v>6.0</v>
      </c>
    </row>
    <row r="1016" ht="14.25" hidden="1" customHeight="1">
      <c r="A1016" s="3" t="s">
        <v>16215</v>
      </c>
      <c r="B1016" s="3" t="s">
        <v>7213</v>
      </c>
      <c r="C1016" s="3">
        <v>0.0</v>
      </c>
      <c r="D1016" s="3">
        <v>10.0</v>
      </c>
    </row>
    <row r="1017" ht="14.25" hidden="1" customHeight="1">
      <c r="A1017" s="3" t="s">
        <v>16216</v>
      </c>
      <c r="B1017" s="3" t="s">
        <v>7190</v>
      </c>
      <c r="C1017" s="3">
        <v>0.0</v>
      </c>
      <c r="D1017" s="3">
        <v>1.0</v>
      </c>
    </row>
    <row r="1018" ht="14.25" hidden="1" customHeight="1">
      <c r="A1018" s="3" t="s">
        <v>16217</v>
      </c>
      <c r="B1018" s="3" t="s">
        <v>7207</v>
      </c>
      <c r="C1018" s="3">
        <v>0.0</v>
      </c>
      <c r="D1018" s="3">
        <v>4.0</v>
      </c>
    </row>
    <row r="1019" ht="14.25" hidden="1" customHeight="1">
      <c r="A1019" s="3" t="s">
        <v>16218</v>
      </c>
      <c r="B1019" s="3" t="s">
        <v>7229</v>
      </c>
      <c r="C1019" s="3">
        <v>0.0</v>
      </c>
      <c r="D1019" s="3">
        <v>5.0</v>
      </c>
    </row>
    <row r="1020" ht="14.25" hidden="1" customHeight="1">
      <c r="A1020" s="3" t="s">
        <v>16219</v>
      </c>
      <c r="B1020" s="3" t="s">
        <v>7227</v>
      </c>
      <c r="C1020" s="3">
        <v>0.0</v>
      </c>
      <c r="D1020" s="3">
        <v>5.0</v>
      </c>
    </row>
    <row r="1021" ht="14.25" hidden="1" customHeight="1">
      <c r="A1021" s="3" t="s">
        <v>16220</v>
      </c>
      <c r="B1021" s="3" t="s">
        <v>7202</v>
      </c>
      <c r="C1021" s="3">
        <v>0.0</v>
      </c>
      <c r="D1021" s="3">
        <v>6.0</v>
      </c>
    </row>
    <row r="1022" ht="14.25" hidden="1" customHeight="1">
      <c r="A1022" s="3" t="s">
        <v>3539</v>
      </c>
      <c r="B1022" s="3" t="s">
        <v>3540</v>
      </c>
      <c r="C1022" s="3">
        <v>0.0</v>
      </c>
      <c r="D1022" s="3">
        <v>4.0</v>
      </c>
    </row>
    <row r="1023" ht="14.25" hidden="1" customHeight="1">
      <c r="A1023" s="3" t="s">
        <v>3541</v>
      </c>
      <c r="B1023" s="3" t="s">
        <v>3542</v>
      </c>
      <c r="C1023" s="3">
        <v>20200.0</v>
      </c>
      <c r="D1023" s="3">
        <v>3.0</v>
      </c>
    </row>
    <row r="1024" ht="14.25" hidden="1" customHeight="1">
      <c r="A1024" s="3" t="s">
        <v>16221</v>
      </c>
      <c r="B1024" s="3" t="s">
        <v>7204</v>
      </c>
      <c r="C1024" s="3">
        <v>0.0</v>
      </c>
      <c r="D1024" s="3">
        <v>8.0</v>
      </c>
    </row>
    <row r="1025" ht="14.25" hidden="1" customHeight="1">
      <c r="A1025" s="3" t="s">
        <v>2483</v>
      </c>
      <c r="B1025" s="3" t="s">
        <v>2484</v>
      </c>
      <c r="C1025" s="3">
        <v>8399.0</v>
      </c>
      <c r="D1025" s="3">
        <v>7.0</v>
      </c>
    </row>
    <row r="1026" ht="14.25" hidden="1" customHeight="1">
      <c r="A1026" s="3" t="s">
        <v>2485</v>
      </c>
      <c r="B1026" s="3" t="s">
        <v>2486</v>
      </c>
      <c r="C1026" s="3">
        <v>17475.0</v>
      </c>
      <c r="D1026" s="3">
        <v>5.0</v>
      </c>
    </row>
    <row r="1027" ht="14.25" hidden="1" customHeight="1">
      <c r="A1027" s="3" t="s">
        <v>16222</v>
      </c>
      <c r="B1027" s="3" t="s">
        <v>9437</v>
      </c>
      <c r="C1027" s="3">
        <v>18566.0</v>
      </c>
      <c r="D1027" s="3">
        <v>1.0</v>
      </c>
    </row>
    <row r="1028" ht="14.25" hidden="1" customHeight="1">
      <c r="A1028" s="3" t="s">
        <v>16223</v>
      </c>
      <c r="B1028" s="3" t="s">
        <v>9443</v>
      </c>
      <c r="C1028" s="3">
        <v>20751.0</v>
      </c>
      <c r="D1028" s="3">
        <v>1.0</v>
      </c>
    </row>
    <row r="1029" ht="14.25" hidden="1" customHeight="1">
      <c r="A1029" s="3" t="s">
        <v>4384</v>
      </c>
      <c r="B1029" s="3" t="s">
        <v>4385</v>
      </c>
      <c r="C1029" s="3">
        <v>20751.0</v>
      </c>
      <c r="D1029" s="3">
        <v>1.0</v>
      </c>
    </row>
    <row r="1030" ht="14.25" hidden="1" customHeight="1">
      <c r="A1030" s="3" t="s">
        <v>16224</v>
      </c>
      <c r="B1030" s="3" t="s">
        <v>9454</v>
      </c>
      <c r="C1030" s="3">
        <v>21843.0</v>
      </c>
      <c r="D1030" s="3">
        <v>1.0</v>
      </c>
    </row>
    <row r="1031" ht="14.25" hidden="1" customHeight="1">
      <c r="A1031" s="3" t="s">
        <v>4386</v>
      </c>
      <c r="B1031" s="3" t="s">
        <v>4387</v>
      </c>
      <c r="C1031" s="3">
        <v>21843.0</v>
      </c>
      <c r="D1031" s="3">
        <v>1.0</v>
      </c>
    </row>
    <row r="1032" ht="14.25" hidden="1" customHeight="1">
      <c r="A1032" s="3" t="s">
        <v>16225</v>
      </c>
      <c r="B1032" s="3" t="s">
        <v>10536</v>
      </c>
      <c r="C1032" s="3">
        <v>14160.0</v>
      </c>
      <c r="D1032" s="3">
        <v>1.0</v>
      </c>
    </row>
    <row r="1033" ht="14.25" hidden="1" customHeight="1">
      <c r="A1033" s="3" t="s">
        <v>16226</v>
      </c>
      <c r="B1033" s="3" t="s">
        <v>10538</v>
      </c>
      <c r="C1033" s="3">
        <v>14160.0</v>
      </c>
      <c r="D1033" s="3">
        <v>2.0</v>
      </c>
    </row>
    <row r="1034" ht="14.25" hidden="1" customHeight="1">
      <c r="A1034" s="3" t="s">
        <v>3545</v>
      </c>
      <c r="B1034" s="3" t="s">
        <v>3546</v>
      </c>
      <c r="C1034" s="3">
        <v>7240.0</v>
      </c>
      <c r="D1034" s="3">
        <v>7.0</v>
      </c>
    </row>
    <row r="1035" ht="14.25" hidden="1" customHeight="1">
      <c r="A1035" s="3" t="s">
        <v>2858</v>
      </c>
      <c r="B1035" s="3" t="s">
        <v>2859</v>
      </c>
      <c r="C1035" s="3">
        <v>7240.0</v>
      </c>
      <c r="D1035" s="3">
        <v>1.0</v>
      </c>
    </row>
    <row r="1036" ht="14.25" hidden="1" customHeight="1">
      <c r="A1036" s="3" t="s">
        <v>2860</v>
      </c>
      <c r="B1036" s="3" t="s">
        <v>2861</v>
      </c>
      <c r="C1036" s="3">
        <v>8450.0</v>
      </c>
      <c r="D1036" s="3">
        <v>10.0</v>
      </c>
    </row>
    <row r="1037" ht="14.25" hidden="1" customHeight="1">
      <c r="A1037" s="3" t="s">
        <v>4388</v>
      </c>
      <c r="B1037" s="3" t="s">
        <v>4389</v>
      </c>
      <c r="C1037" s="3">
        <v>0.0</v>
      </c>
      <c r="D1037" s="3" t="s">
        <v>16130</v>
      </c>
    </row>
    <row r="1038" ht="14.25" hidden="1" customHeight="1">
      <c r="A1038" s="3" t="s">
        <v>4390</v>
      </c>
      <c r="B1038" s="3" t="s">
        <v>4391</v>
      </c>
      <c r="C1038" s="3">
        <v>14607.0</v>
      </c>
      <c r="D1038" s="3">
        <v>5.0</v>
      </c>
    </row>
    <row r="1039" ht="14.25" hidden="1" customHeight="1">
      <c r="A1039" s="3" t="s">
        <v>3392</v>
      </c>
      <c r="B1039" s="3" t="s">
        <v>3393</v>
      </c>
      <c r="C1039" s="3">
        <v>14265.0</v>
      </c>
      <c r="D1039" s="3">
        <v>4.0</v>
      </c>
    </row>
    <row r="1040" ht="14.25" hidden="1" customHeight="1">
      <c r="A1040" s="3" t="s">
        <v>4404</v>
      </c>
      <c r="B1040" s="3" t="s">
        <v>4405</v>
      </c>
      <c r="C1040" s="3">
        <v>0.0</v>
      </c>
      <c r="D1040" s="3">
        <v>2.0</v>
      </c>
    </row>
    <row r="1041" ht="14.25" hidden="1" customHeight="1">
      <c r="A1041" s="3" t="s">
        <v>16227</v>
      </c>
      <c r="B1041" s="3" t="s">
        <v>7078</v>
      </c>
      <c r="C1041" s="3">
        <v>0.0</v>
      </c>
      <c r="D1041" s="3">
        <v>15.0</v>
      </c>
    </row>
    <row r="1042" ht="14.25" hidden="1" customHeight="1">
      <c r="A1042" s="3" t="s">
        <v>2872</v>
      </c>
      <c r="B1042" s="3" t="s">
        <v>2873</v>
      </c>
      <c r="C1042" s="3">
        <v>0.0</v>
      </c>
      <c r="D1042" s="3">
        <v>22.0</v>
      </c>
    </row>
    <row r="1043" ht="14.25" hidden="1" customHeight="1">
      <c r="A1043" s="3" t="s">
        <v>16228</v>
      </c>
      <c r="B1043" s="3" t="s">
        <v>7080</v>
      </c>
      <c r="C1043" s="3">
        <v>0.0</v>
      </c>
      <c r="D1043" s="3">
        <v>4.0</v>
      </c>
    </row>
    <row r="1044" ht="14.25" hidden="1" customHeight="1">
      <c r="A1044" s="3" t="s">
        <v>16229</v>
      </c>
      <c r="B1044" s="3" t="s">
        <v>7073</v>
      </c>
      <c r="C1044" s="3">
        <v>0.0</v>
      </c>
      <c r="D1044" s="3">
        <v>14.0</v>
      </c>
    </row>
    <row r="1045" ht="14.25" hidden="1" customHeight="1">
      <c r="A1045" s="3" t="s">
        <v>16230</v>
      </c>
      <c r="B1045" s="3" t="s">
        <v>7075</v>
      </c>
      <c r="C1045" s="3">
        <v>0.0</v>
      </c>
      <c r="D1045" s="3">
        <v>7.0</v>
      </c>
    </row>
    <row r="1046" ht="14.25" hidden="1" customHeight="1">
      <c r="A1046" s="3" t="s">
        <v>16231</v>
      </c>
      <c r="B1046" s="3" t="s">
        <v>7077</v>
      </c>
      <c r="C1046" s="3">
        <v>0.0</v>
      </c>
      <c r="D1046" s="3">
        <v>9.0</v>
      </c>
    </row>
    <row r="1047" ht="14.25" hidden="1" customHeight="1">
      <c r="A1047" s="3" t="s">
        <v>4406</v>
      </c>
      <c r="B1047" s="3" t="s">
        <v>4407</v>
      </c>
      <c r="C1047" s="3">
        <v>10913.0</v>
      </c>
      <c r="D1047" s="3">
        <v>9.0</v>
      </c>
    </row>
    <row r="1048" ht="14.25" hidden="1" customHeight="1">
      <c r="A1048" s="3" t="s">
        <v>16232</v>
      </c>
      <c r="B1048" s="3" t="s">
        <v>10587</v>
      </c>
      <c r="C1048" s="3">
        <v>16381.0</v>
      </c>
      <c r="D1048" s="3">
        <v>1.0</v>
      </c>
    </row>
    <row r="1049" ht="14.25" hidden="1" customHeight="1">
      <c r="A1049" s="3" t="s">
        <v>16233</v>
      </c>
      <c r="B1049" s="3" t="s">
        <v>10266</v>
      </c>
      <c r="C1049" s="3">
        <v>0.0</v>
      </c>
      <c r="D1049" s="3">
        <v>1.0</v>
      </c>
    </row>
    <row r="1050" ht="14.25" hidden="1" customHeight="1">
      <c r="A1050" s="3" t="s">
        <v>3110</v>
      </c>
      <c r="B1050" s="3" t="s">
        <v>3111</v>
      </c>
      <c r="C1050" s="3">
        <v>6060.0</v>
      </c>
      <c r="D1050" s="3">
        <v>11.0</v>
      </c>
    </row>
    <row r="1051" ht="14.25" hidden="1" customHeight="1">
      <c r="A1051" s="3" t="s">
        <v>16234</v>
      </c>
      <c r="B1051" s="3" t="s">
        <v>7393</v>
      </c>
      <c r="C1051" s="3">
        <v>7559.0</v>
      </c>
      <c r="D1051" s="3">
        <v>1.0</v>
      </c>
    </row>
    <row r="1052" ht="14.25" hidden="1" customHeight="1">
      <c r="A1052" s="3" t="s">
        <v>2878</v>
      </c>
      <c r="B1052" s="3" t="s">
        <v>2879</v>
      </c>
      <c r="C1052" s="3">
        <v>8397.0</v>
      </c>
      <c r="D1052" s="3" t="s">
        <v>16130</v>
      </c>
    </row>
    <row r="1053" ht="14.25" hidden="1" customHeight="1">
      <c r="A1053" s="3" t="s">
        <v>2487</v>
      </c>
      <c r="B1053" s="3" t="s">
        <v>2488</v>
      </c>
      <c r="C1053" s="3">
        <v>6298.0</v>
      </c>
      <c r="D1053" s="3">
        <v>21.0</v>
      </c>
    </row>
    <row r="1054" ht="14.25" hidden="1" customHeight="1">
      <c r="A1054" s="3" t="s">
        <v>3112</v>
      </c>
      <c r="B1054" s="3" t="s">
        <v>3113</v>
      </c>
      <c r="C1054" s="3">
        <v>9660.0</v>
      </c>
      <c r="D1054" s="3">
        <v>104.0</v>
      </c>
    </row>
    <row r="1055" ht="14.25" hidden="1" customHeight="1">
      <c r="A1055" s="3" t="s">
        <v>2880</v>
      </c>
      <c r="B1055" s="3" t="s">
        <v>2881</v>
      </c>
      <c r="C1055" s="3">
        <v>14282.0</v>
      </c>
      <c r="D1055" s="3">
        <v>2.0</v>
      </c>
    </row>
    <row r="1056" ht="14.25" hidden="1" customHeight="1">
      <c r="A1056" s="3" t="s">
        <v>2491</v>
      </c>
      <c r="B1056" s="3" t="s">
        <v>2492</v>
      </c>
      <c r="C1056" s="3">
        <v>12601.0</v>
      </c>
      <c r="D1056" s="3">
        <v>19.0</v>
      </c>
    </row>
    <row r="1057" ht="14.25" hidden="1" customHeight="1">
      <c r="A1057" s="3" t="s">
        <v>2493</v>
      </c>
      <c r="B1057" s="3" t="s">
        <v>2494</v>
      </c>
      <c r="C1057" s="3">
        <v>13021.0</v>
      </c>
      <c r="D1057" s="3">
        <v>29.0</v>
      </c>
    </row>
    <row r="1058" ht="14.25" hidden="1" customHeight="1">
      <c r="A1058" s="3" t="s">
        <v>2495</v>
      </c>
      <c r="B1058" s="3" t="s">
        <v>2496</v>
      </c>
      <c r="C1058" s="3">
        <v>11340.0</v>
      </c>
      <c r="D1058" s="3">
        <v>13.0</v>
      </c>
    </row>
    <row r="1059" ht="14.25" hidden="1" customHeight="1">
      <c r="A1059" s="3" t="s">
        <v>2497</v>
      </c>
      <c r="B1059" s="3" t="s">
        <v>2498</v>
      </c>
      <c r="C1059" s="3">
        <v>6298.0</v>
      </c>
      <c r="D1059" s="3">
        <v>19.0</v>
      </c>
    </row>
    <row r="1060" ht="14.25" hidden="1" customHeight="1">
      <c r="A1060" s="3" t="s">
        <v>16235</v>
      </c>
      <c r="B1060" s="3" t="s">
        <v>9046</v>
      </c>
      <c r="C1060" s="3">
        <v>59990.0</v>
      </c>
      <c r="D1060" s="3">
        <v>1.0</v>
      </c>
    </row>
    <row r="1061" ht="14.25" hidden="1" customHeight="1">
      <c r="A1061" s="3" t="s">
        <v>16236</v>
      </c>
      <c r="B1061" s="3" t="s">
        <v>9017</v>
      </c>
      <c r="C1061" s="3">
        <v>59990.0</v>
      </c>
      <c r="D1061" s="3">
        <v>1.0</v>
      </c>
    </row>
    <row r="1062" ht="14.25" hidden="1" customHeight="1">
      <c r="A1062" s="3" t="s">
        <v>16237</v>
      </c>
      <c r="B1062" s="3" t="s">
        <v>9048</v>
      </c>
      <c r="C1062" s="3">
        <v>57990.0</v>
      </c>
      <c r="D1062" s="3">
        <v>3.0</v>
      </c>
    </row>
    <row r="1063" ht="14.25" hidden="1" customHeight="1">
      <c r="A1063" s="3" t="s">
        <v>4418</v>
      </c>
      <c r="B1063" s="3" t="s">
        <v>4419</v>
      </c>
      <c r="C1063" s="3">
        <v>0.0</v>
      </c>
      <c r="D1063" s="3">
        <v>5.0</v>
      </c>
    </row>
    <row r="1064" ht="14.25" hidden="1" customHeight="1">
      <c r="A1064" s="3" t="s">
        <v>16238</v>
      </c>
      <c r="B1064" s="3" t="s">
        <v>6406</v>
      </c>
      <c r="C1064" s="3">
        <v>0.0</v>
      </c>
      <c r="D1064" s="3">
        <v>3.0</v>
      </c>
    </row>
    <row r="1065" ht="14.25" hidden="1" customHeight="1">
      <c r="A1065" s="3" t="s">
        <v>4420</v>
      </c>
      <c r="B1065" s="3" t="s">
        <v>4421</v>
      </c>
      <c r="C1065" s="3">
        <v>0.0</v>
      </c>
      <c r="D1065" s="3">
        <v>4.0</v>
      </c>
    </row>
    <row r="1066" ht="14.25" hidden="1" customHeight="1">
      <c r="A1066" s="3" t="s">
        <v>4422</v>
      </c>
      <c r="B1066" s="3" t="s">
        <v>4423</v>
      </c>
      <c r="C1066" s="3">
        <v>0.0</v>
      </c>
      <c r="D1066" s="3">
        <v>6.0</v>
      </c>
    </row>
    <row r="1067" ht="14.25" hidden="1" customHeight="1">
      <c r="A1067" s="3" t="s">
        <v>16239</v>
      </c>
      <c r="B1067" s="3" t="s">
        <v>13358</v>
      </c>
      <c r="C1067" s="3">
        <v>0.0</v>
      </c>
      <c r="D1067" s="3">
        <v>3.0</v>
      </c>
    </row>
    <row r="1068" ht="14.25" hidden="1" customHeight="1">
      <c r="A1068" s="3" t="s">
        <v>16240</v>
      </c>
      <c r="B1068" s="3" t="s">
        <v>6404</v>
      </c>
      <c r="C1068" s="3">
        <v>0.0</v>
      </c>
      <c r="D1068" s="3">
        <v>7.0</v>
      </c>
    </row>
    <row r="1069" ht="14.25" hidden="1" customHeight="1">
      <c r="A1069" s="3" t="s">
        <v>4424</v>
      </c>
      <c r="B1069" s="3" t="s">
        <v>4425</v>
      </c>
      <c r="C1069" s="3">
        <v>0.0</v>
      </c>
      <c r="D1069" s="3">
        <v>5.0</v>
      </c>
    </row>
    <row r="1070" ht="14.25" hidden="1" customHeight="1">
      <c r="A1070" s="3" t="s">
        <v>16241</v>
      </c>
      <c r="B1070" s="3" t="s">
        <v>13328</v>
      </c>
      <c r="C1070" s="3">
        <v>0.0</v>
      </c>
      <c r="D1070" s="3">
        <v>4.0</v>
      </c>
    </row>
    <row r="1071" ht="14.25" hidden="1" customHeight="1">
      <c r="A1071" s="3" t="s">
        <v>16242</v>
      </c>
      <c r="B1071" s="3" t="s">
        <v>13330</v>
      </c>
      <c r="C1071" s="3">
        <v>0.0</v>
      </c>
      <c r="D1071" s="3">
        <v>3.0</v>
      </c>
    </row>
    <row r="1072" ht="14.25" hidden="1" customHeight="1">
      <c r="A1072" s="3" t="s">
        <v>16243</v>
      </c>
      <c r="B1072" s="3" t="s">
        <v>13326</v>
      </c>
      <c r="C1072" s="3">
        <v>0.0</v>
      </c>
      <c r="D1072" s="3">
        <v>4.0</v>
      </c>
    </row>
    <row r="1073" ht="14.25" hidden="1" customHeight="1">
      <c r="A1073" s="3" t="s">
        <v>16244</v>
      </c>
      <c r="B1073" s="3" t="s">
        <v>13306</v>
      </c>
      <c r="C1073" s="3">
        <v>0.0</v>
      </c>
      <c r="D1073" s="3">
        <v>5.0</v>
      </c>
    </row>
    <row r="1074" ht="14.25" hidden="1" customHeight="1">
      <c r="A1074" s="3" t="s">
        <v>16245</v>
      </c>
      <c r="B1074" s="3" t="s">
        <v>13310</v>
      </c>
      <c r="C1074" s="3">
        <v>0.0</v>
      </c>
      <c r="D1074" s="3">
        <v>3.0</v>
      </c>
    </row>
    <row r="1075" ht="14.25" hidden="1" customHeight="1">
      <c r="A1075" s="3" t="s">
        <v>16246</v>
      </c>
      <c r="B1075" s="3" t="s">
        <v>13312</v>
      </c>
      <c r="C1075" s="3">
        <v>0.0</v>
      </c>
      <c r="D1075" s="3">
        <v>3.0</v>
      </c>
    </row>
    <row r="1076" ht="14.25" hidden="1" customHeight="1">
      <c r="A1076" s="3" t="s">
        <v>16247</v>
      </c>
      <c r="B1076" s="3" t="s">
        <v>13314</v>
      </c>
      <c r="C1076" s="3">
        <v>0.0</v>
      </c>
      <c r="D1076" s="3">
        <v>4.0</v>
      </c>
    </row>
    <row r="1077" ht="14.25" hidden="1" customHeight="1">
      <c r="A1077" s="3" t="s">
        <v>16248</v>
      </c>
      <c r="B1077" s="3" t="s">
        <v>13318</v>
      </c>
      <c r="C1077" s="3">
        <v>0.0</v>
      </c>
      <c r="D1077" s="3">
        <v>4.0</v>
      </c>
    </row>
    <row r="1078" ht="14.25" hidden="1" customHeight="1">
      <c r="A1078" s="3" t="s">
        <v>16249</v>
      </c>
      <c r="B1078" s="3" t="s">
        <v>13320</v>
      </c>
      <c r="C1078" s="3">
        <v>0.0</v>
      </c>
      <c r="D1078" s="3">
        <v>3.0</v>
      </c>
    </row>
    <row r="1079" ht="14.25" customHeight="1">
      <c r="A1079" s="3" t="s">
        <v>16250</v>
      </c>
      <c r="B1079" s="3" t="s">
        <v>13365</v>
      </c>
      <c r="C1079" s="3">
        <v>0.0</v>
      </c>
      <c r="D1079" s="3">
        <v>10.0</v>
      </c>
    </row>
    <row r="1080" ht="14.25" hidden="1" customHeight="1">
      <c r="A1080" s="3" t="s">
        <v>3114</v>
      </c>
      <c r="B1080" s="3" t="s">
        <v>3115</v>
      </c>
      <c r="C1080" s="3">
        <v>42852.0</v>
      </c>
      <c r="D1080" s="3">
        <v>5.0</v>
      </c>
    </row>
    <row r="1081" ht="14.25" hidden="1" customHeight="1">
      <c r="A1081" s="3" t="s">
        <v>2882</v>
      </c>
      <c r="B1081" s="3" t="s">
        <v>2883</v>
      </c>
      <c r="C1081" s="3">
        <v>42852.0</v>
      </c>
      <c r="D1081" s="3">
        <v>1.0</v>
      </c>
    </row>
    <row r="1082" ht="14.25" hidden="1" customHeight="1">
      <c r="A1082" s="3" t="s">
        <v>2886</v>
      </c>
      <c r="B1082" s="3" t="s">
        <v>2887</v>
      </c>
      <c r="C1082" s="3">
        <v>2583.0</v>
      </c>
      <c r="D1082" s="3">
        <v>4.0</v>
      </c>
    </row>
    <row r="1083" ht="14.25" hidden="1" customHeight="1">
      <c r="A1083" s="3" t="s">
        <v>2888</v>
      </c>
      <c r="B1083" s="3" t="s">
        <v>2889</v>
      </c>
      <c r="C1083" s="3">
        <v>2583.0</v>
      </c>
      <c r="D1083" s="3">
        <v>21.0</v>
      </c>
    </row>
    <row r="1084" ht="14.25" hidden="1" customHeight="1">
      <c r="A1084" s="3" t="s">
        <v>2499</v>
      </c>
      <c r="B1084" s="3" t="s">
        <v>2500</v>
      </c>
      <c r="C1084" s="3">
        <v>7018.0</v>
      </c>
      <c r="D1084" s="3">
        <v>6.0</v>
      </c>
    </row>
    <row r="1085" ht="14.25" hidden="1" customHeight="1">
      <c r="A1085" s="3" t="s">
        <v>2501</v>
      </c>
      <c r="B1085" s="3" t="s">
        <v>2502</v>
      </c>
      <c r="C1085" s="3">
        <v>11029.0</v>
      </c>
      <c r="D1085" s="3">
        <v>16.0</v>
      </c>
    </row>
    <row r="1086" ht="14.25" hidden="1" customHeight="1">
      <c r="A1086" s="3" t="s">
        <v>2890</v>
      </c>
      <c r="B1086" s="3" t="s">
        <v>2891</v>
      </c>
      <c r="C1086" s="3">
        <v>11223.0</v>
      </c>
      <c r="D1086" s="3">
        <v>39.0</v>
      </c>
    </row>
    <row r="1087" ht="14.25" hidden="1" customHeight="1">
      <c r="A1087" s="3" t="s">
        <v>2892</v>
      </c>
      <c r="B1087" s="3" t="e">
        <v>#N/A</v>
      </c>
      <c r="C1087" s="3" t="e">
        <v>#N/A</v>
      </c>
      <c r="D1087" s="3">
        <v>29.0</v>
      </c>
    </row>
    <row r="1088" ht="14.25" hidden="1" customHeight="1">
      <c r="A1088" s="3" t="s">
        <v>4463</v>
      </c>
      <c r="B1088" s="3" t="s">
        <v>4464</v>
      </c>
      <c r="C1088" s="3">
        <v>7461.0</v>
      </c>
      <c r="D1088" s="3">
        <v>2.0</v>
      </c>
    </row>
    <row r="1089" ht="14.25" hidden="1" customHeight="1">
      <c r="A1089" s="3" t="s">
        <v>2510</v>
      </c>
      <c r="B1089" s="3" t="s">
        <v>2511</v>
      </c>
      <c r="C1089" s="3">
        <v>0.0</v>
      </c>
      <c r="D1089" s="3">
        <v>6.0</v>
      </c>
    </row>
    <row r="1090" ht="14.25" hidden="1" customHeight="1">
      <c r="A1090" s="3" t="s">
        <v>16251</v>
      </c>
      <c r="B1090" s="3" t="s">
        <v>9588</v>
      </c>
      <c r="C1090" s="3">
        <v>0.0</v>
      </c>
      <c r="D1090" s="3">
        <v>1.0</v>
      </c>
    </row>
    <row r="1091" ht="14.25" hidden="1" customHeight="1">
      <c r="A1091" s="3" t="s">
        <v>16252</v>
      </c>
      <c r="B1091" s="3" t="s">
        <v>9581</v>
      </c>
      <c r="C1091" s="3">
        <v>0.0</v>
      </c>
      <c r="D1091" s="3">
        <v>3.0</v>
      </c>
    </row>
    <row r="1092" ht="14.25" hidden="1" customHeight="1">
      <c r="A1092" s="3" t="s">
        <v>16253</v>
      </c>
      <c r="B1092" s="3" t="s">
        <v>9635</v>
      </c>
      <c r="C1092" s="3">
        <v>0.0</v>
      </c>
      <c r="D1092" s="3">
        <v>7.0</v>
      </c>
    </row>
    <row r="1093" ht="14.25" hidden="1" customHeight="1">
      <c r="A1093" s="3" t="s">
        <v>16254</v>
      </c>
      <c r="B1093" s="3" t="s">
        <v>9629</v>
      </c>
      <c r="C1093" s="3">
        <v>0.0</v>
      </c>
      <c r="D1093" s="3">
        <v>5.0</v>
      </c>
    </row>
    <row r="1094" ht="14.25" hidden="1" customHeight="1">
      <c r="A1094" s="3" t="s">
        <v>16255</v>
      </c>
      <c r="B1094" s="3" t="s">
        <v>9586</v>
      </c>
      <c r="C1094" s="3">
        <v>0.0</v>
      </c>
      <c r="D1094" s="3">
        <v>3.0</v>
      </c>
    </row>
    <row r="1095" ht="14.25" hidden="1" customHeight="1">
      <c r="A1095" s="3" t="s">
        <v>16256</v>
      </c>
      <c r="B1095" s="3" t="s">
        <v>9617</v>
      </c>
      <c r="C1095" s="3">
        <v>0.0</v>
      </c>
      <c r="D1095" s="3">
        <v>3.0</v>
      </c>
    </row>
    <row r="1096" ht="14.25" hidden="1" customHeight="1">
      <c r="A1096" s="3" t="s">
        <v>16257</v>
      </c>
      <c r="B1096" s="3" t="s">
        <v>9610</v>
      </c>
      <c r="C1096" s="3">
        <v>0.0</v>
      </c>
      <c r="D1096" s="3">
        <v>4.0</v>
      </c>
    </row>
    <row r="1097" ht="14.25" hidden="1" customHeight="1">
      <c r="A1097" s="3" t="s">
        <v>16258</v>
      </c>
      <c r="B1097" s="3" t="s">
        <v>9622</v>
      </c>
      <c r="C1097" s="3">
        <v>0.0</v>
      </c>
      <c r="D1097" s="3">
        <v>12.0</v>
      </c>
    </row>
    <row r="1098" ht="14.25" hidden="1" customHeight="1">
      <c r="A1098" s="3" t="s">
        <v>4465</v>
      </c>
      <c r="B1098" s="3" t="s">
        <v>4466</v>
      </c>
      <c r="C1098" s="3">
        <v>0.0</v>
      </c>
      <c r="D1098" s="3">
        <v>3.0</v>
      </c>
    </row>
    <row r="1099" ht="14.25" hidden="1" customHeight="1">
      <c r="A1099" s="3" t="s">
        <v>4467</v>
      </c>
      <c r="B1099" s="3" t="s">
        <v>4468</v>
      </c>
      <c r="C1099" s="3">
        <v>0.0</v>
      </c>
      <c r="D1099" s="3">
        <v>4.0</v>
      </c>
    </row>
    <row r="1100" ht="14.25" hidden="1" customHeight="1">
      <c r="A1100" s="3" t="s">
        <v>4469</v>
      </c>
      <c r="B1100" s="3" t="s">
        <v>4470</v>
      </c>
      <c r="C1100" s="3">
        <v>0.0</v>
      </c>
      <c r="D1100" s="3">
        <v>6.0</v>
      </c>
    </row>
    <row r="1101" ht="14.25" hidden="1" customHeight="1">
      <c r="A1101" s="3" t="s">
        <v>4473</v>
      </c>
      <c r="B1101" s="3" t="s">
        <v>4474</v>
      </c>
      <c r="C1101" s="3">
        <v>0.0</v>
      </c>
      <c r="D1101" s="3">
        <v>2.0</v>
      </c>
    </row>
    <row r="1102" ht="14.25" hidden="1" customHeight="1">
      <c r="A1102" s="3" t="s">
        <v>4475</v>
      </c>
      <c r="B1102" s="3" t="s">
        <v>4476</v>
      </c>
      <c r="C1102" s="3">
        <v>0.0</v>
      </c>
      <c r="D1102" s="3">
        <v>4.0</v>
      </c>
    </row>
    <row r="1103" ht="14.25" hidden="1" customHeight="1">
      <c r="A1103" s="3" t="s">
        <v>4477</v>
      </c>
      <c r="B1103" s="3" t="s">
        <v>4478</v>
      </c>
      <c r="C1103" s="3">
        <v>0.0</v>
      </c>
      <c r="D1103" s="3">
        <v>4.0</v>
      </c>
    </row>
    <row r="1104" ht="14.25" hidden="1" customHeight="1">
      <c r="A1104" s="3" t="s">
        <v>16259</v>
      </c>
      <c r="B1104" s="3" t="s">
        <v>9613</v>
      </c>
      <c r="C1104" s="3">
        <v>0.0</v>
      </c>
      <c r="D1104" s="3">
        <v>1.0</v>
      </c>
    </row>
    <row r="1105" ht="14.25" hidden="1" customHeight="1">
      <c r="A1105" s="3" t="s">
        <v>4479</v>
      </c>
      <c r="B1105" s="3" t="s">
        <v>4480</v>
      </c>
      <c r="C1105" s="3">
        <v>0.0</v>
      </c>
      <c r="D1105" s="3">
        <v>5.0</v>
      </c>
    </row>
    <row r="1106" ht="14.25" hidden="1" customHeight="1">
      <c r="A1106" s="3" t="s">
        <v>4481</v>
      </c>
      <c r="B1106" s="3" t="s">
        <v>4482</v>
      </c>
      <c r="C1106" s="3">
        <v>0.0</v>
      </c>
      <c r="D1106" s="3">
        <v>4.0</v>
      </c>
    </row>
    <row r="1107" ht="14.25" hidden="1" customHeight="1">
      <c r="A1107" s="3" t="s">
        <v>3394</v>
      </c>
      <c r="B1107" s="3" t="s">
        <v>3395</v>
      </c>
      <c r="C1107" s="3">
        <v>0.0</v>
      </c>
      <c r="D1107" s="3">
        <v>1.0</v>
      </c>
    </row>
    <row r="1108" ht="14.25" hidden="1" customHeight="1">
      <c r="A1108" s="3" t="s">
        <v>16260</v>
      </c>
      <c r="B1108" s="3" t="s">
        <v>9596</v>
      </c>
      <c r="C1108" s="3">
        <v>0.0</v>
      </c>
      <c r="D1108" s="3">
        <v>5.0</v>
      </c>
    </row>
    <row r="1109" ht="14.25" hidden="1" customHeight="1">
      <c r="A1109" s="3" t="s">
        <v>16261</v>
      </c>
      <c r="B1109" s="3" t="s">
        <v>9602</v>
      </c>
      <c r="C1109" s="3">
        <v>0.0</v>
      </c>
      <c r="D1109" s="3">
        <v>6.0</v>
      </c>
    </row>
    <row r="1110" ht="14.25" hidden="1" customHeight="1">
      <c r="A1110" s="3" t="s">
        <v>4483</v>
      </c>
      <c r="B1110" s="3" t="s">
        <v>4484</v>
      </c>
      <c r="C1110" s="3">
        <v>0.0</v>
      </c>
      <c r="D1110" s="3">
        <v>3.0</v>
      </c>
    </row>
    <row r="1111" ht="14.25" hidden="1" customHeight="1">
      <c r="A1111" s="3" t="s">
        <v>4485</v>
      </c>
      <c r="B1111" s="3" t="s">
        <v>4486</v>
      </c>
      <c r="C1111" s="3">
        <v>0.0</v>
      </c>
      <c r="D1111" s="3">
        <v>2.0</v>
      </c>
    </row>
    <row r="1112" ht="14.25" hidden="1" customHeight="1">
      <c r="A1112" s="3" t="s">
        <v>4487</v>
      </c>
      <c r="B1112" s="3" t="s">
        <v>4488</v>
      </c>
      <c r="C1112" s="3">
        <v>0.0</v>
      </c>
      <c r="D1112" s="3">
        <v>3.0</v>
      </c>
    </row>
    <row r="1113" ht="14.25" hidden="1" customHeight="1">
      <c r="A1113" s="3" t="s">
        <v>4489</v>
      </c>
      <c r="B1113" s="3" t="s">
        <v>4490</v>
      </c>
      <c r="C1113" s="3">
        <v>0.0</v>
      </c>
      <c r="D1113" s="3">
        <v>5.0</v>
      </c>
    </row>
    <row r="1114" ht="14.25" hidden="1" customHeight="1">
      <c r="A1114" s="3" t="s">
        <v>4491</v>
      </c>
      <c r="B1114" s="3" t="s">
        <v>4492</v>
      </c>
      <c r="C1114" s="3">
        <v>0.0</v>
      </c>
      <c r="D1114" s="3">
        <v>5.0</v>
      </c>
    </row>
    <row r="1115" ht="14.25" hidden="1" customHeight="1">
      <c r="A1115" s="3" t="s">
        <v>4493</v>
      </c>
      <c r="B1115" s="3" t="s">
        <v>4494</v>
      </c>
      <c r="C1115" s="3">
        <v>0.0</v>
      </c>
      <c r="D1115" s="3">
        <v>5.0</v>
      </c>
    </row>
    <row r="1116" ht="14.25" hidden="1" customHeight="1">
      <c r="A1116" s="3" t="s">
        <v>4495</v>
      </c>
      <c r="B1116" s="3" t="s">
        <v>4496</v>
      </c>
      <c r="C1116" s="3">
        <v>0.0</v>
      </c>
      <c r="D1116" s="3">
        <v>5.0</v>
      </c>
    </row>
    <row r="1117" ht="14.25" hidden="1" customHeight="1">
      <c r="A1117" s="3" t="s">
        <v>16262</v>
      </c>
      <c r="B1117" s="3" t="s">
        <v>9641</v>
      </c>
      <c r="C1117" s="3">
        <v>0.0</v>
      </c>
      <c r="D1117" s="3">
        <v>1.0</v>
      </c>
    </row>
    <row r="1118" ht="14.25" hidden="1" customHeight="1">
      <c r="A1118" s="3" t="s">
        <v>16263</v>
      </c>
      <c r="B1118" s="3" t="s">
        <v>9578</v>
      </c>
      <c r="C1118" s="3">
        <v>0.0</v>
      </c>
      <c r="D1118" s="3">
        <v>6.0</v>
      </c>
    </row>
    <row r="1119" ht="14.25" hidden="1" customHeight="1">
      <c r="A1119" s="3" t="s">
        <v>16264</v>
      </c>
      <c r="B1119" s="3" t="s">
        <v>4498</v>
      </c>
      <c r="C1119" s="3">
        <v>0.0</v>
      </c>
      <c r="D1119" s="3">
        <v>5.0</v>
      </c>
    </row>
    <row r="1120" ht="14.25" hidden="1" customHeight="1">
      <c r="A1120" s="3" t="s">
        <v>4499</v>
      </c>
      <c r="B1120" s="3" t="s">
        <v>4500</v>
      </c>
      <c r="C1120" s="3">
        <v>0.0</v>
      </c>
      <c r="D1120" s="3">
        <v>6.0</v>
      </c>
    </row>
    <row r="1121" ht="14.25" hidden="1" customHeight="1">
      <c r="A1121" s="3" t="s">
        <v>16265</v>
      </c>
      <c r="B1121" s="3" t="s">
        <v>9624</v>
      </c>
      <c r="C1121" s="3">
        <v>0.0</v>
      </c>
      <c r="D1121" s="3">
        <v>8.0</v>
      </c>
    </row>
    <row r="1122" ht="14.25" hidden="1" customHeight="1">
      <c r="A1122" s="3" t="s">
        <v>16266</v>
      </c>
      <c r="B1122" s="3" t="s">
        <v>9573</v>
      </c>
      <c r="C1122" s="3">
        <v>0.0</v>
      </c>
      <c r="D1122" s="3">
        <v>3.0</v>
      </c>
    </row>
    <row r="1123" ht="14.25" hidden="1" customHeight="1">
      <c r="A1123" s="3" t="s">
        <v>4501</v>
      </c>
      <c r="B1123" s="3" t="s">
        <v>4502</v>
      </c>
      <c r="C1123" s="3">
        <v>0.0</v>
      </c>
      <c r="D1123" s="3">
        <v>6.0</v>
      </c>
    </row>
    <row r="1124" ht="14.25" hidden="1" customHeight="1">
      <c r="A1124" s="3" t="s">
        <v>4503</v>
      </c>
      <c r="B1124" s="3" t="s">
        <v>4504</v>
      </c>
      <c r="C1124" s="3">
        <v>0.0</v>
      </c>
      <c r="D1124" s="3">
        <v>5.0</v>
      </c>
    </row>
    <row r="1125" ht="14.25" hidden="1" customHeight="1">
      <c r="A1125" s="3" t="s">
        <v>16267</v>
      </c>
      <c r="B1125" s="3" t="s">
        <v>9604</v>
      </c>
      <c r="C1125" s="3">
        <v>0.0</v>
      </c>
      <c r="D1125" s="3">
        <v>1.0</v>
      </c>
    </row>
    <row r="1126" ht="14.25" hidden="1" customHeight="1">
      <c r="A1126" s="3" t="s">
        <v>16268</v>
      </c>
      <c r="B1126" s="3" t="s">
        <v>9637</v>
      </c>
      <c r="C1126" s="3">
        <v>0.0</v>
      </c>
      <c r="D1126" s="3">
        <v>6.0</v>
      </c>
    </row>
    <row r="1127" ht="14.25" hidden="1" customHeight="1">
      <c r="A1127" s="3" t="s">
        <v>4505</v>
      </c>
      <c r="B1127" s="3" t="s">
        <v>4506</v>
      </c>
      <c r="C1127" s="3">
        <v>0.0</v>
      </c>
      <c r="D1127" s="3">
        <v>3.0</v>
      </c>
    </row>
    <row r="1128" ht="14.25" hidden="1" customHeight="1">
      <c r="A1128" s="3" t="s">
        <v>16269</v>
      </c>
      <c r="B1128" s="3" t="s">
        <v>9626</v>
      </c>
      <c r="C1128" s="3">
        <v>0.0</v>
      </c>
      <c r="D1128" s="3">
        <v>3.0</v>
      </c>
    </row>
    <row r="1129" ht="14.25" hidden="1" customHeight="1">
      <c r="A1129" s="3" t="s">
        <v>2512</v>
      </c>
      <c r="B1129" s="3" t="s">
        <v>2513</v>
      </c>
      <c r="C1129" s="3">
        <v>0.0</v>
      </c>
      <c r="D1129" s="3">
        <v>6.0</v>
      </c>
    </row>
    <row r="1130" ht="14.25" hidden="1" customHeight="1">
      <c r="A1130" s="3" t="s">
        <v>4507</v>
      </c>
      <c r="B1130" s="3" t="s">
        <v>4508</v>
      </c>
      <c r="C1130" s="3">
        <v>0.0</v>
      </c>
      <c r="D1130" s="3">
        <v>9.0</v>
      </c>
    </row>
    <row r="1131" ht="14.25" hidden="1" customHeight="1">
      <c r="A1131" s="3" t="s">
        <v>16270</v>
      </c>
      <c r="B1131" s="3" t="s">
        <v>9599</v>
      </c>
      <c r="C1131" s="3">
        <v>0.0</v>
      </c>
      <c r="D1131" s="3">
        <v>3.0</v>
      </c>
    </row>
    <row r="1132" ht="14.25" hidden="1" customHeight="1">
      <c r="A1132" s="3" t="s">
        <v>4509</v>
      </c>
      <c r="B1132" s="3" t="s">
        <v>4510</v>
      </c>
      <c r="C1132" s="3">
        <v>0.0</v>
      </c>
      <c r="D1132" s="3">
        <v>11.0</v>
      </c>
    </row>
    <row r="1133" ht="14.25" hidden="1" customHeight="1">
      <c r="A1133" s="3" t="s">
        <v>4511</v>
      </c>
      <c r="B1133" s="3" t="s">
        <v>4512</v>
      </c>
      <c r="C1133" s="3">
        <v>0.0</v>
      </c>
      <c r="D1133" s="3">
        <v>4.0</v>
      </c>
    </row>
    <row r="1134" ht="14.25" hidden="1" customHeight="1">
      <c r="A1134" s="3" t="s">
        <v>4513</v>
      </c>
      <c r="B1134" s="3" t="s">
        <v>4514</v>
      </c>
      <c r="C1134" s="3">
        <v>0.0</v>
      </c>
      <c r="D1134" s="3">
        <v>6.0</v>
      </c>
    </row>
    <row r="1135" ht="14.25" hidden="1" customHeight="1">
      <c r="A1135" s="3" t="s">
        <v>4515</v>
      </c>
      <c r="B1135" s="3" t="s">
        <v>4516</v>
      </c>
      <c r="C1135" s="3">
        <v>0.0</v>
      </c>
      <c r="D1135" s="3">
        <v>2.0</v>
      </c>
    </row>
    <row r="1136" ht="14.25" hidden="1" customHeight="1">
      <c r="A1136" s="3" t="s">
        <v>2514</v>
      </c>
      <c r="B1136" s="3" t="s">
        <v>2515</v>
      </c>
      <c r="C1136" s="3">
        <v>0.0</v>
      </c>
      <c r="D1136" s="3">
        <v>1.0</v>
      </c>
    </row>
    <row r="1137" ht="14.25" hidden="1" customHeight="1">
      <c r="A1137" s="3" t="s">
        <v>3557</v>
      </c>
      <c r="B1137" s="3" t="s">
        <v>3558</v>
      </c>
      <c r="C1137" s="3">
        <v>0.0</v>
      </c>
      <c r="D1137" s="3" t="s">
        <v>16130</v>
      </c>
    </row>
    <row r="1138" ht="14.25" hidden="1" customHeight="1">
      <c r="A1138" s="3" t="s">
        <v>4521</v>
      </c>
      <c r="B1138" s="3" t="s">
        <v>4522</v>
      </c>
      <c r="C1138" s="3">
        <v>0.0</v>
      </c>
      <c r="D1138" s="3" t="s">
        <v>16130</v>
      </c>
    </row>
    <row r="1139" ht="14.25" hidden="1" customHeight="1">
      <c r="A1139" s="3" t="s">
        <v>4525</v>
      </c>
      <c r="B1139" s="3" t="s">
        <v>4526</v>
      </c>
      <c r="C1139" s="3">
        <v>0.0</v>
      </c>
      <c r="D1139" s="3">
        <v>4.0</v>
      </c>
    </row>
    <row r="1140" ht="14.25" hidden="1" customHeight="1">
      <c r="A1140" s="3" t="s">
        <v>16271</v>
      </c>
      <c r="B1140" s="3" t="s">
        <v>9846</v>
      </c>
      <c r="C1140" s="3">
        <v>0.0</v>
      </c>
      <c r="D1140" s="3">
        <v>1.0</v>
      </c>
    </row>
    <row r="1141" ht="14.25" hidden="1" customHeight="1">
      <c r="A1141" s="3" t="s">
        <v>16272</v>
      </c>
      <c r="B1141" s="3" t="s">
        <v>9848</v>
      </c>
      <c r="C1141" s="3">
        <v>0.0</v>
      </c>
      <c r="D1141" s="3">
        <v>3.0</v>
      </c>
    </row>
    <row r="1142" ht="14.25" hidden="1" customHeight="1">
      <c r="A1142" s="3" t="s">
        <v>3559</v>
      </c>
      <c r="B1142" s="3" t="s">
        <v>3560</v>
      </c>
      <c r="C1142" s="3">
        <v>0.0</v>
      </c>
      <c r="D1142" s="3">
        <v>2.0</v>
      </c>
    </row>
    <row r="1143" ht="14.25" hidden="1" customHeight="1">
      <c r="A1143" s="3" t="s">
        <v>4529</v>
      </c>
      <c r="B1143" s="3" t="s">
        <v>4530</v>
      </c>
      <c r="C1143" s="3">
        <v>0.0</v>
      </c>
      <c r="D1143" s="3">
        <v>5.0</v>
      </c>
    </row>
    <row r="1144" ht="14.25" hidden="1" customHeight="1">
      <c r="A1144" s="3" t="s">
        <v>2516</v>
      </c>
      <c r="B1144" s="3" t="s">
        <v>2517</v>
      </c>
      <c r="C1144" s="3">
        <v>0.0</v>
      </c>
      <c r="D1144" s="3">
        <v>6.0</v>
      </c>
    </row>
    <row r="1145" ht="14.25" hidden="1" customHeight="1">
      <c r="A1145" s="3" t="s">
        <v>16273</v>
      </c>
      <c r="B1145" s="3" t="s">
        <v>9841</v>
      </c>
      <c r="C1145" s="3">
        <v>0.0</v>
      </c>
      <c r="D1145" s="3">
        <v>2.0</v>
      </c>
    </row>
    <row r="1146" ht="14.25" hidden="1" customHeight="1">
      <c r="A1146" s="3" t="s">
        <v>16274</v>
      </c>
      <c r="B1146" s="3" t="s">
        <v>7407</v>
      </c>
      <c r="C1146" s="3">
        <v>7559.0</v>
      </c>
      <c r="D1146" s="3">
        <v>27.0</v>
      </c>
    </row>
    <row r="1147" ht="14.25" hidden="1" customHeight="1">
      <c r="A1147" s="3" t="s">
        <v>16275</v>
      </c>
      <c r="B1147" s="3" t="s">
        <v>10854</v>
      </c>
      <c r="C1147" s="3">
        <v>7558.0</v>
      </c>
      <c r="D1147" s="3">
        <v>1.0</v>
      </c>
    </row>
    <row r="1148" ht="14.25" hidden="1" customHeight="1">
      <c r="A1148" s="3" t="s">
        <v>16276</v>
      </c>
      <c r="B1148" s="3" t="s">
        <v>10788</v>
      </c>
      <c r="C1148" s="3">
        <v>2718.0</v>
      </c>
      <c r="D1148" s="3">
        <v>1.0</v>
      </c>
    </row>
    <row r="1149" ht="14.25" hidden="1" customHeight="1">
      <c r="A1149" s="3" t="s">
        <v>4593</v>
      </c>
      <c r="B1149" s="3" t="s">
        <v>4594</v>
      </c>
      <c r="C1149" s="3">
        <v>3479.0</v>
      </c>
      <c r="D1149" s="3">
        <v>37.0</v>
      </c>
    </row>
    <row r="1150" ht="14.25" hidden="1" customHeight="1">
      <c r="A1150" s="3" t="s">
        <v>3561</v>
      </c>
      <c r="B1150" s="3" t="s">
        <v>3562</v>
      </c>
      <c r="C1150" s="3">
        <v>34900.0</v>
      </c>
      <c r="D1150" s="3">
        <v>3.0</v>
      </c>
    </row>
    <row r="1151" ht="14.25" hidden="1" customHeight="1">
      <c r="A1151" s="3" t="s">
        <v>3563</v>
      </c>
      <c r="B1151" s="3" t="s">
        <v>3564</v>
      </c>
      <c r="C1151" s="3">
        <v>34900.0</v>
      </c>
      <c r="D1151" s="3">
        <v>3.0</v>
      </c>
    </row>
    <row r="1152" ht="14.25" hidden="1" customHeight="1">
      <c r="A1152" s="3" t="s">
        <v>3565</v>
      </c>
      <c r="B1152" s="3" t="s">
        <v>3566</v>
      </c>
      <c r="C1152" s="3">
        <v>34900.0</v>
      </c>
      <c r="D1152" s="3">
        <v>3.0</v>
      </c>
    </row>
    <row r="1153" ht="14.25" hidden="1" customHeight="1">
      <c r="A1153" s="3" t="s">
        <v>2896</v>
      </c>
      <c r="B1153" s="3" t="s">
        <v>2897</v>
      </c>
      <c r="C1153" s="3">
        <v>39900.0</v>
      </c>
      <c r="D1153" s="3">
        <v>2.0</v>
      </c>
    </row>
    <row r="1154" ht="14.25" hidden="1" customHeight="1">
      <c r="A1154" s="3" t="s">
        <v>3331</v>
      </c>
      <c r="B1154" s="3" t="s">
        <v>3332</v>
      </c>
      <c r="C1154" s="3">
        <v>39900.0</v>
      </c>
      <c r="D1154" s="3">
        <v>6.0</v>
      </c>
    </row>
    <row r="1155" ht="14.25" hidden="1" customHeight="1">
      <c r="A1155" s="3" t="s">
        <v>16277</v>
      </c>
      <c r="B1155" s="3" t="s">
        <v>10042</v>
      </c>
      <c r="C1155" s="3">
        <v>39900.0</v>
      </c>
      <c r="D1155" s="3">
        <v>5.0</v>
      </c>
    </row>
    <row r="1156" ht="14.25" hidden="1" customHeight="1">
      <c r="A1156" s="3" t="s">
        <v>16278</v>
      </c>
      <c r="B1156" s="3" t="s">
        <v>10053</v>
      </c>
      <c r="C1156" s="3">
        <v>39900.0</v>
      </c>
      <c r="D1156" s="3">
        <v>1.0</v>
      </c>
    </row>
    <row r="1157" ht="14.25" hidden="1" customHeight="1">
      <c r="A1157" s="3" t="s">
        <v>4600</v>
      </c>
      <c r="B1157" s="3" t="s">
        <v>4601</v>
      </c>
      <c r="C1157" s="3">
        <v>11900.0</v>
      </c>
      <c r="D1157" s="3">
        <v>5.0</v>
      </c>
    </row>
    <row r="1158" ht="14.25" hidden="1" customHeight="1">
      <c r="A1158" s="3" t="s">
        <v>4602</v>
      </c>
      <c r="B1158" s="3" t="s">
        <v>4603</v>
      </c>
      <c r="C1158" s="3">
        <v>11900.0</v>
      </c>
      <c r="D1158" s="3">
        <v>2.0</v>
      </c>
    </row>
    <row r="1159" ht="14.25" hidden="1" customHeight="1">
      <c r="A1159" s="3" t="s">
        <v>2518</v>
      </c>
      <c r="B1159" s="3" t="s">
        <v>2519</v>
      </c>
      <c r="C1159" s="3">
        <v>8062.0</v>
      </c>
      <c r="D1159" s="3">
        <v>239.0</v>
      </c>
    </row>
    <row r="1160" ht="14.25" hidden="1" customHeight="1">
      <c r="A1160" s="3" t="s">
        <v>2520</v>
      </c>
      <c r="B1160" s="3" t="s">
        <v>2521</v>
      </c>
      <c r="C1160" s="3">
        <v>13861.0</v>
      </c>
      <c r="D1160" s="3">
        <v>12.0</v>
      </c>
    </row>
    <row r="1161" ht="14.25" hidden="1" customHeight="1">
      <c r="A1161" s="3" t="s">
        <v>2522</v>
      </c>
      <c r="B1161" s="3" t="s">
        <v>2523</v>
      </c>
      <c r="C1161" s="3">
        <v>23058.0</v>
      </c>
      <c r="D1161" s="3">
        <v>83.0</v>
      </c>
    </row>
    <row r="1162" ht="14.25" hidden="1" customHeight="1">
      <c r="A1162" s="3" t="s">
        <v>5638</v>
      </c>
      <c r="B1162" s="3" t="s">
        <v>5639</v>
      </c>
      <c r="C1162" s="3">
        <v>40331.0</v>
      </c>
      <c r="D1162" s="3">
        <v>21.0</v>
      </c>
    </row>
    <row r="1163" ht="14.25" hidden="1" customHeight="1">
      <c r="A1163" s="3" t="s">
        <v>3136</v>
      </c>
      <c r="B1163" s="3" t="s">
        <v>3137</v>
      </c>
      <c r="C1163" s="3">
        <v>5037.0</v>
      </c>
      <c r="D1163" s="3">
        <v>6.0</v>
      </c>
    </row>
    <row r="1164" ht="14.25" hidden="1" customHeight="1">
      <c r="A1164" s="3" t="s">
        <v>16279</v>
      </c>
      <c r="B1164" s="3" t="s">
        <v>7425</v>
      </c>
      <c r="C1164" s="3">
        <v>14466.0</v>
      </c>
      <c r="D1164" s="3">
        <v>4.0</v>
      </c>
    </row>
    <row r="1165" ht="14.25" hidden="1" customHeight="1">
      <c r="A1165" s="3" t="s">
        <v>2900</v>
      </c>
      <c r="B1165" s="3" t="s">
        <v>2901</v>
      </c>
      <c r="C1165" s="3">
        <v>6910.0</v>
      </c>
      <c r="D1165" s="3">
        <v>7.0</v>
      </c>
    </row>
    <row r="1166" ht="14.25" hidden="1" customHeight="1">
      <c r="A1166" s="3" t="s">
        <v>16280</v>
      </c>
      <c r="B1166" s="3" t="s">
        <v>7435</v>
      </c>
      <c r="C1166" s="3">
        <v>8459.0</v>
      </c>
      <c r="D1166" s="3">
        <v>25.0</v>
      </c>
    </row>
    <row r="1167" ht="14.25" hidden="1" customHeight="1">
      <c r="A1167" s="3" t="s">
        <v>16281</v>
      </c>
      <c r="B1167" s="3" t="s">
        <v>7417</v>
      </c>
      <c r="C1167" s="3">
        <v>6550.0</v>
      </c>
      <c r="D1167" s="3">
        <v>8.0</v>
      </c>
    </row>
    <row r="1168" ht="14.25" hidden="1" customHeight="1">
      <c r="A1168" s="3" t="s">
        <v>16282</v>
      </c>
      <c r="B1168" s="3" t="s">
        <v>7387</v>
      </c>
      <c r="C1168" s="3">
        <v>6298.0</v>
      </c>
      <c r="D1168" s="3">
        <v>10.0</v>
      </c>
    </row>
    <row r="1169" ht="14.25" hidden="1" customHeight="1">
      <c r="A1169" s="3" t="s">
        <v>16283</v>
      </c>
      <c r="B1169" s="3" t="s">
        <v>7497</v>
      </c>
      <c r="C1169" s="3">
        <v>7336.0</v>
      </c>
      <c r="D1169" s="3">
        <v>15.0</v>
      </c>
    </row>
    <row r="1170" ht="14.25" hidden="1" customHeight="1">
      <c r="A1170" s="3" t="s">
        <v>2524</v>
      </c>
      <c r="B1170" s="3" t="s">
        <v>2525</v>
      </c>
      <c r="C1170" s="3">
        <v>10500.0</v>
      </c>
      <c r="D1170" s="3">
        <v>17.0</v>
      </c>
    </row>
    <row r="1171" ht="14.25" hidden="1" customHeight="1">
      <c r="A1171" s="3" t="s">
        <v>4610</v>
      </c>
      <c r="B1171" s="3" t="s">
        <v>4611</v>
      </c>
      <c r="C1171" s="3">
        <v>3524.0</v>
      </c>
      <c r="D1171" s="3">
        <v>4.0</v>
      </c>
    </row>
    <row r="1172" ht="14.25" hidden="1" customHeight="1">
      <c r="A1172" s="3" t="s">
        <v>16284</v>
      </c>
      <c r="B1172" s="3" t="s">
        <v>7427</v>
      </c>
      <c r="C1172" s="3">
        <v>6549.0</v>
      </c>
      <c r="D1172" s="3">
        <v>3.0</v>
      </c>
    </row>
    <row r="1173" ht="14.25" hidden="1" customHeight="1">
      <c r="A1173" s="3" t="s">
        <v>16285</v>
      </c>
      <c r="B1173" s="3" t="s">
        <v>7429</v>
      </c>
      <c r="C1173" s="3">
        <v>6550.0</v>
      </c>
      <c r="D1173" s="3">
        <v>11.0</v>
      </c>
    </row>
    <row r="1174" ht="14.25" hidden="1" customHeight="1">
      <c r="A1174" s="3" t="s">
        <v>16286</v>
      </c>
      <c r="B1174" s="3" t="s">
        <v>7455</v>
      </c>
      <c r="C1174" s="3">
        <v>9765.0</v>
      </c>
      <c r="D1174" s="3">
        <v>15.0</v>
      </c>
    </row>
    <row r="1175" ht="14.25" hidden="1" customHeight="1">
      <c r="A1175" s="3" t="s">
        <v>16287</v>
      </c>
      <c r="B1175" s="3" t="s">
        <v>7446</v>
      </c>
      <c r="C1175" s="3">
        <v>7558.0</v>
      </c>
      <c r="D1175" s="3">
        <v>5.0</v>
      </c>
    </row>
    <row r="1176" ht="14.25" hidden="1" customHeight="1">
      <c r="A1176" s="3" t="s">
        <v>3118</v>
      </c>
      <c r="B1176" s="3" t="s">
        <v>3119</v>
      </c>
      <c r="C1176" s="3">
        <v>31793.0</v>
      </c>
      <c r="D1176" s="3">
        <v>25.0</v>
      </c>
    </row>
    <row r="1177" ht="14.25" hidden="1" customHeight="1">
      <c r="A1177" s="3" t="s">
        <v>2902</v>
      </c>
      <c r="B1177" s="3" t="s">
        <v>2903</v>
      </c>
      <c r="C1177" s="3">
        <v>49445.0</v>
      </c>
      <c r="D1177" s="3">
        <v>8.0</v>
      </c>
    </row>
    <row r="1178" ht="14.25" hidden="1" customHeight="1">
      <c r="A1178" s="3" t="s">
        <v>2526</v>
      </c>
      <c r="B1178" s="3" t="s">
        <v>2527</v>
      </c>
      <c r="C1178" s="3">
        <v>3524.0</v>
      </c>
      <c r="D1178" s="3">
        <v>3.0</v>
      </c>
    </row>
    <row r="1179" ht="14.25" hidden="1" customHeight="1">
      <c r="A1179" s="3" t="s">
        <v>4620</v>
      </c>
      <c r="B1179" s="3" t="s">
        <v>4621</v>
      </c>
      <c r="C1179" s="3">
        <v>3465.0</v>
      </c>
      <c r="D1179" s="3">
        <v>5.0</v>
      </c>
    </row>
    <row r="1180" ht="14.25" hidden="1" customHeight="1">
      <c r="A1180" s="3" t="s">
        <v>4622</v>
      </c>
      <c r="B1180" s="3" t="s">
        <v>4623</v>
      </c>
      <c r="C1180" s="3">
        <v>12601.0</v>
      </c>
      <c r="D1180" s="3">
        <v>38.0</v>
      </c>
    </row>
    <row r="1181" ht="14.25" hidden="1" customHeight="1">
      <c r="A1181" s="3" t="s">
        <v>2528</v>
      </c>
      <c r="B1181" s="3" t="s">
        <v>2529</v>
      </c>
      <c r="C1181" s="3">
        <v>2012.0</v>
      </c>
      <c r="D1181" s="3">
        <v>3.0</v>
      </c>
    </row>
    <row r="1182" ht="14.25" hidden="1" customHeight="1">
      <c r="A1182" s="3" t="s">
        <v>3575</v>
      </c>
      <c r="B1182" s="3" t="s">
        <v>3576</v>
      </c>
      <c r="C1182" s="3">
        <v>37681.0</v>
      </c>
      <c r="D1182" s="3">
        <v>51.0</v>
      </c>
    </row>
    <row r="1183" ht="14.25" hidden="1" customHeight="1">
      <c r="A1183" s="3" t="s">
        <v>3120</v>
      </c>
      <c r="B1183" s="3" t="s">
        <v>3121</v>
      </c>
      <c r="C1183" s="3">
        <v>20966.0</v>
      </c>
      <c r="D1183" s="3">
        <v>41.0</v>
      </c>
    </row>
    <row r="1184" ht="14.25" hidden="1" customHeight="1">
      <c r="A1184" s="3" t="s">
        <v>4630</v>
      </c>
      <c r="B1184" s="3" t="s">
        <v>4631</v>
      </c>
      <c r="C1184" s="3">
        <v>3524.0</v>
      </c>
      <c r="D1184" s="3">
        <v>11.0</v>
      </c>
    </row>
    <row r="1185" ht="14.25" hidden="1" customHeight="1">
      <c r="A1185" s="3" t="s">
        <v>2530</v>
      </c>
      <c r="B1185" s="3" t="s">
        <v>2531</v>
      </c>
      <c r="C1185" s="3">
        <v>3348.0</v>
      </c>
      <c r="D1185" s="3">
        <v>5.0</v>
      </c>
    </row>
    <row r="1186" ht="14.25" hidden="1" customHeight="1">
      <c r="A1186" s="3" t="s">
        <v>2904</v>
      </c>
      <c r="B1186" s="3" t="s">
        <v>2905</v>
      </c>
      <c r="C1186" s="3">
        <v>12601.0</v>
      </c>
      <c r="D1186" s="3">
        <v>31.0</v>
      </c>
    </row>
    <row r="1187" ht="14.25" hidden="1" customHeight="1">
      <c r="A1187" s="3" t="s">
        <v>4637</v>
      </c>
      <c r="B1187" s="3" t="s">
        <v>4638</v>
      </c>
      <c r="C1187" s="3">
        <v>0.0</v>
      </c>
      <c r="D1187" s="3">
        <v>2.0</v>
      </c>
    </row>
    <row r="1188" ht="14.25" hidden="1" customHeight="1">
      <c r="A1188" s="3" t="s">
        <v>4639</v>
      </c>
      <c r="B1188" s="3" t="s">
        <v>4640</v>
      </c>
      <c r="C1188" s="3">
        <v>17010.0</v>
      </c>
      <c r="D1188" s="3">
        <v>1.0</v>
      </c>
    </row>
    <row r="1189" ht="14.25" hidden="1" customHeight="1">
      <c r="A1189" s="3" t="s">
        <v>4641</v>
      </c>
      <c r="B1189" s="3" t="s">
        <v>4642</v>
      </c>
      <c r="C1189" s="3">
        <v>17641.0</v>
      </c>
      <c r="D1189" s="3">
        <v>3.0</v>
      </c>
    </row>
    <row r="1190" ht="14.25" hidden="1" customHeight="1">
      <c r="A1190" s="3" t="s">
        <v>4643</v>
      </c>
      <c r="B1190" s="3" t="s">
        <v>4644</v>
      </c>
      <c r="C1190" s="3">
        <v>0.0</v>
      </c>
      <c r="D1190" s="3">
        <v>10.0</v>
      </c>
    </row>
    <row r="1191" ht="14.25" hidden="1" customHeight="1">
      <c r="A1191" s="3" t="s">
        <v>3579</v>
      </c>
      <c r="B1191" s="3" t="s">
        <v>3580</v>
      </c>
      <c r="C1191" s="3">
        <v>44000.0</v>
      </c>
      <c r="D1191" s="3">
        <v>10.0</v>
      </c>
    </row>
    <row r="1192" ht="14.25" hidden="1" customHeight="1">
      <c r="A1192" s="3" t="s">
        <v>16288</v>
      </c>
      <c r="B1192" s="3" t="s">
        <v>10493</v>
      </c>
      <c r="C1192" s="3">
        <v>4520.0</v>
      </c>
      <c r="D1192" s="3">
        <v>6.0</v>
      </c>
    </row>
    <row r="1193" ht="14.25" hidden="1" customHeight="1">
      <c r="A1193" s="3" t="s">
        <v>16289</v>
      </c>
      <c r="B1193" s="3" t="s">
        <v>2909</v>
      </c>
      <c r="C1193" s="3">
        <v>5670.0</v>
      </c>
      <c r="D1193" s="3">
        <v>10.0</v>
      </c>
    </row>
    <row r="1194" ht="14.25" hidden="1" customHeight="1">
      <c r="A1194" s="3" t="s">
        <v>16290</v>
      </c>
      <c r="B1194" s="3" t="s">
        <v>2911</v>
      </c>
      <c r="C1194" s="3">
        <v>5670.0</v>
      </c>
      <c r="D1194" s="3">
        <v>14.0</v>
      </c>
    </row>
    <row r="1195" ht="14.25" hidden="1" customHeight="1">
      <c r="A1195" s="3" t="s">
        <v>3150</v>
      </c>
      <c r="B1195" s="3" t="s">
        <v>611</v>
      </c>
      <c r="C1195" s="3">
        <v>4073.0</v>
      </c>
      <c r="D1195" s="3">
        <v>1.0</v>
      </c>
    </row>
    <row r="1196" ht="14.25" hidden="1" customHeight="1">
      <c r="A1196" s="3" t="s">
        <v>2536</v>
      </c>
      <c r="B1196" s="3" t="s">
        <v>603</v>
      </c>
      <c r="C1196" s="3">
        <v>4073.0</v>
      </c>
      <c r="D1196" s="3">
        <v>2.0</v>
      </c>
    </row>
    <row r="1197" ht="14.25" hidden="1" customHeight="1">
      <c r="A1197" s="3" t="s">
        <v>2912</v>
      </c>
      <c r="B1197" s="3" t="s">
        <v>657</v>
      </c>
      <c r="C1197" s="3">
        <v>2684.0</v>
      </c>
      <c r="D1197" s="3">
        <v>95.0</v>
      </c>
    </row>
    <row r="1198" ht="14.25" hidden="1" customHeight="1">
      <c r="A1198" s="3" t="s">
        <v>2913</v>
      </c>
      <c r="B1198" s="3" t="s">
        <v>653</v>
      </c>
      <c r="C1198" s="3">
        <v>2684.0</v>
      </c>
      <c r="D1198" s="3">
        <v>95.0</v>
      </c>
    </row>
    <row r="1199" ht="14.25" hidden="1" customHeight="1">
      <c r="A1199" s="3" t="s">
        <v>2914</v>
      </c>
      <c r="B1199" s="3" t="s">
        <v>659</v>
      </c>
      <c r="C1199" s="3">
        <v>2684.0</v>
      </c>
      <c r="D1199" s="3">
        <v>87.0</v>
      </c>
    </row>
    <row r="1200" ht="14.25" hidden="1" customHeight="1">
      <c r="A1200" s="3" t="s">
        <v>2915</v>
      </c>
      <c r="B1200" s="3" t="s">
        <v>655</v>
      </c>
      <c r="C1200" s="3">
        <v>2684.0</v>
      </c>
      <c r="D1200" s="3">
        <v>93.0</v>
      </c>
    </row>
    <row r="1201" ht="14.25" hidden="1" customHeight="1">
      <c r="A1201" s="3" t="s">
        <v>2916</v>
      </c>
      <c r="B1201" s="3" t="s">
        <v>623</v>
      </c>
      <c r="C1201" s="3">
        <v>3861.0</v>
      </c>
      <c r="D1201" s="3">
        <v>189.0</v>
      </c>
    </row>
    <row r="1202" ht="14.25" hidden="1" customHeight="1">
      <c r="A1202" s="3" t="s">
        <v>2917</v>
      </c>
      <c r="B1202" s="3" t="s">
        <v>617</v>
      </c>
      <c r="C1202" s="3">
        <v>3861.0</v>
      </c>
      <c r="D1202" s="3">
        <v>183.0</v>
      </c>
    </row>
    <row r="1203" ht="14.25" hidden="1" customHeight="1">
      <c r="A1203" s="3" t="s">
        <v>2918</v>
      </c>
      <c r="B1203" s="3" t="s">
        <v>619</v>
      </c>
      <c r="C1203" s="3">
        <v>3861.0</v>
      </c>
      <c r="D1203" s="3">
        <v>191.0</v>
      </c>
    </row>
    <row r="1204" ht="14.25" hidden="1" customHeight="1">
      <c r="A1204" s="3" t="s">
        <v>2919</v>
      </c>
      <c r="B1204" s="3" t="s">
        <v>621</v>
      </c>
      <c r="C1204" s="3">
        <v>3861.0</v>
      </c>
      <c r="D1204" s="3">
        <v>181.0</v>
      </c>
    </row>
    <row r="1205" ht="14.25" hidden="1" customHeight="1">
      <c r="A1205" s="3" t="s">
        <v>2920</v>
      </c>
      <c r="B1205" s="3" t="s">
        <v>625</v>
      </c>
      <c r="C1205" s="3">
        <v>3861.0</v>
      </c>
      <c r="D1205" s="3">
        <v>186.0</v>
      </c>
    </row>
    <row r="1206" ht="14.25" hidden="1" customHeight="1">
      <c r="A1206" s="3" t="s">
        <v>2540</v>
      </c>
      <c r="B1206" s="3" t="s">
        <v>631</v>
      </c>
      <c r="C1206" s="3">
        <v>4356.0</v>
      </c>
      <c r="D1206" s="3">
        <v>167.0</v>
      </c>
    </row>
    <row r="1207" ht="14.25" hidden="1" customHeight="1">
      <c r="A1207" s="3" t="s">
        <v>2921</v>
      </c>
      <c r="B1207" s="3" t="s">
        <v>627</v>
      </c>
      <c r="C1207" s="3">
        <v>4356.0</v>
      </c>
      <c r="D1207" s="3">
        <v>186.0</v>
      </c>
    </row>
    <row r="1208" ht="14.25" hidden="1" customHeight="1">
      <c r="A1208" s="3" t="s">
        <v>2541</v>
      </c>
      <c r="B1208" s="3" t="s">
        <v>635</v>
      </c>
      <c r="C1208" s="3">
        <v>4356.0</v>
      </c>
      <c r="D1208" s="3">
        <v>189.0</v>
      </c>
    </row>
    <row r="1209" ht="14.25" hidden="1" customHeight="1">
      <c r="A1209" s="3" t="s">
        <v>2542</v>
      </c>
      <c r="B1209" s="3" t="s">
        <v>629</v>
      </c>
      <c r="C1209" s="3">
        <v>4356.0</v>
      </c>
      <c r="D1209" s="3">
        <v>155.0</v>
      </c>
    </row>
    <row r="1210" ht="14.25" hidden="1" customHeight="1">
      <c r="A1210" s="3" t="s">
        <v>2543</v>
      </c>
      <c r="B1210" s="3" t="s">
        <v>633</v>
      </c>
      <c r="C1210" s="3">
        <v>4356.0</v>
      </c>
      <c r="D1210" s="3">
        <v>155.0</v>
      </c>
    </row>
    <row r="1211" ht="14.25" hidden="1" customHeight="1">
      <c r="A1211" s="3" t="s">
        <v>2550</v>
      </c>
      <c r="B1211" s="3" t="s">
        <v>722</v>
      </c>
      <c r="C1211" s="3">
        <v>2753.0</v>
      </c>
      <c r="D1211" s="3">
        <v>91.0</v>
      </c>
    </row>
    <row r="1212" ht="14.25" hidden="1" customHeight="1">
      <c r="A1212" s="3" t="s">
        <v>3122</v>
      </c>
      <c r="B1212" s="3" t="s">
        <v>720</v>
      </c>
      <c r="C1212" s="3">
        <v>2753.0</v>
      </c>
      <c r="D1212" s="3">
        <v>95.0</v>
      </c>
    </row>
    <row r="1213" ht="14.25" hidden="1" customHeight="1">
      <c r="A1213" s="3" t="s">
        <v>3123</v>
      </c>
      <c r="B1213" s="3" t="s">
        <v>724</v>
      </c>
      <c r="C1213" s="3">
        <v>2753.0</v>
      </c>
      <c r="D1213" s="3">
        <v>91.0</v>
      </c>
    </row>
    <row r="1214" ht="14.25" hidden="1" customHeight="1">
      <c r="A1214" s="3" t="s">
        <v>3124</v>
      </c>
      <c r="B1214" s="3" t="s">
        <v>718</v>
      </c>
      <c r="C1214" s="3">
        <v>2753.0</v>
      </c>
      <c r="D1214" s="3">
        <v>93.0</v>
      </c>
    </row>
    <row r="1215" ht="14.25" hidden="1" customHeight="1">
      <c r="A1215" s="3" t="s">
        <v>2922</v>
      </c>
      <c r="B1215" s="3" t="s">
        <v>767</v>
      </c>
      <c r="C1215" s="3">
        <v>27160.0</v>
      </c>
      <c r="D1215" s="3">
        <v>90.0</v>
      </c>
    </row>
    <row r="1216" ht="14.25" hidden="1" customHeight="1">
      <c r="A1216" s="3" t="s">
        <v>2923</v>
      </c>
      <c r="B1216" s="3" t="s">
        <v>769</v>
      </c>
      <c r="C1216" s="3">
        <v>27160.0</v>
      </c>
      <c r="D1216" s="3">
        <v>21.0</v>
      </c>
    </row>
    <row r="1217" ht="14.25" hidden="1" customHeight="1">
      <c r="A1217" s="3" t="s">
        <v>2924</v>
      </c>
      <c r="B1217" s="3" t="s">
        <v>771</v>
      </c>
      <c r="C1217" s="3">
        <v>27160.0</v>
      </c>
      <c r="D1217" s="3">
        <v>70.0</v>
      </c>
    </row>
    <row r="1218" ht="14.25" hidden="1" customHeight="1">
      <c r="A1218" s="3" t="s">
        <v>3125</v>
      </c>
      <c r="B1218" s="3" t="s">
        <v>708</v>
      </c>
      <c r="C1218" s="3">
        <v>2402.0</v>
      </c>
      <c r="D1218" s="3">
        <v>1.0</v>
      </c>
    </row>
    <row r="1219" ht="14.25" hidden="1" customHeight="1">
      <c r="A1219" s="3" t="s">
        <v>2569</v>
      </c>
      <c r="B1219" s="3" t="s">
        <v>716</v>
      </c>
      <c r="C1219" s="3">
        <v>2402.0</v>
      </c>
      <c r="D1219" s="3">
        <v>65.0</v>
      </c>
    </row>
    <row r="1220" ht="14.25" hidden="1" customHeight="1">
      <c r="A1220" s="3" t="s">
        <v>3126</v>
      </c>
      <c r="B1220" s="3" t="s">
        <v>712</v>
      </c>
      <c r="C1220" s="3">
        <v>2402.0</v>
      </c>
      <c r="D1220" s="3">
        <v>50.0</v>
      </c>
    </row>
    <row r="1221" ht="14.25" hidden="1" customHeight="1">
      <c r="A1221" s="3" t="s">
        <v>2571</v>
      </c>
      <c r="B1221" s="3" t="s">
        <v>710</v>
      </c>
      <c r="C1221" s="3">
        <v>2402.0</v>
      </c>
      <c r="D1221" s="3">
        <v>1.0</v>
      </c>
    </row>
    <row r="1222" ht="14.25" hidden="1" customHeight="1">
      <c r="A1222" s="3" t="s">
        <v>2572</v>
      </c>
      <c r="B1222" s="3" t="s">
        <v>706</v>
      </c>
      <c r="C1222" s="3">
        <v>2402.0</v>
      </c>
      <c r="D1222" s="3">
        <v>92.0</v>
      </c>
    </row>
    <row r="1223" ht="14.25" hidden="1" customHeight="1">
      <c r="A1223" s="3" t="s">
        <v>2573</v>
      </c>
      <c r="B1223" s="3" t="s">
        <v>572</v>
      </c>
      <c r="C1223" s="3">
        <v>8272.0</v>
      </c>
      <c r="D1223" s="3">
        <v>120.0</v>
      </c>
    </row>
    <row r="1224" ht="14.25" hidden="1" customHeight="1">
      <c r="A1224" s="3" t="s">
        <v>2574</v>
      </c>
      <c r="B1224" s="3" t="s">
        <v>568</v>
      </c>
      <c r="C1224" s="3">
        <v>8272.0</v>
      </c>
      <c r="D1224" s="3">
        <v>63.0</v>
      </c>
    </row>
    <row r="1225" ht="14.25" hidden="1" customHeight="1">
      <c r="A1225" s="3" t="s">
        <v>2575</v>
      </c>
      <c r="B1225" s="3" t="s">
        <v>570</v>
      </c>
      <c r="C1225" s="3">
        <v>8272.0</v>
      </c>
      <c r="D1225" s="3">
        <v>13.0</v>
      </c>
    </row>
    <row r="1226" ht="14.25" hidden="1" customHeight="1">
      <c r="A1226" s="3" t="s">
        <v>2925</v>
      </c>
      <c r="B1226" s="3" t="s">
        <v>739</v>
      </c>
      <c r="C1226" s="3">
        <v>6396.0</v>
      </c>
      <c r="D1226" s="3">
        <v>81.0</v>
      </c>
    </row>
    <row r="1227" ht="14.25" hidden="1" customHeight="1">
      <c r="A1227" s="3" t="s">
        <v>2926</v>
      </c>
      <c r="B1227" s="3" t="s">
        <v>743</v>
      </c>
      <c r="C1227" s="3">
        <v>6396.0</v>
      </c>
      <c r="D1227" s="3">
        <v>81.0</v>
      </c>
    </row>
    <row r="1228" ht="14.25" hidden="1" customHeight="1">
      <c r="A1228" s="3" t="s">
        <v>2927</v>
      </c>
      <c r="B1228" s="3" t="s">
        <v>741</v>
      </c>
      <c r="C1228" s="3">
        <v>6396.0</v>
      </c>
      <c r="D1228" s="3">
        <v>91.0</v>
      </c>
    </row>
    <row r="1229" ht="14.25" hidden="1" customHeight="1">
      <c r="A1229" s="3" t="s">
        <v>2928</v>
      </c>
      <c r="B1229" s="3" t="s">
        <v>737</v>
      </c>
      <c r="C1229" s="3">
        <v>6396.0</v>
      </c>
      <c r="D1229" s="3">
        <v>91.0</v>
      </c>
    </row>
    <row r="1230" ht="14.25" hidden="1" customHeight="1">
      <c r="A1230" s="3" t="s">
        <v>3212</v>
      </c>
      <c r="B1230" s="3" t="s">
        <v>671</v>
      </c>
      <c r="C1230" s="3">
        <v>799.0</v>
      </c>
      <c r="D1230" s="3">
        <v>84.0</v>
      </c>
    </row>
    <row r="1231" ht="14.25" hidden="1" customHeight="1">
      <c r="A1231" s="3" t="s">
        <v>3213</v>
      </c>
      <c r="B1231" s="3" t="s">
        <v>673</v>
      </c>
      <c r="C1231" s="3">
        <v>799.0</v>
      </c>
      <c r="D1231" s="3">
        <v>84.0</v>
      </c>
    </row>
    <row r="1232" ht="14.25" hidden="1" customHeight="1">
      <c r="A1232" s="3" t="s">
        <v>2592</v>
      </c>
      <c r="B1232" s="3" t="s">
        <v>661</v>
      </c>
      <c r="C1232" s="3">
        <v>2788.0</v>
      </c>
      <c r="D1232" s="3">
        <v>29.0</v>
      </c>
    </row>
    <row r="1233" ht="14.25" hidden="1" customHeight="1">
      <c r="A1233" s="3" t="s">
        <v>2593</v>
      </c>
      <c r="B1233" s="3" t="s">
        <v>728</v>
      </c>
      <c r="C1233" s="3">
        <v>2925.0</v>
      </c>
      <c r="D1233" s="3">
        <v>100.0</v>
      </c>
    </row>
    <row r="1234" ht="14.25" hidden="1" customHeight="1">
      <c r="A1234" s="3" t="s">
        <v>2594</v>
      </c>
      <c r="B1234" s="3" t="s">
        <v>732</v>
      </c>
      <c r="C1234" s="3">
        <v>2925.0</v>
      </c>
      <c r="D1234" s="3">
        <v>98.0</v>
      </c>
    </row>
    <row r="1235" ht="14.25" hidden="1" customHeight="1">
      <c r="A1235" s="3" t="s">
        <v>2596</v>
      </c>
      <c r="B1235" s="3" t="s">
        <v>730</v>
      </c>
      <c r="C1235" s="3">
        <v>2925.0</v>
      </c>
      <c r="D1235" s="3">
        <v>100.0</v>
      </c>
    </row>
    <row r="1236" ht="14.25" hidden="1" customHeight="1">
      <c r="A1236" s="3" t="s">
        <v>2597</v>
      </c>
      <c r="B1236" s="3" t="s">
        <v>734</v>
      </c>
      <c r="C1236" s="3">
        <v>2925.0</v>
      </c>
      <c r="D1236" s="3">
        <v>98.0</v>
      </c>
    </row>
    <row r="1237" ht="14.25" hidden="1" customHeight="1">
      <c r="A1237" s="3" t="s">
        <v>2598</v>
      </c>
      <c r="B1237" s="3" t="s">
        <v>726</v>
      </c>
      <c r="C1237" s="3">
        <v>2925.0</v>
      </c>
      <c r="D1237" s="3">
        <v>100.0</v>
      </c>
    </row>
    <row r="1238" ht="14.25" hidden="1" customHeight="1">
      <c r="A1238" s="3" t="s">
        <v>16291</v>
      </c>
      <c r="B1238" s="3" t="s">
        <v>216</v>
      </c>
      <c r="C1238" s="3">
        <v>11381.0</v>
      </c>
      <c r="D1238" s="3">
        <v>92.0</v>
      </c>
    </row>
    <row r="1239" ht="14.25" hidden="1" customHeight="1">
      <c r="A1239" s="3" t="s">
        <v>2674</v>
      </c>
      <c r="B1239" s="3" t="s">
        <v>170</v>
      </c>
      <c r="C1239" s="3">
        <v>4354.0</v>
      </c>
      <c r="D1239" s="3">
        <v>9.0</v>
      </c>
    </row>
    <row r="1240" ht="14.25" hidden="1" customHeight="1">
      <c r="A1240" s="3" t="s">
        <v>2931</v>
      </c>
      <c r="B1240" s="3" t="s">
        <v>168</v>
      </c>
      <c r="C1240" s="3">
        <v>4354.0</v>
      </c>
      <c r="D1240" s="3">
        <v>12.0</v>
      </c>
    </row>
    <row r="1241" ht="14.25" hidden="1" customHeight="1">
      <c r="A1241" s="3" t="s">
        <v>2675</v>
      </c>
      <c r="B1241" s="3" t="s">
        <v>184</v>
      </c>
      <c r="C1241" s="3">
        <v>7256.0</v>
      </c>
      <c r="D1241" s="3">
        <v>40.0</v>
      </c>
    </row>
    <row r="1242" ht="14.25" hidden="1" customHeight="1">
      <c r="A1242" s="3" t="s">
        <v>2676</v>
      </c>
      <c r="B1242" s="3" t="s">
        <v>182</v>
      </c>
      <c r="C1242" s="3">
        <v>7256.0</v>
      </c>
      <c r="D1242" s="3">
        <v>33.0</v>
      </c>
    </row>
    <row r="1243" ht="14.25" hidden="1" customHeight="1">
      <c r="A1243" s="3" t="s">
        <v>2677</v>
      </c>
      <c r="B1243" s="3" t="s">
        <v>186</v>
      </c>
      <c r="C1243" s="3">
        <v>7438.0</v>
      </c>
      <c r="D1243" s="3">
        <v>36.0</v>
      </c>
    </row>
    <row r="1244" ht="14.25" customHeight="1">
      <c r="A1244" s="3" t="s">
        <v>16292</v>
      </c>
      <c r="B1244" s="3" t="s">
        <v>292</v>
      </c>
      <c r="C1244" s="3">
        <v>21240.0</v>
      </c>
      <c r="D1244" s="3">
        <v>216.0</v>
      </c>
    </row>
    <row r="1245" ht="14.25" hidden="1" customHeight="1">
      <c r="A1245" s="3" t="s">
        <v>2685</v>
      </c>
      <c r="B1245" s="3" t="s">
        <v>2686</v>
      </c>
      <c r="C1245" s="3">
        <v>1676.0</v>
      </c>
      <c r="D1245" s="3">
        <v>103.0</v>
      </c>
    </row>
    <row r="1246" ht="14.25" hidden="1" customHeight="1">
      <c r="A1246" s="3" t="s">
        <v>4815</v>
      </c>
      <c r="B1246" s="3" t="s">
        <v>4816</v>
      </c>
      <c r="C1246" s="3">
        <v>0.0</v>
      </c>
      <c r="D1246" s="3">
        <v>2.0</v>
      </c>
    </row>
    <row r="1247" ht="14.25" hidden="1" customHeight="1">
      <c r="A1247" s="3" t="s">
        <v>5640</v>
      </c>
      <c r="B1247" s="3" t="s">
        <v>5641</v>
      </c>
      <c r="C1247" s="3">
        <v>4176.0</v>
      </c>
      <c r="D1247" s="3">
        <v>2.0</v>
      </c>
    </row>
    <row r="1248" ht="14.25" hidden="1" customHeight="1">
      <c r="A1248" s="3" t="s">
        <v>5642</v>
      </c>
      <c r="B1248" s="3" t="s">
        <v>5643</v>
      </c>
      <c r="C1248" s="3">
        <v>4176.0</v>
      </c>
      <c r="D1248" s="3">
        <v>10.0</v>
      </c>
    </row>
    <row r="1249" ht="14.25" hidden="1" customHeight="1">
      <c r="A1249" s="3" t="s">
        <v>16293</v>
      </c>
      <c r="B1249" s="3" t="s">
        <v>15297</v>
      </c>
      <c r="C1249" s="3">
        <v>4176.0</v>
      </c>
      <c r="D1249" s="3">
        <v>9.0</v>
      </c>
    </row>
    <row r="1250" ht="14.25" hidden="1" customHeight="1">
      <c r="A1250" s="3" t="s">
        <v>3586</v>
      </c>
      <c r="B1250" s="3" t="s">
        <v>3587</v>
      </c>
      <c r="C1250" s="3">
        <v>0.0</v>
      </c>
      <c r="D1250" s="3">
        <v>19.0</v>
      </c>
    </row>
    <row r="1251" ht="14.25" hidden="1" customHeight="1">
      <c r="A1251" s="3" t="s">
        <v>16294</v>
      </c>
      <c r="B1251" s="3" t="s">
        <v>12507</v>
      </c>
      <c r="C1251" s="3">
        <v>0.0</v>
      </c>
      <c r="D1251" s="3">
        <v>17.0</v>
      </c>
    </row>
    <row r="1252" ht="14.25" hidden="1" customHeight="1">
      <c r="A1252" s="3" t="s">
        <v>16295</v>
      </c>
      <c r="B1252" s="3" t="s">
        <v>12505</v>
      </c>
      <c r="C1252" s="3">
        <v>0.0</v>
      </c>
      <c r="D1252" s="3">
        <v>1.0</v>
      </c>
    </row>
    <row r="1253" ht="14.25" hidden="1" customHeight="1">
      <c r="A1253" s="3" t="s">
        <v>2932</v>
      </c>
      <c r="B1253" s="3" t="s">
        <v>2933</v>
      </c>
      <c r="C1253" s="3">
        <v>0.0</v>
      </c>
      <c r="D1253" s="3">
        <v>8.0</v>
      </c>
    </row>
    <row r="1254" ht="14.25" hidden="1" customHeight="1">
      <c r="A1254" s="3" t="s">
        <v>5648</v>
      </c>
      <c r="B1254" s="3" t="s">
        <v>5649</v>
      </c>
      <c r="C1254" s="3">
        <v>0.0</v>
      </c>
      <c r="D1254" s="3">
        <v>4.0</v>
      </c>
    </row>
    <row r="1255" ht="14.25" hidden="1" customHeight="1">
      <c r="A1255" s="3" t="s">
        <v>2934</v>
      </c>
      <c r="B1255" s="3" t="s">
        <v>2935</v>
      </c>
      <c r="C1255" s="3">
        <v>0.0</v>
      </c>
      <c r="D1255" s="3">
        <v>2.0</v>
      </c>
    </row>
    <row r="1256" ht="14.25" hidden="1" customHeight="1">
      <c r="A1256" s="3" t="s">
        <v>16296</v>
      </c>
      <c r="B1256" s="3" t="s">
        <v>12491</v>
      </c>
      <c r="C1256" s="3">
        <v>0.0</v>
      </c>
      <c r="D1256" s="3">
        <v>9.0</v>
      </c>
    </row>
    <row r="1257" ht="14.25" hidden="1" customHeight="1">
      <c r="A1257" s="3" t="s">
        <v>3588</v>
      </c>
      <c r="B1257" s="3" t="s">
        <v>3589</v>
      </c>
      <c r="C1257" s="3">
        <v>0.0</v>
      </c>
      <c r="D1257" s="3">
        <v>8.0</v>
      </c>
    </row>
    <row r="1258" ht="14.25" hidden="1" customHeight="1">
      <c r="A1258" s="3" t="s">
        <v>16297</v>
      </c>
      <c r="B1258" s="3" t="s">
        <v>12786</v>
      </c>
      <c r="C1258" s="3">
        <v>0.0</v>
      </c>
      <c r="D1258" s="3">
        <v>9.0</v>
      </c>
    </row>
    <row r="1259" ht="14.25" hidden="1" customHeight="1">
      <c r="A1259" s="3" t="s">
        <v>16298</v>
      </c>
      <c r="B1259" s="3" t="s">
        <v>12788</v>
      </c>
      <c r="C1259" s="3">
        <v>0.0</v>
      </c>
      <c r="D1259" s="3">
        <v>3.0</v>
      </c>
    </row>
    <row r="1260" ht="14.25" hidden="1" customHeight="1">
      <c r="A1260" s="3" t="s">
        <v>16299</v>
      </c>
      <c r="B1260" s="3" t="s">
        <v>12794</v>
      </c>
      <c r="C1260" s="3">
        <v>0.0</v>
      </c>
      <c r="D1260" s="3">
        <v>4.0</v>
      </c>
    </row>
    <row r="1261" ht="14.25" hidden="1" customHeight="1">
      <c r="A1261" s="3" t="s">
        <v>16300</v>
      </c>
      <c r="B1261" s="3" t="s">
        <v>12767</v>
      </c>
      <c r="C1261" s="3">
        <v>0.0</v>
      </c>
      <c r="D1261" s="3">
        <v>2.0</v>
      </c>
    </row>
    <row r="1262" ht="14.25" hidden="1" customHeight="1">
      <c r="A1262" s="3" t="s">
        <v>16301</v>
      </c>
      <c r="B1262" s="3" t="s">
        <v>12773</v>
      </c>
      <c r="C1262" s="3">
        <v>0.0</v>
      </c>
      <c r="D1262" s="3">
        <v>10.0</v>
      </c>
    </row>
    <row r="1263" ht="14.25" hidden="1" customHeight="1">
      <c r="A1263" s="3" t="s">
        <v>16302</v>
      </c>
      <c r="B1263" s="3" t="s">
        <v>12769</v>
      </c>
      <c r="C1263" s="3">
        <v>0.0</v>
      </c>
      <c r="D1263" s="3">
        <v>6.0</v>
      </c>
    </row>
    <row r="1264" ht="14.25" hidden="1" customHeight="1">
      <c r="A1264" s="3" t="s">
        <v>16303</v>
      </c>
      <c r="B1264" s="3" t="s">
        <v>12771</v>
      </c>
      <c r="C1264" s="3">
        <v>0.0</v>
      </c>
      <c r="D1264" s="3">
        <v>4.0</v>
      </c>
    </row>
    <row r="1265" ht="14.25" hidden="1" customHeight="1">
      <c r="A1265" s="3" t="s">
        <v>16304</v>
      </c>
      <c r="B1265" s="3" t="s">
        <v>12529</v>
      </c>
      <c r="C1265" s="3">
        <v>0.0</v>
      </c>
      <c r="D1265" s="3">
        <v>6.0</v>
      </c>
    </row>
    <row r="1266" ht="14.25" hidden="1" customHeight="1">
      <c r="A1266" s="3" t="s">
        <v>3590</v>
      </c>
      <c r="B1266" s="3" t="s">
        <v>3591</v>
      </c>
      <c r="C1266" s="3">
        <v>11592.0</v>
      </c>
      <c r="D1266" s="3">
        <v>5.0</v>
      </c>
    </row>
    <row r="1267" ht="14.25" hidden="1" customHeight="1">
      <c r="A1267" s="3" t="s">
        <v>16305</v>
      </c>
      <c r="B1267" s="3" t="s">
        <v>12442</v>
      </c>
      <c r="C1267" s="3">
        <v>0.0</v>
      </c>
      <c r="D1267" s="3">
        <v>8.0</v>
      </c>
    </row>
    <row r="1268" ht="14.25" hidden="1" customHeight="1">
      <c r="A1268" s="3" t="s">
        <v>5654</v>
      </c>
      <c r="B1268" s="3" t="s">
        <v>5655</v>
      </c>
      <c r="C1268" s="3">
        <v>0.0</v>
      </c>
      <c r="D1268" s="3">
        <v>24.0</v>
      </c>
    </row>
    <row r="1269" ht="14.25" hidden="1" customHeight="1">
      <c r="A1269" s="3" t="s">
        <v>2936</v>
      </c>
      <c r="B1269" s="3" t="s">
        <v>2937</v>
      </c>
      <c r="C1269" s="3">
        <v>0.0</v>
      </c>
      <c r="D1269" s="3">
        <v>25.0</v>
      </c>
    </row>
    <row r="1270" ht="14.25" hidden="1" customHeight="1">
      <c r="A1270" s="3" t="s">
        <v>3339</v>
      </c>
      <c r="B1270" s="3" t="s">
        <v>3340</v>
      </c>
      <c r="C1270" s="3">
        <v>13104.0</v>
      </c>
      <c r="D1270" s="3">
        <v>4.0</v>
      </c>
    </row>
    <row r="1271" ht="14.25" hidden="1" customHeight="1">
      <c r="A1271" s="3" t="s">
        <v>3592</v>
      </c>
      <c r="B1271" s="3" t="s">
        <v>3593</v>
      </c>
      <c r="C1271" s="3">
        <v>0.0</v>
      </c>
      <c r="D1271" s="3">
        <v>23.0</v>
      </c>
    </row>
    <row r="1272" ht="14.25" hidden="1" customHeight="1">
      <c r="A1272" s="3" t="s">
        <v>3594</v>
      </c>
      <c r="B1272" s="3" t="s">
        <v>3595</v>
      </c>
      <c r="C1272" s="3">
        <v>13104.0</v>
      </c>
      <c r="D1272" s="3">
        <v>12.0</v>
      </c>
    </row>
    <row r="1273" ht="14.25" hidden="1" customHeight="1">
      <c r="A1273" s="3" t="s">
        <v>16306</v>
      </c>
      <c r="B1273" s="3" t="s">
        <v>12684</v>
      </c>
      <c r="C1273" s="3">
        <v>0.0</v>
      </c>
      <c r="D1273" s="3">
        <v>9.0</v>
      </c>
    </row>
    <row r="1274" ht="14.25" hidden="1" customHeight="1">
      <c r="A1274" s="3" t="s">
        <v>5656</v>
      </c>
      <c r="B1274" s="3" t="s">
        <v>5657</v>
      </c>
      <c r="C1274" s="3">
        <v>0.0</v>
      </c>
      <c r="D1274" s="3">
        <v>11.0</v>
      </c>
    </row>
    <row r="1275" ht="14.25" hidden="1" customHeight="1">
      <c r="A1275" s="3" t="s">
        <v>3596</v>
      </c>
      <c r="B1275" s="3" t="s">
        <v>3597</v>
      </c>
      <c r="C1275" s="3">
        <v>0.0</v>
      </c>
      <c r="D1275" s="3">
        <v>12.0</v>
      </c>
    </row>
    <row r="1276" ht="14.25" hidden="1" customHeight="1">
      <c r="A1276" s="3" t="s">
        <v>16307</v>
      </c>
      <c r="B1276" s="3" t="s">
        <v>12701</v>
      </c>
      <c r="C1276" s="3">
        <v>0.0</v>
      </c>
      <c r="D1276" s="3">
        <v>11.0</v>
      </c>
    </row>
    <row r="1277" ht="14.25" hidden="1" customHeight="1">
      <c r="A1277" s="3" t="s">
        <v>3341</v>
      </c>
      <c r="B1277" s="3" t="s">
        <v>3342</v>
      </c>
      <c r="C1277" s="3">
        <v>13104.0</v>
      </c>
      <c r="D1277" s="3">
        <v>3.0</v>
      </c>
    </row>
    <row r="1278" ht="14.25" hidden="1" customHeight="1">
      <c r="A1278" s="3" t="s">
        <v>16308</v>
      </c>
      <c r="B1278" s="3" t="s">
        <v>12680</v>
      </c>
      <c r="C1278" s="3">
        <v>0.0</v>
      </c>
      <c r="D1278" s="3">
        <v>7.0</v>
      </c>
    </row>
    <row r="1279" ht="14.25" hidden="1" customHeight="1">
      <c r="A1279" s="3" t="s">
        <v>16309</v>
      </c>
      <c r="B1279" s="3" t="s">
        <v>12662</v>
      </c>
      <c r="C1279" s="3">
        <v>0.0</v>
      </c>
      <c r="D1279" s="3">
        <v>1.0</v>
      </c>
    </row>
    <row r="1280" ht="14.25" hidden="1" customHeight="1">
      <c r="A1280" s="3" t="s">
        <v>16310</v>
      </c>
      <c r="B1280" s="3" t="s">
        <v>12658</v>
      </c>
      <c r="C1280" s="3">
        <v>0.0</v>
      </c>
      <c r="D1280" s="3">
        <v>7.0</v>
      </c>
    </row>
    <row r="1281" ht="14.25" hidden="1" customHeight="1">
      <c r="A1281" s="3" t="s">
        <v>2940</v>
      </c>
      <c r="B1281" s="3" t="s">
        <v>2941</v>
      </c>
      <c r="C1281" s="3">
        <v>0.0</v>
      </c>
      <c r="D1281" s="3">
        <v>12.0</v>
      </c>
    </row>
    <row r="1282" ht="14.25" hidden="1" customHeight="1">
      <c r="A1282" s="3" t="s">
        <v>3343</v>
      </c>
      <c r="B1282" s="3" t="s">
        <v>3344</v>
      </c>
      <c r="C1282" s="3">
        <v>10499.0</v>
      </c>
      <c r="D1282" s="3">
        <v>1.0</v>
      </c>
    </row>
    <row r="1283" ht="14.25" hidden="1" customHeight="1">
      <c r="A1283" s="3" t="s">
        <v>3345</v>
      </c>
      <c r="B1283" s="3" t="s">
        <v>3346</v>
      </c>
      <c r="C1283" s="3">
        <v>10499.0</v>
      </c>
      <c r="D1283" s="3">
        <v>8.0</v>
      </c>
    </row>
    <row r="1284" ht="14.25" hidden="1" customHeight="1">
      <c r="A1284" s="3" t="s">
        <v>16311</v>
      </c>
      <c r="B1284" s="3" t="s">
        <v>12674</v>
      </c>
      <c r="C1284" s="3">
        <v>0.0</v>
      </c>
      <c r="D1284" s="3">
        <v>8.0</v>
      </c>
    </row>
    <row r="1285" ht="14.25" hidden="1" customHeight="1">
      <c r="A1285" s="3" t="s">
        <v>3347</v>
      </c>
      <c r="B1285" s="3" t="s">
        <v>3348</v>
      </c>
      <c r="C1285" s="3">
        <v>10499.0</v>
      </c>
      <c r="D1285" s="3">
        <v>2.0</v>
      </c>
    </row>
    <row r="1286" ht="14.25" hidden="1" customHeight="1">
      <c r="A1286" s="3" t="s">
        <v>5658</v>
      </c>
      <c r="B1286" s="3" t="s">
        <v>5659</v>
      </c>
      <c r="C1286" s="3">
        <v>0.0</v>
      </c>
      <c r="D1286" s="3">
        <v>10.0</v>
      </c>
    </row>
    <row r="1287" ht="14.25" hidden="1" customHeight="1">
      <c r="A1287" s="3" t="s">
        <v>3349</v>
      </c>
      <c r="B1287" s="3" t="s">
        <v>3350</v>
      </c>
      <c r="C1287" s="3">
        <v>10499.0</v>
      </c>
      <c r="D1287" s="3">
        <v>2.0</v>
      </c>
    </row>
    <row r="1288" ht="14.25" hidden="1" customHeight="1">
      <c r="A1288" s="3" t="s">
        <v>16312</v>
      </c>
      <c r="B1288" s="3" t="s">
        <v>12650</v>
      </c>
      <c r="C1288" s="3">
        <v>0.0</v>
      </c>
      <c r="D1288" s="3">
        <v>18.0</v>
      </c>
    </row>
    <row r="1289" ht="14.25" hidden="1" customHeight="1">
      <c r="A1289" s="3" t="s">
        <v>16313</v>
      </c>
      <c r="B1289" s="3" t="s">
        <v>12521</v>
      </c>
      <c r="C1289" s="3">
        <v>0.0</v>
      </c>
      <c r="D1289" s="3">
        <v>2.0</v>
      </c>
    </row>
    <row r="1290" ht="14.25" hidden="1" customHeight="1">
      <c r="A1290" s="3" t="s">
        <v>16314</v>
      </c>
      <c r="B1290" s="3" t="s">
        <v>12523</v>
      </c>
      <c r="C1290" s="3">
        <v>0.0</v>
      </c>
      <c r="D1290" s="3">
        <v>14.0</v>
      </c>
    </row>
    <row r="1291" ht="14.25" hidden="1" customHeight="1">
      <c r="A1291" s="3" t="s">
        <v>16315</v>
      </c>
      <c r="B1291" s="3" t="s">
        <v>12519</v>
      </c>
      <c r="C1291" s="3">
        <v>0.0</v>
      </c>
      <c r="D1291" s="3">
        <v>15.0</v>
      </c>
    </row>
    <row r="1292" ht="14.25" hidden="1" customHeight="1">
      <c r="A1292" s="3" t="s">
        <v>5660</v>
      </c>
      <c r="B1292" s="3" t="s">
        <v>5661</v>
      </c>
      <c r="C1292" s="3">
        <v>0.0</v>
      </c>
      <c r="D1292" s="3">
        <v>3.0</v>
      </c>
    </row>
    <row r="1293" ht="14.25" hidden="1" customHeight="1">
      <c r="A1293" s="3" t="s">
        <v>16316</v>
      </c>
      <c r="B1293" s="3" t="s">
        <v>12527</v>
      </c>
      <c r="C1293" s="3">
        <v>0.0</v>
      </c>
      <c r="D1293" s="3">
        <v>4.0</v>
      </c>
    </row>
    <row r="1294" ht="14.25" hidden="1" customHeight="1">
      <c r="A1294" s="3" t="s">
        <v>16317</v>
      </c>
      <c r="B1294" s="3" t="s">
        <v>12517</v>
      </c>
      <c r="C1294" s="3">
        <v>0.0</v>
      </c>
      <c r="D1294" s="3">
        <v>5.0</v>
      </c>
    </row>
    <row r="1295" ht="14.25" hidden="1" customHeight="1">
      <c r="A1295" s="3" t="s">
        <v>16318</v>
      </c>
      <c r="B1295" s="3" t="s">
        <v>12807</v>
      </c>
      <c r="C1295" s="3">
        <v>0.0</v>
      </c>
      <c r="D1295" s="3">
        <v>5.0</v>
      </c>
    </row>
    <row r="1296" ht="14.25" hidden="1" customHeight="1">
      <c r="A1296" s="3" t="s">
        <v>3598</v>
      </c>
      <c r="B1296" s="3" t="s">
        <v>3599</v>
      </c>
      <c r="C1296" s="3">
        <v>0.0</v>
      </c>
      <c r="D1296" s="3">
        <v>8.0</v>
      </c>
    </row>
    <row r="1297" ht="14.25" hidden="1" customHeight="1">
      <c r="A1297" s="3" t="s">
        <v>2942</v>
      </c>
      <c r="B1297" s="3" t="s">
        <v>2943</v>
      </c>
      <c r="C1297" s="3">
        <v>0.0</v>
      </c>
      <c r="D1297" s="3">
        <v>7.0</v>
      </c>
    </row>
    <row r="1298" ht="14.25" hidden="1" customHeight="1">
      <c r="A1298" s="3" t="s">
        <v>2944</v>
      </c>
      <c r="B1298" s="3" t="s">
        <v>2945</v>
      </c>
      <c r="C1298" s="3">
        <v>9449.0</v>
      </c>
      <c r="D1298" s="3">
        <v>6.0</v>
      </c>
    </row>
    <row r="1299" ht="14.25" hidden="1" customHeight="1">
      <c r="A1299" s="3" t="s">
        <v>2946</v>
      </c>
      <c r="B1299" s="3" t="s">
        <v>2947</v>
      </c>
      <c r="C1299" s="3">
        <v>0.0</v>
      </c>
      <c r="D1299" s="3">
        <v>8.0</v>
      </c>
    </row>
    <row r="1300" ht="14.25" hidden="1" customHeight="1">
      <c r="A1300" s="3" t="s">
        <v>2948</v>
      </c>
      <c r="B1300" s="3" t="s">
        <v>2949</v>
      </c>
      <c r="C1300" s="3">
        <v>0.0</v>
      </c>
      <c r="D1300" s="3">
        <v>6.0</v>
      </c>
    </row>
    <row r="1301" ht="14.25" hidden="1" customHeight="1">
      <c r="A1301" s="3" t="s">
        <v>2950</v>
      </c>
      <c r="B1301" s="3" t="s">
        <v>2951</v>
      </c>
      <c r="C1301" s="3">
        <v>0.0</v>
      </c>
      <c r="D1301" s="3">
        <v>4.0</v>
      </c>
    </row>
    <row r="1302" ht="14.25" hidden="1" customHeight="1">
      <c r="A1302" s="3" t="s">
        <v>4817</v>
      </c>
      <c r="B1302" s="3" t="s">
        <v>4818</v>
      </c>
      <c r="C1302" s="3">
        <v>0.0</v>
      </c>
      <c r="D1302" s="3">
        <v>2.0</v>
      </c>
    </row>
    <row r="1303" ht="14.25" hidden="1" customHeight="1">
      <c r="A1303" s="3" t="s">
        <v>16319</v>
      </c>
      <c r="B1303" s="3" t="s">
        <v>12805</v>
      </c>
      <c r="C1303" s="3">
        <v>0.0</v>
      </c>
      <c r="D1303" s="3">
        <v>2.0</v>
      </c>
    </row>
    <row r="1304" ht="14.25" hidden="1" customHeight="1">
      <c r="A1304" s="3" t="s">
        <v>16320</v>
      </c>
      <c r="B1304" s="3" t="s">
        <v>12801</v>
      </c>
      <c r="C1304" s="3">
        <v>0.0</v>
      </c>
      <c r="D1304" s="3">
        <v>8.0</v>
      </c>
    </row>
    <row r="1305" ht="14.25" hidden="1" customHeight="1">
      <c r="A1305" s="3" t="s">
        <v>16321</v>
      </c>
      <c r="B1305" s="3" t="s">
        <v>12803</v>
      </c>
      <c r="C1305" s="3">
        <v>0.0</v>
      </c>
      <c r="D1305" s="3">
        <v>7.0</v>
      </c>
    </row>
    <row r="1306" ht="14.25" hidden="1" customHeight="1">
      <c r="A1306" s="3" t="s">
        <v>16322</v>
      </c>
      <c r="B1306" s="3" t="s">
        <v>12779</v>
      </c>
      <c r="C1306" s="3">
        <v>0.0</v>
      </c>
      <c r="D1306" s="3">
        <v>4.0</v>
      </c>
    </row>
    <row r="1307" ht="14.25" hidden="1" customHeight="1">
      <c r="A1307" s="3" t="s">
        <v>16323</v>
      </c>
      <c r="B1307" s="3" t="s">
        <v>12775</v>
      </c>
      <c r="C1307" s="3">
        <v>0.0</v>
      </c>
      <c r="D1307" s="3">
        <v>2.0</v>
      </c>
    </row>
    <row r="1308" ht="14.25" hidden="1" customHeight="1">
      <c r="A1308" s="3" t="s">
        <v>16324</v>
      </c>
      <c r="B1308" s="3" t="s">
        <v>12777</v>
      </c>
      <c r="C1308" s="3">
        <v>0.0</v>
      </c>
      <c r="D1308" s="3">
        <v>9.0</v>
      </c>
    </row>
    <row r="1309" ht="14.25" hidden="1" customHeight="1">
      <c r="A1309" s="3" t="s">
        <v>16325</v>
      </c>
      <c r="B1309" s="3" t="s">
        <v>12703</v>
      </c>
      <c r="C1309" s="3">
        <v>0.0</v>
      </c>
      <c r="D1309" s="3">
        <v>4.0</v>
      </c>
    </row>
    <row r="1310" ht="14.25" hidden="1" customHeight="1">
      <c r="A1310" s="3" t="s">
        <v>5668</v>
      </c>
      <c r="B1310" s="3" t="s">
        <v>5669</v>
      </c>
      <c r="C1310" s="3">
        <v>0.0</v>
      </c>
      <c r="D1310" s="3">
        <v>9.0</v>
      </c>
    </row>
    <row r="1311" ht="14.25" hidden="1" customHeight="1">
      <c r="A1311" s="3" t="s">
        <v>16326</v>
      </c>
      <c r="B1311" s="3" t="s">
        <v>12666</v>
      </c>
      <c r="C1311" s="3">
        <v>0.0</v>
      </c>
      <c r="D1311" s="3">
        <v>9.0</v>
      </c>
    </row>
    <row r="1312" ht="14.25" hidden="1" customHeight="1">
      <c r="A1312" s="3" t="s">
        <v>2952</v>
      </c>
      <c r="B1312" s="3" t="s">
        <v>2953</v>
      </c>
      <c r="C1312" s="3">
        <v>0.0</v>
      </c>
      <c r="D1312" s="3">
        <v>10.0</v>
      </c>
    </row>
    <row r="1313" ht="14.25" hidden="1" customHeight="1">
      <c r="A1313" s="3" t="s">
        <v>2954</v>
      </c>
      <c r="B1313" s="3" t="s">
        <v>2955</v>
      </c>
      <c r="C1313" s="3">
        <v>0.0</v>
      </c>
      <c r="D1313" s="3">
        <v>2.0</v>
      </c>
    </row>
    <row r="1314" ht="14.25" hidden="1" customHeight="1">
      <c r="A1314" s="3" t="s">
        <v>16327</v>
      </c>
      <c r="B1314" s="3" t="s">
        <v>12693</v>
      </c>
      <c r="C1314" s="3">
        <v>0.0</v>
      </c>
      <c r="D1314" s="3">
        <v>2.0</v>
      </c>
    </row>
    <row r="1315" ht="14.25" hidden="1" customHeight="1">
      <c r="A1315" s="3" t="s">
        <v>5670</v>
      </c>
      <c r="B1315" s="3" t="s">
        <v>5671</v>
      </c>
      <c r="C1315" s="3">
        <v>0.0</v>
      </c>
      <c r="D1315" s="3">
        <v>12.0</v>
      </c>
    </row>
    <row r="1316" ht="14.25" hidden="1" customHeight="1">
      <c r="A1316" s="3" t="s">
        <v>5672</v>
      </c>
      <c r="B1316" s="3" t="s">
        <v>5673</v>
      </c>
      <c r="C1316" s="3">
        <v>0.0</v>
      </c>
      <c r="D1316" s="3">
        <v>3.0</v>
      </c>
    </row>
    <row r="1317" ht="14.25" hidden="1" customHeight="1">
      <c r="A1317" s="3" t="s">
        <v>4821</v>
      </c>
      <c r="B1317" s="3" t="s">
        <v>4822</v>
      </c>
      <c r="C1317" s="3">
        <v>0.0</v>
      </c>
      <c r="D1317" s="3">
        <v>9.0</v>
      </c>
    </row>
    <row r="1318" ht="14.25" hidden="1" customHeight="1">
      <c r="A1318" s="3" t="s">
        <v>2956</v>
      </c>
      <c r="B1318" s="3" t="s">
        <v>2957</v>
      </c>
      <c r="C1318" s="3">
        <v>0.0</v>
      </c>
      <c r="D1318" s="3">
        <v>3.0</v>
      </c>
    </row>
    <row r="1319" ht="14.25" hidden="1" customHeight="1">
      <c r="A1319" s="3" t="s">
        <v>16328</v>
      </c>
      <c r="B1319" s="3" t="s">
        <v>12744</v>
      </c>
      <c r="C1319" s="3">
        <v>0.0</v>
      </c>
      <c r="D1319" s="3">
        <v>8.0</v>
      </c>
    </row>
    <row r="1320" ht="14.25" hidden="1" customHeight="1">
      <c r="A1320" s="3" t="s">
        <v>4823</v>
      </c>
      <c r="B1320" s="3" t="s">
        <v>4824</v>
      </c>
      <c r="C1320" s="3">
        <v>0.0</v>
      </c>
      <c r="D1320" s="3">
        <v>2.0</v>
      </c>
    </row>
    <row r="1321" ht="14.25" hidden="1" customHeight="1">
      <c r="A1321" s="3" t="s">
        <v>16329</v>
      </c>
      <c r="B1321" s="3" t="s">
        <v>12734</v>
      </c>
      <c r="C1321" s="3">
        <v>0.0</v>
      </c>
      <c r="D1321" s="3">
        <v>3.0</v>
      </c>
    </row>
    <row r="1322" ht="14.25" hidden="1" customHeight="1">
      <c r="A1322" s="3" t="s">
        <v>4827</v>
      </c>
      <c r="B1322" s="3" t="s">
        <v>4828</v>
      </c>
      <c r="C1322" s="3">
        <v>0.0</v>
      </c>
      <c r="D1322" s="3">
        <v>6.0</v>
      </c>
    </row>
    <row r="1323" ht="14.25" hidden="1" customHeight="1">
      <c r="A1323" s="3" t="s">
        <v>16330</v>
      </c>
      <c r="B1323" s="3" t="s">
        <v>12732</v>
      </c>
      <c r="C1323" s="3">
        <v>0.0</v>
      </c>
      <c r="D1323" s="3">
        <v>3.0</v>
      </c>
    </row>
    <row r="1324" ht="14.25" hidden="1" customHeight="1">
      <c r="A1324" s="3" t="s">
        <v>16331</v>
      </c>
      <c r="B1324" s="3" t="s">
        <v>12750</v>
      </c>
      <c r="C1324" s="3">
        <v>0.0</v>
      </c>
      <c r="D1324" s="3">
        <v>5.0</v>
      </c>
    </row>
    <row r="1325" ht="14.25" hidden="1" customHeight="1">
      <c r="A1325" s="3" t="s">
        <v>4829</v>
      </c>
      <c r="B1325" s="3" t="s">
        <v>4830</v>
      </c>
      <c r="C1325" s="3">
        <v>0.0</v>
      </c>
      <c r="D1325" s="3">
        <v>6.0</v>
      </c>
    </row>
    <row r="1326" ht="14.25" hidden="1" customHeight="1">
      <c r="A1326" s="3" t="s">
        <v>16332</v>
      </c>
      <c r="B1326" s="3" t="s">
        <v>12748</v>
      </c>
      <c r="C1326" s="3">
        <v>0.0</v>
      </c>
      <c r="D1326" s="3">
        <v>3.0</v>
      </c>
    </row>
    <row r="1327" ht="14.25" hidden="1" customHeight="1">
      <c r="A1327" s="3" t="s">
        <v>16333</v>
      </c>
      <c r="B1327" s="3" t="s">
        <v>12760</v>
      </c>
      <c r="C1327" s="3">
        <v>0.0</v>
      </c>
      <c r="D1327" s="3">
        <v>4.0</v>
      </c>
    </row>
    <row r="1328" ht="14.25" hidden="1" customHeight="1">
      <c r="A1328" s="3" t="s">
        <v>4831</v>
      </c>
      <c r="B1328" s="3" t="s">
        <v>4832</v>
      </c>
      <c r="C1328" s="3">
        <v>0.0</v>
      </c>
      <c r="D1328" s="3">
        <v>8.0</v>
      </c>
    </row>
    <row r="1329" ht="14.25" hidden="1" customHeight="1">
      <c r="A1329" s="3" t="s">
        <v>4833</v>
      </c>
      <c r="B1329" s="3" t="s">
        <v>4834</v>
      </c>
      <c r="C1329" s="3">
        <v>0.0</v>
      </c>
      <c r="D1329" s="3">
        <v>2.0</v>
      </c>
    </row>
    <row r="1330" ht="14.25" hidden="1" customHeight="1">
      <c r="A1330" s="3" t="s">
        <v>2687</v>
      </c>
      <c r="B1330" s="3" t="s">
        <v>2688</v>
      </c>
      <c r="C1330" s="3">
        <v>0.0</v>
      </c>
      <c r="D1330" s="3">
        <v>6.0</v>
      </c>
    </row>
    <row r="1331" ht="14.25" hidden="1" customHeight="1">
      <c r="A1331" s="3" t="s">
        <v>4835</v>
      </c>
      <c r="B1331" s="3" t="s">
        <v>4836</v>
      </c>
      <c r="C1331" s="3">
        <v>0.0</v>
      </c>
      <c r="D1331" s="3">
        <v>8.0</v>
      </c>
    </row>
    <row r="1332" ht="14.25" hidden="1" customHeight="1">
      <c r="A1332" s="3" t="s">
        <v>4837</v>
      </c>
      <c r="B1332" s="3" t="s">
        <v>4838</v>
      </c>
      <c r="C1332" s="3">
        <v>0.0</v>
      </c>
      <c r="D1332" s="3">
        <v>3.0</v>
      </c>
    </row>
    <row r="1333" ht="14.25" hidden="1" customHeight="1">
      <c r="A1333" s="3" t="s">
        <v>16334</v>
      </c>
      <c r="B1333" s="3" t="s">
        <v>12752</v>
      </c>
      <c r="C1333" s="3">
        <v>0.0</v>
      </c>
      <c r="D1333" s="3">
        <v>1.0</v>
      </c>
    </row>
    <row r="1334" ht="14.25" hidden="1" customHeight="1">
      <c r="A1334" s="3" t="s">
        <v>16335</v>
      </c>
      <c r="B1334" s="3" t="s">
        <v>12754</v>
      </c>
      <c r="C1334" s="3">
        <v>0.0</v>
      </c>
      <c r="D1334" s="3">
        <v>3.0</v>
      </c>
    </row>
    <row r="1335" ht="14.25" hidden="1" customHeight="1">
      <c r="A1335" s="3" t="s">
        <v>4839</v>
      </c>
      <c r="B1335" s="3" t="s">
        <v>4840</v>
      </c>
      <c r="C1335" s="3">
        <v>0.0</v>
      </c>
      <c r="D1335" s="3">
        <v>9.0</v>
      </c>
    </row>
    <row r="1336" ht="14.25" hidden="1" customHeight="1">
      <c r="A1336" s="3" t="s">
        <v>4841</v>
      </c>
      <c r="B1336" s="3" t="s">
        <v>4842</v>
      </c>
      <c r="C1336" s="3">
        <v>0.0</v>
      </c>
      <c r="D1336" s="3">
        <v>8.0</v>
      </c>
    </row>
    <row r="1337" ht="14.25" hidden="1" customHeight="1">
      <c r="A1337" s="3" t="s">
        <v>4843</v>
      </c>
      <c r="B1337" s="3" t="s">
        <v>4844</v>
      </c>
      <c r="C1337" s="3">
        <v>0.0</v>
      </c>
      <c r="D1337" s="3">
        <v>4.0</v>
      </c>
    </row>
    <row r="1338" ht="14.25" hidden="1" customHeight="1">
      <c r="A1338" s="3" t="s">
        <v>16336</v>
      </c>
      <c r="B1338" s="3" t="s">
        <v>12479</v>
      </c>
      <c r="C1338" s="3">
        <v>0.0</v>
      </c>
      <c r="D1338" s="3">
        <v>17.0</v>
      </c>
    </row>
    <row r="1339" ht="14.25" hidden="1" customHeight="1">
      <c r="A1339" s="3" t="s">
        <v>2958</v>
      </c>
      <c r="B1339" s="3" t="s">
        <v>2959</v>
      </c>
      <c r="C1339" s="3">
        <v>0.0</v>
      </c>
      <c r="D1339" s="3">
        <v>19.0</v>
      </c>
    </row>
    <row r="1340" ht="14.25" hidden="1" customHeight="1">
      <c r="A1340" s="3" t="s">
        <v>2960</v>
      </c>
      <c r="B1340" s="3" t="s">
        <v>2961</v>
      </c>
      <c r="C1340" s="3">
        <v>0.0</v>
      </c>
      <c r="D1340" s="3">
        <v>9.0</v>
      </c>
    </row>
    <row r="1341" ht="14.25" hidden="1" customHeight="1">
      <c r="A1341" s="3" t="s">
        <v>2962</v>
      </c>
      <c r="B1341" s="3" t="s">
        <v>2963</v>
      </c>
      <c r="C1341" s="3">
        <v>0.0</v>
      </c>
      <c r="D1341" s="3">
        <v>3.0</v>
      </c>
    </row>
    <row r="1342" ht="14.25" hidden="1" customHeight="1">
      <c r="A1342" s="3" t="s">
        <v>16337</v>
      </c>
      <c r="B1342" s="3" t="s">
        <v>12485</v>
      </c>
      <c r="C1342" s="3">
        <v>0.0</v>
      </c>
      <c r="D1342" s="3">
        <v>3.0</v>
      </c>
    </row>
    <row r="1343" ht="14.25" hidden="1" customHeight="1">
      <c r="A1343" s="3" t="s">
        <v>3351</v>
      </c>
      <c r="B1343" s="3" t="s">
        <v>3352</v>
      </c>
      <c r="C1343" s="3">
        <v>9449.0</v>
      </c>
      <c r="D1343" s="3">
        <v>7.0</v>
      </c>
    </row>
    <row r="1344" ht="14.25" hidden="1" customHeight="1">
      <c r="A1344" s="3" t="s">
        <v>16338</v>
      </c>
      <c r="B1344" s="3" t="s">
        <v>12509</v>
      </c>
      <c r="C1344" s="3">
        <v>0.0</v>
      </c>
      <c r="D1344" s="3">
        <v>10.0</v>
      </c>
    </row>
    <row r="1345" ht="14.25" hidden="1" customHeight="1">
      <c r="A1345" s="3" t="s">
        <v>5674</v>
      </c>
      <c r="B1345" s="3" t="s">
        <v>5675</v>
      </c>
      <c r="C1345" s="3">
        <v>0.0</v>
      </c>
      <c r="D1345" s="3" t="s">
        <v>16130</v>
      </c>
    </row>
    <row r="1346" ht="14.25" hidden="1" customHeight="1">
      <c r="A1346" s="3" t="s">
        <v>16339</v>
      </c>
      <c r="B1346" s="3" t="s">
        <v>12525</v>
      </c>
      <c r="C1346" s="3">
        <v>0.0</v>
      </c>
      <c r="D1346" s="3">
        <v>8.0</v>
      </c>
    </row>
    <row r="1347" ht="14.25" hidden="1" customHeight="1">
      <c r="A1347" s="3" t="s">
        <v>16340</v>
      </c>
      <c r="B1347" s="3" t="s">
        <v>12799</v>
      </c>
      <c r="C1347" s="3">
        <v>0.0</v>
      </c>
      <c r="D1347" s="3">
        <v>4.0</v>
      </c>
    </row>
    <row r="1348" ht="14.25" hidden="1" customHeight="1">
      <c r="A1348" s="3" t="s">
        <v>2964</v>
      </c>
      <c r="B1348" s="3" t="s">
        <v>2965</v>
      </c>
      <c r="C1348" s="3">
        <v>0.0</v>
      </c>
      <c r="D1348" s="3">
        <v>2.0</v>
      </c>
    </row>
    <row r="1349" ht="14.25" hidden="1" customHeight="1">
      <c r="A1349" s="3" t="s">
        <v>2966</v>
      </c>
      <c r="B1349" s="3" t="s">
        <v>2967</v>
      </c>
      <c r="C1349" s="3">
        <v>0.0</v>
      </c>
      <c r="D1349" s="3">
        <v>14.0</v>
      </c>
    </row>
    <row r="1350" ht="14.25" hidden="1" customHeight="1">
      <c r="A1350" s="3" t="s">
        <v>3602</v>
      </c>
      <c r="B1350" s="3" t="s">
        <v>3603</v>
      </c>
      <c r="C1350" s="3">
        <v>0.0</v>
      </c>
      <c r="D1350" s="3">
        <v>6.0</v>
      </c>
    </row>
    <row r="1351" ht="14.25" hidden="1" customHeight="1">
      <c r="A1351" s="3" t="s">
        <v>16341</v>
      </c>
      <c r="B1351" s="3" t="s">
        <v>12696</v>
      </c>
      <c r="C1351" s="3">
        <v>0.0</v>
      </c>
      <c r="D1351" s="3">
        <v>14.0</v>
      </c>
    </row>
    <row r="1352" ht="14.25" hidden="1" customHeight="1">
      <c r="A1352" s="3" t="s">
        <v>5676</v>
      </c>
      <c r="B1352" s="3" t="s">
        <v>5677</v>
      </c>
      <c r="C1352" s="3">
        <v>0.0</v>
      </c>
      <c r="D1352" s="3">
        <v>11.0</v>
      </c>
    </row>
    <row r="1353" ht="14.25" hidden="1" customHeight="1">
      <c r="A1353" s="3" t="s">
        <v>16342</v>
      </c>
      <c r="B1353" s="3" t="s">
        <v>12668</v>
      </c>
      <c r="C1353" s="3">
        <v>0.0</v>
      </c>
      <c r="D1353" s="3">
        <v>12.0</v>
      </c>
    </row>
    <row r="1354" ht="14.25" hidden="1" customHeight="1">
      <c r="A1354" s="3" t="s">
        <v>16343</v>
      </c>
      <c r="B1354" s="3" t="s">
        <v>12544</v>
      </c>
      <c r="C1354" s="3">
        <v>0.0</v>
      </c>
      <c r="D1354" s="3">
        <v>3.0</v>
      </c>
    </row>
    <row r="1355" ht="14.25" hidden="1" customHeight="1">
      <c r="A1355" s="3" t="s">
        <v>16344</v>
      </c>
      <c r="B1355" s="3" t="s">
        <v>12542</v>
      </c>
      <c r="C1355" s="3">
        <v>0.0</v>
      </c>
      <c r="D1355" s="3">
        <v>9.0</v>
      </c>
    </row>
    <row r="1356" ht="14.25" hidden="1" customHeight="1">
      <c r="A1356" s="3" t="s">
        <v>4845</v>
      </c>
      <c r="B1356" s="3" t="s">
        <v>4846</v>
      </c>
      <c r="C1356" s="3">
        <v>0.0</v>
      </c>
      <c r="D1356" s="3">
        <v>9.0</v>
      </c>
    </row>
    <row r="1357" ht="14.25" hidden="1" customHeight="1">
      <c r="A1357" s="3" t="s">
        <v>2968</v>
      </c>
      <c r="B1357" s="3" t="s">
        <v>2969</v>
      </c>
      <c r="C1357" s="3">
        <v>0.0</v>
      </c>
      <c r="D1357" s="3">
        <v>9.0</v>
      </c>
    </row>
    <row r="1358" ht="14.25" hidden="1" customHeight="1">
      <c r="A1358" s="3" t="s">
        <v>16345</v>
      </c>
      <c r="B1358" s="3" t="s">
        <v>12548</v>
      </c>
      <c r="C1358" s="3">
        <v>0.0</v>
      </c>
      <c r="D1358" s="3">
        <v>3.0</v>
      </c>
    </row>
    <row r="1359" ht="14.25" hidden="1" customHeight="1">
      <c r="A1359" s="3" t="s">
        <v>4847</v>
      </c>
      <c r="B1359" s="3" t="s">
        <v>4848</v>
      </c>
      <c r="C1359" s="3">
        <v>0.0</v>
      </c>
      <c r="D1359" s="3">
        <v>11.0</v>
      </c>
    </row>
    <row r="1360" ht="14.25" hidden="1" customHeight="1">
      <c r="A1360" s="3" t="s">
        <v>4849</v>
      </c>
      <c r="B1360" s="3" t="s">
        <v>4850</v>
      </c>
      <c r="C1360" s="3">
        <v>0.0</v>
      </c>
      <c r="D1360" s="3">
        <v>4.0</v>
      </c>
    </row>
    <row r="1361" ht="14.25" hidden="1" customHeight="1">
      <c r="A1361" s="3" t="s">
        <v>16346</v>
      </c>
      <c r="B1361" s="3" t="s">
        <v>12712</v>
      </c>
      <c r="C1361" s="3">
        <v>0.0</v>
      </c>
      <c r="D1361" s="3">
        <v>5.0</v>
      </c>
    </row>
    <row r="1362" ht="14.25" hidden="1" customHeight="1">
      <c r="A1362" s="3" t="s">
        <v>16347</v>
      </c>
      <c r="B1362" s="3" t="s">
        <v>12718</v>
      </c>
      <c r="C1362" s="3">
        <v>0.0</v>
      </c>
      <c r="D1362" s="3">
        <v>6.0</v>
      </c>
    </row>
    <row r="1363" ht="14.25" hidden="1" customHeight="1">
      <c r="A1363" s="3" t="s">
        <v>16348</v>
      </c>
      <c r="B1363" s="3" t="s">
        <v>12724</v>
      </c>
      <c r="C1363" s="3">
        <v>0.0</v>
      </c>
      <c r="D1363" s="3">
        <v>4.0</v>
      </c>
    </row>
    <row r="1364" ht="14.25" hidden="1" customHeight="1">
      <c r="A1364" s="3" t="s">
        <v>2970</v>
      </c>
      <c r="B1364" s="3" t="s">
        <v>2971</v>
      </c>
      <c r="C1364" s="3">
        <v>0.0</v>
      </c>
      <c r="D1364" s="3">
        <v>4.0</v>
      </c>
    </row>
    <row r="1365" ht="14.25" hidden="1" customHeight="1">
      <c r="A1365" s="3" t="s">
        <v>16349</v>
      </c>
      <c r="B1365" s="3" t="s">
        <v>12714</v>
      </c>
      <c r="C1365" s="3">
        <v>0.0</v>
      </c>
      <c r="D1365" s="3">
        <v>4.0</v>
      </c>
    </row>
    <row r="1366" ht="14.25" hidden="1" customHeight="1">
      <c r="A1366" s="3" t="s">
        <v>16350</v>
      </c>
      <c r="B1366" s="3" t="s">
        <v>12720</v>
      </c>
      <c r="C1366" s="3">
        <v>0.0</v>
      </c>
      <c r="D1366" s="3">
        <v>1.0</v>
      </c>
    </row>
    <row r="1367" ht="14.25" hidden="1" customHeight="1">
      <c r="A1367" s="3" t="s">
        <v>16351</v>
      </c>
      <c r="B1367" s="3" t="s">
        <v>12726</v>
      </c>
      <c r="C1367" s="3">
        <v>0.0</v>
      </c>
      <c r="D1367" s="3">
        <v>3.0</v>
      </c>
    </row>
    <row r="1368" ht="14.25" hidden="1" customHeight="1">
      <c r="A1368" s="3" t="s">
        <v>16352</v>
      </c>
      <c r="B1368" s="3" t="s">
        <v>12716</v>
      </c>
      <c r="C1368" s="3">
        <v>0.0</v>
      </c>
      <c r="D1368" s="3">
        <v>4.0</v>
      </c>
    </row>
    <row r="1369" ht="14.25" hidden="1" customHeight="1">
      <c r="A1369" s="3" t="s">
        <v>16353</v>
      </c>
      <c r="B1369" s="3" t="s">
        <v>12722</v>
      </c>
      <c r="C1369" s="3">
        <v>0.0</v>
      </c>
      <c r="D1369" s="3">
        <v>2.0</v>
      </c>
    </row>
    <row r="1370" ht="14.25" hidden="1" customHeight="1">
      <c r="A1370" s="3" t="s">
        <v>16354</v>
      </c>
      <c r="B1370" s="3" t="s">
        <v>12762</v>
      </c>
      <c r="C1370" s="3">
        <v>0.0</v>
      </c>
      <c r="D1370" s="3">
        <v>1.0</v>
      </c>
    </row>
    <row r="1371" ht="14.25" hidden="1" customHeight="1">
      <c r="A1371" s="3" t="s">
        <v>4851</v>
      </c>
      <c r="B1371" s="3" t="s">
        <v>4852</v>
      </c>
      <c r="C1371" s="3">
        <v>0.0</v>
      </c>
      <c r="D1371" s="3">
        <v>5.0</v>
      </c>
    </row>
    <row r="1372" ht="14.25" hidden="1" customHeight="1">
      <c r="A1372" s="3" t="s">
        <v>16355</v>
      </c>
      <c r="B1372" s="3" t="s">
        <v>13332</v>
      </c>
      <c r="C1372" s="3">
        <v>0.0</v>
      </c>
      <c r="D1372" s="3">
        <v>4.0</v>
      </c>
    </row>
    <row r="1373" ht="14.25" hidden="1" customHeight="1">
      <c r="A1373" s="3" t="s">
        <v>4853</v>
      </c>
      <c r="B1373" s="3" t="s">
        <v>4854</v>
      </c>
      <c r="C1373" s="3">
        <v>0.0</v>
      </c>
      <c r="D1373" s="3">
        <v>6.0</v>
      </c>
    </row>
    <row r="1374" ht="14.25" hidden="1" customHeight="1">
      <c r="A1374" s="3" t="s">
        <v>16356</v>
      </c>
      <c r="B1374" s="3" t="s">
        <v>13375</v>
      </c>
      <c r="C1374" s="3">
        <v>0.0</v>
      </c>
      <c r="D1374" s="3">
        <v>11.0</v>
      </c>
    </row>
    <row r="1375" ht="14.25" hidden="1" customHeight="1">
      <c r="A1375" s="3" t="s">
        <v>16357</v>
      </c>
      <c r="B1375" s="3" t="s">
        <v>13377</v>
      </c>
      <c r="C1375" s="3">
        <v>0.0</v>
      </c>
      <c r="D1375" s="3">
        <v>3.0</v>
      </c>
    </row>
    <row r="1376" ht="14.25" customHeight="1">
      <c r="A1376" s="3" t="s">
        <v>3604</v>
      </c>
      <c r="B1376" s="3" t="s">
        <v>3605</v>
      </c>
      <c r="C1376" s="3">
        <v>0.0</v>
      </c>
      <c r="D1376" s="3">
        <v>12.0</v>
      </c>
    </row>
    <row r="1377" ht="14.25" hidden="1" customHeight="1">
      <c r="A1377" s="3" t="s">
        <v>4855</v>
      </c>
      <c r="B1377" s="3" t="s">
        <v>4856</v>
      </c>
      <c r="C1377" s="3">
        <v>0.0</v>
      </c>
      <c r="D1377" s="3">
        <v>1.0</v>
      </c>
    </row>
    <row r="1378" ht="14.25" hidden="1" customHeight="1">
      <c r="A1378" s="3" t="s">
        <v>16358</v>
      </c>
      <c r="B1378" s="3" t="s">
        <v>13371</v>
      </c>
      <c r="C1378" s="3">
        <v>0.0</v>
      </c>
      <c r="D1378" s="3">
        <v>4.0</v>
      </c>
    </row>
    <row r="1379" ht="14.25" hidden="1" customHeight="1">
      <c r="A1379" s="3" t="s">
        <v>4857</v>
      </c>
      <c r="B1379" s="3" t="s">
        <v>4858</v>
      </c>
      <c r="C1379" s="3">
        <v>0.0</v>
      </c>
      <c r="D1379" s="3">
        <v>3.0</v>
      </c>
    </row>
    <row r="1380" ht="14.25" hidden="1" customHeight="1">
      <c r="A1380" s="3" t="s">
        <v>4859</v>
      </c>
      <c r="B1380" s="3" t="s">
        <v>4860</v>
      </c>
      <c r="C1380" s="3">
        <v>0.0</v>
      </c>
      <c r="D1380" s="3">
        <v>5.0</v>
      </c>
    </row>
    <row r="1381" ht="14.25" hidden="1" customHeight="1">
      <c r="A1381" s="3" t="s">
        <v>16359</v>
      </c>
      <c r="B1381" s="3" t="s">
        <v>13362</v>
      </c>
      <c r="C1381" s="3">
        <v>0.0</v>
      </c>
      <c r="D1381" s="3">
        <v>4.0</v>
      </c>
    </row>
    <row r="1382" ht="14.25" hidden="1" customHeight="1">
      <c r="A1382" s="3" t="s">
        <v>16360</v>
      </c>
      <c r="B1382" s="3" t="s">
        <v>13354</v>
      </c>
      <c r="C1382" s="3">
        <v>0.0</v>
      </c>
      <c r="D1382" s="3">
        <v>3.0</v>
      </c>
    </row>
    <row r="1383" ht="14.25" hidden="1" customHeight="1">
      <c r="A1383" s="3" t="s">
        <v>16361</v>
      </c>
      <c r="B1383" s="3" t="s">
        <v>13352</v>
      </c>
      <c r="C1383" s="3">
        <v>0.0</v>
      </c>
      <c r="D1383" s="3">
        <v>4.0</v>
      </c>
    </row>
    <row r="1384" ht="14.25" hidden="1" customHeight="1">
      <c r="A1384" s="3" t="s">
        <v>16362</v>
      </c>
      <c r="B1384" s="3" t="s">
        <v>13356</v>
      </c>
      <c r="C1384" s="3">
        <v>0.0</v>
      </c>
      <c r="D1384" s="3">
        <v>4.0</v>
      </c>
    </row>
    <row r="1385" ht="14.25" hidden="1" customHeight="1">
      <c r="A1385" s="3" t="s">
        <v>4861</v>
      </c>
      <c r="B1385" s="3" t="s">
        <v>4862</v>
      </c>
      <c r="C1385" s="3">
        <v>0.0</v>
      </c>
      <c r="D1385" s="3">
        <v>2.0</v>
      </c>
    </row>
    <row r="1386" ht="14.25" hidden="1" customHeight="1">
      <c r="A1386" s="3" t="s">
        <v>4863</v>
      </c>
      <c r="B1386" s="3" t="s">
        <v>4864</v>
      </c>
      <c r="C1386" s="3">
        <v>0.0</v>
      </c>
      <c r="D1386" s="3">
        <v>4.0</v>
      </c>
    </row>
    <row r="1387" ht="14.25" hidden="1" customHeight="1">
      <c r="A1387" s="3" t="s">
        <v>4865</v>
      </c>
      <c r="B1387" s="3" t="s">
        <v>4866</v>
      </c>
      <c r="C1387" s="3">
        <v>0.0</v>
      </c>
      <c r="D1387" s="3">
        <v>3.0</v>
      </c>
    </row>
    <row r="1388" ht="14.25" hidden="1" customHeight="1">
      <c r="A1388" s="3" t="s">
        <v>16363</v>
      </c>
      <c r="B1388" s="3" t="s">
        <v>13324</v>
      </c>
      <c r="C1388" s="3">
        <v>0.0</v>
      </c>
      <c r="D1388" s="3">
        <v>4.0</v>
      </c>
    </row>
    <row r="1389" ht="14.25" hidden="1" customHeight="1">
      <c r="A1389" s="3" t="s">
        <v>16364</v>
      </c>
      <c r="B1389" s="3" t="s">
        <v>13347</v>
      </c>
      <c r="C1389" s="3">
        <v>0.0</v>
      </c>
      <c r="D1389" s="3">
        <v>1.0</v>
      </c>
    </row>
    <row r="1390" ht="14.25" hidden="1" customHeight="1">
      <c r="A1390" s="3" t="s">
        <v>16365</v>
      </c>
      <c r="B1390" s="3" t="s">
        <v>13337</v>
      </c>
      <c r="C1390" s="3">
        <v>0.0</v>
      </c>
      <c r="D1390" s="3">
        <v>3.0</v>
      </c>
    </row>
    <row r="1391" ht="14.25" hidden="1" customHeight="1">
      <c r="A1391" s="3" t="s">
        <v>16366</v>
      </c>
      <c r="B1391" s="3" t="s">
        <v>13345</v>
      </c>
      <c r="C1391" s="3">
        <v>0.0</v>
      </c>
      <c r="D1391" s="3">
        <v>3.0</v>
      </c>
    </row>
    <row r="1392" ht="14.25" hidden="1" customHeight="1">
      <c r="A1392" s="3" t="s">
        <v>4867</v>
      </c>
      <c r="B1392" s="3" t="s">
        <v>4868</v>
      </c>
      <c r="C1392" s="3">
        <v>0.0</v>
      </c>
      <c r="D1392" s="3">
        <v>4.0</v>
      </c>
    </row>
    <row r="1393" ht="14.25" hidden="1" customHeight="1">
      <c r="A1393" s="3" t="s">
        <v>4869</v>
      </c>
      <c r="B1393" s="3" t="s">
        <v>4870</v>
      </c>
      <c r="C1393" s="3">
        <v>0.0</v>
      </c>
      <c r="D1393" s="3">
        <v>4.0</v>
      </c>
    </row>
    <row r="1394" ht="14.25" hidden="1" customHeight="1">
      <c r="A1394" s="3" t="s">
        <v>16367</v>
      </c>
      <c r="B1394" s="3" t="s">
        <v>13322</v>
      </c>
      <c r="C1394" s="3">
        <v>0.0</v>
      </c>
      <c r="D1394" s="3">
        <v>4.0</v>
      </c>
    </row>
    <row r="1395" ht="14.25" hidden="1" customHeight="1">
      <c r="A1395" s="3" t="s">
        <v>16368</v>
      </c>
      <c r="B1395" s="3" t="s">
        <v>13316</v>
      </c>
      <c r="C1395" s="3">
        <v>0.0</v>
      </c>
      <c r="D1395" s="3">
        <v>3.0</v>
      </c>
    </row>
    <row r="1396" ht="14.25" hidden="1" customHeight="1">
      <c r="A1396" s="3" t="s">
        <v>16369</v>
      </c>
      <c r="B1396" s="3" t="s">
        <v>13349</v>
      </c>
      <c r="C1396" s="3">
        <v>0.0</v>
      </c>
      <c r="D1396" s="3">
        <v>4.0</v>
      </c>
    </row>
    <row r="1397" ht="14.25" hidden="1" customHeight="1">
      <c r="A1397" s="3" t="s">
        <v>16370</v>
      </c>
      <c r="B1397" s="3" t="s">
        <v>13341</v>
      </c>
      <c r="C1397" s="3">
        <v>0.0</v>
      </c>
      <c r="D1397" s="3">
        <v>4.0</v>
      </c>
    </row>
    <row r="1398" ht="14.25" hidden="1" customHeight="1">
      <c r="A1398" s="3" t="s">
        <v>4871</v>
      </c>
      <c r="B1398" s="3" t="s">
        <v>4872</v>
      </c>
      <c r="C1398" s="3">
        <v>0.0</v>
      </c>
      <c r="D1398" s="3">
        <v>1.0</v>
      </c>
    </row>
    <row r="1399" ht="14.25" hidden="1" customHeight="1">
      <c r="A1399" s="3" t="s">
        <v>4873</v>
      </c>
      <c r="B1399" s="3" t="s">
        <v>4874</v>
      </c>
      <c r="C1399" s="3">
        <v>0.0</v>
      </c>
      <c r="D1399" s="3">
        <v>2.0</v>
      </c>
    </row>
    <row r="1400" ht="14.25" hidden="1" customHeight="1">
      <c r="A1400" s="3" t="s">
        <v>16371</v>
      </c>
      <c r="B1400" s="3" t="s">
        <v>13380</v>
      </c>
      <c r="C1400" s="3">
        <v>0.0</v>
      </c>
      <c r="D1400" s="3">
        <v>4.0</v>
      </c>
    </row>
    <row r="1401" ht="14.25" hidden="1" customHeight="1">
      <c r="A1401" s="3" t="s">
        <v>4875</v>
      </c>
      <c r="B1401" s="3" t="s">
        <v>4876</v>
      </c>
      <c r="C1401" s="3">
        <v>0.0</v>
      </c>
      <c r="D1401" s="3">
        <v>3.0</v>
      </c>
    </row>
    <row r="1402" ht="14.25" hidden="1" customHeight="1">
      <c r="A1402" s="3" t="s">
        <v>16372</v>
      </c>
      <c r="B1402" s="3" t="s">
        <v>13369</v>
      </c>
      <c r="C1402" s="3">
        <v>0.0</v>
      </c>
      <c r="D1402" s="3">
        <v>4.0</v>
      </c>
    </row>
    <row r="1403" ht="14.25" hidden="1" customHeight="1">
      <c r="A1403" s="3" t="s">
        <v>4877</v>
      </c>
      <c r="B1403" s="3" t="s">
        <v>4878</v>
      </c>
      <c r="C1403" s="3">
        <v>0.0</v>
      </c>
      <c r="D1403" s="3">
        <v>4.0</v>
      </c>
    </row>
    <row r="1404" ht="14.25" hidden="1" customHeight="1">
      <c r="A1404" s="3" t="s">
        <v>16373</v>
      </c>
      <c r="B1404" s="3" t="s">
        <v>15408</v>
      </c>
      <c r="C1404" s="3">
        <v>12600.0</v>
      </c>
      <c r="D1404" s="3">
        <v>1.0</v>
      </c>
    </row>
    <row r="1405" ht="14.25" hidden="1" customHeight="1">
      <c r="A1405" s="3" t="s">
        <v>4879</v>
      </c>
      <c r="B1405" s="3" t="s">
        <v>4880</v>
      </c>
      <c r="C1405" s="3">
        <v>0.0</v>
      </c>
      <c r="D1405" s="3">
        <v>5.0</v>
      </c>
    </row>
    <row r="1406" ht="14.25" hidden="1" customHeight="1">
      <c r="A1406" s="3" t="s">
        <v>4883</v>
      </c>
      <c r="B1406" s="3" t="s">
        <v>4884</v>
      </c>
      <c r="C1406" s="3">
        <v>0.0</v>
      </c>
      <c r="D1406" s="3">
        <v>4.0</v>
      </c>
    </row>
    <row r="1407" ht="14.25" hidden="1" customHeight="1">
      <c r="A1407" s="3" t="s">
        <v>4885</v>
      </c>
      <c r="B1407" s="3" t="s">
        <v>4886</v>
      </c>
      <c r="C1407" s="3">
        <v>0.0</v>
      </c>
      <c r="D1407" s="3">
        <v>7.0</v>
      </c>
    </row>
    <row r="1408" ht="14.25" hidden="1" customHeight="1">
      <c r="A1408" s="3" t="s">
        <v>2689</v>
      </c>
      <c r="B1408" s="3" t="s">
        <v>2690</v>
      </c>
      <c r="C1408" s="3">
        <v>0.0</v>
      </c>
      <c r="D1408" s="3">
        <v>3.0</v>
      </c>
    </row>
    <row r="1409" ht="14.25" hidden="1" customHeight="1">
      <c r="A1409" s="3" t="s">
        <v>4887</v>
      </c>
      <c r="B1409" s="3" t="s">
        <v>4888</v>
      </c>
      <c r="C1409" s="3">
        <v>0.0</v>
      </c>
      <c r="D1409" s="3">
        <v>2.0</v>
      </c>
    </row>
    <row r="1410" ht="14.25" hidden="1" customHeight="1">
      <c r="A1410" s="3" t="s">
        <v>4889</v>
      </c>
      <c r="B1410" s="3" t="s">
        <v>4890</v>
      </c>
      <c r="C1410" s="3">
        <v>0.0</v>
      </c>
      <c r="D1410" s="3">
        <v>3.0</v>
      </c>
    </row>
    <row r="1411" ht="14.25" hidden="1" customHeight="1">
      <c r="A1411" s="3" t="s">
        <v>3355</v>
      </c>
      <c r="B1411" s="3" t="s">
        <v>3356</v>
      </c>
      <c r="C1411" s="3">
        <v>2800.0</v>
      </c>
      <c r="D1411" s="3">
        <v>14.0</v>
      </c>
    </row>
    <row r="1412" ht="14.25" hidden="1" customHeight="1">
      <c r="A1412" s="3" t="s">
        <v>4891</v>
      </c>
      <c r="B1412" s="3" t="s">
        <v>4892</v>
      </c>
      <c r="C1412" s="3">
        <v>0.0</v>
      </c>
      <c r="D1412" s="3">
        <v>4.0</v>
      </c>
    </row>
    <row r="1413" ht="14.25" hidden="1" customHeight="1">
      <c r="A1413" s="3" t="s">
        <v>4893</v>
      </c>
      <c r="B1413" s="3" t="s">
        <v>4894</v>
      </c>
      <c r="C1413" s="3">
        <v>0.0</v>
      </c>
      <c r="D1413" s="3">
        <v>2.0</v>
      </c>
    </row>
    <row r="1414" ht="14.25" hidden="1" customHeight="1">
      <c r="A1414" s="3" t="s">
        <v>4895</v>
      </c>
      <c r="B1414" s="3" t="s">
        <v>4896</v>
      </c>
      <c r="C1414" s="3">
        <v>0.0</v>
      </c>
      <c r="D1414" s="3">
        <v>2.0</v>
      </c>
    </row>
    <row r="1415" ht="14.25" hidden="1" customHeight="1">
      <c r="A1415" s="3" t="s">
        <v>4897</v>
      </c>
      <c r="B1415" s="3" t="s">
        <v>4898</v>
      </c>
      <c r="C1415" s="3">
        <v>0.0</v>
      </c>
      <c r="D1415" s="3">
        <v>7.0</v>
      </c>
    </row>
    <row r="1416" ht="14.25" hidden="1" customHeight="1">
      <c r="A1416" s="3" t="s">
        <v>4899</v>
      </c>
      <c r="B1416" s="3" t="s">
        <v>4900</v>
      </c>
      <c r="C1416" s="3">
        <v>0.0</v>
      </c>
      <c r="D1416" s="3">
        <v>6.0</v>
      </c>
    </row>
    <row r="1417" ht="14.25" hidden="1" customHeight="1">
      <c r="A1417" s="3" t="s">
        <v>4901</v>
      </c>
      <c r="B1417" s="3" t="s">
        <v>4902</v>
      </c>
      <c r="C1417" s="3">
        <v>0.0</v>
      </c>
      <c r="D1417" s="3">
        <v>1.0</v>
      </c>
    </row>
    <row r="1418" ht="14.25" hidden="1" customHeight="1">
      <c r="A1418" s="3" t="s">
        <v>4903</v>
      </c>
      <c r="B1418" s="3" t="s">
        <v>4904</v>
      </c>
      <c r="C1418" s="3">
        <v>0.0</v>
      </c>
      <c r="D1418" s="3">
        <v>8.0</v>
      </c>
    </row>
    <row r="1419" ht="14.25" hidden="1" customHeight="1">
      <c r="A1419" s="3" t="s">
        <v>4909</v>
      </c>
      <c r="B1419" s="3" t="s">
        <v>4910</v>
      </c>
      <c r="C1419" s="3">
        <v>0.0</v>
      </c>
      <c r="D1419" s="3">
        <v>4.0</v>
      </c>
    </row>
    <row r="1420" ht="14.25" hidden="1" customHeight="1">
      <c r="A1420" s="3" t="s">
        <v>4911</v>
      </c>
      <c r="B1420" s="3" t="s">
        <v>4912</v>
      </c>
      <c r="C1420" s="3">
        <v>0.0</v>
      </c>
      <c r="D1420" s="3">
        <v>2.0</v>
      </c>
    </row>
    <row r="1421" ht="14.25" hidden="1" customHeight="1">
      <c r="A1421" s="3" t="s">
        <v>4915</v>
      </c>
      <c r="B1421" s="3" t="s">
        <v>4916</v>
      </c>
      <c r="C1421" s="3">
        <v>0.0</v>
      </c>
      <c r="D1421" s="3">
        <v>3.0</v>
      </c>
    </row>
    <row r="1422" ht="14.25" hidden="1" customHeight="1">
      <c r="A1422" s="3" t="s">
        <v>4923</v>
      </c>
      <c r="B1422" s="3" t="s">
        <v>4924</v>
      </c>
      <c r="C1422" s="3">
        <v>5405.0</v>
      </c>
      <c r="D1422" s="3">
        <v>1.0</v>
      </c>
    </row>
    <row r="1423" ht="14.25" hidden="1" customHeight="1">
      <c r="A1423" s="3" t="s">
        <v>4947</v>
      </c>
      <c r="B1423" s="3" t="s">
        <v>4948</v>
      </c>
      <c r="C1423" s="3">
        <v>39136.0</v>
      </c>
      <c r="D1423" s="3">
        <v>1.0</v>
      </c>
    </row>
    <row r="1424" ht="14.25" hidden="1" customHeight="1">
      <c r="A1424" s="3" t="s">
        <v>5025</v>
      </c>
      <c r="B1424" s="3" t="s">
        <v>5026</v>
      </c>
      <c r="C1424" s="3">
        <v>2572.0</v>
      </c>
      <c r="D1424" s="3">
        <v>3.0</v>
      </c>
    </row>
    <row r="1425" ht="14.25" hidden="1" customHeight="1">
      <c r="A1425" s="3" t="s">
        <v>5057</v>
      </c>
      <c r="B1425" s="3" t="s">
        <v>5058</v>
      </c>
      <c r="C1425" s="3">
        <v>559.0</v>
      </c>
      <c r="D1425" s="3">
        <v>2.0</v>
      </c>
    </row>
    <row r="1426" ht="14.25" hidden="1" customHeight="1">
      <c r="A1426" s="3" t="s">
        <v>5059</v>
      </c>
      <c r="B1426" s="3" t="s">
        <v>5060</v>
      </c>
      <c r="C1426" s="3">
        <v>5591.0</v>
      </c>
      <c r="D1426" s="3">
        <v>2.0</v>
      </c>
    </row>
    <row r="1427" ht="14.25" hidden="1" customHeight="1">
      <c r="A1427" s="3" t="s">
        <v>5061</v>
      </c>
      <c r="B1427" s="3" t="s">
        <v>5062</v>
      </c>
      <c r="C1427" s="3">
        <v>5591.0</v>
      </c>
      <c r="D1427" s="3">
        <v>2.0</v>
      </c>
    </row>
    <row r="1428" ht="14.25" hidden="1" customHeight="1">
      <c r="A1428" s="3" t="s">
        <v>5063</v>
      </c>
      <c r="B1428" s="3" t="s">
        <v>5064</v>
      </c>
      <c r="C1428" s="3">
        <v>49309.0</v>
      </c>
      <c r="D1428" s="3">
        <v>2.0</v>
      </c>
    </row>
    <row r="1429" ht="14.25" hidden="1" customHeight="1">
      <c r="A1429" s="3" t="s">
        <v>2972</v>
      </c>
      <c r="B1429" s="3" t="s">
        <v>2973</v>
      </c>
      <c r="C1429" s="3">
        <v>12139.0</v>
      </c>
      <c r="D1429" s="3">
        <v>42.0</v>
      </c>
    </row>
    <row r="1430" ht="14.25" hidden="1" customHeight="1">
      <c r="A1430" s="3" t="s">
        <v>16374</v>
      </c>
      <c r="B1430" s="3" t="s">
        <v>13522</v>
      </c>
      <c r="C1430" s="3">
        <v>17577.0</v>
      </c>
      <c r="D1430" s="3">
        <v>1.0</v>
      </c>
    </row>
    <row r="1431" ht="14.25" hidden="1" customHeight="1">
      <c r="A1431" s="3" t="s">
        <v>16375</v>
      </c>
      <c r="B1431" s="3" t="s">
        <v>13512</v>
      </c>
      <c r="C1431" s="3">
        <v>9562.0</v>
      </c>
      <c r="D1431" s="3">
        <v>2.0</v>
      </c>
    </row>
    <row r="1432" ht="14.25" hidden="1" customHeight="1">
      <c r="A1432" s="3" t="s">
        <v>5165</v>
      </c>
      <c r="B1432" s="3" t="s">
        <v>5166</v>
      </c>
      <c r="C1432" s="3">
        <v>29900.0</v>
      </c>
      <c r="D1432" s="3">
        <v>2.0</v>
      </c>
    </row>
    <row r="1433" ht="14.25" hidden="1" customHeight="1">
      <c r="A1433" s="3" t="s">
        <v>16376</v>
      </c>
      <c r="B1433" s="3" t="s">
        <v>13894</v>
      </c>
      <c r="C1433" s="3">
        <v>9900.0</v>
      </c>
      <c r="D1433" s="3">
        <v>1.0</v>
      </c>
    </row>
    <row r="1434" ht="14.25" hidden="1" customHeight="1">
      <c r="A1434" s="3" t="s">
        <v>5167</v>
      </c>
      <c r="B1434" s="3" t="e">
        <v>#N/A</v>
      </c>
      <c r="C1434" s="3" t="e">
        <v>#N/A</v>
      </c>
      <c r="D1434" s="3">
        <v>1.0</v>
      </c>
    </row>
    <row r="1435" ht="14.25" hidden="1" customHeight="1">
      <c r="A1435" s="3" t="s">
        <v>5169</v>
      </c>
      <c r="B1435" s="3" t="s">
        <v>5170</v>
      </c>
      <c r="C1435" s="3">
        <v>6210.0</v>
      </c>
      <c r="D1435" s="3">
        <v>1.0</v>
      </c>
    </row>
    <row r="1436" ht="14.25" hidden="1" customHeight="1">
      <c r="A1436" s="3" t="s">
        <v>2691</v>
      </c>
      <c r="B1436" s="3" t="s">
        <v>2692</v>
      </c>
      <c r="C1436" s="3">
        <v>39912.0</v>
      </c>
      <c r="D1436" s="3">
        <v>9.0</v>
      </c>
    </row>
    <row r="1437" ht="14.25" hidden="1" customHeight="1">
      <c r="A1437" s="3" t="s">
        <v>2693</v>
      </c>
      <c r="B1437" s="3" t="s">
        <v>2694</v>
      </c>
      <c r="C1437" s="3">
        <v>36550.0</v>
      </c>
      <c r="D1437" s="3">
        <v>10.0</v>
      </c>
    </row>
    <row r="1438" ht="14.25" hidden="1" customHeight="1">
      <c r="A1438" s="3" t="s">
        <v>5171</v>
      </c>
      <c r="B1438" s="3" t="s">
        <v>5172</v>
      </c>
      <c r="C1438" s="3">
        <v>38231.0</v>
      </c>
      <c r="D1438" s="3">
        <v>10.0</v>
      </c>
    </row>
    <row r="1439" ht="14.25" hidden="1" customHeight="1">
      <c r="A1439" s="3" t="s">
        <v>3612</v>
      </c>
      <c r="B1439" s="3" t="s">
        <v>3613</v>
      </c>
      <c r="C1439" s="3">
        <v>46634.0</v>
      </c>
      <c r="D1439" s="3">
        <v>4.0</v>
      </c>
    </row>
    <row r="1440" ht="14.25" hidden="1" customHeight="1">
      <c r="A1440" s="3" t="s">
        <v>5682</v>
      </c>
      <c r="B1440" s="3" t="s">
        <v>5683</v>
      </c>
      <c r="C1440" s="3">
        <v>35290.0</v>
      </c>
      <c r="D1440" s="3">
        <v>7.0</v>
      </c>
    </row>
    <row r="1441" ht="14.25" hidden="1" customHeight="1">
      <c r="A1441" s="3" t="s">
        <v>5173</v>
      </c>
      <c r="B1441" s="3" t="s">
        <v>5174</v>
      </c>
      <c r="C1441" s="3">
        <v>22265.0</v>
      </c>
      <c r="D1441" s="3">
        <v>1.0</v>
      </c>
    </row>
    <row r="1442" ht="14.25" hidden="1" customHeight="1">
      <c r="A1442" s="3" t="s">
        <v>2974</v>
      </c>
      <c r="B1442" s="3" t="s">
        <v>2975</v>
      </c>
      <c r="C1442" s="3">
        <v>6662.0</v>
      </c>
      <c r="D1442" s="3">
        <v>21.0</v>
      </c>
    </row>
    <row r="1443" ht="14.25" hidden="1" customHeight="1">
      <c r="A1443" s="3" t="s">
        <v>16377</v>
      </c>
      <c r="B1443" s="3" t="s">
        <v>7515</v>
      </c>
      <c r="C1443" s="3">
        <v>6871.0</v>
      </c>
      <c r="D1443" s="3">
        <v>38.0</v>
      </c>
    </row>
    <row r="1444" ht="14.25" hidden="1" customHeight="1">
      <c r="A1444" s="3" t="s">
        <v>16378</v>
      </c>
      <c r="B1444" s="3" t="s">
        <v>7521</v>
      </c>
      <c r="C1444" s="3">
        <v>3777.0</v>
      </c>
      <c r="D1444" s="3">
        <v>1.0</v>
      </c>
    </row>
    <row r="1445" ht="14.25" hidden="1" customHeight="1">
      <c r="A1445" s="3" t="s">
        <v>16379</v>
      </c>
      <c r="B1445" s="3" t="s">
        <v>7523</v>
      </c>
      <c r="C1445" s="3">
        <v>4947.0</v>
      </c>
      <c r="D1445" s="3">
        <v>9.0</v>
      </c>
    </row>
    <row r="1446" ht="14.25" hidden="1" customHeight="1">
      <c r="A1446" s="3" t="s">
        <v>16380</v>
      </c>
      <c r="B1446" s="3" t="s">
        <v>7511</v>
      </c>
      <c r="C1446" s="3">
        <v>9660.0</v>
      </c>
      <c r="D1446" s="3">
        <v>2.0</v>
      </c>
    </row>
    <row r="1447" ht="14.25" hidden="1" customHeight="1">
      <c r="A1447" s="3" t="s">
        <v>3403</v>
      </c>
      <c r="B1447" s="3" t="s">
        <v>3404</v>
      </c>
      <c r="C1447" s="3">
        <v>9660.0</v>
      </c>
      <c r="D1447" s="3">
        <v>7.0</v>
      </c>
    </row>
    <row r="1448" ht="14.25" hidden="1" customHeight="1">
      <c r="A1448" s="3" t="s">
        <v>2695</v>
      </c>
      <c r="B1448" s="3" t="s">
        <v>2696</v>
      </c>
      <c r="C1448" s="3">
        <v>1508.0</v>
      </c>
      <c r="D1448" s="3">
        <v>27.0</v>
      </c>
    </row>
    <row r="1449" ht="14.25" hidden="1" customHeight="1">
      <c r="A1449" s="3" t="s">
        <v>2697</v>
      </c>
      <c r="B1449" s="3" t="s">
        <v>2698</v>
      </c>
      <c r="C1449" s="3">
        <v>3524.0</v>
      </c>
      <c r="D1449" s="3">
        <v>12.0</v>
      </c>
    </row>
    <row r="1450" ht="14.25" hidden="1" customHeight="1">
      <c r="A1450" s="3" t="s">
        <v>2699</v>
      </c>
      <c r="B1450" s="3" t="s">
        <v>2700</v>
      </c>
      <c r="C1450" s="3">
        <v>2097.0</v>
      </c>
      <c r="D1450" s="3">
        <v>14.0</v>
      </c>
    </row>
    <row r="1451" ht="14.25" hidden="1" customHeight="1">
      <c r="A1451" s="3" t="s">
        <v>2701</v>
      </c>
      <c r="B1451" s="3" t="s">
        <v>2702</v>
      </c>
      <c r="C1451" s="3">
        <v>2516.0</v>
      </c>
      <c r="D1451" s="3">
        <v>14.0</v>
      </c>
    </row>
    <row r="1452" ht="14.25" hidden="1" customHeight="1">
      <c r="A1452" s="3" t="s">
        <v>5177</v>
      </c>
      <c r="B1452" s="3" t="s">
        <v>5178</v>
      </c>
      <c r="C1452" s="3">
        <v>15289.0</v>
      </c>
      <c r="D1452" s="3">
        <v>2.0</v>
      </c>
    </row>
    <row r="1453" ht="14.25" hidden="1" customHeight="1">
      <c r="A1453" s="3" t="s">
        <v>5179</v>
      </c>
      <c r="B1453" s="3" t="s">
        <v>5180</v>
      </c>
      <c r="C1453" s="3">
        <v>15289.0</v>
      </c>
      <c r="D1453" s="3">
        <v>2.0</v>
      </c>
    </row>
    <row r="1454" ht="14.25" hidden="1" customHeight="1">
      <c r="A1454" s="3" t="s">
        <v>5181</v>
      </c>
      <c r="B1454" s="3" t="s">
        <v>5182</v>
      </c>
      <c r="C1454" s="3">
        <v>15289.0</v>
      </c>
      <c r="D1454" s="3">
        <v>2.0</v>
      </c>
    </row>
    <row r="1455" ht="14.25" hidden="1" customHeight="1">
      <c r="A1455" s="3" t="s">
        <v>16381</v>
      </c>
      <c r="B1455" s="3" t="s">
        <v>9539</v>
      </c>
      <c r="C1455" s="3">
        <v>13104.0</v>
      </c>
      <c r="D1455" s="3">
        <v>1.0</v>
      </c>
    </row>
    <row r="1456" ht="14.25" hidden="1" customHeight="1">
      <c r="A1456" s="3" t="s">
        <v>16382</v>
      </c>
      <c r="B1456" s="3" t="s">
        <v>9527</v>
      </c>
      <c r="C1456" s="3">
        <v>9826.0</v>
      </c>
      <c r="D1456" s="3">
        <v>2.0</v>
      </c>
    </row>
    <row r="1457" ht="14.25" hidden="1" customHeight="1">
      <c r="A1457" s="3" t="s">
        <v>16383</v>
      </c>
      <c r="B1457" s="3" t="s">
        <v>9545</v>
      </c>
      <c r="C1457" s="3">
        <v>21297.0</v>
      </c>
      <c r="D1457" s="3">
        <v>2.0</v>
      </c>
    </row>
    <row r="1458" ht="14.25" hidden="1" customHeight="1">
      <c r="A1458" s="3" t="s">
        <v>5185</v>
      </c>
      <c r="B1458" s="3" t="s">
        <v>5186</v>
      </c>
      <c r="C1458" s="3">
        <v>9323.0</v>
      </c>
      <c r="D1458" s="3">
        <v>4.0</v>
      </c>
    </row>
    <row r="1459" ht="14.25" hidden="1" customHeight="1">
      <c r="A1459" s="3" t="s">
        <v>5187</v>
      </c>
      <c r="B1459" s="3" t="s">
        <v>5188</v>
      </c>
      <c r="C1459" s="3">
        <v>16129.0</v>
      </c>
      <c r="D1459" s="3">
        <v>6.0</v>
      </c>
    </row>
    <row r="1460" ht="14.25" hidden="1" customHeight="1">
      <c r="A1460" s="3" t="s">
        <v>3616</v>
      </c>
      <c r="B1460" s="3" t="s">
        <v>3617</v>
      </c>
      <c r="C1460" s="3">
        <v>0.0</v>
      </c>
      <c r="D1460" s="3">
        <v>4.0</v>
      </c>
    </row>
    <row r="1461" ht="14.25" hidden="1" customHeight="1">
      <c r="A1461" s="3" t="s">
        <v>3359</v>
      </c>
      <c r="B1461" s="3" t="s">
        <v>3360</v>
      </c>
      <c r="C1461" s="3">
        <v>11592.0</v>
      </c>
      <c r="D1461" s="3">
        <v>5.0</v>
      </c>
    </row>
    <row r="1462" ht="14.25" hidden="1" customHeight="1">
      <c r="A1462" s="3" t="s">
        <v>16384</v>
      </c>
      <c r="B1462" s="3" t="s">
        <v>14075</v>
      </c>
      <c r="C1462" s="3">
        <v>11592.0</v>
      </c>
      <c r="D1462" s="3">
        <v>3.0</v>
      </c>
    </row>
    <row r="1463" ht="14.25" hidden="1" customHeight="1">
      <c r="A1463" s="3" t="s">
        <v>2990</v>
      </c>
      <c r="B1463" s="3" t="s">
        <v>2991</v>
      </c>
      <c r="C1463" s="3">
        <v>0.0</v>
      </c>
      <c r="D1463" s="3">
        <v>3.0</v>
      </c>
    </row>
    <row r="1464" ht="14.25" hidden="1" customHeight="1">
      <c r="A1464" s="3" t="s">
        <v>16385</v>
      </c>
      <c r="B1464" s="3" t="s">
        <v>14078</v>
      </c>
      <c r="C1464" s="3">
        <v>0.0</v>
      </c>
      <c r="D1464" s="3">
        <v>7.0</v>
      </c>
    </row>
    <row r="1465" ht="14.25" hidden="1" customHeight="1">
      <c r="A1465" s="3" t="s">
        <v>3361</v>
      </c>
      <c r="B1465" s="3" t="s">
        <v>3362</v>
      </c>
      <c r="C1465" s="3">
        <v>22684.0</v>
      </c>
      <c r="D1465" s="3">
        <v>8.0</v>
      </c>
    </row>
    <row r="1466" ht="14.25" hidden="1" customHeight="1">
      <c r="A1466" s="3" t="s">
        <v>5193</v>
      </c>
      <c r="B1466" s="3" t="s">
        <v>5194</v>
      </c>
      <c r="C1466" s="3">
        <v>0.0</v>
      </c>
      <c r="D1466" s="3">
        <v>4.0</v>
      </c>
    </row>
    <row r="1467" ht="14.25" hidden="1" customHeight="1">
      <c r="A1467" s="3" t="s">
        <v>5195</v>
      </c>
      <c r="B1467" s="3" t="s">
        <v>5196</v>
      </c>
      <c r="C1467" s="3">
        <v>0.0</v>
      </c>
      <c r="D1467" s="3">
        <v>5.0</v>
      </c>
    </row>
    <row r="1468" ht="14.25" hidden="1" customHeight="1">
      <c r="A1468" s="3" t="s">
        <v>3618</v>
      </c>
      <c r="B1468" s="3" t="s">
        <v>3619</v>
      </c>
      <c r="C1468" s="3">
        <v>15121.0</v>
      </c>
      <c r="D1468" s="3">
        <v>1.0</v>
      </c>
    </row>
    <row r="1469" ht="14.25" hidden="1" customHeight="1">
      <c r="A1469" s="3" t="s">
        <v>16386</v>
      </c>
      <c r="B1469" s="3" t="s">
        <v>5198</v>
      </c>
      <c r="C1469" s="3">
        <v>0.0</v>
      </c>
      <c r="D1469" s="3">
        <v>1.0</v>
      </c>
    </row>
    <row r="1470" ht="14.25" hidden="1" customHeight="1">
      <c r="A1470" s="3" t="s">
        <v>5201</v>
      </c>
      <c r="B1470" s="3" t="s">
        <v>5202</v>
      </c>
      <c r="C1470" s="3">
        <v>0.0</v>
      </c>
      <c r="D1470" s="3">
        <v>4.0</v>
      </c>
    </row>
    <row r="1471" ht="14.25" hidden="1" customHeight="1">
      <c r="A1471" s="3" t="s">
        <v>16387</v>
      </c>
      <c r="B1471" s="3" t="e">
        <v>#N/A</v>
      </c>
      <c r="C1471" s="3" t="e">
        <v>#N/A</v>
      </c>
      <c r="D1471" s="3">
        <v>6.0</v>
      </c>
    </row>
    <row r="1472" ht="14.25" hidden="1" customHeight="1">
      <c r="A1472" s="3" t="s">
        <v>5207</v>
      </c>
      <c r="B1472" s="3" t="s">
        <v>5208</v>
      </c>
      <c r="C1472" s="3">
        <v>0.0</v>
      </c>
      <c r="D1472" s="3">
        <v>4.0</v>
      </c>
    </row>
    <row r="1473" ht="14.25" hidden="1" customHeight="1">
      <c r="A1473" s="3" t="s">
        <v>16388</v>
      </c>
      <c r="B1473" s="3" t="e">
        <v>#N/A</v>
      </c>
      <c r="C1473" s="3" t="e">
        <v>#N/A</v>
      </c>
      <c r="D1473" s="3">
        <v>1.0</v>
      </c>
    </row>
    <row r="1474" ht="14.25" hidden="1" customHeight="1">
      <c r="A1474" s="3" t="s">
        <v>3620</v>
      </c>
      <c r="B1474" s="3" t="s">
        <v>3621</v>
      </c>
      <c r="C1474" s="3">
        <v>15121.0</v>
      </c>
      <c r="D1474" s="3">
        <v>2.0</v>
      </c>
    </row>
    <row r="1475" ht="14.25" hidden="1" customHeight="1">
      <c r="A1475" s="3" t="s">
        <v>16389</v>
      </c>
      <c r="B1475" s="3" t="e">
        <v>#N/A</v>
      </c>
      <c r="C1475" s="3" t="e">
        <v>#N/A</v>
      </c>
      <c r="D1475" s="3">
        <v>2.0</v>
      </c>
    </row>
    <row r="1476" ht="14.25" hidden="1" customHeight="1">
      <c r="A1476" s="3" t="s">
        <v>5216</v>
      </c>
      <c r="B1476" s="3" t="s">
        <v>5217</v>
      </c>
      <c r="C1476" s="3">
        <v>0.0</v>
      </c>
      <c r="D1476" s="3">
        <v>7.0</v>
      </c>
    </row>
    <row r="1477" ht="14.25" hidden="1" customHeight="1">
      <c r="A1477" s="3" t="s">
        <v>5218</v>
      </c>
      <c r="B1477" s="3" t="s">
        <v>5219</v>
      </c>
      <c r="C1477" s="3">
        <v>0.0</v>
      </c>
      <c r="D1477" s="3">
        <v>2.0</v>
      </c>
    </row>
    <row r="1478" ht="14.25" hidden="1" customHeight="1">
      <c r="A1478" s="3" t="s">
        <v>3624</v>
      </c>
      <c r="B1478" s="3" t="s">
        <v>3625</v>
      </c>
      <c r="C1478" s="3">
        <v>12600.0</v>
      </c>
      <c r="D1478" s="3">
        <v>2.0</v>
      </c>
    </row>
    <row r="1479" ht="14.25" hidden="1" customHeight="1">
      <c r="A1479" s="3" t="s">
        <v>5220</v>
      </c>
      <c r="B1479" s="3" t="s">
        <v>5221</v>
      </c>
      <c r="C1479" s="3">
        <v>0.0</v>
      </c>
      <c r="D1479" s="3">
        <v>5.0</v>
      </c>
    </row>
    <row r="1480" ht="14.25" hidden="1" customHeight="1">
      <c r="A1480" s="3" t="s">
        <v>3363</v>
      </c>
      <c r="B1480" s="3" t="s">
        <v>3364</v>
      </c>
      <c r="C1480" s="3">
        <v>12096.0</v>
      </c>
      <c r="D1480" s="3">
        <v>10.0</v>
      </c>
    </row>
    <row r="1481" ht="14.25" hidden="1" customHeight="1">
      <c r="A1481" s="3" t="s">
        <v>3626</v>
      </c>
      <c r="B1481" s="3" t="s">
        <v>3627</v>
      </c>
      <c r="C1481" s="3">
        <v>7558.0</v>
      </c>
      <c r="D1481" s="3">
        <v>12.0</v>
      </c>
    </row>
    <row r="1482" ht="14.25" hidden="1" customHeight="1">
      <c r="A1482" s="3" t="s">
        <v>5226</v>
      </c>
      <c r="B1482" s="3" t="s">
        <v>5227</v>
      </c>
      <c r="C1482" s="3">
        <v>6046.0</v>
      </c>
      <c r="D1482" s="3">
        <v>7.0</v>
      </c>
    </row>
    <row r="1483" ht="14.25" hidden="1" customHeight="1">
      <c r="A1483" s="3" t="s">
        <v>5228</v>
      </c>
      <c r="B1483" s="3" t="s">
        <v>5229</v>
      </c>
      <c r="C1483" s="3">
        <v>6045.0</v>
      </c>
      <c r="D1483" s="3">
        <v>2.0</v>
      </c>
    </row>
    <row r="1484" ht="14.25" hidden="1" customHeight="1">
      <c r="A1484" s="3" t="s">
        <v>2703</v>
      </c>
      <c r="B1484" s="3" t="s">
        <v>2704</v>
      </c>
      <c r="C1484" s="3">
        <v>0.0</v>
      </c>
      <c r="D1484" s="3">
        <v>2.0</v>
      </c>
    </row>
    <row r="1485" ht="14.25" hidden="1" customHeight="1">
      <c r="A1485" s="3" t="s">
        <v>2705</v>
      </c>
      <c r="B1485" s="3" t="s">
        <v>2706</v>
      </c>
      <c r="C1485" s="3">
        <v>0.0</v>
      </c>
      <c r="D1485" s="3">
        <v>4.0</v>
      </c>
    </row>
    <row r="1486" ht="14.25" hidden="1" customHeight="1">
      <c r="A1486" s="3" t="s">
        <v>16390</v>
      </c>
      <c r="B1486" s="3" t="s">
        <v>14123</v>
      </c>
      <c r="C1486" s="3">
        <v>0.0</v>
      </c>
      <c r="D1486" s="3">
        <v>1.0</v>
      </c>
    </row>
    <row r="1487" ht="14.25" hidden="1" customHeight="1">
      <c r="A1487" s="3" t="s">
        <v>5232</v>
      </c>
      <c r="B1487" s="3" t="s">
        <v>5233</v>
      </c>
      <c r="C1487" s="3">
        <v>0.0</v>
      </c>
      <c r="D1487" s="3">
        <v>6.0</v>
      </c>
    </row>
    <row r="1488" ht="14.25" hidden="1" customHeight="1">
      <c r="A1488" s="3" t="s">
        <v>5234</v>
      </c>
      <c r="B1488" s="3" t="s">
        <v>5235</v>
      </c>
      <c r="C1488" s="3">
        <v>0.0</v>
      </c>
      <c r="D1488" s="3">
        <v>1.0</v>
      </c>
    </row>
    <row r="1489" ht="14.25" hidden="1" customHeight="1">
      <c r="A1489" s="3" t="s">
        <v>5236</v>
      </c>
      <c r="B1489" s="3" t="s">
        <v>5237</v>
      </c>
      <c r="C1489" s="3">
        <v>0.0</v>
      </c>
      <c r="D1489" s="3">
        <v>4.0</v>
      </c>
    </row>
    <row r="1490" ht="14.25" hidden="1" customHeight="1">
      <c r="A1490" s="3" t="s">
        <v>5238</v>
      </c>
      <c r="B1490" s="3" t="s">
        <v>5239</v>
      </c>
      <c r="C1490" s="3">
        <v>0.0</v>
      </c>
      <c r="D1490" s="3">
        <v>1.0</v>
      </c>
    </row>
    <row r="1491" ht="14.25" hidden="1" customHeight="1">
      <c r="A1491" s="3" t="s">
        <v>5240</v>
      </c>
      <c r="B1491" s="3" t="s">
        <v>5241</v>
      </c>
      <c r="C1491" s="3">
        <v>0.0</v>
      </c>
      <c r="D1491" s="3">
        <v>4.0</v>
      </c>
    </row>
    <row r="1492" ht="14.25" hidden="1" customHeight="1">
      <c r="A1492" s="3" t="s">
        <v>5242</v>
      </c>
      <c r="B1492" s="3" t="s">
        <v>5243</v>
      </c>
      <c r="C1492" s="3">
        <v>11592.0</v>
      </c>
      <c r="D1492" s="3">
        <v>2.0</v>
      </c>
    </row>
    <row r="1493" ht="14.25" hidden="1" customHeight="1">
      <c r="A1493" s="3" t="s">
        <v>5244</v>
      </c>
      <c r="B1493" s="3" t="s">
        <v>5245</v>
      </c>
      <c r="C1493" s="3">
        <v>0.0</v>
      </c>
      <c r="D1493" s="3">
        <v>1.0</v>
      </c>
    </row>
    <row r="1494" ht="14.25" hidden="1" customHeight="1">
      <c r="A1494" s="3" t="s">
        <v>16391</v>
      </c>
      <c r="B1494" s="3" t="s">
        <v>14125</v>
      </c>
      <c r="C1494" s="3">
        <v>0.0</v>
      </c>
      <c r="D1494" s="3">
        <v>2.0</v>
      </c>
    </row>
    <row r="1495" ht="14.25" hidden="1" customHeight="1">
      <c r="A1495" s="3" t="s">
        <v>5246</v>
      </c>
      <c r="B1495" s="3" t="s">
        <v>5247</v>
      </c>
      <c r="C1495" s="3">
        <v>11088.0</v>
      </c>
      <c r="D1495" s="3">
        <v>3.0</v>
      </c>
    </row>
    <row r="1496" ht="14.25" hidden="1" customHeight="1">
      <c r="A1496" s="3" t="s">
        <v>5250</v>
      </c>
      <c r="B1496" s="3" t="s">
        <v>5251</v>
      </c>
      <c r="C1496" s="3">
        <v>0.0</v>
      </c>
      <c r="D1496" s="3">
        <v>3.0</v>
      </c>
    </row>
    <row r="1497" ht="14.25" hidden="1" customHeight="1">
      <c r="A1497" s="3" t="s">
        <v>2992</v>
      </c>
      <c r="B1497" s="3" t="s">
        <v>2993</v>
      </c>
      <c r="C1497" s="3">
        <v>13609.0</v>
      </c>
      <c r="D1497" s="3">
        <v>4.0</v>
      </c>
    </row>
    <row r="1498" ht="14.25" hidden="1" customHeight="1">
      <c r="A1498" s="3" t="s">
        <v>16392</v>
      </c>
      <c r="B1498" s="3" t="s">
        <v>14043</v>
      </c>
      <c r="C1498" s="3">
        <v>2012.0</v>
      </c>
      <c r="D1498" s="3">
        <v>36.0</v>
      </c>
    </row>
    <row r="1499" ht="14.25" hidden="1" customHeight="1">
      <c r="A1499" s="3" t="s">
        <v>5684</v>
      </c>
      <c r="B1499" s="3" t="s">
        <v>5685</v>
      </c>
      <c r="C1499" s="3">
        <v>2012.0</v>
      </c>
      <c r="D1499" s="3">
        <v>17.0</v>
      </c>
    </row>
    <row r="1500" ht="14.25" hidden="1" customHeight="1">
      <c r="A1500" s="3" t="s">
        <v>16393</v>
      </c>
      <c r="B1500" s="3" t="s">
        <v>14047</v>
      </c>
      <c r="C1500" s="3">
        <v>2012.0</v>
      </c>
      <c r="D1500" s="3">
        <v>10.0</v>
      </c>
    </row>
    <row r="1501" ht="14.25" hidden="1" customHeight="1">
      <c r="A1501" s="3" t="s">
        <v>5254</v>
      </c>
      <c r="B1501" s="3" t="s">
        <v>5255</v>
      </c>
      <c r="C1501" s="3">
        <v>0.0</v>
      </c>
      <c r="D1501" s="3">
        <v>2.0</v>
      </c>
    </row>
    <row r="1502" ht="14.25" hidden="1" customHeight="1">
      <c r="A1502" s="3" t="s">
        <v>16394</v>
      </c>
      <c r="B1502" s="3" t="s">
        <v>14006</v>
      </c>
      <c r="C1502" s="3">
        <v>22689.0</v>
      </c>
      <c r="D1502" s="3">
        <v>6.0</v>
      </c>
    </row>
    <row r="1503" ht="14.25" hidden="1" customHeight="1">
      <c r="A1503" s="3" t="s">
        <v>16395</v>
      </c>
      <c r="B1503" s="3" t="s">
        <v>14002</v>
      </c>
      <c r="C1503" s="3">
        <v>85714.0</v>
      </c>
      <c r="D1503" s="3">
        <v>2.0</v>
      </c>
    </row>
    <row r="1504" ht="14.25" hidden="1" customHeight="1">
      <c r="A1504" s="3" t="s">
        <v>5256</v>
      </c>
      <c r="B1504" s="3" t="s">
        <v>5257</v>
      </c>
      <c r="C1504" s="3">
        <v>0.0</v>
      </c>
      <c r="D1504" s="3">
        <v>5.0</v>
      </c>
    </row>
    <row r="1505" ht="14.25" hidden="1" customHeight="1">
      <c r="A1505" s="3" t="s">
        <v>5258</v>
      </c>
      <c r="B1505" s="3" t="s">
        <v>5259</v>
      </c>
      <c r="C1505" s="3">
        <v>0.0</v>
      </c>
      <c r="D1505" s="3">
        <v>2.0</v>
      </c>
    </row>
    <row r="1506" ht="14.25" hidden="1" customHeight="1">
      <c r="A1506" s="3" t="s">
        <v>5260</v>
      </c>
      <c r="B1506" s="3" t="s">
        <v>5261</v>
      </c>
      <c r="C1506" s="3">
        <v>0.0</v>
      </c>
      <c r="D1506" s="3">
        <v>3.0</v>
      </c>
    </row>
    <row r="1507" ht="14.25" hidden="1" customHeight="1">
      <c r="A1507" s="3" t="s">
        <v>16396</v>
      </c>
      <c r="B1507" s="3" t="s">
        <v>13017</v>
      </c>
      <c r="C1507" s="3">
        <v>0.0</v>
      </c>
      <c r="D1507" s="3">
        <v>2.0</v>
      </c>
    </row>
    <row r="1508" ht="14.25" hidden="1" customHeight="1">
      <c r="A1508" s="3" t="s">
        <v>5686</v>
      </c>
      <c r="B1508" s="3" t="s">
        <v>5687</v>
      </c>
      <c r="C1508" s="3">
        <v>0.0</v>
      </c>
      <c r="D1508" s="3">
        <v>3.0</v>
      </c>
    </row>
    <row r="1509" ht="14.25" hidden="1" customHeight="1">
      <c r="A1509" s="3" t="s">
        <v>5262</v>
      </c>
      <c r="B1509" s="3" t="s">
        <v>5263</v>
      </c>
      <c r="C1509" s="3">
        <v>0.0</v>
      </c>
      <c r="D1509" s="3">
        <v>3.0</v>
      </c>
    </row>
    <row r="1510" ht="14.25" hidden="1" customHeight="1">
      <c r="A1510" s="3" t="s">
        <v>5264</v>
      </c>
      <c r="B1510" s="3" t="s">
        <v>5265</v>
      </c>
      <c r="C1510" s="3">
        <v>0.0</v>
      </c>
      <c r="D1510" s="3">
        <v>8.0</v>
      </c>
    </row>
    <row r="1511" ht="14.25" hidden="1" customHeight="1">
      <c r="A1511" s="3" t="s">
        <v>5266</v>
      </c>
      <c r="B1511" s="3" t="s">
        <v>5267</v>
      </c>
      <c r="C1511" s="3">
        <v>0.0</v>
      </c>
      <c r="D1511" s="3">
        <v>1.0</v>
      </c>
    </row>
    <row r="1512" ht="14.25" hidden="1" customHeight="1">
      <c r="A1512" s="3" t="s">
        <v>5268</v>
      </c>
      <c r="B1512" s="3" t="s">
        <v>5269</v>
      </c>
      <c r="C1512" s="3">
        <v>0.0</v>
      </c>
      <c r="D1512" s="3">
        <v>4.0</v>
      </c>
    </row>
    <row r="1513" ht="14.25" hidden="1" customHeight="1">
      <c r="A1513" s="3" t="s">
        <v>16397</v>
      </c>
      <c r="B1513" s="3" t="s">
        <v>12890</v>
      </c>
      <c r="C1513" s="3">
        <v>0.0</v>
      </c>
      <c r="D1513" s="3">
        <v>2.0</v>
      </c>
    </row>
    <row r="1514" ht="14.25" hidden="1" customHeight="1">
      <c r="A1514" s="3" t="s">
        <v>5270</v>
      </c>
      <c r="B1514" s="3" t="s">
        <v>5271</v>
      </c>
      <c r="C1514" s="3">
        <v>0.0</v>
      </c>
      <c r="D1514" s="3">
        <v>4.0</v>
      </c>
    </row>
    <row r="1515" ht="14.25" hidden="1" customHeight="1">
      <c r="A1515" s="3" t="s">
        <v>5272</v>
      </c>
      <c r="B1515" s="3" t="s">
        <v>5273</v>
      </c>
      <c r="C1515" s="3">
        <v>0.0</v>
      </c>
      <c r="D1515" s="3">
        <v>5.0</v>
      </c>
    </row>
    <row r="1516" ht="14.25" hidden="1" customHeight="1">
      <c r="A1516" s="3" t="s">
        <v>5274</v>
      </c>
      <c r="B1516" s="3" t="s">
        <v>5275</v>
      </c>
      <c r="C1516" s="3">
        <v>0.0</v>
      </c>
      <c r="D1516" s="3">
        <v>3.0</v>
      </c>
    </row>
    <row r="1517" ht="14.25" hidden="1" customHeight="1">
      <c r="A1517" s="3" t="s">
        <v>5276</v>
      </c>
      <c r="B1517" s="3" t="s">
        <v>5277</v>
      </c>
      <c r="C1517" s="3">
        <v>0.0</v>
      </c>
      <c r="D1517" s="3">
        <v>4.0</v>
      </c>
    </row>
    <row r="1518" ht="14.25" hidden="1" customHeight="1">
      <c r="A1518" s="3" t="s">
        <v>5278</v>
      </c>
      <c r="B1518" s="3" t="s">
        <v>5279</v>
      </c>
      <c r="C1518" s="3">
        <v>0.0</v>
      </c>
      <c r="D1518" s="3">
        <v>3.0</v>
      </c>
    </row>
    <row r="1519" ht="14.25" hidden="1" customHeight="1">
      <c r="A1519" s="3" t="s">
        <v>5280</v>
      </c>
      <c r="B1519" s="3" t="s">
        <v>5281</v>
      </c>
      <c r="C1519" s="3">
        <v>0.0</v>
      </c>
      <c r="D1519" s="3">
        <v>2.0</v>
      </c>
    </row>
    <row r="1520" ht="14.25" hidden="1" customHeight="1">
      <c r="A1520" s="3" t="s">
        <v>5282</v>
      </c>
      <c r="B1520" s="3" t="s">
        <v>5283</v>
      </c>
      <c r="C1520" s="3">
        <v>0.0</v>
      </c>
      <c r="D1520" s="3">
        <v>3.0</v>
      </c>
    </row>
    <row r="1521" ht="14.25" hidden="1" customHeight="1">
      <c r="A1521" s="3" t="s">
        <v>5284</v>
      </c>
      <c r="B1521" s="3" t="s">
        <v>5285</v>
      </c>
      <c r="C1521" s="3">
        <v>0.0</v>
      </c>
      <c r="D1521" s="3">
        <v>3.0</v>
      </c>
    </row>
    <row r="1522" ht="14.25" hidden="1" customHeight="1">
      <c r="A1522" s="3" t="s">
        <v>5286</v>
      </c>
      <c r="B1522" s="3" t="s">
        <v>5287</v>
      </c>
      <c r="C1522" s="3">
        <v>0.0</v>
      </c>
      <c r="D1522" s="3">
        <v>3.0</v>
      </c>
    </row>
    <row r="1523" ht="14.25" hidden="1" customHeight="1">
      <c r="A1523" s="3" t="s">
        <v>5288</v>
      </c>
      <c r="B1523" s="3" t="s">
        <v>5289</v>
      </c>
      <c r="C1523" s="3">
        <v>0.0</v>
      </c>
      <c r="D1523" s="3">
        <v>1.0</v>
      </c>
    </row>
    <row r="1524" ht="14.25" hidden="1" customHeight="1">
      <c r="A1524" s="3" t="s">
        <v>5292</v>
      </c>
      <c r="B1524" s="3" t="s">
        <v>5293</v>
      </c>
      <c r="C1524" s="3">
        <v>0.0</v>
      </c>
      <c r="D1524" s="3">
        <v>3.0</v>
      </c>
    </row>
    <row r="1525" ht="14.25" hidden="1" customHeight="1">
      <c r="A1525" s="3" t="s">
        <v>5298</v>
      </c>
      <c r="B1525" s="3" t="s">
        <v>5299</v>
      </c>
      <c r="C1525" s="3">
        <v>0.0</v>
      </c>
      <c r="D1525" s="3">
        <v>2.0</v>
      </c>
    </row>
    <row r="1526" ht="14.25" hidden="1" customHeight="1">
      <c r="A1526" s="3" t="s">
        <v>5300</v>
      </c>
      <c r="B1526" s="3" t="s">
        <v>5301</v>
      </c>
      <c r="C1526" s="3">
        <v>0.0</v>
      </c>
      <c r="D1526" s="3">
        <v>3.0</v>
      </c>
    </row>
    <row r="1527" ht="14.25" hidden="1" customHeight="1">
      <c r="A1527" s="3" t="s">
        <v>5302</v>
      </c>
      <c r="B1527" s="3" t="s">
        <v>5303</v>
      </c>
      <c r="C1527" s="3">
        <v>0.0</v>
      </c>
      <c r="D1527" s="3">
        <v>1.0</v>
      </c>
    </row>
    <row r="1528" ht="14.25" hidden="1" customHeight="1">
      <c r="A1528" s="3" t="s">
        <v>5304</v>
      </c>
      <c r="B1528" s="3" t="s">
        <v>5305</v>
      </c>
      <c r="C1528" s="3">
        <v>0.0</v>
      </c>
      <c r="D1528" s="3">
        <v>5.0</v>
      </c>
    </row>
    <row r="1529" ht="14.25" hidden="1" customHeight="1">
      <c r="A1529" s="3" t="s">
        <v>2707</v>
      </c>
      <c r="B1529" s="3" t="s">
        <v>2708</v>
      </c>
      <c r="C1529" s="3">
        <v>0.0</v>
      </c>
      <c r="D1529" s="3">
        <v>17.0</v>
      </c>
    </row>
    <row r="1530" ht="14.25" hidden="1" customHeight="1">
      <c r="A1530" s="3" t="s">
        <v>3411</v>
      </c>
      <c r="B1530" s="3" t="s">
        <v>3412</v>
      </c>
      <c r="C1530" s="3">
        <v>0.0</v>
      </c>
      <c r="D1530" s="3">
        <v>9.0</v>
      </c>
    </row>
    <row r="1531" ht="14.25" hidden="1" customHeight="1">
      <c r="A1531" s="3" t="s">
        <v>5306</v>
      </c>
      <c r="B1531" s="3" t="s">
        <v>5307</v>
      </c>
      <c r="C1531" s="3">
        <v>0.0</v>
      </c>
      <c r="D1531" s="3">
        <v>5.0</v>
      </c>
    </row>
    <row r="1532" ht="14.25" hidden="1" customHeight="1">
      <c r="A1532" s="3" t="s">
        <v>5308</v>
      </c>
      <c r="B1532" s="3" t="s">
        <v>5309</v>
      </c>
      <c r="C1532" s="3">
        <v>0.0</v>
      </c>
      <c r="D1532" s="3">
        <v>3.0</v>
      </c>
    </row>
    <row r="1533" ht="14.25" hidden="1" customHeight="1">
      <c r="A1533" s="3" t="s">
        <v>5310</v>
      </c>
      <c r="B1533" s="3" t="s">
        <v>5311</v>
      </c>
      <c r="C1533" s="3">
        <v>0.0</v>
      </c>
      <c r="D1533" s="3">
        <v>5.0</v>
      </c>
    </row>
    <row r="1534" ht="14.25" hidden="1" customHeight="1">
      <c r="A1534" s="3" t="s">
        <v>5312</v>
      </c>
      <c r="B1534" s="3" t="s">
        <v>5313</v>
      </c>
      <c r="C1534" s="3">
        <v>0.0</v>
      </c>
      <c r="D1534" s="3">
        <v>1.0</v>
      </c>
    </row>
    <row r="1535" ht="14.25" hidden="1" customHeight="1">
      <c r="A1535" s="3" t="s">
        <v>3630</v>
      </c>
      <c r="B1535" s="3" t="s">
        <v>3631</v>
      </c>
      <c r="C1535" s="3">
        <v>0.0</v>
      </c>
      <c r="D1535" s="3">
        <v>2.0</v>
      </c>
    </row>
    <row r="1536" ht="14.25" hidden="1" customHeight="1">
      <c r="A1536" s="3" t="s">
        <v>3413</v>
      </c>
      <c r="B1536" s="3" t="s">
        <v>3414</v>
      </c>
      <c r="C1536" s="3">
        <v>0.0</v>
      </c>
      <c r="D1536" s="3">
        <v>3.0</v>
      </c>
    </row>
    <row r="1537" ht="14.25" hidden="1" customHeight="1">
      <c r="A1537" s="3" t="s">
        <v>5314</v>
      </c>
      <c r="B1537" s="3" t="s">
        <v>5315</v>
      </c>
      <c r="C1537" s="3">
        <v>0.0</v>
      </c>
      <c r="D1537" s="3">
        <v>3.0</v>
      </c>
    </row>
    <row r="1538" ht="14.25" hidden="1" customHeight="1">
      <c r="A1538" s="3" t="s">
        <v>5316</v>
      </c>
      <c r="B1538" s="3" t="s">
        <v>5317</v>
      </c>
      <c r="C1538" s="3">
        <v>0.0</v>
      </c>
      <c r="D1538" s="3">
        <v>5.0</v>
      </c>
    </row>
    <row r="1539" ht="14.25" hidden="1" customHeight="1">
      <c r="A1539" s="3" t="s">
        <v>5318</v>
      </c>
      <c r="B1539" s="3" t="s">
        <v>5319</v>
      </c>
      <c r="C1539" s="3">
        <v>0.0</v>
      </c>
      <c r="D1539" s="3">
        <v>3.0</v>
      </c>
    </row>
    <row r="1540" ht="14.25" hidden="1" customHeight="1">
      <c r="A1540" s="3" t="s">
        <v>5320</v>
      </c>
      <c r="B1540" s="3" t="s">
        <v>5321</v>
      </c>
      <c r="C1540" s="3">
        <v>0.0</v>
      </c>
      <c r="D1540" s="3">
        <v>2.0</v>
      </c>
    </row>
    <row r="1541" ht="14.25" hidden="1" customHeight="1">
      <c r="A1541" s="3" t="s">
        <v>5322</v>
      </c>
      <c r="B1541" s="3" t="s">
        <v>5323</v>
      </c>
      <c r="C1541" s="3">
        <v>0.0</v>
      </c>
      <c r="D1541" s="3">
        <v>3.0</v>
      </c>
    </row>
    <row r="1542" ht="14.25" hidden="1" customHeight="1">
      <c r="A1542" s="3" t="s">
        <v>5326</v>
      </c>
      <c r="B1542" s="3" t="s">
        <v>5327</v>
      </c>
      <c r="C1542" s="3">
        <v>0.0</v>
      </c>
      <c r="D1542" s="3">
        <v>5.0</v>
      </c>
    </row>
    <row r="1543" ht="14.25" hidden="1" customHeight="1">
      <c r="A1543" s="3" t="s">
        <v>5328</v>
      </c>
      <c r="B1543" s="3" t="s">
        <v>5329</v>
      </c>
      <c r="C1543" s="3">
        <v>0.0</v>
      </c>
      <c r="D1543" s="3">
        <v>4.0</v>
      </c>
    </row>
    <row r="1544" ht="14.25" hidden="1" customHeight="1">
      <c r="A1544" s="3" t="s">
        <v>5330</v>
      </c>
      <c r="B1544" s="3" t="s">
        <v>5331</v>
      </c>
      <c r="C1544" s="3">
        <v>0.0</v>
      </c>
      <c r="D1544" s="3">
        <v>3.0</v>
      </c>
    </row>
    <row r="1545" ht="14.25" hidden="1" customHeight="1">
      <c r="A1545" s="3" t="s">
        <v>5332</v>
      </c>
      <c r="B1545" s="3" t="s">
        <v>5333</v>
      </c>
      <c r="C1545" s="3">
        <v>0.0</v>
      </c>
      <c r="D1545" s="3">
        <v>3.0</v>
      </c>
    </row>
    <row r="1546" ht="14.25" hidden="1" customHeight="1">
      <c r="A1546" s="3" t="s">
        <v>3415</v>
      </c>
      <c r="B1546" s="3" t="s">
        <v>3416</v>
      </c>
      <c r="C1546" s="3">
        <v>0.0</v>
      </c>
      <c r="D1546" s="3">
        <v>3.0</v>
      </c>
    </row>
    <row r="1547" ht="14.25" hidden="1" customHeight="1">
      <c r="A1547" s="3" t="s">
        <v>5334</v>
      </c>
      <c r="B1547" s="3" t="s">
        <v>5335</v>
      </c>
      <c r="C1547" s="3">
        <v>0.0</v>
      </c>
      <c r="D1547" s="3">
        <v>5.0</v>
      </c>
    </row>
    <row r="1548" ht="14.25" hidden="1" customHeight="1">
      <c r="A1548" s="3" t="s">
        <v>5336</v>
      </c>
      <c r="B1548" s="3" t="s">
        <v>5337</v>
      </c>
      <c r="C1548" s="3">
        <v>0.0</v>
      </c>
      <c r="D1548" s="3">
        <v>2.0</v>
      </c>
    </row>
    <row r="1549" ht="14.25" hidden="1" customHeight="1">
      <c r="A1549" s="3" t="s">
        <v>5338</v>
      </c>
      <c r="B1549" s="3" t="s">
        <v>5339</v>
      </c>
      <c r="C1549" s="3">
        <v>0.0</v>
      </c>
      <c r="D1549" s="3">
        <v>4.0</v>
      </c>
    </row>
    <row r="1550" ht="14.25" hidden="1" customHeight="1">
      <c r="A1550" s="3" t="s">
        <v>3417</v>
      </c>
      <c r="B1550" s="3" t="s">
        <v>3418</v>
      </c>
      <c r="C1550" s="3">
        <v>0.0</v>
      </c>
      <c r="D1550" s="3">
        <v>3.0</v>
      </c>
    </row>
    <row r="1551" ht="14.25" hidden="1" customHeight="1">
      <c r="A1551" s="3" t="s">
        <v>3419</v>
      </c>
      <c r="B1551" s="3" t="s">
        <v>3420</v>
      </c>
      <c r="C1551" s="3">
        <v>0.0</v>
      </c>
      <c r="D1551" s="3">
        <v>3.0</v>
      </c>
    </row>
    <row r="1552" ht="14.25" hidden="1" customHeight="1">
      <c r="A1552" s="3" t="s">
        <v>5340</v>
      </c>
      <c r="B1552" s="3" t="s">
        <v>5341</v>
      </c>
      <c r="C1552" s="3">
        <v>0.0</v>
      </c>
      <c r="D1552" s="3">
        <v>5.0</v>
      </c>
    </row>
    <row r="1553" ht="14.25" hidden="1" customHeight="1">
      <c r="A1553" s="3" t="s">
        <v>3421</v>
      </c>
      <c r="B1553" s="3" t="s">
        <v>3422</v>
      </c>
      <c r="C1553" s="3">
        <v>0.0</v>
      </c>
      <c r="D1553" s="3">
        <v>3.0</v>
      </c>
    </row>
    <row r="1554" ht="14.25" hidden="1" customHeight="1">
      <c r="A1554" s="3" t="s">
        <v>5342</v>
      </c>
      <c r="B1554" s="3" t="s">
        <v>5343</v>
      </c>
      <c r="C1554" s="3">
        <v>0.0</v>
      </c>
      <c r="D1554" s="3">
        <v>2.0</v>
      </c>
    </row>
    <row r="1555" ht="14.25" hidden="1" customHeight="1">
      <c r="A1555" s="3" t="s">
        <v>5344</v>
      </c>
      <c r="B1555" s="3" t="s">
        <v>5345</v>
      </c>
      <c r="C1555" s="3">
        <v>0.0</v>
      </c>
      <c r="D1555" s="3">
        <v>4.0</v>
      </c>
    </row>
    <row r="1556" ht="14.25" hidden="1" customHeight="1">
      <c r="A1556" s="3" t="s">
        <v>5346</v>
      </c>
      <c r="B1556" s="3" t="s">
        <v>5347</v>
      </c>
      <c r="C1556" s="3">
        <v>0.0</v>
      </c>
      <c r="D1556" s="3">
        <v>3.0</v>
      </c>
    </row>
    <row r="1557" ht="14.25" hidden="1" customHeight="1">
      <c r="A1557" s="3" t="s">
        <v>5348</v>
      </c>
      <c r="B1557" s="3" t="s">
        <v>5349</v>
      </c>
      <c r="C1557" s="3">
        <v>0.0</v>
      </c>
      <c r="D1557" s="3">
        <v>3.0</v>
      </c>
    </row>
    <row r="1558" ht="14.25" hidden="1" customHeight="1">
      <c r="A1558" s="3" t="s">
        <v>5350</v>
      </c>
      <c r="B1558" s="3" t="s">
        <v>5351</v>
      </c>
      <c r="C1558" s="3">
        <v>0.0</v>
      </c>
      <c r="D1558" s="3">
        <v>2.0</v>
      </c>
    </row>
    <row r="1559" ht="14.25" hidden="1" customHeight="1">
      <c r="A1559" s="3" t="s">
        <v>5352</v>
      </c>
      <c r="B1559" s="3" t="s">
        <v>5353</v>
      </c>
      <c r="C1559" s="3">
        <v>0.0</v>
      </c>
      <c r="D1559" s="3">
        <v>7.0</v>
      </c>
    </row>
    <row r="1560" ht="14.25" hidden="1" customHeight="1">
      <c r="A1560" s="3" t="s">
        <v>5354</v>
      </c>
      <c r="B1560" s="3" t="s">
        <v>5355</v>
      </c>
      <c r="C1560" s="3">
        <v>0.0</v>
      </c>
      <c r="D1560" s="3">
        <v>5.0</v>
      </c>
    </row>
    <row r="1561" ht="14.25" hidden="1" customHeight="1">
      <c r="A1561" s="3" t="s">
        <v>5356</v>
      </c>
      <c r="B1561" s="3" t="s">
        <v>5357</v>
      </c>
      <c r="C1561" s="3">
        <v>0.0</v>
      </c>
      <c r="D1561" s="3">
        <v>2.0</v>
      </c>
    </row>
    <row r="1562" ht="14.25" hidden="1" customHeight="1">
      <c r="A1562" s="3" t="s">
        <v>5358</v>
      </c>
      <c r="B1562" s="3" t="s">
        <v>5359</v>
      </c>
      <c r="C1562" s="3">
        <v>0.0</v>
      </c>
      <c r="D1562" s="3">
        <v>3.0</v>
      </c>
    </row>
    <row r="1563" ht="14.25" hidden="1" customHeight="1">
      <c r="A1563" s="3" t="s">
        <v>5360</v>
      </c>
      <c r="B1563" s="3" t="s">
        <v>5361</v>
      </c>
      <c r="C1563" s="3">
        <v>0.0</v>
      </c>
      <c r="D1563" s="3">
        <v>2.0</v>
      </c>
    </row>
    <row r="1564" ht="14.25" hidden="1" customHeight="1">
      <c r="A1564" s="3" t="s">
        <v>5362</v>
      </c>
      <c r="B1564" s="3" t="s">
        <v>5363</v>
      </c>
      <c r="C1564" s="3">
        <v>0.0</v>
      </c>
      <c r="D1564" s="3">
        <v>3.0</v>
      </c>
    </row>
    <row r="1565" ht="14.25" hidden="1" customHeight="1">
      <c r="A1565" s="3" t="s">
        <v>5364</v>
      </c>
      <c r="B1565" s="3" t="s">
        <v>5365</v>
      </c>
      <c r="C1565" s="3">
        <v>0.0</v>
      </c>
      <c r="D1565" s="3">
        <v>2.0</v>
      </c>
    </row>
    <row r="1566" ht="14.25" hidden="1" customHeight="1">
      <c r="A1566" s="3" t="s">
        <v>5378</v>
      </c>
      <c r="B1566" s="3" t="s">
        <v>5379</v>
      </c>
      <c r="C1566" s="3">
        <v>0.0</v>
      </c>
      <c r="D1566" s="3">
        <v>6.0</v>
      </c>
    </row>
    <row r="1567" ht="14.25" hidden="1" customHeight="1">
      <c r="A1567" s="3" t="s">
        <v>5380</v>
      </c>
      <c r="B1567" s="3" t="s">
        <v>5381</v>
      </c>
      <c r="C1567" s="3">
        <v>0.0</v>
      </c>
      <c r="D1567" s="3">
        <v>2.0</v>
      </c>
    </row>
    <row r="1568" ht="14.25" hidden="1" customHeight="1">
      <c r="A1568" s="3" t="s">
        <v>5382</v>
      </c>
      <c r="B1568" s="3" t="s">
        <v>5383</v>
      </c>
      <c r="C1568" s="3">
        <v>0.0</v>
      </c>
      <c r="D1568" s="3">
        <v>3.0</v>
      </c>
    </row>
    <row r="1569" ht="14.25" hidden="1" customHeight="1">
      <c r="A1569" s="3" t="s">
        <v>5384</v>
      </c>
      <c r="B1569" s="3" t="s">
        <v>5385</v>
      </c>
      <c r="C1569" s="3">
        <v>0.0</v>
      </c>
      <c r="D1569" s="3">
        <v>5.0</v>
      </c>
    </row>
    <row r="1570" ht="14.25" hidden="1" customHeight="1">
      <c r="A1570" s="3" t="s">
        <v>5386</v>
      </c>
      <c r="B1570" s="3" t="s">
        <v>5387</v>
      </c>
      <c r="C1570" s="3">
        <v>0.0</v>
      </c>
      <c r="D1570" s="3">
        <v>11.0</v>
      </c>
    </row>
    <row r="1571" ht="14.25" hidden="1" customHeight="1">
      <c r="A1571" s="3" t="s">
        <v>5388</v>
      </c>
      <c r="B1571" s="3" t="s">
        <v>5389</v>
      </c>
      <c r="C1571" s="3">
        <v>0.0</v>
      </c>
      <c r="D1571" s="3">
        <v>4.0</v>
      </c>
    </row>
    <row r="1572" ht="14.25" hidden="1" customHeight="1">
      <c r="A1572" s="3" t="s">
        <v>2994</v>
      </c>
      <c r="B1572" s="3" t="s">
        <v>2995</v>
      </c>
      <c r="C1572" s="3">
        <v>0.0</v>
      </c>
      <c r="D1572" s="3">
        <v>2.0</v>
      </c>
    </row>
    <row r="1573" ht="14.25" hidden="1" customHeight="1">
      <c r="A1573" s="3" t="s">
        <v>5390</v>
      </c>
      <c r="B1573" s="3" t="s">
        <v>5391</v>
      </c>
      <c r="C1573" s="3">
        <v>0.0</v>
      </c>
      <c r="D1573" s="3">
        <v>2.0</v>
      </c>
    </row>
    <row r="1574" ht="14.25" hidden="1" customHeight="1">
      <c r="A1574" s="3" t="s">
        <v>5392</v>
      </c>
      <c r="B1574" s="3" t="s">
        <v>5393</v>
      </c>
      <c r="C1574" s="3">
        <v>0.0</v>
      </c>
      <c r="D1574" s="3">
        <v>6.0</v>
      </c>
    </row>
    <row r="1575" ht="14.25" hidden="1" customHeight="1">
      <c r="A1575" s="3" t="s">
        <v>5394</v>
      </c>
      <c r="B1575" s="3" t="s">
        <v>5395</v>
      </c>
      <c r="C1575" s="3">
        <v>0.0</v>
      </c>
      <c r="D1575" s="3">
        <v>4.0</v>
      </c>
    </row>
    <row r="1576" ht="14.25" hidden="1" customHeight="1">
      <c r="A1576" s="3" t="s">
        <v>5396</v>
      </c>
      <c r="B1576" s="3" t="s">
        <v>5397</v>
      </c>
      <c r="C1576" s="3">
        <v>0.0</v>
      </c>
      <c r="D1576" s="3">
        <v>3.0</v>
      </c>
    </row>
    <row r="1577" ht="14.25" hidden="1" customHeight="1">
      <c r="A1577" s="3" t="s">
        <v>5398</v>
      </c>
      <c r="B1577" s="3" t="s">
        <v>5399</v>
      </c>
      <c r="C1577" s="3">
        <v>0.0</v>
      </c>
      <c r="D1577" s="3">
        <v>9.0</v>
      </c>
    </row>
    <row r="1578" ht="14.25" hidden="1" customHeight="1">
      <c r="A1578" s="3" t="s">
        <v>5400</v>
      </c>
      <c r="B1578" s="3" t="s">
        <v>5401</v>
      </c>
      <c r="C1578" s="3">
        <v>0.0</v>
      </c>
      <c r="D1578" s="3">
        <v>2.0</v>
      </c>
    </row>
    <row r="1579" ht="14.25" hidden="1" customHeight="1">
      <c r="A1579" s="3" t="s">
        <v>5402</v>
      </c>
      <c r="B1579" s="3" t="s">
        <v>5403</v>
      </c>
      <c r="C1579" s="3">
        <v>0.0</v>
      </c>
      <c r="D1579" s="3">
        <v>1.0</v>
      </c>
    </row>
    <row r="1580" ht="14.25" hidden="1" customHeight="1">
      <c r="A1580" s="3" t="s">
        <v>5404</v>
      </c>
      <c r="B1580" s="3" t="s">
        <v>5405</v>
      </c>
      <c r="C1580" s="3">
        <v>0.0</v>
      </c>
      <c r="D1580" s="3">
        <v>3.0</v>
      </c>
    </row>
    <row r="1581" ht="14.25" hidden="1" customHeight="1">
      <c r="A1581" s="3" t="s">
        <v>5406</v>
      </c>
      <c r="B1581" s="3" t="s">
        <v>5407</v>
      </c>
      <c r="C1581" s="3">
        <v>0.0</v>
      </c>
      <c r="D1581" s="3">
        <v>5.0</v>
      </c>
    </row>
    <row r="1582" ht="14.25" hidden="1" customHeight="1">
      <c r="A1582" s="3" t="s">
        <v>5408</v>
      </c>
      <c r="B1582" s="3" t="s">
        <v>5409</v>
      </c>
      <c r="C1582" s="3">
        <v>0.0</v>
      </c>
      <c r="D1582" s="3">
        <v>2.0</v>
      </c>
    </row>
    <row r="1583" ht="14.25" hidden="1" customHeight="1">
      <c r="A1583" s="3" t="s">
        <v>5410</v>
      </c>
      <c r="B1583" s="3" t="s">
        <v>5411</v>
      </c>
      <c r="C1583" s="3">
        <v>0.0</v>
      </c>
      <c r="D1583" s="3">
        <v>4.0</v>
      </c>
    </row>
    <row r="1584" ht="14.25" hidden="1" customHeight="1">
      <c r="A1584" s="3" t="s">
        <v>5412</v>
      </c>
      <c r="B1584" s="3" t="s">
        <v>5413</v>
      </c>
      <c r="C1584" s="3">
        <v>0.0</v>
      </c>
      <c r="D1584" s="3">
        <v>3.0</v>
      </c>
    </row>
    <row r="1585" ht="14.25" hidden="1" customHeight="1">
      <c r="A1585" s="3" t="s">
        <v>5414</v>
      </c>
      <c r="B1585" s="3" t="s">
        <v>5415</v>
      </c>
      <c r="C1585" s="3">
        <v>0.0</v>
      </c>
      <c r="D1585" s="3">
        <v>2.0</v>
      </c>
    </row>
    <row r="1586" ht="14.25" hidden="1" customHeight="1">
      <c r="A1586" s="3" t="s">
        <v>5416</v>
      </c>
      <c r="B1586" s="3" t="s">
        <v>5417</v>
      </c>
      <c r="C1586" s="3">
        <v>0.0</v>
      </c>
      <c r="D1586" s="3">
        <v>4.0</v>
      </c>
    </row>
    <row r="1587" ht="14.25" hidden="1" customHeight="1">
      <c r="A1587" s="3" t="s">
        <v>5418</v>
      </c>
      <c r="B1587" s="3" t="s">
        <v>5419</v>
      </c>
      <c r="C1587" s="3">
        <v>0.0</v>
      </c>
      <c r="D1587" s="3">
        <v>1.0</v>
      </c>
    </row>
    <row r="1588" ht="14.25" hidden="1" customHeight="1">
      <c r="A1588" s="3" t="s">
        <v>5420</v>
      </c>
      <c r="B1588" s="3" t="s">
        <v>5421</v>
      </c>
      <c r="C1588" s="3">
        <v>0.0</v>
      </c>
      <c r="D1588" s="3">
        <v>4.0</v>
      </c>
    </row>
    <row r="1589" ht="14.25" hidden="1" customHeight="1">
      <c r="A1589" s="3" t="s">
        <v>5422</v>
      </c>
      <c r="B1589" s="3" t="s">
        <v>5423</v>
      </c>
      <c r="C1589" s="3">
        <v>0.0</v>
      </c>
      <c r="D1589" s="3">
        <v>5.0</v>
      </c>
    </row>
    <row r="1590" ht="14.25" hidden="1" customHeight="1">
      <c r="A1590" s="3" t="s">
        <v>5424</v>
      </c>
      <c r="B1590" s="3" t="s">
        <v>5425</v>
      </c>
      <c r="C1590" s="3">
        <v>0.0</v>
      </c>
      <c r="D1590" s="3">
        <v>2.0</v>
      </c>
    </row>
    <row r="1591" ht="14.25" hidden="1" customHeight="1">
      <c r="A1591" s="3" t="s">
        <v>5426</v>
      </c>
      <c r="B1591" s="3" t="s">
        <v>5427</v>
      </c>
      <c r="C1591" s="3">
        <v>0.0</v>
      </c>
      <c r="D1591" s="3">
        <v>2.0</v>
      </c>
    </row>
    <row r="1592" ht="14.25" hidden="1" customHeight="1">
      <c r="A1592" s="3" t="s">
        <v>5688</v>
      </c>
      <c r="B1592" s="3" t="s">
        <v>5689</v>
      </c>
      <c r="C1592" s="3">
        <v>2259.0</v>
      </c>
      <c r="D1592" s="3">
        <v>18.0</v>
      </c>
    </row>
    <row r="1593" ht="14.25" hidden="1" customHeight="1">
      <c r="A1593" s="3" t="s">
        <v>2996</v>
      </c>
      <c r="B1593" s="3" t="s">
        <v>2997</v>
      </c>
      <c r="C1593" s="3">
        <v>4797.0</v>
      </c>
      <c r="D1593" s="3">
        <v>3.0</v>
      </c>
    </row>
    <row r="1594" ht="14.25" hidden="1" customHeight="1">
      <c r="A1594" s="3" t="s">
        <v>2998</v>
      </c>
      <c r="B1594" s="3" t="s">
        <v>1228</v>
      </c>
      <c r="C1594" s="3">
        <v>15452.0</v>
      </c>
      <c r="D1594" s="3">
        <v>284.0</v>
      </c>
    </row>
    <row r="1595" ht="14.25" hidden="1" customHeight="1">
      <c r="A1595" s="3" t="s">
        <v>5434</v>
      </c>
      <c r="B1595" s="3" t="s">
        <v>1307</v>
      </c>
      <c r="C1595" s="3">
        <v>4807.0</v>
      </c>
      <c r="D1595" s="3">
        <v>195.0</v>
      </c>
    </row>
    <row r="1596" ht="14.25" hidden="1" customHeight="1">
      <c r="A1596" s="3" t="s">
        <v>16398</v>
      </c>
      <c r="B1596" s="3" t="s">
        <v>1355</v>
      </c>
      <c r="C1596" s="3">
        <v>5126.0</v>
      </c>
      <c r="D1596" s="3">
        <v>297.0</v>
      </c>
    </row>
    <row r="1597" ht="14.25" hidden="1" customHeight="1">
      <c r="A1597" s="3" t="s">
        <v>2999</v>
      </c>
      <c r="B1597" s="3" t="s">
        <v>3000</v>
      </c>
      <c r="C1597" s="3">
        <v>14292.0</v>
      </c>
      <c r="D1597" s="3">
        <v>15.0</v>
      </c>
    </row>
    <row r="1598" ht="14.25" hidden="1" customHeight="1">
      <c r="A1598" s="3" t="s">
        <v>3001</v>
      </c>
      <c r="B1598" s="3" t="s">
        <v>3002</v>
      </c>
      <c r="C1598" s="3">
        <v>14292.0</v>
      </c>
      <c r="D1598" s="3">
        <v>24.0</v>
      </c>
    </row>
    <row r="1599" ht="14.25" hidden="1" customHeight="1">
      <c r="A1599" s="3" t="s">
        <v>3003</v>
      </c>
      <c r="B1599" s="3" t="s">
        <v>3004</v>
      </c>
      <c r="C1599" s="3">
        <v>12933.0</v>
      </c>
      <c r="D1599" s="3">
        <v>16.0</v>
      </c>
    </row>
    <row r="1600" ht="14.25" hidden="1" customHeight="1">
      <c r="A1600" s="3" t="s">
        <v>3005</v>
      </c>
      <c r="B1600" s="3" t="s">
        <v>3006</v>
      </c>
      <c r="C1600" s="3">
        <v>12933.0</v>
      </c>
      <c r="D1600" s="3">
        <v>17.0</v>
      </c>
    </row>
    <row r="1601" ht="14.25" hidden="1" customHeight="1">
      <c r="A1601" s="3" t="s">
        <v>2727</v>
      </c>
      <c r="B1601" s="3" t="s">
        <v>2728</v>
      </c>
      <c r="C1601" s="3">
        <v>18198.0</v>
      </c>
      <c r="D1601" s="3">
        <v>7.0</v>
      </c>
    </row>
    <row r="1602" ht="14.25" hidden="1" customHeight="1">
      <c r="A1602" s="3" t="s">
        <v>3007</v>
      </c>
      <c r="B1602" s="3" t="s">
        <v>3008</v>
      </c>
      <c r="C1602" s="3">
        <v>24381.0</v>
      </c>
      <c r="D1602" s="3">
        <v>8.0</v>
      </c>
    </row>
    <row r="1603" ht="14.25" hidden="1" customHeight="1">
      <c r="A1603" s="3" t="s">
        <v>3632</v>
      </c>
      <c r="B1603" s="3" t="s">
        <v>3633</v>
      </c>
      <c r="C1603" s="3">
        <v>14796.0</v>
      </c>
      <c r="D1603" s="3">
        <v>81.0</v>
      </c>
    </row>
    <row r="1604" ht="14.25" hidden="1" customHeight="1">
      <c r="A1604" s="3" t="s">
        <v>3127</v>
      </c>
      <c r="B1604" s="3" t="s">
        <v>3128</v>
      </c>
      <c r="C1604" s="3">
        <v>14796.0</v>
      </c>
      <c r="D1604" s="3">
        <v>2.0</v>
      </c>
    </row>
    <row r="1605" ht="14.25" hidden="1" customHeight="1">
      <c r="A1605" s="3" t="s">
        <v>3009</v>
      </c>
      <c r="B1605" s="3" t="s">
        <v>3010</v>
      </c>
      <c r="C1605" s="3">
        <v>16703.0</v>
      </c>
      <c r="D1605" s="3">
        <v>86.0</v>
      </c>
    </row>
    <row r="1606" ht="14.25" hidden="1" customHeight="1">
      <c r="A1606" s="3" t="s">
        <v>5462</v>
      </c>
      <c r="B1606" s="3" t="s">
        <v>5463</v>
      </c>
      <c r="C1606" s="3">
        <v>3524.0</v>
      </c>
      <c r="D1606" s="3">
        <v>3.0</v>
      </c>
    </row>
    <row r="1607" ht="14.25" hidden="1" customHeight="1">
      <c r="A1607" s="3" t="s">
        <v>16399</v>
      </c>
      <c r="B1607" s="3" t="s">
        <v>15401</v>
      </c>
      <c r="C1607" s="3">
        <v>15121.0</v>
      </c>
      <c r="D1607" s="3">
        <v>2.0</v>
      </c>
    </row>
    <row r="1608" ht="14.25" hidden="1" customHeight="1">
      <c r="A1608" s="3" t="s">
        <v>5464</v>
      </c>
      <c r="B1608" s="3" t="s">
        <v>5465</v>
      </c>
      <c r="C1608" s="3">
        <v>0.0</v>
      </c>
      <c r="D1608" s="3">
        <v>3.0</v>
      </c>
    </row>
    <row r="1609" ht="14.25" hidden="1" customHeight="1">
      <c r="A1609" s="3" t="s">
        <v>16400</v>
      </c>
      <c r="B1609" s="3" t="s">
        <v>14169</v>
      </c>
      <c r="C1609" s="3">
        <v>6714.0</v>
      </c>
      <c r="D1609" s="3">
        <v>1.0</v>
      </c>
    </row>
    <row r="1610" ht="14.25" hidden="1" customHeight="1">
      <c r="A1610" s="3" t="s">
        <v>5466</v>
      </c>
      <c r="B1610" s="3" t="s">
        <v>5467</v>
      </c>
      <c r="C1610" s="3">
        <v>0.0</v>
      </c>
      <c r="D1610" s="3">
        <v>2.0</v>
      </c>
    </row>
    <row r="1611" ht="14.25" hidden="1" customHeight="1">
      <c r="A1611" s="3" t="s">
        <v>5468</v>
      </c>
      <c r="B1611" s="3" t="s">
        <v>5469</v>
      </c>
      <c r="C1611" s="3">
        <v>1414.0</v>
      </c>
      <c r="D1611" s="3">
        <v>12.0</v>
      </c>
    </row>
    <row r="1612" ht="14.25" hidden="1" customHeight="1">
      <c r="A1612" s="3" t="s">
        <v>5470</v>
      </c>
      <c r="B1612" s="3" t="s">
        <v>5471</v>
      </c>
      <c r="C1612" s="3">
        <v>22026.0</v>
      </c>
      <c r="D1612" s="3">
        <v>1.0</v>
      </c>
    </row>
    <row r="1613" ht="14.25" hidden="1" customHeight="1">
      <c r="A1613" s="3" t="s">
        <v>16401</v>
      </c>
      <c r="B1613" s="3" t="s">
        <v>13804</v>
      </c>
      <c r="C1613" s="3">
        <v>0.0</v>
      </c>
      <c r="D1613" s="3">
        <v>14.0</v>
      </c>
    </row>
    <row r="1614" ht="14.25" hidden="1" customHeight="1">
      <c r="A1614" s="3" t="s">
        <v>2730</v>
      </c>
      <c r="B1614" s="3" t="s">
        <v>2731</v>
      </c>
      <c r="C1614" s="3">
        <v>0.0</v>
      </c>
      <c r="D1614" s="3">
        <v>4.0</v>
      </c>
    </row>
    <row r="1615" ht="14.25" hidden="1" customHeight="1">
      <c r="A1615" s="3" t="s">
        <v>5692</v>
      </c>
      <c r="B1615" s="3" t="s">
        <v>5693</v>
      </c>
      <c r="C1615" s="3">
        <v>0.0</v>
      </c>
      <c r="D1615" s="3">
        <v>5.0</v>
      </c>
    </row>
    <row r="1616" ht="14.25" hidden="1" customHeight="1">
      <c r="A1616" s="3" t="s">
        <v>3634</v>
      </c>
      <c r="B1616" s="3" t="s">
        <v>3635</v>
      </c>
      <c r="C1616" s="3">
        <v>0.0</v>
      </c>
      <c r="D1616" s="3">
        <v>3.0</v>
      </c>
    </row>
    <row r="1617" ht="14.25" hidden="1" customHeight="1">
      <c r="A1617" s="3" t="s">
        <v>3636</v>
      </c>
      <c r="B1617" s="3" t="s">
        <v>3637</v>
      </c>
      <c r="C1617" s="3">
        <v>0.0</v>
      </c>
      <c r="D1617" s="3">
        <v>6.0</v>
      </c>
    </row>
    <row r="1618" ht="14.25" hidden="1" customHeight="1">
      <c r="A1618" s="3" t="s">
        <v>5476</v>
      </c>
      <c r="B1618" s="3" t="s">
        <v>5477</v>
      </c>
      <c r="C1618" s="3">
        <v>0.0</v>
      </c>
      <c r="D1618" s="3">
        <v>3.0</v>
      </c>
    </row>
    <row r="1619" ht="14.25" hidden="1" customHeight="1">
      <c r="A1619" s="3" t="s">
        <v>3425</v>
      </c>
      <c r="B1619" s="3" t="s">
        <v>3426</v>
      </c>
      <c r="C1619" s="3">
        <v>0.0</v>
      </c>
      <c r="D1619" s="3">
        <v>4.0</v>
      </c>
    </row>
    <row r="1620" ht="14.25" hidden="1" customHeight="1">
      <c r="A1620" s="3" t="s">
        <v>5478</v>
      </c>
      <c r="B1620" s="3" t="s">
        <v>5479</v>
      </c>
      <c r="C1620" s="3">
        <v>0.0</v>
      </c>
      <c r="D1620" s="3">
        <v>7.0</v>
      </c>
    </row>
    <row r="1621" ht="14.25" hidden="1" customHeight="1">
      <c r="A1621" s="3" t="s">
        <v>5480</v>
      </c>
      <c r="B1621" s="3" t="s">
        <v>5481</v>
      </c>
      <c r="C1621" s="3">
        <v>0.0</v>
      </c>
      <c r="D1621" s="3">
        <v>1.0</v>
      </c>
    </row>
    <row r="1622" ht="14.25" hidden="1" customHeight="1">
      <c r="A1622" s="3" t="s">
        <v>5482</v>
      </c>
      <c r="B1622" s="3" t="s">
        <v>5483</v>
      </c>
      <c r="C1622" s="3">
        <v>0.0</v>
      </c>
      <c r="D1622" s="3">
        <v>2.0</v>
      </c>
    </row>
    <row r="1623" ht="14.25" hidden="1" customHeight="1">
      <c r="A1623" s="3" t="s">
        <v>5484</v>
      </c>
      <c r="B1623" s="3" t="s">
        <v>5485</v>
      </c>
      <c r="C1623" s="3">
        <v>0.0</v>
      </c>
      <c r="D1623" s="3">
        <v>1.0</v>
      </c>
    </row>
    <row r="1624" ht="14.25" hidden="1" customHeight="1">
      <c r="A1624" s="3" t="s">
        <v>3638</v>
      </c>
      <c r="B1624" s="3" t="s">
        <v>3639</v>
      </c>
      <c r="C1624" s="3">
        <v>0.0</v>
      </c>
      <c r="D1624" s="3">
        <v>2.0</v>
      </c>
    </row>
    <row r="1625" ht="14.25" hidden="1" customHeight="1">
      <c r="A1625" s="3" t="s">
        <v>5486</v>
      </c>
      <c r="B1625" s="3" t="s">
        <v>5487</v>
      </c>
      <c r="C1625" s="3">
        <v>0.0</v>
      </c>
      <c r="D1625" s="3">
        <v>2.0</v>
      </c>
    </row>
    <row r="1626" ht="14.25" hidden="1" customHeight="1">
      <c r="A1626" s="3" t="s">
        <v>5488</v>
      </c>
      <c r="B1626" s="3" t="s">
        <v>5489</v>
      </c>
      <c r="C1626" s="3">
        <v>0.0</v>
      </c>
      <c r="D1626" s="3">
        <v>3.0</v>
      </c>
    </row>
    <row r="1627" ht="14.25" hidden="1" customHeight="1">
      <c r="A1627" s="3" t="s">
        <v>5490</v>
      </c>
      <c r="B1627" s="3" t="s">
        <v>5491</v>
      </c>
      <c r="C1627" s="3">
        <v>0.0</v>
      </c>
      <c r="D1627" s="3">
        <v>3.0</v>
      </c>
    </row>
    <row r="1628" ht="14.25" hidden="1" customHeight="1">
      <c r="A1628" s="3" t="s">
        <v>5492</v>
      </c>
      <c r="B1628" s="3" t="s">
        <v>5493</v>
      </c>
      <c r="C1628" s="3">
        <v>0.0</v>
      </c>
      <c r="D1628" s="3">
        <v>3.0</v>
      </c>
    </row>
    <row r="1629" ht="14.25" hidden="1" customHeight="1">
      <c r="A1629" s="3" t="s">
        <v>5494</v>
      </c>
      <c r="B1629" s="3" t="s">
        <v>5495</v>
      </c>
      <c r="C1629" s="3">
        <v>0.0</v>
      </c>
      <c r="D1629" s="3">
        <v>4.0</v>
      </c>
    </row>
    <row r="1630" ht="14.25" hidden="1" customHeight="1">
      <c r="A1630" s="3" t="s">
        <v>5498</v>
      </c>
      <c r="B1630" s="3" t="s">
        <v>5499</v>
      </c>
      <c r="C1630" s="3">
        <v>0.0</v>
      </c>
      <c r="D1630" s="3">
        <v>4.0</v>
      </c>
    </row>
    <row r="1631" ht="14.25" hidden="1" customHeight="1">
      <c r="A1631" s="3" t="s">
        <v>5500</v>
      </c>
      <c r="B1631" s="3" t="s">
        <v>5501</v>
      </c>
      <c r="C1631" s="3">
        <v>0.0</v>
      </c>
      <c r="D1631" s="3">
        <v>3.0</v>
      </c>
    </row>
    <row r="1632" ht="14.25" hidden="1" customHeight="1">
      <c r="A1632" s="3" t="s">
        <v>5502</v>
      </c>
      <c r="B1632" s="3" t="s">
        <v>5503</v>
      </c>
      <c r="C1632" s="3">
        <v>0.0</v>
      </c>
      <c r="D1632" s="3">
        <v>1.0</v>
      </c>
    </row>
    <row r="1633" ht="14.25" hidden="1" customHeight="1">
      <c r="A1633" s="3" t="s">
        <v>5504</v>
      </c>
      <c r="B1633" s="3" t="s">
        <v>5505</v>
      </c>
      <c r="C1633" s="3">
        <v>0.0</v>
      </c>
      <c r="D1633" s="3">
        <v>3.0</v>
      </c>
    </row>
    <row r="1634" ht="14.25" hidden="1" customHeight="1">
      <c r="A1634" s="3" t="s">
        <v>5506</v>
      </c>
      <c r="B1634" s="3" t="s">
        <v>5507</v>
      </c>
      <c r="C1634" s="3">
        <v>0.0</v>
      </c>
      <c r="D1634" s="3">
        <v>2.0</v>
      </c>
    </row>
    <row r="1635" ht="14.25" hidden="1" customHeight="1">
      <c r="A1635" s="3" t="s">
        <v>5508</v>
      </c>
      <c r="B1635" s="3" t="s">
        <v>5509</v>
      </c>
      <c r="C1635" s="3">
        <v>0.0</v>
      </c>
      <c r="D1635" s="3">
        <v>4.0</v>
      </c>
    </row>
    <row r="1636" ht="14.25" hidden="1" customHeight="1">
      <c r="A1636" s="3" t="s">
        <v>3427</v>
      </c>
      <c r="B1636" s="3" t="s">
        <v>3428</v>
      </c>
      <c r="C1636" s="3">
        <v>0.0</v>
      </c>
      <c r="D1636" s="3">
        <v>3.0</v>
      </c>
    </row>
    <row r="1637" ht="14.25" hidden="1" customHeight="1">
      <c r="A1637" s="3" t="s">
        <v>2732</v>
      </c>
      <c r="B1637" s="3" t="s">
        <v>2733</v>
      </c>
      <c r="C1637" s="3">
        <v>0.0</v>
      </c>
      <c r="D1637" s="3">
        <v>13.0</v>
      </c>
    </row>
    <row r="1638" ht="14.25" hidden="1" customHeight="1">
      <c r="A1638" s="3" t="s">
        <v>16402</v>
      </c>
      <c r="B1638" s="3" t="s">
        <v>15410</v>
      </c>
      <c r="C1638" s="3">
        <v>12096.0</v>
      </c>
      <c r="D1638" s="3">
        <v>1.0</v>
      </c>
    </row>
    <row r="1639" ht="14.25" hidden="1" customHeight="1">
      <c r="A1639" s="3" t="s">
        <v>16403</v>
      </c>
      <c r="B1639" s="3" t="s">
        <v>13922</v>
      </c>
      <c r="C1639" s="3">
        <v>0.0</v>
      </c>
      <c r="D1639" s="3">
        <v>7.0</v>
      </c>
    </row>
    <row r="1640" ht="14.25" hidden="1" customHeight="1">
      <c r="A1640" s="3" t="s">
        <v>16404</v>
      </c>
      <c r="B1640" s="3" t="s">
        <v>13926</v>
      </c>
      <c r="C1640" s="3">
        <v>0.0</v>
      </c>
      <c r="D1640" s="3">
        <v>2.0</v>
      </c>
    </row>
    <row r="1641" ht="14.25" hidden="1" customHeight="1">
      <c r="A1641" s="3" t="s">
        <v>16405</v>
      </c>
      <c r="B1641" s="3" t="s">
        <v>13924</v>
      </c>
      <c r="C1641" s="3">
        <v>0.0</v>
      </c>
      <c r="D1641" s="3">
        <v>3.0</v>
      </c>
    </row>
    <row r="1642" ht="14.25" hidden="1" customHeight="1">
      <c r="A1642" s="3" t="s">
        <v>5517</v>
      </c>
      <c r="B1642" s="3" t="s">
        <v>5518</v>
      </c>
      <c r="C1642" s="3">
        <v>11583.0</v>
      </c>
      <c r="D1642" s="3">
        <v>6.0</v>
      </c>
    </row>
    <row r="1643" ht="14.25" hidden="1" customHeight="1">
      <c r="A1643" s="3" t="s">
        <v>5519</v>
      </c>
      <c r="B1643" s="3" t="s">
        <v>5520</v>
      </c>
      <c r="C1643" s="3">
        <v>4244.0</v>
      </c>
      <c r="D1643" s="3">
        <v>22.0</v>
      </c>
    </row>
    <row r="1644" ht="14.25" hidden="1" customHeight="1">
      <c r="A1644" s="3" t="s">
        <v>16406</v>
      </c>
      <c r="B1644" s="3" t="s">
        <v>15492</v>
      </c>
      <c r="C1644" s="3">
        <v>9375.0</v>
      </c>
      <c r="D1644" s="3">
        <v>3.0</v>
      </c>
    </row>
    <row r="1645" ht="14.25" hidden="1" customHeight="1">
      <c r="A1645" s="3" t="s">
        <v>5521</v>
      </c>
      <c r="B1645" s="3" t="s">
        <v>5522</v>
      </c>
      <c r="C1645" s="3">
        <v>0.0</v>
      </c>
      <c r="D1645" s="3">
        <v>3.0</v>
      </c>
    </row>
    <row r="1646" ht="14.25" hidden="1" customHeight="1">
      <c r="A1646" s="3" t="s">
        <v>5523</v>
      </c>
      <c r="B1646" s="3" t="s">
        <v>5524</v>
      </c>
      <c r="C1646" s="3">
        <v>4939.0</v>
      </c>
      <c r="D1646" s="3">
        <v>3.0</v>
      </c>
    </row>
    <row r="1647" ht="14.25" hidden="1" customHeight="1">
      <c r="A1647" s="3" t="s">
        <v>5525</v>
      </c>
      <c r="B1647" s="3" t="s">
        <v>5526</v>
      </c>
      <c r="C1647" s="3">
        <v>6517.0</v>
      </c>
      <c r="D1647" s="3">
        <v>5.0</v>
      </c>
    </row>
    <row r="1648" ht="14.25" hidden="1" customHeight="1">
      <c r="A1648" s="3" t="s">
        <v>16407</v>
      </c>
      <c r="B1648" s="3" t="s">
        <v>15508</v>
      </c>
      <c r="C1648" s="3">
        <v>5429.0</v>
      </c>
      <c r="D1648" s="3">
        <v>2.0</v>
      </c>
    </row>
    <row r="1649" ht="14.25" hidden="1" customHeight="1">
      <c r="A1649" s="3" t="s">
        <v>16408</v>
      </c>
      <c r="B1649" s="3" t="s">
        <v>15478</v>
      </c>
      <c r="C1649" s="3">
        <v>5634.0</v>
      </c>
      <c r="D1649" s="3">
        <v>1.0</v>
      </c>
    </row>
    <row r="1650" ht="14.25" hidden="1" customHeight="1">
      <c r="A1650" s="3" t="s">
        <v>5527</v>
      </c>
      <c r="B1650" s="3" t="s">
        <v>5528</v>
      </c>
      <c r="C1650" s="3">
        <v>8616.0</v>
      </c>
      <c r="D1650" s="3">
        <v>5.0</v>
      </c>
    </row>
    <row r="1651" ht="14.25" hidden="1" customHeight="1">
      <c r="A1651" s="3" t="s">
        <v>5529</v>
      </c>
      <c r="B1651" s="3" t="s">
        <v>5530</v>
      </c>
      <c r="C1651" s="3">
        <v>0.0</v>
      </c>
      <c r="D1651" s="3">
        <v>4.0</v>
      </c>
    </row>
    <row r="1652" ht="14.25" hidden="1" customHeight="1">
      <c r="A1652" s="3" t="s">
        <v>5531</v>
      </c>
      <c r="B1652" s="3" t="s">
        <v>5532</v>
      </c>
      <c r="C1652" s="3">
        <v>0.0</v>
      </c>
      <c r="D1652" s="3">
        <v>1.0</v>
      </c>
    </row>
    <row r="1653" ht="14.25" hidden="1" customHeight="1">
      <c r="A1653" s="3" t="s">
        <v>5533</v>
      </c>
      <c r="B1653" s="3" t="s">
        <v>5534</v>
      </c>
      <c r="C1653" s="3">
        <v>0.0</v>
      </c>
      <c r="D1653" s="3">
        <v>1.0</v>
      </c>
    </row>
    <row r="1654" ht="14.25" hidden="1" customHeight="1">
      <c r="A1654" s="3" t="s">
        <v>3015</v>
      </c>
      <c r="B1654" s="3" t="s">
        <v>3016</v>
      </c>
      <c r="C1654" s="3">
        <v>68000.0</v>
      </c>
      <c r="D1654" s="3">
        <v>87.0</v>
      </c>
    </row>
    <row r="1655" ht="14.25" hidden="1" customHeight="1">
      <c r="A1655" s="3" t="s">
        <v>5537</v>
      </c>
      <c r="B1655" s="3" t="s">
        <v>5538</v>
      </c>
      <c r="C1655" s="3">
        <v>0.0</v>
      </c>
      <c r="D1655" s="3">
        <v>2.0</v>
      </c>
    </row>
    <row r="1656" ht="14.25" hidden="1" customHeight="1">
      <c r="A1656" s="3" t="s">
        <v>5539</v>
      </c>
      <c r="B1656" s="3" t="s">
        <v>5540</v>
      </c>
      <c r="C1656" s="3">
        <v>0.0</v>
      </c>
      <c r="D1656" s="3">
        <v>2.0</v>
      </c>
    </row>
    <row r="1657" ht="14.25" hidden="1" customHeight="1">
      <c r="A1657" s="3" t="s">
        <v>5541</v>
      </c>
      <c r="B1657" s="3" t="s">
        <v>5542</v>
      </c>
      <c r="C1657" s="3">
        <v>0.0</v>
      </c>
      <c r="D1657" s="3">
        <v>1.0</v>
      </c>
    </row>
    <row r="1658" ht="14.25" hidden="1" customHeight="1">
      <c r="A1658" s="3" t="s">
        <v>5543</v>
      </c>
      <c r="B1658" s="3" t="s">
        <v>5544</v>
      </c>
      <c r="C1658" s="3">
        <v>0.0</v>
      </c>
      <c r="D1658" s="3">
        <v>3.0</v>
      </c>
    </row>
    <row r="1659" ht="14.25" hidden="1" customHeight="1">
      <c r="A1659" s="3" t="s">
        <v>5545</v>
      </c>
      <c r="B1659" s="3" t="s">
        <v>5546</v>
      </c>
      <c r="C1659" s="3">
        <v>0.0</v>
      </c>
      <c r="D1659" s="3">
        <v>2.0</v>
      </c>
    </row>
    <row r="1660" ht="14.25" hidden="1" customHeight="1">
      <c r="A1660" s="3" t="s">
        <v>16409</v>
      </c>
      <c r="B1660" s="3" t="s">
        <v>12946</v>
      </c>
      <c r="C1660" s="3">
        <v>0.0</v>
      </c>
      <c r="D1660" s="3">
        <v>3.0</v>
      </c>
    </row>
    <row r="1661" ht="14.25" hidden="1" customHeight="1">
      <c r="A1661" s="3" t="s">
        <v>5547</v>
      </c>
      <c r="B1661" s="3" t="s">
        <v>5548</v>
      </c>
      <c r="C1661" s="3">
        <v>0.0</v>
      </c>
      <c r="D1661" s="3">
        <v>5.0</v>
      </c>
    </row>
    <row r="1662" ht="14.25" hidden="1" customHeight="1">
      <c r="A1662" s="3" t="s">
        <v>5549</v>
      </c>
      <c r="B1662" s="3" t="s">
        <v>5550</v>
      </c>
      <c r="C1662" s="3">
        <v>0.0</v>
      </c>
      <c r="D1662" s="3">
        <v>1.0</v>
      </c>
    </row>
    <row r="1663" ht="14.25" hidden="1" customHeight="1">
      <c r="A1663" s="3" t="s">
        <v>5551</v>
      </c>
      <c r="B1663" s="3" t="s">
        <v>5552</v>
      </c>
      <c r="C1663" s="3">
        <v>0.0</v>
      </c>
      <c r="D1663" s="3">
        <v>1.0</v>
      </c>
    </row>
    <row r="1664" ht="14.25" hidden="1" customHeight="1">
      <c r="A1664" s="3" t="s">
        <v>5553</v>
      </c>
      <c r="B1664" s="3" t="s">
        <v>5554</v>
      </c>
      <c r="C1664" s="3">
        <v>0.0</v>
      </c>
      <c r="D1664" s="3">
        <v>2.0</v>
      </c>
    </row>
    <row r="1665" ht="14.25" hidden="1" customHeight="1">
      <c r="A1665" s="3" t="s">
        <v>16410</v>
      </c>
      <c r="B1665" s="3" t="s">
        <v>13404</v>
      </c>
      <c r="C1665" s="3">
        <v>0.0</v>
      </c>
      <c r="D1665" s="3">
        <v>3.0</v>
      </c>
    </row>
    <row r="1666" ht="14.25" hidden="1" customHeight="1">
      <c r="A1666" s="3" t="s">
        <v>5555</v>
      </c>
      <c r="B1666" s="3" t="s">
        <v>5556</v>
      </c>
      <c r="C1666" s="3">
        <v>0.0</v>
      </c>
      <c r="D1666" s="3">
        <v>3.0</v>
      </c>
    </row>
    <row r="1667" ht="14.25" hidden="1" customHeight="1">
      <c r="A1667" s="3" t="s">
        <v>5557</v>
      </c>
      <c r="B1667" s="3" t="s">
        <v>5558</v>
      </c>
      <c r="C1667" s="3">
        <v>0.0</v>
      </c>
      <c r="D1667" s="3">
        <v>6.0</v>
      </c>
    </row>
    <row r="1668" ht="14.25" hidden="1" customHeight="1">
      <c r="A1668" s="3" t="s">
        <v>5559</v>
      </c>
      <c r="B1668" s="3" t="s">
        <v>5560</v>
      </c>
      <c r="C1668" s="3">
        <v>0.0</v>
      </c>
      <c r="D1668" s="3">
        <v>3.0</v>
      </c>
    </row>
    <row r="1669" ht="14.25" hidden="1" customHeight="1">
      <c r="A1669" s="3" t="s">
        <v>5561</v>
      </c>
      <c r="B1669" s="3" t="s">
        <v>5562</v>
      </c>
      <c r="C1669" s="3">
        <v>0.0</v>
      </c>
      <c r="D1669" s="3">
        <v>3.0</v>
      </c>
    </row>
  </sheetData>
  <autoFilter ref="$A$2:$D$1669">
    <filterColumn colId="0">
      <filters>
        <filter val="[68617959527128] Proyector Focus Mini - Dummy"/>
        <filter val="[1659991999728] Telón Mural de Proyector Portátil 60 pulgadas Levo"/>
        <filter val="[1630370852776] Proyector Led Portátil HD LCD Levo"/>
        <filter val="[1653404646981] MUESTRA Proyector PL12"/>
        <filter val="[68433285199445] Proyector Infinity - Dummy"/>
        <filter val="[66559859669124] Muestra Proyector Aao 3"/>
        <filter val="[68433336255939] MLL Proyector G17"/>
        <filter val="[CT7026] Linterna Proyector De Cuentos Y Estrellas MiDeer"/>
        <filter val="[MD1024] Linterna Proyectora De Cuentos MiDeer"/>
        <filter val="[66559856061451] Muestra Proyector Aao 2"/>
        <filter val="[66559853294178] Muestra Proyector Aao 1"/>
        <filter val="[LVTEL-80] Telón Mural de Proyector Portátil 80 pulgadas Levo"/>
        <filter val="[1658330471799] Proyector LED Portátil Infinity SMART Full HD Levo"/>
        <filter val="[68433337529096] MLL Proyector G17 2M"/>
        <filter val="[1659991971809] Telón Mural de Proyector Portátil 100 pulgadas Levo"/>
        <filter val="[68433281942863] Proyector PL05 - Dummy"/>
        <filter val="[1634567034010] Proyector Led Portátil 360º Full HD Home Cinema Levo"/>
        <filter val="[68433283717553] Proyector home 360 - Dummy"/>
        <filter val="[70921709583422] Telon Proyector 100 pulgadas electrico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8.75"/>
    <col customWidth="1" min="2" max="2" width="35.5"/>
    <col customWidth="1" min="3" max="3" width="18.63"/>
    <col customWidth="1" min="4" max="4" width="9.13"/>
    <col customWidth="1" min="5" max="5" width="23.0"/>
    <col customWidth="1" min="6" max="6" width="20.38"/>
    <col customWidth="1" min="7" max="7" width="2.75"/>
    <col customWidth="1" min="8" max="8" width="26.38"/>
    <col customWidth="1" min="9" max="9" width="29.5"/>
    <col customWidth="1" min="10" max="10" width="7.63"/>
    <col customWidth="1" min="11" max="11" width="7.0"/>
    <col customWidth="1" min="12" max="12" width="13.13"/>
    <col customWidth="1" min="13" max="13" width="9.63"/>
    <col customWidth="1" min="14" max="15" width="8.25"/>
    <col customWidth="1" min="16" max="16" width="11.13"/>
    <col customWidth="1" min="17" max="20" width="10.63"/>
  </cols>
  <sheetData>
    <row r="1" ht="14.25" customHeight="1">
      <c r="A1" s="118"/>
      <c r="M1" s="115"/>
      <c r="N1" s="115"/>
      <c r="O1" s="115"/>
    </row>
    <row r="2" ht="14.25" customHeight="1">
      <c r="H2" s="157" t="s">
        <v>1571</v>
      </c>
      <c r="I2" s="57"/>
      <c r="J2" s="157" t="s">
        <v>1572</v>
      </c>
      <c r="K2" s="59"/>
      <c r="L2" s="57"/>
      <c r="M2" s="158" t="s">
        <v>1571</v>
      </c>
      <c r="N2" s="59"/>
      <c r="O2" s="59"/>
      <c r="P2" s="57"/>
    </row>
    <row r="3" ht="14.25" customHeight="1">
      <c r="H3" s="159" t="s">
        <v>1573</v>
      </c>
      <c r="I3" s="160" t="s">
        <v>1574</v>
      </c>
      <c r="J3" s="157" t="s">
        <v>1573</v>
      </c>
      <c r="K3" s="59"/>
      <c r="L3" s="57"/>
      <c r="M3" s="161" t="s">
        <v>1575</v>
      </c>
      <c r="N3" s="162"/>
      <c r="O3" s="161" t="s">
        <v>1576</v>
      </c>
      <c r="P3" s="162"/>
    </row>
    <row r="4" ht="14.25" customHeight="1">
      <c r="G4" s="117"/>
      <c r="H4" s="163" t="s">
        <v>1581</v>
      </c>
      <c r="I4" s="3" t="s">
        <v>7</v>
      </c>
      <c r="J4" s="159" t="s">
        <v>1586</v>
      </c>
      <c r="K4" s="159" t="s">
        <v>1577</v>
      </c>
      <c r="L4" s="159" t="s">
        <v>1583</v>
      </c>
      <c r="M4" s="164" t="s">
        <v>1584</v>
      </c>
      <c r="N4" s="165" t="s">
        <v>16417</v>
      </c>
      <c r="O4" s="165" t="s">
        <v>1586</v>
      </c>
      <c r="P4" s="166" t="s">
        <v>11</v>
      </c>
      <c r="Q4" s="115" t="s">
        <v>16418</v>
      </c>
      <c r="R4" s="115" t="s">
        <v>16419</v>
      </c>
      <c r="S4" s="115" t="s">
        <v>16420</v>
      </c>
    </row>
    <row r="5" ht="14.25" customHeight="1">
      <c r="G5" s="115"/>
      <c r="M5" s="115"/>
      <c r="N5" s="115"/>
      <c r="O5" s="115"/>
    </row>
    <row r="6" ht="14.25" customHeight="1">
      <c r="G6" s="115"/>
      <c r="H6" s="115"/>
      <c r="M6" s="115"/>
      <c r="N6" s="115"/>
      <c r="O6" s="115"/>
    </row>
    <row r="7" ht="14.25" customHeight="1">
      <c r="G7" s="115"/>
      <c r="H7" s="115"/>
      <c r="M7" s="115"/>
      <c r="N7" s="115"/>
      <c r="O7" s="115"/>
    </row>
    <row r="8" ht="14.25" customHeight="1">
      <c r="G8" s="115"/>
      <c r="H8" s="115"/>
      <c r="M8" s="115"/>
      <c r="N8" s="115"/>
      <c r="O8" s="115"/>
    </row>
    <row r="9" ht="14.25" customHeight="1">
      <c r="G9" s="115"/>
      <c r="H9" s="115"/>
      <c r="M9" s="115"/>
      <c r="N9" s="115"/>
      <c r="O9" s="115"/>
    </row>
    <row r="10" ht="14.25" customHeight="1">
      <c r="G10" s="115"/>
      <c r="M10" s="115"/>
      <c r="N10" s="115"/>
      <c r="O10" s="115"/>
    </row>
    <row r="11" ht="14.25" customHeight="1">
      <c r="G11" s="115"/>
      <c r="H11" s="115" t="s">
        <v>1838</v>
      </c>
      <c r="I11" s="3" t="str">
        <f t="shared" ref="I11:I16" si="2">B11</f>
        <v>Ultimate GPS 217 Pink</v>
      </c>
      <c r="J11" s="124">
        <f t="shared" ref="J11:J16" si="3">E11</f>
        <v>32051</v>
      </c>
      <c r="K11" s="117">
        <f t="shared" ref="K11:K16" si="4">1-(J11/P11)</f>
        <v>-4.454124124</v>
      </c>
      <c r="L11" s="115">
        <f t="shared" ref="L11:L16" si="5">P11-J11</f>
        <v>-26174.52941</v>
      </c>
      <c r="M11" s="115">
        <v>19990.0</v>
      </c>
      <c r="N11" s="115">
        <v>9990.0</v>
      </c>
      <c r="O11" s="115">
        <f t="shared" ref="O11:P11" si="1">M11/1.19*0.7</f>
        <v>11758.82353</v>
      </c>
      <c r="P11" s="115">
        <f t="shared" si="1"/>
        <v>5876.470588</v>
      </c>
      <c r="Q11" s="3" t="str">
        <f t="shared" ref="Q11:Q16" si="7">C11</f>
        <v>1639085755244</v>
      </c>
      <c r="R11" s="167">
        <f t="shared" ref="R11:R16" si="8">VLOOKUP(Q11,$C$4:$D$1048576,2,0)</f>
        <v>8</v>
      </c>
    </row>
    <row r="12" ht="14.25" customHeight="1">
      <c r="H12" s="115" t="s">
        <v>1838</v>
      </c>
      <c r="I12" s="3" t="str">
        <f t="shared" si="2"/>
        <v>Ultimate GPS 217 Black</v>
      </c>
      <c r="J12" s="124">
        <f t="shared" si="3"/>
        <v>32149.3</v>
      </c>
      <c r="K12" s="117">
        <f t="shared" si="4"/>
        <v>-4.470851852</v>
      </c>
      <c r="L12" s="115">
        <f t="shared" si="5"/>
        <v>-26272.82941</v>
      </c>
      <c r="M12" s="115">
        <v>19990.0</v>
      </c>
      <c r="N12" s="115">
        <v>9990.0</v>
      </c>
      <c r="O12" s="115">
        <f t="shared" ref="O12:P12" si="6">M12/1.19*0.7</f>
        <v>11758.82353</v>
      </c>
      <c r="P12" s="115">
        <f t="shared" si="6"/>
        <v>5876.470588</v>
      </c>
      <c r="Q12" s="3" t="str">
        <f t="shared" si="7"/>
        <v>1639085745522</v>
      </c>
      <c r="R12" s="167">
        <f t="shared" si="8"/>
        <v>16</v>
      </c>
    </row>
    <row r="13" ht="14.25" customHeight="1">
      <c r="H13" s="115" t="s">
        <v>1838</v>
      </c>
      <c r="I13" s="3" t="str">
        <f t="shared" si="2"/>
        <v>tupper tapa madera</v>
      </c>
      <c r="J13" s="124">
        <f t="shared" si="3"/>
        <v>10210</v>
      </c>
      <c r="K13" s="117">
        <f t="shared" si="4"/>
        <v>-0.7374374374</v>
      </c>
      <c r="L13" s="115">
        <f t="shared" si="5"/>
        <v>-4333.529412</v>
      </c>
      <c r="M13" s="115">
        <v>19990.0</v>
      </c>
      <c r="N13" s="115">
        <v>9990.0</v>
      </c>
      <c r="O13" s="115">
        <f t="shared" ref="O13:P13" si="9">M13/1.19*0.7</f>
        <v>11758.82353</v>
      </c>
      <c r="P13" s="115">
        <f t="shared" si="9"/>
        <v>5876.470588</v>
      </c>
      <c r="Q13" s="3" t="str">
        <f t="shared" si="7"/>
        <v>1644258979631</v>
      </c>
      <c r="R13" s="167">
        <f t="shared" si="8"/>
        <v>1</v>
      </c>
    </row>
    <row r="14" ht="14.25" customHeight="1">
      <c r="H14" s="115" t="s">
        <v>1838</v>
      </c>
      <c r="I14" s="3" t="str">
        <f t="shared" si="2"/>
        <v>TRX Rosado</v>
      </c>
      <c r="J14" s="124">
        <f t="shared" si="3"/>
        <v>12642.5</v>
      </c>
      <c r="K14" s="117">
        <f t="shared" si="4"/>
        <v>-1.151376376</v>
      </c>
      <c r="L14" s="115">
        <f t="shared" si="5"/>
        <v>-6766.029412</v>
      </c>
      <c r="M14" s="115">
        <v>19990.0</v>
      </c>
      <c r="N14" s="115">
        <v>9990.0</v>
      </c>
      <c r="O14" s="115">
        <f t="shared" ref="O14:P14" si="10">M14/1.19*0.7</f>
        <v>11758.82353</v>
      </c>
      <c r="P14" s="115">
        <f t="shared" si="10"/>
        <v>5876.470588</v>
      </c>
      <c r="Q14" s="3" t="str">
        <f t="shared" si="7"/>
        <v>1616006958885</v>
      </c>
      <c r="R14" s="167">
        <f t="shared" si="8"/>
        <v>1</v>
      </c>
    </row>
    <row r="15" ht="14.25" customHeight="1">
      <c r="H15" s="115" t="s">
        <v>1844</v>
      </c>
      <c r="I15" s="3" t="str">
        <f t="shared" si="2"/>
        <v>TRX Amarillo</v>
      </c>
      <c r="J15" s="124">
        <f t="shared" si="3"/>
        <v>13108.9</v>
      </c>
      <c r="K15" s="117">
        <f t="shared" si="4"/>
        <v>-0.4866664443</v>
      </c>
      <c r="L15" s="115">
        <f t="shared" si="5"/>
        <v>-4291.252941</v>
      </c>
      <c r="M15" s="115">
        <v>29990.0</v>
      </c>
      <c r="N15" s="115">
        <v>14990.0</v>
      </c>
      <c r="O15" s="115">
        <f t="shared" ref="O15:P15" si="11">M15/1.19*0.7</f>
        <v>17641.17647</v>
      </c>
      <c r="P15" s="115">
        <f t="shared" si="11"/>
        <v>8817.647059</v>
      </c>
      <c r="Q15" s="3" t="str">
        <f t="shared" si="7"/>
        <v>1616006872824</v>
      </c>
      <c r="R15" s="167">
        <f t="shared" si="8"/>
        <v>1</v>
      </c>
    </row>
    <row r="16" ht="14.25" customHeight="1">
      <c r="H16" s="115" t="s">
        <v>1844</v>
      </c>
      <c r="I16" s="3" t="str">
        <f t="shared" si="2"/>
        <v>TP9200 Sistema de cámara de inspección de tuberías</v>
      </c>
      <c r="J16" s="124">
        <f t="shared" si="3"/>
        <v>217380</v>
      </c>
      <c r="K16" s="117">
        <f t="shared" si="4"/>
        <v>-23.65283522</v>
      </c>
      <c r="L16" s="115">
        <f t="shared" si="5"/>
        <v>-208562.3529</v>
      </c>
      <c r="M16" s="115">
        <v>29990.0</v>
      </c>
      <c r="N16" s="115">
        <v>14990.0</v>
      </c>
      <c r="O16" s="115">
        <f t="shared" ref="O16:P16" si="12">M16/1.19*0.7</f>
        <v>17641.17647</v>
      </c>
      <c r="P16" s="115">
        <f t="shared" si="12"/>
        <v>8817.647059</v>
      </c>
      <c r="Q16" s="3" t="str">
        <f t="shared" si="7"/>
        <v>1661877043628</v>
      </c>
      <c r="R16" s="167">
        <f t="shared" si="8"/>
        <v>3</v>
      </c>
    </row>
    <row r="17" ht="14.25" customHeight="1">
      <c r="M17" s="115"/>
      <c r="N17" s="115"/>
      <c r="O17" s="115"/>
    </row>
    <row r="18" ht="14.25" customHeight="1">
      <c r="H18" s="115" t="s">
        <v>1843</v>
      </c>
      <c r="I18" s="3" t="str">
        <f>B18</f>
        <v>TP05C 21TP0731PI</v>
      </c>
      <c r="J18" s="124">
        <f>E18</f>
        <v>36459</v>
      </c>
      <c r="K18" s="117">
        <f>1-(J18/P18)</f>
        <v>-3.771385681</v>
      </c>
      <c r="L18" s="115">
        <f>P18-J18</f>
        <v>-28817.82353</v>
      </c>
      <c r="M18" s="115">
        <v>24990.0</v>
      </c>
      <c r="N18" s="115">
        <v>12990.0</v>
      </c>
      <c r="O18" s="115">
        <f t="shared" ref="O18:P18" si="13">M18/1.19*0.7</f>
        <v>14700</v>
      </c>
      <c r="P18" s="115">
        <f t="shared" si="13"/>
        <v>7641.176471</v>
      </c>
      <c r="Q18" s="3" t="str">
        <f>C18</f>
        <v>1628778362232</v>
      </c>
      <c r="R18" s="167">
        <f>VLOOKUP(Q18,$C$4:$D$1048576,2,0)</f>
        <v>1</v>
      </c>
    </row>
    <row r="19" ht="14.25" customHeight="1">
      <c r="M19" s="115"/>
      <c r="N19" s="115"/>
      <c r="O19" s="115"/>
    </row>
    <row r="20" ht="14.25" customHeight="1">
      <c r="M20" s="115"/>
      <c r="N20" s="115"/>
      <c r="O20" s="115"/>
    </row>
    <row r="21" ht="14.25" customHeight="1">
      <c r="H21" s="115" t="s">
        <v>1844</v>
      </c>
      <c r="I21" s="3" t="str">
        <f t="shared" ref="I21:I22" si="15">B21</f>
        <v>Termo Lhotse Patagón 1 Lt Verde</v>
      </c>
      <c r="J21" s="124">
        <f t="shared" ref="J21:J22" si="16">E21</f>
        <v>5244.7</v>
      </c>
      <c r="K21" s="117">
        <f t="shared" ref="K21:K22" si="17">1-(J21/P21)</f>
        <v>0.4052041361</v>
      </c>
      <c r="L21" s="115">
        <f t="shared" ref="L21:L22" si="18">P21-J21</f>
        <v>3572.947059</v>
      </c>
      <c r="M21" s="115">
        <v>29990.0</v>
      </c>
      <c r="N21" s="115">
        <v>14990.0</v>
      </c>
      <c r="O21" s="115">
        <f t="shared" ref="O21:P21" si="14">M21/1.19*0.7</f>
        <v>17641.17647</v>
      </c>
      <c r="P21" s="115">
        <f t="shared" si="14"/>
        <v>8817.647059</v>
      </c>
      <c r="Q21" s="3" t="str">
        <f t="shared" ref="Q21:Q22" si="20">C21</f>
        <v>1627418225537</v>
      </c>
      <c r="R21" s="167">
        <f t="shared" ref="R21:R22" si="21">VLOOKUP(Q21,$C$4:$D$1048576,2,0)</f>
        <v>259</v>
      </c>
    </row>
    <row r="22" ht="14.25" customHeight="1">
      <c r="H22" s="115" t="s">
        <v>1844</v>
      </c>
      <c r="I22" s="3" t="str">
        <f t="shared" si="15"/>
        <v>Termo Lhotse Patagón 1 Lt Negro</v>
      </c>
      <c r="J22" s="124">
        <f t="shared" si="16"/>
        <v>5168.5</v>
      </c>
      <c r="K22" s="117">
        <f t="shared" si="17"/>
        <v>0.4138458973</v>
      </c>
      <c r="L22" s="115">
        <f t="shared" si="18"/>
        <v>3649.147059</v>
      </c>
      <c r="M22" s="115">
        <v>29990.0</v>
      </c>
      <c r="N22" s="115">
        <v>14990.0</v>
      </c>
      <c r="O22" s="115">
        <f t="shared" ref="O22:P22" si="19">M22/1.19*0.7</f>
        <v>17641.17647</v>
      </c>
      <c r="P22" s="115">
        <f t="shared" si="19"/>
        <v>8817.647059</v>
      </c>
      <c r="Q22" s="3" t="str">
        <f t="shared" si="20"/>
        <v>1627424867043</v>
      </c>
      <c r="R22" s="167">
        <f t="shared" si="21"/>
        <v>244</v>
      </c>
    </row>
    <row r="23" ht="14.25" customHeight="1">
      <c r="M23" s="115"/>
      <c r="N23" s="115"/>
      <c r="O23" s="115"/>
    </row>
    <row r="24" ht="14.25" customHeight="1">
      <c r="M24" s="115"/>
      <c r="N24" s="115"/>
      <c r="O24" s="115"/>
    </row>
    <row r="25" ht="14.25" customHeight="1">
      <c r="M25" s="115"/>
      <c r="N25" s="115"/>
      <c r="O25" s="115"/>
    </row>
    <row r="26" ht="14.25" customHeight="1">
      <c r="M26" s="115"/>
      <c r="N26" s="115"/>
      <c r="O26" s="115"/>
    </row>
    <row r="27" ht="14.25" customHeight="1">
      <c r="H27" s="3" t="s">
        <v>1937</v>
      </c>
      <c r="I27" s="3" t="str">
        <f t="shared" ref="I27:I31" si="23">B27</f>
        <v>Teclado GAMER COLORES</v>
      </c>
      <c r="J27" s="124">
        <f t="shared" ref="J27:J31" si="24">E27</f>
        <v>13765</v>
      </c>
      <c r="K27" s="117">
        <f t="shared" ref="K27:K31" si="25">1-(J27/P27)</f>
        <v>-0.1706103052</v>
      </c>
      <c r="L27" s="115">
        <f t="shared" ref="L27:L31" si="26">P27-J27</f>
        <v>-2006.176471</v>
      </c>
      <c r="M27" s="115">
        <v>24990.0</v>
      </c>
      <c r="N27" s="115">
        <v>19990.0</v>
      </c>
      <c r="O27" s="115">
        <f t="shared" ref="O27:P27" si="22">M27/1.19*0.7</f>
        <v>14700</v>
      </c>
      <c r="P27" s="115">
        <f t="shared" si="22"/>
        <v>11758.82353</v>
      </c>
      <c r="Q27" s="3" t="str">
        <f t="shared" ref="Q27:Q31" si="28">C27</f>
        <v>1650478050242</v>
      </c>
      <c r="R27" s="167">
        <f t="shared" ref="R27:R31" si="29">VLOOKUP(Q27,$C$4:$D$1048576,2,0)</f>
        <v>1</v>
      </c>
    </row>
    <row r="28" ht="14.25" customHeight="1">
      <c r="H28" s="3" t="s">
        <v>1937</v>
      </c>
      <c r="I28" s="3" t="str">
        <f t="shared" si="23"/>
        <v>Taza Insulated Cup Mug 350ml Verde</v>
      </c>
      <c r="J28" s="124">
        <f t="shared" si="24"/>
        <v>2753</v>
      </c>
      <c r="K28" s="117">
        <f t="shared" si="25"/>
        <v>0.765877939</v>
      </c>
      <c r="L28" s="115">
        <f t="shared" si="26"/>
        <v>9005.823529</v>
      </c>
      <c r="M28" s="115">
        <v>24990.0</v>
      </c>
      <c r="N28" s="115">
        <v>19990.0</v>
      </c>
      <c r="O28" s="115">
        <f t="shared" ref="O28:P28" si="27">M28/1.19*0.7</f>
        <v>14700</v>
      </c>
      <c r="P28" s="115">
        <f t="shared" si="27"/>
        <v>11758.82353</v>
      </c>
      <c r="Q28" s="3" t="str">
        <f t="shared" si="28"/>
        <v>LHCAMU-GR</v>
      </c>
      <c r="R28" s="167">
        <f t="shared" si="29"/>
        <v>95</v>
      </c>
    </row>
    <row r="29" ht="14.25" customHeight="1">
      <c r="H29" s="3" t="s">
        <v>1937</v>
      </c>
      <c r="I29" s="3" t="str">
        <f t="shared" si="23"/>
        <v>Taza Insulated Cup Mug 350ml Negro</v>
      </c>
      <c r="J29" s="124">
        <f t="shared" si="24"/>
        <v>2753</v>
      </c>
      <c r="K29" s="117">
        <f t="shared" si="25"/>
        <v>0.765877939</v>
      </c>
      <c r="L29" s="115">
        <f t="shared" si="26"/>
        <v>9005.823529</v>
      </c>
      <c r="M29" s="115">
        <v>24990.0</v>
      </c>
      <c r="N29" s="115">
        <v>19990.0</v>
      </c>
      <c r="O29" s="115">
        <f t="shared" ref="O29:P29" si="30">M29/1.19*0.7</f>
        <v>14700</v>
      </c>
      <c r="P29" s="115">
        <f t="shared" si="30"/>
        <v>11758.82353</v>
      </c>
      <c r="Q29" s="3" t="str">
        <f t="shared" si="28"/>
        <v>LHCAMU-BK</v>
      </c>
      <c r="R29" s="167">
        <f t="shared" si="29"/>
        <v>95</v>
      </c>
    </row>
    <row r="30" ht="14.25" customHeight="1">
      <c r="H30" s="3" t="s">
        <v>1937</v>
      </c>
      <c r="I30" s="3" t="str">
        <f t="shared" si="23"/>
        <v>Taza Insulated Cup Mug 350ml Celeste</v>
      </c>
      <c r="J30" s="124">
        <f t="shared" si="24"/>
        <v>2753</v>
      </c>
      <c r="K30" s="117">
        <f t="shared" si="25"/>
        <v>0.765877939</v>
      </c>
      <c r="L30" s="115">
        <f t="shared" si="26"/>
        <v>9005.823529</v>
      </c>
      <c r="M30" s="115">
        <v>24990.0</v>
      </c>
      <c r="N30" s="115">
        <v>19990.0</v>
      </c>
      <c r="O30" s="115">
        <f t="shared" ref="O30:P30" si="31">M30/1.19*0.7</f>
        <v>14700</v>
      </c>
      <c r="P30" s="115">
        <f t="shared" si="31"/>
        <v>11758.82353</v>
      </c>
      <c r="Q30" s="3" t="str">
        <f t="shared" si="28"/>
        <v>LHCAMU-BL</v>
      </c>
      <c r="R30" s="167">
        <f t="shared" si="29"/>
        <v>97</v>
      </c>
    </row>
    <row r="31" ht="14.25" customHeight="1">
      <c r="H31" s="3" t="s">
        <v>1937</v>
      </c>
      <c r="I31" s="3" t="str">
        <f t="shared" si="23"/>
        <v>Taza Insulated Cup Mug 350ml Blanco</v>
      </c>
      <c r="J31" s="124">
        <f t="shared" si="24"/>
        <v>2753</v>
      </c>
      <c r="K31" s="117">
        <f t="shared" si="25"/>
        <v>0.765877939</v>
      </c>
      <c r="L31" s="115">
        <f t="shared" si="26"/>
        <v>9005.823529</v>
      </c>
      <c r="M31" s="115">
        <v>24990.0</v>
      </c>
      <c r="N31" s="115">
        <v>19990.0</v>
      </c>
      <c r="O31" s="115">
        <f t="shared" ref="O31:P31" si="32">M31/1.19*0.7</f>
        <v>14700</v>
      </c>
      <c r="P31" s="115">
        <f t="shared" si="32"/>
        <v>11758.82353</v>
      </c>
      <c r="Q31" s="3" t="str">
        <f t="shared" si="28"/>
        <v>LHCAMU-WH</v>
      </c>
      <c r="R31" s="167">
        <f t="shared" si="29"/>
        <v>97</v>
      </c>
    </row>
    <row r="32" ht="14.25" customHeight="1">
      <c r="M32" s="115"/>
      <c r="N32" s="115"/>
      <c r="O32" s="115"/>
    </row>
    <row r="33" ht="14.25" customHeight="1">
      <c r="H33" s="3" t="s">
        <v>1876</v>
      </c>
      <c r="I33" s="3" t="str">
        <f t="shared" ref="I33:I53" si="34">B33</f>
        <v>Tapa Botella Adventure Lhotse</v>
      </c>
      <c r="J33" s="124">
        <f t="shared" ref="J33:J53" si="35">E33</f>
        <v>799</v>
      </c>
      <c r="K33" s="117">
        <f t="shared" ref="K33:K53" si="36">1-(J33/P33)</f>
        <v>0.9456462585</v>
      </c>
      <c r="L33" s="115">
        <f t="shared" ref="L33:L53" si="37">P33-J33</f>
        <v>13901</v>
      </c>
      <c r="M33" s="115">
        <v>39990.0</v>
      </c>
      <c r="N33" s="115">
        <v>24990.0</v>
      </c>
      <c r="O33" s="115">
        <f t="shared" ref="O33:P33" si="33">M33/1.19*0.7</f>
        <v>23523.52941</v>
      </c>
      <c r="P33" s="115">
        <f t="shared" si="33"/>
        <v>14700</v>
      </c>
      <c r="Q33" s="3" t="str">
        <f t="shared" ref="Q33:Q53" si="39">C33</f>
        <v>LHTPAD01</v>
      </c>
      <c r="R33" s="167">
        <f t="shared" ref="R33:R53" si="40">VLOOKUP(Q33,$C$4:$D$1048576,2,0)</f>
        <v>103</v>
      </c>
    </row>
    <row r="34" ht="14.25" customHeight="1">
      <c r="H34" s="3" t="s">
        <v>1878</v>
      </c>
      <c r="I34" s="3" t="str">
        <f t="shared" si="34"/>
        <v>Tabla- drenaje</v>
      </c>
      <c r="J34" s="124">
        <f t="shared" si="35"/>
        <v>3177</v>
      </c>
      <c r="K34" s="117">
        <f t="shared" si="36"/>
        <v>0.909969995</v>
      </c>
      <c r="L34" s="115">
        <f t="shared" si="37"/>
        <v>32111.23529</v>
      </c>
      <c r="M34" s="115">
        <v>89990.0</v>
      </c>
      <c r="N34" s="115">
        <v>59990.0</v>
      </c>
      <c r="O34" s="115">
        <f t="shared" ref="O34:P34" si="38">M34/1.19*0.7</f>
        <v>52935.29412</v>
      </c>
      <c r="P34" s="115">
        <f t="shared" si="38"/>
        <v>35288.23529</v>
      </c>
      <c r="Q34" s="3" t="str">
        <f t="shared" si="39"/>
        <v>1650478290520</v>
      </c>
      <c r="R34" s="167">
        <f t="shared" si="40"/>
        <v>1</v>
      </c>
    </row>
    <row r="35" ht="14.25" customHeight="1">
      <c r="H35" s="3" t="s">
        <v>1878</v>
      </c>
      <c r="I35" s="3" t="str">
        <f t="shared" si="34"/>
        <v>T500 21TP0731PI</v>
      </c>
      <c r="J35" s="124">
        <f t="shared" si="35"/>
        <v>5687</v>
      </c>
      <c r="K35" s="117">
        <f t="shared" si="36"/>
        <v>0.8388414736</v>
      </c>
      <c r="L35" s="115">
        <f t="shared" si="37"/>
        <v>29601.23529</v>
      </c>
      <c r="M35" s="115">
        <v>89990.0</v>
      </c>
      <c r="N35" s="115">
        <v>59990.0</v>
      </c>
      <c r="O35" s="115">
        <f t="shared" ref="O35:P35" si="41">M35/1.19*0.7</f>
        <v>52935.29412</v>
      </c>
      <c r="P35" s="115">
        <f t="shared" si="41"/>
        <v>35288.23529</v>
      </c>
      <c r="Q35" s="3" t="str">
        <f t="shared" si="39"/>
        <v>1628778259856</v>
      </c>
      <c r="R35" s="167">
        <f t="shared" si="40"/>
        <v>1</v>
      </c>
    </row>
    <row r="36" ht="14.25" customHeight="1">
      <c r="H36" s="3" t="s">
        <v>1919</v>
      </c>
      <c r="I36" s="3" t="str">
        <f t="shared" si="34"/>
        <v>solar pannel controler</v>
      </c>
      <c r="J36" s="124">
        <f t="shared" si="35"/>
        <v>5662</v>
      </c>
      <c r="K36" s="117">
        <f t="shared" si="36"/>
        <v>0.2590146266</v>
      </c>
      <c r="L36" s="115">
        <f t="shared" si="37"/>
        <v>1979.176471</v>
      </c>
      <c r="M36" s="115">
        <v>21990.0</v>
      </c>
      <c r="N36" s="115">
        <v>12990.0</v>
      </c>
      <c r="O36" s="115">
        <f t="shared" ref="O36:P36" si="42">M36/1.19*0.7</f>
        <v>12935.29412</v>
      </c>
      <c r="P36" s="115">
        <f t="shared" si="42"/>
        <v>7641.176471</v>
      </c>
      <c r="Q36" s="3" t="str">
        <f t="shared" si="39"/>
        <v>1636122379069</v>
      </c>
      <c r="R36" s="167">
        <f t="shared" si="40"/>
        <v>3</v>
      </c>
    </row>
    <row r="37" ht="14.25" customHeight="1">
      <c r="H37" s="3" t="s">
        <v>1919</v>
      </c>
      <c r="I37" s="3" t="str">
        <f t="shared" si="34"/>
        <v>SMP 7 21TP0731PI</v>
      </c>
      <c r="J37" s="124">
        <f t="shared" si="35"/>
        <v>32073</v>
      </c>
      <c r="K37" s="117">
        <f t="shared" si="36"/>
        <v>-3.1973903</v>
      </c>
      <c r="L37" s="115">
        <f t="shared" si="37"/>
        <v>-24431.82353</v>
      </c>
      <c r="M37" s="115">
        <v>21990.0</v>
      </c>
      <c r="N37" s="115">
        <v>12990.0</v>
      </c>
      <c r="O37" s="115">
        <f t="shared" ref="O37:P37" si="43">M37/1.19*0.7</f>
        <v>12935.29412</v>
      </c>
      <c r="P37" s="115">
        <f t="shared" si="43"/>
        <v>7641.176471</v>
      </c>
      <c r="Q37" s="3" t="str">
        <f t="shared" si="39"/>
        <v>1628778373680</v>
      </c>
      <c r="R37" s="167">
        <f t="shared" si="40"/>
        <v>1</v>
      </c>
    </row>
    <row r="38" ht="14.25" customHeight="1">
      <c r="H38" s="3" t="s">
        <v>1919</v>
      </c>
      <c r="I38" s="3" t="str">
        <f t="shared" si="34"/>
        <v>SML fitness samples 21TP0522PI</v>
      </c>
      <c r="J38" s="124">
        <f t="shared" si="35"/>
        <v>5771</v>
      </c>
      <c r="K38" s="117">
        <f t="shared" si="36"/>
        <v>0.2447498075</v>
      </c>
      <c r="L38" s="115">
        <f t="shared" si="37"/>
        <v>1870.176471</v>
      </c>
      <c r="M38" s="115">
        <v>21990.0</v>
      </c>
      <c r="N38" s="115">
        <v>12990.0</v>
      </c>
      <c r="O38" s="115">
        <f t="shared" ref="O38:P38" si="44">M38/1.19*0.7</f>
        <v>12935.29412</v>
      </c>
      <c r="P38" s="115">
        <f t="shared" si="44"/>
        <v>7641.176471</v>
      </c>
      <c r="Q38" s="3" t="str">
        <f t="shared" si="39"/>
        <v>1627069056921</v>
      </c>
      <c r="R38" s="167">
        <f t="shared" si="40"/>
        <v>3</v>
      </c>
    </row>
    <row r="39" ht="14.25" customHeight="1">
      <c r="H39" s="3" t="s">
        <v>1919</v>
      </c>
      <c r="I39" s="3" t="str">
        <f t="shared" si="34"/>
        <v>Smartwatch TW58 Negro con Temperatura</v>
      </c>
      <c r="J39" s="124">
        <f t="shared" si="35"/>
        <v>11670</v>
      </c>
      <c r="K39" s="117">
        <f t="shared" si="36"/>
        <v>-0.5272517321</v>
      </c>
      <c r="L39" s="115">
        <f t="shared" si="37"/>
        <v>-4028.823529</v>
      </c>
      <c r="M39" s="115">
        <v>21990.0</v>
      </c>
      <c r="N39" s="115">
        <v>12990.0</v>
      </c>
      <c r="O39" s="115">
        <f t="shared" ref="O39:P39" si="45">M39/1.19*0.7</f>
        <v>12935.29412</v>
      </c>
      <c r="P39" s="115">
        <f t="shared" si="45"/>
        <v>7641.176471</v>
      </c>
      <c r="Q39" s="3" t="str">
        <f t="shared" si="39"/>
        <v>1594337749167</v>
      </c>
      <c r="R39" s="167">
        <f t="shared" si="40"/>
        <v>22</v>
      </c>
    </row>
    <row r="40" ht="14.25" customHeight="1">
      <c r="H40" s="3" t="s">
        <v>1920</v>
      </c>
      <c r="I40" s="3" t="str">
        <f t="shared" si="34"/>
        <v>Smartwatch SW88 Dorado Correa Rosada Claro</v>
      </c>
      <c r="J40" s="124">
        <f t="shared" si="35"/>
        <v>9869.4</v>
      </c>
      <c r="K40" s="117">
        <f t="shared" si="36"/>
        <v>-0.2916073903</v>
      </c>
      <c r="L40" s="115">
        <f t="shared" si="37"/>
        <v>-2228.223529</v>
      </c>
      <c r="M40" s="115">
        <v>19990.0</v>
      </c>
      <c r="N40" s="115">
        <v>12990.0</v>
      </c>
      <c r="O40" s="115">
        <f t="shared" ref="O40:P40" si="46">M40/1.19*0.7</f>
        <v>11758.82353</v>
      </c>
      <c r="P40" s="115">
        <f t="shared" si="46"/>
        <v>7641.176471</v>
      </c>
      <c r="Q40" s="3" t="str">
        <f t="shared" si="39"/>
        <v>1605622069868</v>
      </c>
      <c r="R40" s="167">
        <f t="shared" si="40"/>
        <v>1</v>
      </c>
    </row>
    <row r="41" ht="14.25" customHeight="1">
      <c r="H41" s="3" t="s">
        <v>1920</v>
      </c>
      <c r="I41" s="3" t="str">
        <f t="shared" si="34"/>
        <v>Smartwatch SW88 Correa Rosada</v>
      </c>
      <c r="J41" s="124">
        <f t="shared" si="35"/>
        <v>9931</v>
      </c>
      <c r="K41" s="117">
        <f t="shared" si="36"/>
        <v>-0.2996689761</v>
      </c>
      <c r="L41" s="115">
        <f t="shared" si="37"/>
        <v>-2289.823529</v>
      </c>
      <c r="M41" s="115">
        <v>19990.0</v>
      </c>
      <c r="N41" s="115">
        <v>12990.0</v>
      </c>
      <c r="O41" s="115">
        <f t="shared" ref="O41:P41" si="47">M41/1.19*0.7</f>
        <v>11758.82353</v>
      </c>
      <c r="P41" s="115">
        <f t="shared" si="47"/>
        <v>7641.176471</v>
      </c>
      <c r="Q41" s="3" t="str">
        <f t="shared" si="39"/>
        <v>1607526253622</v>
      </c>
      <c r="R41" s="167">
        <f t="shared" si="40"/>
        <v>1</v>
      </c>
    </row>
    <row r="42" ht="14.25" customHeight="1">
      <c r="H42" s="3" t="s">
        <v>1920</v>
      </c>
      <c r="I42" s="3" t="str">
        <f t="shared" si="34"/>
        <v>Smartwatch Stone M4 Negro GPS</v>
      </c>
      <c r="J42" s="124">
        <f t="shared" si="35"/>
        <v>28513</v>
      </c>
      <c r="K42" s="117">
        <f t="shared" si="36"/>
        <v>-2.731493457</v>
      </c>
      <c r="L42" s="115">
        <f t="shared" si="37"/>
        <v>-20871.82353</v>
      </c>
      <c r="M42" s="115">
        <v>19990.0</v>
      </c>
      <c r="N42" s="115">
        <v>12990.0</v>
      </c>
      <c r="O42" s="115">
        <f t="shared" ref="O42:P42" si="48">M42/1.19*0.7</f>
        <v>11758.82353</v>
      </c>
      <c r="P42" s="115">
        <f t="shared" si="48"/>
        <v>7641.176471</v>
      </c>
      <c r="Q42" s="3" t="str">
        <f t="shared" si="39"/>
        <v>1602029190396</v>
      </c>
      <c r="R42" s="167">
        <f t="shared" si="40"/>
        <v>2</v>
      </c>
    </row>
    <row r="43" ht="14.25" customHeight="1">
      <c r="H43" s="3" t="s">
        <v>1920</v>
      </c>
      <c r="I43" s="3" t="str">
        <f t="shared" si="34"/>
        <v>Smartwatch Safe K9 Light Blue</v>
      </c>
      <c r="J43" s="124">
        <f t="shared" si="35"/>
        <v>23977.8</v>
      </c>
      <c r="K43" s="117">
        <f t="shared" si="36"/>
        <v>-2.137972286</v>
      </c>
      <c r="L43" s="115">
        <f t="shared" si="37"/>
        <v>-16336.62353</v>
      </c>
      <c r="M43" s="115">
        <v>19990.0</v>
      </c>
      <c r="N43" s="115">
        <v>12990.0</v>
      </c>
      <c r="O43" s="115">
        <f t="shared" ref="O43:P43" si="49">M43/1.19*0.7</f>
        <v>11758.82353</v>
      </c>
      <c r="P43" s="115">
        <f t="shared" si="49"/>
        <v>7641.176471</v>
      </c>
      <c r="Q43" s="3" t="str">
        <f t="shared" si="39"/>
        <v>66436950085067</v>
      </c>
      <c r="R43" s="167">
        <f t="shared" si="40"/>
        <v>26</v>
      </c>
    </row>
    <row r="44" ht="14.25" customHeight="1">
      <c r="H44" s="3" t="s">
        <v>1920</v>
      </c>
      <c r="I44" s="3" t="str">
        <f t="shared" si="34"/>
        <v>Smartwatch Runner 219 Gray</v>
      </c>
      <c r="J44" s="124">
        <f t="shared" si="35"/>
        <v>21836.8</v>
      </c>
      <c r="K44" s="117">
        <f t="shared" si="36"/>
        <v>-1.857779831</v>
      </c>
      <c r="L44" s="115">
        <f t="shared" si="37"/>
        <v>-14195.62353</v>
      </c>
      <c r="M44" s="115">
        <v>19990.0</v>
      </c>
      <c r="N44" s="115">
        <v>12990.0</v>
      </c>
      <c r="O44" s="115">
        <f t="shared" ref="O44:P44" si="50">M44/1.19*0.7</f>
        <v>11758.82353</v>
      </c>
      <c r="P44" s="115">
        <f t="shared" si="50"/>
        <v>7641.176471</v>
      </c>
      <c r="Q44" s="3" t="str">
        <f t="shared" si="39"/>
        <v>1639085736261</v>
      </c>
      <c r="R44" s="167">
        <f t="shared" si="40"/>
        <v>14</v>
      </c>
    </row>
    <row r="45" ht="14.25" customHeight="1">
      <c r="H45" s="3" t="s">
        <v>1921</v>
      </c>
      <c r="I45" s="3" t="str">
        <f t="shared" si="34"/>
        <v>Smartwatch Reloj Inteligente P10 Blanco</v>
      </c>
      <c r="J45" s="124">
        <f t="shared" si="35"/>
        <v>7127.5</v>
      </c>
      <c r="K45" s="117">
        <f t="shared" si="36"/>
        <v>0.1916777852</v>
      </c>
      <c r="L45" s="115">
        <f t="shared" si="37"/>
        <v>1690.147059</v>
      </c>
      <c r="M45" s="115">
        <v>21990.0</v>
      </c>
      <c r="N45" s="115">
        <v>14990.0</v>
      </c>
      <c r="O45" s="115">
        <f t="shared" ref="O45:P45" si="51">M45/1.19*0.7</f>
        <v>12935.29412</v>
      </c>
      <c r="P45" s="115">
        <f t="shared" si="51"/>
        <v>8817.647059</v>
      </c>
      <c r="Q45" s="3" t="str">
        <f t="shared" si="39"/>
        <v>1535566560027</v>
      </c>
      <c r="R45" s="167">
        <f t="shared" si="40"/>
        <v>10</v>
      </c>
    </row>
    <row r="46" ht="14.25" customHeight="1">
      <c r="H46" s="3" t="s">
        <v>1921</v>
      </c>
      <c r="I46" s="3" t="str">
        <f t="shared" si="34"/>
        <v>Smartwatch RD9 Correa Metálica Negra</v>
      </c>
      <c r="J46" s="124">
        <f t="shared" si="35"/>
        <v>26245</v>
      </c>
      <c r="K46" s="117">
        <f t="shared" si="36"/>
        <v>-1.976417612</v>
      </c>
      <c r="L46" s="115">
        <f t="shared" si="37"/>
        <v>-17427.35294</v>
      </c>
      <c r="M46" s="115">
        <v>21990.0</v>
      </c>
      <c r="N46" s="115">
        <v>14990.0</v>
      </c>
      <c r="O46" s="115">
        <f t="shared" ref="O46:P46" si="52">M46/1.19*0.7</f>
        <v>12935.29412</v>
      </c>
      <c r="P46" s="115">
        <f t="shared" si="52"/>
        <v>8817.647059</v>
      </c>
      <c r="Q46" s="3" t="str">
        <f t="shared" si="39"/>
        <v>1574177821495</v>
      </c>
      <c r="R46" s="167">
        <f t="shared" si="40"/>
        <v>1</v>
      </c>
    </row>
    <row r="47" ht="14.25" customHeight="1">
      <c r="H47" s="3" t="s">
        <v>1921</v>
      </c>
      <c r="I47" s="3" t="str">
        <f t="shared" si="34"/>
        <v>Smartwatch RD7 Plateado Verde</v>
      </c>
      <c r="J47" s="124">
        <f t="shared" si="35"/>
        <v>15218</v>
      </c>
      <c r="K47" s="117">
        <f t="shared" si="36"/>
        <v>-0.7258572382</v>
      </c>
      <c r="L47" s="115">
        <f t="shared" si="37"/>
        <v>-6400.352941</v>
      </c>
      <c r="M47" s="115">
        <v>21990.0</v>
      </c>
      <c r="N47" s="115">
        <v>14990.0</v>
      </c>
      <c r="O47" s="115">
        <f t="shared" ref="O47:P47" si="53">M47/1.19*0.7</f>
        <v>12935.29412</v>
      </c>
      <c r="P47" s="115">
        <f t="shared" si="53"/>
        <v>8817.647059</v>
      </c>
      <c r="Q47" s="3" t="str">
        <f t="shared" si="39"/>
        <v>1581963991564</v>
      </c>
      <c r="R47" s="167">
        <f t="shared" si="40"/>
        <v>14</v>
      </c>
    </row>
    <row r="48" ht="14.25" customHeight="1">
      <c r="H48" s="3" t="s">
        <v>1921</v>
      </c>
      <c r="I48" s="3" t="str">
        <f t="shared" si="34"/>
        <v>Smartwatch RD7 Plateado Cuero Café Claro</v>
      </c>
      <c r="J48" s="124">
        <f t="shared" si="35"/>
        <v>14271</v>
      </c>
      <c r="K48" s="117">
        <f t="shared" si="36"/>
        <v>-0.6184589726</v>
      </c>
      <c r="L48" s="115">
        <f t="shared" si="37"/>
        <v>-5453.352941</v>
      </c>
      <c r="M48" s="115">
        <v>21990.0</v>
      </c>
      <c r="N48" s="115">
        <v>14990.0</v>
      </c>
      <c r="O48" s="115">
        <f t="shared" ref="O48:P48" si="54">M48/1.19*0.7</f>
        <v>12935.29412</v>
      </c>
      <c r="P48" s="115">
        <f t="shared" si="54"/>
        <v>8817.647059</v>
      </c>
      <c r="Q48" s="3" t="str">
        <f t="shared" si="39"/>
        <v>1605624656414</v>
      </c>
      <c r="R48" s="167">
        <f t="shared" si="40"/>
        <v>2</v>
      </c>
    </row>
    <row r="49" ht="14.25" customHeight="1">
      <c r="H49" s="3" t="s">
        <v>1921</v>
      </c>
      <c r="I49" s="3" t="str">
        <f t="shared" si="34"/>
        <v>Smartwatch RD7 Dark Silver Azul</v>
      </c>
      <c r="J49" s="124">
        <f t="shared" si="35"/>
        <v>14860</v>
      </c>
      <c r="K49" s="117">
        <f t="shared" si="36"/>
        <v>-0.6852568379</v>
      </c>
      <c r="L49" s="115">
        <f t="shared" si="37"/>
        <v>-6042.352941</v>
      </c>
      <c r="M49" s="115">
        <v>21990.0</v>
      </c>
      <c r="N49" s="115">
        <v>14990.0</v>
      </c>
      <c r="O49" s="115">
        <f t="shared" ref="O49:P49" si="55">M49/1.19*0.7</f>
        <v>12935.29412</v>
      </c>
      <c r="P49" s="115">
        <f t="shared" si="55"/>
        <v>8817.647059</v>
      </c>
      <c r="Q49" s="3" t="str">
        <f t="shared" si="39"/>
        <v>1605708086872</v>
      </c>
      <c r="R49" s="167">
        <f t="shared" si="40"/>
        <v>2</v>
      </c>
    </row>
    <row r="50" ht="14.25" customHeight="1">
      <c r="H50" s="3" t="s">
        <v>1923</v>
      </c>
      <c r="I50" s="3" t="str">
        <f t="shared" si="34"/>
        <v>Smartwatch RD7 Cuero Negro</v>
      </c>
      <c r="J50" s="124">
        <f t="shared" si="35"/>
        <v>14572.3</v>
      </c>
      <c r="K50" s="117">
        <f t="shared" si="36"/>
        <v>-1.479770771</v>
      </c>
      <c r="L50" s="115">
        <f t="shared" si="37"/>
        <v>-8695.829412</v>
      </c>
      <c r="M50" s="115">
        <v>19990.0</v>
      </c>
      <c r="N50" s="115">
        <v>9990.0</v>
      </c>
      <c r="O50" s="115">
        <f t="shared" ref="O50:P50" si="56">M50/1.19*0.7</f>
        <v>11758.82353</v>
      </c>
      <c r="P50" s="115">
        <f t="shared" si="56"/>
        <v>5876.470588</v>
      </c>
      <c r="Q50" s="3" t="str">
        <f t="shared" si="39"/>
        <v>1579117612971</v>
      </c>
      <c r="R50" s="167">
        <f t="shared" si="40"/>
        <v>2</v>
      </c>
    </row>
    <row r="51" ht="14.25" customHeight="1">
      <c r="H51" s="3" t="s">
        <v>1923</v>
      </c>
      <c r="I51" s="3" t="str">
        <f t="shared" si="34"/>
        <v>Smartwatch RD7 Cuero Café Claro</v>
      </c>
      <c r="J51" s="124">
        <f t="shared" si="35"/>
        <v>16835</v>
      </c>
      <c r="K51" s="117">
        <f t="shared" si="36"/>
        <v>-1.864814815</v>
      </c>
      <c r="L51" s="115">
        <f t="shared" si="37"/>
        <v>-10958.52941</v>
      </c>
      <c r="M51" s="115">
        <v>19990.0</v>
      </c>
      <c r="N51" s="115">
        <v>9990.0</v>
      </c>
      <c r="O51" s="115">
        <f t="shared" ref="O51:P51" si="57">M51/1.19*0.7</f>
        <v>11758.82353</v>
      </c>
      <c r="P51" s="115">
        <f t="shared" si="57"/>
        <v>5876.470588</v>
      </c>
      <c r="Q51" s="3" t="str">
        <f t="shared" si="39"/>
        <v>1605624727428</v>
      </c>
      <c r="R51" s="167">
        <f t="shared" si="40"/>
        <v>2</v>
      </c>
    </row>
    <row r="52" ht="14.25" customHeight="1">
      <c r="H52" s="3" t="s">
        <v>1923</v>
      </c>
      <c r="I52" s="3" t="str">
        <f t="shared" si="34"/>
        <v>Smartwatch RD7 Azul</v>
      </c>
      <c r="J52" s="124">
        <f t="shared" si="35"/>
        <v>14143</v>
      </c>
      <c r="K52" s="117">
        <f t="shared" si="36"/>
        <v>-1.406716717</v>
      </c>
      <c r="L52" s="115">
        <f t="shared" si="37"/>
        <v>-8266.529412</v>
      </c>
      <c r="M52" s="115">
        <v>19990.0</v>
      </c>
      <c r="N52" s="115">
        <v>9990.0</v>
      </c>
      <c r="O52" s="115">
        <f t="shared" ref="O52:P52" si="58">M52/1.19*0.7</f>
        <v>11758.82353</v>
      </c>
      <c r="P52" s="115">
        <f t="shared" si="58"/>
        <v>5876.470588</v>
      </c>
      <c r="Q52" s="3" t="str">
        <f t="shared" si="39"/>
        <v>1579117587919</v>
      </c>
      <c r="R52" s="167">
        <f t="shared" si="40"/>
        <v>11</v>
      </c>
    </row>
    <row r="53" ht="14.25" customHeight="1">
      <c r="H53" s="3" t="s">
        <v>1923</v>
      </c>
      <c r="I53" s="3" t="str">
        <f t="shared" si="34"/>
        <v>SMARTWATCH PARIS D20L</v>
      </c>
      <c r="J53" s="124">
        <f t="shared" si="35"/>
        <v>3917</v>
      </c>
      <c r="K53" s="117">
        <f t="shared" si="36"/>
        <v>0.3334434434</v>
      </c>
      <c r="L53" s="115">
        <f t="shared" si="37"/>
        <v>1959.470588</v>
      </c>
      <c r="M53" s="115">
        <v>19990.0</v>
      </c>
      <c r="N53" s="115">
        <v>9990.0</v>
      </c>
      <c r="O53" s="115">
        <f t="shared" ref="O53:P53" si="59">M53/1.19*0.7</f>
        <v>11758.82353</v>
      </c>
      <c r="P53" s="115">
        <f t="shared" si="59"/>
        <v>5876.470588</v>
      </c>
      <c r="Q53" s="3" t="str">
        <f t="shared" si="39"/>
        <v>1660825216719</v>
      </c>
      <c r="R53" s="167">
        <f t="shared" si="40"/>
        <v>1</v>
      </c>
    </row>
    <row r="54" ht="14.25" customHeight="1">
      <c r="M54" s="115"/>
      <c r="N54" s="115"/>
      <c r="O54" s="115"/>
    </row>
    <row r="55" ht="14.25" customHeight="1">
      <c r="M55" s="115"/>
      <c r="N55" s="115"/>
      <c r="O55" s="115"/>
    </row>
    <row r="56" ht="14.25" customHeight="1">
      <c r="M56" s="115"/>
      <c r="N56" s="115"/>
      <c r="O56" s="115"/>
    </row>
    <row r="57" ht="14.25" customHeight="1">
      <c r="M57" s="115"/>
      <c r="N57" s="115"/>
      <c r="O57" s="115"/>
    </row>
    <row r="58" ht="14.25" customHeight="1">
      <c r="M58" s="115"/>
      <c r="N58" s="115"/>
      <c r="O58" s="115"/>
    </row>
    <row r="59" ht="14.25" customHeight="1">
      <c r="M59" s="115"/>
      <c r="N59" s="115"/>
      <c r="O59" s="115"/>
    </row>
    <row r="60" ht="14.25" customHeight="1">
      <c r="H60" s="3" t="s">
        <v>2029</v>
      </c>
      <c r="I60" s="3" t="str">
        <f t="shared" ref="I60:I61" si="61">B60</f>
        <v>Smartwatch Live 206 Black</v>
      </c>
      <c r="J60" s="124">
        <f t="shared" ref="J60:J61" si="62">E60</f>
        <v>18810</v>
      </c>
      <c r="K60" s="117">
        <f t="shared" ref="K60:K61" si="63">1-(J60/P60)</f>
        <v>0.6002375297</v>
      </c>
      <c r="L60" s="115">
        <f t="shared" ref="L60:L61" si="64">P60-J60</f>
        <v>28242.94118</v>
      </c>
      <c r="M60" s="115">
        <v>89990.0</v>
      </c>
      <c r="N60" s="115">
        <v>79990.0</v>
      </c>
      <c r="O60" s="115">
        <f t="shared" ref="O60:P60" si="60">M60/1.19*0.7</f>
        <v>52935.29412</v>
      </c>
      <c r="P60" s="115">
        <f t="shared" si="60"/>
        <v>47052.94118</v>
      </c>
      <c r="Q60" s="3" t="str">
        <f t="shared" ref="Q60:Q61" si="66">C60</f>
        <v>1639085772390</v>
      </c>
      <c r="R60" s="167">
        <f t="shared" ref="R60:R61" si="67">VLOOKUP(Q60,$C$4:$D$1048576,2,0)</f>
        <v>592</v>
      </c>
    </row>
    <row r="61" ht="14.25" customHeight="1">
      <c r="H61" s="3" t="s">
        <v>16485</v>
      </c>
      <c r="I61" s="3" t="str">
        <f t="shared" si="61"/>
        <v>Smartwatch Connect S03 Pink</v>
      </c>
      <c r="J61" s="124">
        <f t="shared" si="62"/>
        <v>27160</v>
      </c>
      <c r="K61" s="117">
        <f t="shared" si="63"/>
        <v>0.07637527506</v>
      </c>
      <c r="L61" s="115">
        <f t="shared" si="64"/>
        <v>2245.882353</v>
      </c>
      <c r="M61" s="115">
        <v>59990.0</v>
      </c>
      <c r="N61" s="115">
        <v>49990.0</v>
      </c>
      <c r="O61" s="115">
        <f t="shared" ref="O61:P61" si="65">M61/1.19*0.7</f>
        <v>35288.23529</v>
      </c>
      <c r="P61" s="115">
        <f t="shared" si="65"/>
        <v>29405.88235</v>
      </c>
      <c r="Q61" s="3" t="str">
        <f t="shared" si="66"/>
        <v>LHCONS03PK</v>
      </c>
      <c r="R61" s="167">
        <f t="shared" si="67"/>
        <v>92</v>
      </c>
    </row>
    <row r="62" ht="14.25" customHeight="1">
      <c r="M62" s="115"/>
      <c r="N62" s="115"/>
      <c r="O62" s="115"/>
    </row>
    <row r="63" ht="14.25" customHeight="1">
      <c r="M63" s="115"/>
      <c r="N63" s="115"/>
      <c r="O63" s="115"/>
    </row>
    <row r="64" ht="14.25" customHeight="1">
      <c r="M64" s="115"/>
      <c r="N64" s="115"/>
      <c r="O64" s="115"/>
    </row>
    <row r="65" ht="14.25" customHeight="1">
      <c r="M65" s="115"/>
      <c r="N65" s="115"/>
      <c r="O65" s="115"/>
    </row>
    <row r="66" ht="14.25" customHeight="1">
      <c r="M66" s="115"/>
      <c r="N66" s="115"/>
      <c r="O66" s="115"/>
    </row>
    <row r="67" ht="14.25" customHeight="1">
      <c r="M67" s="115"/>
      <c r="N67" s="115"/>
      <c r="O67" s="115"/>
    </row>
    <row r="68" ht="14.25" customHeight="1">
      <c r="M68" s="115"/>
      <c r="N68" s="115"/>
      <c r="O68" s="115"/>
    </row>
    <row r="69" ht="14.25" customHeight="1">
      <c r="M69" s="115"/>
      <c r="N69" s="115"/>
      <c r="O69" s="115"/>
    </row>
    <row r="70" ht="14.25" customHeight="1">
      <c r="M70" s="115"/>
      <c r="N70" s="115"/>
      <c r="O70" s="115"/>
    </row>
    <row r="71" ht="14.25" customHeight="1">
      <c r="M71" s="115"/>
      <c r="N71" s="115"/>
      <c r="O71" s="115"/>
    </row>
    <row r="72" ht="14.25" customHeight="1">
      <c r="M72" s="115"/>
      <c r="N72" s="115"/>
      <c r="O72" s="115"/>
    </row>
    <row r="73" ht="14.25" customHeight="1">
      <c r="M73" s="115"/>
      <c r="N73" s="115"/>
      <c r="O73" s="115"/>
    </row>
    <row r="74" ht="14.25" customHeight="1">
      <c r="H74" s="3" t="s">
        <v>16500</v>
      </c>
      <c r="M74" s="115"/>
      <c r="N74" s="115"/>
      <c r="O74" s="115"/>
    </row>
    <row r="75" ht="14.25" customHeight="1">
      <c r="H75" s="3" t="s">
        <v>16500</v>
      </c>
      <c r="M75" s="115"/>
      <c r="N75" s="115"/>
      <c r="O75" s="115"/>
    </row>
    <row r="76" ht="14.25" customHeight="1">
      <c r="H76" s="3" t="s">
        <v>16500</v>
      </c>
      <c r="M76" s="115"/>
      <c r="N76" s="115"/>
      <c r="O76" s="115"/>
    </row>
    <row r="77" ht="14.25" customHeight="1">
      <c r="H77" s="3" t="s">
        <v>16500</v>
      </c>
      <c r="M77" s="115"/>
      <c r="N77" s="115"/>
      <c r="O77" s="115"/>
    </row>
    <row r="78" ht="14.25" customHeight="1">
      <c r="H78" s="3" t="s">
        <v>16500</v>
      </c>
      <c r="M78" s="115"/>
      <c r="N78" s="115"/>
      <c r="O78" s="115"/>
    </row>
    <row r="79" ht="14.25" customHeight="1">
      <c r="H79" s="3" t="s">
        <v>16500</v>
      </c>
      <c r="M79" s="115"/>
      <c r="N79" s="115"/>
      <c r="O79" s="115"/>
    </row>
    <row r="80" ht="14.25" customHeight="1">
      <c r="H80" s="3" t="s">
        <v>16500</v>
      </c>
      <c r="M80" s="115"/>
      <c r="N80" s="115"/>
      <c r="O80" s="115"/>
    </row>
    <row r="81" ht="14.25" customHeight="1">
      <c r="H81" s="3" t="s">
        <v>16500</v>
      </c>
      <c r="M81" s="115"/>
      <c r="N81" s="115"/>
      <c r="O81" s="115"/>
    </row>
    <row r="82" ht="14.25" customHeight="1">
      <c r="H82" s="3" t="s">
        <v>515</v>
      </c>
      <c r="I82" s="3" t="str">
        <f>B82</f>
        <v>Parlante Tune Up Verde</v>
      </c>
      <c r="J82" s="124">
        <f>E82</f>
        <v>4803</v>
      </c>
      <c r="K82" s="117">
        <f>1-(J82/P82)</f>
        <v>-0.3631218698</v>
      </c>
      <c r="L82" s="115">
        <f>P82-J82</f>
        <v>-1279.470588</v>
      </c>
      <c r="M82" s="115">
        <v>9990.0</v>
      </c>
      <c r="N82" s="115">
        <v>5990.0</v>
      </c>
      <c r="O82" s="115">
        <f t="shared" ref="O82:P82" si="68">M82/1.19*0.7</f>
        <v>5876.470588</v>
      </c>
      <c r="P82" s="115">
        <f t="shared" si="68"/>
        <v>3523.529412</v>
      </c>
      <c r="Q82" s="3" t="str">
        <f>C82</f>
        <v>67933835988925</v>
      </c>
      <c r="R82" s="167">
        <f>VLOOKUP(Q82,$C$4:$D$1048576,2,0)</f>
        <v>1833</v>
      </c>
    </row>
    <row r="83" ht="14.25" customHeight="1">
      <c r="M83" s="115"/>
      <c r="N83" s="115"/>
      <c r="O83" s="115"/>
    </row>
    <row r="84" ht="14.25" customHeight="1">
      <c r="M84" s="115"/>
      <c r="N84" s="115"/>
      <c r="O84" s="115"/>
    </row>
    <row r="85" ht="14.25" customHeight="1">
      <c r="M85" s="115"/>
      <c r="N85" s="115"/>
      <c r="O85" s="115"/>
    </row>
    <row r="86" ht="14.25" customHeight="1">
      <c r="M86" s="115"/>
      <c r="N86" s="115"/>
      <c r="O86" s="115"/>
    </row>
    <row r="87" ht="14.25" customHeight="1">
      <c r="M87" s="115"/>
      <c r="N87" s="115"/>
      <c r="O87" s="115"/>
    </row>
    <row r="88" ht="14.25" customHeight="1">
      <c r="M88" s="115"/>
      <c r="N88" s="115"/>
      <c r="O88" s="115"/>
    </row>
    <row r="89" ht="14.25" customHeight="1">
      <c r="M89" s="115"/>
      <c r="N89" s="115"/>
      <c r="O89" s="115"/>
    </row>
    <row r="90" ht="14.25" customHeight="1">
      <c r="M90" s="115"/>
      <c r="N90" s="115"/>
      <c r="O90" s="115"/>
    </row>
    <row r="91" ht="14.25" customHeight="1">
      <c r="M91" s="115"/>
      <c r="N91" s="115"/>
      <c r="O91" s="115"/>
    </row>
    <row r="92" ht="14.25" customHeight="1">
      <c r="M92" s="115"/>
      <c r="N92" s="115"/>
      <c r="O92" s="115"/>
    </row>
    <row r="93" ht="14.25" customHeight="1">
      <c r="H93" s="3" t="s">
        <v>516</v>
      </c>
      <c r="I93" s="3" t="str">
        <f>B93</f>
        <v>package machine 21TP0402PI</v>
      </c>
      <c r="J93" s="124">
        <f>E93</f>
        <v>221431</v>
      </c>
      <c r="K93" s="117">
        <f>1-(J93/P93)</f>
        <v>-14.06333333</v>
      </c>
      <c r="L93" s="115">
        <f>P93-J93</f>
        <v>-206731</v>
      </c>
      <c r="M93" s="115">
        <v>36990.0</v>
      </c>
      <c r="N93" s="115">
        <v>24990.0</v>
      </c>
      <c r="O93" s="115">
        <f t="shared" ref="O93:P93" si="69">M93/1.19*0.7</f>
        <v>21758.82353</v>
      </c>
      <c r="P93" s="115">
        <f t="shared" si="69"/>
        <v>14700</v>
      </c>
      <c r="Q93" s="3" t="str">
        <f>C93</f>
        <v>1621435991486</v>
      </c>
      <c r="R93" s="167">
        <f>VLOOKUP(Q93,$C$4:$D$1048576,2,0)</f>
        <v>1</v>
      </c>
    </row>
    <row r="94" ht="14.25" customHeight="1">
      <c r="M94" s="115"/>
      <c r="N94" s="115"/>
      <c r="O94" s="115"/>
    </row>
    <row r="95" ht="14.25" customHeight="1">
      <c r="H95" s="3" t="s">
        <v>1928</v>
      </c>
      <c r="I95" s="3" t="str">
        <f t="shared" ref="I95:I99" si="71">B95</f>
        <v>MUESTRA Smartwatch MX1</v>
      </c>
      <c r="J95" s="124">
        <f t="shared" ref="J95:J99" si="72">E95</f>
        <v>18527</v>
      </c>
      <c r="K95" s="117">
        <f t="shared" ref="K95:K99" si="73">1-(J95/P95)</f>
        <v>-2.152742743</v>
      </c>
      <c r="L95" s="115">
        <f t="shared" ref="L95:L99" si="74">P95-J95</f>
        <v>-12650.52941</v>
      </c>
      <c r="M95" s="115">
        <v>21990.0</v>
      </c>
      <c r="N95" s="115">
        <v>9990.0</v>
      </c>
      <c r="O95" s="115">
        <f t="shared" ref="O95:P95" si="70">M95/1.19*0.7</f>
        <v>12935.29412</v>
      </c>
      <c r="P95" s="115">
        <f t="shared" si="70"/>
        <v>5876.470588</v>
      </c>
      <c r="Q95" s="3" t="str">
        <f t="shared" ref="Q95:Q99" si="76">C95</f>
        <v>1653404633176</v>
      </c>
      <c r="R95" s="167">
        <f t="shared" ref="R95:R99" si="77">VLOOKUP(Q95,$C$4:$D$1048576,2,0)</f>
        <v>1</v>
      </c>
    </row>
    <row r="96" ht="14.25" customHeight="1">
      <c r="H96" s="3" t="s">
        <v>1928</v>
      </c>
      <c r="I96" s="3" t="str">
        <f t="shared" si="71"/>
        <v>MUESTRA Smartwatch GPS CR130</v>
      </c>
      <c r="J96" s="124">
        <f t="shared" si="72"/>
        <v>34052</v>
      </c>
      <c r="K96" s="117">
        <f t="shared" si="73"/>
        <v>-4.794634635</v>
      </c>
      <c r="L96" s="115">
        <f t="shared" si="74"/>
        <v>-28175.52941</v>
      </c>
      <c r="M96" s="115">
        <v>21990.0</v>
      </c>
      <c r="N96" s="115">
        <v>9990.0</v>
      </c>
      <c r="O96" s="115">
        <f t="shared" ref="O96:P96" si="75">M96/1.19*0.7</f>
        <v>12935.29412</v>
      </c>
      <c r="P96" s="115">
        <f t="shared" si="75"/>
        <v>5876.470588</v>
      </c>
      <c r="Q96" s="3" t="str">
        <f t="shared" si="76"/>
        <v>67414793517640</v>
      </c>
      <c r="R96" s="167">
        <f t="shared" si="77"/>
        <v>1</v>
      </c>
    </row>
    <row r="97" ht="14.25" customHeight="1">
      <c r="H97" s="3" t="s">
        <v>1928</v>
      </c>
      <c r="I97" s="3" t="str">
        <f t="shared" si="71"/>
        <v>MUESTRA Proyector PL12</v>
      </c>
      <c r="J97" s="124">
        <f t="shared" si="72"/>
        <v>120849</v>
      </c>
      <c r="K97" s="117">
        <f t="shared" si="73"/>
        <v>-19.56489489</v>
      </c>
      <c r="L97" s="115">
        <f t="shared" si="74"/>
        <v>-114972.5294</v>
      </c>
      <c r="M97" s="115">
        <v>21990.0</v>
      </c>
      <c r="N97" s="115">
        <v>9990.0</v>
      </c>
      <c r="O97" s="115">
        <f t="shared" ref="O97:P97" si="78">M97/1.19*0.7</f>
        <v>12935.29412</v>
      </c>
      <c r="P97" s="115">
        <f t="shared" si="78"/>
        <v>5876.470588</v>
      </c>
      <c r="Q97" s="3" t="str">
        <f t="shared" si="76"/>
        <v>1653404646981</v>
      </c>
      <c r="R97" s="167">
        <f t="shared" si="77"/>
        <v>1</v>
      </c>
    </row>
    <row r="98" ht="14.25" customHeight="1">
      <c r="H98" s="3" t="s">
        <v>1928</v>
      </c>
      <c r="I98" s="3" t="str">
        <f t="shared" si="71"/>
        <v>Muestra Proyector Aao 3</v>
      </c>
      <c r="J98" s="124">
        <f t="shared" si="72"/>
        <v>72002</v>
      </c>
      <c r="K98" s="117">
        <f t="shared" si="73"/>
        <v>-11.25259259</v>
      </c>
      <c r="L98" s="115">
        <f t="shared" si="74"/>
        <v>-66125.52941</v>
      </c>
      <c r="M98" s="115">
        <v>21990.0</v>
      </c>
      <c r="N98" s="115">
        <v>9990.0</v>
      </c>
      <c r="O98" s="115">
        <f t="shared" ref="O98:P98" si="79">M98/1.19*0.7</f>
        <v>12935.29412</v>
      </c>
      <c r="P98" s="115">
        <f t="shared" si="79"/>
        <v>5876.470588</v>
      </c>
      <c r="Q98" s="3" t="str">
        <f t="shared" si="76"/>
        <v>66559859669124</v>
      </c>
      <c r="R98" s="167">
        <f t="shared" si="77"/>
        <v>1</v>
      </c>
    </row>
    <row r="99" ht="14.25" customHeight="1">
      <c r="H99" s="3" t="s">
        <v>1928</v>
      </c>
      <c r="I99" s="3" t="str">
        <f t="shared" si="71"/>
        <v>Muestra Proyector Aao 2</v>
      </c>
      <c r="J99" s="124">
        <f t="shared" si="72"/>
        <v>26402</v>
      </c>
      <c r="K99" s="117">
        <f t="shared" si="73"/>
        <v>-3.492832833</v>
      </c>
      <c r="L99" s="115">
        <f t="shared" si="74"/>
        <v>-20525.52941</v>
      </c>
      <c r="M99" s="115">
        <v>21990.0</v>
      </c>
      <c r="N99" s="115">
        <v>9990.0</v>
      </c>
      <c r="O99" s="115">
        <f t="shared" ref="O99:P99" si="80">M99/1.19*0.7</f>
        <v>12935.29412</v>
      </c>
      <c r="P99" s="115">
        <f t="shared" si="80"/>
        <v>5876.470588</v>
      </c>
      <c r="Q99" s="3" t="str">
        <f t="shared" si="76"/>
        <v>66559856061451</v>
      </c>
      <c r="R99" s="167">
        <f t="shared" si="77"/>
        <v>1</v>
      </c>
    </row>
    <row r="100" ht="14.25" customHeight="1">
      <c r="M100" s="115"/>
      <c r="N100" s="115"/>
      <c r="O100" s="115"/>
    </row>
    <row r="101" ht="14.25" customHeight="1">
      <c r="M101" s="115"/>
      <c r="N101" s="115"/>
      <c r="O101" s="115"/>
    </row>
    <row r="102" ht="14.25" customHeight="1">
      <c r="H102" s="3" t="s">
        <v>517</v>
      </c>
      <c r="I102" s="3" t="str">
        <f>B102</f>
        <v>Muestra Drone 1080 sdcard</v>
      </c>
      <c r="J102" s="124">
        <f>E102</f>
        <v>38595</v>
      </c>
      <c r="K102" s="117">
        <f>1-(J102/P102)</f>
        <v>-4.050923788</v>
      </c>
      <c r="L102" s="115">
        <f>P102-J102</f>
        <v>-30953.82353</v>
      </c>
      <c r="M102" s="115">
        <v>14990.0</v>
      </c>
      <c r="N102" s="115">
        <v>12990.0</v>
      </c>
      <c r="O102" s="115">
        <f t="shared" ref="O102:P102" si="81">M102/1.19*0.7</f>
        <v>8817.647059</v>
      </c>
      <c r="P102" s="115">
        <f t="shared" si="81"/>
        <v>7641.176471</v>
      </c>
      <c r="Q102" s="3" t="str">
        <f>C102</f>
        <v>1650477967885</v>
      </c>
      <c r="R102" s="167">
        <f>VLOOKUP(Q102,$C$4:$D$1048576,2,0)</f>
        <v>1</v>
      </c>
    </row>
    <row r="103" ht="14.25" customHeight="1">
      <c r="M103" s="115"/>
      <c r="N103" s="115"/>
      <c r="O103" s="115"/>
    </row>
    <row r="104" ht="14.25" customHeight="1">
      <c r="M104" s="115"/>
      <c r="N104" s="115"/>
      <c r="O104" s="115"/>
    </row>
    <row r="105" ht="14.25" customHeight="1">
      <c r="H105" s="3" t="s">
        <v>1959</v>
      </c>
      <c r="I105" s="3" t="str">
        <f t="shared" ref="I105:I109" si="83">B105</f>
        <v>MUESTRA Audifonos 618-10</v>
      </c>
      <c r="J105" s="124">
        <f t="shared" ref="J105:J109" si="84">E105</f>
        <v>6037</v>
      </c>
      <c r="K105" s="117">
        <f t="shared" ref="K105:K109" si="85">1-(J105/P105)</f>
        <v>-0.02731731732</v>
      </c>
      <c r="L105" s="115">
        <f t="shared" ref="L105:L109" si="86">P105-J105</f>
        <v>-160.5294118</v>
      </c>
      <c r="M105" s="115">
        <v>16990.0</v>
      </c>
      <c r="N105" s="115">
        <v>9990.0</v>
      </c>
      <c r="O105" s="115">
        <f t="shared" ref="O105:P105" si="82">M105/1.19*0.7</f>
        <v>9994.117647</v>
      </c>
      <c r="P105" s="115">
        <f t="shared" si="82"/>
        <v>5876.470588</v>
      </c>
      <c r="Q105" s="3" t="str">
        <f t="shared" ref="Q105:Q109" si="88">C105</f>
        <v>1656617655162</v>
      </c>
      <c r="R105" s="167">
        <f t="shared" ref="R105:R109" si="89">VLOOKUP(Q105,$C$4:$D$1048576,2,0)</f>
        <v>1</v>
      </c>
    </row>
    <row r="106" ht="14.25" customHeight="1">
      <c r="H106" s="3" t="s">
        <v>1959</v>
      </c>
      <c r="I106" s="3" t="str">
        <f t="shared" si="83"/>
        <v>MUESTRA Audifonos 618-1</v>
      </c>
      <c r="J106" s="124">
        <f t="shared" si="84"/>
        <v>7379</v>
      </c>
      <c r="K106" s="117">
        <f t="shared" si="85"/>
        <v>-0.2556856857</v>
      </c>
      <c r="L106" s="115">
        <f t="shared" si="86"/>
        <v>-1502.529412</v>
      </c>
      <c r="M106" s="115">
        <v>16990.0</v>
      </c>
      <c r="N106" s="115">
        <v>9990.0</v>
      </c>
      <c r="O106" s="115">
        <f t="shared" ref="O106:P106" si="87">M106/1.19*0.7</f>
        <v>9994.117647</v>
      </c>
      <c r="P106" s="115">
        <f t="shared" si="87"/>
        <v>5876.470588</v>
      </c>
      <c r="Q106" s="3" t="str">
        <f t="shared" si="88"/>
        <v>1656617557771</v>
      </c>
      <c r="R106" s="167">
        <f t="shared" si="89"/>
        <v>1</v>
      </c>
    </row>
    <row r="107" ht="14.25" customHeight="1">
      <c r="H107" s="3" t="s">
        <v>1959</v>
      </c>
      <c r="I107" s="3" t="str">
        <f t="shared" si="83"/>
        <v>MUESTRA Audifono T58</v>
      </c>
      <c r="J107" s="124">
        <f t="shared" si="84"/>
        <v>4378</v>
      </c>
      <c r="K107" s="117">
        <f t="shared" si="85"/>
        <v>0.254994995</v>
      </c>
      <c r="L107" s="115">
        <f t="shared" si="86"/>
        <v>1498.470588</v>
      </c>
      <c r="M107" s="115">
        <v>16990.0</v>
      </c>
      <c r="N107" s="115">
        <v>9990.0</v>
      </c>
      <c r="O107" s="115">
        <f t="shared" ref="O107:P107" si="90">M107/1.19*0.7</f>
        <v>9994.117647</v>
      </c>
      <c r="P107" s="115">
        <f t="shared" si="90"/>
        <v>5876.470588</v>
      </c>
      <c r="Q107" s="3" t="str">
        <f t="shared" si="88"/>
        <v>67414791217036</v>
      </c>
      <c r="R107" s="167">
        <f t="shared" si="89"/>
        <v>1</v>
      </c>
    </row>
    <row r="108" ht="14.25" customHeight="1">
      <c r="H108" s="3" t="s">
        <v>1959</v>
      </c>
      <c r="I108" s="3" t="str">
        <f t="shared" si="83"/>
        <v>MUESTRA Audifono T17</v>
      </c>
      <c r="J108" s="124">
        <f t="shared" si="84"/>
        <v>15439</v>
      </c>
      <c r="K108" s="117">
        <f t="shared" si="85"/>
        <v>-1.627257257</v>
      </c>
      <c r="L108" s="115">
        <f t="shared" si="86"/>
        <v>-9562.529412</v>
      </c>
      <c r="M108" s="115">
        <v>16990.0</v>
      </c>
      <c r="N108" s="115">
        <v>9990.0</v>
      </c>
      <c r="O108" s="115">
        <f t="shared" ref="O108:P108" si="91">M108/1.19*0.7</f>
        <v>9994.117647</v>
      </c>
      <c r="P108" s="115">
        <f t="shared" si="91"/>
        <v>5876.470588</v>
      </c>
      <c r="Q108" s="3" t="str">
        <f t="shared" si="88"/>
        <v>1653404596846</v>
      </c>
      <c r="R108" s="167">
        <f t="shared" si="89"/>
        <v>1</v>
      </c>
    </row>
    <row r="109" ht="14.25" customHeight="1">
      <c r="H109" s="3" t="s">
        <v>1959</v>
      </c>
      <c r="I109" s="3" t="str">
        <f t="shared" si="83"/>
        <v>MUESTRA audifono Q20</v>
      </c>
      <c r="J109" s="124">
        <f t="shared" si="84"/>
        <v>17264</v>
      </c>
      <c r="K109" s="117">
        <f t="shared" si="85"/>
        <v>-1.937817818</v>
      </c>
      <c r="L109" s="115">
        <f t="shared" si="86"/>
        <v>-11387.52941</v>
      </c>
      <c r="M109" s="115">
        <v>16990.0</v>
      </c>
      <c r="N109" s="115">
        <v>9990.0</v>
      </c>
      <c r="O109" s="115">
        <f t="shared" ref="O109:P109" si="92">M109/1.19*0.7</f>
        <v>9994.117647</v>
      </c>
      <c r="P109" s="115">
        <f t="shared" si="92"/>
        <v>5876.470588</v>
      </c>
      <c r="Q109" s="3" t="str">
        <f t="shared" si="88"/>
        <v>1653404584202</v>
      </c>
      <c r="R109" s="167">
        <f t="shared" si="89"/>
        <v>1</v>
      </c>
    </row>
    <row r="110" ht="14.25" customHeight="1">
      <c r="M110" s="115"/>
      <c r="N110" s="115"/>
      <c r="O110" s="115"/>
    </row>
    <row r="111" ht="14.25" customHeight="1">
      <c r="M111" s="115"/>
      <c r="N111" s="115"/>
      <c r="O111" s="115"/>
    </row>
    <row r="112" ht="14.25" customHeight="1">
      <c r="H112" s="3" t="s">
        <v>1905</v>
      </c>
      <c r="I112" s="3" t="str">
        <f t="shared" ref="I112:I118" si="94">B112</f>
        <v>MUESTRA Audifono M13</v>
      </c>
      <c r="J112" s="124">
        <f t="shared" ref="J112:J118" si="95">E112</f>
        <v>6597</v>
      </c>
      <c r="K112" s="117">
        <f t="shared" ref="K112:K118" si="96">1-(J112/P112)</f>
        <v>0.6260453484</v>
      </c>
      <c r="L112" s="115">
        <f t="shared" ref="L112:L118" si="97">P112-J112</f>
        <v>11044.17647</v>
      </c>
      <c r="M112" s="115">
        <v>39990.0</v>
      </c>
      <c r="N112" s="115">
        <v>29990.0</v>
      </c>
      <c r="O112" s="115">
        <f t="shared" ref="O112:P112" si="93">M112/1.19*0.7</f>
        <v>23523.52941</v>
      </c>
      <c r="P112" s="115">
        <f t="shared" si="93"/>
        <v>17641.17647</v>
      </c>
      <c r="Q112" s="3" t="str">
        <f t="shared" ref="Q112:Q118" si="99">C112</f>
        <v>1653404698359</v>
      </c>
      <c r="R112" s="167">
        <f t="shared" ref="R112:R118" si="100">VLOOKUP(Q112,$C$4:$D$1048576,2,0)</f>
        <v>1</v>
      </c>
    </row>
    <row r="113" ht="14.25" customHeight="1">
      <c r="H113" s="3" t="s">
        <v>1905</v>
      </c>
      <c r="I113" s="3" t="str">
        <f t="shared" si="94"/>
        <v>MUESTRA Audifono i12 511-4</v>
      </c>
      <c r="J113" s="124">
        <f t="shared" si="95"/>
        <v>3088</v>
      </c>
      <c r="K113" s="117">
        <f t="shared" si="96"/>
        <v>0.824954985</v>
      </c>
      <c r="L113" s="115">
        <f t="shared" si="97"/>
        <v>14553.17647</v>
      </c>
      <c r="M113" s="115">
        <v>39990.0</v>
      </c>
      <c r="N113" s="115">
        <v>29990.0</v>
      </c>
      <c r="O113" s="115">
        <f t="shared" ref="O113:P113" si="98">M113/1.19*0.7</f>
        <v>23523.52941</v>
      </c>
      <c r="P113" s="115">
        <f t="shared" si="98"/>
        <v>17641.17647</v>
      </c>
      <c r="Q113" s="3" t="str">
        <f t="shared" si="99"/>
        <v>1653404741817</v>
      </c>
      <c r="R113" s="167">
        <f t="shared" si="100"/>
        <v>1</v>
      </c>
    </row>
    <row r="114" ht="14.25" customHeight="1">
      <c r="H114" s="3" t="s">
        <v>1905</v>
      </c>
      <c r="I114" s="3" t="str">
        <f t="shared" si="94"/>
        <v>MUESTRA Audifono i12 511-3</v>
      </c>
      <c r="J114" s="124">
        <f t="shared" si="95"/>
        <v>3790</v>
      </c>
      <c r="K114" s="117">
        <f t="shared" si="96"/>
        <v>0.7851617206</v>
      </c>
      <c r="L114" s="115">
        <f t="shared" si="97"/>
        <v>13851.17647</v>
      </c>
      <c r="M114" s="115">
        <v>39990.0</v>
      </c>
      <c r="N114" s="115">
        <v>29990.0</v>
      </c>
      <c r="O114" s="115">
        <f t="shared" ref="O114:P114" si="101">M114/1.19*0.7</f>
        <v>23523.52941</v>
      </c>
      <c r="P114" s="115">
        <f t="shared" si="101"/>
        <v>17641.17647</v>
      </c>
      <c r="Q114" s="3" t="str">
        <f t="shared" si="99"/>
        <v>1653404731061</v>
      </c>
      <c r="R114" s="167">
        <f t="shared" si="100"/>
        <v>1</v>
      </c>
    </row>
    <row r="115" ht="14.25" customHeight="1">
      <c r="H115" s="3" t="s">
        <v>1907</v>
      </c>
      <c r="I115" s="3" t="str">
        <f t="shared" si="94"/>
        <v>MUESTRA Audifono i12 511-2</v>
      </c>
      <c r="J115" s="124">
        <f t="shared" si="95"/>
        <v>7158</v>
      </c>
      <c r="K115" s="117">
        <f t="shared" si="96"/>
        <v>0.5130612245</v>
      </c>
      <c r="L115" s="115">
        <f t="shared" si="97"/>
        <v>7542</v>
      </c>
      <c r="M115" s="115">
        <v>29990.0</v>
      </c>
      <c r="N115" s="115">
        <v>24990.0</v>
      </c>
      <c r="O115" s="115">
        <f t="shared" ref="O115:P115" si="102">M115/1.19*0.7</f>
        <v>17641.17647</v>
      </c>
      <c r="P115" s="115">
        <f t="shared" si="102"/>
        <v>14700</v>
      </c>
      <c r="Q115" s="3" t="str">
        <f t="shared" si="99"/>
        <v>1653404720633</v>
      </c>
      <c r="R115" s="167">
        <f t="shared" si="100"/>
        <v>1</v>
      </c>
    </row>
    <row r="116" ht="14.25" customHeight="1">
      <c r="H116" s="3" t="s">
        <v>1907</v>
      </c>
      <c r="I116" s="3" t="str">
        <f t="shared" si="94"/>
        <v>MUESTRA Audifono i12 511-1</v>
      </c>
      <c r="J116" s="124">
        <f t="shared" si="95"/>
        <v>3790</v>
      </c>
      <c r="K116" s="117">
        <f t="shared" si="96"/>
        <v>0.7421768707</v>
      </c>
      <c r="L116" s="115">
        <f t="shared" si="97"/>
        <v>10910</v>
      </c>
      <c r="M116" s="115">
        <v>29990.0</v>
      </c>
      <c r="N116" s="115">
        <v>24990.0</v>
      </c>
      <c r="O116" s="115">
        <f t="shared" ref="O116:P116" si="103">M116/1.19*0.7</f>
        <v>17641.17647</v>
      </c>
      <c r="P116" s="115">
        <f t="shared" si="103"/>
        <v>14700</v>
      </c>
      <c r="Q116" s="3" t="str">
        <f t="shared" si="99"/>
        <v>1653404709747</v>
      </c>
      <c r="R116" s="167">
        <f t="shared" si="100"/>
        <v>1</v>
      </c>
    </row>
    <row r="117" ht="14.25" customHeight="1">
      <c r="H117" s="3" t="s">
        <v>1899</v>
      </c>
      <c r="I117" s="3" t="str">
        <f t="shared" si="94"/>
        <v>MUESTRA Audifono B6</v>
      </c>
      <c r="J117" s="124">
        <f t="shared" si="95"/>
        <v>12913</v>
      </c>
      <c r="K117" s="117">
        <f t="shared" si="96"/>
        <v>0.1215646259</v>
      </c>
      <c r="L117" s="115">
        <f t="shared" si="97"/>
        <v>1787</v>
      </c>
      <c r="M117" s="115">
        <v>29990.0</v>
      </c>
      <c r="N117" s="115">
        <v>24990.0</v>
      </c>
      <c r="O117" s="115">
        <f t="shared" ref="O117:P117" si="104">M117/1.19*0.7</f>
        <v>17641.17647</v>
      </c>
      <c r="P117" s="115">
        <f t="shared" si="104"/>
        <v>14700</v>
      </c>
      <c r="Q117" s="3" t="str">
        <f t="shared" si="99"/>
        <v>1653404613464</v>
      </c>
      <c r="R117" s="167">
        <f t="shared" si="100"/>
        <v>1</v>
      </c>
    </row>
    <row r="118" ht="14.25" customHeight="1">
      <c r="H118" s="3" t="s">
        <v>1899</v>
      </c>
      <c r="I118" s="3" t="str">
        <f t="shared" si="94"/>
        <v>MUESTRA Audifono 111-1</v>
      </c>
      <c r="J118" s="124">
        <f t="shared" si="95"/>
        <v>8771</v>
      </c>
      <c r="K118" s="117">
        <f t="shared" si="96"/>
        <v>0.4033333333</v>
      </c>
      <c r="L118" s="115">
        <f t="shared" si="97"/>
        <v>5929</v>
      </c>
      <c r="M118" s="115">
        <v>29990.0</v>
      </c>
      <c r="N118" s="115">
        <v>24990.0</v>
      </c>
      <c r="O118" s="115">
        <f t="shared" ref="O118:P118" si="105">M118/1.19*0.7</f>
        <v>17641.17647</v>
      </c>
      <c r="P118" s="115">
        <f t="shared" si="105"/>
        <v>14700</v>
      </c>
      <c r="Q118" s="3" t="str">
        <f t="shared" si="99"/>
        <v>67414792729571</v>
      </c>
      <c r="R118" s="167">
        <f t="shared" si="100"/>
        <v>1</v>
      </c>
    </row>
    <row r="119" ht="14.25" customHeight="1">
      <c r="M119" s="115"/>
      <c r="N119" s="115"/>
      <c r="O119" s="115"/>
    </row>
    <row r="120" ht="14.25" customHeight="1">
      <c r="M120" s="115"/>
      <c r="N120" s="115"/>
      <c r="O120" s="115"/>
    </row>
    <row r="121" ht="14.25" customHeight="1">
      <c r="H121" s="3" t="s">
        <v>1901</v>
      </c>
      <c r="I121" s="3" t="str">
        <f t="shared" ref="I121:I122" si="107">B121</f>
        <v>Mouse gamer</v>
      </c>
      <c r="J121" s="124">
        <f t="shared" ref="J121:J122" si="108">E121</f>
        <v>3388</v>
      </c>
      <c r="K121" s="117">
        <f t="shared" ref="K121:K122" si="109">1-(J121/P121)</f>
        <v>0.8079493164</v>
      </c>
      <c r="L121" s="115">
        <f t="shared" ref="L121:L122" si="110">P121-J121</f>
        <v>14253.17647</v>
      </c>
      <c r="M121" s="115">
        <v>35990.0</v>
      </c>
      <c r="N121" s="115">
        <v>29990.0</v>
      </c>
      <c r="O121" s="115">
        <f t="shared" ref="O121:P121" si="106">M121/1.19*0.7</f>
        <v>21170.58824</v>
      </c>
      <c r="P121" s="115">
        <f t="shared" si="106"/>
        <v>17641.17647</v>
      </c>
      <c r="Q121" s="3" t="str">
        <f t="shared" ref="Q121:Q122" si="112">C121</f>
        <v>1650478074858</v>
      </c>
      <c r="R121" s="167">
        <f t="shared" ref="R121:R122" si="113">VLOOKUP(Q121,$C$4:$D$1048576,2,0)</f>
        <v>1</v>
      </c>
    </row>
    <row r="122" ht="14.25" customHeight="1">
      <c r="H122" s="3" t="s">
        <v>1901</v>
      </c>
      <c r="I122" s="3" t="str">
        <f t="shared" si="107"/>
        <v>molinillos sal-pimienta</v>
      </c>
      <c r="J122" s="124">
        <f t="shared" si="108"/>
        <v>6497</v>
      </c>
      <c r="K122" s="117">
        <f t="shared" si="109"/>
        <v>0.6317139046</v>
      </c>
      <c r="L122" s="115">
        <f t="shared" si="110"/>
        <v>11144.17647</v>
      </c>
      <c r="M122" s="115">
        <v>35990.0</v>
      </c>
      <c r="N122" s="115">
        <v>29990.0</v>
      </c>
      <c r="O122" s="115">
        <f t="shared" ref="O122:P122" si="111">M122/1.19*0.7</f>
        <v>21170.58824</v>
      </c>
      <c r="P122" s="115">
        <f t="shared" si="111"/>
        <v>17641.17647</v>
      </c>
      <c r="Q122" s="3" t="str">
        <f t="shared" si="112"/>
        <v>1644258884424</v>
      </c>
      <c r="R122" s="167">
        <f t="shared" si="113"/>
        <v>1</v>
      </c>
    </row>
    <row r="123" ht="14.25" customHeight="1">
      <c r="M123" s="115"/>
      <c r="N123" s="115"/>
      <c r="O123" s="115"/>
    </row>
    <row r="124" ht="14.25" customHeight="1">
      <c r="M124" s="115"/>
      <c r="N124" s="115"/>
      <c r="O124" s="115"/>
    </row>
    <row r="125" ht="14.25" customHeight="1">
      <c r="M125" s="115"/>
      <c r="N125" s="115"/>
      <c r="O125" s="115"/>
    </row>
    <row r="126" ht="14.25" customHeight="1">
      <c r="M126" s="115"/>
      <c r="N126" s="115"/>
      <c r="O126" s="115"/>
    </row>
    <row r="127" ht="14.25" customHeight="1">
      <c r="M127" s="115"/>
      <c r="N127" s="115"/>
      <c r="O127" s="115"/>
    </row>
    <row r="128" ht="14.25" customHeight="1">
      <c r="M128" s="115"/>
      <c r="N128" s="115"/>
      <c r="O128" s="115"/>
    </row>
    <row r="129" ht="14.25" customHeight="1">
      <c r="M129" s="115"/>
      <c r="N129" s="115"/>
      <c r="O129" s="115"/>
    </row>
    <row r="130" ht="14.25" customHeight="1">
      <c r="M130" s="115"/>
      <c r="N130" s="115"/>
      <c r="O130" s="115"/>
    </row>
    <row r="131" ht="14.25" customHeight="1">
      <c r="M131" s="115"/>
      <c r="N131" s="115"/>
      <c r="O131" s="115"/>
    </row>
    <row r="132" ht="14.25" customHeight="1">
      <c r="M132" s="115"/>
      <c r="N132" s="115"/>
      <c r="O132" s="115"/>
    </row>
    <row r="133" ht="14.25" customHeight="1">
      <c r="M133" s="115"/>
      <c r="N133" s="115"/>
      <c r="O133" s="115"/>
    </row>
    <row r="134" ht="14.25" customHeight="1">
      <c r="M134" s="115"/>
      <c r="N134" s="115"/>
      <c r="O134" s="115"/>
    </row>
    <row r="135" ht="14.25" customHeight="1">
      <c r="M135" s="115"/>
      <c r="N135" s="115"/>
      <c r="O135" s="115"/>
    </row>
    <row r="136" ht="14.25" customHeight="1">
      <c r="M136" s="115"/>
      <c r="N136" s="115"/>
      <c r="O136" s="115"/>
    </row>
    <row r="137" ht="14.25" customHeight="1">
      <c r="M137" s="115"/>
      <c r="N137" s="115"/>
      <c r="O137" s="115"/>
    </row>
    <row r="138" ht="14.25" customHeight="1">
      <c r="M138" s="115"/>
      <c r="N138" s="115"/>
      <c r="O138" s="115"/>
    </row>
    <row r="139" ht="14.25" customHeight="1">
      <c r="M139" s="115"/>
      <c r="N139" s="115"/>
      <c r="O139" s="115"/>
    </row>
    <row r="140" ht="14.25" customHeight="1">
      <c r="M140" s="115"/>
      <c r="N140" s="115"/>
      <c r="O140" s="115"/>
    </row>
    <row r="141" ht="14.25" customHeight="1">
      <c r="M141" s="115"/>
      <c r="N141" s="115"/>
      <c r="O141" s="115"/>
    </row>
    <row r="142" ht="14.25" customHeight="1">
      <c r="M142" s="115"/>
      <c r="N142" s="115"/>
      <c r="O142" s="115"/>
    </row>
    <row r="143" ht="14.25" customHeight="1">
      <c r="M143" s="115"/>
      <c r="N143" s="115"/>
      <c r="O143" s="115"/>
    </row>
    <row r="144" ht="14.25" customHeight="1">
      <c r="M144" s="115"/>
      <c r="N144" s="115"/>
      <c r="O144" s="115"/>
    </row>
    <row r="145" ht="14.25" customHeight="1">
      <c r="M145" s="115"/>
      <c r="N145" s="115"/>
      <c r="O145" s="115"/>
    </row>
    <row r="146" ht="14.25" customHeight="1">
      <c r="M146" s="115"/>
      <c r="N146" s="115"/>
      <c r="O146" s="115"/>
    </row>
    <row r="147" ht="14.25" customHeight="1">
      <c r="M147" s="115"/>
      <c r="N147" s="115"/>
      <c r="O147" s="115"/>
    </row>
    <row r="148" ht="14.25" customHeight="1">
      <c r="M148" s="115"/>
      <c r="N148" s="115"/>
      <c r="O148" s="115"/>
    </row>
    <row r="149" ht="14.25" customHeight="1">
      <c r="M149" s="115"/>
      <c r="N149" s="115"/>
      <c r="O149" s="115"/>
    </row>
    <row r="150" ht="14.25" customHeight="1">
      <c r="M150" s="115"/>
      <c r="N150" s="115"/>
      <c r="O150" s="115"/>
    </row>
    <row r="151" ht="14.25" customHeight="1">
      <c r="M151" s="115"/>
      <c r="N151" s="115"/>
      <c r="O151" s="115"/>
    </row>
    <row r="152" ht="14.25" customHeight="1">
      <c r="M152" s="115"/>
      <c r="N152" s="115"/>
      <c r="O152" s="115"/>
    </row>
    <row r="153" ht="14.25" customHeight="1">
      <c r="M153" s="115"/>
      <c r="N153" s="115"/>
      <c r="O153" s="115"/>
    </row>
    <row r="154" ht="14.25" customHeight="1">
      <c r="M154" s="115"/>
      <c r="N154" s="115"/>
      <c r="O154" s="115"/>
    </row>
    <row r="155" ht="14.25" customHeight="1">
      <c r="M155" s="115"/>
      <c r="N155" s="115"/>
      <c r="O155" s="115"/>
    </row>
    <row r="156" ht="14.25" customHeight="1">
      <c r="H156" s="3" t="s">
        <v>1849</v>
      </c>
      <c r="I156" s="3" t="str">
        <f t="shared" ref="I156:I164" si="115">B156</f>
        <v>Glory 500 Roof Bar</v>
      </c>
      <c r="J156" s="124">
        <f t="shared" ref="J156:J164" si="116">E156</f>
        <v>44227</v>
      </c>
      <c r="K156" s="117">
        <f t="shared" ref="K156:K164" si="117">1-(J156/P156)</f>
        <v>-3.179316287</v>
      </c>
      <c r="L156" s="115">
        <f t="shared" ref="L156:L164" si="118">P156-J156</f>
        <v>-33644.64706</v>
      </c>
      <c r="M156" s="115">
        <v>24990.0</v>
      </c>
      <c r="N156" s="115">
        <v>17990.0</v>
      </c>
      <c r="O156" s="115">
        <f t="shared" ref="O156:P156" si="114">M156/1.19*0.7</f>
        <v>14700</v>
      </c>
      <c r="P156" s="115">
        <f t="shared" si="114"/>
        <v>10582.35294</v>
      </c>
      <c r="Q156" s="3" t="str">
        <f t="shared" ref="Q156:Q164" si="120">C156</f>
        <v>1658434052995</v>
      </c>
      <c r="R156" s="167">
        <f t="shared" ref="R156:R164" si="121">VLOOKUP(Q156,$C$4:$D$1048576,2,0)</f>
        <v>1</v>
      </c>
    </row>
    <row r="157" ht="14.25" customHeight="1">
      <c r="H157" s="3" t="s">
        <v>1849</v>
      </c>
      <c r="I157" s="3" t="str">
        <f t="shared" si="115"/>
        <v>Fundas asientos de auto</v>
      </c>
      <c r="J157" s="124">
        <f t="shared" si="116"/>
        <v>9282</v>
      </c>
      <c r="K157" s="117">
        <f t="shared" si="117"/>
        <v>0.1228793774</v>
      </c>
      <c r="L157" s="115">
        <f t="shared" si="118"/>
        <v>1300.352941</v>
      </c>
      <c r="M157" s="115">
        <v>24990.0</v>
      </c>
      <c r="N157" s="115">
        <v>17990.0</v>
      </c>
      <c r="O157" s="115">
        <f t="shared" ref="O157:P157" si="119">M157/1.19*0.7</f>
        <v>14700</v>
      </c>
      <c r="P157" s="115">
        <f t="shared" si="119"/>
        <v>10582.35294</v>
      </c>
      <c r="Q157" s="3" t="str">
        <f t="shared" si="120"/>
        <v>1644259059993</v>
      </c>
      <c r="R157" s="167">
        <f t="shared" si="121"/>
        <v>1</v>
      </c>
    </row>
    <row r="158" ht="14.25" customHeight="1">
      <c r="H158" s="3" t="s">
        <v>1849</v>
      </c>
      <c r="I158" s="3" t="str">
        <f t="shared" si="115"/>
        <v>Fuente para el horno ceramica</v>
      </c>
      <c r="J158" s="124">
        <f t="shared" si="116"/>
        <v>43624</v>
      </c>
      <c r="K158" s="117">
        <f t="shared" si="117"/>
        <v>-3.12233463</v>
      </c>
      <c r="L158" s="115">
        <f t="shared" si="118"/>
        <v>-33041.64706</v>
      </c>
      <c r="M158" s="115">
        <v>24990.0</v>
      </c>
      <c r="N158" s="115">
        <v>17990.0</v>
      </c>
      <c r="O158" s="115">
        <f t="shared" ref="O158:P158" si="122">M158/1.19*0.7</f>
        <v>14700</v>
      </c>
      <c r="P158" s="115">
        <f t="shared" si="122"/>
        <v>10582.35294</v>
      </c>
      <c r="Q158" s="3" t="str">
        <f t="shared" si="120"/>
        <v>1644259048756</v>
      </c>
      <c r="R158" s="167">
        <f t="shared" si="121"/>
        <v>1</v>
      </c>
    </row>
    <row r="159" ht="14.25" customHeight="1">
      <c r="H159" s="3" t="s">
        <v>1849</v>
      </c>
      <c r="I159" s="3" t="str">
        <f t="shared" si="115"/>
        <v>Filtro de aire</v>
      </c>
      <c r="J159" s="124">
        <f t="shared" si="116"/>
        <v>18891</v>
      </c>
      <c r="K159" s="117">
        <f t="shared" si="117"/>
        <v>-0.7851417454</v>
      </c>
      <c r="L159" s="115">
        <f t="shared" si="118"/>
        <v>-8308.647059</v>
      </c>
      <c r="M159" s="115">
        <v>24990.0</v>
      </c>
      <c r="N159" s="115">
        <v>17990.0</v>
      </c>
      <c r="O159" s="115">
        <f t="shared" ref="O159:P159" si="123">M159/1.19*0.7</f>
        <v>14700</v>
      </c>
      <c r="P159" s="115">
        <f t="shared" si="123"/>
        <v>10582.35294</v>
      </c>
      <c r="Q159" s="3" t="str">
        <f t="shared" si="120"/>
        <v>1639422799417</v>
      </c>
      <c r="R159" s="167">
        <f t="shared" si="121"/>
        <v>2</v>
      </c>
    </row>
    <row r="160" ht="14.25" customHeight="1">
      <c r="H160" s="3" t="s">
        <v>1863</v>
      </c>
      <c r="I160" s="3" t="str">
        <f t="shared" si="115"/>
        <v>Estabilizador De Cámaras Universales Portátil Celular</v>
      </c>
      <c r="J160" s="124">
        <f t="shared" si="116"/>
        <v>6665</v>
      </c>
      <c r="K160" s="117">
        <f t="shared" si="117"/>
        <v>0.2441294196</v>
      </c>
      <c r="L160" s="115">
        <f t="shared" si="118"/>
        <v>2152.647059</v>
      </c>
      <c r="M160" s="115">
        <v>21990.0</v>
      </c>
      <c r="N160" s="115">
        <v>14990.0</v>
      </c>
      <c r="O160" s="115">
        <f t="shared" ref="O160:P160" si="124">M160/1.19*0.7</f>
        <v>12935.29412</v>
      </c>
      <c r="P160" s="115">
        <f t="shared" si="124"/>
        <v>8817.647059</v>
      </c>
      <c r="Q160" s="3" t="str">
        <f t="shared" si="120"/>
        <v>1513100019184</v>
      </c>
      <c r="R160" s="167">
        <f t="shared" si="121"/>
        <v>3</v>
      </c>
    </row>
    <row r="161" ht="14.25" customHeight="1">
      <c r="H161" s="3" t="s">
        <v>1863</v>
      </c>
      <c r="I161" s="3" t="str">
        <f t="shared" si="115"/>
        <v>Especiero madera</v>
      </c>
      <c r="J161" s="124">
        <f t="shared" si="116"/>
        <v>51050</v>
      </c>
      <c r="K161" s="117">
        <f t="shared" si="117"/>
        <v>-4.789526351</v>
      </c>
      <c r="L161" s="115">
        <f t="shared" si="118"/>
        <v>-42232.35294</v>
      </c>
      <c r="M161" s="115">
        <v>21990.0</v>
      </c>
      <c r="N161" s="115">
        <v>14990.0</v>
      </c>
      <c r="O161" s="115">
        <f t="shared" ref="O161:P161" si="125">M161/1.19*0.7</f>
        <v>12935.29412</v>
      </c>
      <c r="P161" s="115">
        <f t="shared" si="125"/>
        <v>8817.647059</v>
      </c>
      <c r="Q161" s="3" t="str">
        <f t="shared" si="120"/>
        <v>1644258770920</v>
      </c>
      <c r="R161" s="167">
        <f t="shared" si="121"/>
        <v>1</v>
      </c>
    </row>
    <row r="162" ht="14.25" customHeight="1">
      <c r="H162" s="3" t="s">
        <v>1863</v>
      </c>
      <c r="I162" s="3" t="str">
        <f t="shared" si="115"/>
        <v>Especiero Giratorio 6 unis</v>
      </c>
      <c r="J162" s="124">
        <f t="shared" si="116"/>
        <v>5105</v>
      </c>
      <c r="K162" s="117">
        <f t="shared" si="117"/>
        <v>0.4210473649</v>
      </c>
      <c r="L162" s="115">
        <f t="shared" si="118"/>
        <v>3712.647059</v>
      </c>
      <c r="M162" s="115">
        <v>21990.0</v>
      </c>
      <c r="N162" s="115">
        <v>14990.0</v>
      </c>
      <c r="O162" s="115">
        <f t="shared" ref="O162:P162" si="126">M162/1.19*0.7</f>
        <v>12935.29412</v>
      </c>
      <c r="P162" s="115">
        <f t="shared" si="126"/>
        <v>8817.647059</v>
      </c>
      <c r="Q162" s="3" t="str">
        <f t="shared" si="120"/>
        <v>1644258868016</v>
      </c>
      <c r="R162" s="167">
        <f t="shared" si="121"/>
        <v>1</v>
      </c>
    </row>
    <row r="163" ht="14.25" customHeight="1">
      <c r="H163" s="3" t="s">
        <v>1863</v>
      </c>
      <c r="I163" s="3" t="str">
        <f t="shared" si="115"/>
        <v>Ducha Solar Camping Pesca 20 Litros Outdoor</v>
      </c>
      <c r="J163" s="124">
        <f t="shared" si="116"/>
        <v>1976</v>
      </c>
      <c r="K163" s="117">
        <f t="shared" si="117"/>
        <v>0.775903936</v>
      </c>
      <c r="L163" s="115">
        <f t="shared" si="118"/>
        <v>6841.647059</v>
      </c>
      <c r="M163" s="115">
        <v>21990.0</v>
      </c>
      <c r="N163" s="115">
        <v>14990.0</v>
      </c>
      <c r="O163" s="115">
        <f t="shared" ref="O163:P163" si="127">M163/1.19*0.7</f>
        <v>12935.29412</v>
      </c>
      <c r="P163" s="115">
        <f t="shared" si="127"/>
        <v>8817.647059</v>
      </c>
      <c r="Q163" s="3" t="str">
        <f t="shared" si="120"/>
        <v>1542823095263</v>
      </c>
      <c r="R163" s="167">
        <f t="shared" si="121"/>
        <v>268</v>
      </c>
    </row>
    <row r="164" ht="14.25" customHeight="1">
      <c r="H164" s="3" t="s">
        <v>522</v>
      </c>
      <c r="I164" s="3" t="str">
        <f t="shared" si="115"/>
        <v>Correa SW88 Rosada Puntos Verdes</v>
      </c>
      <c r="J164" s="124">
        <f t="shared" si="116"/>
        <v>1127</v>
      </c>
      <c r="K164" s="117">
        <f t="shared" si="117"/>
        <v>0.976048256</v>
      </c>
      <c r="L164" s="115">
        <f t="shared" si="118"/>
        <v>45925.94118</v>
      </c>
      <c r="M164" s="115">
        <v>99990.0</v>
      </c>
      <c r="N164" s="115">
        <v>79990.0</v>
      </c>
      <c r="O164" s="115">
        <f t="shared" ref="O164:P164" si="128">M164/1.19*0.7</f>
        <v>58817.64706</v>
      </c>
      <c r="P164" s="115">
        <f t="shared" si="128"/>
        <v>47052.94118</v>
      </c>
      <c r="Q164" s="3" t="str">
        <f t="shared" si="120"/>
        <v>1629291104067</v>
      </c>
      <c r="R164" s="167">
        <f t="shared" si="121"/>
        <v>35</v>
      </c>
    </row>
    <row r="165" ht="14.25" customHeight="1">
      <c r="M165" s="115"/>
      <c r="N165" s="115"/>
      <c r="O165" s="115"/>
    </row>
    <row r="166" ht="14.25" customHeight="1">
      <c r="M166" s="115"/>
      <c r="N166" s="115"/>
      <c r="O166" s="115"/>
    </row>
    <row r="167" ht="14.25" customHeight="1">
      <c r="M167" s="115"/>
      <c r="N167" s="115"/>
      <c r="O167" s="115"/>
    </row>
    <row r="168" ht="14.25" customHeight="1">
      <c r="H168" s="3" t="s">
        <v>16648</v>
      </c>
      <c r="I168" s="3" t="str">
        <f>B168</f>
        <v>Correa SW88 Negra/roja</v>
      </c>
      <c r="J168" s="124">
        <f>E168</f>
        <v>800</v>
      </c>
      <c r="K168" s="117">
        <f>1-(J168/P168)</f>
        <v>0.9659914979</v>
      </c>
      <c r="L168" s="115">
        <f>P168-J168</f>
        <v>22723.52941</v>
      </c>
      <c r="M168" s="115">
        <v>49990.0</v>
      </c>
      <c r="N168" s="115">
        <v>39990.0</v>
      </c>
      <c r="O168" s="115">
        <f t="shared" ref="O168:P168" si="129">M168/1.19*0.7</f>
        <v>29405.88235</v>
      </c>
      <c r="P168" s="115">
        <f t="shared" si="129"/>
        <v>23523.52941</v>
      </c>
      <c r="Q168" s="3" t="str">
        <f>C168</f>
        <v>1610816087324</v>
      </c>
      <c r="R168" s="167">
        <f>VLOOKUP(Q168,$C$4:$D$1048576,2,0)</f>
        <v>211</v>
      </c>
    </row>
    <row r="169" ht="14.25" customHeight="1">
      <c r="M169" s="115"/>
      <c r="N169" s="115"/>
      <c r="O169" s="115"/>
    </row>
    <row r="170" ht="14.25" customHeight="1">
      <c r="M170" s="115"/>
      <c r="N170" s="115"/>
      <c r="O170" s="115"/>
    </row>
    <row r="171" ht="14.25" customHeight="1">
      <c r="M171" s="115"/>
      <c r="N171" s="115"/>
      <c r="O171" s="115"/>
    </row>
    <row r="172" ht="14.25" customHeight="1">
      <c r="H172" s="3" t="s">
        <v>525</v>
      </c>
      <c r="I172" s="3" t="str">
        <f>B172</f>
        <v>Correa RD9 Cafe Cuero</v>
      </c>
      <c r="J172" s="124">
        <f>E172</f>
        <v>1868</v>
      </c>
      <c r="K172" s="117">
        <f>1-(J172/P172)</f>
        <v>0.813090053</v>
      </c>
      <c r="L172" s="115">
        <f>P172-J172</f>
        <v>8126.117647</v>
      </c>
      <c r="M172" s="115">
        <v>19990.0</v>
      </c>
      <c r="N172" s="115">
        <v>16990.0</v>
      </c>
      <c r="O172" s="115">
        <f t="shared" ref="O172:P172" si="130">M172/1.19*0.7</f>
        <v>11758.82353</v>
      </c>
      <c r="P172" s="115">
        <f t="shared" si="130"/>
        <v>9994.117647</v>
      </c>
      <c r="Q172" s="3" t="str">
        <f>C172</f>
        <v>1595434263015</v>
      </c>
      <c r="R172" s="167">
        <f>VLOOKUP(Q172,$C$4:$D$1048576,2,0)</f>
        <v>1</v>
      </c>
    </row>
    <row r="173" ht="14.25" customHeight="1">
      <c r="M173" s="115"/>
      <c r="N173" s="115"/>
      <c r="O173" s="115"/>
    </row>
    <row r="174" ht="14.25" customHeight="1">
      <c r="H174" s="3" t="s">
        <v>16660</v>
      </c>
      <c r="I174" s="3" t="str">
        <f t="shared" ref="I174:I176" si="132">B174</f>
        <v>Control Nintendo</v>
      </c>
      <c r="J174" s="124">
        <f t="shared" ref="J174:J176" si="133">E174</f>
        <v>12177</v>
      </c>
      <c r="K174" s="117">
        <f t="shared" ref="K174:K176" si="134">1-(J174/P174)</f>
        <v>0.3097399133</v>
      </c>
      <c r="L174" s="115">
        <f t="shared" ref="L174:L176" si="135">P174-J174</f>
        <v>5464.176471</v>
      </c>
      <c r="M174" s="115">
        <v>39990.0</v>
      </c>
      <c r="N174" s="115">
        <v>29990.0</v>
      </c>
      <c r="O174" s="115">
        <f t="shared" ref="O174:P174" si="131">M174/1.19*0.7</f>
        <v>23523.52941</v>
      </c>
      <c r="P174" s="115">
        <f t="shared" si="131"/>
        <v>17641.17647</v>
      </c>
      <c r="Q174" s="3" t="str">
        <f t="shared" ref="Q174:Q176" si="137">C174</f>
        <v>1650478100917</v>
      </c>
      <c r="R174" s="167">
        <f t="shared" ref="R174:R176" si="138">VLOOKUP(Q174,$C$4:$D$1048576,2,0)</f>
        <v>1</v>
      </c>
    </row>
    <row r="175" ht="14.25" customHeight="1">
      <c r="H175" s="3" t="s">
        <v>16660</v>
      </c>
      <c r="I175" s="3" t="str">
        <f t="shared" si="132"/>
        <v>Control Gamer</v>
      </c>
      <c r="J175" s="124">
        <f t="shared" si="133"/>
        <v>9212</v>
      </c>
      <c r="K175" s="117">
        <f t="shared" si="134"/>
        <v>0.4778126042</v>
      </c>
      <c r="L175" s="115">
        <f t="shared" si="135"/>
        <v>8429.176471</v>
      </c>
      <c r="M175" s="115">
        <v>39990.0</v>
      </c>
      <c r="N175" s="115">
        <v>29990.0</v>
      </c>
      <c r="O175" s="115">
        <f t="shared" ref="O175:P175" si="136">M175/1.19*0.7</f>
        <v>23523.52941</v>
      </c>
      <c r="P175" s="115">
        <f t="shared" si="136"/>
        <v>17641.17647</v>
      </c>
      <c r="Q175" s="3" t="str">
        <f t="shared" si="137"/>
        <v>1650478111691</v>
      </c>
      <c r="R175" s="167">
        <f t="shared" si="138"/>
        <v>1</v>
      </c>
    </row>
    <row r="176" ht="14.25" customHeight="1">
      <c r="H176" s="3" t="s">
        <v>16660</v>
      </c>
      <c r="I176" s="3" t="str">
        <f t="shared" si="132"/>
        <v>colador y cortador</v>
      </c>
      <c r="J176" s="124">
        <f t="shared" si="133"/>
        <v>3713</v>
      </c>
      <c r="K176" s="117">
        <f t="shared" si="134"/>
        <v>0.7895265088</v>
      </c>
      <c r="L176" s="115">
        <f t="shared" si="135"/>
        <v>13928.17647</v>
      </c>
      <c r="M176" s="115">
        <v>39990.0</v>
      </c>
      <c r="N176" s="115">
        <v>29990.0</v>
      </c>
      <c r="O176" s="115">
        <f t="shared" ref="O176:P176" si="139">M176/1.19*0.7</f>
        <v>23523.52941</v>
      </c>
      <c r="P176" s="115">
        <f t="shared" si="139"/>
        <v>17641.17647</v>
      </c>
      <c r="Q176" s="3" t="str">
        <f t="shared" si="137"/>
        <v>1644258923159</v>
      </c>
      <c r="R176" s="167">
        <f t="shared" si="138"/>
        <v>1</v>
      </c>
    </row>
    <row r="177" ht="14.25" customHeight="1">
      <c r="M177" s="115"/>
      <c r="N177" s="115"/>
      <c r="O177" s="115"/>
    </row>
    <row r="178" ht="14.25" customHeight="1">
      <c r="H178" s="3" t="s">
        <v>1978</v>
      </c>
      <c r="I178" s="3" t="str">
        <f t="shared" ref="I178:I191" si="141">B178</f>
        <v>cobertor de asiento para perro</v>
      </c>
      <c r="J178" s="124">
        <f t="shared" ref="J178:J191" si="142">E178</f>
        <v>9746</v>
      </c>
      <c r="K178" s="117">
        <f t="shared" ref="K178:K191" si="143">1-(J178/P178)</f>
        <v>0.5856914229</v>
      </c>
      <c r="L178" s="115">
        <f t="shared" ref="L178:L191" si="144">P178-J178</f>
        <v>13777.52941</v>
      </c>
      <c r="M178" s="115">
        <v>49990.0</v>
      </c>
      <c r="N178" s="115">
        <v>39990.0</v>
      </c>
      <c r="O178" s="115">
        <f t="shared" ref="O178:P178" si="140">M178/1.19*0.7</f>
        <v>29405.88235</v>
      </c>
      <c r="P178" s="115">
        <f t="shared" si="140"/>
        <v>23523.52941</v>
      </c>
      <c r="Q178" s="3" t="str">
        <f t="shared" ref="Q178:Q191" si="146">C178</f>
        <v>1644259071820</v>
      </c>
      <c r="R178" s="167">
        <f t="shared" ref="R178:R191" si="147">VLOOKUP(Q178,$C$4:$D$1048576,2,0)</f>
        <v>1</v>
      </c>
    </row>
    <row r="179" ht="14.25" customHeight="1">
      <c r="H179" s="3" t="s">
        <v>1978</v>
      </c>
      <c r="I179" s="3" t="str">
        <f t="shared" si="141"/>
        <v>Cargador SW55</v>
      </c>
      <c r="J179" s="124">
        <f t="shared" si="142"/>
        <v>1015</v>
      </c>
      <c r="K179" s="117">
        <f t="shared" si="143"/>
        <v>0.9568517129</v>
      </c>
      <c r="L179" s="115">
        <f t="shared" si="144"/>
        <v>22508.52941</v>
      </c>
      <c r="M179" s="115">
        <v>49990.0</v>
      </c>
      <c r="N179" s="115">
        <v>39990.0</v>
      </c>
      <c r="O179" s="115">
        <f t="shared" ref="O179:P179" si="145">M179/1.19*0.7</f>
        <v>29405.88235</v>
      </c>
      <c r="P179" s="115">
        <f t="shared" si="145"/>
        <v>23523.52941</v>
      </c>
      <c r="Q179" s="3" t="str">
        <f t="shared" si="146"/>
        <v>1549546168927</v>
      </c>
      <c r="R179" s="167">
        <f t="shared" si="147"/>
        <v>26</v>
      </c>
    </row>
    <row r="180" ht="14.25" customHeight="1">
      <c r="H180" s="3" t="s">
        <v>1978</v>
      </c>
      <c r="I180" s="3" t="str">
        <f t="shared" si="141"/>
        <v>Cargador Smartwatch SW88</v>
      </c>
      <c r="J180" s="124">
        <f t="shared" si="142"/>
        <v>2.6</v>
      </c>
      <c r="K180" s="117">
        <f t="shared" si="143"/>
        <v>0.9998894724</v>
      </c>
      <c r="L180" s="115">
        <f t="shared" si="144"/>
        <v>23520.92941</v>
      </c>
      <c r="M180" s="115">
        <v>49990.0</v>
      </c>
      <c r="N180" s="115">
        <v>39990.0</v>
      </c>
      <c r="O180" s="115">
        <f t="shared" ref="O180:P180" si="148">M180/1.19*0.7</f>
        <v>29405.88235</v>
      </c>
      <c r="P180" s="115">
        <f t="shared" si="148"/>
        <v>23523.52941</v>
      </c>
      <c r="Q180" s="3" t="str">
        <f t="shared" si="146"/>
        <v>1605820909877</v>
      </c>
      <c r="R180" s="167">
        <f t="shared" si="147"/>
        <v>1</v>
      </c>
    </row>
    <row r="181" ht="14.25" customHeight="1">
      <c r="H181" s="3" t="s">
        <v>1978</v>
      </c>
      <c r="I181" s="3" t="str">
        <f t="shared" si="141"/>
        <v>Cargador Smartwatch RD9</v>
      </c>
      <c r="J181" s="124">
        <f t="shared" si="142"/>
        <v>1013</v>
      </c>
      <c r="K181" s="117">
        <f t="shared" si="143"/>
        <v>0.9569367342</v>
      </c>
      <c r="L181" s="115">
        <f t="shared" si="144"/>
        <v>22510.52941</v>
      </c>
      <c r="M181" s="115">
        <v>49990.0</v>
      </c>
      <c r="N181" s="115">
        <v>39990.0</v>
      </c>
      <c r="O181" s="115">
        <f t="shared" ref="O181:P181" si="149">M181/1.19*0.7</f>
        <v>29405.88235</v>
      </c>
      <c r="P181" s="115">
        <f t="shared" si="149"/>
        <v>23523.52941</v>
      </c>
      <c r="Q181" s="3" t="str">
        <f t="shared" si="146"/>
        <v>1612801611908</v>
      </c>
      <c r="R181" s="167">
        <f t="shared" si="147"/>
        <v>12</v>
      </c>
    </row>
    <row r="182" ht="14.25" customHeight="1">
      <c r="H182" s="3" t="s">
        <v>1979</v>
      </c>
      <c r="I182" s="3" t="str">
        <f t="shared" si="141"/>
        <v>Cargador Smartwatch RD7</v>
      </c>
      <c r="J182" s="124">
        <f t="shared" si="142"/>
        <v>314.5</v>
      </c>
      <c r="K182" s="117">
        <f t="shared" si="143"/>
        <v>0.9933160395</v>
      </c>
      <c r="L182" s="115">
        <f t="shared" si="144"/>
        <v>46738.44118</v>
      </c>
      <c r="M182" s="115">
        <v>99990.0</v>
      </c>
      <c r="N182" s="115">
        <v>79990.0</v>
      </c>
      <c r="O182" s="115">
        <f t="shared" ref="O182:P182" si="150">M182/1.19*0.7</f>
        <v>58817.64706</v>
      </c>
      <c r="P182" s="115">
        <f t="shared" si="150"/>
        <v>47052.94118</v>
      </c>
      <c r="Q182" s="3" t="str">
        <f t="shared" si="146"/>
        <v>1601323542043</v>
      </c>
      <c r="R182" s="167">
        <f t="shared" si="147"/>
        <v>8</v>
      </c>
    </row>
    <row r="183" ht="14.25" customHeight="1">
      <c r="H183" s="3" t="s">
        <v>1979</v>
      </c>
      <c r="I183" s="3" t="str">
        <f t="shared" si="141"/>
        <v>car clearer</v>
      </c>
      <c r="J183" s="124">
        <f t="shared" si="142"/>
        <v>24200</v>
      </c>
      <c r="K183" s="117">
        <f t="shared" si="143"/>
        <v>0.4856857107</v>
      </c>
      <c r="L183" s="115">
        <f t="shared" si="144"/>
        <v>22852.94118</v>
      </c>
      <c r="M183" s="115">
        <v>99990.0</v>
      </c>
      <c r="N183" s="115">
        <v>79990.0</v>
      </c>
      <c r="O183" s="115">
        <f t="shared" ref="O183:P183" si="151">M183/1.19*0.7</f>
        <v>58817.64706</v>
      </c>
      <c r="P183" s="115">
        <f t="shared" si="151"/>
        <v>47052.94118</v>
      </c>
      <c r="Q183" s="3" t="str">
        <f t="shared" si="146"/>
        <v>1630371162211</v>
      </c>
      <c r="R183" s="167">
        <f t="shared" si="147"/>
        <v>1</v>
      </c>
    </row>
    <row r="184" ht="14.25" customHeight="1">
      <c r="H184" s="3" t="s">
        <v>1979</v>
      </c>
      <c r="I184" s="3" t="str">
        <f t="shared" si="141"/>
        <v>Cámara Deportiva 4k H1 Video Con Accesorios</v>
      </c>
      <c r="J184" s="124">
        <f t="shared" si="142"/>
        <v>17422.4</v>
      </c>
      <c r="K184" s="117">
        <f t="shared" si="143"/>
        <v>0.629727716</v>
      </c>
      <c r="L184" s="115">
        <f t="shared" si="144"/>
        <v>29630.54118</v>
      </c>
      <c r="M184" s="115">
        <v>99990.0</v>
      </c>
      <c r="N184" s="115">
        <v>79990.0</v>
      </c>
      <c r="O184" s="115">
        <f t="shared" ref="O184:P184" si="152">M184/1.19*0.7</f>
        <v>58817.64706</v>
      </c>
      <c r="P184" s="115">
        <f t="shared" si="152"/>
        <v>47052.94118</v>
      </c>
      <c r="Q184" s="3" t="str">
        <f t="shared" si="146"/>
        <v>1496183099853</v>
      </c>
      <c r="R184" s="167">
        <f t="shared" si="147"/>
        <v>129</v>
      </c>
    </row>
    <row r="185" ht="14.25" customHeight="1">
      <c r="H185" s="3" t="s">
        <v>1982</v>
      </c>
      <c r="I185" s="3" t="str">
        <f t="shared" si="141"/>
        <v>Camara de Accion HD 4K</v>
      </c>
      <c r="J185" s="124">
        <f t="shared" si="142"/>
        <v>33581.9</v>
      </c>
      <c r="K185" s="117">
        <f t="shared" si="143"/>
        <v>0.0483542257</v>
      </c>
      <c r="L185" s="115">
        <f t="shared" si="144"/>
        <v>1706.335294</v>
      </c>
      <c r="M185" s="115">
        <v>74990.0</v>
      </c>
      <c r="N185" s="115">
        <v>59990.0</v>
      </c>
      <c r="O185" s="115">
        <f t="shared" ref="O185:P185" si="153">M185/1.19*0.7</f>
        <v>44111.76471</v>
      </c>
      <c r="P185" s="115">
        <f t="shared" si="153"/>
        <v>35288.23529</v>
      </c>
      <c r="Q185" s="3" t="str">
        <f t="shared" si="146"/>
        <v>1640091153797</v>
      </c>
      <c r="R185" s="167">
        <f t="shared" si="147"/>
        <v>80</v>
      </c>
    </row>
    <row r="186" ht="14.25" customHeight="1">
      <c r="H186" s="3" t="s">
        <v>1982</v>
      </c>
      <c r="I186" s="3" t="str">
        <f t="shared" si="141"/>
        <v>Camara 4k H1 Plateada</v>
      </c>
      <c r="J186" s="124">
        <f t="shared" si="142"/>
        <v>15000</v>
      </c>
      <c r="K186" s="117">
        <f t="shared" si="143"/>
        <v>0.5749291549</v>
      </c>
      <c r="L186" s="115">
        <f t="shared" si="144"/>
        <v>20288.23529</v>
      </c>
      <c r="M186" s="115">
        <v>74990.0</v>
      </c>
      <c r="N186" s="115">
        <v>59990.0</v>
      </c>
      <c r="O186" s="115">
        <f t="shared" ref="O186:P186" si="154">M186/1.19*0.7</f>
        <v>44111.76471</v>
      </c>
      <c r="P186" s="115">
        <f t="shared" si="154"/>
        <v>35288.23529</v>
      </c>
      <c r="Q186" s="3" t="str">
        <f t="shared" si="146"/>
        <v>1641933886673</v>
      </c>
      <c r="R186" s="167">
        <f t="shared" si="147"/>
        <v>1</v>
      </c>
    </row>
    <row r="187" ht="14.25" customHeight="1">
      <c r="H187" s="3" t="s">
        <v>1982</v>
      </c>
      <c r="I187" s="3" t="str">
        <f t="shared" si="141"/>
        <v>Camara 4k H1 Azul</v>
      </c>
      <c r="J187" s="124">
        <f t="shared" si="142"/>
        <v>0</v>
      </c>
      <c r="K187" s="117">
        <f t="shared" si="143"/>
        <v>1</v>
      </c>
      <c r="L187" s="115">
        <f t="shared" si="144"/>
        <v>35288.23529</v>
      </c>
      <c r="M187" s="115">
        <v>74990.0</v>
      </c>
      <c r="N187" s="115">
        <v>59990.0</v>
      </c>
      <c r="O187" s="115">
        <f t="shared" ref="O187:P187" si="155">M187/1.19*0.7</f>
        <v>44111.76471</v>
      </c>
      <c r="P187" s="115">
        <f t="shared" si="155"/>
        <v>35288.23529</v>
      </c>
      <c r="Q187" s="3" t="str">
        <f t="shared" si="146"/>
        <v>1596549586882</v>
      </c>
      <c r="R187" s="167">
        <f t="shared" si="147"/>
        <v>1</v>
      </c>
    </row>
    <row r="188" ht="14.25" customHeight="1">
      <c r="H188" s="3" t="s">
        <v>1983</v>
      </c>
      <c r="I188" s="3" t="str">
        <f t="shared" si="141"/>
        <v>Caja colación</v>
      </c>
      <c r="J188" s="124">
        <f t="shared" si="142"/>
        <v>7263</v>
      </c>
      <c r="K188" s="117">
        <f t="shared" si="143"/>
        <v>0.7754664484</v>
      </c>
      <c r="L188" s="115">
        <f t="shared" si="144"/>
        <v>25084.05882</v>
      </c>
      <c r="M188" s="115">
        <v>69990.0</v>
      </c>
      <c r="N188" s="115">
        <v>54990.0</v>
      </c>
      <c r="O188" s="115">
        <f t="shared" ref="O188:P188" si="156">M188/1.19*0.7</f>
        <v>41170.58824</v>
      </c>
      <c r="P188" s="115">
        <f t="shared" si="156"/>
        <v>32347.05882</v>
      </c>
      <c r="Q188" s="3" t="str">
        <f t="shared" si="146"/>
        <v>1644258839009</v>
      </c>
      <c r="R188" s="167">
        <f t="shared" si="147"/>
        <v>1</v>
      </c>
      <c r="T188" s="168"/>
    </row>
    <row r="189" ht="14.25" customHeight="1">
      <c r="H189" s="3" t="s">
        <v>1983</v>
      </c>
      <c r="I189" s="3" t="str">
        <f t="shared" si="141"/>
        <v>Bowls Metalicos</v>
      </c>
      <c r="J189" s="124">
        <f t="shared" si="142"/>
        <v>3527</v>
      </c>
      <c r="K189" s="117">
        <f t="shared" si="143"/>
        <v>0.8909638116</v>
      </c>
      <c r="L189" s="115">
        <f t="shared" si="144"/>
        <v>28820.05882</v>
      </c>
      <c r="M189" s="115">
        <v>69990.0</v>
      </c>
      <c r="N189" s="115">
        <v>54990.0</v>
      </c>
      <c r="O189" s="115">
        <f t="shared" ref="O189:P189" si="157">M189/1.19*0.7</f>
        <v>41170.58824</v>
      </c>
      <c r="P189" s="115">
        <f t="shared" si="157"/>
        <v>32347.05882</v>
      </c>
      <c r="Q189" s="3" t="str">
        <f t="shared" si="146"/>
        <v>1644258822428</v>
      </c>
      <c r="R189" s="167">
        <f t="shared" si="147"/>
        <v>1</v>
      </c>
    </row>
    <row r="190" ht="14.25" customHeight="1">
      <c r="H190" s="3" t="s">
        <v>1983</v>
      </c>
      <c r="I190" s="3" t="str">
        <f t="shared" si="141"/>
        <v>Bowl con tapa de vidrio</v>
      </c>
      <c r="J190" s="124">
        <f t="shared" si="142"/>
        <v>5460</v>
      </c>
      <c r="K190" s="117">
        <f t="shared" si="143"/>
        <v>0.8312056738</v>
      </c>
      <c r="L190" s="115">
        <f t="shared" si="144"/>
        <v>26887.05882</v>
      </c>
      <c r="M190" s="115">
        <v>69990.0</v>
      </c>
      <c r="N190" s="115">
        <v>54990.0</v>
      </c>
      <c r="O190" s="115">
        <f t="shared" ref="O190:P190" si="158">M190/1.19*0.7</f>
        <v>41170.58824</v>
      </c>
      <c r="P190" s="115">
        <f t="shared" si="158"/>
        <v>32347.05882</v>
      </c>
      <c r="Q190" s="3" t="str">
        <f t="shared" si="146"/>
        <v>1644259102328</v>
      </c>
      <c r="R190" s="167">
        <f t="shared" si="147"/>
        <v>1</v>
      </c>
    </row>
    <row r="191" ht="14.25" customHeight="1">
      <c r="H191" s="3" t="s">
        <v>1983</v>
      </c>
      <c r="I191" s="3" t="str">
        <f t="shared" si="141"/>
        <v>Bowl con tapa de ceramica</v>
      </c>
      <c r="J191" s="124">
        <f t="shared" si="142"/>
        <v>2785</v>
      </c>
      <c r="K191" s="117">
        <f t="shared" si="143"/>
        <v>0.9139025277</v>
      </c>
      <c r="L191" s="115">
        <f t="shared" si="144"/>
        <v>29562.05882</v>
      </c>
      <c r="M191" s="115">
        <v>69990.0</v>
      </c>
      <c r="N191" s="115">
        <v>54990.0</v>
      </c>
      <c r="O191" s="115">
        <f t="shared" ref="O191:P191" si="159">M191/1.19*0.7</f>
        <v>41170.58824</v>
      </c>
      <c r="P191" s="115">
        <f t="shared" si="159"/>
        <v>32347.05882</v>
      </c>
      <c r="Q191" s="3" t="str">
        <f t="shared" si="146"/>
        <v>1644259088244</v>
      </c>
      <c r="R191" s="167">
        <f t="shared" si="147"/>
        <v>1</v>
      </c>
    </row>
    <row r="192" ht="14.25" customHeight="1">
      <c r="M192" s="115"/>
      <c r="N192" s="115"/>
      <c r="O192" s="115"/>
    </row>
    <row r="193" ht="14.25" customHeight="1">
      <c r="J193" s="124"/>
      <c r="K193" s="117"/>
      <c r="L193" s="115"/>
      <c r="M193" s="115"/>
      <c r="N193" s="115"/>
      <c r="O193" s="115"/>
      <c r="P193" s="115"/>
    </row>
    <row r="194" ht="14.25" customHeight="1">
      <c r="J194" s="124"/>
      <c r="K194" s="117"/>
      <c r="L194" s="115"/>
      <c r="M194" s="115"/>
      <c r="N194" s="115"/>
      <c r="O194" s="115"/>
      <c r="P194" s="115"/>
    </row>
    <row r="195" ht="14.25" customHeight="1">
      <c r="J195" s="124"/>
      <c r="K195" s="117"/>
      <c r="L195" s="115"/>
      <c r="M195" s="115"/>
      <c r="N195" s="115"/>
      <c r="O195" s="115"/>
      <c r="P195" s="115"/>
    </row>
    <row r="196" ht="14.25" customHeight="1">
      <c r="J196" s="124"/>
      <c r="K196" s="117"/>
      <c r="L196" s="115"/>
      <c r="M196" s="115"/>
      <c r="N196" s="115"/>
      <c r="O196" s="115"/>
      <c r="P196" s="115"/>
    </row>
    <row r="197" ht="14.25" customHeight="1">
      <c r="J197" s="124"/>
      <c r="K197" s="117"/>
      <c r="L197" s="115"/>
      <c r="M197" s="115"/>
      <c r="N197" s="115"/>
      <c r="O197" s="115"/>
      <c r="P197" s="115"/>
    </row>
    <row r="198" ht="14.25" customHeight="1">
      <c r="J198" s="124"/>
      <c r="K198" s="117"/>
      <c r="L198" s="115"/>
      <c r="M198" s="115"/>
      <c r="N198" s="115"/>
      <c r="O198" s="115"/>
      <c r="P198" s="115"/>
    </row>
    <row r="199" ht="14.25" customHeight="1">
      <c r="M199" s="115"/>
      <c r="N199" s="115"/>
      <c r="O199" s="115"/>
    </row>
    <row r="200" ht="14.25" customHeight="1">
      <c r="M200" s="115"/>
      <c r="N200" s="115"/>
      <c r="O200" s="115"/>
    </row>
    <row r="201" ht="14.25" customHeight="1">
      <c r="M201" s="115"/>
      <c r="N201" s="115"/>
      <c r="O201" s="115"/>
    </row>
    <row r="202" ht="14.25" customHeight="1">
      <c r="M202" s="115"/>
      <c r="N202" s="115"/>
      <c r="O202" s="115"/>
    </row>
    <row r="203" ht="14.25" customHeight="1">
      <c r="M203" s="115"/>
      <c r="N203" s="115"/>
      <c r="O203" s="115"/>
    </row>
    <row r="204" ht="14.25" customHeight="1">
      <c r="M204" s="115"/>
      <c r="N204" s="115"/>
      <c r="O204" s="115"/>
    </row>
    <row r="205" ht="14.25" customHeight="1">
      <c r="M205" s="115"/>
      <c r="N205" s="115"/>
      <c r="O205" s="115"/>
    </row>
    <row r="206" ht="14.25" customHeight="1">
      <c r="M206" s="115"/>
      <c r="N206" s="115"/>
      <c r="O206" s="115"/>
    </row>
    <row r="207" ht="14.25" customHeight="1">
      <c r="M207" s="115"/>
      <c r="N207" s="115"/>
      <c r="O207" s="115"/>
    </row>
    <row r="208" ht="14.25" customHeight="1">
      <c r="M208" s="115"/>
      <c r="N208" s="115"/>
      <c r="O208" s="115"/>
    </row>
    <row r="209" ht="14.25" customHeight="1">
      <c r="M209" s="115"/>
      <c r="N209" s="115"/>
      <c r="O209" s="115"/>
    </row>
    <row r="210" ht="14.25" customHeight="1">
      <c r="M210" s="115"/>
      <c r="N210" s="115"/>
      <c r="O210" s="115"/>
    </row>
    <row r="211" ht="14.25" customHeight="1">
      <c r="M211" s="115"/>
      <c r="N211" s="115"/>
      <c r="O211" s="115"/>
    </row>
    <row r="212" ht="14.25" customHeight="1">
      <c r="M212" s="115"/>
      <c r="N212" s="115"/>
      <c r="O212" s="115"/>
    </row>
    <row r="213" ht="14.25" customHeight="1">
      <c r="M213" s="115"/>
      <c r="N213" s="115"/>
      <c r="O213" s="115"/>
    </row>
    <row r="214" ht="14.25" customHeight="1">
      <c r="H214" s="3" t="s">
        <v>1966</v>
      </c>
      <c r="I214" s="3" t="str">
        <f t="shared" ref="I214:I217" si="161">B214</f>
        <v>Big Mug Tumbler 1118ml Verde</v>
      </c>
      <c r="J214" s="124">
        <f t="shared" ref="J214:J217" si="162">E214</f>
        <v>4073</v>
      </c>
      <c r="K214" s="117">
        <f t="shared" ref="K214:K217" si="163">1-(J214/P214)</f>
        <v>0.3068968969</v>
      </c>
      <c r="L214" s="115">
        <f t="shared" ref="L214:L217" si="164">P214-J214</f>
        <v>1803.470588</v>
      </c>
      <c r="M214" s="115">
        <v>14990.0</v>
      </c>
      <c r="N214" s="115">
        <v>9990.0</v>
      </c>
      <c r="O214" s="115">
        <f t="shared" ref="O214:P214" si="160">M214/1.19*0.7</f>
        <v>8817.647059</v>
      </c>
      <c r="P214" s="115">
        <f t="shared" si="160"/>
        <v>5876.470588</v>
      </c>
      <c r="Q214" s="3" t="str">
        <f t="shared" ref="Q214:Q217" si="166">C214</f>
        <v>LHBIGMU-GR</v>
      </c>
      <c r="R214" s="167">
        <f t="shared" ref="R214:R217" si="167">VLOOKUP(Q214,$C$4:$D$1048576,2,0)</f>
        <v>87</v>
      </c>
    </row>
    <row r="215" ht="14.25" customHeight="1">
      <c r="H215" s="3" t="s">
        <v>1966</v>
      </c>
      <c r="I215" s="3" t="str">
        <f t="shared" si="161"/>
        <v>Big Mug Tumbler 1118ml Rosado</v>
      </c>
      <c r="J215" s="124">
        <f t="shared" si="162"/>
        <v>4073</v>
      </c>
      <c r="K215" s="117">
        <f t="shared" si="163"/>
        <v>0.3068968969</v>
      </c>
      <c r="L215" s="115">
        <f t="shared" si="164"/>
        <v>1803.470588</v>
      </c>
      <c r="M215" s="115">
        <v>14990.0</v>
      </c>
      <c r="N215" s="115">
        <v>9990.0</v>
      </c>
      <c r="O215" s="115">
        <f t="shared" ref="O215:P215" si="165">M215/1.19*0.7</f>
        <v>8817.647059</v>
      </c>
      <c r="P215" s="115">
        <f t="shared" si="165"/>
        <v>5876.470588</v>
      </c>
      <c r="Q215" s="3" t="str">
        <f t="shared" si="166"/>
        <v>LHBIGMU-PK</v>
      </c>
      <c r="R215" s="167">
        <f t="shared" si="167"/>
        <v>87</v>
      </c>
    </row>
    <row r="216" ht="14.25" customHeight="1">
      <c r="H216" s="3" t="s">
        <v>1966</v>
      </c>
      <c r="I216" s="3" t="str">
        <f t="shared" si="161"/>
        <v>Big Mug Tumbler 1118ml Negro</v>
      </c>
      <c r="J216" s="124">
        <f t="shared" si="162"/>
        <v>4073</v>
      </c>
      <c r="K216" s="117">
        <f t="shared" si="163"/>
        <v>0.3068968969</v>
      </c>
      <c r="L216" s="115">
        <f t="shared" si="164"/>
        <v>1803.470588</v>
      </c>
      <c r="M216" s="115">
        <v>14990.0</v>
      </c>
      <c r="N216" s="115">
        <v>9990.0</v>
      </c>
      <c r="O216" s="115">
        <f t="shared" ref="O216:P216" si="168">M216/1.19*0.7</f>
        <v>8817.647059</v>
      </c>
      <c r="P216" s="115">
        <f t="shared" si="168"/>
        <v>5876.470588</v>
      </c>
      <c r="Q216" s="3" t="str">
        <f t="shared" si="166"/>
        <v>LHBIGMU-BK</v>
      </c>
      <c r="R216" s="167">
        <f t="shared" si="167"/>
        <v>92</v>
      </c>
    </row>
    <row r="217" ht="14.25" customHeight="1">
      <c r="H217" s="3" t="s">
        <v>1966</v>
      </c>
      <c r="I217" s="3" t="str">
        <f t="shared" si="161"/>
        <v>Big Mug Tumbler 1118ml Celeste</v>
      </c>
      <c r="J217" s="124">
        <f t="shared" si="162"/>
        <v>4073</v>
      </c>
      <c r="K217" s="117">
        <f t="shared" si="163"/>
        <v>0.3068968969</v>
      </c>
      <c r="L217" s="115">
        <f t="shared" si="164"/>
        <v>1803.470588</v>
      </c>
      <c r="M217" s="115">
        <v>14990.0</v>
      </c>
      <c r="N217" s="115">
        <v>9990.0</v>
      </c>
      <c r="O217" s="115">
        <f t="shared" ref="O217:P217" si="169">M217/1.19*0.7</f>
        <v>8817.647059</v>
      </c>
      <c r="P217" s="115">
        <f t="shared" si="169"/>
        <v>5876.470588</v>
      </c>
      <c r="Q217" s="3" t="str">
        <f t="shared" si="166"/>
        <v>LHBIGMU-BL</v>
      </c>
      <c r="R217" s="167">
        <f t="shared" si="167"/>
        <v>93</v>
      </c>
    </row>
    <row r="218" ht="14.25" customHeight="1">
      <c r="M218" s="115"/>
      <c r="N218" s="115"/>
      <c r="O218" s="115"/>
    </row>
    <row r="219" ht="14.25" customHeight="1">
      <c r="H219" s="3" t="s">
        <v>1971</v>
      </c>
      <c r="I219" s="3" t="str">
        <f t="shared" ref="I219:I224" si="171">B219</f>
        <v>Bicicleta Estatica Lhotse</v>
      </c>
      <c r="J219" s="124">
        <f t="shared" ref="J219:J224" si="172">E219</f>
        <v>65912</v>
      </c>
      <c r="K219" s="117">
        <f t="shared" ref="K219:K224" si="173">1-(J219/P219)</f>
        <v>-4.605322661</v>
      </c>
      <c r="L219" s="115">
        <f t="shared" ref="L219:L224" si="174">P219-J219</f>
        <v>-54153.17647</v>
      </c>
      <c r="M219" s="115">
        <v>29990.0</v>
      </c>
      <c r="N219" s="115">
        <v>19990.0</v>
      </c>
      <c r="O219" s="115">
        <f t="shared" ref="O219:P219" si="170">M219/1.19*0.7</f>
        <v>17641.17647</v>
      </c>
      <c r="P219" s="115">
        <f t="shared" si="170"/>
        <v>11758.82353</v>
      </c>
      <c r="Q219" s="3" t="str">
        <f t="shared" ref="Q219:Q224" si="176">C219</f>
        <v>1638799019582</v>
      </c>
      <c r="R219" s="167">
        <f t="shared" ref="R219:R224" si="177">VLOOKUP(Q219,$C$4:$D$1048576,2,0)</f>
        <v>3</v>
      </c>
    </row>
    <row r="220" ht="14.25" customHeight="1">
      <c r="H220" s="3" t="s">
        <v>1971</v>
      </c>
      <c r="I220" s="3" t="str">
        <f t="shared" si="171"/>
        <v>Barra Glory 550</v>
      </c>
      <c r="J220" s="124">
        <f t="shared" si="172"/>
        <v>36357</v>
      </c>
      <c r="K220" s="117">
        <f t="shared" si="173"/>
        <v>-2.091890945</v>
      </c>
      <c r="L220" s="115">
        <f t="shared" si="174"/>
        <v>-24598.17647</v>
      </c>
      <c r="M220" s="115">
        <v>29990.0</v>
      </c>
      <c r="N220" s="115">
        <v>19990.0</v>
      </c>
      <c r="O220" s="115">
        <f t="shared" ref="O220:P220" si="175">M220/1.19*0.7</f>
        <v>17641.17647</v>
      </c>
      <c r="P220" s="115">
        <f t="shared" si="175"/>
        <v>11758.82353</v>
      </c>
      <c r="Q220" s="3" t="str">
        <f t="shared" si="176"/>
        <v>1650478249084</v>
      </c>
      <c r="R220" s="167">
        <f t="shared" si="177"/>
        <v>1</v>
      </c>
    </row>
    <row r="221" ht="14.25" customHeight="1">
      <c r="H221" s="3" t="s">
        <v>1971</v>
      </c>
      <c r="I221" s="3" t="str">
        <f t="shared" si="171"/>
        <v>Banano negro</v>
      </c>
      <c r="J221" s="124">
        <f t="shared" si="172"/>
        <v>5294</v>
      </c>
      <c r="K221" s="117">
        <f t="shared" si="173"/>
        <v>0.5497848924</v>
      </c>
      <c r="L221" s="115">
        <f t="shared" si="174"/>
        <v>6464.823529</v>
      </c>
      <c r="M221" s="115">
        <v>29990.0</v>
      </c>
      <c r="N221" s="115">
        <v>19990.0</v>
      </c>
      <c r="O221" s="115">
        <f t="shared" ref="O221:P221" si="178">M221/1.19*0.7</f>
        <v>17641.17647</v>
      </c>
      <c r="P221" s="115">
        <f t="shared" si="178"/>
        <v>11758.82353</v>
      </c>
      <c r="Q221" s="3" t="str">
        <f t="shared" si="176"/>
        <v>1650478301588</v>
      </c>
      <c r="R221" s="167">
        <f t="shared" si="177"/>
        <v>1</v>
      </c>
    </row>
    <row r="222" ht="14.25" customHeight="1">
      <c r="H222" s="3" t="s">
        <v>1971</v>
      </c>
      <c r="I222" s="3" t="str">
        <f t="shared" si="171"/>
        <v>Banano Impermeable Negro</v>
      </c>
      <c r="J222" s="124">
        <f t="shared" si="172"/>
        <v>2248.4</v>
      </c>
      <c r="K222" s="117">
        <f t="shared" si="173"/>
        <v>0.8087903952</v>
      </c>
      <c r="L222" s="115">
        <f t="shared" si="174"/>
        <v>9510.423529</v>
      </c>
      <c r="M222" s="115">
        <v>29990.0</v>
      </c>
      <c r="N222" s="115">
        <v>19990.0</v>
      </c>
      <c r="O222" s="115">
        <f t="shared" ref="O222:P222" si="179">M222/1.19*0.7</f>
        <v>17641.17647</v>
      </c>
      <c r="P222" s="115">
        <f t="shared" si="179"/>
        <v>11758.82353</v>
      </c>
      <c r="Q222" s="3" t="str">
        <f t="shared" si="176"/>
        <v>1623703942966</v>
      </c>
      <c r="R222" s="167">
        <f t="shared" si="177"/>
        <v>95</v>
      </c>
    </row>
    <row r="223" ht="14.25" customHeight="1">
      <c r="H223" s="3" t="s">
        <v>16708</v>
      </c>
      <c r="I223" s="3" t="str">
        <f t="shared" si="171"/>
        <v>Audífonos RM7 Pro Inalámbrico Rosado</v>
      </c>
      <c r="J223" s="124">
        <f t="shared" si="172"/>
        <v>5705.2</v>
      </c>
      <c r="K223" s="117">
        <f t="shared" si="173"/>
        <v>0.4291442025</v>
      </c>
      <c r="L223" s="115">
        <f t="shared" si="174"/>
        <v>4288.917647</v>
      </c>
      <c r="M223" s="115">
        <v>24990.0</v>
      </c>
      <c r="N223" s="115">
        <v>16990.0</v>
      </c>
      <c r="O223" s="115">
        <f t="shared" ref="O223:P223" si="180">M223/1.19*0.7</f>
        <v>14700</v>
      </c>
      <c r="P223" s="115">
        <f t="shared" si="180"/>
        <v>9994.117647</v>
      </c>
      <c r="Q223" s="3" t="str">
        <f t="shared" si="176"/>
        <v>68658866289861</v>
      </c>
      <c r="R223" s="167">
        <f t="shared" si="177"/>
        <v>2190</v>
      </c>
    </row>
    <row r="224" ht="14.25" customHeight="1">
      <c r="H224" s="3" t="s">
        <v>16708</v>
      </c>
      <c r="I224" s="3" t="str">
        <f t="shared" si="171"/>
        <v>Audífonos RM7 Pro Inalámbrico Celeste</v>
      </c>
      <c r="J224" s="124">
        <f t="shared" si="172"/>
        <v>5686.7</v>
      </c>
      <c r="K224" s="117">
        <f t="shared" si="173"/>
        <v>0.4309952913</v>
      </c>
      <c r="L224" s="115">
        <f t="shared" si="174"/>
        <v>4307.417647</v>
      </c>
      <c r="M224" s="115">
        <v>24990.0</v>
      </c>
      <c r="N224" s="115">
        <v>16990.0</v>
      </c>
      <c r="O224" s="115">
        <f t="shared" ref="O224:P224" si="181">M224/1.19*0.7</f>
        <v>14700</v>
      </c>
      <c r="P224" s="115">
        <f t="shared" si="181"/>
        <v>9994.117647</v>
      </c>
      <c r="Q224" s="3" t="str">
        <f t="shared" si="176"/>
        <v>68658868763602</v>
      </c>
      <c r="R224" s="167">
        <f t="shared" si="177"/>
        <v>2290</v>
      </c>
    </row>
    <row r="225" ht="14.25" customHeight="1">
      <c r="M225" s="115"/>
      <c r="N225" s="115"/>
      <c r="O225" s="115"/>
    </row>
    <row r="226" ht="14.25" customHeight="1">
      <c r="M226" s="115"/>
      <c r="N226" s="115"/>
      <c r="O226" s="115"/>
    </row>
    <row r="227" ht="14.25" customHeight="1">
      <c r="M227" s="115"/>
      <c r="N227" s="115"/>
      <c r="O227" s="115"/>
    </row>
    <row r="228" ht="14.25" customHeight="1">
      <c r="M228" s="115"/>
      <c r="N228" s="115"/>
      <c r="O228" s="115"/>
    </row>
    <row r="229" ht="14.25" customHeight="1">
      <c r="M229" s="115"/>
      <c r="N229" s="115"/>
      <c r="O229" s="115"/>
    </row>
    <row r="230" ht="14.25" customHeight="1">
      <c r="M230" s="115"/>
      <c r="N230" s="115"/>
      <c r="O230" s="115"/>
    </row>
    <row r="231" ht="14.25" customHeight="1">
      <c r="M231" s="115"/>
      <c r="N231" s="115"/>
      <c r="O231" s="115"/>
    </row>
    <row r="232" ht="14.25" customHeight="1">
      <c r="M232" s="115"/>
      <c r="N232" s="115"/>
      <c r="O232" s="115"/>
    </row>
    <row r="233" ht="14.25" customHeight="1">
      <c r="M233" s="115"/>
      <c r="N233" s="115"/>
      <c r="O233" s="115"/>
    </row>
    <row r="234" ht="14.25" customHeight="1">
      <c r="M234" s="115"/>
      <c r="N234" s="115"/>
      <c r="O234" s="115"/>
    </row>
    <row r="235" ht="14.25" customHeight="1">
      <c r="H235" s="3" t="s">
        <v>1955</v>
      </c>
      <c r="I235" s="3" t="str">
        <f t="shared" ref="I235:I239" si="183">B235</f>
        <v>Audifono gamer headphone inalambrico</v>
      </c>
      <c r="J235" s="124">
        <f t="shared" ref="J235:J239" si="184">E235</f>
        <v>27107</v>
      </c>
      <c r="K235" s="117">
        <f t="shared" ref="K235:K239" si="185">1-(J235/P235)</f>
        <v>-4.125906563</v>
      </c>
      <c r="L235" s="115">
        <f t="shared" ref="L235:L239" si="186">P235-J235</f>
        <v>-21818.76471</v>
      </c>
      <c r="M235" s="115">
        <v>16990.0</v>
      </c>
      <c r="N235" s="115">
        <v>8990.0</v>
      </c>
      <c r="O235" s="115">
        <f t="shared" ref="O235:P235" si="182">M235/1.19*0.7</f>
        <v>9994.117647</v>
      </c>
      <c r="P235" s="115">
        <f t="shared" si="182"/>
        <v>5288.235294</v>
      </c>
      <c r="Q235" s="3" t="str">
        <f t="shared" ref="Q235:Q239" si="188">C235</f>
        <v>1650478021227</v>
      </c>
      <c r="R235" s="167">
        <f t="shared" ref="R235:R239" si="189">VLOOKUP(Q235,$C$4:$D$1048576,2,0)</f>
        <v>1</v>
      </c>
    </row>
    <row r="236" ht="14.25" customHeight="1">
      <c r="H236" s="3" t="s">
        <v>1955</v>
      </c>
      <c r="I236" s="3" t="str">
        <f t="shared" si="183"/>
        <v>Audifono gamer headphone cable</v>
      </c>
      <c r="J236" s="124">
        <f t="shared" si="184"/>
        <v>6035</v>
      </c>
      <c r="K236" s="117">
        <f t="shared" si="185"/>
        <v>-0.1412124583</v>
      </c>
      <c r="L236" s="115">
        <f t="shared" si="186"/>
        <v>-746.7647059</v>
      </c>
      <c r="M236" s="115">
        <v>16990.0</v>
      </c>
      <c r="N236" s="115">
        <v>8990.0</v>
      </c>
      <c r="O236" s="115">
        <f t="shared" ref="O236:P236" si="187">M236/1.19*0.7</f>
        <v>9994.117647</v>
      </c>
      <c r="P236" s="115">
        <f t="shared" si="187"/>
        <v>5288.235294</v>
      </c>
      <c r="Q236" s="3" t="str">
        <f t="shared" si="188"/>
        <v>1650478008436</v>
      </c>
      <c r="R236" s="167">
        <f t="shared" si="189"/>
        <v>1</v>
      </c>
    </row>
    <row r="237" ht="14.25" customHeight="1">
      <c r="H237" s="3" t="s">
        <v>1955</v>
      </c>
      <c r="I237" s="3" t="str">
        <f t="shared" si="183"/>
        <v>Audifono gamer earphone micro</v>
      </c>
      <c r="J237" s="124">
        <f t="shared" si="184"/>
        <v>5824</v>
      </c>
      <c r="K237" s="117">
        <f t="shared" si="185"/>
        <v>-0.1013125695</v>
      </c>
      <c r="L237" s="115">
        <f t="shared" si="186"/>
        <v>-535.7647059</v>
      </c>
      <c r="M237" s="115">
        <v>16990.0</v>
      </c>
      <c r="N237" s="115">
        <v>8990.0</v>
      </c>
      <c r="O237" s="115">
        <f t="shared" ref="O237:P237" si="190">M237/1.19*0.7</f>
        <v>9994.117647</v>
      </c>
      <c r="P237" s="115">
        <f t="shared" si="190"/>
        <v>5288.235294</v>
      </c>
      <c r="Q237" s="3" t="str">
        <f t="shared" si="188"/>
        <v>1650478034510</v>
      </c>
      <c r="R237" s="167">
        <f t="shared" si="189"/>
        <v>1</v>
      </c>
    </row>
    <row r="238" ht="14.25" customHeight="1">
      <c r="H238" s="3" t="s">
        <v>1955</v>
      </c>
      <c r="I238" s="3" t="str">
        <f t="shared" si="183"/>
        <v>Almohadillas de asientos 21TP0402PI</v>
      </c>
      <c r="J238" s="124">
        <f t="shared" si="184"/>
        <v>8560</v>
      </c>
      <c r="K238" s="117">
        <f t="shared" si="185"/>
        <v>-0.6186874305</v>
      </c>
      <c r="L238" s="115">
        <f t="shared" si="186"/>
        <v>-3271.764706</v>
      </c>
      <c r="M238" s="115">
        <v>16990.0</v>
      </c>
      <c r="N238" s="115">
        <v>8990.0</v>
      </c>
      <c r="O238" s="115">
        <f t="shared" ref="O238:P238" si="191">M238/1.19*0.7</f>
        <v>9994.117647</v>
      </c>
      <c r="P238" s="115">
        <f t="shared" si="191"/>
        <v>5288.235294</v>
      </c>
      <c r="Q238" s="3" t="str">
        <f t="shared" si="188"/>
        <v>1621436109437</v>
      </c>
      <c r="R238" s="167">
        <f t="shared" si="189"/>
        <v>3</v>
      </c>
    </row>
    <row r="239" ht="14.25" customHeight="1">
      <c r="H239" s="3" t="s">
        <v>1955</v>
      </c>
      <c r="I239" s="3" t="str">
        <f t="shared" si="183"/>
        <v>Almohadillas Asiento</v>
      </c>
      <c r="J239" s="124">
        <f t="shared" si="184"/>
        <v>4000</v>
      </c>
      <c r="K239" s="117">
        <f t="shared" si="185"/>
        <v>0.2436040044</v>
      </c>
      <c r="L239" s="115">
        <f t="shared" si="186"/>
        <v>1288.235294</v>
      </c>
      <c r="M239" s="115">
        <v>16990.0</v>
      </c>
      <c r="N239" s="115">
        <v>8990.0</v>
      </c>
      <c r="O239" s="115">
        <f t="shared" ref="O239:P239" si="192">M239/1.19*0.7</f>
        <v>9994.117647</v>
      </c>
      <c r="P239" s="115">
        <f t="shared" si="192"/>
        <v>5288.235294</v>
      </c>
      <c r="Q239" s="3" t="str">
        <f t="shared" si="188"/>
        <v>1628801818864</v>
      </c>
      <c r="R239" s="167">
        <f t="shared" si="189"/>
        <v>2</v>
      </c>
    </row>
    <row r="240" ht="14.25" customHeight="1">
      <c r="M240" s="115"/>
      <c r="N240" s="115"/>
      <c r="O240" s="115"/>
    </row>
    <row r="241" ht="14.25" customHeight="1">
      <c r="M241" s="115"/>
      <c r="N241" s="115"/>
      <c r="O241" s="115"/>
    </row>
    <row r="242" ht="14.25" customHeight="1">
      <c r="H242" s="3" t="s">
        <v>2067</v>
      </c>
      <c r="I242" s="3" t="str">
        <f t="shared" ref="I242:I255" si="194">B242</f>
        <v>Vaso termico con tapa y bombilla Negro</v>
      </c>
      <c r="J242" s="124">
        <f t="shared" ref="J242:J255" si="195">E242</f>
        <v>3342.2</v>
      </c>
      <c r="K242" s="117">
        <f t="shared" ref="K242:K255" si="196">1-(J242/P242)</f>
        <v>0.9562909455</v>
      </c>
      <c r="L242" s="115">
        <f t="shared" ref="L242:L255" si="197">P242-J242</f>
        <v>73122.50588</v>
      </c>
      <c r="M242" s="115">
        <v>149990.0</v>
      </c>
      <c r="N242" s="115">
        <v>129990.0</v>
      </c>
      <c r="O242" s="115">
        <f t="shared" ref="O242:P242" si="193">M242/1.19*0.7</f>
        <v>88229.41176</v>
      </c>
      <c r="P242" s="115">
        <f t="shared" si="193"/>
        <v>76464.70588</v>
      </c>
      <c r="Q242" s="3" t="str">
        <f t="shared" ref="Q242:Q255" si="199">C242</f>
        <v>67951425161311</v>
      </c>
      <c r="R242" s="167">
        <f t="shared" ref="R242:R255" si="200">VLOOKUP(Q242,$C$4:$D$1048576,2,0)</f>
        <v>181</v>
      </c>
    </row>
    <row r="243" ht="14.25" customHeight="1">
      <c r="H243" s="3" t="s">
        <v>2071</v>
      </c>
      <c r="I243" s="3" t="str">
        <f t="shared" si="194"/>
        <v>Vaso termico con tapa y bombilla Morado</v>
      </c>
      <c r="J243" s="124">
        <f t="shared" si="195"/>
        <v>3357.6</v>
      </c>
      <c r="K243" s="117">
        <f t="shared" si="196"/>
        <v>0.8858187638</v>
      </c>
      <c r="L243" s="115">
        <f t="shared" si="197"/>
        <v>26048.28235</v>
      </c>
      <c r="M243" s="115">
        <v>79990.0</v>
      </c>
      <c r="N243" s="115">
        <v>49990.0</v>
      </c>
      <c r="O243" s="115">
        <f t="shared" ref="O243:P243" si="198">M243/1.19*0.7</f>
        <v>47052.94118</v>
      </c>
      <c r="P243" s="115">
        <f t="shared" si="198"/>
        <v>29405.88235</v>
      </c>
      <c r="Q243" s="3" t="str">
        <f t="shared" si="199"/>
        <v>67951423489593</v>
      </c>
      <c r="R243" s="167">
        <f t="shared" si="200"/>
        <v>154</v>
      </c>
    </row>
    <row r="244" ht="14.25" customHeight="1">
      <c r="H244" s="3" t="s">
        <v>16739</v>
      </c>
      <c r="I244" s="3" t="str">
        <f t="shared" si="194"/>
        <v>Tupper acero inoxidable tapa Bamboo 800 ml</v>
      </c>
      <c r="J244" s="124">
        <f t="shared" si="195"/>
        <v>5255.5</v>
      </c>
      <c r="K244" s="117">
        <f t="shared" si="196"/>
        <v>0.9007184132</v>
      </c>
      <c r="L244" s="115">
        <f t="shared" si="197"/>
        <v>47679.79412</v>
      </c>
      <c r="M244" s="115">
        <v>129990.0</v>
      </c>
      <c r="N244" s="115">
        <v>89990.0</v>
      </c>
      <c r="O244" s="115">
        <f t="shared" ref="O244:P244" si="201">M244/1.19*0.7</f>
        <v>76464.70588</v>
      </c>
      <c r="P244" s="115">
        <f t="shared" si="201"/>
        <v>52935.29412</v>
      </c>
      <c r="Q244" s="3" t="str">
        <f t="shared" si="199"/>
        <v>1660859102915</v>
      </c>
      <c r="R244" s="167">
        <f t="shared" si="200"/>
        <v>285</v>
      </c>
    </row>
    <row r="245" ht="14.25" customHeight="1">
      <c r="H245" s="3" t="s">
        <v>2116</v>
      </c>
      <c r="I245" s="3" t="str">
        <f t="shared" si="194"/>
        <v>Termo Insulado 1 Lt Gris</v>
      </c>
      <c r="J245" s="124">
        <f t="shared" si="195"/>
        <v>8367</v>
      </c>
      <c r="K245" s="117">
        <f t="shared" si="196"/>
        <v>-0.09498845266</v>
      </c>
      <c r="L245" s="115">
        <f t="shared" si="197"/>
        <v>-725.8235294</v>
      </c>
      <c r="M245" s="115">
        <v>19990.0</v>
      </c>
      <c r="N245" s="115">
        <v>12990.0</v>
      </c>
      <c r="O245" s="115">
        <f t="shared" ref="O245:P245" si="202">M245/1.19*0.7</f>
        <v>11758.82353</v>
      </c>
      <c r="P245" s="115">
        <f t="shared" si="202"/>
        <v>7641.176471</v>
      </c>
      <c r="Q245" s="3" t="str">
        <f t="shared" si="199"/>
        <v>1660858235219</v>
      </c>
      <c r="R245" s="167">
        <f t="shared" si="200"/>
        <v>138</v>
      </c>
    </row>
    <row r="246" ht="14.25" customHeight="1">
      <c r="H246" s="3" t="s">
        <v>2120</v>
      </c>
      <c r="I246" s="3" t="str">
        <f t="shared" si="194"/>
        <v>Termo Insulado 1 Lt Blanco</v>
      </c>
      <c r="J246" s="124">
        <f t="shared" si="195"/>
        <v>8359</v>
      </c>
      <c r="K246" s="117">
        <f t="shared" si="196"/>
        <v>0.2101000556</v>
      </c>
      <c r="L246" s="115">
        <f t="shared" si="197"/>
        <v>2223.352941</v>
      </c>
      <c r="M246" s="115">
        <v>19990.0</v>
      </c>
      <c r="N246" s="115">
        <v>17990.0</v>
      </c>
      <c r="O246" s="115">
        <f t="shared" ref="O246:P246" si="203">M246/1.19*0.7</f>
        <v>11758.82353</v>
      </c>
      <c r="P246" s="115">
        <f t="shared" si="203"/>
        <v>10582.35294</v>
      </c>
      <c r="Q246" s="3" t="str">
        <f t="shared" si="199"/>
        <v>1660858266475</v>
      </c>
      <c r="R246" s="167">
        <f t="shared" si="200"/>
        <v>55</v>
      </c>
    </row>
    <row r="247" ht="14.25" customHeight="1">
      <c r="H247" s="3" t="s">
        <v>2118</v>
      </c>
      <c r="I247" s="3" t="str">
        <f t="shared" si="194"/>
        <v>Termo Comida 750 ml Simplit Rosado</v>
      </c>
      <c r="J247" s="124">
        <f t="shared" si="195"/>
        <v>6072.7</v>
      </c>
      <c r="K247" s="117">
        <f t="shared" si="196"/>
        <v>0.5868911565</v>
      </c>
      <c r="L247" s="115">
        <f t="shared" si="197"/>
        <v>8627.3</v>
      </c>
      <c r="M247" s="115">
        <v>29990.0</v>
      </c>
      <c r="N247" s="115">
        <v>24990.0</v>
      </c>
      <c r="O247" s="115">
        <f t="shared" ref="O247:P247" si="204">M247/1.19*0.7</f>
        <v>17641.17647</v>
      </c>
      <c r="P247" s="115">
        <f t="shared" si="204"/>
        <v>14700</v>
      </c>
      <c r="Q247" s="3" t="str">
        <f t="shared" si="199"/>
        <v>66800469437952</v>
      </c>
      <c r="R247" s="167">
        <f t="shared" si="200"/>
        <v>950</v>
      </c>
    </row>
    <row r="248" ht="14.25" customHeight="1">
      <c r="H248" s="3" t="s">
        <v>2122</v>
      </c>
      <c r="I248" s="3" t="str">
        <f t="shared" si="194"/>
        <v>Termo Comida 750 ml Simplit Negro</v>
      </c>
      <c r="J248" s="124">
        <f t="shared" si="195"/>
        <v>6284.6</v>
      </c>
      <c r="K248" s="117">
        <f t="shared" si="196"/>
        <v>0.4061245136</v>
      </c>
      <c r="L248" s="115">
        <f t="shared" si="197"/>
        <v>4297.752941</v>
      </c>
      <c r="M248" s="115">
        <v>21990.0</v>
      </c>
      <c r="N248" s="115">
        <v>17990.0</v>
      </c>
      <c r="O248" s="115">
        <f t="shared" ref="O248:P248" si="205">M248/1.19*0.7</f>
        <v>12935.29412</v>
      </c>
      <c r="P248" s="115">
        <f t="shared" si="205"/>
        <v>10582.35294</v>
      </c>
      <c r="Q248" s="3" t="str">
        <f t="shared" si="199"/>
        <v>66800471275549</v>
      </c>
      <c r="R248" s="167">
        <f t="shared" si="200"/>
        <v>972</v>
      </c>
    </row>
    <row r="249" ht="14.25" customHeight="1">
      <c r="H249" s="3" t="s">
        <v>2137</v>
      </c>
      <c r="I249" s="3" t="str">
        <f t="shared" si="194"/>
        <v>Termo Comida 750 ml Simplit Gris</v>
      </c>
      <c r="J249" s="124">
        <f t="shared" si="195"/>
        <v>6115.8</v>
      </c>
      <c r="K249" s="117">
        <f t="shared" si="196"/>
        <v>-0.04072672673</v>
      </c>
      <c r="L249" s="115">
        <f t="shared" si="197"/>
        <v>-239.3294118</v>
      </c>
      <c r="M249" s="115">
        <v>9990.0</v>
      </c>
      <c r="N249" s="115">
        <v>9990.0</v>
      </c>
      <c r="O249" s="115">
        <f t="shared" ref="O249:P249" si="206">M249/1.19*0.7</f>
        <v>5876.470588</v>
      </c>
      <c r="P249" s="115">
        <f t="shared" si="206"/>
        <v>5876.470588</v>
      </c>
      <c r="Q249" s="3" t="str">
        <f t="shared" si="199"/>
        <v>66800472805184</v>
      </c>
      <c r="R249" s="167">
        <f t="shared" si="200"/>
        <v>564</v>
      </c>
    </row>
    <row r="250" ht="14.25" customHeight="1">
      <c r="H250" s="3" t="s">
        <v>2137</v>
      </c>
      <c r="I250" s="3" t="str">
        <f t="shared" si="194"/>
        <v>Termo Comida 430ml Rosado</v>
      </c>
      <c r="J250" s="124">
        <f t="shared" si="195"/>
        <v>3888.4</v>
      </c>
      <c r="K250" s="117">
        <f t="shared" si="196"/>
        <v>0.3383103103</v>
      </c>
      <c r="L250" s="115">
        <f t="shared" si="197"/>
        <v>1988.070588</v>
      </c>
      <c r="M250" s="115">
        <v>9990.0</v>
      </c>
      <c r="N250" s="115">
        <v>9990.0</v>
      </c>
      <c r="O250" s="115">
        <f t="shared" ref="O250:P250" si="207">M250/1.19*0.7</f>
        <v>5876.470588</v>
      </c>
      <c r="P250" s="115">
        <f t="shared" si="207"/>
        <v>5876.470588</v>
      </c>
      <c r="Q250" s="3" t="str">
        <f t="shared" si="199"/>
        <v>68142275737629</v>
      </c>
      <c r="R250" s="167">
        <f t="shared" si="200"/>
        <v>851</v>
      </c>
    </row>
    <row r="251" ht="14.25" customHeight="1">
      <c r="H251" s="3" t="s">
        <v>2139</v>
      </c>
      <c r="I251" s="3" t="str">
        <f t="shared" si="194"/>
        <v>Termo Comida 430ml Negro</v>
      </c>
      <c r="J251" s="124">
        <f t="shared" si="195"/>
        <v>3818.9</v>
      </c>
      <c r="K251" s="117">
        <f t="shared" si="196"/>
        <v>0.1874680851</v>
      </c>
      <c r="L251" s="115">
        <f t="shared" si="197"/>
        <v>881.1</v>
      </c>
      <c r="M251" s="115">
        <v>7990.0</v>
      </c>
      <c r="N251" s="115">
        <v>7990.0</v>
      </c>
      <c r="O251" s="115">
        <f t="shared" ref="O251:P251" si="208">M251/1.19*0.7</f>
        <v>4700</v>
      </c>
      <c r="P251" s="115">
        <f t="shared" si="208"/>
        <v>4700</v>
      </c>
      <c r="Q251" s="3" t="str">
        <f t="shared" si="199"/>
        <v>68142280732690</v>
      </c>
      <c r="R251" s="167">
        <f t="shared" si="200"/>
        <v>875</v>
      </c>
    </row>
    <row r="252" ht="14.25" customHeight="1">
      <c r="H252" s="3" t="s">
        <v>2139</v>
      </c>
      <c r="I252" s="3" t="str">
        <f t="shared" si="194"/>
        <v>Termo Comida 430ml Azul</v>
      </c>
      <c r="J252" s="124">
        <f t="shared" si="195"/>
        <v>4048.7</v>
      </c>
      <c r="K252" s="117">
        <f t="shared" si="196"/>
        <v>0.1385744681</v>
      </c>
      <c r="L252" s="115">
        <f t="shared" si="197"/>
        <v>651.3</v>
      </c>
      <c r="M252" s="115">
        <v>7990.0</v>
      </c>
      <c r="N252" s="115">
        <v>7990.0</v>
      </c>
      <c r="O252" s="115">
        <f t="shared" ref="O252:P252" si="209">M252/1.19*0.7</f>
        <v>4700</v>
      </c>
      <c r="P252" s="115">
        <f t="shared" si="209"/>
        <v>4700</v>
      </c>
      <c r="Q252" s="3" t="str">
        <f t="shared" si="199"/>
        <v>68142278578308</v>
      </c>
      <c r="R252" s="167">
        <f t="shared" si="200"/>
        <v>867</v>
      </c>
    </row>
    <row r="253" ht="14.25" customHeight="1">
      <c r="H253" s="3" t="s">
        <v>2141</v>
      </c>
      <c r="I253" s="3" t="str">
        <f t="shared" si="194"/>
        <v>Taza Vidrio Doble Pared 350 ml</v>
      </c>
      <c r="J253" s="124">
        <f t="shared" si="195"/>
        <v>1898</v>
      </c>
      <c r="K253" s="117">
        <f t="shared" si="196"/>
        <v>0.538397711</v>
      </c>
      <c r="L253" s="115">
        <f t="shared" si="197"/>
        <v>2213.764706</v>
      </c>
      <c r="M253" s="115">
        <v>6990.0</v>
      </c>
      <c r="N253" s="115">
        <v>6990.0</v>
      </c>
      <c r="O253" s="115">
        <f t="shared" ref="O253:P253" si="210">M253/1.19*0.7</f>
        <v>4111.764706</v>
      </c>
      <c r="P253" s="115">
        <f t="shared" si="210"/>
        <v>4111.764706</v>
      </c>
      <c r="Q253" s="3" t="str">
        <f t="shared" si="199"/>
        <v>1654207307551</v>
      </c>
      <c r="R253" s="167">
        <f t="shared" si="200"/>
        <v>69</v>
      </c>
    </row>
    <row r="254" ht="14.25" customHeight="1">
      <c r="H254" s="3" t="s">
        <v>2141</v>
      </c>
      <c r="I254" s="3" t="str">
        <f t="shared" si="194"/>
        <v>Taza Mug Vidrio Doble Pared 300 ml</v>
      </c>
      <c r="J254" s="124">
        <f t="shared" si="195"/>
        <v>1876</v>
      </c>
      <c r="K254" s="117">
        <f t="shared" si="196"/>
        <v>0.5437482117</v>
      </c>
      <c r="L254" s="115">
        <f t="shared" si="197"/>
        <v>2235.764706</v>
      </c>
      <c r="M254" s="115">
        <v>6990.0</v>
      </c>
      <c r="N254" s="115">
        <v>6990.0</v>
      </c>
      <c r="O254" s="115">
        <f t="shared" ref="O254:P254" si="211">M254/1.19*0.7</f>
        <v>4111.764706</v>
      </c>
      <c r="P254" s="115">
        <f t="shared" si="211"/>
        <v>4111.764706</v>
      </c>
      <c r="Q254" s="3" t="str">
        <f t="shared" si="199"/>
        <v>1654207333519</v>
      </c>
      <c r="R254" s="167">
        <f t="shared" si="200"/>
        <v>55</v>
      </c>
    </row>
    <row r="255" ht="14.25" customHeight="1">
      <c r="H255" s="3" t="s">
        <v>1294</v>
      </c>
      <c r="I255" s="3" t="str">
        <f t="shared" si="194"/>
        <v>Tabla de corte Plegable 3 en 1</v>
      </c>
      <c r="J255" s="124">
        <f t="shared" si="195"/>
        <v>3321.5</v>
      </c>
      <c r="K255" s="117">
        <f t="shared" si="196"/>
        <v>0.4862101911</v>
      </c>
      <c r="L255" s="115">
        <f t="shared" si="197"/>
        <v>3143.205882</v>
      </c>
      <c r="M255" s="115">
        <v>14990.0</v>
      </c>
      <c r="N255" s="115">
        <v>10990.0</v>
      </c>
      <c r="O255" s="115">
        <f t="shared" ref="O255:P255" si="212">M255/1.19*0.7</f>
        <v>8817.647059</v>
      </c>
      <c r="P255" s="115">
        <f t="shared" si="212"/>
        <v>6464.705882</v>
      </c>
      <c r="Q255" s="3" t="str">
        <f t="shared" si="199"/>
        <v>1660857963520</v>
      </c>
      <c r="R255" s="167">
        <f t="shared" si="200"/>
        <v>252</v>
      </c>
    </row>
    <row r="256" ht="14.25" customHeight="1">
      <c r="J256" s="124"/>
      <c r="K256" s="117"/>
      <c r="L256" s="115"/>
      <c r="M256" s="115"/>
      <c r="N256" s="115"/>
      <c r="O256" s="115"/>
      <c r="P256" s="115"/>
    </row>
    <row r="257" ht="14.25" customHeight="1">
      <c r="H257" s="3" t="s">
        <v>2036</v>
      </c>
      <c r="I257" s="3" t="str">
        <f t="shared" ref="I257:I267" si="214">B257</f>
        <v>Set de utensilios de cocina Negro</v>
      </c>
      <c r="J257" s="124">
        <f t="shared" ref="J257:J267" si="215">E257</f>
        <v>6175.5</v>
      </c>
      <c r="K257" s="117">
        <f t="shared" ref="K257:K267" si="216">1-(J257/P257)</f>
        <v>-1.103877756</v>
      </c>
      <c r="L257" s="115">
        <f t="shared" ref="L257:L267" si="217">P257-J257</f>
        <v>-3240.205882</v>
      </c>
      <c r="M257" s="115">
        <v>8990.0</v>
      </c>
      <c r="N257" s="115">
        <v>4990.0</v>
      </c>
      <c r="O257" s="115">
        <f t="shared" ref="O257:P257" si="213">M257/1.19*0.7</f>
        <v>5288.235294</v>
      </c>
      <c r="P257" s="115">
        <f t="shared" si="213"/>
        <v>2935.294118</v>
      </c>
      <c r="Q257" s="3" t="str">
        <f t="shared" ref="Q257:Q267" si="219">C257</f>
        <v>1629726117626</v>
      </c>
      <c r="R257" s="167">
        <f t="shared" ref="R257:R267" si="220">VLOOKUP(Q257,$C$4:$D$1048576,2,0)</f>
        <v>676</v>
      </c>
    </row>
    <row r="258" ht="14.25" customHeight="1">
      <c r="H258" s="3" t="s">
        <v>1193</v>
      </c>
      <c r="I258" s="3" t="str">
        <f t="shared" si="214"/>
        <v>Set de utensilios de cocina Calipso</v>
      </c>
      <c r="J258" s="124">
        <f t="shared" si="215"/>
        <v>6175.7</v>
      </c>
      <c r="K258" s="117">
        <f t="shared" si="216"/>
        <v>-1.103945892</v>
      </c>
      <c r="L258" s="115">
        <f t="shared" si="217"/>
        <v>-3240.405882</v>
      </c>
      <c r="M258" s="115">
        <v>9990.0</v>
      </c>
      <c r="N258" s="115">
        <v>4990.0</v>
      </c>
      <c r="O258" s="115">
        <f t="shared" ref="O258:P258" si="218">M258/1.19*0.7</f>
        <v>5876.470588</v>
      </c>
      <c r="P258" s="115">
        <f t="shared" si="218"/>
        <v>2935.294118</v>
      </c>
      <c r="Q258" s="3" t="str">
        <f t="shared" si="219"/>
        <v>1629726091782</v>
      </c>
      <c r="R258" s="167">
        <f t="shared" si="220"/>
        <v>100</v>
      </c>
    </row>
    <row r="259" ht="14.25" customHeight="1">
      <c r="H259" s="3" t="s">
        <v>1194</v>
      </c>
      <c r="I259" s="3" t="str">
        <f t="shared" si="214"/>
        <v>Set de utensilios Calipso N2</v>
      </c>
      <c r="J259" s="124">
        <f t="shared" si="215"/>
        <v>6510.9</v>
      </c>
      <c r="K259" s="117">
        <f t="shared" si="216"/>
        <v>-1.218142285</v>
      </c>
      <c r="L259" s="115">
        <f t="shared" si="217"/>
        <v>-3575.605882</v>
      </c>
      <c r="M259" s="115">
        <v>8990.0</v>
      </c>
      <c r="N259" s="115">
        <v>4990.0</v>
      </c>
      <c r="O259" s="115">
        <f t="shared" ref="O259:P259" si="221">M259/1.19*0.7</f>
        <v>5288.235294</v>
      </c>
      <c r="P259" s="115">
        <f t="shared" si="221"/>
        <v>2935.294118</v>
      </c>
      <c r="Q259" s="3" t="str">
        <f t="shared" si="219"/>
        <v>1661894977439</v>
      </c>
      <c r="R259" s="167">
        <f t="shared" si="220"/>
        <v>4</v>
      </c>
    </row>
    <row r="260" ht="14.25" customHeight="1">
      <c r="H260" s="3" t="s">
        <v>1372</v>
      </c>
      <c r="I260" s="3" t="str">
        <f t="shared" si="214"/>
        <v>Set de Especiero 16 Unidades</v>
      </c>
      <c r="J260" s="124">
        <f t="shared" si="215"/>
        <v>5544.5</v>
      </c>
      <c r="K260" s="117">
        <f t="shared" si="216"/>
        <v>0.445223661</v>
      </c>
      <c r="L260" s="115">
        <f t="shared" si="217"/>
        <v>4449.617647</v>
      </c>
      <c r="M260" s="115">
        <v>19990.0</v>
      </c>
      <c r="N260" s="115">
        <v>16990.0</v>
      </c>
      <c r="O260" s="115">
        <f t="shared" ref="O260:P260" si="222">M260/1.19*0.7</f>
        <v>11758.82353</v>
      </c>
      <c r="P260" s="115">
        <f t="shared" si="222"/>
        <v>9994.117647</v>
      </c>
      <c r="Q260" s="3" t="str">
        <f t="shared" si="219"/>
        <v>1627418180602</v>
      </c>
      <c r="R260" s="167">
        <f t="shared" si="220"/>
        <v>622</v>
      </c>
    </row>
    <row r="261" ht="14.25" customHeight="1">
      <c r="H261" s="3" t="s">
        <v>2063</v>
      </c>
      <c r="I261" s="3" t="str">
        <f t="shared" si="214"/>
        <v>Set de 7 Contenedores Herméticos Plástico NEGROS Simplit</v>
      </c>
      <c r="J261" s="124">
        <f t="shared" si="215"/>
        <v>7308</v>
      </c>
      <c r="K261" s="117">
        <f t="shared" si="216"/>
        <v>0.7238586353</v>
      </c>
      <c r="L261" s="115">
        <f t="shared" si="217"/>
        <v>19156.70588</v>
      </c>
      <c r="M261" s="115">
        <v>49990.0</v>
      </c>
      <c r="N261" s="115">
        <v>44990.0</v>
      </c>
      <c r="O261" s="115">
        <f t="shared" ref="O261:P261" si="223">M261/1.19*0.7</f>
        <v>29405.88235</v>
      </c>
      <c r="P261" s="115">
        <f t="shared" si="223"/>
        <v>26464.70588</v>
      </c>
      <c r="Q261" s="3" t="str">
        <f t="shared" si="219"/>
        <v>67327712330533</v>
      </c>
      <c r="R261" s="167">
        <f t="shared" si="220"/>
        <v>2344</v>
      </c>
    </row>
    <row r="262" ht="14.25" customHeight="1">
      <c r="H262" s="3" t="s">
        <v>2063</v>
      </c>
      <c r="I262" s="3" t="str">
        <f t="shared" si="214"/>
        <v>Set 7 Contenedores Hermeticos</v>
      </c>
      <c r="J262" s="124">
        <f t="shared" si="215"/>
        <v>7239.7</v>
      </c>
      <c r="K262" s="117">
        <f t="shared" si="216"/>
        <v>0.726439431</v>
      </c>
      <c r="L262" s="115">
        <f t="shared" si="217"/>
        <v>19225.00588</v>
      </c>
      <c r="M262" s="115">
        <v>49990.0</v>
      </c>
      <c r="N262" s="115">
        <v>44990.0</v>
      </c>
      <c r="O262" s="115">
        <f t="shared" ref="O262:P262" si="224">M262/1.19*0.7</f>
        <v>29405.88235</v>
      </c>
      <c r="P262" s="115">
        <f t="shared" si="224"/>
        <v>26464.70588</v>
      </c>
      <c r="Q262" s="3" t="str">
        <f t="shared" si="219"/>
        <v>1627418212924</v>
      </c>
      <c r="R262" s="167">
        <f t="shared" si="220"/>
        <v>3431</v>
      </c>
    </row>
    <row r="263" ht="14.25" customHeight="1">
      <c r="H263" s="3" t="s">
        <v>2177</v>
      </c>
      <c r="I263" s="3" t="str">
        <f t="shared" si="214"/>
        <v>Set 6 vasos whisky 270ml</v>
      </c>
      <c r="J263" s="124">
        <f t="shared" si="215"/>
        <v>3034.9</v>
      </c>
      <c r="K263" s="117">
        <f t="shared" si="216"/>
        <v>0.6028229407</v>
      </c>
      <c r="L263" s="115">
        <f t="shared" si="217"/>
        <v>4606.276471</v>
      </c>
      <c r="M263" s="115">
        <v>19990.0</v>
      </c>
      <c r="N263" s="115">
        <v>12990.0</v>
      </c>
      <c r="O263" s="115">
        <f t="shared" ref="O263:P263" si="225">M263/1.19*0.7</f>
        <v>11758.82353</v>
      </c>
      <c r="P263" s="115">
        <f t="shared" si="225"/>
        <v>7641.176471</v>
      </c>
      <c r="Q263" s="3" t="str">
        <f t="shared" si="219"/>
        <v>67933860407346</v>
      </c>
      <c r="R263" s="167">
        <f t="shared" si="220"/>
        <v>408</v>
      </c>
    </row>
    <row r="264" ht="14.25" customHeight="1">
      <c r="H264" s="3" t="s">
        <v>1224</v>
      </c>
      <c r="I264" s="3" t="str">
        <f t="shared" si="214"/>
        <v>Set 6 vasos vintage 350ml</v>
      </c>
      <c r="J264" s="124">
        <f t="shared" si="215"/>
        <v>4495.1</v>
      </c>
      <c r="K264" s="117">
        <f t="shared" si="216"/>
        <v>0.5752267927</v>
      </c>
      <c r="L264" s="115">
        <f t="shared" si="217"/>
        <v>6087.252941</v>
      </c>
      <c r="M264" s="115">
        <v>24990.0</v>
      </c>
      <c r="N264" s="115">
        <v>17990.0</v>
      </c>
      <c r="O264" s="115">
        <f t="shared" ref="O264:P264" si="226">M264/1.19*0.7</f>
        <v>14700</v>
      </c>
      <c r="P264" s="115">
        <f t="shared" si="226"/>
        <v>10582.35294</v>
      </c>
      <c r="Q264" s="3" t="str">
        <f t="shared" si="219"/>
        <v>67933857637909</v>
      </c>
      <c r="R264" s="167">
        <f t="shared" si="220"/>
        <v>290</v>
      </c>
    </row>
    <row r="265" ht="14.25" customHeight="1">
      <c r="H265" s="3" t="s">
        <v>2095</v>
      </c>
      <c r="I265" s="3" t="str">
        <f t="shared" si="214"/>
        <v>Set 6 vasos Vintage 200ml</v>
      </c>
      <c r="J265" s="124">
        <f t="shared" si="215"/>
        <v>3649</v>
      </c>
      <c r="K265" s="117">
        <f t="shared" si="216"/>
        <v>0.4355505005</v>
      </c>
      <c r="L265" s="115">
        <f t="shared" si="217"/>
        <v>2815.705882</v>
      </c>
      <c r="M265" s="115">
        <v>14990.0</v>
      </c>
      <c r="N265" s="115">
        <v>10990.0</v>
      </c>
      <c r="O265" s="115">
        <f t="shared" ref="O265:P265" si="227">M265/1.19*0.7</f>
        <v>8817.647059</v>
      </c>
      <c r="P265" s="115">
        <f t="shared" si="227"/>
        <v>6464.705882</v>
      </c>
      <c r="Q265" s="3" t="str">
        <f t="shared" si="219"/>
        <v>67933856404072</v>
      </c>
      <c r="R265" s="167">
        <f t="shared" si="220"/>
        <v>240</v>
      </c>
    </row>
    <row r="266" ht="14.25" customHeight="1">
      <c r="H266" s="3" t="s">
        <v>2095</v>
      </c>
      <c r="I266" s="3" t="str">
        <f t="shared" si="214"/>
        <v>Set 6 vasos copa redondos 340ml</v>
      </c>
      <c r="J266" s="124">
        <f t="shared" si="215"/>
        <v>3685.8</v>
      </c>
      <c r="K266" s="117">
        <f t="shared" si="216"/>
        <v>0.4298580528</v>
      </c>
      <c r="L266" s="115">
        <f t="shared" si="217"/>
        <v>2778.905882</v>
      </c>
      <c r="M266" s="115">
        <v>14990.0</v>
      </c>
      <c r="N266" s="115">
        <v>10990.0</v>
      </c>
      <c r="O266" s="115">
        <f t="shared" ref="O266:P266" si="228">M266/1.19*0.7</f>
        <v>8817.647059</v>
      </c>
      <c r="P266" s="115">
        <f t="shared" si="228"/>
        <v>6464.705882</v>
      </c>
      <c r="Q266" s="3" t="str">
        <f t="shared" si="219"/>
        <v>67933859111971</v>
      </c>
      <c r="R266" s="167">
        <f t="shared" si="220"/>
        <v>357</v>
      </c>
    </row>
    <row r="267" ht="14.25" customHeight="1">
      <c r="H267" s="3" t="s">
        <v>1373</v>
      </c>
      <c r="I267" s="3" t="str">
        <f t="shared" si="214"/>
        <v>Set 6 vasos cerveceros 380ml</v>
      </c>
      <c r="J267" s="124">
        <f t="shared" si="215"/>
        <v>3333.5</v>
      </c>
      <c r="K267" s="117">
        <f t="shared" si="216"/>
        <v>0.5637451886</v>
      </c>
      <c r="L267" s="115">
        <f t="shared" si="217"/>
        <v>4307.676471</v>
      </c>
      <c r="M267" s="115">
        <v>18990.0</v>
      </c>
      <c r="N267" s="115">
        <v>12990.0</v>
      </c>
      <c r="O267" s="115">
        <f t="shared" ref="O267:P267" si="229">M267/1.19*0.7</f>
        <v>11170.58824</v>
      </c>
      <c r="P267" s="115">
        <f t="shared" si="229"/>
        <v>7641.176471</v>
      </c>
      <c r="Q267" s="3" t="str">
        <f t="shared" si="219"/>
        <v>67933861722733</v>
      </c>
      <c r="R267" s="167">
        <f t="shared" si="220"/>
        <v>447</v>
      </c>
    </row>
    <row r="268" ht="14.25" customHeight="1">
      <c r="M268" s="115"/>
      <c r="N268" s="115"/>
      <c r="O268" s="115"/>
    </row>
    <row r="269" ht="14.25" customHeight="1">
      <c r="H269" s="3" t="s">
        <v>16767</v>
      </c>
      <c r="I269" s="3" t="str">
        <f t="shared" ref="I269:I277" si="231">B269</f>
        <v>Set 4 Tupper vidrio tapa Bamboo</v>
      </c>
      <c r="J269" s="124">
        <f t="shared" ref="J269:J277" si="232">E269</f>
        <v>8273.9</v>
      </c>
      <c r="K269" s="117">
        <f t="shared" ref="K269:K277" si="233">1-(J269/P269)</f>
        <v>-0.08280446497</v>
      </c>
      <c r="L269" s="115">
        <f t="shared" ref="L269:L277" si="234">P269-J269</f>
        <v>-632.7235294</v>
      </c>
      <c r="M269" s="115">
        <v>14990.0</v>
      </c>
      <c r="N269" s="115">
        <v>12990.0</v>
      </c>
      <c r="O269" s="115">
        <f t="shared" ref="O269:P269" si="230">M269/1.19*0.7</f>
        <v>8817.647059</v>
      </c>
      <c r="P269" s="115">
        <f t="shared" si="230"/>
        <v>7641.176471</v>
      </c>
      <c r="Q269" s="3" t="str">
        <f t="shared" ref="Q269:Q277" si="236">C269</f>
        <v>1660859287583</v>
      </c>
      <c r="R269" s="167">
        <f t="shared" ref="R269:R277" si="237">VLOOKUP(Q269,$C$4:$D$1048576,2,0)</f>
        <v>780</v>
      </c>
    </row>
    <row r="270" ht="14.25" customHeight="1">
      <c r="H270" s="3" t="s">
        <v>16770</v>
      </c>
      <c r="I270" s="3" t="str">
        <f t="shared" si="231"/>
        <v>Set 4 Moscow Mule Mug</v>
      </c>
      <c r="J270" s="124">
        <f t="shared" si="232"/>
        <v>10616</v>
      </c>
      <c r="K270" s="117">
        <f t="shared" si="233"/>
        <v>-1.007474972</v>
      </c>
      <c r="L270" s="115">
        <f t="shared" si="234"/>
        <v>-5327.764706</v>
      </c>
      <c r="M270" s="115">
        <v>10990.0</v>
      </c>
      <c r="N270" s="115">
        <v>8990.0</v>
      </c>
      <c r="O270" s="115">
        <f t="shared" ref="O270:P270" si="235">M270/1.19*0.7</f>
        <v>6464.705882</v>
      </c>
      <c r="P270" s="115">
        <f t="shared" si="235"/>
        <v>5288.235294</v>
      </c>
      <c r="Q270" s="3" t="str">
        <f t="shared" si="236"/>
        <v>1658269683485</v>
      </c>
      <c r="R270" s="167">
        <f t="shared" si="237"/>
        <v>88</v>
      </c>
    </row>
    <row r="271" ht="14.25" customHeight="1">
      <c r="H271" s="3" t="s">
        <v>1349</v>
      </c>
      <c r="I271" s="3" t="str">
        <f t="shared" si="231"/>
        <v>Set 4 Contenedores Hermeticos Redondos</v>
      </c>
      <c r="J271" s="124">
        <f t="shared" si="232"/>
        <v>5126</v>
      </c>
      <c r="K271" s="117">
        <f t="shared" si="233"/>
        <v>0.329160893</v>
      </c>
      <c r="L271" s="115">
        <f t="shared" si="234"/>
        <v>2515.176471</v>
      </c>
      <c r="M271" s="115">
        <v>14990.0</v>
      </c>
      <c r="N271" s="115">
        <v>12990.0</v>
      </c>
      <c r="O271" s="115">
        <f t="shared" ref="O271:P271" si="238">M271/1.19*0.7</f>
        <v>8817.647059</v>
      </c>
      <c r="P271" s="115">
        <f t="shared" si="238"/>
        <v>7641.176471</v>
      </c>
      <c r="Q271" s="3" t="str">
        <f t="shared" si="236"/>
        <v>SIMCONRED</v>
      </c>
      <c r="R271" s="167">
        <f t="shared" si="237"/>
        <v>299</v>
      </c>
    </row>
    <row r="272" ht="14.25" customHeight="1">
      <c r="H272" s="3" t="s">
        <v>1350</v>
      </c>
      <c r="I272" s="3" t="str">
        <f t="shared" si="231"/>
        <v>Set 3 Fuentes para horno</v>
      </c>
      <c r="J272" s="124">
        <f t="shared" si="232"/>
        <v>11461.7</v>
      </c>
      <c r="K272" s="117">
        <f t="shared" si="233"/>
        <v>-0.9504394394</v>
      </c>
      <c r="L272" s="115">
        <f t="shared" si="234"/>
        <v>-5585.229412</v>
      </c>
      <c r="M272" s="115">
        <v>9990.0</v>
      </c>
      <c r="N272" s="115">
        <v>9990.0</v>
      </c>
      <c r="O272" s="115">
        <f t="shared" ref="O272:P272" si="239">M272/1.19*0.7</f>
        <v>5876.470588</v>
      </c>
      <c r="P272" s="115">
        <f t="shared" si="239"/>
        <v>5876.470588</v>
      </c>
      <c r="Q272" s="3" t="str">
        <f t="shared" si="236"/>
        <v>1661872956577</v>
      </c>
      <c r="R272" s="167">
        <f t="shared" si="237"/>
        <v>195</v>
      </c>
    </row>
    <row r="273" ht="14.25" customHeight="1">
      <c r="H273" s="3" t="s">
        <v>16773</v>
      </c>
      <c r="I273" s="3" t="str">
        <f t="shared" si="231"/>
        <v>Set 3 Contenedores Hermeticos</v>
      </c>
      <c r="J273" s="124">
        <f t="shared" si="232"/>
        <v>4128.7</v>
      </c>
      <c r="K273" s="117">
        <f t="shared" si="233"/>
        <v>0.6488849425</v>
      </c>
      <c r="L273" s="115">
        <f t="shared" si="234"/>
        <v>7630.123529</v>
      </c>
      <c r="M273" s="115">
        <v>25990.0</v>
      </c>
      <c r="N273" s="115">
        <v>19990.0</v>
      </c>
      <c r="O273" s="115">
        <f t="shared" ref="O273:P273" si="240">M273/1.19*0.7</f>
        <v>15288.23529</v>
      </c>
      <c r="P273" s="115">
        <f t="shared" si="240"/>
        <v>11758.82353</v>
      </c>
      <c r="Q273" s="3" t="str">
        <f t="shared" si="236"/>
        <v>1645629782262</v>
      </c>
      <c r="R273" s="167">
        <f t="shared" si="237"/>
        <v>425</v>
      </c>
    </row>
    <row r="274" ht="14.25" customHeight="1">
      <c r="H274" s="3" t="s">
        <v>16775</v>
      </c>
      <c r="I274" s="3" t="str">
        <f t="shared" si="231"/>
        <v>Set 3 Contenedores Cerámica Hermético Negro Simplit</v>
      </c>
      <c r="J274" s="124">
        <f t="shared" si="232"/>
        <v>8044.6</v>
      </c>
      <c r="K274" s="117">
        <f t="shared" si="233"/>
        <v>0.08767044696</v>
      </c>
      <c r="L274" s="115">
        <f t="shared" si="234"/>
        <v>773.0470588</v>
      </c>
      <c r="M274" s="115">
        <v>17990.0</v>
      </c>
      <c r="N274" s="115">
        <v>14990.0</v>
      </c>
      <c r="O274" s="115">
        <f t="shared" ref="O274:P274" si="241">M274/1.19*0.7</f>
        <v>10582.35294</v>
      </c>
      <c r="P274" s="115">
        <f t="shared" si="241"/>
        <v>8817.647059</v>
      </c>
      <c r="Q274" s="3" t="str">
        <f t="shared" si="236"/>
        <v>1662389430959</v>
      </c>
      <c r="R274" s="167">
        <f t="shared" si="237"/>
        <v>30</v>
      </c>
    </row>
    <row r="275" ht="14.25" customHeight="1">
      <c r="H275" s="3" t="s">
        <v>16777</v>
      </c>
      <c r="I275" s="3" t="str">
        <f t="shared" si="231"/>
        <v>Set 3 Contenedores Cerámica Hermético Blanco Simplit</v>
      </c>
      <c r="J275" s="124">
        <f t="shared" si="232"/>
        <v>8514.9</v>
      </c>
      <c r="K275" s="117">
        <f t="shared" si="233"/>
        <v>0.03433422282</v>
      </c>
      <c r="L275" s="115">
        <f t="shared" si="234"/>
        <v>302.7470588</v>
      </c>
      <c r="M275" s="115">
        <v>17990.0</v>
      </c>
      <c r="N275" s="115">
        <v>14990.0</v>
      </c>
      <c r="O275" s="115">
        <f t="shared" ref="O275:P275" si="242">M275/1.19*0.7</f>
        <v>10582.35294</v>
      </c>
      <c r="P275" s="115">
        <f t="shared" si="242"/>
        <v>8817.647059</v>
      </c>
      <c r="Q275" s="3" t="str">
        <f t="shared" si="236"/>
        <v>1662389376894</v>
      </c>
      <c r="R275" s="167">
        <f t="shared" si="237"/>
        <v>9</v>
      </c>
    </row>
    <row r="276" ht="14.25" customHeight="1">
      <c r="H276" s="3" t="s">
        <v>16779</v>
      </c>
      <c r="I276" s="3" t="str">
        <f t="shared" si="231"/>
        <v>Set 3 Bowl Metálico</v>
      </c>
      <c r="J276" s="124">
        <f t="shared" si="232"/>
        <v>7372</v>
      </c>
      <c r="K276" s="117">
        <f t="shared" si="233"/>
        <v>0.3730665333</v>
      </c>
      <c r="L276" s="115">
        <f t="shared" si="234"/>
        <v>4386.823529</v>
      </c>
      <c r="M276" s="115">
        <v>24990.0</v>
      </c>
      <c r="N276" s="115">
        <v>19990.0</v>
      </c>
      <c r="O276" s="115">
        <f t="shared" ref="O276:P276" si="243">M276/1.19*0.7</f>
        <v>14700</v>
      </c>
      <c r="P276" s="115">
        <f t="shared" si="243"/>
        <v>11758.82353</v>
      </c>
      <c r="Q276" s="3" t="str">
        <f t="shared" si="236"/>
        <v>1654207748340</v>
      </c>
      <c r="R276" s="167">
        <f t="shared" si="237"/>
        <v>304</v>
      </c>
    </row>
    <row r="277" ht="14.25" customHeight="1">
      <c r="H277" s="3" t="s">
        <v>2143</v>
      </c>
      <c r="I277" s="3" t="str">
        <f t="shared" si="231"/>
        <v>Set 2 Vasos Vidrio Doble Pared 400 ml</v>
      </c>
      <c r="J277" s="124">
        <f t="shared" si="232"/>
        <v>3427</v>
      </c>
      <c r="K277" s="117">
        <f t="shared" si="233"/>
        <v>0.7085592796</v>
      </c>
      <c r="L277" s="115">
        <f t="shared" si="234"/>
        <v>8331.823529</v>
      </c>
      <c r="M277" s="115">
        <v>29990.0</v>
      </c>
      <c r="N277" s="115">
        <v>19990.0</v>
      </c>
      <c r="O277" s="115">
        <f t="shared" ref="O277:P277" si="244">M277/1.19*0.7</f>
        <v>17641.17647</v>
      </c>
      <c r="P277" s="115">
        <f t="shared" si="244"/>
        <v>11758.82353</v>
      </c>
      <c r="Q277" s="3" t="str">
        <f t="shared" si="236"/>
        <v>1654207352499</v>
      </c>
      <c r="R277" s="167">
        <f t="shared" si="237"/>
        <v>635</v>
      </c>
    </row>
    <row r="278" ht="14.25" customHeight="1">
      <c r="M278" s="115"/>
      <c r="N278" s="115"/>
      <c r="O278" s="115"/>
    </row>
    <row r="279" ht="14.25" customHeight="1">
      <c r="H279" s="3" t="s">
        <v>2173</v>
      </c>
      <c r="I279" s="3" t="str">
        <f>B279</f>
        <v>Set 2 vasos Moscow Mule M2</v>
      </c>
      <c r="J279" s="124">
        <f>E279</f>
        <v>5989</v>
      </c>
      <c r="K279" s="117">
        <f>1-(J279/P279)</f>
        <v>0.7963332667</v>
      </c>
      <c r="L279" s="115">
        <f>P279-J279</f>
        <v>23416.88235</v>
      </c>
      <c r="M279" s="115">
        <v>49990.0</v>
      </c>
      <c r="N279" s="115">
        <v>49990.0</v>
      </c>
      <c r="O279" s="115">
        <f t="shared" ref="O279:P279" si="245">M279/1.19*0.7</f>
        <v>29405.88235</v>
      </c>
      <c r="P279" s="115">
        <f t="shared" si="245"/>
        <v>29405.88235</v>
      </c>
      <c r="Q279" s="3" t="str">
        <f>C279</f>
        <v>67933854599885</v>
      </c>
      <c r="R279" s="167">
        <f>VLOOKUP(Q279,$C$4:$D$1048576,2,0)</f>
        <v>559</v>
      </c>
    </row>
    <row r="280" ht="14.25" customHeight="1">
      <c r="J280" s="124"/>
      <c r="K280" s="117"/>
      <c r="L280" s="115"/>
      <c r="M280" s="115"/>
      <c r="N280" s="115"/>
      <c r="O280" s="115"/>
      <c r="P280" s="115"/>
    </row>
    <row r="281" ht="14.25" customHeight="1">
      <c r="H281" s="3" t="s">
        <v>2110</v>
      </c>
      <c r="I281" s="3" t="str">
        <f t="shared" ref="I281:I312" si="247">B281</f>
        <v>Set 2 Tazas Doble Pared Espresso 80 ml</v>
      </c>
      <c r="J281" s="124">
        <f t="shared" ref="J281:J312" si="248">E281</f>
        <v>1444.8</v>
      </c>
      <c r="K281" s="117">
        <f t="shared" ref="K281:K312" si="249">1-(J281/P281)</f>
        <v>0.7541381381</v>
      </c>
      <c r="L281" s="115">
        <f t="shared" ref="L281:L312" si="250">P281-J281</f>
        <v>4431.670588</v>
      </c>
      <c r="M281" s="115">
        <v>9990.0</v>
      </c>
      <c r="N281" s="115">
        <v>9990.0</v>
      </c>
      <c r="O281" s="115">
        <f t="shared" ref="O281:P281" si="246">M281/1.19*0.7</f>
        <v>5876.470588</v>
      </c>
      <c r="P281" s="115">
        <f t="shared" si="246"/>
        <v>5876.470588</v>
      </c>
      <c r="Q281" s="3" t="str">
        <f t="shared" ref="Q281:Q312" si="252">C281</f>
        <v>1654207295633</v>
      </c>
      <c r="R281" s="167">
        <f t="shared" ref="R281:R312" si="253">VLOOKUP(Q281,$C$4:$D$1048576,2,0)</f>
        <v>2966</v>
      </c>
    </row>
    <row r="282" ht="14.25" customHeight="1">
      <c r="H282" s="3" t="s">
        <v>1282</v>
      </c>
      <c r="I282" s="3" t="str">
        <f t="shared" si="247"/>
        <v>Set 2 Moscow Mule Mug</v>
      </c>
      <c r="J282" s="124">
        <f t="shared" si="248"/>
        <v>5367.5</v>
      </c>
      <c r="K282" s="117">
        <f t="shared" si="249"/>
        <v>0.4629340789</v>
      </c>
      <c r="L282" s="115">
        <f t="shared" si="250"/>
        <v>4626.617647</v>
      </c>
      <c r="M282" s="115">
        <v>21990.0</v>
      </c>
      <c r="N282" s="115">
        <v>16990.0</v>
      </c>
      <c r="O282" s="115">
        <f t="shared" ref="O282:P282" si="251">M282/1.19*0.7</f>
        <v>12935.29412</v>
      </c>
      <c r="P282" s="115">
        <f t="shared" si="251"/>
        <v>9994.117647</v>
      </c>
      <c r="Q282" s="3" t="str">
        <f t="shared" si="252"/>
        <v>1650298908518</v>
      </c>
      <c r="R282" s="167">
        <f t="shared" si="253"/>
        <v>3309</v>
      </c>
    </row>
    <row r="283" ht="14.25" customHeight="1">
      <c r="H283" s="3" t="s">
        <v>2164</v>
      </c>
      <c r="I283" s="3" t="str">
        <f t="shared" si="247"/>
        <v>Set 2 Alcuza de Cerámica redonda</v>
      </c>
      <c r="J283" s="124">
        <f t="shared" si="248"/>
        <v>4420.4</v>
      </c>
      <c r="K283" s="117">
        <f t="shared" si="249"/>
        <v>0.624078039</v>
      </c>
      <c r="L283" s="115">
        <f t="shared" si="250"/>
        <v>7338.423529</v>
      </c>
      <c r="M283" s="115">
        <v>24990.0</v>
      </c>
      <c r="N283" s="115">
        <v>19990.0</v>
      </c>
      <c r="O283" s="115">
        <f t="shared" ref="O283:P283" si="254">M283/1.19*0.7</f>
        <v>14700</v>
      </c>
      <c r="P283" s="115">
        <f t="shared" si="254"/>
        <v>11758.82353</v>
      </c>
      <c r="Q283" s="3" t="str">
        <f t="shared" si="252"/>
        <v>1661872713289</v>
      </c>
      <c r="R283" s="167">
        <f t="shared" si="253"/>
        <v>331</v>
      </c>
    </row>
    <row r="284" ht="14.25" customHeight="1">
      <c r="H284" s="3" t="s">
        <v>2164</v>
      </c>
      <c r="I284" s="3" t="str">
        <f t="shared" si="247"/>
        <v>Set 2 Alcuza de Cerámica cuadrada</v>
      </c>
      <c r="J284" s="124">
        <f t="shared" si="248"/>
        <v>3712.1</v>
      </c>
      <c r="K284" s="117">
        <f t="shared" si="249"/>
        <v>0.6843136568</v>
      </c>
      <c r="L284" s="115">
        <f t="shared" si="250"/>
        <v>8046.723529</v>
      </c>
      <c r="M284" s="115">
        <v>24990.0</v>
      </c>
      <c r="N284" s="115">
        <v>19990.0</v>
      </c>
      <c r="O284" s="115">
        <f t="shared" ref="O284:P284" si="255">M284/1.19*0.7</f>
        <v>14700</v>
      </c>
      <c r="P284" s="115">
        <f t="shared" si="255"/>
        <v>11758.82353</v>
      </c>
      <c r="Q284" s="3" t="str">
        <f t="shared" si="252"/>
        <v>1659989549286</v>
      </c>
      <c r="R284" s="167">
        <f t="shared" si="253"/>
        <v>433</v>
      </c>
    </row>
    <row r="285" ht="14.25" customHeight="1">
      <c r="H285" s="3" t="s">
        <v>2167</v>
      </c>
      <c r="I285" s="3" t="str">
        <f t="shared" si="247"/>
        <v>Secaplatos Escurridor 2 Niveles Acero Inox Negro</v>
      </c>
      <c r="J285" s="124">
        <f t="shared" si="248"/>
        <v>5848.6</v>
      </c>
      <c r="K285" s="117">
        <f t="shared" si="249"/>
        <v>0.5675241409</v>
      </c>
      <c r="L285" s="115">
        <f t="shared" si="250"/>
        <v>7674.929412</v>
      </c>
      <c r="M285" s="115">
        <v>32990.0</v>
      </c>
      <c r="N285" s="115">
        <v>22990.0</v>
      </c>
      <c r="O285" s="115">
        <f t="shared" ref="O285:P285" si="256">M285/1.19*0.7</f>
        <v>19405.88235</v>
      </c>
      <c r="P285" s="115">
        <f t="shared" si="256"/>
        <v>13523.52941</v>
      </c>
      <c r="Q285" s="3" t="str">
        <f t="shared" si="252"/>
        <v>1660858341796</v>
      </c>
      <c r="R285" s="167">
        <f t="shared" si="253"/>
        <v>2153</v>
      </c>
    </row>
    <row r="286" ht="14.25" customHeight="1">
      <c r="H286" s="3" t="s">
        <v>2168</v>
      </c>
      <c r="I286" s="3" t="str">
        <f t="shared" si="247"/>
        <v>Secaplatos Escurridor 2 Niveles Acero Inox Blanco</v>
      </c>
      <c r="J286" s="124">
        <f t="shared" si="248"/>
        <v>5671.6</v>
      </c>
      <c r="K286" s="117">
        <f t="shared" si="249"/>
        <v>0.5176728364</v>
      </c>
      <c r="L286" s="115">
        <f t="shared" si="250"/>
        <v>6087.223529</v>
      </c>
      <c r="M286" s="115">
        <v>29990.0</v>
      </c>
      <c r="N286" s="115">
        <v>19990.0</v>
      </c>
      <c r="O286" s="115">
        <f t="shared" ref="O286:P286" si="257">M286/1.19*0.7</f>
        <v>17641.17647</v>
      </c>
      <c r="P286" s="115">
        <f t="shared" si="257"/>
        <v>11758.82353</v>
      </c>
      <c r="Q286" s="3" t="str">
        <f t="shared" si="252"/>
        <v>1660858356962</v>
      </c>
      <c r="R286" s="167">
        <f t="shared" si="253"/>
        <v>2082</v>
      </c>
    </row>
    <row r="287" ht="14.25" customHeight="1">
      <c r="H287" s="3" t="s">
        <v>2168</v>
      </c>
      <c r="I287" s="3" t="str">
        <f t="shared" si="247"/>
        <v>Secaplatos 2 niveles armable</v>
      </c>
      <c r="J287" s="124">
        <f t="shared" si="248"/>
        <v>5796.2</v>
      </c>
      <c r="K287" s="117">
        <f t="shared" si="249"/>
        <v>0.5070765383</v>
      </c>
      <c r="L287" s="115">
        <f t="shared" si="250"/>
        <v>5962.623529</v>
      </c>
      <c r="M287" s="115">
        <v>29990.0</v>
      </c>
      <c r="N287" s="115">
        <v>19990.0</v>
      </c>
      <c r="O287" s="115">
        <f t="shared" ref="O287:P287" si="258">M287/1.19*0.7</f>
        <v>17641.17647</v>
      </c>
      <c r="P287" s="115">
        <f t="shared" si="258"/>
        <v>11758.82353</v>
      </c>
      <c r="Q287" s="3" t="str">
        <f t="shared" si="252"/>
        <v>1659991379695</v>
      </c>
      <c r="R287" s="167">
        <f t="shared" si="253"/>
        <v>2001</v>
      </c>
    </row>
    <row r="288" ht="14.25" customHeight="1">
      <c r="H288" s="3" t="s">
        <v>2174</v>
      </c>
      <c r="I288" s="3" t="str">
        <f t="shared" si="247"/>
        <v>Secaplato Negro 1 Nivel</v>
      </c>
      <c r="J288" s="124">
        <f t="shared" si="248"/>
        <v>4680.5</v>
      </c>
      <c r="K288" s="117">
        <f t="shared" si="249"/>
        <v>0.3874634334</v>
      </c>
      <c r="L288" s="115">
        <f t="shared" si="250"/>
        <v>2960.676471</v>
      </c>
      <c r="M288" s="115">
        <v>16990.0</v>
      </c>
      <c r="N288" s="115">
        <v>12990.0</v>
      </c>
      <c r="O288" s="115">
        <f t="shared" ref="O288:P288" si="259">M288/1.19*0.7</f>
        <v>9994.117647</v>
      </c>
      <c r="P288" s="115">
        <f t="shared" si="259"/>
        <v>7641.176471</v>
      </c>
      <c r="Q288" s="3" t="str">
        <f t="shared" si="252"/>
        <v>68540048936286</v>
      </c>
      <c r="R288" s="167">
        <f t="shared" si="253"/>
        <v>940</v>
      </c>
    </row>
    <row r="289" ht="14.25" customHeight="1">
      <c r="H289" s="3" t="s">
        <v>2176</v>
      </c>
      <c r="I289" s="3" t="str">
        <f t="shared" si="247"/>
        <v>Secaplato Blanco 1 Nivel</v>
      </c>
      <c r="J289" s="124">
        <f t="shared" si="248"/>
        <v>4753.1</v>
      </c>
      <c r="K289" s="117">
        <f t="shared" si="249"/>
        <v>0.4609559706</v>
      </c>
      <c r="L289" s="115">
        <f t="shared" si="250"/>
        <v>4064.547059</v>
      </c>
      <c r="M289" s="115">
        <v>19990.0</v>
      </c>
      <c r="N289" s="115">
        <v>14990.0</v>
      </c>
      <c r="O289" s="115">
        <f t="shared" ref="O289:P289" si="260">M289/1.19*0.7</f>
        <v>11758.82353</v>
      </c>
      <c r="P289" s="115">
        <f t="shared" si="260"/>
        <v>8817.647059</v>
      </c>
      <c r="Q289" s="3" t="str">
        <f t="shared" si="252"/>
        <v>68540051413139</v>
      </c>
      <c r="R289" s="167">
        <f t="shared" si="253"/>
        <v>1158</v>
      </c>
    </row>
    <row r="290" ht="14.25" customHeight="1">
      <c r="H290" s="3" t="s">
        <v>1196</v>
      </c>
      <c r="I290" s="3" t="str">
        <f t="shared" si="247"/>
        <v>Sarten 24cm Copper Colection</v>
      </c>
      <c r="J290" s="124">
        <f t="shared" si="248"/>
        <v>5276.6</v>
      </c>
      <c r="K290" s="117">
        <f t="shared" si="249"/>
        <v>0.4720294291</v>
      </c>
      <c r="L290" s="115">
        <f t="shared" si="250"/>
        <v>4717.517647</v>
      </c>
      <c r="M290" s="115">
        <v>29990.0</v>
      </c>
      <c r="N290" s="115">
        <v>16990.0</v>
      </c>
      <c r="O290" s="115">
        <f t="shared" ref="O290:P290" si="261">M290/1.19*0.7</f>
        <v>17641.17647</v>
      </c>
      <c r="P290" s="115">
        <f t="shared" si="261"/>
        <v>9994.117647</v>
      </c>
      <c r="Q290" s="3" t="str">
        <f t="shared" si="252"/>
        <v>1635956597983</v>
      </c>
      <c r="R290" s="167">
        <f t="shared" si="253"/>
        <v>458</v>
      </c>
    </row>
    <row r="291" ht="14.25" customHeight="1">
      <c r="H291" s="3" t="s">
        <v>1309</v>
      </c>
      <c r="I291" s="3" t="str">
        <f t="shared" si="247"/>
        <v>Pesa Cocina silver</v>
      </c>
      <c r="J291" s="124">
        <f t="shared" si="248"/>
        <v>2740</v>
      </c>
      <c r="K291" s="117">
        <f t="shared" si="249"/>
        <v>0.4170212766</v>
      </c>
      <c r="L291" s="115">
        <f t="shared" si="250"/>
        <v>1960</v>
      </c>
      <c r="M291" s="115">
        <v>9990.0</v>
      </c>
      <c r="N291" s="115">
        <v>7990.0</v>
      </c>
      <c r="O291" s="115">
        <f t="shared" ref="O291:P291" si="262">M291/1.19*0.7</f>
        <v>5876.470588</v>
      </c>
      <c r="P291" s="115">
        <f t="shared" si="262"/>
        <v>4700</v>
      </c>
      <c r="Q291" s="3" t="str">
        <f t="shared" si="252"/>
        <v>1639488921197</v>
      </c>
      <c r="R291" s="167">
        <f t="shared" si="253"/>
        <v>606</v>
      </c>
    </row>
    <row r="292" ht="14.25" customHeight="1">
      <c r="H292" s="3" t="s">
        <v>1197</v>
      </c>
      <c r="I292" s="3" t="str">
        <f t="shared" si="247"/>
        <v>Parrilla Roja 17cm N2</v>
      </c>
      <c r="J292" s="124">
        <f t="shared" si="248"/>
        <v>17761.3</v>
      </c>
      <c r="K292" s="117">
        <f t="shared" si="249"/>
        <v>-2.022443443</v>
      </c>
      <c r="L292" s="115">
        <f t="shared" si="250"/>
        <v>-11884.82941</v>
      </c>
      <c r="M292" s="115">
        <v>14990.0</v>
      </c>
      <c r="N292" s="115">
        <v>9990.0</v>
      </c>
      <c r="O292" s="115">
        <f t="shared" ref="O292:P292" si="263">M292/1.19*0.7</f>
        <v>8817.647059</v>
      </c>
      <c r="P292" s="115">
        <f t="shared" si="263"/>
        <v>5876.470588</v>
      </c>
      <c r="Q292" s="3" t="str">
        <f t="shared" si="252"/>
        <v>1661892847912</v>
      </c>
      <c r="R292" s="167">
        <f t="shared" si="253"/>
        <v>16</v>
      </c>
    </row>
    <row r="293" ht="14.25" customHeight="1">
      <c r="H293" s="3" t="s">
        <v>1198</v>
      </c>
      <c r="I293" s="3" t="str">
        <f t="shared" si="247"/>
        <v>Parrilla Portátil Carbón Kettle Roja 17''</v>
      </c>
      <c r="J293" s="124">
        <f t="shared" si="248"/>
        <v>17356.4</v>
      </c>
      <c r="K293" s="117">
        <f t="shared" si="249"/>
        <v>-0.476032016</v>
      </c>
      <c r="L293" s="115">
        <f t="shared" si="250"/>
        <v>-5597.576471</v>
      </c>
      <c r="M293" s="115">
        <v>32990.0</v>
      </c>
      <c r="N293" s="115">
        <v>19990.0</v>
      </c>
      <c r="O293" s="115">
        <f t="shared" ref="O293:P293" si="264">M293/1.19*0.7</f>
        <v>19405.88235</v>
      </c>
      <c r="P293" s="115">
        <f t="shared" si="264"/>
        <v>11758.82353</v>
      </c>
      <c r="Q293" s="3" t="str">
        <f t="shared" si="252"/>
        <v>1535543463599</v>
      </c>
      <c r="R293" s="167">
        <f t="shared" si="253"/>
        <v>15</v>
      </c>
    </row>
    <row r="294" ht="14.25" customHeight="1">
      <c r="H294" s="3" t="s">
        <v>1199</v>
      </c>
      <c r="I294" s="3" t="str">
        <f t="shared" si="247"/>
        <v>Parrilla Negra 17cm N2</v>
      </c>
      <c r="J294" s="124">
        <f t="shared" si="248"/>
        <v>15694.2</v>
      </c>
      <c r="K294" s="117">
        <f t="shared" si="249"/>
        <v>-1.670684685</v>
      </c>
      <c r="L294" s="115">
        <f t="shared" si="250"/>
        <v>-9817.729412</v>
      </c>
      <c r="M294" s="115">
        <v>16990.0</v>
      </c>
      <c r="N294" s="115">
        <v>9990.0</v>
      </c>
      <c r="O294" s="115">
        <f t="shared" ref="O294:P294" si="265">M294/1.19*0.7</f>
        <v>9994.117647</v>
      </c>
      <c r="P294" s="115">
        <f t="shared" si="265"/>
        <v>5876.470588</v>
      </c>
      <c r="Q294" s="3" t="str">
        <f t="shared" si="252"/>
        <v>1661892870974</v>
      </c>
      <c r="R294" s="167">
        <f t="shared" si="253"/>
        <v>9</v>
      </c>
    </row>
    <row r="295" ht="14.25" customHeight="1">
      <c r="H295" s="3" t="s">
        <v>1200</v>
      </c>
      <c r="I295" s="3" t="str">
        <f t="shared" si="247"/>
        <v>Panera Metálica con Tapa Bamboo Blanca</v>
      </c>
      <c r="J295" s="124">
        <f t="shared" si="248"/>
        <v>6119.3</v>
      </c>
      <c r="K295" s="117">
        <f t="shared" si="249"/>
        <v>0.1323761468</v>
      </c>
      <c r="L295" s="115">
        <f t="shared" si="250"/>
        <v>933.6411765</v>
      </c>
      <c r="M295" s="115">
        <v>16990.0</v>
      </c>
      <c r="N295" s="115">
        <v>11990.0</v>
      </c>
      <c r="O295" s="115">
        <f t="shared" ref="O295:P295" si="266">M295/1.19*0.7</f>
        <v>9994.117647</v>
      </c>
      <c r="P295" s="115">
        <f t="shared" si="266"/>
        <v>7052.941176</v>
      </c>
      <c r="Q295" s="3" t="str">
        <f t="shared" si="252"/>
        <v>1660858416606</v>
      </c>
      <c r="R295" s="167">
        <f t="shared" si="253"/>
        <v>317</v>
      </c>
    </row>
    <row r="296" ht="14.25" customHeight="1">
      <c r="H296" s="3" t="s">
        <v>1352</v>
      </c>
      <c r="I296" s="3" t="str">
        <f t="shared" si="247"/>
        <v>Pack Organizador refrigerador S y L</v>
      </c>
      <c r="J296" s="124">
        <f t="shared" si="248"/>
        <v>6598</v>
      </c>
      <c r="K296" s="117">
        <f t="shared" si="249"/>
        <v>0.5511564626</v>
      </c>
      <c r="L296" s="115">
        <f t="shared" si="250"/>
        <v>8102</v>
      </c>
      <c r="M296" s="115">
        <v>26990.0</v>
      </c>
      <c r="N296" s="115">
        <v>24990.0</v>
      </c>
      <c r="O296" s="115">
        <f t="shared" ref="O296:P296" si="267">M296/1.19*0.7</f>
        <v>15876.47059</v>
      </c>
      <c r="P296" s="115">
        <f t="shared" si="267"/>
        <v>14700</v>
      </c>
      <c r="Q296" s="3" t="str">
        <f t="shared" si="252"/>
        <v>1658525816907</v>
      </c>
      <c r="R296" s="167">
        <f t="shared" si="253"/>
        <v>5</v>
      </c>
    </row>
    <row r="297" ht="14.25" customHeight="1">
      <c r="H297" s="3" t="s">
        <v>16803</v>
      </c>
      <c r="I297" s="3" t="str">
        <f t="shared" si="247"/>
        <v>Pack 2 Taza Vidrio Doble Pared 350 ml</v>
      </c>
      <c r="J297" s="124">
        <f t="shared" si="248"/>
        <v>3776</v>
      </c>
      <c r="K297" s="117">
        <f t="shared" si="249"/>
        <v>0.7431292517</v>
      </c>
      <c r="L297" s="115">
        <f t="shared" si="250"/>
        <v>10924</v>
      </c>
      <c r="M297" s="115">
        <v>24990.0</v>
      </c>
      <c r="N297" s="115">
        <v>24990.0</v>
      </c>
      <c r="O297" s="115">
        <f t="shared" ref="O297:P297" si="268">M297/1.19*0.7</f>
        <v>14700</v>
      </c>
      <c r="P297" s="115">
        <f t="shared" si="268"/>
        <v>14700</v>
      </c>
      <c r="Q297" s="3" t="str">
        <f t="shared" si="252"/>
        <v>1659987555067</v>
      </c>
      <c r="R297" s="167">
        <f t="shared" si="253"/>
        <v>14</v>
      </c>
    </row>
    <row r="298" ht="14.25" customHeight="1">
      <c r="H298" s="3" t="s">
        <v>16803</v>
      </c>
      <c r="I298" s="3" t="str">
        <f t="shared" si="247"/>
        <v>Pack 2 Taza Mug Vidrio Doble Pared 300 ml</v>
      </c>
      <c r="J298" s="124">
        <f t="shared" si="248"/>
        <v>3752</v>
      </c>
      <c r="K298" s="117">
        <f t="shared" si="249"/>
        <v>0.7447619048</v>
      </c>
      <c r="L298" s="115">
        <f t="shared" si="250"/>
        <v>10948</v>
      </c>
      <c r="M298" s="115">
        <v>24990.0</v>
      </c>
      <c r="N298" s="115">
        <v>24990.0</v>
      </c>
      <c r="O298" s="115">
        <f t="shared" ref="O298:P298" si="269">M298/1.19*0.7</f>
        <v>14700</v>
      </c>
      <c r="P298" s="115">
        <f t="shared" si="269"/>
        <v>14700</v>
      </c>
      <c r="Q298" s="3" t="str">
        <f t="shared" si="252"/>
        <v>1659987577541</v>
      </c>
      <c r="R298" s="167">
        <f t="shared" si="253"/>
        <v>19</v>
      </c>
    </row>
    <row r="299" ht="14.25" customHeight="1">
      <c r="H299" s="3" t="s">
        <v>1353</v>
      </c>
      <c r="I299" s="3" t="str">
        <f t="shared" si="247"/>
        <v>Pack 2 Organizadores de refrigerador M y L Cesta</v>
      </c>
      <c r="J299" s="124">
        <f t="shared" si="248"/>
        <v>5748.6</v>
      </c>
      <c r="K299" s="117">
        <f t="shared" si="249"/>
        <v>0.3480573716</v>
      </c>
      <c r="L299" s="115">
        <f t="shared" si="250"/>
        <v>3069.047059</v>
      </c>
      <c r="M299" s="115">
        <v>19990.0</v>
      </c>
      <c r="N299" s="115">
        <v>14990.0</v>
      </c>
      <c r="O299" s="115">
        <f t="shared" ref="O299:P299" si="270">M299/1.19*0.7</f>
        <v>11758.82353</v>
      </c>
      <c r="P299" s="115">
        <f t="shared" si="270"/>
        <v>8817.647059</v>
      </c>
      <c r="Q299" s="3" t="str">
        <f t="shared" si="252"/>
        <v>1657222641841</v>
      </c>
      <c r="R299" s="167">
        <f t="shared" si="253"/>
        <v>84</v>
      </c>
    </row>
    <row r="300" ht="14.25" customHeight="1">
      <c r="H300" s="3" t="s">
        <v>1407</v>
      </c>
      <c r="I300" s="3" t="str">
        <f t="shared" si="247"/>
        <v>Organizador de refrigerador S</v>
      </c>
      <c r="J300" s="124">
        <f t="shared" si="248"/>
        <v>2999.6</v>
      </c>
      <c r="K300" s="117">
        <f t="shared" si="249"/>
        <v>0.8542635039</v>
      </c>
      <c r="L300" s="115">
        <f t="shared" si="250"/>
        <v>17582.75294</v>
      </c>
      <c r="M300" s="115">
        <v>39990.0</v>
      </c>
      <c r="N300" s="115">
        <v>34990.0</v>
      </c>
      <c r="O300" s="115">
        <f t="shared" ref="O300:P300" si="271">M300/1.19*0.7</f>
        <v>23523.52941</v>
      </c>
      <c r="P300" s="115">
        <f t="shared" si="271"/>
        <v>20582.35294</v>
      </c>
      <c r="Q300" s="3" t="str">
        <f t="shared" si="252"/>
        <v>1654189048611</v>
      </c>
      <c r="R300" s="167">
        <f t="shared" si="253"/>
        <v>410</v>
      </c>
    </row>
    <row r="301" ht="14.25" customHeight="1">
      <c r="H301" s="3" t="s">
        <v>1354</v>
      </c>
      <c r="I301" s="3" t="str">
        <f t="shared" si="247"/>
        <v>Organizador de refrigerador L</v>
      </c>
      <c r="J301" s="124">
        <f t="shared" si="248"/>
        <v>3878.9</v>
      </c>
      <c r="K301" s="117">
        <f t="shared" si="249"/>
        <v>0.6118816951</v>
      </c>
      <c r="L301" s="115">
        <f t="shared" si="250"/>
        <v>6115.217647</v>
      </c>
      <c r="M301" s="115">
        <v>24990.0</v>
      </c>
      <c r="N301" s="115">
        <v>16990.0</v>
      </c>
      <c r="O301" s="115">
        <f t="shared" ref="O301:P301" si="272">M301/1.19*0.7</f>
        <v>14700</v>
      </c>
      <c r="P301" s="115">
        <f t="shared" si="272"/>
        <v>9994.117647</v>
      </c>
      <c r="Q301" s="3" t="str">
        <f t="shared" si="252"/>
        <v>1654189204021</v>
      </c>
      <c r="R301" s="167">
        <f t="shared" si="253"/>
        <v>559</v>
      </c>
    </row>
    <row r="302" ht="14.25" customHeight="1">
      <c r="H302" s="3" t="s">
        <v>16768</v>
      </c>
      <c r="I302" s="3" t="str">
        <f t="shared" si="247"/>
        <v>Organizador de refrigerador con cesta M</v>
      </c>
      <c r="J302" s="124">
        <f t="shared" si="248"/>
        <v>2300.5</v>
      </c>
      <c r="K302" s="117">
        <f t="shared" si="249"/>
        <v>0.8882294941</v>
      </c>
      <c r="L302" s="115">
        <f t="shared" si="250"/>
        <v>18281.85294</v>
      </c>
      <c r="M302" s="115">
        <v>59990.0</v>
      </c>
      <c r="N302" s="115">
        <v>34990.0</v>
      </c>
      <c r="O302" s="115">
        <f t="shared" ref="O302:P302" si="273">M302/1.19*0.7</f>
        <v>35288.23529</v>
      </c>
      <c r="P302" s="115">
        <f t="shared" si="273"/>
        <v>20582.35294</v>
      </c>
      <c r="Q302" s="3" t="str">
        <f t="shared" si="252"/>
        <v>1650295261109</v>
      </c>
      <c r="R302" s="167">
        <f t="shared" si="253"/>
        <v>854</v>
      </c>
    </row>
    <row r="303" ht="14.25" customHeight="1">
      <c r="H303" s="3" t="s">
        <v>1356</v>
      </c>
      <c r="I303" s="3" t="str">
        <f t="shared" si="247"/>
        <v>Organizador de refrigerador con cesta L</v>
      </c>
      <c r="J303" s="124">
        <f t="shared" si="248"/>
        <v>3357.6</v>
      </c>
      <c r="K303" s="117">
        <f t="shared" si="249"/>
        <v>0.7715918367</v>
      </c>
      <c r="L303" s="115">
        <f t="shared" si="250"/>
        <v>11342.4</v>
      </c>
      <c r="M303" s="115">
        <v>29990.0</v>
      </c>
      <c r="N303" s="115">
        <v>24990.0</v>
      </c>
      <c r="O303" s="115">
        <f t="shared" ref="O303:P303" si="274">M303/1.19*0.7</f>
        <v>17641.17647</v>
      </c>
      <c r="P303" s="115">
        <f t="shared" si="274"/>
        <v>14700</v>
      </c>
      <c r="Q303" s="3" t="str">
        <f t="shared" si="252"/>
        <v>1650295282448</v>
      </c>
      <c r="R303" s="167">
        <f t="shared" si="253"/>
        <v>587</v>
      </c>
    </row>
    <row r="304" ht="14.25" customHeight="1">
      <c r="H304" s="3" t="s">
        <v>1201</v>
      </c>
      <c r="I304" s="3" t="str">
        <f t="shared" si="247"/>
        <v>MUESTRA Termo 111-4</v>
      </c>
      <c r="J304" s="124">
        <f t="shared" si="248"/>
        <v>6883</v>
      </c>
      <c r="K304" s="117">
        <f t="shared" si="249"/>
        <v>0.09922247883</v>
      </c>
      <c r="L304" s="115">
        <f t="shared" si="250"/>
        <v>758.1764706</v>
      </c>
      <c r="M304" s="115">
        <v>18990.0</v>
      </c>
      <c r="N304" s="115">
        <v>12990.0</v>
      </c>
      <c r="O304" s="115">
        <f t="shared" ref="O304:P304" si="275">M304/1.19*0.7</f>
        <v>11170.58824</v>
      </c>
      <c r="P304" s="115">
        <f t="shared" si="275"/>
        <v>7641.176471</v>
      </c>
      <c r="Q304" s="3" t="str">
        <f t="shared" si="252"/>
        <v>67414812797526</v>
      </c>
      <c r="R304" s="167">
        <f t="shared" si="253"/>
        <v>3</v>
      </c>
    </row>
    <row r="305" ht="14.25" customHeight="1">
      <c r="H305" s="3" t="s">
        <v>1202</v>
      </c>
      <c r="I305" s="3" t="str">
        <f t="shared" si="247"/>
        <v>Molinillo de Sal y Pimienta</v>
      </c>
      <c r="J305" s="124">
        <f t="shared" si="248"/>
        <v>3280.7</v>
      </c>
      <c r="K305" s="117">
        <f t="shared" si="249"/>
        <v>0.4417227227</v>
      </c>
      <c r="L305" s="115">
        <f t="shared" si="250"/>
        <v>2595.770588</v>
      </c>
      <c r="M305" s="115">
        <v>16990.0</v>
      </c>
      <c r="N305" s="115">
        <v>9990.0</v>
      </c>
      <c r="O305" s="115">
        <f t="shared" ref="O305:P305" si="276">M305/1.19*0.7</f>
        <v>9994.117647</v>
      </c>
      <c r="P305" s="115">
        <f t="shared" si="276"/>
        <v>5876.470588</v>
      </c>
      <c r="Q305" s="3" t="str">
        <f t="shared" si="252"/>
        <v>1660858702400</v>
      </c>
      <c r="R305" s="167">
        <f t="shared" si="253"/>
        <v>355</v>
      </c>
    </row>
    <row r="306" ht="14.25" customHeight="1">
      <c r="H306" s="3" t="s">
        <v>1203</v>
      </c>
      <c r="I306" s="3" t="str">
        <f t="shared" si="247"/>
        <v>Mantequillero cerámica tapa bamboo con cuchillo 600ml</v>
      </c>
      <c r="J306" s="124">
        <f t="shared" si="248"/>
        <v>3501.2</v>
      </c>
      <c r="K306" s="117">
        <f t="shared" si="249"/>
        <v>0.4584131028</v>
      </c>
      <c r="L306" s="115">
        <f t="shared" si="250"/>
        <v>2963.505882</v>
      </c>
      <c r="M306" s="115">
        <v>16990.0</v>
      </c>
      <c r="N306" s="115">
        <v>10990.0</v>
      </c>
      <c r="O306" s="115">
        <f t="shared" ref="O306:P306" si="277">M306/1.19*0.7</f>
        <v>9994.117647</v>
      </c>
      <c r="P306" s="115">
        <f t="shared" si="277"/>
        <v>6464.705882</v>
      </c>
      <c r="Q306" s="3" t="str">
        <f t="shared" si="252"/>
        <v>1660858118518</v>
      </c>
      <c r="R306" s="167">
        <f t="shared" si="253"/>
        <v>818</v>
      </c>
    </row>
    <row r="307" ht="14.25" customHeight="1">
      <c r="H307" s="3" t="s">
        <v>1204</v>
      </c>
      <c r="I307" s="3" t="str">
        <f t="shared" si="247"/>
        <v>Mantequillero cerámica tapa bamboo 300ml</v>
      </c>
      <c r="J307" s="124">
        <f t="shared" si="248"/>
        <v>3084.5</v>
      </c>
      <c r="K307" s="117">
        <f t="shared" si="249"/>
        <v>0.5963317937</v>
      </c>
      <c r="L307" s="115">
        <f t="shared" si="250"/>
        <v>4556.676471</v>
      </c>
      <c r="M307" s="115">
        <v>24990.0</v>
      </c>
      <c r="N307" s="115">
        <v>12990.0</v>
      </c>
      <c r="O307" s="115">
        <f t="shared" ref="O307:P307" si="278">M307/1.19*0.7</f>
        <v>14700</v>
      </c>
      <c r="P307" s="115">
        <f t="shared" si="278"/>
        <v>7641.176471</v>
      </c>
      <c r="Q307" s="3" t="str">
        <f t="shared" si="252"/>
        <v>1660858101318</v>
      </c>
      <c r="R307" s="167">
        <f t="shared" si="253"/>
        <v>598</v>
      </c>
    </row>
    <row r="308" ht="14.25" customHeight="1">
      <c r="H308" s="3" t="s">
        <v>1205</v>
      </c>
      <c r="I308" s="3" t="str">
        <f t="shared" si="247"/>
        <v>Juego de cachos 4 unidades</v>
      </c>
      <c r="J308" s="124">
        <f t="shared" si="248"/>
        <v>4581.6</v>
      </c>
      <c r="K308" s="117">
        <f t="shared" si="249"/>
        <v>0.5415703355</v>
      </c>
      <c r="L308" s="115">
        <f t="shared" si="250"/>
        <v>5412.517647</v>
      </c>
      <c r="M308" s="115">
        <v>29990.0</v>
      </c>
      <c r="N308" s="115">
        <v>16990.0</v>
      </c>
      <c r="O308" s="115">
        <f t="shared" ref="O308:P308" si="279">M308/1.19*0.7</f>
        <v>17641.17647</v>
      </c>
      <c r="P308" s="115">
        <f t="shared" si="279"/>
        <v>9994.117647</v>
      </c>
      <c r="Q308" s="3" t="str">
        <f t="shared" si="252"/>
        <v>1628018206370</v>
      </c>
      <c r="R308" s="167">
        <f t="shared" si="253"/>
        <v>524</v>
      </c>
    </row>
    <row r="309" ht="14.25" customHeight="1">
      <c r="H309" s="3" t="s">
        <v>1206</v>
      </c>
      <c r="I309" s="3" t="str">
        <f t="shared" si="247"/>
        <v>Fuente para Horno Olla Cerámica Roja</v>
      </c>
      <c r="J309" s="124">
        <f t="shared" si="248"/>
        <v>3771.7</v>
      </c>
      <c r="K309" s="117">
        <f t="shared" si="249"/>
        <v>0.3581691692</v>
      </c>
      <c r="L309" s="115">
        <f t="shared" si="250"/>
        <v>2104.770588</v>
      </c>
      <c r="M309" s="115">
        <v>14990.0</v>
      </c>
      <c r="N309" s="115">
        <v>9990.0</v>
      </c>
      <c r="O309" s="115">
        <f t="shared" ref="O309:P309" si="280">M309/1.19*0.7</f>
        <v>8817.647059</v>
      </c>
      <c r="P309" s="115">
        <f t="shared" si="280"/>
        <v>5876.470588</v>
      </c>
      <c r="Q309" s="3" t="str">
        <f t="shared" si="252"/>
        <v>1659991481176</v>
      </c>
      <c r="R309" s="167">
        <f t="shared" si="253"/>
        <v>326</v>
      </c>
    </row>
    <row r="310" ht="14.25" customHeight="1">
      <c r="H310" s="3" t="s">
        <v>1357</v>
      </c>
      <c r="I310" s="3" t="str">
        <f t="shared" si="247"/>
        <v>Espumador de Leche NEGRO</v>
      </c>
      <c r="J310" s="124">
        <f t="shared" si="248"/>
        <v>14919.6</v>
      </c>
      <c r="K310" s="117">
        <f t="shared" si="249"/>
        <v>-0.01493877551</v>
      </c>
      <c r="L310" s="115">
        <f t="shared" si="250"/>
        <v>-219.6</v>
      </c>
      <c r="M310" s="115">
        <v>39990.0</v>
      </c>
      <c r="N310" s="115">
        <v>24990.0</v>
      </c>
      <c r="O310" s="115">
        <f t="shared" ref="O310:P310" si="281">M310/1.19*0.7</f>
        <v>23523.52941</v>
      </c>
      <c r="P310" s="115">
        <f t="shared" si="281"/>
        <v>14700</v>
      </c>
      <c r="Q310" s="3" t="str">
        <f t="shared" si="252"/>
        <v>1660859171584</v>
      </c>
      <c r="R310" s="167">
        <f t="shared" si="253"/>
        <v>1156</v>
      </c>
    </row>
    <row r="311" ht="14.25" customHeight="1">
      <c r="H311" s="3" t="s">
        <v>1357</v>
      </c>
      <c r="I311" s="3" t="str">
        <f t="shared" si="247"/>
        <v>Espumador de Leche BLANCO</v>
      </c>
      <c r="J311" s="124">
        <f t="shared" si="248"/>
        <v>14860.2</v>
      </c>
      <c r="K311" s="117">
        <f t="shared" si="249"/>
        <v>-0.01089795918</v>
      </c>
      <c r="L311" s="115">
        <f t="shared" si="250"/>
        <v>-160.2</v>
      </c>
      <c r="M311" s="115">
        <v>39990.0</v>
      </c>
      <c r="N311" s="115">
        <v>24990.0</v>
      </c>
      <c r="O311" s="115">
        <f t="shared" ref="O311:P311" si="282">M311/1.19*0.7</f>
        <v>23523.52941</v>
      </c>
      <c r="P311" s="115">
        <f t="shared" si="282"/>
        <v>14700</v>
      </c>
      <c r="Q311" s="3" t="str">
        <f t="shared" si="252"/>
        <v>68432930518995</v>
      </c>
      <c r="R311" s="167">
        <f t="shared" si="253"/>
        <v>393</v>
      </c>
    </row>
    <row r="312" ht="14.25" customHeight="1">
      <c r="H312" s="3" t="s">
        <v>1374</v>
      </c>
      <c r="I312" s="3" t="str">
        <f t="shared" si="247"/>
        <v>Especiero Madera 8 Frascos vidrio</v>
      </c>
      <c r="J312" s="124">
        <f t="shared" si="248"/>
        <v>5589.4</v>
      </c>
      <c r="K312" s="117">
        <f t="shared" si="249"/>
        <v>0.3661120747</v>
      </c>
      <c r="L312" s="115">
        <f t="shared" si="250"/>
        <v>3228.247059</v>
      </c>
      <c r="M312" s="115">
        <v>21990.0</v>
      </c>
      <c r="N312" s="115">
        <v>14990.0</v>
      </c>
      <c r="O312" s="115">
        <f t="shared" ref="O312:P312" si="283">M312/1.19*0.7</f>
        <v>12935.29412</v>
      </c>
      <c r="P312" s="115">
        <f t="shared" si="283"/>
        <v>8817.647059</v>
      </c>
      <c r="Q312" s="3" t="str">
        <f t="shared" si="252"/>
        <v>1660857800718</v>
      </c>
      <c r="R312" s="167">
        <f t="shared" si="253"/>
        <v>383</v>
      </c>
    </row>
    <row r="313" ht="14.25" customHeight="1">
      <c r="M313" s="115"/>
      <c r="N313" s="115"/>
      <c r="O313" s="115"/>
    </row>
    <row r="314" ht="14.25" customHeight="1">
      <c r="H314" s="3" t="s">
        <v>2112</v>
      </c>
      <c r="I314" s="3" t="str">
        <f t="shared" ref="I314:I315" si="285">B314</f>
        <v>Cubeta Hielo redondo 6 unidades</v>
      </c>
      <c r="J314" s="124">
        <f t="shared" ref="J314:J315" si="286">E314</f>
        <v>1400.8</v>
      </c>
      <c r="K314" s="117">
        <f t="shared" ref="K314:K315" si="287">1-(J314/P314)</f>
        <v>0.8964175729</v>
      </c>
      <c r="L314" s="115">
        <f t="shared" ref="L314:L315" si="288">P314-J314</f>
        <v>12122.72941</v>
      </c>
      <c r="M314" s="115">
        <v>29990.0</v>
      </c>
      <c r="N314" s="115">
        <v>22990.0</v>
      </c>
      <c r="O314" s="115">
        <f t="shared" ref="O314:P314" si="284">M314/1.19*0.7</f>
        <v>17641.17647</v>
      </c>
      <c r="P314" s="115">
        <f t="shared" si="284"/>
        <v>13523.52941</v>
      </c>
      <c r="Q314" s="3" t="str">
        <f t="shared" ref="Q314:Q315" si="290">C314</f>
        <v>66800509015029</v>
      </c>
      <c r="R314" s="167">
        <f t="shared" ref="R314:R315" si="291">VLOOKUP(Q314,$C$4:$D$1048576,2,0)</f>
        <v>113</v>
      </c>
    </row>
    <row r="315" ht="14.25" customHeight="1">
      <c r="H315" s="3" t="s">
        <v>2112</v>
      </c>
      <c r="I315" s="3" t="str">
        <f t="shared" si="285"/>
        <v>Cubeta Hielo Pequeño</v>
      </c>
      <c r="J315" s="124">
        <f t="shared" si="286"/>
        <v>613.8</v>
      </c>
      <c r="K315" s="117">
        <f t="shared" si="287"/>
        <v>0.9546124402</v>
      </c>
      <c r="L315" s="115">
        <f t="shared" si="288"/>
        <v>12909.72941</v>
      </c>
      <c r="M315" s="115">
        <v>29990.0</v>
      </c>
      <c r="N315" s="115">
        <v>22990.0</v>
      </c>
      <c r="O315" s="115">
        <f t="shared" ref="O315:P315" si="289">M315/1.19*0.7</f>
        <v>17641.17647</v>
      </c>
      <c r="P315" s="115">
        <f t="shared" si="289"/>
        <v>13523.52941</v>
      </c>
      <c r="Q315" s="3" t="str">
        <f t="shared" si="290"/>
        <v>66800506435054</v>
      </c>
      <c r="R315" s="167">
        <f t="shared" si="291"/>
        <v>406</v>
      </c>
    </row>
    <row r="316" ht="14.25" customHeight="1">
      <c r="M316" s="115"/>
      <c r="N316" s="115"/>
      <c r="O316" s="115"/>
    </row>
    <row r="317" ht="14.25" customHeight="1">
      <c r="H317" s="3" t="s">
        <v>1298</v>
      </c>
      <c r="I317" s="3" t="str">
        <f t="shared" ref="I317:I336" si="293">B317</f>
        <v>Cortador colador multifuncional</v>
      </c>
      <c r="J317" s="124">
        <f t="shared" ref="J317:J336" si="294">E317</f>
        <v>2767.1</v>
      </c>
      <c r="K317" s="117">
        <f t="shared" ref="K317:K336" si="295">1-(J317/P317)</f>
        <v>0.5291221221</v>
      </c>
      <c r="L317" s="115">
        <f t="shared" ref="L317:L336" si="296">P317-J317</f>
        <v>3109.370588</v>
      </c>
      <c r="M317" s="115">
        <v>12990.0</v>
      </c>
      <c r="N317" s="115">
        <v>9990.0</v>
      </c>
      <c r="O317" s="115">
        <f t="shared" ref="O317:P317" si="292">M317/1.19*0.7</f>
        <v>7641.176471</v>
      </c>
      <c r="P317" s="115">
        <f t="shared" si="292"/>
        <v>5876.470588</v>
      </c>
      <c r="Q317" s="3" t="str">
        <f t="shared" ref="Q317:Q336" si="298">C317</f>
        <v>1660858025311</v>
      </c>
      <c r="R317" s="167">
        <f t="shared" ref="R317:R336" si="299">VLOOKUP(Q317,$C$4:$D$1048576,2,0)</f>
        <v>400</v>
      </c>
    </row>
    <row r="318" ht="14.25" customHeight="1">
      <c r="H318" s="3" t="s">
        <v>1310</v>
      </c>
      <c r="I318" s="3" t="str">
        <f t="shared" si="293"/>
        <v>Contenedor Cerámica S Negro</v>
      </c>
      <c r="J318" s="124">
        <f t="shared" si="294"/>
        <v>1947.7</v>
      </c>
      <c r="K318" s="117">
        <f t="shared" si="295"/>
        <v>0.5263104435</v>
      </c>
      <c r="L318" s="115">
        <f t="shared" si="296"/>
        <v>2164.064706</v>
      </c>
      <c r="M318" s="115">
        <v>8990.0</v>
      </c>
      <c r="N318" s="115">
        <v>6990.0</v>
      </c>
      <c r="O318" s="115">
        <f t="shared" ref="O318:P318" si="297">M318/1.19*0.7</f>
        <v>5288.235294</v>
      </c>
      <c r="P318" s="115">
        <f t="shared" si="297"/>
        <v>4111.764706</v>
      </c>
      <c r="Q318" s="3" t="str">
        <f t="shared" si="298"/>
        <v>1660858756233</v>
      </c>
      <c r="R318" s="167">
        <f t="shared" si="299"/>
        <v>210</v>
      </c>
    </row>
    <row r="319" ht="14.25" customHeight="1">
      <c r="H319" s="3" t="s">
        <v>1311</v>
      </c>
      <c r="I319" s="3" t="str">
        <f t="shared" si="293"/>
        <v>Contenedor Cerámica S Blanco</v>
      </c>
      <c r="J319" s="124">
        <f t="shared" si="294"/>
        <v>2009.3</v>
      </c>
      <c r="K319" s="117">
        <f t="shared" si="295"/>
        <v>0.5113290415</v>
      </c>
      <c r="L319" s="115">
        <f t="shared" si="296"/>
        <v>2102.464706</v>
      </c>
      <c r="M319" s="115">
        <v>8990.0</v>
      </c>
      <c r="N319" s="115">
        <v>6990.0</v>
      </c>
      <c r="O319" s="115">
        <f t="shared" ref="O319:P319" si="300">M319/1.19*0.7</f>
        <v>5288.235294</v>
      </c>
      <c r="P319" s="115">
        <f t="shared" si="300"/>
        <v>4111.764706</v>
      </c>
      <c r="Q319" s="3" t="str">
        <f t="shared" si="298"/>
        <v>1660858812938</v>
      </c>
      <c r="R319" s="167">
        <f t="shared" si="299"/>
        <v>206</v>
      </c>
    </row>
    <row r="320" ht="14.25" customHeight="1">
      <c r="H320" s="3" t="s">
        <v>2103</v>
      </c>
      <c r="I320" s="3" t="str">
        <f t="shared" si="293"/>
        <v>Contenedor Cerámica M Negro</v>
      </c>
      <c r="J320" s="124">
        <f t="shared" si="294"/>
        <v>2895.6</v>
      </c>
      <c r="K320" s="117">
        <f t="shared" si="295"/>
        <v>0.6716130754</v>
      </c>
      <c r="L320" s="115">
        <f t="shared" si="296"/>
        <v>5922.047059</v>
      </c>
      <c r="M320" s="115">
        <v>24990.0</v>
      </c>
      <c r="N320" s="115">
        <v>14990.0</v>
      </c>
      <c r="O320" s="115">
        <f t="shared" ref="O320:P320" si="301">M320/1.19*0.7</f>
        <v>14700</v>
      </c>
      <c r="P320" s="115">
        <f t="shared" si="301"/>
        <v>8817.647059</v>
      </c>
      <c r="Q320" s="3" t="str">
        <f t="shared" si="298"/>
        <v>1660858776726</v>
      </c>
      <c r="R320" s="167">
        <f t="shared" si="299"/>
        <v>207</v>
      </c>
    </row>
    <row r="321" ht="14.25" customHeight="1">
      <c r="H321" s="3" t="s">
        <v>2103</v>
      </c>
      <c r="I321" s="3" t="str">
        <f t="shared" si="293"/>
        <v>Contenedor Cerámica M Blanco</v>
      </c>
      <c r="J321" s="124">
        <f t="shared" si="294"/>
        <v>3004.5</v>
      </c>
      <c r="K321" s="117">
        <f t="shared" si="295"/>
        <v>0.6592628419</v>
      </c>
      <c r="L321" s="115">
        <f t="shared" si="296"/>
        <v>5813.147059</v>
      </c>
      <c r="M321" s="115">
        <v>24990.0</v>
      </c>
      <c r="N321" s="115">
        <v>14990.0</v>
      </c>
      <c r="O321" s="115">
        <f t="shared" ref="O321:P321" si="302">M321/1.19*0.7</f>
        <v>14700</v>
      </c>
      <c r="P321" s="115">
        <f t="shared" si="302"/>
        <v>8817.647059</v>
      </c>
      <c r="Q321" s="3" t="str">
        <f t="shared" si="298"/>
        <v>1660858828618</v>
      </c>
      <c r="R321" s="167">
        <f t="shared" si="299"/>
        <v>180</v>
      </c>
    </row>
    <row r="322" ht="14.25" customHeight="1">
      <c r="H322" s="3" t="s">
        <v>2103</v>
      </c>
      <c r="I322" s="3" t="str">
        <f t="shared" si="293"/>
        <v>Contenedor Cerámica L Negro</v>
      </c>
      <c r="J322" s="124">
        <f t="shared" si="294"/>
        <v>3538.7</v>
      </c>
      <c r="K322" s="117">
        <f t="shared" si="295"/>
        <v>0.5986797865</v>
      </c>
      <c r="L322" s="115">
        <f t="shared" si="296"/>
        <v>5278.947059</v>
      </c>
      <c r="M322" s="115">
        <v>24990.0</v>
      </c>
      <c r="N322" s="115">
        <v>14990.0</v>
      </c>
      <c r="O322" s="115">
        <f t="shared" ref="O322:P322" si="303">M322/1.19*0.7</f>
        <v>14700</v>
      </c>
      <c r="P322" s="115">
        <f t="shared" si="303"/>
        <v>8817.647059</v>
      </c>
      <c r="Q322" s="3" t="str">
        <f t="shared" si="298"/>
        <v>1660858793429</v>
      </c>
      <c r="R322" s="167">
        <f t="shared" si="299"/>
        <v>137</v>
      </c>
    </row>
    <row r="323" ht="14.25" customHeight="1">
      <c r="H323" s="3" t="s">
        <v>2105</v>
      </c>
      <c r="I323" s="3" t="str">
        <f t="shared" si="293"/>
        <v>Contenedor Cerámica L Blanco</v>
      </c>
      <c r="J323" s="124">
        <f t="shared" si="294"/>
        <v>3607.7</v>
      </c>
      <c r="K323" s="117">
        <f t="shared" si="295"/>
        <v>0.693192096</v>
      </c>
      <c r="L323" s="115">
        <f t="shared" si="296"/>
        <v>8151.123529</v>
      </c>
      <c r="M323" s="115">
        <v>29990.0</v>
      </c>
      <c r="N323" s="115">
        <v>19990.0</v>
      </c>
      <c r="O323" s="115">
        <f t="shared" ref="O323:P323" si="304">M323/1.19*0.7</f>
        <v>17641.17647</v>
      </c>
      <c r="P323" s="115">
        <f t="shared" si="304"/>
        <v>11758.82353</v>
      </c>
      <c r="Q323" s="3" t="str">
        <f t="shared" si="298"/>
        <v>1660858844449</v>
      </c>
      <c r="R323" s="167">
        <f t="shared" si="299"/>
        <v>227</v>
      </c>
    </row>
    <row r="324" ht="14.25" customHeight="1">
      <c r="H324" s="3" t="s">
        <v>2105</v>
      </c>
      <c r="I324" s="3" t="str">
        <f t="shared" si="293"/>
        <v>Cafetera Prensa Francesa Vidrio Cobre 600 ml</v>
      </c>
      <c r="J324" s="124">
        <f t="shared" si="294"/>
        <v>4807</v>
      </c>
      <c r="K324" s="117">
        <f t="shared" si="295"/>
        <v>0.5912006003</v>
      </c>
      <c r="L324" s="115">
        <f t="shared" si="296"/>
        <v>6951.823529</v>
      </c>
      <c r="M324" s="115">
        <v>29990.0</v>
      </c>
      <c r="N324" s="115">
        <v>19990.0</v>
      </c>
      <c r="O324" s="115">
        <f t="shared" ref="O324:P324" si="305">M324/1.19*0.7</f>
        <v>17641.17647</v>
      </c>
      <c r="P324" s="115">
        <f t="shared" si="305"/>
        <v>11758.82353</v>
      </c>
      <c r="Q324" s="3" t="str">
        <f t="shared" si="298"/>
        <v>SIMCAFFRCO</v>
      </c>
      <c r="R324" s="167">
        <f t="shared" si="299"/>
        <v>200</v>
      </c>
    </row>
    <row r="325" ht="14.25" customHeight="1">
      <c r="H325" s="3" t="s">
        <v>2105</v>
      </c>
      <c r="I325" s="3" t="str">
        <f t="shared" si="293"/>
        <v>Cafetera Italiana Negro Granito12 Tazas</v>
      </c>
      <c r="J325" s="124">
        <f t="shared" si="294"/>
        <v>8332.4</v>
      </c>
      <c r="K325" s="117">
        <f t="shared" si="295"/>
        <v>0.2913916958</v>
      </c>
      <c r="L325" s="115">
        <f t="shared" si="296"/>
        <v>3426.423529</v>
      </c>
      <c r="M325" s="115">
        <v>29990.0</v>
      </c>
      <c r="N325" s="115">
        <v>19990.0</v>
      </c>
      <c r="O325" s="115">
        <f t="shared" ref="O325:P325" si="306">M325/1.19*0.7</f>
        <v>17641.17647</v>
      </c>
      <c r="P325" s="115">
        <f t="shared" si="306"/>
        <v>11758.82353</v>
      </c>
      <c r="Q325" s="3" t="str">
        <f t="shared" si="298"/>
        <v>1652825295706</v>
      </c>
      <c r="R325" s="167">
        <f t="shared" si="299"/>
        <v>732</v>
      </c>
    </row>
    <row r="326" ht="14.25" customHeight="1">
      <c r="H326" s="3" t="s">
        <v>2127</v>
      </c>
      <c r="I326" s="3" t="str">
        <f t="shared" si="293"/>
        <v>Cafetera Italiana Negro Granito 4 tazas</v>
      </c>
      <c r="J326" s="124">
        <f t="shared" si="294"/>
        <v>6671.5</v>
      </c>
      <c r="K326" s="117">
        <f t="shared" si="295"/>
        <v>0.5461564626</v>
      </c>
      <c r="L326" s="115">
        <f t="shared" si="296"/>
        <v>8028.5</v>
      </c>
      <c r="M326" s="115">
        <v>29990.0</v>
      </c>
      <c r="N326" s="115">
        <v>24990.0</v>
      </c>
      <c r="O326" s="115">
        <f t="shared" ref="O326:P326" si="307">M326/1.19*0.7</f>
        <v>17641.17647</v>
      </c>
      <c r="P326" s="115">
        <f t="shared" si="307"/>
        <v>14700</v>
      </c>
      <c r="Q326" s="3" t="str">
        <f t="shared" si="298"/>
        <v>1629726159155</v>
      </c>
      <c r="R326" s="167">
        <f t="shared" si="299"/>
        <v>778</v>
      </c>
    </row>
    <row r="327" ht="14.25" customHeight="1">
      <c r="H327" s="3" t="s">
        <v>2127</v>
      </c>
      <c r="I327" s="3" t="str">
        <f t="shared" si="293"/>
        <v>Cafetera Francesa 600ml Negro</v>
      </c>
      <c r="J327" s="124">
        <f t="shared" si="294"/>
        <v>3699.1</v>
      </c>
      <c r="K327" s="117">
        <f t="shared" si="295"/>
        <v>0.7483605442</v>
      </c>
      <c r="L327" s="115">
        <f t="shared" si="296"/>
        <v>11000.9</v>
      </c>
      <c r="M327" s="115">
        <v>29990.0</v>
      </c>
      <c r="N327" s="115">
        <v>24990.0</v>
      </c>
      <c r="O327" s="115">
        <f t="shared" ref="O327:P327" si="308">M327/1.19*0.7</f>
        <v>17641.17647</v>
      </c>
      <c r="P327" s="115">
        <f t="shared" si="308"/>
        <v>14700</v>
      </c>
      <c r="Q327" s="3" t="str">
        <f t="shared" si="298"/>
        <v>1630369674271</v>
      </c>
      <c r="R327" s="167">
        <f t="shared" si="299"/>
        <v>951</v>
      </c>
    </row>
    <row r="328" ht="14.25" customHeight="1">
      <c r="H328" s="3" t="s">
        <v>1359</v>
      </c>
      <c r="I328" s="3" t="str">
        <f t="shared" si="293"/>
        <v>Bateria de Ollas Copper Colection</v>
      </c>
      <c r="J328" s="124">
        <f t="shared" si="294"/>
        <v>24518.2</v>
      </c>
      <c r="K328" s="117">
        <f t="shared" si="295"/>
        <v>-1.316894942</v>
      </c>
      <c r="L328" s="115">
        <f t="shared" si="296"/>
        <v>-13935.84706</v>
      </c>
      <c r="M328" s="115">
        <v>19990.0</v>
      </c>
      <c r="N328" s="115">
        <v>17990.0</v>
      </c>
      <c r="O328" s="115">
        <f t="shared" ref="O328:P328" si="309">M328/1.19*0.7</f>
        <v>11758.82353</v>
      </c>
      <c r="P328" s="115">
        <f t="shared" si="309"/>
        <v>10582.35294</v>
      </c>
      <c r="Q328" s="3" t="str">
        <f t="shared" si="298"/>
        <v>1635956574926</v>
      </c>
      <c r="R328" s="167">
        <f t="shared" si="299"/>
        <v>104</v>
      </c>
    </row>
    <row r="329" ht="14.25" customHeight="1">
      <c r="H329" s="3" t="s">
        <v>2129</v>
      </c>
      <c r="I329" s="3" t="str">
        <f t="shared" si="293"/>
        <v>Batería de Cocina Oregon 5 piezas</v>
      </c>
      <c r="J329" s="124">
        <f t="shared" si="294"/>
        <v>15452</v>
      </c>
      <c r="K329" s="117">
        <f t="shared" si="295"/>
        <v>-0.75239493</v>
      </c>
      <c r="L329" s="115">
        <f t="shared" si="296"/>
        <v>-6634.352941</v>
      </c>
      <c r="M329" s="115">
        <v>24990.0</v>
      </c>
      <c r="N329" s="115">
        <v>14990.0</v>
      </c>
      <c r="O329" s="115">
        <f t="shared" ref="O329:P329" si="310">M329/1.19*0.7</f>
        <v>14700</v>
      </c>
      <c r="P329" s="115">
        <f t="shared" si="310"/>
        <v>8817.647059</v>
      </c>
      <c r="Q329" s="3" t="str">
        <f t="shared" si="298"/>
        <v>SIMBATORG-BK</v>
      </c>
      <c r="R329" s="167">
        <f t="shared" si="299"/>
        <v>376</v>
      </c>
    </row>
    <row r="330" ht="14.25" customHeight="1">
      <c r="H330" s="3" t="s">
        <v>2129</v>
      </c>
      <c r="I330" s="3" t="str">
        <f t="shared" si="293"/>
        <v>Batería de Cocina Classic Series</v>
      </c>
      <c r="J330" s="124">
        <f t="shared" si="294"/>
        <v>40633.3</v>
      </c>
      <c r="K330" s="117">
        <f t="shared" si="295"/>
        <v>-3.608179453</v>
      </c>
      <c r="L330" s="115">
        <f t="shared" si="296"/>
        <v>-31815.65294</v>
      </c>
      <c r="M330" s="115">
        <v>24990.0</v>
      </c>
      <c r="N330" s="115">
        <v>14990.0</v>
      </c>
      <c r="O330" s="115">
        <f t="shared" ref="O330:P330" si="311">M330/1.19*0.7</f>
        <v>14700</v>
      </c>
      <c r="P330" s="115">
        <f t="shared" si="311"/>
        <v>8817.647059</v>
      </c>
      <c r="Q330" s="3" t="str">
        <f t="shared" si="298"/>
        <v>1634845754276</v>
      </c>
      <c r="R330" s="167">
        <f t="shared" si="299"/>
        <v>337</v>
      </c>
    </row>
    <row r="331" ht="14.25" customHeight="1">
      <c r="H331" s="3" t="s">
        <v>2129</v>
      </c>
      <c r="I331" s="3" t="str">
        <f t="shared" si="293"/>
        <v>Web Camera Black 1080P</v>
      </c>
      <c r="J331" s="124">
        <f t="shared" si="294"/>
        <v>11078.1</v>
      </c>
      <c r="K331" s="117">
        <f t="shared" si="295"/>
        <v>-0.2563555704</v>
      </c>
      <c r="L331" s="115">
        <f t="shared" si="296"/>
        <v>-2260.452941</v>
      </c>
      <c r="M331" s="115">
        <v>24990.0</v>
      </c>
      <c r="N331" s="115">
        <v>14990.0</v>
      </c>
      <c r="O331" s="115">
        <f t="shared" ref="O331:P331" si="312">M331/1.19*0.7</f>
        <v>14700</v>
      </c>
      <c r="P331" s="115">
        <f t="shared" si="312"/>
        <v>8817.647059</v>
      </c>
      <c r="Q331" s="3" t="str">
        <f t="shared" si="298"/>
        <v>1598650124917</v>
      </c>
      <c r="R331" s="167">
        <f t="shared" si="299"/>
        <v>5</v>
      </c>
    </row>
    <row r="332" ht="14.25" customHeight="1">
      <c r="H332" s="3" t="s">
        <v>1745</v>
      </c>
      <c r="I332" s="3" t="str">
        <f t="shared" si="293"/>
        <v>Vr Box Ultra + audifonos</v>
      </c>
      <c r="J332" s="124">
        <f t="shared" si="294"/>
        <v>6512.2</v>
      </c>
      <c r="K332" s="117">
        <f t="shared" si="295"/>
        <v>0.5569931973</v>
      </c>
      <c r="L332" s="115">
        <f t="shared" si="296"/>
        <v>8187.8</v>
      </c>
      <c r="M332" s="115">
        <v>29990.0</v>
      </c>
      <c r="N332" s="115">
        <v>24990.0</v>
      </c>
      <c r="O332" s="115">
        <f t="shared" ref="O332:P332" si="313">M332/1.19*0.7</f>
        <v>17641.17647</v>
      </c>
      <c r="P332" s="115">
        <f t="shared" si="313"/>
        <v>14700</v>
      </c>
      <c r="Q332" s="3" t="str">
        <f t="shared" si="298"/>
        <v>1658329968514</v>
      </c>
      <c r="R332" s="167">
        <f t="shared" si="299"/>
        <v>402</v>
      </c>
    </row>
    <row r="333" ht="14.25" customHeight="1">
      <c r="H333" s="3" t="s">
        <v>1713</v>
      </c>
      <c r="I333" s="3" t="str">
        <f t="shared" si="293"/>
        <v>Telon Proyector 80 pulgadas</v>
      </c>
      <c r="J333" s="124">
        <f t="shared" si="294"/>
        <v>21238</v>
      </c>
      <c r="K333" s="117">
        <f t="shared" si="295"/>
        <v>0.2777635527</v>
      </c>
      <c r="L333" s="115">
        <f t="shared" si="296"/>
        <v>8167.882353</v>
      </c>
      <c r="M333" s="115">
        <v>59990.0</v>
      </c>
      <c r="N333" s="115">
        <v>49990.0</v>
      </c>
      <c r="O333" s="115">
        <f t="shared" ref="O333:P333" si="314">M333/1.19*0.7</f>
        <v>35288.23529</v>
      </c>
      <c r="P333" s="115">
        <f t="shared" si="314"/>
        <v>29405.88235</v>
      </c>
      <c r="Q333" s="3" t="str">
        <f t="shared" si="298"/>
        <v>LVTEL-80</v>
      </c>
      <c r="R333" s="167">
        <f t="shared" si="299"/>
        <v>250</v>
      </c>
    </row>
    <row r="334" ht="14.25" customHeight="1">
      <c r="H334" s="3" t="s">
        <v>1747</v>
      </c>
      <c r="I334" s="3" t="str">
        <f t="shared" si="293"/>
        <v>Telon Proyector 60 pulgadas</v>
      </c>
      <c r="J334" s="124">
        <f t="shared" si="294"/>
        <v>13760</v>
      </c>
      <c r="K334" s="117">
        <f t="shared" si="295"/>
        <v>0.5320664133</v>
      </c>
      <c r="L334" s="115">
        <f t="shared" si="296"/>
        <v>15645.88235</v>
      </c>
      <c r="M334" s="115">
        <v>69990.0</v>
      </c>
      <c r="N334" s="115">
        <v>49990.0</v>
      </c>
      <c r="O334" s="115">
        <f t="shared" ref="O334:P334" si="315">M334/1.19*0.7</f>
        <v>41170.58824</v>
      </c>
      <c r="P334" s="115">
        <f t="shared" si="315"/>
        <v>29405.88235</v>
      </c>
      <c r="Q334" s="3" t="str">
        <f t="shared" si="298"/>
        <v>1659991999728</v>
      </c>
      <c r="R334" s="167">
        <f t="shared" si="299"/>
        <v>518</v>
      </c>
    </row>
    <row r="335" ht="14.25" customHeight="1">
      <c r="H335" s="3" t="s">
        <v>16843</v>
      </c>
      <c r="I335" s="3" t="str">
        <f t="shared" si="293"/>
        <v>Telon Proyector 100 pulgadas</v>
      </c>
      <c r="J335" s="124">
        <f t="shared" si="294"/>
        <v>25010.5</v>
      </c>
      <c r="K335" s="117">
        <f t="shared" si="295"/>
        <v>-0.7013945578</v>
      </c>
      <c r="L335" s="115">
        <f t="shared" si="296"/>
        <v>-10310.5</v>
      </c>
      <c r="M335" s="115">
        <v>29990.0</v>
      </c>
      <c r="N335" s="115">
        <v>24990.0</v>
      </c>
      <c r="O335" s="115">
        <f t="shared" ref="O335:P335" si="316">M335/1.19*0.7</f>
        <v>17641.17647</v>
      </c>
      <c r="P335" s="115">
        <f t="shared" si="316"/>
        <v>14700</v>
      </c>
      <c r="Q335" s="3" t="str">
        <f t="shared" si="298"/>
        <v>1659991971809</v>
      </c>
      <c r="R335" s="167">
        <f t="shared" si="299"/>
        <v>860</v>
      </c>
    </row>
    <row r="336" ht="14.25" customHeight="1">
      <c r="H336" s="3" t="s">
        <v>245</v>
      </c>
      <c r="I336" s="3" t="str">
        <f t="shared" si="293"/>
        <v>Teclado Gamer RGB Storm</v>
      </c>
      <c r="J336" s="124">
        <f t="shared" si="294"/>
        <v>9787.2</v>
      </c>
      <c r="K336" s="117">
        <f t="shared" si="295"/>
        <v>0.7919959995</v>
      </c>
      <c r="L336" s="115">
        <f t="shared" si="296"/>
        <v>37265.74118</v>
      </c>
      <c r="M336" s="115">
        <v>89990.0</v>
      </c>
      <c r="N336" s="115">
        <v>79990.0</v>
      </c>
      <c r="O336" s="115">
        <f t="shared" ref="O336:P336" si="317">M336/1.19*0.7</f>
        <v>52935.29412</v>
      </c>
      <c r="P336" s="115">
        <f t="shared" si="317"/>
        <v>47052.94118</v>
      </c>
      <c r="Q336" s="3" t="str">
        <f t="shared" si="298"/>
        <v>1659990725288</v>
      </c>
      <c r="R336" s="167">
        <f t="shared" si="299"/>
        <v>394</v>
      </c>
    </row>
    <row r="337" ht="14.25" customHeight="1">
      <c r="M337" s="115"/>
      <c r="N337" s="115"/>
      <c r="O337" s="115"/>
    </row>
    <row r="338" ht="14.25" customHeight="1">
      <c r="M338" s="115"/>
      <c r="N338" s="115"/>
      <c r="O338" s="115"/>
    </row>
    <row r="339" ht="14.25" customHeight="1">
      <c r="H339" s="3" t="s">
        <v>1717</v>
      </c>
      <c r="I339" s="3" t="str">
        <f t="shared" ref="I339:I341" si="319">B339</f>
        <v>Silla Gamer Negro-Roja</v>
      </c>
      <c r="J339" s="124">
        <f t="shared" ref="J339:J341" si="320">E339</f>
        <v>48846.5</v>
      </c>
      <c r="K339" s="117">
        <f t="shared" ref="K339:K341" si="321">1-(J339/P339)</f>
        <v>-2.322891156</v>
      </c>
      <c r="L339" s="115">
        <f t="shared" ref="L339:L341" si="322">P339-J339</f>
        <v>-34146.5</v>
      </c>
      <c r="M339" s="115">
        <v>29990.0</v>
      </c>
      <c r="N339" s="115">
        <v>24990.0</v>
      </c>
      <c r="O339" s="115">
        <f t="shared" ref="O339:P339" si="318">M339/1.19*0.7</f>
        <v>17641.17647</v>
      </c>
      <c r="P339" s="115">
        <f t="shared" si="318"/>
        <v>14700</v>
      </c>
      <c r="Q339" s="3" t="str">
        <f t="shared" ref="Q339:Q341" si="324">C339</f>
        <v>1630370579400</v>
      </c>
      <c r="R339" s="167">
        <f t="shared" ref="R339:R341" si="325">VLOOKUP(Q339,$C$4:$D$1048576,2,0)</f>
        <v>4</v>
      </c>
    </row>
    <row r="340" ht="14.25" customHeight="1">
      <c r="H340" s="3" t="s">
        <v>1717</v>
      </c>
      <c r="I340" s="3" t="str">
        <f t="shared" si="319"/>
        <v>Silla Ejecutiva Negra</v>
      </c>
      <c r="J340" s="124">
        <f t="shared" si="320"/>
        <v>36071.6</v>
      </c>
      <c r="K340" s="117">
        <f t="shared" si="321"/>
        <v>-1.45385034</v>
      </c>
      <c r="L340" s="115">
        <f t="shared" si="322"/>
        <v>-21371.6</v>
      </c>
      <c r="M340" s="115">
        <v>29990.0</v>
      </c>
      <c r="N340" s="115">
        <v>24990.0</v>
      </c>
      <c r="O340" s="115">
        <f t="shared" ref="O340:P340" si="323">M340/1.19*0.7</f>
        <v>17641.17647</v>
      </c>
      <c r="P340" s="115">
        <f t="shared" si="323"/>
        <v>14700</v>
      </c>
      <c r="Q340" s="3" t="str">
        <f t="shared" si="324"/>
        <v>67898087132855</v>
      </c>
      <c r="R340" s="167">
        <f t="shared" si="325"/>
        <v>439</v>
      </c>
    </row>
    <row r="341" ht="14.25" customHeight="1">
      <c r="H341" s="3" t="s">
        <v>16851</v>
      </c>
      <c r="I341" s="3" t="str">
        <f t="shared" si="319"/>
        <v>Proyector YG480 Infinity</v>
      </c>
      <c r="J341" s="124">
        <f t="shared" si="320"/>
        <v>100498.7</v>
      </c>
      <c r="K341" s="117">
        <f t="shared" si="321"/>
        <v>-7.546662831</v>
      </c>
      <c r="L341" s="115">
        <f t="shared" si="322"/>
        <v>-88739.87647</v>
      </c>
      <c r="M341" s="115">
        <v>24990.0</v>
      </c>
      <c r="N341" s="115">
        <v>19990.0</v>
      </c>
      <c r="O341" s="115">
        <f t="shared" ref="O341:P341" si="326">M341/1.19*0.7</f>
        <v>14700</v>
      </c>
      <c r="P341" s="115">
        <f t="shared" si="326"/>
        <v>11758.82353</v>
      </c>
      <c r="Q341" s="3" t="str">
        <f t="shared" si="324"/>
        <v>1658330471799</v>
      </c>
      <c r="R341" s="167">
        <f t="shared" si="325"/>
        <v>349</v>
      </c>
    </row>
    <row r="342" ht="14.25" customHeight="1">
      <c r="M342" s="115"/>
      <c r="N342" s="115"/>
      <c r="O342" s="115"/>
    </row>
    <row r="343" ht="14.25" customHeight="1">
      <c r="M343" s="115"/>
      <c r="N343" s="115"/>
      <c r="O343" s="115"/>
    </row>
    <row r="344" ht="14.25" customHeight="1">
      <c r="M344" s="115"/>
      <c r="N344" s="115"/>
      <c r="O344" s="115"/>
    </row>
    <row r="345" ht="14.25" customHeight="1">
      <c r="H345" s="3" t="s">
        <v>1698</v>
      </c>
      <c r="I345" s="3" t="str">
        <f t="shared" ref="I345:I367" si="328">B345</f>
        <v>Pro Controller Inalámbrico Nintendo S</v>
      </c>
      <c r="J345" s="124">
        <f t="shared" ref="J345:J367" si="329">E345</f>
        <v>10434</v>
      </c>
      <c r="K345" s="117">
        <f t="shared" ref="K345:K367" si="330">1-(J345/P345)</f>
        <v>-0.3654965358</v>
      </c>
      <c r="L345" s="115">
        <f t="shared" ref="L345:L367" si="331">P345-J345</f>
        <v>-2792.823529</v>
      </c>
      <c r="M345" s="115">
        <v>19990.0</v>
      </c>
      <c r="N345" s="115">
        <v>12990.0</v>
      </c>
      <c r="O345" s="115">
        <f t="shared" ref="O345:P345" si="327">M345/1.19*0.7</f>
        <v>11758.82353</v>
      </c>
      <c r="P345" s="115">
        <f t="shared" si="327"/>
        <v>7641.176471</v>
      </c>
      <c r="Q345" s="3" t="str">
        <f t="shared" ref="Q345:Q367" si="333">C345</f>
        <v>1659990788079</v>
      </c>
      <c r="R345" s="167">
        <f t="shared" ref="R345:R367" si="334">VLOOKUP(Q345,$C$4:$D$1048576,2,0)</f>
        <v>258</v>
      </c>
    </row>
    <row r="346" ht="14.25" customHeight="1">
      <c r="H346" s="3" t="s">
        <v>1698</v>
      </c>
      <c r="I346" s="3" t="str">
        <f t="shared" si="328"/>
        <v>Pro Control Nintendo Switch NEGRO</v>
      </c>
      <c r="J346" s="124">
        <f t="shared" si="329"/>
        <v>11381</v>
      </c>
      <c r="K346" s="117">
        <f t="shared" si="330"/>
        <v>-0.489430331</v>
      </c>
      <c r="L346" s="115">
        <f t="shared" si="331"/>
        <v>-3739.823529</v>
      </c>
      <c r="M346" s="115">
        <v>19990.0</v>
      </c>
      <c r="N346" s="115">
        <v>12990.0</v>
      </c>
      <c r="O346" s="115">
        <f t="shared" ref="O346:P346" si="332">M346/1.19*0.7</f>
        <v>11758.82353</v>
      </c>
      <c r="P346" s="115">
        <f t="shared" si="332"/>
        <v>7641.176471</v>
      </c>
      <c r="Q346" s="3" t="str">
        <f t="shared" si="333"/>
        <v>LVCONSW-BK</v>
      </c>
      <c r="R346" s="167">
        <f t="shared" si="334"/>
        <v>95</v>
      </c>
    </row>
    <row r="347" ht="14.25" customHeight="1">
      <c r="H347" s="3" t="s">
        <v>1701</v>
      </c>
      <c r="I347" s="3" t="str">
        <f t="shared" si="328"/>
        <v>Pesa Digital Balanza Negra Inteligente</v>
      </c>
      <c r="J347" s="124">
        <f t="shared" si="329"/>
        <v>3648.9</v>
      </c>
      <c r="K347" s="117">
        <f t="shared" si="330"/>
        <v>0.7301813832</v>
      </c>
      <c r="L347" s="115">
        <f t="shared" si="331"/>
        <v>9874.629412</v>
      </c>
      <c r="M347" s="115">
        <v>32990.0</v>
      </c>
      <c r="N347" s="115">
        <v>22990.0</v>
      </c>
      <c r="O347" s="115">
        <f t="shared" ref="O347:P347" si="335">M347/1.19*0.7</f>
        <v>19405.88235</v>
      </c>
      <c r="P347" s="115">
        <f t="shared" si="335"/>
        <v>13523.52941</v>
      </c>
      <c r="Q347" s="3" t="str">
        <f t="shared" si="333"/>
        <v>1538141129434</v>
      </c>
      <c r="R347" s="167">
        <f t="shared" si="334"/>
        <v>833</v>
      </c>
    </row>
    <row r="348" ht="14.25" customHeight="1">
      <c r="H348" s="3" t="s">
        <v>1701</v>
      </c>
      <c r="I348" s="3" t="str">
        <f t="shared" si="328"/>
        <v>Pesa Digital Balanza Blanca Inteligente</v>
      </c>
      <c r="J348" s="124">
        <f t="shared" si="329"/>
        <v>3641.1</v>
      </c>
      <c r="K348" s="117">
        <f t="shared" si="330"/>
        <v>0.7307581557</v>
      </c>
      <c r="L348" s="115">
        <f t="shared" si="331"/>
        <v>9882.429412</v>
      </c>
      <c r="M348" s="115">
        <v>32990.0</v>
      </c>
      <c r="N348" s="115">
        <v>22990.0</v>
      </c>
      <c r="O348" s="115">
        <f t="shared" ref="O348:P348" si="336">M348/1.19*0.7</f>
        <v>19405.88235</v>
      </c>
      <c r="P348" s="115">
        <f t="shared" si="336"/>
        <v>13523.52941</v>
      </c>
      <c r="Q348" s="3" t="str">
        <f t="shared" si="333"/>
        <v>1543406075297</v>
      </c>
      <c r="R348" s="167">
        <f t="shared" si="334"/>
        <v>841</v>
      </c>
    </row>
    <row r="349" ht="14.25" customHeight="1">
      <c r="H349" s="3" t="s">
        <v>1704</v>
      </c>
      <c r="I349" s="3" t="str">
        <f t="shared" si="328"/>
        <v>Mouse Gamer LED</v>
      </c>
      <c r="J349" s="124">
        <f t="shared" si="329"/>
        <v>2801.9</v>
      </c>
      <c r="K349" s="117">
        <f t="shared" si="330"/>
        <v>0.7928129622</v>
      </c>
      <c r="L349" s="115">
        <f t="shared" si="331"/>
        <v>10721.62941</v>
      </c>
      <c r="M349" s="115">
        <v>32990.0</v>
      </c>
      <c r="N349" s="115">
        <v>22990.0</v>
      </c>
      <c r="O349" s="115">
        <f t="shared" ref="O349:P349" si="337">M349/1.19*0.7</f>
        <v>19405.88235</v>
      </c>
      <c r="P349" s="115">
        <f t="shared" si="337"/>
        <v>13523.52941</v>
      </c>
      <c r="Q349" s="3" t="str">
        <f t="shared" si="333"/>
        <v>1659971347046</v>
      </c>
      <c r="R349" s="167">
        <f t="shared" si="334"/>
        <v>939</v>
      </c>
    </row>
    <row r="350" ht="14.25" customHeight="1">
      <c r="H350" s="3" t="s">
        <v>204</v>
      </c>
      <c r="I350" s="3" t="str">
        <f t="shared" si="328"/>
        <v>Mochila Notebook WOLF Negra LEVO</v>
      </c>
      <c r="J350" s="124">
        <f t="shared" si="329"/>
        <v>7438</v>
      </c>
      <c r="K350" s="117">
        <f t="shared" si="330"/>
        <v>0.02658968437</v>
      </c>
      <c r="L350" s="115">
        <f t="shared" si="331"/>
        <v>203.1764706</v>
      </c>
      <c r="M350" s="115">
        <v>19990.0</v>
      </c>
      <c r="N350" s="115">
        <v>12990.0</v>
      </c>
      <c r="O350" s="115">
        <f t="shared" ref="O350:P350" si="338">M350/1.19*0.7</f>
        <v>11758.82353</v>
      </c>
      <c r="P350" s="115">
        <f t="shared" si="338"/>
        <v>7641.176471</v>
      </c>
      <c r="Q350" s="3" t="str">
        <f t="shared" si="333"/>
        <v>LVMOWO-BK</v>
      </c>
      <c r="R350" s="167">
        <f t="shared" si="334"/>
        <v>51</v>
      </c>
    </row>
    <row r="351" ht="14.25" customHeight="1">
      <c r="H351" s="3" t="s">
        <v>1753</v>
      </c>
      <c r="I351" s="3" t="str">
        <f t="shared" si="328"/>
        <v>Mochila Notebook MANAGER Negra LEVO</v>
      </c>
      <c r="J351" s="124">
        <f t="shared" si="329"/>
        <v>7256</v>
      </c>
      <c r="K351" s="117">
        <f t="shared" si="330"/>
        <v>0.05040800616</v>
      </c>
      <c r="L351" s="115">
        <f t="shared" si="331"/>
        <v>385.1764706</v>
      </c>
      <c r="M351" s="115">
        <v>24990.0</v>
      </c>
      <c r="N351" s="115">
        <v>12990.0</v>
      </c>
      <c r="O351" s="115">
        <f t="shared" ref="O351:P351" si="339">M351/1.19*0.7</f>
        <v>14700</v>
      </c>
      <c r="P351" s="115">
        <f t="shared" si="339"/>
        <v>7641.176471</v>
      </c>
      <c r="Q351" s="3" t="str">
        <f t="shared" si="333"/>
        <v>LVMOMA-BK</v>
      </c>
      <c r="R351" s="167">
        <f t="shared" si="334"/>
        <v>44</v>
      </c>
    </row>
    <row r="352" ht="14.25" customHeight="1">
      <c r="H352" s="3" t="s">
        <v>1753</v>
      </c>
      <c r="I352" s="3" t="str">
        <f t="shared" si="328"/>
        <v>Mochila Notebook MANAGER Gris LEVO</v>
      </c>
      <c r="J352" s="124">
        <f t="shared" si="329"/>
        <v>7256</v>
      </c>
      <c r="K352" s="117">
        <f t="shared" si="330"/>
        <v>0.05040800616</v>
      </c>
      <c r="L352" s="115">
        <f t="shared" si="331"/>
        <v>385.1764706</v>
      </c>
      <c r="M352" s="115">
        <v>24990.0</v>
      </c>
      <c r="N352" s="115">
        <v>12990.0</v>
      </c>
      <c r="O352" s="115">
        <f t="shared" ref="O352:P352" si="340">M352/1.19*0.7</f>
        <v>14700</v>
      </c>
      <c r="P352" s="115">
        <f t="shared" si="340"/>
        <v>7641.176471</v>
      </c>
      <c r="Q352" s="3" t="str">
        <f t="shared" si="333"/>
        <v>LVMOMA-GR</v>
      </c>
      <c r="R352" s="167">
        <f t="shared" si="334"/>
        <v>38</v>
      </c>
    </row>
    <row r="353" ht="14.25" customHeight="1">
      <c r="H353" s="3" t="s">
        <v>1722</v>
      </c>
      <c r="I353" s="3" t="str">
        <f t="shared" si="328"/>
        <v>Mochila Levo Computador Negro</v>
      </c>
      <c r="J353" s="124">
        <f t="shared" si="329"/>
        <v>3559.5</v>
      </c>
      <c r="K353" s="117">
        <f t="shared" si="330"/>
        <v>0.7982277426</v>
      </c>
      <c r="L353" s="115">
        <f t="shared" si="331"/>
        <v>14081.67647</v>
      </c>
      <c r="M353" s="115">
        <v>32990.0</v>
      </c>
      <c r="N353" s="115">
        <v>29990.0</v>
      </c>
      <c r="O353" s="115">
        <f t="shared" ref="O353:P353" si="341">M353/1.19*0.7</f>
        <v>19405.88235</v>
      </c>
      <c r="P353" s="115">
        <f t="shared" si="341"/>
        <v>17641.17647</v>
      </c>
      <c r="Q353" s="3" t="str">
        <f t="shared" si="333"/>
        <v>1659999410637</v>
      </c>
      <c r="R353" s="167">
        <f t="shared" si="334"/>
        <v>1030</v>
      </c>
    </row>
    <row r="354" ht="14.25" customHeight="1">
      <c r="H354" s="3" t="s">
        <v>1722</v>
      </c>
      <c r="I354" s="3" t="str">
        <f t="shared" si="328"/>
        <v>Mochila Levo computador Gris</v>
      </c>
      <c r="J354" s="124">
        <f t="shared" si="329"/>
        <v>3330.8</v>
      </c>
      <c r="K354" s="117">
        <f t="shared" si="330"/>
        <v>0.8111917306</v>
      </c>
      <c r="L354" s="115">
        <f t="shared" si="331"/>
        <v>14310.37647</v>
      </c>
      <c r="M354" s="115">
        <v>32990.0</v>
      </c>
      <c r="N354" s="115">
        <v>29990.0</v>
      </c>
      <c r="O354" s="115">
        <f t="shared" ref="O354:P354" si="342">M354/1.19*0.7</f>
        <v>19405.88235</v>
      </c>
      <c r="P354" s="115">
        <f t="shared" si="342"/>
        <v>17641.17647</v>
      </c>
      <c r="Q354" s="3" t="str">
        <f t="shared" si="333"/>
        <v>1659999392257</v>
      </c>
      <c r="R354" s="167">
        <f t="shared" si="334"/>
        <v>219</v>
      </c>
    </row>
    <row r="355" ht="14.25" customHeight="1">
      <c r="H355" s="3" t="s">
        <v>16867</v>
      </c>
      <c r="I355" s="3" t="str">
        <f t="shared" si="328"/>
        <v>MLL Proyector G17 2M</v>
      </c>
      <c r="J355" s="124">
        <f t="shared" si="329"/>
        <v>52813</v>
      </c>
      <c r="K355" s="117">
        <f t="shared" si="330"/>
        <v>0.5918809946</v>
      </c>
      <c r="L355" s="115">
        <f t="shared" si="331"/>
        <v>76592.88235</v>
      </c>
      <c r="M355" s="115">
        <v>249990.0</v>
      </c>
      <c r="N355" s="115">
        <v>219990.0</v>
      </c>
      <c r="O355" s="115">
        <f t="shared" ref="O355:P355" si="343">M355/1.19*0.7</f>
        <v>147052.9412</v>
      </c>
      <c r="P355" s="115">
        <f t="shared" si="343"/>
        <v>129405.8824</v>
      </c>
      <c r="Q355" s="3" t="str">
        <f t="shared" si="333"/>
        <v>68433337529096</v>
      </c>
      <c r="R355" s="167">
        <f t="shared" si="334"/>
        <v>1</v>
      </c>
    </row>
    <row r="356" ht="14.25" customHeight="1">
      <c r="H356" s="3" t="s">
        <v>268</v>
      </c>
      <c r="I356" s="3" t="str">
        <f t="shared" si="328"/>
        <v>MLL Proyector G17</v>
      </c>
      <c r="J356" s="124">
        <f t="shared" si="329"/>
        <v>42300</v>
      </c>
      <c r="K356" s="117">
        <f t="shared" si="330"/>
        <v>0.5205680379</v>
      </c>
      <c r="L356" s="115">
        <f t="shared" si="331"/>
        <v>45929.41176</v>
      </c>
      <c r="M356" s="115">
        <v>169990.0</v>
      </c>
      <c r="N356" s="115">
        <v>149990.0</v>
      </c>
      <c r="O356" s="115">
        <f t="shared" ref="O356:P356" si="344">M356/1.19*0.7</f>
        <v>99994.11765</v>
      </c>
      <c r="P356" s="115">
        <f t="shared" si="344"/>
        <v>88229.41176</v>
      </c>
      <c r="Q356" s="3" t="str">
        <f t="shared" si="333"/>
        <v>68433336255939</v>
      </c>
      <c r="R356" s="167">
        <f t="shared" si="334"/>
        <v>1</v>
      </c>
    </row>
    <row r="357" ht="14.25" customHeight="1">
      <c r="H357" s="3" t="s">
        <v>16852</v>
      </c>
      <c r="I357" s="3" t="str">
        <f t="shared" si="328"/>
        <v>MLL Camara dvr 1080p 111-2</v>
      </c>
      <c r="J357" s="124">
        <f t="shared" si="329"/>
        <v>13208</v>
      </c>
      <c r="K357" s="117">
        <f t="shared" si="330"/>
        <v>0.8272667128</v>
      </c>
      <c r="L357" s="115">
        <f t="shared" si="331"/>
        <v>63256.70588</v>
      </c>
      <c r="M357" s="115">
        <v>149990.0</v>
      </c>
      <c r="N357" s="115">
        <v>129990.0</v>
      </c>
      <c r="O357" s="115">
        <f t="shared" ref="O357:P357" si="345">M357/1.19*0.7</f>
        <v>88229.41176</v>
      </c>
      <c r="P357" s="115">
        <f t="shared" si="345"/>
        <v>76464.70588</v>
      </c>
      <c r="Q357" s="3" t="str">
        <f t="shared" si="333"/>
        <v>67414809824183</v>
      </c>
      <c r="R357" s="167">
        <f t="shared" si="334"/>
        <v>1</v>
      </c>
    </row>
    <row r="358" ht="14.25" customHeight="1">
      <c r="H358" s="3" t="s">
        <v>16849</v>
      </c>
      <c r="I358" s="3" t="str">
        <f t="shared" si="328"/>
        <v>Kit Teclado y Mouse Inalámbrico Blanco</v>
      </c>
      <c r="J358" s="124">
        <f t="shared" si="329"/>
        <v>6374.2</v>
      </c>
      <c r="K358" s="117">
        <f t="shared" si="330"/>
        <v>0.9612981178</v>
      </c>
      <c r="L358" s="115">
        <f t="shared" si="331"/>
        <v>158325.8</v>
      </c>
      <c r="M358" s="115">
        <v>299990.0</v>
      </c>
      <c r="N358" s="115">
        <v>279990.0</v>
      </c>
      <c r="O358" s="115">
        <f t="shared" ref="O358:P358" si="346">M358/1.19*0.7</f>
        <v>176464.7059</v>
      </c>
      <c r="P358" s="115">
        <f t="shared" si="346"/>
        <v>164700</v>
      </c>
      <c r="Q358" s="3" t="str">
        <f t="shared" si="333"/>
        <v>1627418329116</v>
      </c>
      <c r="R358" s="167">
        <f t="shared" si="334"/>
        <v>714</v>
      </c>
    </row>
    <row r="359" ht="14.25" customHeight="1">
      <c r="H359" s="3" t="s">
        <v>1741</v>
      </c>
      <c r="I359" s="3" t="str">
        <f t="shared" si="328"/>
        <v>Joystick Inalámbrico Dualshock 4 ROJO</v>
      </c>
      <c r="J359" s="124">
        <f t="shared" si="329"/>
        <v>8544.9</v>
      </c>
      <c r="K359" s="117">
        <f t="shared" si="330"/>
        <v>0.8882504039</v>
      </c>
      <c r="L359" s="115">
        <f t="shared" si="331"/>
        <v>67919.80588</v>
      </c>
      <c r="M359" s="115">
        <v>149990.0</v>
      </c>
      <c r="N359" s="115">
        <v>129990.0</v>
      </c>
      <c r="O359" s="115">
        <f t="shared" ref="O359:P359" si="347">M359/1.19*0.7</f>
        <v>88229.41176</v>
      </c>
      <c r="P359" s="115">
        <f t="shared" si="347"/>
        <v>76464.70588</v>
      </c>
      <c r="Q359" s="3" t="str">
        <f t="shared" si="333"/>
        <v>66436804863605</v>
      </c>
      <c r="R359" s="167">
        <f t="shared" si="334"/>
        <v>227</v>
      </c>
    </row>
    <row r="360" ht="14.25" customHeight="1">
      <c r="H360" s="3" t="s">
        <v>16875</v>
      </c>
      <c r="I360" s="3" t="str">
        <f t="shared" si="328"/>
        <v>Joystick Inalámbrico Dualshock 4</v>
      </c>
      <c r="J360" s="124">
        <f t="shared" si="329"/>
        <v>8179.1</v>
      </c>
      <c r="K360" s="117">
        <f t="shared" si="330"/>
        <v>0.9304741737</v>
      </c>
      <c r="L360" s="115">
        <f t="shared" si="331"/>
        <v>109462.0765</v>
      </c>
      <c r="M360" s="115">
        <v>319990.0</v>
      </c>
      <c r="N360" s="115">
        <v>199990.0</v>
      </c>
      <c r="O360" s="115">
        <f t="shared" ref="O360:P360" si="348">M360/1.19*0.7</f>
        <v>188229.4118</v>
      </c>
      <c r="P360" s="115">
        <f t="shared" si="348"/>
        <v>117641.1765</v>
      </c>
      <c r="Q360" s="3" t="str">
        <f t="shared" si="333"/>
        <v>1659990828178</v>
      </c>
      <c r="R360" s="167">
        <f t="shared" si="334"/>
        <v>204</v>
      </c>
    </row>
    <row r="361" ht="14.25" customHeight="1">
      <c r="H361" s="3" t="s">
        <v>1672</v>
      </c>
      <c r="I361" s="3" t="str">
        <f t="shared" si="328"/>
        <v>Funda NotebookEXECUTIVE Negra LEVO</v>
      </c>
      <c r="J361" s="124">
        <f t="shared" si="329"/>
        <v>4354</v>
      </c>
      <c r="K361" s="117">
        <f t="shared" si="330"/>
        <v>0.6297248624</v>
      </c>
      <c r="L361" s="115">
        <f t="shared" si="331"/>
        <v>7404.823529</v>
      </c>
      <c r="M361" s="115">
        <v>24990.0</v>
      </c>
      <c r="N361" s="115">
        <v>19990.0</v>
      </c>
      <c r="O361" s="115">
        <f t="shared" ref="O361:P361" si="349">M361/1.19*0.7</f>
        <v>14700</v>
      </c>
      <c r="P361" s="115">
        <f t="shared" si="349"/>
        <v>11758.82353</v>
      </c>
      <c r="Q361" s="3" t="str">
        <f t="shared" si="333"/>
        <v>LVFUEX-BK</v>
      </c>
      <c r="R361" s="167">
        <f t="shared" si="334"/>
        <v>1</v>
      </c>
    </row>
    <row r="362" ht="14.25" customHeight="1">
      <c r="H362" s="3" t="s">
        <v>1674</v>
      </c>
      <c r="I362" s="3" t="str">
        <f t="shared" si="328"/>
        <v>Funda Notebook EXECUTIVE Gris LEVO</v>
      </c>
      <c r="J362" s="124">
        <f t="shared" si="329"/>
        <v>4354</v>
      </c>
      <c r="K362" s="117">
        <f t="shared" si="330"/>
        <v>0.6297248624</v>
      </c>
      <c r="L362" s="115">
        <f t="shared" si="331"/>
        <v>7404.823529</v>
      </c>
      <c r="M362" s="115">
        <v>24990.0</v>
      </c>
      <c r="N362" s="115">
        <v>19990.0</v>
      </c>
      <c r="O362" s="115">
        <f t="shared" ref="O362:P362" si="350">M362/1.19*0.7</f>
        <v>14700</v>
      </c>
      <c r="P362" s="115">
        <f t="shared" si="350"/>
        <v>11758.82353</v>
      </c>
      <c r="Q362" s="3" t="str">
        <f t="shared" si="333"/>
        <v>LVFUEX-GR</v>
      </c>
      <c r="R362" s="167">
        <f t="shared" si="334"/>
        <v>2</v>
      </c>
    </row>
    <row r="363" ht="14.25" customHeight="1">
      <c r="H363" s="3" t="s">
        <v>16879</v>
      </c>
      <c r="I363" s="3" t="str">
        <f t="shared" si="328"/>
        <v>Dual Camara con GPS R300</v>
      </c>
      <c r="J363" s="124">
        <f t="shared" si="329"/>
        <v>28138.4</v>
      </c>
      <c r="K363" s="117">
        <f t="shared" si="330"/>
        <v>-0.5950410137</v>
      </c>
      <c r="L363" s="115">
        <f t="shared" si="331"/>
        <v>-10497.22353</v>
      </c>
      <c r="M363" s="115">
        <v>39990.0</v>
      </c>
      <c r="N363" s="115">
        <v>29990.0</v>
      </c>
      <c r="O363" s="115">
        <f t="shared" ref="O363:P363" si="351">M363/1.19*0.7</f>
        <v>23523.52941</v>
      </c>
      <c r="P363" s="115">
        <f t="shared" si="351"/>
        <v>17641.17647</v>
      </c>
      <c r="Q363" s="3" t="str">
        <f t="shared" si="333"/>
        <v>1748316345017</v>
      </c>
      <c r="R363" s="167">
        <f t="shared" si="334"/>
        <v>131</v>
      </c>
      <c r="S363" s="115"/>
      <c r="T363" s="115"/>
    </row>
    <row r="364" ht="14.25" customHeight="1">
      <c r="H364" s="3" t="s">
        <v>1772</v>
      </c>
      <c r="I364" s="3" t="str">
        <f t="shared" si="328"/>
        <v>Control Gamer Inalámbrico PC</v>
      </c>
      <c r="J364" s="124">
        <f t="shared" si="329"/>
        <v>8841.4</v>
      </c>
      <c r="K364" s="117">
        <f t="shared" si="330"/>
        <v>0.8120967621</v>
      </c>
      <c r="L364" s="115">
        <f t="shared" si="331"/>
        <v>38211.54118</v>
      </c>
      <c r="M364" s="115">
        <v>99990.0</v>
      </c>
      <c r="N364" s="115">
        <v>79990.0</v>
      </c>
      <c r="O364" s="115">
        <f t="shared" ref="O364:P364" si="352">M364/1.19*0.7</f>
        <v>58817.64706</v>
      </c>
      <c r="P364" s="115">
        <f t="shared" si="352"/>
        <v>47052.94118</v>
      </c>
      <c r="Q364" s="3" t="str">
        <f t="shared" si="333"/>
        <v>1659990807310</v>
      </c>
      <c r="R364" s="167">
        <f t="shared" si="334"/>
        <v>196</v>
      </c>
    </row>
    <row r="365" ht="14.25" customHeight="1">
      <c r="H365" s="3" t="s">
        <v>1775</v>
      </c>
      <c r="I365" s="3" t="str">
        <f t="shared" si="328"/>
        <v>Cámara de Auto Dual D3</v>
      </c>
      <c r="J365" s="124">
        <f t="shared" si="329"/>
        <v>13739.2</v>
      </c>
      <c r="K365" s="117">
        <f t="shared" si="330"/>
        <v>0.5327737548</v>
      </c>
      <c r="L365" s="115">
        <f t="shared" si="331"/>
        <v>15666.68235</v>
      </c>
      <c r="M365" s="115">
        <v>69990.0</v>
      </c>
      <c r="N365" s="115">
        <v>49990.0</v>
      </c>
      <c r="O365" s="115">
        <f t="shared" ref="O365:P365" si="353">M365/1.19*0.7</f>
        <v>41170.58824</v>
      </c>
      <c r="P365" s="115">
        <f t="shared" si="353"/>
        <v>29405.88235</v>
      </c>
      <c r="Q365" s="3" t="str">
        <f t="shared" si="333"/>
        <v>67327559384453</v>
      </c>
      <c r="R365" s="167">
        <f t="shared" si="334"/>
        <v>163</v>
      </c>
    </row>
    <row r="366" ht="14.25" customHeight="1">
      <c r="H366" s="3" t="s">
        <v>1778</v>
      </c>
      <c r="I366" s="3" t="str">
        <f t="shared" si="328"/>
        <v>Audífono Gamer RGB Thunder</v>
      </c>
      <c r="J366" s="124">
        <f t="shared" si="329"/>
        <v>15232.8</v>
      </c>
      <c r="K366" s="117">
        <f t="shared" si="330"/>
        <v>0.6300077154</v>
      </c>
      <c r="L366" s="115">
        <f t="shared" si="331"/>
        <v>25937.78824</v>
      </c>
      <c r="M366" s="115">
        <v>89990.0</v>
      </c>
      <c r="N366" s="115">
        <v>69990.0</v>
      </c>
      <c r="O366" s="115">
        <f t="shared" ref="O366:P366" si="354">M366/1.19*0.7</f>
        <v>52935.29412</v>
      </c>
      <c r="P366" s="115">
        <f t="shared" si="354"/>
        <v>41170.58824</v>
      </c>
      <c r="Q366" s="3" t="str">
        <f t="shared" si="333"/>
        <v>1659989621591</v>
      </c>
      <c r="R366" s="167">
        <f t="shared" si="334"/>
        <v>222</v>
      </c>
    </row>
    <row r="367" ht="14.25" customHeight="1">
      <c r="H367" s="3" t="s">
        <v>1729</v>
      </c>
      <c r="I367" s="3" t="str">
        <f t="shared" si="328"/>
        <v>Aspiradora Inalámbrica XPIRA</v>
      </c>
      <c r="J367" s="124">
        <f t="shared" si="329"/>
        <v>6690.9</v>
      </c>
      <c r="K367" s="117">
        <f t="shared" si="330"/>
        <v>0.5052401044</v>
      </c>
      <c r="L367" s="115">
        <f t="shared" si="331"/>
        <v>6832.629412</v>
      </c>
      <c r="M367" s="115">
        <v>24990.0</v>
      </c>
      <c r="N367" s="115">
        <v>22990.0</v>
      </c>
      <c r="O367" s="115">
        <f t="shared" ref="O367:P367" si="355">M367/1.19*0.7</f>
        <v>14700</v>
      </c>
      <c r="P367" s="115">
        <f t="shared" si="355"/>
        <v>13523.52941</v>
      </c>
      <c r="Q367" s="3" t="str">
        <f t="shared" si="333"/>
        <v>1652825027456</v>
      </c>
      <c r="R367" s="167">
        <f t="shared" si="334"/>
        <v>252</v>
      </c>
    </row>
    <row r="368" ht="14.25" customHeight="1">
      <c r="J368" s="124"/>
      <c r="K368" s="117"/>
      <c r="L368" s="115"/>
      <c r="M368" s="115"/>
      <c r="N368" s="115"/>
      <c r="O368" s="115"/>
      <c r="P368" s="115"/>
    </row>
    <row r="369" ht="14.25" customHeight="1">
      <c r="H369" s="3" t="s">
        <v>1451</v>
      </c>
      <c r="I369" s="3" t="str">
        <f t="shared" ref="I369:I375" si="357">B369</f>
        <v>Rack techo auto</v>
      </c>
      <c r="J369" s="124">
        <f t="shared" ref="J369:J375" si="358">E369</f>
        <v>36582</v>
      </c>
      <c r="K369" s="117">
        <f t="shared" ref="K369:K375" si="359">1-(J369/P369)</f>
        <v>0.4817118093</v>
      </c>
      <c r="L369" s="115">
        <f t="shared" ref="L369:L375" si="360">P369-J369</f>
        <v>34000.35294</v>
      </c>
      <c r="M369" s="115">
        <v>119990.0</v>
      </c>
      <c r="N369" s="115">
        <v>119990.0</v>
      </c>
      <c r="O369" s="115">
        <f t="shared" ref="O369:P369" si="356">M369/1.19*0.7</f>
        <v>70582.35294</v>
      </c>
      <c r="P369" s="115">
        <f t="shared" si="356"/>
        <v>70582.35294</v>
      </c>
      <c r="Q369" s="3" t="str">
        <f t="shared" ref="Q369:Q375" si="362">C369</f>
        <v>1650302273911</v>
      </c>
      <c r="R369" s="167">
        <f t="shared" ref="R369:R375" si="363">VLOOKUP(Q369,$C$4:$D$1048576,2,0)</f>
        <v>30</v>
      </c>
    </row>
    <row r="370" ht="14.25" customHeight="1">
      <c r="H370" s="3" t="s">
        <v>2202</v>
      </c>
      <c r="I370" s="3" t="str">
        <f t="shared" si="357"/>
        <v>Protector De Asiento Individual Auto Mascotas</v>
      </c>
      <c r="J370" s="124">
        <f t="shared" si="358"/>
        <v>4157</v>
      </c>
      <c r="K370" s="117">
        <f t="shared" si="359"/>
        <v>0.6464782391</v>
      </c>
      <c r="L370" s="115">
        <f t="shared" si="360"/>
        <v>7601.823529</v>
      </c>
      <c r="M370" s="115">
        <v>24990.0</v>
      </c>
      <c r="N370" s="115">
        <v>19990.0</v>
      </c>
      <c r="O370" s="115">
        <f t="shared" ref="O370:P370" si="361">M370/1.19*0.7</f>
        <v>14700</v>
      </c>
      <c r="P370" s="115">
        <f t="shared" si="361"/>
        <v>11758.82353</v>
      </c>
      <c r="Q370" s="3" t="str">
        <f t="shared" si="362"/>
        <v>67898258445967</v>
      </c>
      <c r="R370" s="167">
        <f t="shared" si="363"/>
        <v>52</v>
      </c>
    </row>
    <row r="371" ht="14.25" customHeight="1">
      <c r="H371" s="3" t="s">
        <v>2204</v>
      </c>
      <c r="I371" s="3" t="str">
        <f t="shared" si="357"/>
        <v>Pick up Pad 5 bicicletas XROAD</v>
      </c>
      <c r="J371" s="124">
        <f t="shared" si="358"/>
        <v>22640.6</v>
      </c>
      <c r="K371" s="117">
        <f t="shared" si="359"/>
        <v>-0.2833951317</v>
      </c>
      <c r="L371" s="115">
        <f t="shared" si="360"/>
        <v>-4999.423529</v>
      </c>
      <c r="M371" s="115">
        <v>39990.0</v>
      </c>
      <c r="N371" s="115">
        <v>29990.0</v>
      </c>
      <c r="O371" s="115">
        <f t="shared" ref="O371:P371" si="364">M371/1.19*0.7</f>
        <v>23523.52941</v>
      </c>
      <c r="P371" s="115">
        <f t="shared" si="364"/>
        <v>17641.17647</v>
      </c>
      <c r="Q371" s="3" t="str">
        <f t="shared" si="362"/>
        <v>1660858577510</v>
      </c>
      <c r="R371" s="167">
        <f t="shared" si="363"/>
        <v>27</v>
      </c>
    </row>
    <row r="372" ht="14.25" customHeight="1">
      <c r="H372" s="3" t="s">
        <v>16891</v>
      </c>
      <c r="I372" s="3" t="str">
        <f t="shared" si="357"/>
        <v>Cobertor de auto para mascotas</v>
      </c>
      <c r="J372" s="124">
        <f t="shared" si="358"/>
        <v>8980.5</v>
      </c>
      <c r="K372" s="117">
        <f t="shared" si="359"/>
        <v>0.6946019204</v>
      </c>
      <c r="L372" s="115">
        <f t="shared" si="360"/>
        <v>20425.38235</v>
      </c>
      <c r="M372" s="115">
        <v>79990.0</v>
      </c>
      <c r="N372" s="115">
        <v>49990.0</v>
      </c>
      <c r="O372" s="115">
        <f t="shared" ref="O372:P372" si="365">M372/1.19*0.7</f>
        <v>47052.94118</v>
      </c>
      <c r="P372" s="115">
        <f t="shared" si="365"/>
        <v>29405.88235</v>
      </c>
      <c r="Q372" s="3" t="str">
        <f t="shared" si="362"/>
        <v>1656603353038</v>
      </c>
      <c r="R372" s="167">
        <f t="shared" si="363"/>
        <v>269</v>
      </c>
    </row>
    <row r="373" ht="14.25" customHeight="1">
      <c r="H373" s="3" t="s">
        <v>2206</v>
      </c>
      <c r="I373" s="3" t="str">
        <f t="shared" si="357"/>
        <v>Cobertor carpa cubre auto XRoad</v>
      </c>
      <c r="J373" s="124">
        <f t="shared" si="358"/>
        <v>4554.8</v>
      </c>
      <c r="K373" s="117">
        <f t="shared" si="359"/>
        <v>0.4834449633</v>
      </c>
      <c r="L373" s="115">
        <f t="shared" si="360"/>
        <v>4262.847059</v>
      </c>
      <c r="M373" s="115">
        <v>24990.0</v>
      </c>
      <c r="N373" s="115">
        <v>14990.0</v>
      </c>
      <c r="O373" s="115">
        <f t="shared" ref="O373:P373" si="366">M373/1.19*0.7</f>
        <v>14700</v>
      </c>
      <c r="P373" s="115">
        <f t="shared" si="366"/>
        <v>8817.647059</v>
      </c>
      <c r="Q373" s="3" t="str">
        <f t="shared" si="362"/>
        <v>1660859424566</v>
      </c>
      <c r="R373" s="167">
        <f t="shared" si="363"/>
        <v>204</v>
      </c>
    </row>
    <row r="374" ht="14.25" customHeight="1">
      <c r="H374" s="3" t="s">
        <v>1454</v>
      </c>
      <c r="I374" s="3" t="str">
        <f t="shared" si="357"/>
        <v>Barra para auto universal XROOF</v>
      </c>
      <c r="J374" s="124">
        <f t="shared" si="358"/>
        <v>57760.1</v>
      </c>
      <c r="K374" s="117">
        <f t="shared" si="359"/>
        <v>0.01798009801</v>
      </c>
      <c r="L374" s="115">
        <f t="shared" si="360"/>
        <v>1057.547059</v>
      </c>
      <c r="M374" s="115">
        <v>119990.0</v>
      </c>
      <c r="N374" s="115">
        <v>99990.0</v>
      </c>
      <c r="O374" s="115">
        <f t="shared" ref="O374:P374" si="367">M374/1.19*0.7</f>
        <v>70582.35294</v>
      </c>
      <c r="P374" s="115">
        <f t="shared" si="367"/>
        <v>58817.64706</v>
      </c>
      <c r="Q374" s="3" t="str">
        <f t="shared" si="362"/>
        <v>1650301031879</v>
      </c>
      <c r="R374" s="167">
        <f t="shared" si="363"/>
        <v>349</v>
      </c>
    </row>
    <row r="375" ht="14.25" customHeight="1">
      <c r="H375" s="3" t="s">
        <v>1458</v>
      </c>
      <c r="I375" s="3" t="str">
        <f t="shared" si="357"/>
        <v>VR BOX 2.0 Sin Control</v>
      </c>
      <c r="J375" s="124">
        <f t="shared" si="358"/>
        <v>2709.1</v>
      </c>
      <c r="K375" s="117">
        <f t="shared" si="359"/>
        <v>0.974412634</v>
      </c>
      <c r="L375" s="115">
        <f t="shared" si="360"/>
        <v>103167.3706</v>
      </c>
      <c r="M375" s="115">
        <v>199990.0</v>
      </c>
      <c r="N375" s="115">
        <v>179990.0</v>
      </c>
      <c r="O375" s="115">
        <f t="shared" ref="O375:P375" si="368">M375/1.19*0.7</f>
        <v>117641.1765</v>
      </c>
      <c r="P375" s="115">
        <f t="shared" si="368"/>
        <v>105876.4706</v>
      </c>
      <c r="Q375" s="3" t="str">
        <f t="shared" si="362"/>
        <v>1479823191801</v>
      </c>
      <c r="R375" s="167">
        <f t="shared" si="363"/>
        <v>195</v>
      </c>
    </row>
    <row r="376" ht="14.25" customHeight="1">
      <c r="M376" s="115"/>
      <c r="N376" s="115"/>
      <c r="O376" s="115"/>
    </row>
    <row r="377" ht="14.25" customHeight="1">
      <c r="M377" s="115"/>
      <c r="N377" s="115"/>
      <c r="O377" s="115"/>
    </row>
    <row r="378" ht="14.25" customHeight="1">
      <c r="M378" s="115"/>
      <c r="N378" s="115"/>
      <c r="O378" s="115"/>
    </row>
    <row r="379" ht="14.25" customHeight="1">
      <c r="M379" s="115"/>
      <c r="N379" s="115"/>
      <c r="O379" s="115"/>
    </row>
    <row r="380" ht="14.25" customHeight="1">
      <c r="M380" s="115"/>
      <c r="N380" s="115"/>
      <c r="O380" s="115"/>
    </row>
    <row r="381" ht="14.25" customHeight="1">
      <c r="M381" s="115"/>
      <c r="N381" s="115"/>
      <c r="O381" s="115"/>
    </row>
    <row r="382" ht="14.25" customHeight="1">
      <c r="M382" s="115"/>
      <c r="N382" s="115"/>
      <c r="O382" s="115"/>
    </row>
    <row r="383" ht="14.25" customHeight="1">
      <c r="M383" s="115"/>
      <c r="N383" s="115"/>
      <c r="O383" s="115"/>
    </row>
    <row r="384" ht="14.25" customHeight="1">
      <c r="M384" s="115"/>
      <c r="N384" s="115"/>
      <c r="O384" s="115"/>
    </row>
    <row r="385" ht="14.25" customHeight="1">
      <c r="M385" s="115"/>
      <c r="N385" s="115"/>
      <c r="O385" s="115"/>
    </row>
    <row r="386" ht="14.25" customHeight="1">
      <c r="M386" s="115"/>
      <c r="N386" s="115"/>
      <c r="O386" s="115"/>
    </row>
    <row r="387" ht="14.25" customHeight="1">
      <c r="M387" s="115"/>
      <c r="N387" s="115"/>
      <c r="O387" s="115"/>
    </row>
    <row r="388" ht="14.25" customHeight="1">
      <c r="M388" s="115"/>
      <c r="N388" s="115"/>
      <c r="O388" s="115"/>
    </row>
    <row r="389" ht="14.25" customHeight="1">
      <c r="M389" s="115"/>
      <c r="N389" s="115"/>
      <c r="O389" s="115"/>
    </row>
    <row r="390" ht="14.25" customHeight="1">
      <c r="M390" s="115"/>
      <c r="N390" s="115"/>
      <c r="O390" s="115"/>
    </row>
    <row r="391" ht="14.25" customHeight="1">
      <c r="M391" s="115"/>
      <c r="N391" s="115"/>
      <c r="O391" s="115"/>
    </row>
    <row r="392" ht="14.25" customHeight="1">
      <c r="M392" s="115"/>
      <c r="N392" s="115"/>
      <c r="O392" s="115"/>
    </row>
    <row r="393" ht="14.25" customHeight="1">
      <c r="M393" s="115"/>
      <c r="N393" s="115"/>
      <c r="O393" s="115"/>
    </row>
    <row r="394" ht="14.25" customHeight="1">
      <c r="M394" s="115"/>
      <c r="N394" s="115"/>
      <c r="O394" s="115"/>
    </row>
    <row r="395" ht="14.25" customHeight="1">
      <c r="M395" s="115"/>
      <c r="N395" s="115"/>
      <c r="O395" s="115"/>
    </row>
    <row r="396" ht="14.25" customHeight="1">
      <c r="M396" s="115"/>
      <c r="N396" s="115"/>
      <c r="O396" s="115"/>
    </row>
    <row r="397" ht="14.25" customHeight="1">
      <c r="M397" s="115"/>
      <c r="N397" s="115"/>
      <c r="O397" s="115"/>
    </row>
    <row r="398" ht="14.25" customHeight="1">
      <c r="M398" s="115"/>
      <c r="N398" s="115"/>
      <c r="O398" s="115"/>
    </row>
    <row r="399" ht="14.25" customHeight="1">
      <c r="M399" s="115"/>
      <c r="N399" s="115"/>
      <c r="O399" s="115"/>
    </row>
    <row r="400" ht="14.25" customHeight="1">
      <c r="M400" s="115"/>
      <c r="N400" s="115"/>
      <c r="O400" s="115"/>
    </row>
    <row r="401" ht="14.25" customHeight="1">
      <c r="M401" s="115"/>
      <c r="N401" s="115"/>
      <c r="O401" s="115"/>
    </row>
    <row r="402" ht="14.25" customHeight="1">
      <c r="M402" s="115"/>
      <c r="N402" s="115"/>
      <c r="O402" s="115"/>
    </row>
    <row r="403" ht="14.25" customHeight="1">
      <c r="M403" s="115"/>
      <c r="N403" s="115"/>
      <c r="O403" s="115"/>
    </row>
    <row r="404" ht="14.25" customHeight="1">
      <c r="M404" s="115"/>
      <c r="N404" s="115"/>
      <c r="O404" s="115"/>
    </row>
    <row r="405" ht="14.25" customHeight="1">
      <c r="M405" s="115"/>
      <c r="N405" s="115"/>
      <c r="O405" s="115"/>
    </row>
    <row r="406" ht="14.25" customHeight="1">
      <c r="M406" s="115"/>
      <c r="N406" s="115"/>
      <c r="O406" s="115"/>
    </row>
    <row r="407" ht="14.25" customHeight="1">
      <c r="M407" s="115"/>
      <c r="N407" s="115"/>
      <c r="O407" s="115"/>
    </row>
    <row r="408" ht="14.25" customHeight="1">
      <c r="M408" s="115"/>
      <c r="N408" s="115"/>
      <c r="O408" s="115"/>
    </row>
    <row r="409" ht="14.25" customHeight="1">
      <c r="M409" s="115"/>
      <c r="N409" s="115"/>
      <c r="O409" s="115"/>
    </row>
    <row r="410" ht="14.25" customHeight="1">
      <c r="M410" s="115"/>
      <c r="N410" s="115"/>
      <c r="O410" s="115"/>
    </row>
    <row r="411" ht="14.25" customHeight="1">
      <c r="M411" s="115"/>
      <c r="N411" s="115"/>
      <c r="O411" s="115"/>
    </row>
    <row r="412" ht="14.25" customHeight="1">
      <c r="M412" s="115"/>
      <c r="N412" s="115"/>
      <c r="O412" s="115"/>
    </row>
    <row r="413" ht="14.25" customHeight="1">
      <c r="M413" s="115"/>
      <c r="N413" s="115"/>
      <c r="O413" s="115"/>
    </row>
    <row r="414" ht="14.25" customHeight="1">
      <c r="M414" s="115"/>
      <c r="N414" s="115"/>
      <c r="O414" s="115"/>
    </row>
    <row r="415" ht="14.25" customHeight="1">
      <c r="M415" s="115"/>
      <c r="N415" s="115"/>
      <c r="O415" s="115"/>
    </row>
    <row r="416" ht="14.25" customHeight="1">
      <c r="M416" s="115"/>
      <c r="N416" s="115"/>
      <c r="O416" s="115"/>
    </row>
    <row r="417" ht="14.25" customHeight="1">
      <c r="M417" s="115"/>
      <c r="N417" s="115"/>
      <c r="O417" s="115"/>
    </row>
    <row r="418" ht="14.25" customHeight="1">
      <c r="M418" s="115"/>
      <c r="N418" s="115"/>
      <c r="O418" s="115"/>
    </row>
    <row r="419" ht="14.25" customHeight="1">
      <c r="M419" s="115"/>
      <c r="N419" s="115"/>
      <c r="O419" s="115"/>
    </row>
    <row r="420" ht="14.25" customHeight="1">
      <c r="M420" s="115"/>
      <c r="N420" s="115"/>
      <c r="O420" s="115"/>
    </row>
    <row r="421" ht="14.25" customHeight="1">
      <c r="M421" s="115"/>
      <c r="N421" s="115"/>
      <c r="O421" s="115"/>
    </row>
    <row r="422" ht="14.25" customHeight="1">
      <c r="M422" s="115"/>
      <c r="N422" s="115"/>
      <c r="O422" s="115"/>
    </row>
    <row r="423" ht="14.25" customHeight="1">
      <c r="M423" s="115"/>
      <c r="N423" s="115"/>
      <c r="O423" s="115"/>
    </row>
    <row r="424" ht="14.25" customHeight="1">
      <c r="M424" s="115"/>
      <c r="N424" s="115"/>
      <c r="O424" s="115"/>
    </row>
    <row r="425" ht="14.25" customHeight="1">
      <c r="M425" s="115"/>
      <c r="N425" s="115"/>
      <c r="O425" s="115"/>
    </row>
    <row r="426" ht="14.25" customHeight="1">
      <c r="M426" s="115"/>
      <c r="N426" s="115"/>
      <c r="O426" s="115"/>
    </row>
    <row r="427" ht="14.25" customHeight="1">
      <c r="M427" s="115"/>
      <c r="N427" s="115"/>
      <c r="O427" s="115"/>
    </row>
    <row r="428" ht="14.25" customHeight="1">
      <c r="M428" s="115"/>
      <c r="N428" s="115"/>
      <c r="O428" s="115"/>
    </row>
    <row r="429" ht="14.25" customHeight="1">
      <c r="M429" s="115"/>
      <c r="N429" s="115"/>
      <c r="O429" s="115"/>
    </row>
    <row r="430" ht="14.25" customHeight="1">
      <c r="M430" s="115"/>
      <c r="N430" s="115"/>
      <c r="O430" s="115"/>
    </row>
    <row r="431" ht="14.25" customHeight="1">
      <c r="M431" s="115"/>
      <c r="N431" s="115"/>
      <c r="O431" s="115"/>
    </row>
    <row r="432" ht="14.25" customHeight="1">
      <c r="M432" s="115"/>
      <c r="N432" s="115"/>
      <c r="O432" s="115"/>
    </row>
    <row r="433" ht="14.25" customHeight="1">
      <c r="M433" s="115"/>
      <c r="N433" s="115"/>
      <c r="O433" s="115"/>
    </row>
    <row r="434" ht="14.25" customHeight="1">
      <c r="M434" s="115"/>
      <c r="N434" s="115"/>
      <c r="O434" s="115"/>
    </row>
    <row r="435" ht="14.25" customHeight="1">
      <c r="M435" s="115"/>
      <c r="N435" s="115"/>
      <c r="O435" s="115"/>
    </row>
    <row r="436" ht="14.25" customHeight="1">
      <c r="M436" s="115"/>
      <c r="N436" s="115"/>
      <c r="O436" s="115"/>
    </row>
    <row r="437" ht="14.25" customHeight="1">
      <c r="M437" s="115"/>
      <c r="N437" s="115"/>
      <c r="O437" s="115"/>
    </row>
    <row r="438" ht="14.25" customHeight="1">
      <c r="M438" s="115"/>
      <c r="N438" s="115"/>
      <c r="O438" s="115"/>
    </row>
    <row r="439" ht="14.25" customHeight="1">
      <c r="M439" s="115"/>
      <c r="N439" s="115"/>
      <c r="O439" s="115"/>
    </row>
    <row r="440" ht="14.25" customHeight="1">
      <c r="M440" s="115"/>
      <c r="N440" s="115"/>
      <c r="O440" s="115"/>
    </row>
    <row r="441" ht="14.25" customHeight="1">
      <c r="M441" s="115"/>
      <c r="N441" s="115"/>
      <c r="O441" s="115"/>
    </row>
    <row r="442" ht="14.25" customHeight="1">
      <c r="M442" s="115"/>
      <c r="N442" s="115"/>
      <c r="O442" s="115"/>
    </row>
    <row r="443" ht="14.25" customHeight="1">
      <c r="M443" s="115"/>
      <c r="N443" s="115"/>
      <c r="O443" s="115"/>
    </row>
    <row r="444" ht="14.25" customHeight="1">
      <c r="M444" s="115"/>
      <c r="N444" s="115"/>
      <c r="O444" s="115"/>
    </row>
    <row r="445" ht="14.25" customHeight="1">
      <c r="M445" s="115"/>
      <c r="N445" s="115"/>
      <c r="O445" s="115"/>
    </row>
    <row r="446" ht="14.25" customHeight="1">
      <c r="M446" s="115"/>
      <c r="N446" s="115"/>
      <c r="O446" s="115"/>
    </row>
    <row r="447" ht="14.25" customHeight="1">
      <c r="M447" s="115"/>
      <c r="N447" s="115"/>
      <c r="O447" s="115"/>
    </row>
    <row r="448" ht="14.25" customHeight="1">
      <c r="M448" s="115"/>
      <c r="N448" s="115"/>
      <c r="O448" s="115"/>
    </row>
    <row r="449" ht="14.25" customHeight="1">
      <c r="M449" s="115"/>
      <c r="N449" s="115"/>
      <c r="O449" s="115"/>
    </row>
    <row r="450" ht="14.25" customHeight="1">
      <c r="M450" s="115"/>
      <c r="N450" s="115"/>
      <c r="O450" s="115"/>
    </row>
    <row r="451" ht="14.25" customHeight="1">
      <c r="M451" s="115"/>
      <c r="N451" s="115"/>
      <c r="O451" s="115"/>
    </row>
    <row r="452" ht="14.25" customHeight="1">
      <c r="M452" s="115"/>
      <c r="N452" s="115"/>
      <c r="O452" s="115"/>
    </row>
    <row r="453" ht="14.25" customHeight="1">
      <c r="M453" s="115"/>
      <c r="N453" s="115"/>
      <c r="O453" s="115"/>
    </row>
    <row r="454" ht="14.25" customHeight="1">
      <c r="M454" s="115"/>
      <c r="N454" s="115"/>
      <c r="O454" s="115"/>
    </row>
    <row r="455" ht="14.25" customHeight="1">
      <c r="M455" s="115"/>
      <c r="N455" s="115"/>
      <c r="O455" s="115"/>
    </row>
    <row r="456" ht="14.25" customHeight="1">
      <c r="M456" s="115"/>
      <c r="N456" s="115"/>
      <c r="O456" s="115"/>
    </row>
    <row r="457" ht="14.25" customHeight="1">
      <c r="M457" s="115"/>
      <c r="N457" s="115"/>
      <c r="O457" s="115"/>
    </row>
    <row r="458" ht="14.25" customHeight="1">
      <c r="M458" s="115"/>
      <c r="N458" s="115"/>
      <c r="O458" s="115"/>
    </row>
    <row r="459" ht="14.25" customHeight="1">
      <c r="M459" s="115"/>
      <c r="N459" s="115"/>
      <c r="O459" s="115"/>
    </row>
    <row r="460" ht="14.25" customHeight="1">
      <c r="M460" s="115"/>
      <c r="N460" s="115"/>
      <c r="O460" s="115"/>
    </row>
    <row r="461" ht="14.25" customHeight="1">
      <c r="M461" s="115"/>
      <c r="N461" s="115"/>
      <c r="O461" s="115"/>
    </row>
    <row r="462" ht="14.25" customHeight="1">
      <c r="M462" s="115"/>
      <c r="N462" s="115"/>
      <c r="O462" s="115"/>
    </row>
    <row r="463" ht="14.25" customHeight="1">
      <c r="M463" s="115"/>
      <c r="N463" s="115"/>
      <c r="O463" s="115"/>
    </row>
    <row r="464" ht="14.25" customHeight="1">
      <c r="M464" s="115"/>
      <c r="N464" s="115"/>
      <c r="O464" s="115"/>
    </row>
    <row r="465" ht="14.25" customHeight="1">
      <c r="M465" s="115"/>
      <c r="N465" s="115"/>
      <c r="O465" s="115"/>
    </row>
    <row r="466" ht="14.25" customHeight="1">
      <c r="M466" s="115"/>
      <c r="N466" s="115"/>
      <c r="O466" s="115"/>
    </row>
    <row r="467" ht="14.25" customHeight="1">
      <c r="M467" s="115"/>
      <c r="N467" s="115"/>
      <c r="O467" s="115"/>
    </row>
    <row r="468" ht="14.25" customHeight="1">
      <c r="M468" s="115"/>
      <c r="N468" s="115"/>
      <c r="O468" s="115"/>
    </row>
    <row r="469" ht="14.25" customHeight="1">
      <c r="M469" s="115"/>
      <c r="N469" s="115"/>
      <c r="O469" s="115"/>
    </row>
    <row r="470" ht="14.25" customHeight="1">
      <c r="M470" s="115"/>
      <c r="N470" s="115"/>
      <c r="O470" s="115"/>
    </row>
    <row r="471" ht="14.25" customHeight="1">
      <c r="M471" s="115"/>
      <c r="N471" s="115"/>
      <c r="O471" s="115"/>
    </row>
    <row r="472" ht="14.25" customHeight="1">
      <c r="M472" s="115"/>
      <c r="N472" s="115"/>
      <c r="O472" s="115"/>
    </row>
    <row r="473" ht="14.25" customHeight="1">
      <c r="M473" s="115"/>
      <c r="N473" s="115"/>
      <c r="O473" s="115"/>
    </row>
    <row r="474" ht="14.25" customHeight="1">
      <c r="M474" s="115"/>
      <c r="N474" s="115"/>
      <c r="O474" s="115"/>
    </row>
    <row r="475" ht="14.25" customHeight="1">
      <c r="M475" s="115"/>
      <c r="N475" s="115"/>
      <c r="O475" s="115"/>
    </row>
    <row r="476" ht="14.25" customHeight="1">
      <c r="M476" s="115"/>
      <c r="N476" s="115"/>
      <c r="O476" s="115"/>
    </row>
    <row r="477" ht="14.25" customHeight="1">
      <c r="M477" s="115"/>
      <c r="N477" s="115"/>
      <c r="O477" s="115"/>
    </row>
    <row r="478" ht="14.25" customHeight="1">
      <c r="M478" s="115"/>
      <c r="N478" s="115"/>
      <c r="O478" s="115"/>
    </row>
    <row r="479" ht="14.25" customHeight="1">
      <c r="M479" s="115"/>
      <c r="N479" s="115"/>
      <c r="O479" s="115"/>
    </row>
    <row r="480" ht="14.25" customHeight="1">
      <c r="M480" s="115"/>
      <c r="N480" s="115"/>
      <c r="O480" s="115"/>
    </row>
    <row r="481" ht="14.25" customHeight="1">
      <c r="M481" s="115"/>
      <c r="N481" s="115"/>
      <c r="O481" s="115"/>
    </row>
    <row r="482" ht="14.25" customHeight="1">
      <c r="M482" s="115"/>
      <c r="N482" s="115"/>
      <c r="O482" s="115"/>
    </row>
    <row r="483" ht="14.25" customHeight="1">
      <c r="M483" s="115"/>
      <c r="N483" s="115"/>
      <c r="O483" s="115"/>
    </row>
    <row r="484" ht="14.25" customHeight="1">
      <c r="M484" s="115"/>
      <c r="N484" s="115"/>
      <c r="O484" s="115"/>
    </row>
    <row r="485" ht="14.25" customHeight="1">
      <c r="M485" s="115"/>
      <c r="N485" s="115"/>
      <c r="O485" s="115"/>
    </row>
    <row r="486" ht="14.25" customHeight="1">
      <c r="M486" s="115"/>
      <c r="N486" s="115"/>
      <c r="O486" s="115"/>
    </row>
    <row r="487" ht="14.25" customHeight="1">
      <c r="M487" s="115"/>
      <c r="N487" s="115"/>
      <c r="O487" s="115"/>
    </row>
    <row r="488" ht="14.25" customHeight="1">
      <c r="M488" s="115"/>
      <c r="N488" s="115"/>
      <c r="O488" s="115"/>
    </row>
    <row r="489" ht="14.25" customHeight="1">
      <c r="M489" s="115"/>
      <c r="N489" s="115"/>
      <c r="O489" s="115"/>
    </row>
    <row r="490" ht="14.25" customHeight="1">
      <c r="M490" s="115"/>
      <c r="N490" s="115"/>
      <c r="O490" s="115"/>
    </row>
    <row r="491" ht="14.25" customHeight="1">
      <c r="M491" s="115"/>
      <c r="N491" s="115"/>
      <c r="O491" s="115"/>
    </row>
    <row r="492" ht="14.25" customHeight="1">
      <c r="M492" s="115"/>
      <c r="N492" s="115"/>
      <c r="O492" s="115"/>
    </row>
    <row r="493" ht="14.25" customHeight="1">
      <c r="M493" s="115"/>
      <c r="N493" s="115"/>
      <c r="O493" s="115"/>
    </row>
    <row r="494" ht="14.25" customHeight="1">
      <c r="M494" s="115"/>
      <c r="N494" s="115"/>
      <c r="O494" s="115"/>
    </row>
    <row r="495" ht="14.25" customHeight="1">
      <c r="M495" s="115"/>
      <c r="N495" s="115"/>
      <c r="O495" s="115"/>
    </row>
    <row r="496" ht="14.25" customHeight="1">
      <c r="M496" s="115"/>
      <c r="N496" s="115"/>
      <c r="O496" s="115"/>
    </row>
    <row r="497" ht="14.25" customHeight="1">
      <c r="M497" s="115"/>
      <c r="N497" s="115"/>
      <c r="O497" s="115"/>
    </row>
    <row r="498" ht="14.25" customHeight="1">
      <c r="M498" s="115"/>
      <c r="N498" s="115"/>
      <c r="O498" s="115"/>
    </row>
    <row r="499" ht="14.25" customHeight="1">
      <c r="M499" s="115"/>
      <c r="N499" s="115"/>
      <c r="O499" s="115"/>
    </row>
    <row r="500" ht="14.25" customHeight="1">
      <c r="M500" s="115"/>
      <c r="N500" s="115"/>
      <c r="O500" s="115"/>
    </row>
    <row r="501" ht="14.25" customHeight="1">
      <c r="M501" s="115"/>
      <c r="N501" s="115"/>
      <c r="O501" s="115"/>
    </row>
    <row r="502" ht="14.25" customHeight="1">
      <c r="M502" s="115"/>
      <c r="N502" s="115"/>
      <c r="O502" s="115"/>
    </row>
    <row r="503" ht="14.25" customHeight="1">
      <c r="M503" s="115"/>
      <c r="N503" s="115"/>
      <c r="O503" s="115"/>
    </row>
    <row r="504" ht="14.25" customHeight="1">
      <c r="M504" s="115"/>
      <c r="N504" s="115"/>
      <c r="O504" s="115"/>
    </row>
    <row r="505" ht="14.25" customHeight="1">
      <c r="M505" s="115"/>
      <c r="N505" s="115"/>
      <c r="O505" s="115"/>
    </row>
    <row r="506" ht="14.25" customHeight="1">
      <c r="M506" s="115"/>
      <c r="N506" s="115"/>
      <c r="O506" s="115"/>
    </row>
    <row r="507" ht="14.25" customHeight="1">
      <c r="M507" s="115"/>
      <c r="N507" s="115"/>
      <c r="O507" s="115"/>
    </row>
    <row r="508" ht="14.25" customHeight="1">
      <c r="M508" s="115"/>
      <c r="N508" s="115"/>
      <c r="O508" s="115"/>
    </row>
    <row r="509" ht="14.25" customHeight="1">
      <c r="M509" s="115"/>
      <c r="N509" s="115"/>
      <c r="O509" s="115"/>
    </row>
    <row r="510" ht="14.25" customHeight="1">
      <c r="M510" s="115"/>
      <c r="N510" s="115"/>
      <c r="O510" s="115"/>
    </row>
    <row r="511" ht="14.25" customHeight="1">
      <c r="M511" s="115"/>
      <c r="N511" s="115"/>
      <c r="O511" s="115"/>
    </row>
    <row r="512" ht="14.25" customHeight="1">
      <c r="M512" s="115"/>
      <c r="N512" s="115"/>
      <c r="O512" s="115"/>
    </row>
    <row r="513" ht="14.25" customHeight="1">
      <c r="M513" s="115"/>
      <c r="N513" s="115"/>
      <c r="O513" s="115"/>
    </row>
    <row r="514" ht="14.25" customHeight="1">
      <c r="M514" s="115"/>
      <c r="N514" s="115"/>
      <c r="O514" s="115"/>
    </row>
    <row r="515" ht="14.25" customHeight="1">
      <c r="M515" s="115"/>
      <c r="N515" s="115"/>
      <c r="O515" s="115"/>
    </row>
    <row r="516" ht="14.25" customHeight="1">
      <c r="M516" s="115"/>
      <c r="N516" s="115"/>
      <c r="O516" s="115"/>
    </row>
    <row r="517" ht="14.25" customHeight="1">
      <c r="M517" s="115"/>
      <c r="N517" s="115"/>
      <c r="O517" s="115"/>
    </row>
    <row r="518" ht="14.25" customHeight="1">
      <c r="M518" s="115"/>
      <c r="N518" s="115"/>
      <c r="O518" s="115"/>
    </row>
    <row r="519" ht="14.25" customHeight="1">
      <c r="M519" s="115"/>
      <c r="N519" s="115"/>
      <c r="O519" s="115"/>
    </row>
    <row r="520" ht="14.25" customHeight="1">
      <c r="M520" s="115"/>
      <c r="N520" s="115"/>
      <c r="O520" s="115"/>
    </row>
    <row r="521" ht="14.25" customHeight="1">
      <c r="M521" s="115"/>
      <c r="N521" s="115"/>
      <c r="O521" s="115"/>
    </row>
    <row r="522" ht="14.25" customHeight="1">
      <c r="M522" s="115"/>
      <c r="N522" s="115"/>
      <c r="O522" s="115"/>
    </row>
    <row r="523" ht="14.25" customHeight="1">
      <c r="M523" s="115"/>
      <c r="N523" s="115"/>
      <c r="O523" s="115"/>
    </row>
    <row r="524" ht="14.25" customHeight="1">
      <c r="M524" s="115"/>
      <c r="N524" s="115"/>
      <c r="O524" s="115"/>
    </row>
    <row r="525" ht="14.25" customHeight="1">
      <c r="M525" s="115"/>
      <c r="N525" s="115"/>
      <c r="O525" s="115"/>
    </row>
    <row r="526" ht="14.25" customHeight="1">
      <c r="M526" s="115"/>
      <c r="N526" s="115"/>
      <c r="O526" s="115"/>
    </row>
    <row r="527" ht="14.25" customHeight="1">
      <c r="M527" s="115"/>
      <c r="N527" s="115"/>
      <c r="O527" s="115"/>
    </row>
    <row r="528" ht="14.25" customHeight="1">
      <c r="M528" s="115"/>
      <c r="N528" s="115"/>
      <c r="O528" s="115"/>
    </row>
    <row r="529" ht="14.25" customHeight="1">
      <c r="M529" s="115"/>
      <c r="N529" s="115"/>
      <c r="O529" s="115"/>
    </row>
    <row r="530" ht="14.25" customHeight="1">
      <c r="M530" s="115"/>
      <c r="N530" s="115"/>
      <c r="O530" s="115"/>
    </row>
    <row r="531" ht="14.25" customHeight="1">
      <c r="M531" s="115"/>
      <c r="N531" s="115"/>
      <c r="O531" s="115"/>
    </row>
    <row r="532" ht="14.25" customHeight="1">
      <c r="M532" s="115"/>
      <c r="N532" s="115"/>
      <c r="O532" s="115"/>
    </row>
    <row r="533" ht="14.25" customHeight="1">
      <c r="M533" s="115"/>
      <c r="N533" s="115"/>
      <c r="O533" s="115"/>
    </row>
    <row r="534" ht="14.25" customHeight="1">
      <c r="M534" s="115"/>
      <c r="N534" s="115"/>
      <c r="O534" s="115"/>
    </row>
    <row r="535" ht="14.25" customHeight="1">
      <c r="M535" s="115"/>
      <c r="N535" s="115"/>
      <c r="O535" s="115"/>
    </row>
    <row r="536" ht="14.25" customHeight="1">
      <c r="M536" s="115"/>
      <c r="N536" s="115"/>
      <c r="O536" s="115"/>
    </row>
    <row r="537" ht="14.25" customHeight="1">
      <c r="M537" s="115"/>
      <c r="N537" s="115"/>
      <c r="O537" s="115"/>
    </row>
    <row r="538" ht="14.25" customHeight="1">
      <c r="M538" s="115"/>
      <c r="N538" s="115"/>
      <c r="O538" s="115"/>
    </row>
    <row r="539" ht="14.25" customHeight="1">
      <c r="M539" s="115"/>
      <c r="N539" s="115"/>
      <c r="O539" s="115"/>
    </row>
    <row r="540" ht="14.25" customHeight="1">
      <c r="M540" s="115"/>
      <c r="N540" s="115"/>
      <c r="O540" s="115"/>
    </row>
    <row r="541" ht="14.25" customHeight="1">
      <c r="M541" s="115"/>
      <c r="N541" s="115"/>
      <c r="O541" s="115"/>
    </row>
    <row r="542" ht="14.25" customHeight="1">
      <c r="M542" s="115"/>
      <c r="N542" s="115"/>
      <c r="O542" s="115"/>
    </row>
    <row r="543" ht="14.25" customHeight="1">
      <c r="M543" s="115"/>
      <c r="N543" s="115"/>
      <c r="O543" s="115"/>
    </row>
    <row r="544" ht="14.25" customHeight="1">
      <c r="M544" s="115"/>
      <c r="N544" s="115"/>
      <c r="O544" s="115"/>
    </row>
    <row r="545" ht="14.25" customHeight="1">
      <c r="M545" s="115"/>
      <c r="N545" s="115"/>
      <c r="O545" s="115"/>
    </row>
    <row r="546" ht="14.25" customHeight="1">
      <c r="M546" s="115"/>
      <c r="N546" s="115"/>
      <c r="O546" s="115"/>
    </row>
    <row r="547" ht="14.25" customHeight="1">
      <c r="M547" s="115"/>
      <c r="N547" s="115"/>
      <c r="O547" s="115"/>
    </row>
    <row r="548" ht="14.25" customHeight="1">
      <c r="M548" s="115"/>
      <c r="N548" s="115"/>
      <c r="O548" s="115"/>
    </row>
    <row r="549" ht="14.25" customHeight="1">
      <c r="M549" s="115"/>
      <c r="N549" s="115"/>
      <c r="O549" s="115"/>
    </row>
    <row r="550" ht="14.25" customHeight="1">
      <c r="M550" s="115"/>
      <c r="N550" s="115"/>
      <c r="O550" s="115"/>
    </row>
    <row r="551" ht="14.25" customHeight="1">
      <c r="M551" s="115"/>
      <c r="N551" s="115"/>
      <c r="O551" s="115"/>
    </row>
    <row r="552" ht="14.25" customHeight="1">
      <c r="M552" s="115"/>
      <c r="N552" s="115"/>
      <c r="O552" s="115"/>
    </row>
    <row r="553" ht="14.25" customHeight="1">
      <c r="M553" s="115"/>
      <c r="N553" s="115"/>
      <c r="O553" s="115"/>
    </row>
    <row r="554" ht="14.25" customHeight="1">
      <c r="M554" s="115"/>
      <c r="N554" s="115"/>
      <c r="O554" s="115"/>
    </row>
    <row r="555" ht="14.25" customHeight="1">
      <c r="M555" s="115"/>
      <c r="N555" s="115"/>
      <c r="O555" s="115"/>
    </row>
    <row r="556" ht="14.25" customHeight="1">
      <c r="M556" s="115"/>
      <c r="N556" s="115"/>
      <c r="O556" s="115"/>
    </row>
    <row r="557" ht="14.25" customHeight="1">
      <c r="M557" s="115"/>
      <c r="N557" s="115"/>
      <c r="O557" s="115"/>
    </row>
    <row r="558" ht="14.25" customHeight="1">
      <c r="M558" s="115"/>
      <c r="N558" s="115"/>
      <c r="O558" s="115"/>
    </row>
    <row r="559" ht="14.25" customHeight="1">
      <c r="M559" s="115"/>
      <c r="N559" s="115"/>
      <c r="O559" s="115"/>
    </row>
    <row r="560" ht="14.25" customHeight="1">
      <c r="M560" s="115"/>
      <c r="N560" s="115"/>
      <c r="O560" s="115"/>
    </row>
    <row r="561" ht="14.25" customHeight="1">
      <c r="M561" s="115"/>
      <c r="N561" s="115"/>
      <c r="O561" s="115"/>
    </row>
    <row r="562" ht="14.25" customHeight="1">
      <c r="M562" s="115"/>
      <c r="N562" s="115"/>
      <c r="O562" s="115"/>
    </row>
    <row r="563" ht="14.25" customHeight="1">
      <c r="M563" s="115"/>
      <c r="N563" s="115"/>
      <c r="O563" s="115"/>
    </row>
    <row r="564" ht="14.25" customHeight="1">
      <c r="M564" s="115"/>
      <c r="N564" s="115"/>
      <c r="O564" s="115"/>
    </row>
    <row r="565" ht="14.25" customHeight="1">
      <c r="M565" s="115"/>
      <c r="N565" s="115"/>
      <c r="O565" s="115"/>
    </row>
    <row r="566" ht="14.25" customHeight="1">
      <c r="M566" s="115"/>
      <c r="N566" s="115"/>
      <c r="O566" s="115"/>
    </row>
    <row r="567" ht="14.25" customHeight="1">
      <c r="M567" s="115"/>
      <c r="N567" s="115"/>
      <c r="O567" s="115"/>
    </row>
    <row r="568" ht="14.25" customHeight="1">
      <c r="M568" s="115"/>
      <c r="N568" s="115"/>
      <c r="O568" s="115"/>
    </row>
    <row r="569" ht="14.25" customHeight="1">
      <c r="M569" s="115"/>
      <c r="N569" s="115"/>
      <c r="O569" s="115"/>
    </row>
    <row r="570" ht="14.25" customHeight="1">
      <c r="M570" s="115"/>
      <c r="N570" s="115"/>
      <c r="O570" s="115"/>
    </row>
    <row r="571" ht="14.25" customHeight="1">
      <c r="M571" s="115"/>
      <c r="N571" s="115"/>
      <c r="O571" s="115"/>
    </row>
    <row r="572" ht="14.25" customHeight="1">
      <c r="M572" s="115"/>
      <c r="N572" s="115"/>
      <c r="O572" s="115"/>
    </row>
    <row r="573" ht="14.25" customHeight="1">
      <c r="M573" s="115"/>
      <c r="N573" s="115"/>
      <c r="O573" s="115"/>
    </row>
    <row r="574" ht="14.25" customHeight="1">
      <c r="M574" s="115"/>
      <c r="N574" s="115"/>
      <c r="O574" s="115"/>
    </row>
    <row r="575" ht="14.25" customHeight="1">
      <c r="M575" s="115"/>
      <c r="N575" s="115"/>
      <c r="O575" s="115"/>
    </row>
    <row r="576" ht="14.25" customHeight="1">
      <c r="M576" s="115"/>
      <c r="N576" s="115"/>
      <c r="O576" s="115"/>
    </row>
    <row r="577" ht="14.25" customHeight="1">
      <c r="M577" s="115"/>
      <c r="N577" s="115"/>
      <c r="O577" s="115"/>
    </row>
    <row r="578" ht="14.25" customHeight="1">
      <c r="M578" s="115"/>
      <c r="N578" s="115"/>
      <c r="O578" s="115"/>
    </row>
    <row r="579" ht="14.25" customHeight="1">
      <c r="M579" s="115"/>
      <c r="N579" s="115"/>
      <c r="O579" s="115"/>
    </row>
    <row r="580" ht="14.25" customHeight="1">
      <c r="M580" s="115"/>
      <c r="N580" s="115"/>
      <c r="O580" s="115"/>
    </row>
    <row r="581" ht="14.25" customHeight="1">
      <c r="M581" s="115"/>
      <c r="N581" s="115"/>
      <c r="O581" s="115"/>
    </row>
    <row r="582" ht="14.25" customHeight="1">
      <c r="M582" s="115"/>
      <c r="N582" s="115"/>
      <c r="O582" s="115"/>
    </row>
    <row r="583" ht="14.25" customHeight="1">
      <c r="M583" s="115"/>
      <c r="N583" s="115"/>
      <c r="O583" s="115"/>
    </row>
    <row r="584" ht="14.25" customHeight="1">
      <c r="M584" s="115"/>
      <c r="N584" s="115"/>
      <c r="O584" s="115"/>
    </row>
    <row r="585" ht="14.25" customHeight="1">
      <c r="M585" s="115"/>
      <c r="N585" s="115"/>
      <c r="O585" s="115"/>
    </row>
    <row r="586" ht="14.25" customHeight="1">
      <c r="M586" s="115"/>
      <c r="N586" s="115"/>
      <c r="O586" s="115"/>
    </row>
    <row r="587" ht="14.25" customHeight="1">
      <c r="M587" s="115"/>
      <c r="N587" s="115"/>
      <c r="O587" s="115"/>
    </row>
    <row r="588" ht="14.25" customHeight="1">
      <c r="M588" s="115"/>
      <c r="N588" s="115"/>
      <c r="O588" s="115"/>
    </row>
    <row r="589" ht="14.25" customHeight="1">
      <c r="M589" s="115"/>
      <c r="N589" s="115"/>
      <c r="O589" s="115"/>
    </row>
    <row r="590" ht="14.25" customHeight="1">
      <c r="M590" s="115"/>
      <c r="N590" s="115"/>
      <c r="O590" s="115"/>
    </row>
    <row r="591" ht="14.25" customHeight="1">
      <c r="M591" s="115"/>
      <c r="N591" s="115"/>
      <c r="O591" s="115"/>
    </row>
    <row r="592" ht="14.25" customHeight="1">
      <c r="M592" s="115"/>
      <c r="N592" s="115"/>
      <c r="O592" s="115"/>
    </row>
    <row r="593" ht="14.25" customHeight="1">
      <c r="M593" s="115"/>
      <c r="N593" s="115"/>
      <c r="O593" s="115"/>
    </row>
    <row r="594" ht="14.25" customHeight="1">
      <c r="M594" s="115"/>
      <c r="N594" s="115"/>
      <c r="O594" s="115"/>
    </row>
    <row r="595" ht="14.25" customHeight="1">
      <c r="M595" s="115"/>
      <c r="N595" s="115"/>
      <c r="O595" s="115"/>
    </row>
    <row r="596" ht="14.25" customHeight="1">
      <c r="M596" s="115"/>
      <c r="N596" s="115"/>
      <c r="O596" s="115"/>
    </row>
    <row r="597" ht="14.25" customHeight="1">
      <c r="M597" s="115"/>
      <c r="N597" s="115"/>
      <c r="O597" s="115"/>
    </row>
    <row r="598" ht="14.25" customHeight="1">
      <c r="M598" s="115"/>
      <c r="N598" s="115"/>
      <c r="O598" s="115"/>
    </row>
    <row r="599" ht="14.25" customHeight="1">
      <c r="M599" s="115"/>
      <c r="N599" s="115"/>
      <c r="O599" s="115"/>
    </row>
    <row r="600" ht="14.25" customHeight="1">
      <c r="M600" s="115"/>
      <c r="N600" s="115"/>
      <c r="O600" s="115"/>
    </row>
    <row r="601" ht="14.25" customHeight="1">
      <c r="M601" s="115"/>
      <c r="N601" s="115"/>
      <c r="O601" s="115"/>
    </row>
    <row r="602" ht="14.25" customHeight="1">
      <c r="M602" s="115"/>
      <c r="N602" s="115"/>
      <c r="O602" s="115"/>
    </row>
    <row r="603" ht="14.25" customHeight="1">
      <c r="M603" s="115"/>
      <c r="N603" s="115"/>
      <c r="O603" s="115"/>
    </row>
    <row r="604" ht="14.25" customHeight="1">
      <c r="M604" s="115"/>
      <c r="N604" s="115"/>
      <c r="O604" s="115"/>
    </row>
    <row r="605" ht="14.25" customHeight="1">
      <c r="M605" s="115"/>
      <c r="N605" s="115"/>
      <c r="O605" s="115"/>
    </row>
    <row r="606" ht="14.25" customHeight="1">
      <c r="M606" s="115"/>
      <c r="N606" s="115"/>
      <c r="O606" s="115"/>
    </row>
    <row r="607" ht="14.25" customHeight="1">
      <c r="M607" s="115"/>
      <c r="N607" s="115"/>
      <c r="O607" s="115"/>
    </row>
    <row r="608" ht="14.25" customHeight="1">
      <c r="M608" s="115"/>
      <c r="N608" s="115"/>
      <c r="O608" s="115"/>
    </row>
    <row r="609" ht="14.25" customHeight="1">
      <c r="M609" s="115"/>
      <c r="N609" s="115"/>
      <c r="O609" s="115"/>
    </row>
    <row r="610" ht="14.25" customHeight="1">
      <c r="M610" s="115"/>
      <c r="N610" s="115"/>
      <c r="O610" s="115"/>
    </row>
    <row r="611" ht="14.25" customHeight="1">
      <c r="M611" s="115"/>
      <c r="N611" s="115"/>
      <c r="O611" s="115"/>
    </row>
    <row r="612" ht="14.25" customHeight="1">
      <c r="M612" s="115"/>
      <c r="N612" s="115"/>
      <c r="O612" s="115"/>
    </row>
    <row r="613" ht="14.25" customHeight="1">
      <c r="M613" s="115"/>
      <c r="N613" s="115"/>
      <c r="O613" s="115"/>
    </row>
    <row r="614" ht="14.25" customHeight="1">
      <c r="M614" s="115"/>
      <c r="N614" s="115"/>
      <c r="O614" s="115"/>
    </row>
    <row r="615" ht="14.25" customHeight="1">
      <c r="M615" s="115"/>
      <c r="N615" s="115"/>
      <c r="O615" s="115"/>
    </row>
    <row r="616" ht="14.25" customHeight="1">
      <c r="M616" s="115"/>
      <c r="N616" s="115"/>
      <c r="O616" s="115"/>
    </row>
    <row r="617" ht="14.25" customHeight="1">
      <c r="M617" s="115"/>
      <c r="N617" s="115"/>
      <c r="O617" s="115"/>
    </row>
    <row r="618" ht="14.25" customHeight="1">
      <c r="M618" s="115"/>
      <c r="N618" s="115"/>
      <c r="O618" s="115"/>
    </row>
    <row r="619" ht="14.25" customHeight="1">
      <c r="M619" s="115"/>
      <c r="N619" s="115"/>
      <c r="O619" s="115"/>
    </row>
    <row r="620" ht="14.25" customHeight="1">
      <c r="M620" s="115"/>
      <c r="N620" s="115"/>
      <c r="O620" s="115"/>
    </row>
    <row r="621" ht="14.25" customHeight="1">
      <c r="M621" s="115"/>
      <c r="N621" s="115"/>
      <c r="O621" s="115"/>
    </row>
    <row r="622" ht="14.25" customHeight="1">
      <c r="M622" s="115"/>
      <c r="N622" s="115"/>
      <c r="O622" s="115"/>
    </row>
    <row r="623" ht="14.25" customHeight="1">
      <c r="M623" s="115"/>
      <c r="N623" s="115"/>
      <c r="O623" s="115"/>
    </row>
    <row r="624" ht="14.25" customHeight="1">
      <c r="M624" s="115"/>
      <c r="N624" s="115"/>
      <c r="O624" s="115"/>
    </row>
    <row r="625" ht="14.25" customHeight="1">
      <c r="M625" s="115"/>
      <c r="N625" s="115"/>
      <c r="O625" s="115"/>
    </row>
    <row r="626" ht="14.25" customHeight="1">
      <c r="M626" s="115"/>
      <c r="N626" s="115"/>
      <c r="O626" s="115"/>
    </row>
    <row r="627" ht="14.25" customHeight="1">
      <c r="M627" s="115"/>
      <c r="N627" s="115"/>
      <c r="O627" s="115"/>
    </row>
    <row r="628" ht="14.25" customHeight="1">
      <c r="M628" s="115"/>
      <c r="N628" s="115"/>
      <c r="O628" s="115"/>
    </row>
    <row r="629" ht="14.25" customHeight="1">
      <c r="M629" s="115"/>
      <c r="N629" s="115"/>
      <c r="O629" s="115"/>
    </row>
    <row r="630" ht="14.25" customHeight="1">
      <c r="M630" s="115"/>
      <c r="N630" s="115"/>
      <c r="O630" s="115"/>
    </row>
    <row r="631" ht="14.25" customHeight="1">
      <c r="M631" s="115"/>
      <c r="N631" s="115"/>
      <c r="O631" s="115"/>
    </row>
    <row r="632" ht="14.25" customHeight="1">
      <c r="M632" s="115"/>
      <c r="N632" s="115"/>
      <c r="O632" s="115"/>
    </row>
    <row r="633" ht="14.25" customHeight="1">
      <c r="M633" s="115"/>
      <c r="N633" s="115"/>
      <c r="O633" s="115"/>
    </row>
    <row r="634" ht="14.25" customHeight="1">
      <c r="M634" s="115"/>
      <c r="N634" s="115"/>
      <c r="O634" s="115"/>
    </row>
    <row r="635" ht="14.25" customHeight="1">
      <c r="M635" s="115"/>
      <c r="N635" s="115"/>
      <c r="O635" s="115"/>
    </row>
    <row r="636" ht="14.25" customHeight="1">
      <c r="M636" s="115"/>
      <c r="N636" s="115"/>
      <c r="O636" s="115"/>
    </row>
    <row r="637" ht="14.25" customHeight="1">
      <c r="M637" s="115"/>
      <c r="N637" s="115"/>
      <c r="O637" s="115"/>
    </row>
    <row r="638" ht="14.25" customHeight="1">
      <c r="M638" s="115"/>
      <c r="N638" s="115"/>
      <c r="O638" s="115"/>
    </row>
    <row r="639" ht="14.25" customHeight="1">
      <c r="M639" s="115"/>
      <c r="N639" s="115"/>
      <c r="O639" s="115"/>
    </row>
    <row r="640" ht="14.25" customHeight="1">
      <c r="M640" s="115"/>
      <c r="N640" s="115"/>
      <c r="O640" s="115"/>
    </row>
    <row r="641" ht="14.25" customHeight="1">
      <c r="M641" s="115"/>
      <c r="N641" s="115"/>
      <c r="O641" s="115"/>
    </row>
    <row r="642" ht="14.25" customHeight="1">
      <c r="M642" s="115"/>
      <c r="N642" s="115"/>
      <c r="O642" s="115"/>
    </row>
    <row r="643" ht="14.25" customHeight="1">
      <c r="M643" s="115"/>
      <c r="N643" s="115"/>
      <c r="O643" s="115"/>
    </row>
    <row r="644" ht="14.25" customHeight="1">
      <c r="M644" s="115"/>
      <c r="N644" s="115"/>
      <c r="O644" s="115"/>
    </row>
    <row r="645" ht="14.25" customHeight="1">
      <c r="M645" s="115"/>
      <c r="N645" s="115"/>
      <c r="O645" s="115"/>
    </row>
    <row r="646" ht="14.25" customHeight="1">
      <c r="M646" s="115"/>
      <c r="N646" s="115"/>
      <c r="O646" s="115"/>
    </row>
    <row r="647" ht="14.25" customHeight="1">
      <c r="M647" s="115"/>
      <c r="N647" s="115"/>
      <c r="O647" s="115"/>
    </row>
    <row r="648" ht="14.25" customHeight="1">
      <c r="M648" s="115"/>
      <c r="N648" s="115"/>
      <c r="O648" s="115"/>
    </row>
    <row r="649" ht="14.25" customHeight="1">
      <c r="M649" s="115"/>
      <c r="N649" s="115"/>
      <c r="O649" s="115"/>
    </row>
    <row r="650" ht="14.25" customHeight="1">
      <c r="M650" s="115"/>
      <c r="N650" s="115"/>
      <c r="O650" s="115"/>
    </row>
    <row r="651" ht="14.25" customHeight="1">
      <c r="M651" s="115"/>
      <c r="N651" s="115"/>
      <c r="O651" s="115"/>
    </row>
    <row r="652" ht="14.25" customHeight="1">
      <c r="M652" s="115"/>
      <c r="N652" s="115"/>
      <c r="O652" s="115"/>
    </row>
    <row r="653" ht="14.25" customHeight="1">
      <c r="M653" s="115"/>
      <c r="N653" s="115"/>
      <c r="O653" s="115"/>
    </row>
    <row r="654" ht="14.25" customHeight="1">
      <c r="M654" s="115"/>
      <c r="N654" s="115"/>
      <c r="O654" s="115"/>
    </row>
    <row r="655" ht="14.25" customHeight="1">
      <c r="M655" s="115"/>
      <c r="N655" s="115"/>
      <c r="O655" s="115"/>
    </row>
    <row r="656" ht="14.25" customHeight="1">
      <c r="M656" s="115"/>
      <c r="N656" s="115"/>
      <c r="O656" s="115"/>
    </row>
    <row r="657" ht="14.25" customHeight="1">
      <c r="M657" s="115"/>
      <c r="N657" s="115"/>
      <c r="O657" s="115"/>
    </row>
    <row r="658" ht="14.25" customHeight="1">
      <c r="M658" s="115"/>
      <c r="N658" s="115"/>
      <c r="O658" s="115"/>
    </row>
    <row r="659" ht="14.25" customHeight="1">
      <c r="M659" s="115"/>
      <c r="N659" s="115"/>
      <c r="O659" s="115"/>
    </row>
    <row r="660" ht="14.25" customHeight="1">
      <c r="M660" s="115"/>
      <c r="N660" s="115"/>
      <c r="O660" s="115"/>
    </row>
    <row r="661" ht="14.25" customHeight="1">
      <c r="M661" s="115"/>
      <c r="N661" s="115"/>
      <c r="O661" s="115"/>
    </row>
    <row r="662" ht="14.25" customHeight="1">
      <c r="M662" s="115"/>
      <c r="N662" s="115"/>
      <c r="O662" s="115"/>
    </row>
    <row r="663" ht="14.25" customHeight="1">
      <c r="M663" s="115"/>
      <c r="N663" s="115"/>
      <c r="O663" s="115"/>
    </row>
    <row r="664" ht="14.25" customHeight="1">
      <c r="M664" s="115"/>
      <c r="N664" s="115"/>
      <c r="O664" s="115"/>
    </row>
    <row r="665" ht="14.25" customHeight="1">
      <c r="M665" s="115"/>
      <c r="N665" s="115"/>
      <c r="O665" s="115"/>
    </row>
    <row r="666" ht="14.25" customHeight="1">
      <c r="M666" s="115"/>
      <c r="N666" s="115"/>
      <c r="O666" s="115"/>
    </row>
    <row r="667" ht="14.25" customHeight="1">
      <c r="M667" s="115"/>
      <c r="N667" s="115"/>
      <c r="O667" s="115"/>
    </row>
    <row r="668" ht="14.25" customHeight="1">
      <c r="M668" s="115"/>
      <c r="N668" s="115"/>
      <c r="O668" s="115"/>
    </row>
    <row r="669" ht="14.25" customHeight="1">
      <c r="M669" s="115"/>
      <c r="N669" s="115"/>
      <c r="O669" s="115"/>
    </row>
    <row r="670" ht="14.25" customHeight="1">
      <c r="M670" s="115"/>
      <c r="N670" s="115"/>
      <c r="O670" s="115"/>
    </row>
    <row r="671" ht="14.25" customHeight="1">
      <c r="M671" s="115"/>
      <c r="N671" s="115"/>
      <c r="O671" s="115"/>
    </row>
    <row r="672" ht="14.25" customHeight="1">
      <c r="M672" s="115"/>
      <c r="N672" s="115"/>
      <c r="O672" s="115"/>
    </row>
    <row r="673" ht="14.25" customHeight="1">
      <c r="M673" s="115"/>
      <c r="N673" s="115"/>
      <c r="O673" s="115"/>
    </row>
    <row r="674" ht="14.25" customHeight="1">
      <c r="M674" s="115"/>
      <c r="N674" s="115"/>
      <c r="O674" s="115"/>
    </row>
    <row r="675" ht="14.25" customHeight="1">
      <c r="M675" s="115"/>
      <c r="N675" s="115"/>
      <c r="O675" s="115"/>
    </row>
    <row r="676" ht="14.25" customHeight="1">
      <c r="M676" s="115"/>
      <c r="N676" s="115"/>
      <c r="O676" s="115"/>
    </row>
    <row r="677" ht="14.25" customHeight="1">
      <c r="M677" s="115"/>
      <c r="N677" s="115"/>
      <c r="O677" s="115"/>
    </row>
    <row r="678" ht="14.25" customHeight="1">
      <c r="M678" s="115"/>
      <c r="N678" s="115"/>
      <c r="O678" s="115"/>
    </row>
    <row r="679" ht="14.25" customHeight="1">
      <c r="M679" s="115"/>
      <c r="N679" s="115"/>
      <c r="O679" s="115"/>
    </row>
    <row r="680" ht="14.25" customHeight="1">
      <c r="M680" s="115"/>
      <c r="N680" s="115"/>
      <c r="O680" s="115"/>
    </row>
    <row r="681" ht="14.25" customHeight="1">
      <c r="M681" s="115"/>
      <c r="N681" s="115"/>
      <c r="O681" s="115"/>
    </row>
    <row r="682" ht="14.25" customHeight="1">
      <c r="M682" s="115"/>
      <c r="N682" s="115"/>
      <c r="O682" s="115"/>
    </row>
    <row r="683" ht="14.25" customHeight="1">
      <c r="M683" s="115"/>
      <c r="N683" s="115"/>
      <c r="O683" s="115"/>
    </row>
    <row r="684" ht="14.25" customHeight="1">
      <c r="M684" s="115"/>
      <c r="N684" s="115"/>
      <c r="O684" s="115"/>
    </row>
    <row r="685" ht="14.25" customHeight="1">
      <c r="M685" s="115"/>
      <c r="N685" s="115"/>
      <c r="O685" s="115"/>
    </row>
    <row r="686" ht="14.25" customHeight="1">
      <c r="M686" s="115"/>
      <c r="N686" s="115"/>
      <c r="O686" s="115"/>
    </row>
    <row r="687" ht="14.25" customHeight="1">
      <c r="M687" s="115"/>
      <c r="N687" s="115"/>
      <c r="O687" s="115"/>
    </row>
    <row r="688" ht="14.25" customHeight="1">
      <c r="M688" s="115"/>
      <c r="N688" s="115"/>
      <c r="O688" s="115"/>
    </row>
    <row r="689" ht="14.25" customHeight="1">
      <c r="M689" s="115"/>
      <c r="N689" s="115"/>
      <c r="O689" s="115"/>
    </row>
    <row r="690" ht="14.25" customHeight="1">
      <c r="M690" s="115"/>
      <c r="N690" s="115"/>
      <c r="O690" s="115"/>
    </row>
    <row r="691" ht="14.25" customHeight="1">
      <c r="M691" s="115"/>
      <c r="N691" s="115"/>
      <c r="O691" s="115"/>
    </row>
    <row r="692" ht="14.25" customHeight="1">
      <c r="M692" s="115"/>
      <c r="N692" s="115"/>
      <c r="O692" s="115"/>
    </row>
    <row r="693" ht="14.25" customHeight="1">
      <c r="M693" s="115"/>
      <c r="N693" s="115"/>
      <c r="O693" s="115"/>
    </row>
    <row r="694" ht="14.25" customHeight="1">
      <c r="M694" s="115"/>
      <c r="N694" s="115"/>
      <c r="O694" s="115"/>
    </row>
    <row r="695" ht="14.25" customHeight="1">
      <c r="M695" s="115"/>
      <c r="N695" s="115"/>
      <c r="O695" s="115"/>
    </row>
    <row r="696" ht="14.25" customHeight="1">
      <c r="M696" s="115"/>
      <c r="N696" s="115"/>
      <c r="O696" s="115"/>
    </row>
    <row r="697" ht="14.25" customHeight="1">
      <c r="M697" s="115"/>
      <c r="N697" s="115"/>
      <c r="O697" s="115"/>
    </row>
    <row r="698" ht="14.25" customHeight="1">
      <c r="M698" s="115"/>
      <c r="N698" s="115"/>
      <c r="O698" s="115"/>
    </row>
    <row r="699" ht="14.25" customHeight="1">
      <c r="M699" s="115"/>
      <c r="N699" s="115"/>
      <c r="O699" s="115"/>
    </row>
    <row r="700" ht="14.25" customHeight="1">
      <c r="M700" s="115"/>
      <c r="N700" s="115"/>
      <c r="O700" s="115"/>
    </row>
    <row r="701" ht="14.25" customHeight="1">
      <c r="M701" s="115"/>
      <c r="N701" s="115"/>
      <c r="O701" s="115"/>
    </row>
    <row r="702" ht="14.25" customHeight="1">
      <c r="M702" s="115"/>
      <c r="N702" s="115"/>
      <c r="O702" s="115"/>
    </row>
    <row r="703" ht="14.25" customHeight="1">
      <c r="M703" s="115"/>
      <c r="N703" s="115"/>
      <c r="O703" s="115"/>
    </row>
    <row r="704" ht="14.25" customHeight="1">
      <c r="M704" s="115"/>
      <c r="N704" s="115"/>
      <c r="O704" s="115"/>
    </row>
    <row r="705" ht="14.25" customHeight="1">
      <c r="M705" s="115"/>
      <c r="N705" s="115"/>
      <c r="O705" s="115"/>
    </row>
    <row r="706" ht="14.25" customHeight="1">
      <c r="M706" s="115"/>
      <c r="N706" s="115"/>
      <c r="O706" s="115"/>
    </row>
    <row r="707" ht="14.25" customHeight="1">
      <c r="M707" s="115"/>
      <c r="N707" s="115"/>
      <c r="O707" s="115"/>
    </row>
    <row r="708" ht="14.25" customHeight="1">
      <c r="M708" s="115"/>
      <c r="N708" s="115"/>
      <c r="O708" s="115"/>
    </row>
    <row r="709" ht="14.25" customHeight="1">
      <c r="M709" s="115"/>
      <c r="N709" s="115"/>
      <c r="O709" s="115"/>
    </row>
    <row r="710" ht="14.25" customHeight="1">
      <c r="M710" s="115"/>
      <c r="N710" s="115"/>
      <c r="O710" s="115"/>
    </row>
    <row r="711" ht="14.25" customHeight="1">
      <c r="M711" s="115"/>
      <c r="N711" s="115"/>
      <c r="O711" s="115"/>
    </row>
    <row r="712" ht="14.25" customHeight="1">
      <c r="M712" s="115"/>
      <c r="N712" s="115"/>
      <c r="O712" s="115"/>
    </row>
    <row r="713" ht="14.25" customHeight="1">
      <c r="M713" s="115"/>
      <c r="N713" s="115"/>
      <c r="O713" s="115"/>
    </row>
    <row r="714" ht="14.25" customHeight="1">
      <c r="M714" s="115"/>
      <c r="N714" s="115"/>
      <c r="O714" s="115"/>
    </row>
    <row r="715" ht="14.25" customHeight="1">
      <c r="M715" s="115"/>
      <c r="N715" s="115"/>
      <c r="O715" s="115"/>
    </row>
    <row r="716" ht="14.25" customHeight="1">
      <c r="M716" s="115"/>
      <c r="N716" s="115"/>
      <c r="O716" s="115"/>
    </row>
    <row r="717" ht="14.25" customHeight="1">
      <c r="M717" s="115"/>
      <c r="N717" s="115"/>
      <c r="O717" s="115"/>
    </row>
    <row r="718" ht="14.25" customHeight="1">
      <c r="M718" s="115"/>
      <c r="N718" s="115"/>
      <c r="O718" s="115"/>
    </row>
    <row r="719" ht="14.25" customHeight="1">
      <c r="M719" s="115"/>
      <c r="N719" s="115"/>
      <c r="O719" s="115"/>
    </row>
    <row r="720" ht="14.25" customHeight="1">
      <c r="M720" s="115"/>
      <c r="N720" s="115"/>
      <c r="O720" s="115"/>
    </row>
    <row r="721" ht="14.25" customHeight="1">
      <c r="M721" s="115"/>
      <c r="N721" s="115"/>
      <c r="O721" s="115"/>
    </row>
    <row r="722" ht="14.25" customHeight="1">
      <c r="M722" s="115"/>
      <c r="N722" s="115"/>
      <c r="O722" s="115"/>
    </row>
    <row r="723" ht="14.25" customHeight="1">
      <c r="M723" s="115"/>
      <c r="N723" s="115"/>
      <c r="O723" s="115"/>
    </row>
    <row r="724" ht="14.25" customHeight="1">
      <c r="M724" s="115"/>
      <c r="N724" s="115"/>
      <c r="O724" s="115"/>
    </row>
    <row r="725" ht="14.25" customHeight="1">
      <c r="M725" s="115"/>
      <c r="N725" s="115"/>
      <c r="O725" s="115"/>
    </row>
    <row r="726" ht="14.25" customHeight="1">
      <c r="M726" s="115"/>
      <c r="N726" s="115"/>
      <c r="O726" s="115"/>
    </row>
    <row r="727" ht="14.25" customHeight="1">
      <c r="M727" s="115"/>
      <c r="N727" s="115"/>
      <c r="O727" s="115"/>
    </row>
    <row r="728" ht="14.25" customHeight="1">
      <c r="M728" s="115"/>
      <c r="N728" s="115"/>
      <c r="O728" s="115"/>
    </row>
    <row r="729" ht="14.25" customHeight="1">
      <c r="M729" s="115"/>
      <c r="N729" s="115"/>
      <c r="O729" s="115"/>
    </row>
    <row r="730" ht="14.25" customHeight="1">
      <c r="M730" s="115"/>
      <c r="N730" s="115"/>
      <c r="O730" s="115"/>
    </row>
    <row r="731" ht="14.25" customHeight="1">
      <c r="M731" s="115"/>
      <c r="N731" s="115"/>
      <c r="O731" s="115"/>
    </row>
    <row r="732" ht="14.25" customHeight="1">
      <c r="M732" s="115"/>
      <c r="N732" s="115"/>
      <c r="O732" s="115"/>
    </row>
    <row r="733" ht="14.25" customHeight="1">
      <c r="M733" s="115"/>
      <c r="N733" s="115"/>
      <c r="O733" s="115"/>
    </row>
    <row r="734" ht="14.25" customHeight="1">
      <c r="M734" s="115"/>
      <c r="N734" s="115"/>
      <c r="O734" s="115"/>
    </row>
    <row r="735" ht="14.25" customHeight="1">
      <c r="M735" s="115"/>
      <c r="N735" s="115"/>
      <c r="O735" s="115"/>
    </row>
    <row r="736" ht="14.25" customHeight="1">
      <c r="M736" s="115"/>
      <c r="N736" s="115"/>
      <c r="O736" s="115"/>
    </row>
    <row r="737" ht="14.25" customHeight="1">
      <c r="M737" s="115"/>
      <c r="N737" s="115"/>
      <c r="O737" s="115"/>
    </row>
    <row r="738" ht="14.25" customHeight="1">
      <c r="M738" s="115"/>
      <c r="N738" s="115"/>
      <c r="O738" s="115"/>
    </row>
    <row r="739" ht="14.25" customHeight="1">
      <c r="M739" s="115"/>
      <c r="N739" s="115"/>
      <c r="O739" s="115"/>
    </row>
    <row r="740" ht="14.25" customHeight="1">
      <c r="M740" s="115"/>
      <c r="N740" s="115"/>
      <c r="O740" s="115"/>
    </row>
    <row r="741" ht="14.25" customHeight="1">
      <c r="M741" s="115"/>
      <c r="N741" s="115"/>
      <c r="O741" s="115"/>
    </row>
    <row r="742" ht="14.25" customHeight="1">
      <c r="M742" s="115"/>
      <c r="N742" s="115"/>
      <c r="O742" s="115"/>
    </row>
    <row r="743" ht="14.25" customHeight="1">
      <c r="M743" s="115"/>
      <c r="N743" s="115"/>
      <c r="O743" s="115"/>
    </row>
    <row r="744" ht="14.25" customHeight="1">
      <c r="M744" s="115"/>
      <c r="N744" s="115"/>
      <c r="O744" s="115"/>
    </row>
    <row r="745" ht="14.25" customHeight="1">
      <c r="M745" s="115"/>
      <c r="N745" s="115"/>
      <c r="O745" s="115"/>
    </row>
    <row r="746" ht="14.25" customHeight="1">
      <c r="M746" s="115"/>
      <c r="N746" s="115"/>
      <c r="O746" s="115"/>
    </row>
    <row r="747" ht="14.25" customHeight="1">
      <c r="M747" s="115"/>
      <c r="N747" s="115"/>
      <c r="O747" s="115"/>
    </row>
    <row r="748" ht="14.25" customHeight="1">
      <c r="M748" s="115"/>
      <c r="N748" s="115"/>
      <c r="O748" s="115"/>
    </row>
    <row r="749" ht="14.25" customHeight="1">
      <c r="M749" s="115"/>
      <c r="N749" s="115"/>
      <c r="O749" s="115"/>
    </row>
    <row r="750" ht="14.25" customHeight="1">
      <c r="M750" s="115"/>
      <c r="N750" s="115"/>
      <c r="O750" s="115"/>
    </row>
    <row r="751" ht="14.25" customHeight="1">
      <c r="M751" s="115"/>
      <c r="N751" s="115"/>
      <c r="O751" s="115"/>
    </row>
    <row r="752" ht="14.25" customHeight="1">
      <c r="M752" s="115"/>
      <c r="N752" s="115"/>
      <c r="O752" s="115"/>
    </row>
    <row r="753" ht="14.25" customHeight="1">
      <c r="M753" s="115"/>
      <c r="N753" s="115"/>
      <c r="O753" s="115"/>
    </row>
    <row r="754" ht="14.25" customHeight="1">
      <c r="M754" s="115"/>
      <c r="N754" s="115"/>
      <c r="O754" s="115"/>
    </row>
    <row r="755" ht="14.25" customHeight="1">
      <c r="M755" s="115"/>
      <c r="N755" s="115"/>
      <c r="O755" s="115"/>
    </row>
    <row r="756" ht="14.25" customHeight="1">
      <c r="M756" s="115"/>
      <c r="N756" s="115"/>
      <c r="O756" s="115"/>
    </row>
    <row r="757" ht="14.25" customHeight="1">
      <c r="M757" s="115"/>
      <c r="N757" s="115"/>
      <c r="O757" s="115"/>
    </row>
    <row r="758" ht="14.25" customHeight="1">
      <c r="M758" s="115"/>
      <c r="N758" s="115"/>
      <c r="O758" s="115"/>
    </row>
    <row r="759" ht="14.25" customHeight="1">
      <c r="M759" s="115"/>
      <c r="N759" s="115"/>
      <c r="O759" s="115"/>
    </row>
    <row r="760" ht="14.25" customHeight="1">
      <c r="M760" s="115"/>
      <c r="N760" s="115"/>
      <c r="O760" s="115"/>
    </row>
    <row r="761" ht="14.25" customHeight="1">
      <c r="M761" s="115"/>
      <c r="N761" s="115"/>
      <c r="O761" s="115"/>
    </row>
    <row r="762" ht="14.25" customHeight="1">
      <c r="M762" s="115"/>
      <c r="N762" s="115"/>
      <c r="O762" s="115"/>
    </row>
    <row r="763" ht="14.25" customHeight="1">
      <c r="M763" s="115"/>
      <c r="N763" s="115"/>
      <c r="O763" s="115"/>
    </row>
    <row r="764" ht="14.25" customHeight="1">
      <c r="M764" s="115"/>
      <c r="N764" s="115"/>
      <c r="O764" s="115"/>
    </row>
    <row r="765" ht="14.25" customHeight="1">
      <c r="M765" s="115"/>
      <c r="N765" s="115"/>
      <c r="O765" s="115"/>
    </row>
    <row r="766" ht="14.25" customHeight="1">
      <c r="M766" s="115"/>
      <c r="N766" s="115"/>
      <c r="O766" s="115"/>
    </row>
    <row r="767" ht="14.25" customHeight="1">
      <c r="M767" s="115"/>
      <c r="N767" s="115"/>
      <c r="O767" s="115"/>
    </row>
    <row r="768" ht="14.25" customHeight="1">
      <c r="M768" s="115"/>
      <c r="N768" s="115"/>
      <c r="O768" s="115"/>
    </row>
    <row r="769" ht="14.25" customHeight="1">
      <c r="M769" s="115"/>
      <c r="N769" s="115"/>
      <c r="O769" s="115"/>
    </row>
    <row r="770" ht="14.25" customHeight="1">
      <c r="M770" s="115"/>
      <c r="N770" s="115"/>
      <c r="O770" s="115"/>
    </row>
    <row r="771" ht="14.25" customHeight="1">
      <c r="M771" s="115"/>
      <c r="N771" s="115"/>
      <c r="O771" s="115"/>
    </row>
    <row r="772" ht="14.25" customHeight="1">
      <c r="M772" s="115"/>
      <c r="N772" s="115"/>
      <c r="O772" s="115"/>
    </row>
    <row r="773" ht="14.25" customHeight="1">
      <c r="M773" s="115"/>
      <c r="N773" s="115"/>
      <c r="O773" s="115"/>
    </row>
    <row r="774" ht="14.25" customHeight="1">
      <c r="M774" s="115"/>
      <c r="N774" s="115"/>
      <c r="O774" s="115"/>
    </row>
    <row r="775" ht="14.25" customHeight="1">
      <c r="M775" s="115"/>
      <c r="N775" s="115"/>
      <c r="O775" s="115"/>
    </row>
    <row r="776" ht="14.25" customHeight="1">
      <c r="M776" s="115"/>
      <c r="N776" s="115"/>
      <c r="O776" s="115"/>
    </row>
    <row r="777" ht="14.25" customHeight="1">
      <c r="M777" s="115"/>
      <c r="N777" s="115"/>
      <c r="O777" s="115"/>
    </row>
    <row r="778" ht="14.25" customHeight="1">
      <c r="M778" s="115"/>
      <c r="N778" s="115"/>
      <c r="O778" s="115"/>
    </row>
    <row r="779" ht="14.25" customHeight="1">
      <c r="M779" s="115"/>
      <c r="N779" s="115"/>
      <c r="O779" s="115"/>
    </row>
    <row r="780" ht="14.25" customHeight="1">
      <c r="M780" s="115"/>
      <c r="N780" s="115"/>
      <c r="O780" s="115"/>
    </row>
    <row r="781" ht="14.25" customHeight="1">
      <c r="M781" s="115"/>
      <c r="N781" s="115"/>
      <c r="O781" s="115"/>
    </row>
    <row r="782" ht="14.25" customHeight="1">
      <c r="M782" s="115"/>
      <c r="N782" s="115"/>
      <c r="O782" s="115"/>
    </row>
    <row r="783" ht="14.25" customHeight="1">
      <c r="M783" s="115"/>
      <c r="N783" s="115"/>
      <c r="O783" s="115"/>
    </row>
    <row r="784" ht="14.25" customHeight="1">
      <c r="M784" s="115"/>
      <c r="N784" s="115"/>
      <c r="O784" s="115"/>
    </row>
    <row r="785" ht="14.25" customHeight="1">
      <c r="M785" s="115"/>
      <c r="N785" s="115"/>
      <c r="O785" s="115"/>
    </row>
    <row r="786" ht="14.25" customHeight="1">
      <c r="M786" s="115"/>
      <c r="N786" s="115"/>
      <c r="O786" s="115"/>
    </row>
    <row r="787" ht="14.25" customHeight="1">
      <c r="M787" s="115"/>
      <c r="N787" s="115"/>
      <c r="O787" s="115"/>
    </row>
    <row r="788" ht="14.25" customHeight="1">
      <c r="M788" s="115"/>
      <c r="N788" s="115"/>
      <c r="O788" s="115"/>
    </row>
    <row r="789" ht="14.25" customHeight="1">
      <c r="M789" s="115"/>
      <c r="N789" s="115"/>
      <c r="O789" s="115"/>
    </row>
    <row r="790" ht="14.25" customHeight="1">
      <c r="M790" s="115"/>
      <c r="N790" s="115"/>
      <c r="O790" s="115"/>
    </row>
    <row r="791" ht="14.25" customHeight="1">
      <c r="M791" s="115"/>
      <c r="N791" s="115"/>
      <c r="O791" s="115"/>
    </row>
    <row r="792" ht="14.25" customHeight="1">
      <c r="M792" s="115"/>
      <c r="N792" s="115"/>
      <c r="O792" s="115"/>
    </row>
    <row r="793" ht="14.25" customHeight="1">
      <c r="M793" s="115"/>
      <c r="N793" s="115"/>
      <c r="O793" s="115"/>
    </row>
    <row r="794" ht="14.25" customHeight="1">
      <c r="M794" s="115"/>
      <c r="N794" s="115"/>
      <c r="O794" s="115"/>
    </row>
    <row r="795" ht="14.25" customHeight="1">
      <c r="M795" s="115"/>
      <c r="N795" s="115"/>
      <c r="O795" s="115"/>
    </row>
    <row r="796" ht="14.25" customHeight="1">
      <c r="M796" s="115"/>
      <c r="N796" s="115"/>
      <c r="O796" s="115"/>
    </row>
    <row r="797" ht="14.25" customHeight="1">
      <c r="M797" s="115"/>
      <c r="N797" s="115"/>
      <c r="O797" s="115"/>
    </row>
    <row r="798" ht="14.25" customHeight="1">
      <c r="M798" s="115"/>
      <c r="N798" s="115"/>
      <c r="O798" s="115"/>
    </row>
    <row r="799" ht="14.25" customHeight="1">
      <c r="M799" s="115"/>
      <c r="N799" s="115"/>
      <c r="O799" s="115"/>
    </row>
    <row r="800" ht="14.25" customHeight="1">
      <c r="M800" s="115"/>
      <c r="N800" s="115"/>
      <c r="O800" s="115"/>
    </row>
    <row r="801" ht="14.25" customHeight="1">
      <c r="M801" s="115"/>
      <c r="N801" s="115"/>
      <c r="O801" s="115"/>
    </row>
    <row r="802" ht="14.25" customHeight="1">
      <c r="M802" s="115"/>
      <c r="N802" s="115"/>
      <c r="O802" s="115"/>
    </row>
    <row r="803" ht="14.25" customHeight="1">
      <c r="M803" s="115"/>
      <c r="N803" s="115"/>
      <c r="O803" s="115"/>
    </row>
    <row r="804" ht="14.25" customHeight="1">
      <c r="M804" s="115"/>
      <c r="N804" s="115"/>
      <c r="O804" s="115"/>
    </row>
    <row r="805" ht="14.25" customHeight="1">
      <c r="M805" s="115"/>
      <c r="N805" s="115"/>
      <c r="O805" s="115"/>
    </row>
    <row r="806" ht="14.25" customHeight="1">
      <c r="M806" s="115"/>
      <c r="N806" s="115"/>
      <c r="O806" s="115"/>
    </row>
    <row r="807" ht="14.25" customHeight="1">
      <c r="M807" s="115"/>
      <c r="N807" s="115"/>
      <c r="O807" s="115"/>
    </row>
    <row r="808" ht="14.25" customHeight="1">
      <c r="M808" s="115"/>
      <c r="N808" s="115"/>
      <c r="O808" s="115"/>
    </row>
    <row r="809" ht="14.25" customHeight="1">
      <c r="M809" s="115"/>
      <c r="N809" s="115"/>
      <c r="O809" s="115"/>
    </row>
    <row r="810" ht="14.25" customHeight="1">
      <c r="M810" s="115"/>
      <c r="N810" s="115"/>
      <c r="O810" s="115"/>
    </row>
    <row r="811" ht="14.25" customHeight="1">
      <c r="M811" s="115"/>
      <c r="N811" s="115"/>
      <c r="O811" s="115"/>
    </row>
    <row r="812" ht="14.25" customHeight="1">
      <c r="M812" s="115"/>
      <c r="N812" s="115"/>
      <c r="O812" s="115"/>
    </row>
    <row r="813" ht="14.25" customHeight="1">
      <c r="M813" s="115"/>
      <c r="N813" s="115"/>
      <c r="O813" s="115"/>
    </row>
    <row r="814" ht="14.25" customHeight="1">
      <c r="M814" s="115"/>
      <c r="N814" s="115"/>
      <c r="O814" s="115"/>
    </row>
    <row r="815" ht="14.25" customHeight="1">
      <c r="M815" s="115"/>
      <c r="N815" s="115"/>
      <c r="O815" s="115"/>
    </row>
    <row r="816" ht="14.25" customHeight="1">
      <c r="M816" s="115"/>
      <c r="N816" s="115"/>
      <c r="O816" s="115"/>
    </row>
    <row r="817" ht="14.25" customHeight="1">
      <c r="M817" s="115"/>
      <c r="N817" s="115"/>
      <c r="O817" s="115"/>
    </row>
    <row r="818" ht="14.25" customHeight="1">
      <c r="M818" s="115"/>
      <c r="N818" s="115"/>
      <c r="O818" s="115"/>
    </row>
    <row r="819" ht="14.25" customHeight="1">
      <c r="M819" s="115"/>
      <c r="N819" s="115"/>
      <c r="O819" s="115"/>
    </row>
    <row r="820" ht="14.25" customHeight="1">
      <c r="M820" s="115"/>
      <c r="N820" s="115"/>
      <c r="O820" s="115"/>
    </row>
    <row r="821" ht="14.25" customHeight="1">
      <c r="M821" s="115"/>
      <c r="N821" s="115"/>
      <c r="O821" s="115"/>
    </row>
    <row r="822" ht="14.25" customHeight="1">
      <c r="M822" s="115"/>
      <c r="N822" s="115"/>
      <c r="O822" s="115"/>
    </row>
    <row r="823" ht="14.25" customHeight="1">
      <c r="M823" s="115"/>
      <c r="N823" s="115"/>
      <c r="O823" s="115"/>
    </row>
    <row r="824" ht="14.25" customHeight="1">
      <c r="M824" s="115"/>
      <c r="N824" s="115"/>
      <c r="O824" s="115"/>
    </row>
    <row r="825" ht="14.25" customHeight="1">
      <c r="M825" s="115"/>
      <c r="N825" s="115"/>
      <c r="O825" s="115"/>
    </row>
    <row r="826" ht="14.25" customHeight="1">
      <c r="M826" s="115"/>
      <c r="N826" s="115"/>
      <c r="O826" s="115"/>
    </row>
    <row r="827" ht="14.25" customHeight="1">
      <c r="M827" s="115"/>
      <c r="N827" s="115"/>
      <c r="O827" s="115"/>
    </row>
    <row r="828" ht="14.25" customHeight="1">
      <c r="M828" s="115"/>
      <c r="N828" s="115"/>
      <c r="O828" s="115"/>
    </row>
    <row r="829" ht="14.25" customHeight="1">
      <c r="M829" s="115"/>
      <c r="N829" s="115"/>
      <c r="O829" s="115"/>
    </row>
    <row r="830" ht="14.25" customHeight="1">
      <c r="M830" s="115"/>
      <c r="N830" s="115"/>
      <c r="O830" s="115"/>
    </row>
    <row r="831" ht="14.25" customHeight="1">
      <c r="M831" s="115"/>
      <c r="N831" s="115"/>
      <c r="O831" s="115"/>
    </row>
    <row r="832" ht="14.25" customHeight="1">
      <c r="M832" s="115"/>
      <c r="N832" s="115"/>
      <c r="O832" s="115"/>
    </row>
    <row r="833" ht="14.25" customHeight="1">
      <c r="M833" s="115"/>
      <c r="N833" s="115"/>
      <c r="O833" s="115"/>
    </row>
    <row r="834" ht="14.25" customHeight="1">
      <c r="M834" s="115"/>
      <c r="N834" s="115"/>
      <c r="O834" s="115"/>
    </row>
    <row r="835" ht="14.25" customHeight="1">
      <c r="M835" s="115"/>
      <c r="N835" s="115"/>
      <c r="O835" s="115"/>
    </row>
    <row r="836" ht="14.25" customHeight="1">
      <c r="M836" s="115"/>
      <c r="N836" s="115"/>
      <c r="O836" s="115"/>
    </row>
    <row r="837" ht="14.25" customHeight="1">
      <c r="M837" s="115"/>
      <c r="N837" s="115"/>
      <c r="O837" s="115"/>
    </row>
    <row r="838" ht="14.25" customHeight="1">
      <c r="M838" s="115"/>
      <c r="N838" s="115"/>
      <c r="O838" s="115"/>
    </row>
    <row r="839" ht="14.25" customHeight="1">
      <c r="M839" s="115"/>
      <c r="N839" s="115"/>
      <c r="O839" s="115"/>
    </row>
    <row r="840" ht="14.25" customHeight="1">
      <c r="M840" s="115"/>
      <c r="N840" s="115"/>
      <c r="O840" s="115"/>
    </row>
    <row r="841" ht="14.25" customHeight="1">
      <c r="M841" s="115"/>
      <c r="N841" s="115"/>
      <c r="O841" s="115"/>
    </row>
    <row r="842" ht="14.25" customHeight="1">
      <c r="M842" s="115"/>
      <c r="N842" s="115"/>
      <c r="O842" s="115"/>
    </row>
    <row r="843" ht="14.25" customHeight="1">
      <c r="M843" s="115"/>
      <c r="N843" s="115"/>
      <c r="O843" s="115"/>
    </row>
    <row r="844" ht="14.25" customHeight="1">
      <c r="M844" s="115"/>
      <c r="N844" s="115"/>
      <c r="O844" s="115"/>
    </row>
    <row r="845" ht="14.25" customHeight="1">
      <c r="M845" s="115"/>
      <c r="N845" s="115"/>
      <c r="O845" s="115"/>
    </row>
    <row r="846" ht="14.25" customHeight="1">
      <c r="M846" s="115"/>
      <c r="N846" s="115"/>
      <c r="O846" s="115"/>
    </row>
    <row r="847" ht="14.25" customHeight="1">
      <c r="M847" s="115"/>
      <c r="N847" s="115"/>
      <c r="O847" s="115"/>
    </row>
    <row r="848" ht="14.25" customHeight="1">
      <c r="M848" s="115"/>
      <c r="N848" s="115"/>
      <c r="O848" s="115"/>
    </row>
    <row r="849" ht="14.25" customHeight="1">
      <c r="M849" s="115"/>
      <c r="N849" s="115"/>
      <c r="O849" s="115"/>
    </row>
    <row r="850" ht="14.25" customHeight="1">
      <c r="M850" s="115"/>
      <c r="N850" s="115"/>
      <c r="O850" s="115"/>
    </row>
    <row r="851" ht="14.25" customHeight="1">
      <c r="M851" s="115"/>
      <c r="N851" s="115"/>
      <c r="O851" s="115"/>
    </row>
    <row r="852" ht="14.25" customHeight="1">
      <c r="M852" s="115"/>
      <c r="N852" s="115"/>
      <c r="O852" s="115"/>
    </row>
    <row r="853" ht="14.25" customHeight="1">
      <c r="M853" s="115"/>
      <c r="N853" s="115"/>
      <c r="O853" s="115"/>
    </row>
    <row r="854" ht="14.25" customHeight="1">
      <c r="M854" s="115"/>
      <c r="N854" s="115"/>
      <c r="O854" s="115"/>
    </row>
    <row r="855" ht="14.25" customHeight="1">
      <c r="M855" s="115"/>
      <c r="N855" s="115"/>
      <c r="O855" s="115"/>
    </row>
    <row r="856" ht="14.25" customHeight="1">
      <c r="M856" s="115"/>
      <c r="N856" s="115"/>
      <c r="O856" s="115"/>
    </row>
    <row r="857" ht="14.25" customHeight="1">
      <c r="M857" s="115"/>
      <c r="N857" s="115"/>
      <c r="O857" s="115"/>
    </row>
    <row r="858" ht="14.25" customHeight="1">
      <c r="M858" s="115"/>
      <c r="N858" s="115"/>
      <c r="O858" s="115"/>
    </row>
    <row r="859" ht="14.25" customHeight="1">
      <c r="M859" s="115"/>
      <c r="N859" s="115"/>
      <c r="O859" s="115"/>
    </row>
    <row r="860" ht="14.25" customHeight="1">
      <c r="M860" s="115"/>
      <c r="N860" s="115"/>
      <c r="O860" s="115"/>
    </row>
    <row r="861" ht="14.25" customHeight="1">
      <c r="M861" s="115"/>
      <c r="N861" s="115"/>
      <c r="O861" s="115"/>
    </row>
    <row r="862" ht="14.25" customHeight="1">
      <c r="M862" s="115"/>
      <c r="N862" s="115"/>
      <c r="O862" s="115"/>
    </row>
    <row r="863" ht="14.25" customHeight="1">
      <c r="M863" s="115"/>
      <c r="N863" s="115"/>
      <c r="O863" s="115"/>
    </row>
    <row r="864" ht="14.25" customHeight="1">
      <c r="M864" s="115"/>
      <c r="N864" s="115"/>
      <c r="O864" s="115"/>
    </row>
    <row r="865" ht="14.25" customHeight="1">
      <c r="M865" s="115"/>
      <c r="N865" s="115"/>
      <c r="O865" s="115"/>
    </row>
    <row r="866" ht="14.25" customHeight="1">
      <c r="M866" s="115"/>
      <c r="N866" s="115"/>
      <c r="O866" s="115"/>
    </row>
    <row r="867" ht="14.25" customHeight="1">
      <c r="M867" s="115"/>
      <c r="N867" s="115"/>
      <c r="O867" s="115"/>
    </row>
    <row r="868" ht="14.25" customHeight="1">
      <c r="M868" s="115"/>
      <c r="N868" s="115"/>
      <c r="O868" s="115"/>
    </row>
    <row r="869" ht="14.25" customHeight="1">
      <c r="M869" s="115"/>
      <c r="N869" s="115"/>
      <c r="O869" s="115"/>
    </row>
    <row r="870" ht="14.25" customHeight="1">
      <c r="M870" s="115"/>
      <c r="N870" s="115"/>
      <c r="O870" s="115"/>
    </row>
    <row r="871" ht="14.25" customHeight="1">
      <c r="M871" s="115"/>
      <c r="N871" s="115"/>
      <c r="O871" s="115"/>
    </row>
    <row r="872" ht="14.25" customHeight="1">
      <c r="M872" s="115"/>
      <c r="N872" s="115"/>
      <c r="O872" s="115"/>
    </row>
    <row r="873" ht="14.25" customHeight="1">
      <c r="M873" s="115"/>
      <c r="N873" s="115"/>
      <c r="O873" s="115"/>
    </row>
    <row r="874" ht="14.25" customHeight="1">
      <c r="M874" s="115"/>
      <c r="N874" s="115"/>
      <c r="O874" s="115"/>
    </row>
    <row r="875" ht="14.25" customHeight="1">
      <c r="M875" s="115"/>
      <c r="N875" s="115"/>
      <c r="O875" s="115"/>
    </row>
    <row r="876" ht="14.25" customHeight="1">
      <c r="M876" s="115"/>
      <c r="N876" s="115"/>
      <c r="O876" s="115"/>
    </row>
    <row r="877" ht="14.25" customHeight="1">
      <c r="M877" s="115"/>
      <c r="N877" s="115"/>
      <c r="O877" s="115"/>
    </row>
    <row r="878" ht="14.25" customHeight="1">
      <c r="M878" s="115"/>
      <c r="N878" s="115"/>
      <c r="O878" s="115"/>
    </row>
    <row r="879" ht="14.25" customHeight="1">
      <c r="M879" s="115"/>
      <c r="N879" s="115"/>
      <c r="O879" s="115"/>
    </row>
    <row r="880" ht="14.25" customHeight="1">
      <c r="M880" s="115"/>
      <c r="N880" s="115"/>
      <c r="O880" s="115"/>
    </row>
    <row r="881" ht="14.25" customHeight="1">
      <c r="M881" s="115"/>
      <c r="N881" s="115"/>
      <c r="O881" s="115"/>
    </row>
    <row r="882" ht="14.25" customHeight="1">
      <c r="M882" s="115"/>
      <c r="N882" s="115"/>
      <c r="O882" s="115"/>
    </row>
    <row r="883" ht="14.25" customHeight="1">
      <c r="M883" s="115"/>
      <c r="N883" s="115"/>
      <c r="O883" s="115"/>
    </row>
    <row r="884" ht="14.25" customHeight="1">
      <c r="M884" s="115"/>
      <c r="N884" s="115"/>
      <c r="O884" s="115"/>
    </row>
    <row r="885" ht="14.25" customHeight="1">
      <c r="M885" s="115"/>
      <c r="N885" s="115"/>
      <c r="O885" s="115"/>
    </row>
    <row r="886" ht="14.25" customHeight="1">
      <c r="M886" s="115"/>
      <c r="N886" s="115"/>
      <c r="O886" s="115"/>
    </row>
    <row r="887" ht="14.25" customHeight="1">
      <c r="M887" s="115"/>
      <c r="N887" s="115"/>
      <c r="O887" s="115"/>
    </row>
    <row r="888" ht="14.25" customHeight="1">
      <c r="M888" s="115"/>
      <c r="N888" s="115"/>
      <c r="O888" s="115"/>
    </row>
    <row r="889" ht="14.25" customHeight="1">
      <c r="M889" s="115"/>
      <c r="N889" s="115"/>
      <c r="O889" s="115"/>
    </row>
    <row r="890" ht="14.25" customHeight="1">
      <c r="M890" s="115"/>
      <c r="N890" s="115"/>
      <c r="O890" s="115"/>
    </row>
    <row r="891" ht="14.25" customHeight="1">
      <c r="M891" s="115"/>
      <c r="N891" s="115"/>
      <c r="O891" s="115"/>
    </row>
    <row r="892" ht="14.25" customHeight="1">
      <c r="M892" s="115"/>
      <c r="N892" s="115"/>
      <c r="O892" s="115"/>
    </row>
    <row r="893" ht="14.25" customHeight="1">
      <c r="M893" s="115"/>
      <c r="N893" s="115"/>
      <c r="O893" s="115"/>
    </row>
    <row r="894" ht="14.25" customHeight="1">
      <c r="M894" s="115"/>
      <c r="N894" s="115"/>
      <c r="O894" s="115"/>
    </row>
    <row r="895" ht="14.25" customHeight="1">
      <c r="M895" s="115"/>
      <c r="N895" s="115"/>
      <c r="O895" s="115"/>
    </row>
    <row r="896" ht="14.25" customHeight="1">
      <c r="M896" s="115"/>
      <c r="N896" s="115"/>
      <c r="O896" s="115"/>
    </row>
    <row r="897" ht="14.25" customHeight="1">
      <c r="M897" s="115"/>
      <c r="N897" s="115"/>
      <c r="O897" s="115"/>
    </row>
    <row r="898" ht="14.25" customHeight="1">
      <c r="M898" s="115"/>
      <c r="N898" s="115"/>
      <c r="O898" s="115"/>
    </row>
    <row r="899" ht="14.25" customHeight="1">
      <c r="M899" s="115"/>
      <c r="N899" s="115"/>
      <c r="O899" s="115"/>
    </row>
    <row r="900" ht="14.25" customHeight="1">
      <c r="M900" s="115"/>
      <c r="N900" s="115"/>
      <c r="O900" s="115"/>
    </row>
    <row r="901" ht="14.25" customHeight="1">
      <c r="M901" s="115"/>
      <c r="N901" s="115"/>
      <c r="O901" s="115"/>
    </row>
    <row r="902" ht="14.25" customHeight="1">
      <c r="M902" s="115"/>
      <c r="N902" s="115"/>
      <c r="O902" s="115"/>
    </row>
    <row r="903" ht="14.25" customHeight="1">
      <c r="M903" s="115"/>
      <c r="N903" s="115"/>
      <c r="O903" s="115"/>
    </row>
    <row r="904" ht="14.25" customHeight="1">
      <c r="M904" s="115"/>
      <c r="N904" s="115"/>
      <c r="O904" s="115"/>
    </row>
    <row r="905" ht="14.25" customHeight="1">
      <c r="M905" s="115"/>
      <c r="N905" s="115"/>
      <c r="O905" s="115"/>
    </row>
    <row r="906" ht="14.25" customHeight="1">
      <c r="M906" s="115"/>
      <c r="N906" s="115"/>
      <c r="O906" s="115"/>
    </row>
    <row r="907" ht="14.25" customHeight="1">
      <c r="M907" s="115"/>
      <c r="N907" s="115"/>
      <c r="O907" s="115"/>
    </row>
    <row r="908" ht="14.25" customHeight="1">
      <c r="M908" s="115"/>
      <c r="N908" s="115"/>
      <c r="O908" s="115"/>
    </row>
    <row r="909" ht="14.25" customHeight="1">
      <c r="M909" s="115"/>
      <c r="N909" s="115"/>
      <c r="O909" s="115"/>
    </row>
    <row r="910" ht="14.25" customHeight="1">
      <c r="M910" s="115"/>
      <c r="N910" s="115"/>
      <c r="O910" s="115"/>
    </row>
    <row r="911" ht="14.25" customHeight="1">
      <c r="M911" s="115"/>
      <c r="N911" s="115"/>
      <c r="O911" s="115"/>
    </row>
    <row r="912" ht="14.25" customHeight="1">
      <c r="M912" s="115"/>
      <c r="N912" s="115"/>
      <c r="O912" s="115"/>
    </row>
    <row r="913" ht="14.25" customHeight="1">
      <c r="M913" s="115"/>
      <c r="N913" s="115"/>
      <c r="O913" s="115"/>
    </row>
    <row r="914" ht="14.25" customHeight="1">
      <c r="M914" s="115"/>
      <c r="N914" s="115"/>
      <c r="O914" s="115"/>
    </row>
    <row r="915" ht="14.25" customHeight="1">
      <c r="M915" s="115"/>
      <c r="N915" s="115"/>
      <c r="O915" s="115"/>
    </row>
    <row r="916" ht="14.25" customHeight="1">
      <c r="M916" s="115"/>
      <c r="N916" s="115"/>
      <c r="O916" s="115"/>
    </row>
    <row r="917" ht="14.25" customHeight="1">
      <c r="M917" s="115"/>
      <c r="N917" s="115"/>
      <c r="O917" s="115"/>
    </row>
    <row r="918" ht="14.25" customHeight="1">
      <c r="M918" s="115"/>
      <c r="N918" s="115"/>
      <c r="O918" s="115"/>
    </row>
    <row r="919" ht="14.25" customHeight="1">
      <c r="M919" s="115"/>
      <c r="N919" s="115"/>
      <c r="O919" s="115"/>
    </row>
    <row r="920" ht="14.25" customHeight="1">
      <c r="M920" s="115"/>
      <c r="N920" s="115"/>
      <c r="O920" s="115"/>
    </row>
    <row r="921" ht="14.25" customHeight="1">
      <c r="M921" s="115"/>
      <c r="N921" s="115"/>
      <c r="O921" s="115"/>
    </row>
    <row r="922" ht="14.25" customHeight="1">
      <c r="M922" s="115"/>
      <c r="N922" s="115"/>
      <c r="O922" s="115"/>
    </row>
    <row r="923" ht="14.25" customHeight="1">
      <c r="M923" s="115"/>
      <c r="N923" s="115"/>
      <c r="O923" s="115"/>
    </row>
    <row r="924" ht="14.25" customHeight="1">
      <c r="M924" s="115"/>
      <c r="N924" s="115"/>
      <c r="O924" s="115"/>
    </row>
    <row r="925" ht="14.25" customHeight="1">
      <c r="M925" s="115"/>
      <c r="N925" s="115"/>
      <c r="O925" s="115"/>
    </row>
    <row r="926" ht="14.25" customHeight="1">
      <c r="M926" s="115"/>
      <c r="N926" s="115"/>
      <c r="O926" s="115"/>
    </row>
    <row r="927" ht="14.25" customHeight="1">
      <c r="M927" s="115"/>
      <c r="N927" s="115"/>
      <c r="O927" s="115"/>
    </row>
    <row r="928" ht="14.25" customHeight="1">
      <c r="M928" s="115"/>
      <c r="N928" s="115"/>
      <c r="O928" s="115"/>
    </row>
    <row r="929" ht="14.25" customHeight="1">
      <c r="M929" s="115"/>
      <c r="N929" s="115"/>
      <c r="O929" s="115"/>
    </row>
    <row r="930" ht="14.25" customHeight="1">
      <c r="M930" s="115"/>
      <c r="N930" s="115"/>
      <c r="O930" s="115"/>
    </row>
    <row r="931" ht="14.25" customHeight="1">
      <c r="M931" s="115"/>
      <c r="N931" s="115"/>
      <c r="O931" s="115"/>
    </row>
    <row r="932" ht="14.25" customHeight="1">
      <c r="M932" s="115"/>
      <c r="N932" s="115"/>
      <c r="O932" s="115"/>
    </row>
    <row r="933" ht="14.25" customHeight="1">
      <c r="M933" s="115"/>
      <c r="N933" s="115"/>
      <c r="O933" s="115"/>
    </row>
    <row r="934" ht="14.25" customHeight="1">
      <c r="M934" s="115"/>
      <c r="N934" s="115"/>
      <c r="O934" s="115"/>
    </row>
    <row r="935" ht="14.25" customHeight="1">
      <c r="M935" s="115"/>
      <c r="N935" s="115"/>
      <c r="O935" s="115"/>
    </row>
    <row r="936" ht="14.25" customHeight="1">
      <c r="M936" s="115"/>
      <c r="N936" s="115"/>
      <c r="O936" s="115"/>
    </row>
    <row r="937" ht="14.25" customHeight="1">
      <c r="M937" s="115"/>
      <c r="N937" s="115"/>
      <c r="O937" s="115"/>
    </row>
    <row r="938" ht="14.25" customHeight="1">
      <c r="M938" s="115"/>
      <c r="N938" s="115"/>
      <c r="O938" s="115"/>
    </row>
    <row r="939" ht="14.25" customHeight="1">
      <c r="M939" s="115"/>
      <c r="N939" s="115"/>
      <c r="O939" s="115"/>
    </row>
    <row r="940" ht="14.25" customHeight="1">
      <c r="M940" s="115"/>
      <c r="N940" s="115"/>
      <c r="O940" s="115"/>
    </row>
    <row r="941" ht="14.25" customHeight="1">
      <c r="M941" s="115"/>
      <c r="N941" s="115"/>
      <c r="O941" s="115"/>
    </row>
    <row r="942" ht="14.25" customHeight="1">
      <c r="M942" s="115"/>
      <c r="N942" s="115"/>
      <c r="O942" s="115"/>
    </row>
    <row r="943" ht="14.25" customHeight="1">
      <c r="M943" s="115"/>
      <c r="N943" s="115"/>
      <c r="O943" s="115"/>
    </row>
    <row r="944" ht="14.25" customHeight="1">
      <c r="M944" s="115"/>
      <c r="N944" s="115"/>
      <c r="O944" s="115"/>
    </row>
    <row r="945" ht="14.25" customHeight="1">
      <c r="M945" s="115"/>
      <c r="N945" s="115"/>
      <c r="O945" s="115"/>
    </row>
    <row r="946" ht="14.25" customHeight="1">
      <c r="M946" s="115"/>
      <c r="N946" s="115"/>
      <c r="O946" s="115"/>
    </row>
    <row r="947" ht="14.25" customHeight="1">
      <c r="M947" s="115"/>
      <c r="N947" s="115"/>
      <c r="O947" s="115"/>
    </row>
    <row r="948" ht="14.25" customHeight="1">
      <c r="M948" s="115"/>
      <c r="N948" s="115"/>
      <c r="O948" s="115"/>
    </row>
    <row r="949" ht="14.25" customHeight="1">
      <c r="M949" s="115"/>
      <c r="N949" s="115"/>
      <c r="O949" s="115"/>
    </row>
    <row r="950" ht="14.25" customHeight="1">
      <c r="M950" s="115"/>
      <c r="N950" s="115"/>
      <c r="O950" s="115"/>
    </row>
    <row r="951" ht="14.25" customHeight="1">
      <c r="M951" s="115"/>
      <c r="N951" s="115"/>
      <c r="O951" s="115"/>
    </row>
    <row r="952" ht="14.25" customHeight="1">
      <c r="M952" s="115"/>
      <c r="N952" s="115"/>
      <c r="O952" s="115"/>
    </row>
    <row r="953" ht="14.25" customHeight="1">
      <c r="M953" s="115"/>
      <c r="N953" s="115"/>
      <c r="O953" s="115"/>
    </row>
    <row r="954" ht="14.25" customHeight="1">
      <c r="M954" s="115"/>
      <c r="N954" s="115"/>
      <c r="O954" s="115"/>
    </row>
    <row r="955" ht="14.25" customHeight="1">
      <c r="M955" s="115"/>
      <c r="N955" s="115"/>
      <c r="O955" s="115"/>
    </row>
    <row r="956" ht="14.25" customHeight="1">
      <c r="M956" s="115"/>
      <c r="N956" s="115"/>
      <c r="O956" s="115"/>
    </row>
    <row r="957" ht="14.25" customHeight="1">
      <c r="M957" s="115"/>
      <c r="N957" s="115"/>
      <c r="O957" s="115"/>
    </row>
    <row r="958" ht="14.25" customHeight="1">
      <c r="M958" s="115"/>
      <c r="N958" s="115"/>
      <c r="O958" s="115"/>
    </row>
    <row r="959" ht="14.25" customHeight="1">
      <c r="M959" s="115"/>
      <c r="N959" s="115"/>
      <c r="O959" s="115"/>
    </row>
    <row r="960" ht="14.25" customHeight="1">
      <c r="M960" s="115"/>
      <c r="N960" s="115"/>
      <c r="O960" s="115"/>
    </row>
    <row r="961" ht="14.25" customHeight="1">
      <c r="M961" s="115"/>
      <c r="N961" s="115"/>
      <c r="O961" s="115"/>
    </row>
    <row r="962" ht="14.25" customHeight="1">
      <c r="M962" s="115"/>
      <c r="N962" s="115"/>
      <c r="O962" s="115"/>
    </row>
    <row r="963" ht="14.25" customHeight="1">
      <c r="M963" s="115"/>
      <c r="N963" s="115"/>
      <c r="O963" s="115"/>
    </row>
    <row r="964" ht="14.25" customHeight="1">
      <c r="M964" s="115"/>
      <c r="N964" s="115"/>
      <c r="O964" s="115"/>
    </row>
    <row r="965" ht="14.25" customHeight="1">
      <c r="M965" s="115"/>
      <c r="N965" s="115"/>
      <c r="O965" s="115"/>
    </row>
    <row r="966" ht="14.25" customHeight="1">
      <c r="M966" s="115"/>
      <c r="N966" s="115"/>
      <c r="O966" s="115"/>
    </row>
    <row r="967" ht="14.25" customHeight="1">
      <c r="M967" s="115"/>
      <c r="N967" s="115"/>
      <c r="O967" s="115"/>
    </row>
    <row r="968" ht="14.25" customHeight="1">
      <c r="M968" s="115"/>
      <c r="N968" s="115"/>
      <c r="O968" s="115"/>
    </row>
    <row r="969" ht="14.25" customHeight="1">
      <c r="M969" s="115"/>
      <c r="N969" s="115"/>
      <c r="O969" s="115"/>
    </row>
    <row r="970" ht="14.25" customHeight="1">
      <c r="M970" s="115"/>
      <c r="N970" s="115"/>
      <c r="O970" s="115"/>
    </row>
    <row r="971" ht="14.25" customHeight="1">
      <c r="M971" s="115"/>
      <c r="N971" s="115"/>
      <c r="O971" s="115"/>
    </row>
    <row r="972" ht="14.25" customHeight="1">
      <c r="M972" s="115"/>
      <c r="N972" s="115"/>
      <c r="O972" s="115"/>
    </row>
    <row r="973" ht="14.25" customHeight="1">
      <c r="M973" s="115"/>
      <c r="N973" s="115"/>
      <c r="O973" s="115"/>
    </row>
    <row r="974" ht="14.25" customHeight="1">
      <c r="M974" s="115"/>
      <c r="N974" s="115"/>
      <c r="O974" s="115"/>
    </row>
    <row r="975" ht="14.25" customHeight="1">
      <c r="M975" s="115"/>
      <c r="N975" s="115"/>
      <c r="O975" s="115"/>
    </row>
    <row r="976" ht="14.25" customHeight="1">
      <c r="M976" s="115"/>
      <c r="N976" s="115"/>
      <c r="O976" s="115"/>
    </row>
    <row r="977" ht="14.25" customHeight="1">
      <c r="M977" s="115"/>
      <c r="N977" s="115"/>
      <c r="O977" s="115"/>
    </row>
    <row r="978" ht="14.25" customHeight="1">
      <c r="M978" s="115"/>
      <c r="N978" s="115"/>
      <c r="O978" s="115"/>
    </row>
    <row r="979" ht="14.25" customHeight="1">
      <c r="M979" s="115"/>
      <c r="N979" s="115"/>
      <c r="O979" s="115"/>
    </row>
    <row r="980" ht="14.25" customHeight="1">
      <c r="M980" s="115"/>
      <c r="N980" s="115"/>
      <c r="O980" s="115"/>
    </row>
    <row r="981" ht="14.25" customHeight="1">
      <c r="M981" s="115"/>
      <c r="N981" s="115"/>
      <c r="O981" s="115"/>
    </row>
    <row r="982" ht="14.25" customHeight="1">
      <c r="M982" s="115"/>
      <c r="N982" s="115"/>
      <c r="O982" s="115"/>
    </row>
    <row r="983" ht="14.25" customHeight="1">
      <c r="M983" s="115"/>
      <c r="N983" s="115"/>
      <c r="O983" s="115"/>
    </row>
    <row r="984" ht="14.25" customHeight="1">
      <c r="M984" s="115"/>
      <c r="N984" s="115"/>
      <c r="O984" s="115"/>
    </row>
    <row r="985" ht="14.25" customHeight="1">
      <c r="M985" s="115"/>
      <c r="N985" s="115"/>
      <c r="O985" s="115"/>
    </row>
    <row r="986" ht="14.25" customHeight="1">
      <c r="M986" s="115"/>
      <c r="N986" s="115"/>
      <c r="O986" s="115"/>
    </row>
    <row r="987" ht="14.25" customHeight="1">
      <c r="M987" s="115"/>
      <c r="N987" s="115"/>
      <c r="O987" s="115"/>
    </row>
    <row r="988" ht="14.25" customHeight="1">
      <c r="M988" s="115"/>
      <c r="N988" s="115"/>
      <c r="O988" s="115"/>
    </row>
    <row r="989" ht="14.25" customHeight="1">
      <c r="M989" s="115"/>
      <c r="N989" s="115"/>
      <c r="O989" s="115"/>
    </row>
    <row r="990" ht="14.25" customHeight="1">
      <c r="M990" s="115"/>
      <c r="N990" s="115"/>
      <c r="O990" s="115"/>
    </row>
    <row r="991" ht="14.25" customHeight="1">
      <c r="M991" s="115"/>
      <c r="N991" s="115"/>
      <c r="O991" s="115"/>
    </row>
    <row r="992" ht="14.25" customHeight="1">
      <c r="M992" s="115"/>
      <c r="N992" s="115"/>
      <c r="O992" s="115"/>
    </row>
    <row r="993" ht="14.25" customHeight="1">
      <c r="M993" s="115"/>
      <c r="N993" s="115"/>
      <c r="O993" s="115"/>
    </row>
    <row r="994" ht="14.25" customHeight="1">
      <c r="M994" s="115"/>
      <c r="N994" s="115"/>
      <c r="O994" s="115"/>
    </row>
    <row r="995" ht="14.25" customHeight="1">
      <c r="M995" s="115"/>
      <c r="N995" s="115"/>
      <c r="O995" s="115"/>
    </row>
    <row r="996" ht="14.25" customHeight="1">
      <c r="M996" s="115"/>
      <c r="N996" s="115"/>
      <c r="O996" s="115"/>
    </row>
    <row r="997" ht="14.25" customHeight="1">
      <c r="M997" s="115"/>
      <c r="N997" s="115"/>
      <c r="O997" s="115"/>
    </row>
    <row r="998" ht="14.25" customHeight="1">
      <c r="M998" s="115"/>
      <c r="N998" s="115"/>
      <c r="O998" s="115"/>
    </row>
    <row r="999" ht="14.25" customHeight="1">
      <c r="M999" s="115"/>
      <c r="N999" s="115"/>
      <c r="O999" s="115"/>
    </row>
    <row r="1000" ht="14.25" customHeight="1">
      <c r="M1000" s="115"/>
      <c r="N1000" s="115"/>
      <c r="O1000" s="115"/>
    </row>
    <row r="1001" ht="14.25" customHeight="1">
      <c r="M1001" s="115"/>
      <c r="N1001" s="115"/>
      <c r="O1001" s="115"/>
    </row>
    <row r="1002" ht="14.25" customHeight="1">
      <c r="M1002" s="115"/>
      <c r="N1002" s="115"/>
      <c r="O1002" s="115"/>
    </row>
    <row r="1003" ht="14.25" customHeight="1">
      <c r="M1003" s="115"/>
      <c r="N1003" s="115"/>
      <c r="O1003" s="115"/>
    </row>
    <row r="1004" ht="14.25" customHeight="1">
      <c r="M1004" s="115"/>
      <c r="N1004" s="115"/>
      <c r="O1004" s="115"/>
    </row>
    <row r="1005" ht="14.25" customHeight="1">
      <c r="M1005" s="115"/>
      <c r="N1005" s="115"/>
      <c r="O1005" s="115"/>
    </row>
    <row r="1006" ht="14.25" customHeight="1">
      <c r="M1006" s="115"/>
      <c r="N1006" s="115"/>
      <c r="O1006" s="115"/>
    </row>
    <row r="1007" ht="14.25" customHeight="1">
      <c r="M1007" s="115"/>
      <c r="N1007" s="115"/>
      <c r="O1007" s="115"/>
    </row>
    <row r="1008" ht="14.25" customHeight="1">
      <c r="M1008" s="115"/>
      <c r="N1008" s="115"/>
      <c r="O1008" s="115"/>
    </row>
    <row r="1009" ht="14.25" customHeight="1">
      <c r="M1009" s="115"/>
      <c r="N1009" s="115"/>
      <c r="O1009" s="115"/>
    </row>
    <row r="1010" ht="14.25" customHeight="1">
      <c r="M1010" s="115"/>
      <c r="N1010" s="115"/>
      <c r="O1010" s="115"/>
    </row>
    <row r="1011" ht="14.25" customHeight="1">
      <c r="M1011" s="115"/>
      <c r="N1011" s="115"/>
      <c r="O1011" s="115"/>
    </row>
    <row r="1012" ht="14.25" customHeight="1">
      <c r="M1012" s="115"/>
      <c r="N1012" s="115"/>
      <c r="O1012" s="115"/>
    </row>
    <row r="1013" ht="14.25" customHeight="1">
      <c r="M1013" s="115"/>
      <c r="N1013" s="115"/>
      <c r="O1013" s="115"/>
    </row>
    <row r="1014" ht="14.25" customHeight="1">
      <c r="M1014" s="115"/>
      <c r="N1014" s="115"/>
      <c r="O1014" s="115"/>
    </row>
    <row r="1015" ht="14.25" customHeight="1">
      <c r="M1015" s="115"/>
      <c r="N1015" s="115"/>
      <c r="O1015" s="115"/>
    </row>
    <row r="1016" ht="14.25" customHeight="1">
      <c r="M1016" s="115"/>
      <c r="N1016" s="115"/>
      <c r="O1016" s="115"/>
    </row>
    <row r="1017" ht="14.25" customHeight="1">
      <c r="M1017" s="115"/>
      <c r="N1017" s="115"/>
      <c r="O1017" s="115"/>
    </row>
    <row r="1018" ht="14.25" customHeight="1">
      <c r="M1018" s="115"/>
      <c r="N1018" s="115"/>
      <c r="O1018" s="115"/>
    </row>
    <row r="1019" ht="14.25" customHeight="1">
      <c r="M1019" s="115"/>
      <c r="N1019" s="115"/>
      <c r="O1019" s="115"/>
    </row>
    <row r="1020" ht="14.25" customHeight="1">
      <c r="M1020" s="115"/>
      <c r="N1020" s="115"/>
      <c r="O1020" s="115"/>
    </row>
    <row r="1021" ht="14.25" customHeight="1">
      <c r="M1021" s="115"/>
      <c r="N1021" s="115"/>
      <c r="O1021" s="115"/>
    </row>
    <row r="1022" ht="14.25" customHeight="1">
      <c r="M1022" s="115"/>
      <c r="N1022" s="115"/>
      <c r="O1022" s="115"/>
    </row>
    <row r="1023" ht="14.25" customHeight="1">
      <c r="M1023" s="115"/>
      <c r="N1023" s="115"/>
      <c r="O1023" s="115"/>
    </row>
    <row r="1024" ht="14.25" customHeight="1">
      <c r="M1024" s="115"/>
      <c r="N1024" s="115"/>
      <c r="O1024" s="115"/>
    </row>
    <row r="1025" ht="14.25" customHeight="1">
      <c r="M1025" s="115"/>
      <c r="N1025" s="115"/>
      <c r="O1025" s="115"/>
    </row>
    <row r="1026" ht="14.25" customHeight="1">
      <c r="M1026" s="115"/>
      <c r="N1026" s="115"/>
      <c r="O1026" s="115"/>
    </row>
    <row r="1027" ht="14.25" customHeight="1">
      <c r="M1027" s="115"/>
      <c r="N1027" s="115"/>
      <c r="O1027" s="115"/>
    </row>
    <row r="1028" ht="14.25" customHeight="1">
      <c r="M1028" s="115"/>
      <c r="N1028" s="115"/>
      <c r="O1028" s="115"/>
    </row>
    <row r="1029" ht="14.25" customHeight="1">
      <c r="M1029" s="115"/>
      <c r="N1029" s="115"/>
      <c r="O1029" s="115"/>
    </row>
    <row r="1030" ht="14.25" customHeight="1">
      <c r="M1030" s="115"/>
      <c r="N1030" s="115"/>
      <c r="O1030" s="115"/>
    </row>
    <row r="1031" ht="14.25" customHeight="1">
      <c r="M1031" s="115"/>
      <c r="N1031" s="115"/>
      <c r="O1031" s="115"/>
    </row>
    <row r="1032" ht="14.25" customHeight="1">
      <c r="M1032" s="115"/>
      <c r="N1032" s="115"/>
      <c r="O1032" s="115"/>
    </row>
    <row r="1033" ht="14.25" customHeight="1">
      <c r="M1033" s="115"/>
      <c r="N1033" s="115"/>
      <c r="O1033" s="115"/>
    </row>
    <row r="1034" ht="14.25" customHeight="1">
      <c r="M1034" s="115"/>
      <c r="N1034" s="115"/>
      <c r="O1034" s="115"/>
    </row>
    <row r="1035" ht="14.25" customHeight="1">
      <c r="M1035" s="115"/>
      <c r="N1035" s="115"/>
      <c r="O1035" s="115"/>
    </row>
    <row r="1036" ht="14.25" customHeight="1">
      <c r="M1036" s="115"/>
      <c r="N1036" s="115"/>
      <c r="O1036" s="115"/>
    </row>
    <row r="1037" ht="14.25" customHeight="1">
      <c r="M1037" s="115"/>
      <c r="N1037" s="115"/>
      <c r="O1037" s="115"/>
    </row>
    <row r="1038" ht="14.25" customHeight="1">
      <c r="M1038" s="115"/>
      <c r="N1038" s="115"/>
      <c r="O1038" s="115"/>
    </row>
    <row r="1039" ht="14.25" customHeight="1">
      <c r="M1039" s="115"/>
      <c r="N1039" s="115"/>
      <c r="O1039" s="115"/>
    </row>
    <row r="1040" ht="14.25" customHeight="1">
      <c r="M1040" s="115"/>
      <c r="N1040" s="115"/>
      <c r="O1040" s="115"/>
    </row>
    <row r="1041" ht="14.25" customHeight="1">
      <c r="M1041" s="115"/>
      <c r="N1041" s="115"/>
      <c r="O1041" s="115"/>
    </row>
    <row r="1042" ht="14.25" customHeight="1">
      <c r="M1042" s="115"/>
      <c r="N1042" s="115"/>
      <c r="O1042" s="115"/>
    </row>
    <row r="1043" ht="14.25" customHeight="1">
      <c r="M1043" s="115"/>
      <c r="N1043" s="115"/>
      <c r="O1043" s="115"/>
    </row>
    <row r="1044" ht="14.25" customHeight="1">
      <c r="M1044" s="115"/>
      <c r="N1044" s="115"/>
      <c r="O1044" s="115"/>
    </row>
    <row r="1045" ht="14.25" customHeight="1">
      <c r="M1045" s="115"/>
      <c r="N1045" s="115"/>
      <c r="O1045" s="115"/>
    </row>
    <row r="1046" ht="14.25" customHeight="1">
      <c r="M1046" s="115"/>
      <c r="N1046" s="115"/>
      <c r="O1046" s="115"/>
    </row>
    <row r="1047" ht="14.25" customHeight="1">
      <c r="M1047" s="115"/>
      <c r="N1047" s="115"/>
      <c r="O1047" s="115"/>
    </row>
    <row r="1048" ht="14.25" customHeight="1">
      <c r="M1048" s="115"/>
      <c r="N1048" s="115"/>
      <c r="O1048" s="115"/>
    </row>
    <row r="1049" ht="14.25" customHeight="1">
      <c r="M1049" s="115"/>
      <c r="N1049" s="115"/>
      <c r="O1049" s="115"/>
    </row>
    <row r="1050" ht="14.25" customHeight="1">
      <c r="M1050" s="115"/>
      <c r="N1050" s="115"/>
      <c r="O1050" s="115"/>
    </row>
    <row r="1051" ht="14.25" customHeight="1">
      <c r="M1051" s="115"/>
      <c r="N1051" s="115"/>
      <c r="O1051" s="115"/>
    </row>
    <row r="1052" ht="14.25" customHeight="1">
      <c r="M1052" s="115"/>
      <c r="N1052" s="115"/>
      <c r="O1052" s="115"/>
    </row>
    <row r="1053" ht="14.25" customHeight="1">
      <c r="M1053" s="115"/>
      <c r="N1053" s="115"/>
      <c r="O1053" s="115"/>
    </row>
    <row r="1054" ht="14.25" customHeight="1">
      <c r="M1054" s="115"/>
      <c r="N1054" s="115"/>
      <c r="O1054" s="115"/>
    </row>
    <row r="1055" ht="14.25" customHeight="1">
      <c r="M1055" s="115"/>
      <c r="N1055" s="115"/>
      <c r="O1055" s="115"/>
    </row>
    <row r="1056" ht="14.25" customHeight="1">
      <c r="M1056" s="115"/>
      <c r="N1056" s="115"/>
      <c r="O1056" s="115"/>
    </row>
    <row r="1057" ht="14.25" customHeight="1">
      <c r="M1057" s="115"/>
      <c r="N1057" s="115"/>
      <c r="O1057" s="115"/>
    </row>
    <row r="1058" ht="14.25" customHeight="1">
      <c r="M1058" s="115"/>
      <c r="N1058" s="115"/>
      <c r="O1058" s="115"/>
    </row>
    <row r="1059" ht="14.25" customHeight="1">
      <c r="M1059" s="115"/>
      <c r="N1059" s="115"/>
      <c r="O1059" s="115"/>
    </row>
    <row r="1060" ht="14.25" customHeight="1">
      <c r="M1060" s="115"/>
      <c r="N1060" s="115"/>
      <c r="O1060" s="115"/>
    </row>
    <row r="1061" ht="14.25" customHeight="1">
      <c r="M1061" s="115"/>
      <c r="N1061" s="115"/>
      <c r="O1061" s="115"/>
    </row>
    <row r="1062" ht="14.25" customHeight="1">
      <c r="M1062" s="115"/>
      <c r="N1062" s="115"/>
      <c r="O1062" s="115"/>
    </row>
    <row r="1063" ht="14.25" customHeight="1">
      <c r="M1063" s="115"/>
      <c r="N1063" s="115"/>
      <c r="O1063" s="115"/>
    </row>
    <row r="1064" ht="14.25" customHeight="1">
      <c r="M1064" s="115"/>
      <c r="N1064" s="115"/>
      <c r="O1064" s="115"/>
    </row>
    <row r="1065" ht="14.25" customHeight="1">
      <c r="M1065" s="115"/>
      <c r="N1065" s="115"/>
      <c r="O1065" s="115"/>
    </row>
    <row r="1066" ht="14.25" customHeight="1">
      <c r="M1066" s="115"/>
      <c r="N1066" s="115"/>
      <c r="O1066" s="115"/>
    </row>
    <row r="1067" ht="14.25" customHeight="1">
      <c r="M1067" s="115"/>
      <c r="N1067" s="115"/>
      <c r="O1067" s="115"/>
    </row>
    <row r="1068" ht="14.25" customHeight="1">
      <c r="M1068" s="115"/>
      <c r="N1068" s="115"/>
      <c r="O1068" s="115"/>
    </row>
    <row r="1069" ht="14.25" customHeight="1">
      <c r="M1069" s="115"/>
      <c r="N1069" s="115"/>
      <c r="O1069" s="115"/>
    </row>
    <row r="1070" ht="14.25" customHeight="1">
      <c r="M1070" s="115"/>
      <c r="N1070" s="115"/>
      <c r="O1070" s="115"/>
    </row>
    <row r="1071" ht="14.25" customHeight="1">
      <c r="M1071" s="115"/>
      <c r="N1071" s="115"/>
      <c r="O1071" s="115"/>
    </row>
    <row r="1072" ht="14.25" customHeight="1">
      <c r="M1072" s="115"/>
      <c r="N1072" s="115"/>
      <c r="O1072" s="115"/>
    </row>
    <row r="1073" ht="14.25" customHeight="1">
      <c r="M1073" s="115"/>
      <c r="N1073" s="115"/>
      <c r="O1073" s="115"/>
    </row>
    <row r="1074" ht="14.25" customHeight="1">
      <c r="M1074" s="115"/>
      <c r="N1074" s="115"/>
      <c r="O1074" s="115"/>
    </row>
    <row r="1075" ht="14.25" customHeight="1">
      <c r="M1075" s="115"/>
      <c r="N1075" s="115"/>
      <c r="O1075" s="115"/>
    </row>
    <row r="1076" ht="14.25" customHeight="1">
      <c r="M1076" s="115"/>
      <c r="N1076" s="115"/>
      <c r="O1076" s="115"/>
    </row>
    <row r="1077" ht="14.25" customHeight="1">
      <c r="M1077" s="115"/>
      <c r="N1077" s="115"/>
      <c r="O1077" s="115"/>
    </row>
    <row r="1078" ht="14.25" customHeight="1">
      <c r="M1078" s="115"/>
      <c r="N1078" s="115"/>
      <c r="O1078" s="115"/>
    </row>
    <row r="1079" ht="14.25" customHeight="1">
      <c r="M1079" s="115"/>
      <c r="N1079" s="115"/>
      <c r="O1079" s="115"/>
    </row>
    <row r="1080" ht="14.25" customHeight="1">
      <c r="M1080" s="115"/>
      <c r="N1080" s="115"/>
      <c r="O1080" s="115"/>
    </row>
    <row r="1081" ht="14.25" customHeight="1">
      <c r="M1081" s="115"/>
      <c r="N1081" s="115"/>
      <c r="O1081" s="115"/>
    </row>
    <row r="1082" ht="14.25" customHeight="1">
      <c r="M1082" s="115"/>
      <c r="N1082" s="115"/>
      <c r="O1082" s="115"/>
    </row>
    <row r="1083" ht="14.25" customHeight="1">
      <c r="M1083" s="115"/>
      <c r="N1083" s="115"/>
      <c r="O1083" s="115"/>
    </row>
    <row r="1084" ht="14.25" customHeight="1">
      <c r="M1084" s="115"/>
      <c r="N1084" s="115"/>
      <c r="O1084" s="115"/>
    </row>
    <row r="1085" ht="14.25" customHeight="1">
      <c r="M1085" s="115"/>
      <c r="N1085" s="115"/>
      <c r="O1085" s="115"/>
    </row>
    <row r="1086" ht="14.25" customHeight="1">
      <c r="M1086" s="115"/>
      <c r="N1086" s="115"/>
      <c r="O1086" s="115"/>
    </row>
    <row r="1087" ht="14.25" customHeight="1">
      <c r="M1087" s="115"/>
      <c r="N1087" s="115"/>
      <c r="O1087" s="115"/>
    </row>
    <row r="1088" ht="14.25" customHeight="1">
      <c r="M1088" s="115"/>
      <c r="N1088" s="115"/>
      <c r="O1088" s="115"/>
    </row>
    <row r="1089" ht="14.25" customHeight="1">
      <c r="M1089" s="115"/>
      <c r="N1089" s="115"/>
      <c r="O1089" s="115"/>
    </row>
    <row r="1090" ht="14.25" customHeight="1">
      <c r="M1090" s="115"/>
      <c r="N1090" s="115"/>
      <c r="O1090" s="115"/>
    </row>
    <row r="1091" ht="14.25" customHeight="1">
      <c r="M1091" s="115"/>
      <c r="N1091" s="115"/>
      <c r="O1091" s="115"/>
    </row>
    <row r="1092" ht="14.25" customHeight="1">
      <c r="M1092" s="115"/>
      <c r="N1092" s="115"/>
      <c r="O1092" s="115"/>
    </row>
    <row r="1093" ht="14.25" customHeight="1">
      <c r="M1093" s="115"/>
      <c r="N1093" s="115"/>
      <c r="O1093" s="115"/>
    </row>
    <row r="1094" ht="14.25" customHeight="1">
      <c r="M1094" s="115"/>
      <c r="N1094" s="115"/>
      <c r="O1094" s="115"/>
    </row>
    <row r="1095" ht="14.25" customHeight="1">
      <c r="M1095" s="115"/>
      <c r="N1095" s="115"/>
      <c r="O1095" s="115"/>
    </row>
    <row r="1096" ht="14.25" customHeight="1">
      <c r="M1096" s="115"/>
      <c r="N1096" s="115"/>
      <c r="O1096" s="115"/>
    </row>
    <row r="1097" ht="14.25" customHeight="1">
      <c r="M1097" s="115"/>
      <c r="N1097" s="115"/>
      <c r="O1097" s="115"/>
    </row>
    <row r="1098" ht="14.25" customHeight="1">
      <c r="M1098" s="115"/>
      <c r="N1098" s="115"/>
      <c r="O1098" s="115"/>
    </row>
    <row r="1099" ht="14.25" customHeight="1">
      <c r="M1099" s="115"/>
      <c r="N1099" s="115"/>
      <c r="O1099" s="115"/>
    </row>
    <row r="1100" ht="14.25" customHeight="1">
      <c r="M1100" s="115"/>
      <c r="N1100" s="115"/>
      <c r="O1100" s="115"/>
    </row>
    <row r="1101" ht="14.25" customHeight="1">
      <c r="M1101" s="115"/>
      <c r="N1101" s="115"/>
      <c r="O1101" s="115"/>
    </row>
    <row r="1102" ht="14.25" customHeight="1">
      <c r="M1102" s="115"/>
      <c r="N1102" s="115"/>
      <c r="O1102" s="115"/>
    </row>
    <row r="1103" ht="14.25" customHeight="1">
      <c r="M1103" s="115"/>
      <c r="N1103" s="115"/>
      <c r="O1103" s="115"/>
    </row>
    <row r="1104" ht="14.25" customHeight="1">
      <c r="M1104" s="115"/>
      <c r="N1104" s="115"/>
      <c r="O1104" s="115"/>
    </row>
    <row r="1105" ht="14.25" customHeight="1">
      <c r="M1105" s="115"/>
      <c r="N1105" s="115"/>
      <c r="O1105" s="115"/>
    </row>
    <row r="1106" ht="14.25" customHeight="1">
      <c r="M1106" s="115"/>
      <c r="N1106" s="115"/>
      <c r="O1106" s="115"/>
    </row>
    <row r="1107" ht="14.25" customHeight="1">
      <c r="M1107" s="115"/>
      <c r="N1107" s="115"/>
      <c r="O1107" s="115"/>
    </row>
    <row r="1108" ht="14.25" customHeight="1">
      <c r="M1108" s="115"/>
      <c r="N1108" s="115"/>
      <c r="O1108" s="115"/>
    </row>
    <row r="1109" ht="14.25" customHeight="1">
      <c r="M1109" s="115"/>
      <c r="N1109" s="115"/>
      <c r="O1109" s="115"/>
    </row>
    <row r="1110" ht="14.25" customHeight="1">
      <c r="M1110" s="115"/>
      <c r="N1110" s="115"/>
      <c r="O1110" s="115"/>
    </row>
    <row r="1111" ht="14.25" customHeight="1">
      <c r="M1111" s="115"/>
      <c r="N1111" s="115"/>
      <c r="O1111" s="115"/>
    </row>
    <row r="1112" ht="14.25" customHeight="1">
      <c r="M1112" s="115"/>
      <c r="N1112" s="115"/>
      <c r="O1112" s="115"/>
    </row>
    <row r="1113" ht="14.25" customHeight="1">
      <c r="M1113" s="115"/>
      <c r="N1113" s="115"/>
      <c r="O1113" s="115"/>
    </row>
    <row r="1114" ht="14.25" customHeight="1">
      <c r="M1114" s="115"/>
      <c r="N1114" s="115"/>
      <c r="O1114" s="115"/>
    </row>
    <row r="1115" ht="14.25" customHeight="1">
      <c r="M1115" s="115"/>
      <c r="N1115" s="115"/>
      <c r="O1115" s="115"/>
    </row>
    <row r="1116" ht="14.25" customHeight="1">
      <c r="M1116" s="115"/>
      <c r="N1116" s="115"/>
      <c r="O1116" s="115"/>
    </row>
    <row r="1117" ht="14.25" customHeight="1">
      <c r="M1117" s="115"/>
      <c r="N1117" s="115"/>
      <c r="O1117" s="115"/>
    </row>
    <row r="1118" ht="14.25" customHeight="1">
      <c r="M1118" s="115"/>
      <c r="N1118" s="115"/>
      <c r="O1118" s="115"/>
    </row>
    <row r="1119" ht="14.25" customHeight="1">
      <c r="M1119" s="115"/>
      <c r="N1119" s="115"/>
      <c r="O1119" s="115"/>
    </row>
    <row r="1120" ht="14.25" customHeight="1">
      <c r="M1120" s="115"/>
      <c r="N1120" s="115"/>
      <c r="O1120" s="115"/>
    </row>
    <row r="1121" ht="14.25" customHeight="1">
      <c r="M1121" s="115"/>
      <c r="N1121" s="115"/>
      <c r="O1121" s="115"/>
    </row>
    <row r="1122" ht="14.25" customHeight="1">
      <c r="M1122" s="115"/>
      <c r="N1122" s="115"/>
      <c r="O1122" s="115"/>
    </row>
    <row r="1123" ht="14.25" customHeight="1">
      <c r="M1123" s="115"/>
      <c r="N1123" s="115"/>
      <c r="O1123" s="115"/>
    </row>
    <row r="1124" ht="14.25" customHeight="1">
      <c r="M1124" s="115"/>
      <c r="N1124" s="115"/>
      <c r="O1124" s="115"/>
    </row>
    <row r="1125" ht="14.25" customHeight="1">
      <c r="M1125" s="115"/>
      <c r="N1125" s="115"/>
      <c r="O1125" s="115"/>
    </row>
    <row r="1126" ht="14.25" customHeight="1">
      <c r="M1126" s="115"/>
      <c r="N1126" s="115"/>
      <c r="O1126" s="115"/>
    </row>
    <row r="1127" ht="14.25" customHeight="1">
      <c r="M1127" s="115"/>
      <c r="N1127" s="115"/>
      <c r="O1127" s="115"/>
    </row>
    <row r="1128" ht="14.25" customHeight="1">
      <c r="M1128" s="115"/>
      <c r="N1128" s="115"/>
      <c r="O1128" s="115"/>
    </row>
    <row r="1129" ht="14.25" customHeight="1">
      <c r="M1129" s="115"/>
      <c r="N1129" s="115"/>
      <c r="O1129" s="115"/>
    </row>
    <row r="1130" ht="14.25" customHeight="1">
      <c r="M1130" s="115"/>
      <c r="N1130" s="115"/>
      <c r="O1130" s="115"/>
    </row>
    <row r="1131" ht="14.25" customHeight="1">
      <c r="M1131" s="115"/>
      <c r="N1131" s="115"/>
      <c r="O1131" s="115"/>
    </row>
    <row r="1132" ht="14.25" customHeight="1">
      <c r="M1132" s="115"/>
      <c r="N1132" s="115"/>
      <c r="O1132" s="115"/>
    </row>
    <row r="1133" ht="14.25" customHeight="1">
      <c r="M1133" s="115"/>
      <c r="N1133" s="115"/>
      <c r="O1133" s="115"/>
    </row>
    <row r="1134" ht="14.25" customHeight="1">
      <c r="M1134" s="115"/>
      <c r="N1134" s="115"/>
      <c r="O1134" s="115"/>
    </row>
    <row r="1135" ht="14.25" customHeight="1">
      <c r="M1135" s="115"/>
      <c r="N1135" s="115"/>
      <c r="O1135" s="115"/>
    </row>
    <row r="1136" ht="14.25" customHeight="1">
      <c r="M1136" s="115"/>
      <c r="N1136" s="115"/>
      <c r="O1136" s="115"/>
    </row>
    <row r="1137" ht="14.25" customHeight="1">
      <c r="M1137" s="115"/>
      <c r="N1137" s="115"/>
      <c r="O1137" s="115"/>
    </row>
    <row r="1138" ht="14.25" customHeight="1">
      <c r="M1138" s="115"/>
      <c r="N1138" s="115"/>
      <c r="O1138" s="115"/>
    </row>
    <row r="1139" ht="14.25" customHeight="1">
      <c r="M1139" s="115"/>
      <c r="N1139" s="115"/>
      <c r="O1139" s="115"/>
    </row>
    <row r="1140" ht="14.25" customHeight="1">
      <c r="M1140" s="115"/>
      <c r="N1140" s="115"/>
      <c r="O1140" s="115"/>
    </row>
    <row r="1141" ht="14.25" customHeight="1">
      <c r="M1141" s="115"/>
      <c r="N1141" s="115"/>
      <c r="O1141" s="115"/>
    </row>
    <row r="1142" ht="14.25" customHeight="1">
      <c r="M1142" s="115"/>
      <c r="N1142" s="115"/>
      <c r="O1142" s="115"/>
    </row>
    <row r="1143" ht="14.25" customHeight="1">
      <c r="M1143" s="115"/>
      <c r="N1143" s="115"/>
      <c r="O1143" s="115"/>
    </row>
    <row r="1144" ht="14.25" customHeight="1">
      <c r="M1144" s="115"/>
      <c r="N1144" s="115"/>
      <c r="O1144" s="115"/>
    </row>
    <row r="1145" ht="14.25" customHeight="1">
      <c r="M1145" s="115"/>
      <c r="N1145" s="115"/>
      <c r="O1145" s="115"/>
    </row>
    <row r="1146" ht="14.25" customHeight="1">
      <c r="M1146" s="115"/>
      <c r="N1146" s="115"/>
      <c r="O1146" s="115"/>
    </row>
    <row r="1147" ht="14.25" customHeight="1">
      <c r="M1147" s="115"/>
      <c r="N1147" s="115"/>
      <c r="O1147" s="115"/>
    </row>
    <row r="1148" ht="14.25" customHeight="1">
      <c r="M1148" s="115"/>
      <c r="N1148" s="115"/>
      <c r="O1148" s="115"/>
    </row>
    <row r="1149" ht="14.25" customHeight="1">
      <c r="M1149" s="115"/>
      <c r="N1149" s="115"/>
      <c r="O1149" s="115"/>
    </row>
    <row r="1150" ht="14.25" customHeight="1">
      <c r="M1150" s="115"/>
      <c r="N1150" s="115"/>
      <c r="O1150" s="115"/>
    </row>
    <row r="1151" ht="14.25" customHeight="1">
      <c r="M1151" s="115"/>
      <c r="N1151" s="115"/>
      <c r="O1151" s="115"/>
    </row>
    <row r="1152" ht="14.25" customHeight="1">
      <c r="M1152" s="115"/>
      <c r="N1152" s="115"/>
      <c r="O1152" s="115"/>
    </row>
    <row r="1153" ht="14.25" customHeight="1">
      <c r="M1153" s="115"/>
      <c r="N1153" s="115"/>
      <c r="O1153" s="115"/>
    </row>
    <row r="1154" ht="14.25" customHeight="1">
      <c r="M1154" s="115"/>
      <c r="N1154" s="115"/>
      <c r="O1154" s="115"/>
    </row>
    <row r="1155" ht="14.25" customHeight="1">
      <c r="M1155" s="115"/>
      <c r="N1155" s="115"/>
      <c r="O1155" s="115"/>
    </row>
    <row r="1156" ht="14.25" customHeight="1">
      <c r="M1156" s="115"/>
      <c r="N1156" s="115"/>
      <c r="O1156" s="115"/>
    </row>
    <row r="1157" ht="14.25" customHeight="1">
      <c r="M1157" s="115"/>
      <c r="N1157" s="115"/>
      <c r="O1157" s="115"/>
    </row>
    <row r="1158" ht="14.25" customHeight="1">
      <c r="M1158" s="115"/>
      <c r="N1158" s="115"/>
      <c r="O1158" s="115"/>
    </row>
    <row r="1159" ht="14.25" customHeight="1">
      <c r="M1159" s="115"/>
      <c r="N1159" s="115"/>
      <c r="O1159" s="115"/>
    </row>
    <row r="1160" ht="14.25" customHeight="1">
      <c r="M1160" s="115"/>
      <c r="N1160" s="115"/>
      <c r="O1160" s="115"/>
    </row>
    <row r="1161" ht="14.25" customHeight="1">
      <c r="M1161" s="115"/>
      <c r="N1161" s="115"/>
      <c r="O1161" s="115"/>
    </row>
    <row r="1162" ht="14.25" customHeight="1">
      <c r="M1162" s="115"/>
      <c r="N1162" s="115"/>
      <c r="O1162" s="115"/>
    </row>
    <row r="1163" ht="14.25" customHeight="1">
      <c r="M1163" s="115"/>
      <c r="N1163" s="115"/>
      <c r="O1163" s="115"/>
    </row>
    <row r="1164" ht="14.25" customHeight="1">
      <c r="M1164" s="115"/>
      <c r="N1164" s="115"/>
      <c r="O1164" s="115"/>
    </row>
    <row r="1165" ht="14.25" customHeight="1">
      <c r="M1165" s="115"/>
      <c r="N1165" s="115"/>
      <c r="O1165" s="115"/>
    </row>
    <row r="1166" ht="14.25" customHeight="1">
      <c r="M1166" s="115"/>
      <c r="N1166" s="115"/>
      <c r="O1166" s="115"/>
    </row>
    <row r="1167" ht="14.25" customHeight="1">
      <c r="M1167" s="115"/>
      <c r="N1167" s="115"/>
      <c r="O1167" s="115"/>
    </row>
    <row r="1168" ht="14.25" customHeight="1">
      <c r="M1168" s="115"/>
      <c r="N1168" s="115"/>
      <c r="O1168" s="115"/>
    </row>
    <row r="1169" ht="14.25" customHeight="1">
      <c r="M1169" s="115"/>
      <c r="N1169" s="115"/>
      <c r="O1169" s="115"/>
    </row>
    <row r="1170" ht="14.25" customHeight="1">
      <c r="M1170" s="115"/>
      <c r="N1170" s="115"/>
      <c r="O1170" s="115"/>
    </row>
    <row r="1171" ht="14.25" customHeight="1">
      <c r="M1171" s="115"/>
      <c r="N1171" s="115"/>
      <c r="O1171" s="115"/>
    </row>
    <row r="1172" ht="14.25" customHeight="1">
      <c r="M1172" s="115"/>
      <c r="N1172" s="115"/>
      <c r="O1172" s="115"/>
    </row>
    <row r="1173" ht="14.25" customHeight="1">
      <c r="M1173" s="115"/>
      <c r="N1173" s="115"/>
      <c r="O1173" s="115"/>
    </row>
    <row r="1174" ht="14.25" customHeight="1">
      <c r="M1174" s="115"/>
      <c r="N1174" s="115"/>
      <c r="O1174" s="115"/>
    </row>
    <row r="1175" ht="14.25" customHeight="1">
      <c r="M1175" s="115"/>
      <c r="N1175" s="115"/>
      <c r="O1175" s="115"/>
    </row>
    <row r="1176" ht="14.25" customHeight="1">
      <c r="M1176" s="115"/>
      <c r="N1176" s="115"/>
      <c r="O1176" s="115"/>
    </row>
    <row r="1177" ht="14.25" customHeight="1">
      <c r="M1177" s="115"/>
      <c r="N1177" s="115"/>
      <c r="O1177" s="115"/>
    </row>
    <row r="1178" ht="14.25" customHeight="1">
      <c r="M1178" s="115"/>
      <c r="N1178" s="115"/>
      <c r="O1178" s="115"/>
    </row>
    <row r="1179" ht="14.25" customHeight="1">
      <c r="M1179" s="115"/>
      <c r="N1179" s="115"/>
      <c r="O1179" s="115"/>
    </row>
    <row r="1180" ht="14.25" customHeight="1">
      <c r="M1180" s="115"/>
      <c r="N1180" s="115"/>
      <c r="O1180" s="115"/>
    </row>
    <row r="1181" ht="14.25" customHeight="1">
      <c r="M1181" s="115"/>
      <c r="N1181" s="115"/>
      <c r="O1181" s="115"/>
    </row>
    <row r="1182" ht="14.25" customHeight="1">
      <c r="M1182" s="115"/>
      <c r="N1182" s="115"/>
      <c r="O1182" s="115"/>
    </row>
    <row r="1183" ht="14.25" customHeight="1">
      <c r="M1183" s="115"/>
      <c r="N1183" s="115"/>
      <c r="O1183" s="115"/>
    </row>
    <row r="1184" ht="14.25" customHeight="1">
      <c r="M1184" s="115"/>
      <c r="N1184" s="115"/>
      <c r="O1184" s="115"/>
    </row>
    <row r="1185" ht="14.25" customHeight="1">
      <c r="M1185" s="115"/>
      <c r="N1185" s="115"/>
      <c r="O1185" s="115"/>
    </row>
    <row r="1186" ht="14.25" customHeight="1">
      <c r="M1186" s="115"/>
      <c r="N1186" s="115"/>
      <c r="O1186" s="115"/>
    </row>
    <row r="1187" ht="14.25" customHeight="1">
      <c r="M1187" s="115"/>
      <c r="N1187" s="115"/>
      <c r="O1187" s="115"/>
    </row>
    <row r="1188" ht="14.25" customHeight="1">
      <c r="M1188" s="115"/>
      <c r="N1188" s="115"/>
      <c r="O1188" s="115"/>
    </row>
    <row r="1189" ht="14.25" customHeight="1">
      <c r="M1189" s="115"/>
      <c r="N1189" s="115"/>
      <c r="O1189" s="115"/>
    </row>
    <row r="1190" ht="14.25" customHeight="1">
      <c r="M1190" s="115"/>
      <c r="N1190" s="115"/>
      <c r="O1190" s="115"/>
    </row>
    <row r="1191" ht="14.25" customHeight="1">
      <c r="M1191" s="115"/>
      <c r="N1191" s="115"/>
      <c r="O1191" s="115"/>
    </row>
    <row r="1192" ht="14.25" customHeight="1">
      <c r="M1192" s="115"/>
      <c r="N1192" s="115"/>
      <c r="O1192" s="115"/>
    </row>
    <row r="1193" ht="14.25" customHeight="1">
      <c r="M1193" s="115"/>
      <c r="N1193" s="115"/>
      <c r="O1193" s="115"/>
    </row>
    <row r="1194" ht="14.25" customHeight="1">
      <c r="M1194" s="115"/>
      <c r="N1194" s="115"/>
      <c r="O1194" s="115"/>
    </row>
    <row r="1195" ht="14.25" customHeight="1">
      <c r="M1195" s="115"/>
      <c r="N1195" s="115"/>
      <c r="O1195" s="115"/>
    </row>
    <row r="1196" ht="14.25" customHeight="1">
      <c r="M1196" s="115"/>
      <c r="N1196" s="115"/>
      <c r="O1196" s="115"/>
    </row>
    <row r="1197" ht="14.25" customHeight="1">
      <c r="M1197" s="115"/>
      <c r="N1197" s="115"/>
      <c r="O1197" s="115"/>
    </row>
    <row r="1198" ht="14.25" customHeight="1">
      <c r="M1198" s="115"/>
      <c r="N1198" s="115"/>
      <c r="O1198" s="115"/>
    </row>
    <row r="1199" ht="14.25" customHeight="1">
      <c r="M1199" s="115"/>
      <c r="N1199" s="115"/>
      <c r="O1199" s="115"/>
    </row>
    <row r="1200" ht="14.25" customHeight="1">
      <c r="M1200" s="115"/>
      <c r="N1200" s="115"/>
      <c r="O1200" s="115"/>
    </row>
    <row r="1201" ht="14.25" customHeight="1">
      <c r="M1201" s="115"/>
      <c r="N1201" s="115"/>
      <c r="O1201" s="115"/>
    </row>
    <row r="1202" ht="14.25" customHeight="1">
      <c r="M1202" s="115"/>
      <c r="N1202" s="115"/>
      <c r="O1202" s="115"/>
    </row>
    <row r="1203" ht="14.25" customHeight="1">
      <c r="M1203" s="115"/>
      <c r="N1203" s="115"/>
      <c r="O1203" s="115"/>
    </row>
    <row r="1204" ht="14.25" customHeight="1">
      <c r="M1204" s="115"/>
      <c r="N1204" s="115"/>
      <c r="O1204" s="115"/>
    </row>
    <row r="1205" ht="14.25" customHeight="1">
      <c r="M1205" s="115"/>
      <c r="N1205" s="115"/>
      <c r="O1205" s="115"/>
    </row>
    <row r="1206" ht="14.25" customHeight="1">
      <c r="M1206" s="115"/>
      <c r="N1206" s="115"/>
      <c r="O1206" s="115"/>
    </row>
    <row r="1207" ht="14.25" customHeight="1">
      <c r="M1207" s="115"/>
      <c r="N1207" s="115"/>
      <c r="O1207" s="115"/>
    </row>
    <row r="1208" ht="14.25" customHeight="1">
      <c r="M1208" s="115"/>
      <c r="N1208" s="115"/>
      <c r="O1208" s="115"/>
    </row>
    <row r="1209" ht="14.25" customHeight="1">
      <c r="M1209" s="115"/>
      <c r="N1209" s="115"/>
      <c r="O1209" s="115"/>
    </row>
    <row r="1210" ht="14.25" customHeight="1">
      <c r="M1210" s="115"/>
      <c r="N1210" s="115"/>
      <c r="O1210" s="115"/>
    </row>
    <row r="1211" ht="14.25" customHeight="1">
      <c r="M1211" s="115"/>
      <c r="N1211" s="115"/>
      <c r="O1211" s="115"/>
    </row>
    <row r="1212" ht="14.25" customHeight="1">
      <c r="M1212" s="115"/>
      <c r="N1212" s="115"/>
      <c r="O1212" s="115"/>
    </row>
    <row r="1213" ht="14.25" customHeight="1">
      <c r="M1213" s="115"/>
      <c r="N1213" s="115"/>
      <c r="O1213" s="115"/>
    </row>
    <row r="1214" ht="14.25" customHeight="1">
      <c r="M1214" s="115"/>
      <c r="N1214" s="115"/>
      <c r="O1214" s="115"/>
    </row>
    <row r="1215" ht="14.25" customHeight="1">
      <c r="M1215" s="115"/>
      <c r="N1215" s="115"/>
      <c r="O1215" s="115"/>
    </row>
    <row r="1216" ht="14.25" customHeight="1">
      <c r="M1216" s="115"/>
      <c r="N1216" s="115"/>
      <c r="O1216" s="115"/>
    </row>
    <row r="1217" ht="14.25" customHeight="1">
      <c r="M1217" s="115"/>
      <c r="N1217" s="115"/>
      <c r="O1217" s="115"/>
    </row>
    <row r="1218" ht="14.25" customHeight="1">
      <c r="M1218" s="115"/>
      <c r="N1218" s="115"/>
      <c r="O1218" s="115"/>
    </row>
    <row r="1219" ht="14.25" customHeight="1">
      <c r="M1219" s="115"/>
      <c r="N1219" s="115"/>
      <c r="O1219" s="115"/>
    </row>
    <row r="1220" ht="14.25" customHeight="1">
      <c r="M1220" s="115"/>
      <c r="N1220" s="115"/>
      <c r="O1220" s="115"/>
    </row>
    <row r="1221" ht="14.25" customHeight="1">
      <c r="M1221" s="115"/>
      <c r="N1221" s="115"/>
      <c r="O1221" s="115"/>
    </row>
    <row r="1222" ht="14.25" customHeight="1">
      <c r="M1222" s="115"/>
      <c r="N1222" s="115"/>
      <c r="O1222" s="115"/>
    </row>
    <row r="1223" ht="14.25" customHeight="1">
      <c r="M1223" s="115"/>
      <c r="N1223" s="115"/>
      <c r="O1223" s="115"/>
    </row>
    <row r="1224" ht="14.25" customHeight="1">
      <c r="M1224" s="115"/>
      <c r="N1224" s="115"/>
      <c r="O1224" s="115"/>
    </row>
    <row r="1225" ht="14.25" customHeight="1">
      <c r="M1225" s="115"/>
      <c r="N1225" s="115"/>
      <c r="O1225" s="115"/>
    </row>
    <row r="1226" ht="14.25" customHeight="1">
      <c r="M1226" s="115"/>
      <c r="N1226" s="115"/>
      <c r="O1226" s="115"/>
    </row>
    <row r="1227" ht="14.25" customHeight="1">
      <c r="M1227" s="115"/>
      <c r="N1227" s="115"/>
      <c r="O1227" s="115"/>
    </row>
    <row r="1228" ht="14.25" customHeight="1">
      <c r="M1228" s="115"/>
      <c r="N1228" s="115"/>
      <c r="O1228" s="115"/>
    </row>
    <row r="1229" ht="14.25" customHeight="1">
      <c r="M1229" s="115"/>
      <c r="N1229" s="115"/>
      <c r="O1229" s="115"/>
    </row>
    <row r="1230" ht="14.25" customHeight="1">
      <c r="M1230" s="115"/>
      <c r="N1230" s="115"/>
      <c r="O1230" s="115"/>
    </row>
    <row r="1231" ht="14.25" customHeight="1">
      <c r="M1231" s="115"/>
      <c r="N1231" s="115"/>
      <c r="O1231" s="115"/>
    </row>
    <row r="1232" ht="14.25" customHeight="1">
      <c r="M1232" s="115"/>
      <c r="N1232" s="115"/>
      <c r="O1232" s="115"/>
    </row>
    <row r="1233" ht="14.25" customHeight="1">
      <c r="M1233" s="115"/>
      <c r="N1233" s="115"/>
      <c r="O1233" s="115"/>
    </row>
    <row r="1234" ht="14.25" customHeight="1">
      <c r="M1234" s="115"/>
      <c r="N1234" s="115"/>
      <c r="O1234" s="115"/>
    </row>
    <row r="1235" ht="14.25" customHeight="1">
      <c r="M1235" s="115"/>
      <c r="N1235" s="115"/>
      <c r="O1235" s="115"/>
    </row>
    <row r="1236" ht="14.25" customHeight="1">
      <c r="M1236" s="115"/>
      <c r="N1236" s="115"/>
      <c r="O1236" s="115"/>
    </row>
    <row r="1237" ht="14.25" customHeight="1">
      <c r="M1237" s="115"/>
      <c r="N1237" s="115"/>
      <c r="O1237" s="115"/>
    </row>
    <row r="1238" ht="14.25" customHeight="1">
      <c r="M1238" s="115"/>
      <c r="N1238" s="115"/>
      <c r="O1238" s="115"/>
    </row>
    <row r="1239" ht="14.25" customHeight="1">
      <c r="M1239" s="115"/>
      <c r="N1239" s="115"/>
      <c r="O1239" s="115"/>
    </row>
    <row r="1240" ht="14.25" customHeight="1">
      <c r="M1240" s="115"/>
      <c r="N1240" s="115"/>
      <c r="O1240" s="115"/>
    </row>
    <row r="1241" ht="14.25" customHeight="1">
      <c r="M1241" s="115"/>
      <c r="N1241" s="115"/>
      <c r="O1241" s="115"/>
    </row>
    <row r="1242" ht="14.25" customHeight="1">
      <c r="M1242" s="115"/>
      <c r="N1242" s="115"/>
      <c r="O1242" s="115"/>
    </row>
    <row r="1243" ht="14.25" customHeight="1">
      <c r="M1243" s="115"/>
      <c r="N1243" s="115"/>
      <c r="O1243" s="115"/>
    </row>
    <row r="1244" ht="14.25" customHeight="1">
      <c r="M1244" s="115"/>
      <c r="N1244" s="115"/>
      <c r="O1244" s="115"/>
    </row>
    <row r="1245" ht="14.25" customHeight="1">
      <c r="M1245" s="115"/>
      <c r="N1245" s="115"/>
      <c r="O1245" s="115"/>
    </row>
    <row r="1246" ht="14.25" customHeight="1">
      <c r="M1246" s="115"/>
      <c r="N1246" s="115"/>
      <c r="O1246" s="115"/>
    </row>
    <row r="1247" ht="14.25" customHeight="1">
      <c r="M1247" s="115"/>
      <c r="N1247" s="115"/>
      <c r="O1247" s="115"/>
    </row>
    <row r="1248" ht="14.25" customHeight="1">
      <c r="M1248" s="115"/>
      <c r="N1248" s="115"/>
      <c r="O1248" s="115"/>
    </row>
    <row r="1249" ht="14.25" customHeight="1">
      <c r="M1249" s="115"/>
      <c r="N1249" s="115"/>
      <c r="O1249" s="115"/>
    </row>
    <row r="1250" ht="14.25" customHeight="1">
      <c r="M1250" s="115"/>
      <c r="N1250" s="115"/>
      <c r="O1250" s="115"/>
    </row>
    <row r="1251" ht="14.25" customHeight="1">
      <c r="M1251" s="115"/>
      <c r="N1251" s="115"/>
      <c r="O1251" s="115"/>
    </row>
    <row r="1252" ht="14.25" customHeight="1">
      <c r="M1252" s="115"/>
      <c r="N1252" s="115"/>
      <c r="O1252" s="115"/>
    </row>
    <row r="1253" ht="14.25" customHeight="1">
      <c r="M1253" s="115"/>
      <c r="N1253" s="115"/>
      <c r="O1253" s="115"/>
    </row>
    <row r="1254" ht="14.25" customHeight="1">
      <c r="M1254" s="115"/>
      <c r="N1254" s="115"/>
      <c r="O1254" s="115"/>
    </row>
    <row r="1255" ht="14.25" customHeight="1">
      <c r="M1255" s="115"/>
      <c r="N1255" s="115"/>
      <c r="O1255" s="115"/>
    </row>
    <row r="1256" ht="14.25" customHeight="1">
      <c r="M1256" s="115"/>
      <c r="N1256" s="115"/>
      <c r="O1256" s="115"/>
    </row>
    <row r="1257" ht="14.25" customHeight="1">
      <c r="M1257" s="115"/>
      <c r="N1257" s="115"/>
      <c r="O1257" s="115"/>
    </row>
    <row r="1258" ht="14.25" customHeight="1">
      <c r="M1258" s="115"/>
      <c r="N1258" s="115"/>
      <c r="O1258" s="115"/>
    </row>
    <row r="1259" ht="14.25" customHeight="1">
      <c r="M1259" s="115"/>
      <c r="N1259" s="115"/>
      <c r="O1259" s="115"/>
    </row>
    <row r="1260" ht="14.25" customHeight="1">
      <c r="M1260" s="115"/>
      <c r="N1260" s="115"/>
      <c r="O1260" s="115"/>
    </row>
    <row r="1261" ht="14.25" customHeight="1">
      <c r="M1261" s="115"/>
      <c r="N1261" s="115"/>
      <c r="O1261" s="115"/>
    </row>
    <row r="1262" ht="14.25" customHeight="1">
      <c r="M1262" s="115"/>
      <c r="N1262" s="115"/>
      <c r="O1262" s="115"/>
    </row>
    <row r="1263" ht="14.25" customHeight="1">
      <c r="M1263" s="115"/>
      <c r="N1263" s="115"/>
      <c r="O1263" s="115"/>
    </row>
    <row r="1264" ht="14.25" customHeight="1">
      <c r="M1264" s="115"/>
      <c r="N1264" s="115"/>
      <c r="O1264" s="115"/>
    </row>
    <row r="1265" ht="14.25" customHeight="1">
      <c r="M1265" s="115"/>
      <c r="N1265" s="115"/>
      <c r="O1265" s="115"/>
    </row>
    <row r="1266" ht="14.25" customHeight="1">
      <c r="M1266" s="115"/>
      <c r="N1266" s="115"/>
      <c r="O1266" s="115"/>
    </row>
    <row r="1267" ht="14.25" customHeight="1">
      <c r="M1267" s="115"/>
      <c r="N1267" s="115"/>
      <c r="O1267" s="115"/>
    </row>
    <row r="1268" ht="14.25" customHeight="1">
      <c r="M1268" s="115"/>
      <c r="N1268" s="115"/>
      <c r="O1268" s="115"/>
    </row>
    <row r="1269" ht="14.25" customHeight="1">
      <c r="M1269" s="115"/>
      <c r="N1269" s="115"/>
      <c r="O1269" s="115"/>
    </row>
    <row r="1270" ht="14.25" customHeight="1">
      <c r="M1270" s="115"/>
      <c r="N1270" s="115"/>
      <c r="O1270" s="115"/>
    </row>
    <row r="1271" ht="14.25" customHeight="1">
      <c r="M1271" s="115"/>
      <c r="N1271" s="115"/>
      <c r="O1271" s="115"/>
    </row>
    <row r="1272" ht="14.25" customHeight="1">
      <c r="M1272" s="115"/>
      <c r="N1272" s="115"/>
      <c r="O1272" s="115"/>
    </row>
    <row r="1273" ht="14.25" customHeight="1">
      <c r="M1273" s="115"/>
      <c r="N1273" s="115"/>
      <c r="O1273" s="115"/>
    </row>
    <row r="1274" ht="14.25" customHeight="1">
      <c r="M1274" s="115"/>
      <c r="N1274" s="115"/>
      <c r="O1274" s="115"/>
    </row>
    <row r="1275" ht="14.25" customHeight="1">
      <c r="M1275" s="115"/>
      <c r="N1275" s="115"/>
      <c r="O1275" s="115"/>
    </row>
    <row r="1276" ht="14.25" customHeight="1">
      <c r="M1276" s="115"/>
      <c r="N1276" s="115"/>
      <c r="O1276" s="115"/>
    </row>
    <row r="1277" ht="14.25" customHeight="1">
      <c r="M1277" s="115"/>
      <c r="N1277" s="115"/>
      <c r="O1277" s="115"/>
    </row>
    <row r="1278" ht="14.25" customHeight="1">
      <c r="M1278" s="115"/>
      <c r="N1278" s="115"/>
      <c r="O1278" s="115"/>
    </row>
    <row r="1279" ht="14.25" customHeight="1">
      <c r="M1279" s="115"/>
      <c r="N1279" s="115"/>
      <c r="O1279" s="115"/>
    </row>
    <row r="1280" ht="14.25" customHeight="1">
      <c r="M1280" s="115"/>
      <c r="N1280" s="115"/>
      <c r="O1280" s="115"/>
    </row>
    <row r="1281" ht="14.25" customHeight="1">
      <c r="M1281" s="115"/>
      <c r="N1281" s="115"/>
      <c r="O1281" s="115"/>
    </row>
    <row r="1282" ht="14.25" customHeight="1">
      <c r="M1282" s="115"/>
      <c r="N1282" s="115"/>
      <c r="O1282" s="115"/>
    </row>
    <row r="1283" ht="14.25" customHeight="1">
      <c r="M1283" s="115"/>
      <c r="N1283" s="115"/>
      <c r="O1283" s="115"/>
    </row>
    <row r="1284" ht="14.25" customHeight="1">
      <c r="M1284" s="115"/>
      <c r="N1284" s="115"/>
      <c r="O1284" s="115"/>
    </row>
    <row r="1285" ht="14.25" customHeight="1">
      <c r="M1285" s="115"/>
      <c r="N1285" s="115"/>
      <c r="O1285" s="115"/>
    </row>
    <row r="1286" ht="14.25" customHeight="1">
      <c r="M1286" s="115"/>
      <c r="N1286" s="115"/>
      <c r="O1286" s="115"/>
    </row>
    <row r="1287" ht="14.25" customHeight="1">
      <c r="M1287" s="115"/>
      <c r="N1287" s="115"/>
      <c r="O1287" s="115"/>
    </row>
    <row r="1288" ht="14.25" customHeight="1">
      <c r="M1288" s="115"/>
      <c r="N1288" s="115"/>
      <c r="O1288" s="115"/>
    </row>
    <row r="1289" ht="14.25" customHeight="1">
      <c r="M1289" s="115"/>
      <c r="N1289" s="115"/>
      <c r="O1289" s="115"/>
    </row>
    <row r="1290" ht="14.25" customHeight="1">
      <c r="M1290" s="115"/>
      <c r="N1290" s="115"/>
      <c r="O1290" s="115"/>
    </row>
    <row r="1291" ht="14.25" customHeight="1">
      <c r="M1291" s="115"/>
      <c r="N1291" s="115"/>
      <c r="O1291" s="115"/>
    </row>
    <row r="1292" ht="14.25" customHeight="1">
      <c r="M1292" s="115"/>
      <c r="N1292" s="115"/>
      <c r="O1292" s="115"/>
    </row>
    <row r="1293" ht="14.25" customHeight="1">
      <c r="M1293" s="115"/>
      <c r="N1293" s="115"/>
      <c r="O1293" s="115"/>
    </row>
    <row r="1294" ht="14.25" customHeight="1">
      <c r="M1294" s="115"/>
      <c r="N1294" s="115"/>
      <c r="O1294" s="115"/>
    </row>
    <row r="1295" ht="14.25" customHeight="1">
      <c r="M1295" s="115"/>
      <c r="N1295" s="115"/>
      <c r="O1295" s="115"/>
    </row>
    <row r="1296" ht="14.25" customHeight="1">
      <c r="M1296" s="115"/>
      <c r="N1296" s="115"/>
      <c r="O1296" s="115"/>
    </row>
    <row r="1297" ht="14.25" customHeight="1">
      <c r="M1297" s="115"/>
      <c r="N1297" s="115"/>
      <c r="O1297" s="115"/>
    </row>
    <row r="1298" ht="14.25" customHeight="1">
      <c r="M1298" s="115"/>
      <c r="N1298" s="115"/>
      <c r="O1298" s="115"/>
    </row>
    <row r="1299" ht="14.25" customHeight="1">
      <c r="M1299" s="115"/>
      <c r="N1299" s="115"/>
      <c r="O1299" s="115"/>
    </row>
    <row r="1300" ht="14.25" customHeight="1">
      <c r="M1300" s="115"/>
      <c r="N1300" s="115"/>
      <c r="O1300" s="115"/>
    </row>
    <row r="1301" ht="14.25" customHeight="1">
      <c r="M1301" s="115"/>
      <c r="N1301" s="115"/>
      <c r="O1301" s="115"/>
    </row>
    <row r="1302" ht="14.25" customHeight="1">
      <c r="M1302" s="115"/>
      <c r="N1302" s="115"/>
      <c r="O1302" s="115"/>
    </row>
    <row r="1303" ht="14.25" customHeight="1">
      <c r="M1303" s="115"/>
      <c r="N1303" s="115"/>
      <c r="O1303" s="115"/>
    </row>
    <row r="1304" ht="14.25" customHeight="1">
      <c r="M1304" s="115"/>
      <c r="N1304" s="115"/>
      <c r="O1304" s="115"/>
    </row>
    <row r="1305" ht="14.25" customHeight="1">
      <c r="M1305" s="115"/>
      <c r="N1305" s="115"/>
      <c r="O1305" s="115"/>
    </row>
    <row r="1306" ht="14.25" customHeight="1">
      <c r="M1306" s="115"/>
      <c r="N1306" s="115"/>
      <c r="O1306" s="115"/>
    </row>
    <row r="1307" ht="14.25" customHeight="1">
      <c r="M1307" s="115"/>
      <c r="N1307" s="115"/>
      <c r="O1307" s="115"/>
    </row>
    <row r="1308" ht="14.25" customHeight="1">
      <c r="M1308" s="115"/>
      <c r="N1308" s="115"/>
      <c r="O1308" s="115"/>
    </row>
    <row r="1309" ht="14.25" customHeight="1">
      <c r="M1309" s="115"/>
      <c r="N1309" s="115"/>
      <c r="O1309" s="115"/>
    </row>
    <row r="1310" ht="14.25" customHeight="1">
      <c r="M1310" s="115"/>
      <c r="N1310" s="115"/>
      <c r="O1310" s="115"/>
    </row>
    <row r="1311" ht="14.25" customHeight="1">
      <c r="M1311" s="115"/>
      <c r="N1311" s="115"/>
      <c r="O1311" s="115"/>
    </row>
    <row r="1312" ht="14.25" customHeight="1">
      <c r="M1312" s="115"/>
      <c r="N1312" s="115"/>
      <c r="O1312" s="115"/>
    </row>
    <row r="1313" ht="14.25" customHeight="1">
      <c r="M1313" s="115"/>
      <c r="N1313" s="115"/>
      <c r="O1313" s="115"/>
    </row>
    <row r="1314" ht="14.25" customHeight="1">
      <c r="M1314" s="115"/>
      <c r="N1314" s="115"/>
      <c r="O1314" s="115"/>
    </row>
    <row r="1315" ht="14.25" customHeight="1">
      <c r="M1315" s="115"/>
      <c r="N1315" s="115"/>
      <c r="O1315" s="115"/>
    </row>
    <row r="1316" ht="14.25" customHeight="1">
      <c r="M1316" s="115"/>
      <c r="N1316" s="115"/>
      <c r="O1316" s="115"/>
    </row>
    <row r="1317" ht="14.25" customHeight="1">
      <c r="M1317" s="115"/>
      <c r="N1317" s="115"/>
      <c r="O1317" s="115"/>
    </row>
    <row r="1318" ht="14.25" customHeight="1">
      <c r="M1318" s="115"/>
      <c r="N1318" s="115"/>
      <c r="O1318" s="115"/>
    </row>
    <row r="1319" ht="14.25" customHeight="1">
      <c r="M1319" s="115"/>
      <c r="N1319" s="115"/>
      <c r="O1319" s="115"/>
    </row>
    <row r="1320" ht="14.25" customHeight="1">
      <c r="M1320" s="115"/>
      <c r="N1320" s="115"/>
      <c r="O1320" s="115"/>
    </row>
    <row r="1321" ht="14.25" customHeight="1">
      <c r="M1321" s="115"/>
      <c r="N1321" s="115"/>
      <c r="O1321" s="115"/>
    </row>
    <row r="1322" ht="14.25" customHeight="1">
      <c r="M1322" s="115"/>
      <c r="N1322" s="115"/>
      <c r="O1322" s="115"/>
    </row>
    <row r="1323" ht="14.25" customHeight="1">
      <c r="M1323" s="115"/>
      <c r="N1323" s="115"/>
      <c r="O1323" s="115"/>
    </row>
    <row r="1324" ht="14.25" customHeight="1">
      <c r="M1324" s="115"/>
      <c r="N1324" s="115"/>
      <c r="O1324" s="115"/>
    </row>
    <row r="1325" ht="14.25" customHeight="1">
      <c r="M1325" s="115"/>
      <c r="N1325" s="115"/>
      <c r="O1325" s="115"/>
    </row>
    <row r="1326" ht="14.25" customHeight="1">
      <c r="M1326" s="115"/>
      <c r="N1326" s="115"/>
      <c r="O1326" s="115"/>
    </row>
    <row r="1327" ht="14.25" customHeight="1">
      <c r="M1327" s="115"/>
      <c r="N1327" s="115"/>
      <c r="O1327" s="115"/>
    </row>
    <row r="1328" ht="14.25" customHeight="1">
      <c r="M1328" s="115"/>
      <c r="N1328" s="115"/>
      <c r="O1328" s="115"/>
    </row>
    <row r="1329" ht="14.25" customHeight="1">
      <c r="M1329" s="115"/>
      <c r="N1329" s="115"/>
      <c r="O1329" s="115"/>
    </row>
    <row r="1330" ht="14.25" customHeight="1">
      <c r="M1330" s="115"/>
      <c r="N1330" s="115"/>
      <c r="O1330" s="115"/>
    </row>
    <row r="1331" ht="14.25" customHeight="1">
      <c r="M1331" s="115"/>
      <c r="N1331" s="115"/>
      <c r="O1331" s="115"/>
    </row>
    <row r="1332" ht="14.25" customHeight="1">
      <c r="M1332" s="115"/>
      <c r="N1332" s="115"/>
      <c r="O1332" s="115"/>
    </row>
    <row r="1333" ht="14.25" customHeight="1">
      <c r="M1333" s="115"/>
      <c r="N1333" s="115"/>
      <c r="O1333" s="115"/>
    </row>
    <row r="1334" ht="14.25" customHeight="1">
      <c r="M1334" s="115"/>
      <c r="N1334" s="115"/>
      <c r="O1334" s="115"/>
    </row>
    <row r="1335" ht="14.25" customHeight="1">
      <c r="M1335" s="115"/>
      <c r="N1335" s="115"/>
      <c r="O1335" s="115"/>
    </row>
    <row r="1336" ht="14.25" customHeight="1">
      <c r="M1336" s="115"/>
      <c r="N1336" s="115"/>
      <c r="O1336" s="115"/>
    </row>
    <row r="1337" ht="14.25" customHeight="1">
      <c r="M1337" s="115"/>
      <c r="N1337" s="115"/>
      <c r="O1337" s="115"/>
    </row>
    <row r="1338" ht="14.25" customHeight="1">
      <c r="M1338" s="115"/>
      <c r="N1338" s="115"/>
      <c r="O1338" s="115"/>
    </row>
    <row r="1339" ht="14.25" customHeight="1">
      <c r="M1339" s="115"/>
      <c r="N1339" s="115"/>
      <c r="O1339" s="115"/>
    </row>
    <row r="1340" ht="14.25" customHeight="1">
      <c r="M1340" s="115"/>
      <c r="N1340" s="115"/>
      <c r="O1340" s="115"/>
    </row>
    <row r="1341" ht="14.25" customHeight="1">
      <c r="M1341" s="115"/>
      <c r="N1341" s="115"/>
      <c r="O1341" s="115"/>
    </row>
    <row r="1342" ht="14.25" customHeight="1">
      <c r="M1342" s="115"/>
      <c r="N1342" s="115"/>
      <c r="O1342" s="115"/>
    </row>
    <row r="1343" ht="14.25" customHeight="1">
      <c r="M1343" s="115"/>
      <c r="N1343" s="115"/>
      <c r="O1343" s="115"/>
    </row>
    <row r="1344" ht="14.25" customHeight="1">
      <c r="M1344" s="115"/>
      <c r="N1344" s="115"/>
      <c r="O1344" s="115"/>
    </row>
    <row r="1345" ht="14.25" customHeight="1">
      <c r="M1345" s="115"/>
      <c r="N1345" s="115"/>
      <c r="O1345" s="115"/>
    </row>
    <row r="1346" ht="14.25" customHeight="1">
      <c r="M1346" s="115"/>
      <c r="N1346" s="115"/>
      <c r="O1346" s="115"/>
    </row>
    <row r="1347" ht="14.25" customHeight="1">
      <c r="M1347" s="115"/>
      <c r="N1347" s="115"/>
      <c r="O1347" s="115"/>
    </row>
    <row r="1348" ht="14.25" customHeight="1">
      <c r="M1348" s="115"/>
      <c r="N1348" s="115"/>
      <c r="O1348" s="115"/>
    </row>
    <row r="1349" ht="14.25" customHeight="1">
      <c r="M1349" s="115"/>
      <c r="N1349" s="115"/>
      <c r="O1349" s="115"/>
    </row>
    <row r="1350" ht="14.25" customHeight="1">
      <c r="M1350" s="115"/>
      <c r="N1350" s="115"/>
      <c r="O1350" s="115"/>
    </row>
    <row r="1351" ht="14.25" customHeight="1">
      <c r="M1351" s="115"/>
      <c r="N1351" s="115"/>
      <c r="O1351" s="115"/>
    </row>
    <row r="1352" ht="14.25" customHeight="1">
      <c r="M1352" s="115"/>
      <c r="N1352" s="115"/>
      <c r="O1352" s="115"/>
    </row>
    <row r="1353" ht="14.25" customHeight="1">
      <c r="M1353" s="115"/>
      <c r="N1353" s="115"/>
      <c r="O1353" s="115"/>
    </row>
    <row r="1354" ht="14.25" customHeight="1">
      <c r="M1354" s="115"/>
      <c r="N1354" s="115"/>
      <c r="O1354" s="115"/>
    </row>
    <row r="1355" ht="14.25" customHeight="1">
      <c r="M1355" s="115"/>
      <c r="N1355" s="115"/>
      <c r="O1355" s="115"/>
    </row>
    <row r="1356" ht="14.25" customHeight="1">
      <c r="M1356" s="115"/>
      <c r="N1356" s="115"/>
      <c r="O1356" s="115"/>
    </row>
    <row r="1357" ht="14.25" customHeight="1">
      <c r="M1357" s="115"/>
      <c r="N1357" s="115"/>
      <c r="O1357" s="115"/>
    </row>
    <row r="1358" ht="14.25" customHeight="1">
      <c r="M1358" s="115"/>
      <c r="N1358" s="115"/>
      <c r="O1358" s="115"/>
    </row>
    <row r="1359" ht="14.25" customHeight="1">
      <c r="M1359" s="115"/>
      <c r="N1359" s="115"/>
      <c r="O1359" s="115"/>
    </row>
    <row r="1360" ht="14.25" customHeight="1">
      <c r="M1360" s="115"/>
      <c r="N1360" s="115"/>
      <c r="O1360" s="115"/>
    </row>
    <row r="1361" ht="14.25" customHeight="1">
      <c r="M1361" s="115"/>
      <c r="N1361" s="115"/>
      <c r="O1361" s="115"/>
    </row>
    <row r="1362" ht="14.25" customHeight="1">
      <c r="M1362" s="115"/>
      <c r="N1362" s="115"/>
      <c r="O1362" s="115"/>
    </row>
    <row r="1363" ht="14.25" customHeight="1">
      <c r="M1363" s="115"/>
      <c r="N1363" s="115"/>
      <c r="O1363" s="115"/>
    </row>
    <row r="1364" ht="14.25" customHeight="1">
      <c r="M1364" s="115"/>
      <c r="N1364" s="115"/>
      <c r="O1364" s="115"/>
    </row>
    <row r="1365" ht="14.25" customHeight="1">
      <c r="M1365" s="115"/>
      <c r="N1365" s="115"/>
      <c r="O1365" s="115"/>
    </row>
    <row r="1366" ht="14.25" customHeight="1">
      <c r="M1366" s="115"/>
      <c r="N1366" s="115"/>
      <c r="O1366" s="115"/>
    </row>
    <row r="1367" ht="14.25" customHeight="1">
      <c r="M1367" s="115"/>
      <c r="N1367" s="115"/>
      <c r="O1367" s="115"/>
    </row>
    <row r="1368" ht="14.25" customHeight="1">
      <c r="M1368" s="115"/>
      <c r="N1368" s="115"/>
      <c r="O1368" s="115"/>
    </row>
    <row r="1369" ht="14.25" customHeight="1">
      <c r="M1369" s="115"/>
      <c r="N1369" s="115"/>
      <c r="O1369" s="115"/>
    </row>
    <row r="1370" ht="14.25" customHeight="1">
      <c r="M1370" s="115"/>
      <c r="N1370" s="115"/>
      <c r="O1370" s="115"/>
    </row>
    <row r="1371" ht="14.25" customHeight="1">
      <c r="M1371" s="115"/>
      <c r="N1371" s="115"/>
      <c r="O1371" s="115"/>
    </row>
    <row r="1372" ht="14.25" customHeight="1">
      <c r="M1372" s="115"/>
      <c r="N1372" s="115"/>
      <c r="O1372" s="115"/>
    </row>
    <row r="1373" ht="14.25" customHeight="1">
      <c r="M1373" s="115"/>
      <c r="N1373" s="115"/>
      <c r="O1373" s="115"/>
    </row>
    <row r="1374" ht="14.25" customHeight="1">
      <c r="M1374" s="115"/>
      <c r="N1374" s="115"/>
      <c r="O1374" s="115"/>
    </row>
    <row r="1375" ht="14.25" customHeight="1">
      <c r="M1375" s="115"/>
      <c r="N1375" s="115"/>
      <c r="O1375" s="115"/>
    </row>
    <row r="1376" ht="14.25" customHeight="1">
      <c r="M1376" s="115"/>
      <c r="N1376" s="115"/>
      <c r="O1376" s="115"/>
    </row>
    <row r="1377" ht="14.25" customHeight="1">
      <c r="M1377" s="115"/>
      <c r="N1377" s="115"/>
      <c r="O1377" s="115"/>
    </row>
    <row r="1378" ht="14.25" customHeight="1">
      <c r="M1378" s="115"/>
      <c r="N1378" s="115"/>
      <c r="O1378" s="115"/>
    </row>
    <row r="1379" ht="14.25" customHeight="1">
      <c r="M1379" s="115"/>
      <c r="N1379" s="115"/>
      <c r="O1379" s="115"/>
    </row>
    <row r="1380" ht="14.25" customHeight="1">
      <c r="M1380" s="115"/>
      <c r="N1380" s="115"/>
      <c r="O1380" s="115"/>
    </row>
    <row r="1381" ht="14.25" customHeight="1">
      <c r="M1381" s="115"/>
      <c r="N1381" s="115"/>
      <c r="O1381" s="115"/>
    </row>
    <row r="1382" ht="14.25" customHeight="1">
      <c r="M1382" s="115"/>
      <c r="N1382" s="115"/>
      <c r="O1382" s="115"/>
    </row>
    <row r="1383" ht="14.25" customHeight="1">
      <c r="M1383" s="115"/>
      <c r="N1383" s="115"/>
      <c r="O1383" s="115"/>
    </row>
    <row r="1384" ht="14.25" customHeight="1">
      <c r="M1384" s="115"/>
      <c r="N1384" s="115"/>
      <c r="O1384" s="115"/>
    </row>
    <row r="1385" ht="14.25" customHeight="1">
      <c r="M1385" s="115"/>
      <c r="N1385" s="115"/>
      <c r="O1385" s="115"/>
    </row>
    <row r="1386" ht="14.25" customHeight="1">
      <c r="M1386" s="115"/>
      <c r="N1386" s="115"/>
      <c r="O1386" s="115"/>
    </row>
    <row r="1387" ht="14.25" customHeight="1">
      <c r="M1387" s="115"/>
      <c r="N1387" s="115"/>
      <c r="O1387" s="115"/>
    </row>
    <row r="1388" ht="14.25" customHeight="1">
      <c r="M1388" s="115"/>
      <c r="N1388" s="115"/>
      <c r="O1388" s="115"/>
    </row>
    <row r="1389" ht="14.25" customHeight="1">
      <c r="M1389" s="115"/>
      <c r="N1389" s="115"/>
      <c r="O1389" s="115"/>
    </row>
    <row r="1390" ht="14.25" customHeight="1">
      <c r="M1390" s="115"/>
      <c r="N1390" s="115"/>
      <c r="O1390" s="115"/>
    </row>
    <row r="1391" ht="14.25" customHeight="1">
      <c r="M1391" s="115"/>
      <c r="N1391" s="115"/>
      <c r="O1391" s="115"/>
    </row>
    <row r="1392" ht="14.25" customHeight="1">
      <c r="M1392" s="115"/>
      <c r="N1392" s="115"/>
      <c r="O1392" s="115"/>
    </row>
    <row r="1393" ht="14.25" customHeight="1">
      <c r="M1393" s="115"/>
      <c r="N1393" s="115"/>
      <c r="O1393" s="115"/>
    </row>
    <row r="1394" ht="14.25" customHeight="1">
      <c r="M1394" s="115"/>
      <c r="N1394" s="115"/>
      <c r="O1394" s="115"/>
    </row>
    <row r="1395" ht="14.25" customHeight="1">
      <c r="M1395" s="115"/>
      <c r="N1395" s="115"/>
      <c r="O1395" s="115"/>
    </row>
    <row r="1396" ht="14.25" customHeight="1">
      <c r="M1396" s="115"/>
      <c r="N1396" s="115"/>
      <c r="O1396" s="115"/>
    </row>
    <row r="1397" ht="14.25" customHeight="1">
      <c r="M1397" s="115"/>
      <c r="N1397" s="115"/>
      <c r="O1397" s="115"/>
    </row>
    <row r="1398" ht="14.25" customHeight="1">
      <c r="M1398" s="115"/>
      <c r="N1398" s="115"/>
      <c r="O1398" s="115"/>
    </row>
    <row r="1399" ht="14.25" customHeight="1">
      <c r="M1399" s="115"/>
      <c r="N1399" s="115"/>
      <c r="O1399" s="115"/>
    </row>
    <row r="1400" ht="14.25" customHeight="1">
      <c r="M1400" s="115"/>
      <c r="N1400" s="115"/>
      <c r="O1400" s="115"/>
    </row>
    <row r="1401" ht="14.25" customHeight="1">
      <c r="M1401" s="115"/>
      <c r="N1401" s="115"/>
      <c r="O1401" s="115"/>
    </row>
    <row r="1402" ht="14.25" customHeight="1">
      <c r="M1402" s="115"/>
      <c r="N1402" s="115"/>
      <c r="O1402" s="115"/>
    </row>
    <row r="1403" ht="14.25" customHeight="1">
      <c r="M1403" s="115"/>
      <c r="N1403" s="115"/>
      <c r="O1403" s="115"/>
    </row>
    <row r="1404" ht="14.25" customHeight="1">
      <c r="M1404" s="115"/>
      <c r="N1404" s="115"/>
      <c r="O1404" s="115"/>
    </row>
    <row r="1405" ht="14.25" customHeight="1">
      <c r="M1405" s="115"/>
      <c r="N1405" s="115"/>
      <c r="O1405" s="115"/>
    </row>
    <row r="1406" ht="14.25" customHeight="1">
      <c r="M1406" s="115"/>
      <c r="N1406" s="115"/>
      <c r="O1406" s="115"/>
    </row>
    <row r="1407" ht="14.25" customHeight="1">
      <c r="M1407" s="115"/>
      <c r="N1407" s="115"/>
      <c r="O1407" s="115"/>
    </row>
    <row r="1408" ht="14.25" customHeight="1">
      <c r="M1408" s="115"/>
      <c r="N1408" s="115"/>
      <c r="O1408" s="115"/>
    </row>
    <row r="1409" ht="14.25" customHeight="1">
      <c r="M1409" s="115"/>
      <c r="N1409" s="115"/>
      <c r="O1409" s="115"/>
    </row>
    <row r="1410" ht="14.25" customHeight="1">
      <c r="M1410" s="115"/>
      <c r="N1410" s="115"/>
      <c r="O1410" s="115"/>
    </row>
    <row r="1411" ht="14.25" customHeight="1">
      <c r="M1411" s="115"/>
      <c r="N1411" s="115"/>
      <c r="O1411" s="115"/>
    </row>
    <row r="1412" ht="14.25" customHeight="1">
      <c r="M1412" s="115"/>
      <c r="N1412" s="115"/>
      <c r="O1412" s="115"/>
    </row>
    <row r="1413" ht="14.25" customHeight="1">
      <c r="M1413" s="115"/>
      <c r="N1413" s="115"/>
      <c r="O1413" s="115"/>
    </row>
    <row r="1414" ht="14.25" customHeight="1">
      <c r="M1414" s="115"/>
      <c r="N1414" s="115"/>
      <c r="O1414" s="115"/>
    </row>
    <row r="1415" ht="14.25" customHeight="1">
      <c r="M1415" s="115"/>
      <c r="N1415" s="115"/>
      <c r="O1415" s="115"/>
    </row>
    <row r="1416" ht="14.25" customHeight="1">
      <c r="M1416" s="115"/>
      <c r="N1416" s="115"/>
      <c r="O1416" s="115"/>
    </row>
    <row r="1417" ht="14.25" customHeight="1">
      <c r="M1417" s="115"/>
      <c r="N1417" s="115"/>
      <c r="O1417" s="115"/>
    </row>
    <row r="1418" ht="14.25" customHeight="1">
      <c r="M1418" s="115"/>
      <c r="N1418" s="115"/>
      <c r="O1418" s="115"/>
    </row>
    <row r="1419" ht="14.25" customHeight="1">
      <c r="M1419" s="115"/>
      <c r="N1419" s="115"/>
      <c r="O1419" s="115"/>
    </row>
    <row r="1420" ht="14.25" customHeight="1">
      <c r="M1420" s="115"/>
      <c r="N1420" s="115"/>
      <c r="O1420" s="115"/>
    </row>
    <row r="1421" ht="14.25" customHeight="1">
      <c r="M1421" s="115"/>
      <c r="N1421" s="115"/>
      <c r="O1421" s="115"/>
    </row>
    <row r="1422" ht="14.25" customHeight="1">
      <c r="M1422" s="115"/>
      <c r="N1422" s="115"/>
      <c r="O1422" s="115"/>
    </row>
    <row r="1423" ht="14.25" customHeight="1">
      <c r="M1423" s="115"/>
      <c r="N1423" s="115"/>
      <c r="O1423" s="115"/>
    </row>
    <row r="1424" ht="14.25" customHeight="1">
      <c r="M1424" s="115"/>
      <c r="N1424" s="115"/>
      <c r="O1424" s="115"/>
    </row>
    <row r="1425" ht="14.25" customHeight="1">
      <c r="M1425" s="115"/>
      <c r="N1425" s="115"/>
      <c r="O1425" s="115"/>
    </row>
    <row r="1426" ht="14.25" customHeight="1">
      <c r="M1426" s="115"/>
      <c r="N1426" s="115"/>
      <c r="O1426" s="115"/>
    </row>
    <row r="1427" ht="14.25" customHeight="1">
      <c r="M1427" s="115"/>
      <c r="N1427" s="115"/>
      <c r="O1427" s="115"/>
    </row>
    <row r="1428" ht="14.25" customHeight="1">
      <c r="M1428" s="115"/>
      <c r="N1428" s="115"/>
      <c r="O1428" s="115"/>
    </row>
    <row r="1429" ht="14.25" customHeight="1">
      <c r="M1429" s="115"/>
      <c r="N1429" s="115"/>
      <c r="O1429" s="115"/>
    </row>
    <row r="1430" ht="14.25" customHeight="1">
      <c r="M1430" s="115"/>
      <c r="N1430" s="115"/>
      <c r="O1430" s="115"/>
    </row>
    <row r="1431" ht="14.25" customHeight="1">
      <c r="M1431" s="115"/>
      <c r="N1431" s="115"/>
      <c r="O1431" s="115"/>
    </row>
    <row r="1432" ht="14.25" customHeight="1">
      <c r="M1432" s="115"/>
      <c r="N1432" s="115"/>
      <c r="O1432" s="115"/>
    </row>
    <row r="1433" ht="14.25" customHeight="1">
      <c r="M1433" s="115"/>
      <c r="N1433" s="115"/>
      <c r="O1433" s="115"/>
    </row>
    <row r="1434" ht="14.25" customHeight="1">
      <c r="M1434" s="115"/>
      <c r="N1434" s="115"/>
      <c r="O1434" s="115"/>
    </row>
    <row r="1435" ht="14.25" customHeight="1">
      <c r="M1435" s="115"/>
      <c r="N1435" s="115"/>
      <c r="O1435" s="115"/>
    </row>
    <row r="1436" ht="14.25" customHeight="1">
      <c r="M1436" s="115"/>
      <c r="N1436" s="115"/>
      <c r="O1436" s="115"/>
    </row>
    <row r="1437" ht="14.25" customHeight="1">
      <c r="M1437" s="115"/>
      <c r="N1437" s="115"/>
      <c r="O1437" s="115"/>
    </row>
    <row r="1438" ht="14.25" customHeight="1">
      <c r="M1438" s="115"/>
      <c r="N1438" s="115"/>
      <c r="O1438" s="115"/>
    </row>
    <row r="1439" ht="14.25" customHeight="1">
      <c r="M1439" s="115"/>
      <c r="N1439" s="115"/>
      <c r="O1439" s="115"/>
    </row>
    <row r="1440" ht="14.25" customHeight="1">
      <c r="M1440" s="115"/>
      <c r="N1440" s="115"/>
      <c r="O1440" s="115"/>
    </row>
    <row r="1441" ht="14.25" customHeight="1">
      <c r="M1441" s="115"/>
      <c r="N1441" s="115"/>
      <c r="O1441" s="115"/>
    </row>
    <row r="1442" ht="14.25" customHeight="1">
      <c r="M1442" s="115"/>
      <c r="N1442" s="115"/>
      <c r="O1442" s="115"/>
    </row>
    <row r="1443" ht="14.25" customHeight="1">
      <c r="M1443" s="115"/>
      <c r="N1443" s="115"/>
      <c r="O1443" s="115"/>
    </row>
    <row r="1444" ht="14.25" customHeight="1">
      <c r="M1444" s="115"/>
      <c r="N1444" s="115"/>
      <c r="O1444" s="115"/>
    </row>
    <row r="1445" ht="14.25" customHeight="1">
      <c r="M1445" s="115"/>
      <c r="N1445" s="115"/>
      <c r="O1445" s="115"/>
    </row>
    <row r="1446" ht="14.25" customHeight="1">
      <c r="M1446" s="115"/>
      <c r="N1446" s="115"/>
      <c r="O1446" s="115"/>
    </row>
    <row r="1447" ht="14.25" customHeight="1">
      <c r="M1447" s="115"/>
      <c r="N1447" s="115"/>
      <c r="O1447" s="115"/>
    </row>
    <row r="1448" ht="14.25" customHeight="1">
      <c r="M1448" s="115"/>
      <c r="N1448" s="115"/>
      <c r="O1448" s="115"/>
    </row>
    <row r="1449" ht="14.25" customHeight="1">
      <c r="M1449" s="115"/>
      <c r="N1449" s="115"/>
      <c r="O1449" s="115"/>
    </row>
    <row r="1450" ht="14.25" customHeight="1">
      <c r="M1450" s="115"/>
      <c r="N1450" s="115"/>
      <c r="O1450" s="115"/>
    </row>
    <row r="1451" ht="14.25" customHeight="1">
      <c r="M1451" s="115"/>
      <c r="N1451" s="115"/>
      <c r="O1451" s="115"/>
    </row>
    <row r="1452" ht="14.25" customHeight="1">
      <c r="M1452" s="115"/>
      <c r="N1452" s="115"/>
      <c r="O1452" s="115"/>
    </row>
    <row r="1453" ht="14.25" customHeight="1">
      <c r="M1453" s="115"/>
      <c r="N1453" s="115"/>
      <c r="O1453" s="115"/>
    </row>
    <row r="1454" ht="14.25" customHeight="1">
      <c r="M1454" s="115"/>
      <c r="N1454" s="115"/>
      <c r="O1454" s="115"/>
    </row>
    <row r="1455" ht="14.25" customHeight="1">
      <c r="M1455" s="115"/>
      <c r="N1455" s="115"/>
      <c r="O1455" s="115"/>
    </row>
    <row r="1456" ht="14.25" customHeight="1">
      <c r="M1456" s="115"/>
      <c r="N1456" s="115"/>
      <c r="O1456" s="115"/>
    </row>
    <row r="1457" ht="14.25" customHeight="1">
      <c r="M1457" s="115"/>
      <c r="N1457" s="115"/>
      <c r="O1457" s="115"/>
    </row>
    <row r="1458" ht="14.25" customHeight="1">
      <c r="M1458" s="115"/>
      <c r="N1458" s="115"/>
      <c r="O1458" s="115"/>
    </row>
    <row r="1459" ht="14.25" customHeight="1">
      <c r="M1459" s="115"/>
      <c r="N1459" s="115"/>
      <c r="O1459" s="115"/>
    </row>
    <row r="1460" ht="14.25" customHeight="1">
      <c r="M1460" s="115"/>
      <c r="N1460" s="115"/>
      <c r="O1460" s="115"/>
    </row>
    <row r="1461" ht="14.25" customHeight="1">
      <c r="M1461" s="115"/>
      <c r="N1461" s="115"/>
      <c r="O1461" s="115"/>
    </row>
    <row r="1462" ht="14.25" customHeight="1">
      <c r="M1462" s="115"/>
      <c r="N1462" s="115"/>
      <c r="O1462" s="115"/>
    </row>
    <row r="1463" ht="14.25" customHeight="1">
      <c r="M1463" s="115"/>
      <c r="N1463" s="115"/>
      <c r="O1463" s="115"/>
    </row>
    <row r="1464" ht="14.25" customHeight="1">
      <c r="M1464" s="115"/>
      <c r="N1464" s="115"/>
      <c r="O1464" s="115"/>
    </row>
    <row r="1465" ht="14.25" customHeight="1">
      <c r="M1465" s="115"/>
      <c r="N1465" s="115"/>
      <c r="O1465" s="115"/>
    </row>
    <row r="1466" ht="14.25" customHeight="1">
      <c r="M1466" s="115"/>
      <c r="N1466" s="115"/>
      <c r="O1466" s="115"/>
    </row>
    <row r="1467" ht="14.25" customHeight="1">
      <c r="M1467" s="115"/>
      <c r="N1467" s="115"/>
      <c r="O1467" s="115"/>
    </row>
    <row r="1468" ht="14.25" customHeight="1">
      <c r="M1468" s="115"/>
      <c r="N1468" s="115"/>
      <c r="O1468" s="115"/>
    </row>
    <row r="1469" ht="14.25" customHeight="1">
      <c r="M1469" s="115"/>
      <c r="N1469" s="115"/>
      <c r="O1469" s="115"/>
    </row>
    <row r="1470" ht="14.25" customHeight="1">
      <c r="M1470" s="115"/>
      <c r="N1470" s="115"/>
      <c r="O1470" s="115"/>
    </row>
    <row r="1471" ht="14.25" customHeight="1">
      <c r="M1471" s="115"/>
      <c r="N1471" s="115"/>
      <c r="O1471" s="115"/>
    </row>
    <row r="1472" ht="14.25" customHeight="1">
      <c r="M1472" s="115"/>
      <c r="N1472" s="115"/>
      <c r="O1472" s="115"/>
    </row>
    <row r="1473" ht="14.25" customHeight="1">
      <c r="M1473" s="115"/>
      <c r="N1473" s="115"/>
      <c r="O1473" s="115"/>
    </row>
    <row r="1474" ht="14.25" customHeight="1">
      <c r="M1474" s="115"/>
      <c r="N1474" s="115"/>
      <c r="O1474" s="115"/>
    </row>
    <row r="1475" ht="14.25" customHeight="1">
      <c r="M1475" s="115"/>
      <c r="N1475" s="115"/>
      <c r="O1475" s="115"/>
    </row>
    <row r="1476" ht="14.25" customHeight="1">
      <c r="M1476" s="115"/>
      <c r="N1476" s="115"/>
      <c r="O1476" s="115"/>
    </row>
    <row r="1477" ht="14.25" customHeight="1">
      <c r="M1477" s="115"/>
      <c r="N1477" s="115"/>
      <c r="O1477" s="115"/>
    </row>
    <row r="1478" ht="14.25" customHeight="1">
      <c r="M1478" s="115"/>
      <c r="N1478" s="115"/>
      <c r="O1478" s="115"/>
    </row>
    <row r="1479" ht="14.25" customHeight="1">
      <c r="M1479" s="115"/>
      <c r="N1479" s="115"/>
      <c r="O1479" s="115"/>
    </row>
    <row r="1480" ht="14.25" customHeight="1">
      <c r="M1480" s="115"/>
      <c r="N1480" s="115"/>
      <c r="O1480" s="115"/>
    </row>
    <row r="1481" ht="14.25" customHeight="1">
      <c r="M1481" s="115"/>
      <c r="N1481" s="115"/>
      <c r="O1481" s="115"/>
    </row>
    <row r="1482" ht="14.25" customHeight="1">
      <c r="M1482" s="115"/>
      <c r="N1482" s="115"/>
      <c r="O1482" s="115"/>
    </row>
    <row r="1483" ht="14.25" customHeight="1">
      <c r="M1483" s="115"/>
      <c r="N1483" s="115"/>
      <c r="O1483" s="115"/>
    </row>
    <row r="1484" ht="14.25" customHeight="1">
      <c r="M1484" s="115"/>
      <c r="N1484" s="115"/>
      <c r="O1484" s="115"/>
    </row>
    <row r="1485" ht="14.25" customHeight="1">
      <c r="M1485" s="115"/>
      <c r="N1485" s="115"/>
      <c r="O1485" s="115"/>
    </row>
    <row r="1486" ht="14.25" customHeight="1">
      <c r="M1486" s="115"/>
      <c r="N1486" s="115"/>
      <c r="O1486" s="115"/>
    </row>
    <row r="1487" ht="14.25" customHeight="1">
      <c r="M1487" s="115"/>
      <c r="N1487" s="115"/>
      <c r="O1487" s="115"/>
    </row>
    <row r="1488" ht="14.25" customHeight="1">
      <c r="M1488" s="115"/>
      <c r="N1488" s="115"/>
      <c r="O1488" s="115"/>
    </row>
    <row r="1489" ht="14.25" customHeight="1">
      <c r="M1489" s="115"/>
      <c r="N1489" s="115"/>
      <c r="O1489" s="115"/>
    </row>
    <row r="1490" ht="14.25" customHeight="1">
      <c r="M1490" s="115"/>
      <c r="N1490" s="115"/>
      <c r="O1490" s="115"/>
    </row>
    <row r="1491" ht="14.25" customHeight="1">
      <c r="M1491" s="115"/>
      <c r="N1491" s="115"/>
      <c r="O1491" s="115"/>
    </row>
    <row r="1492" ht="14.25" customHeight="1">
      <c r="M1492" s="115"/>
      <c r="N1492" s="115"/>
      <c r="O1492" s="115"/>
    </row>
    <row r="1493" ht="14.25" customHeight="1">
      <c r="M1493" s="115"/>
      <c r="N1493" s="115"/>
      <c r="O1493" s="115"/>
    </row>
    <row r="1494" ht="14.25" customHeight="1">
      <c r="M1494" s="115"/>
      <c r="N1494" s="115"/>
      <c r="O1494" s="115"/>
    </row>
    <row r="1495" ht="14.25" customHeight="1">
      <c r="M1495" s="115"/>
      <c r="N1495" s="115"/>
      <c r="O1495" s="115"/>
    </row>
    <row r="1496" ht="14.25" customHeight="1">
      <c r="M1496" s="115"/>
      <c r="N1496" s="115"/>
      <c r="O1496" s="115"/>
    </row>
    <row r="1497" ht="14.25" customHeight="1">
      <c r="M1497" s="115"/>
      <c r="N1497" s="115"/>
      <c r="O1497" s="115"/>
    </row>
    <row r="1498" ht="14.25" customHeight="1">
      <c r="M1498" s="115"/>
      <c r="N1498" s="115"/>
      <c r="O1498" s="115"/>
    </row>
    <row r="1499" ht="14.25" customHeight="1">
      <c r="M1499" s="115"/>
      <c r="N1499" s="115"/>
      <c r="O1499" s="115"/>
    </row>
    <row r="1500" ht="14.25" customHeight="1">
      <c r="M1500" s="115"/>
      <c r="N1500" s="115"/>
      <c r="O1500" s="115"/>
    </row>
    <row r="1501" ht="14.25" customHeight="1">
      <c r="M1501" s="115"/>
      <c r="N1501" s="115"/>
      <c r="O1501" s="115"/>
    </row>
    <row r="1502" ht="14.25" customHeight="1">
      <c r="M1502" s="115"/>
      <c r="N1502" s="115"/>
      <c r="O1502" s="115"/>
    </row>
    <row r="1503" ht="14.25" customHeight="1">
      <c r="M1503" s="115"/>
      <c r="N1503" s="115"/>
      <c r="O1503" s="115"/>
    </row>
    <row r="1504" ht="14.25" customHeight="1">
      <c r="M1504" s="115"/>
      <c r="N1504" s="115"/>
      <c r="O1504" s="115"/>
    </row>
    <row r="1505" ht="14.25" customHeight="1">
      <c r="M1505" s="115"/>
      <c r="N1505" s="115"/>
      <c r="O1505" s="115"/>
    </row>
    <row r="1506" ht="14.25" customHeight="1">
      <c r="M1506" s="115"/>
      <c r="N1506" s="115"/>
      <c r="O1506" s="115"/>
    </row>
    <row r="1507" ht="14.25" customHeight="1">
      <c r="M1507" s="115"/>
      <c r="N1507" s="115"/>
      <c r="O1507" s="115"/>
    </row>
    <row r="1508" ht="14.25" customHeight="1">
      <c r="M1508" s="115"/>
      <c r="N1508" s="115"/>
      <c r="O1508" s="115"/>
    </row>
    <row r="1509" ht="14.25" customHeight="1">
      <c r="M1509" s="115"/>
      <c r="N1509" s="115"/>
      <c r="O1509" s="115"/>
    </row>
    <row r="1510" ht="14.25" customHeight="1">
      <c r="M1510" s="115"/>
      <c r="N1510" s="115"/>
      <c r="O1510" s="115"/>
    </row>
    <row r="1511" ht="14.25" customHeight="1">
      <c r="M1511" s="115"/>
      <c r="N1511" s="115"/>
      <c r="O1511" s="115"/>
    </row>
    <row r="1512" ht="14.25" customHeight="1">
      <c r="M1512" s="115"/>
      <c r="N1512" s="115"/>
      <c r="O1512" s="115"/>
    </row>
    <row r="1513" ht="14.25" customHeight="1">
      <c r="M1513" s="115"/>
      <c r="N1513" s="115"/>
      <c r="O1513" s="115"/>
    </row>
    <row r="1514" ht="14.25" customHeight="1">
      <c r="M1514" s="115"/>
      <c r="N1514" s="115"/>
      <c r="O1514" s="115"/>
    </row>
    <row r="1515" ht="14.25" customHeight="1">
      <c r="M1515" s="115"/>
      <c r="N1515" s="115"/>
      <c r="O1515" s="115"/>
    </row>
    <row r="1516" ht="14.25" customHeight="1">
      <c r="M1516" s="115"/>
      <c r="N1516" s="115"/>
      <c r="O1516" s="115"/>
    </row>
    <row r="1517" ht="14.25" customHeight="1">
      <c r="M1517" s="115"/>
      <c r="N1517" s="115"/>
      <c r="O1517" s="115"/>
    </row>
    <row r="1518" ht="14.25" customHeight="1">
      <c r="M1518" s="115"/>
      <c r="N1518" s="115"/>
      <c r="O1518" s="115"/>
    </row>
    <row r="1519" ht="14.25" customHeight="1">
      <c r="M1519" s="115"/>
      <c r="N1519" s="115"/>
      <c r="O1519" s="115"/>
    </row>
    <row r="1520" ht="14.25" customHeight="1">
      <c r="M1520" s="115"/>
      <c r="N1520" s="115"/>
      <c r="O1520" s="115"/>
    </row>
    <row r="1521" ht="14.25" customHeight="1">
      <c r="M1521" s="115"/>
      <c r="N1521" s="115"/>
      <c r="O1521" s="115"/>
    </row>
    <row r="1522" ht="14.25" customHeight="1">
      <c r="M1522" s="115"/>
      <c r="N1522" s="115"/>
      <c r="O1522" s="115"/>
    </row>
    <row r="1523" ht="14.25" customHeight="1">
      <c r="M1523" s="115"/>
      <c r="N1523" s="115"/>
      <c r="O1523" s="115"/>
    </row>
    <row r="1524" ht="14.25" customHeight="1">
      <c r="M1524" s="115"/>
      <c r="N1524" s="115"/>
      <c r="O1524" s="115"/>
    </row>
    <row r="1525" ht="14.25" customHeight="1">
      <c r="M1525" s="115"/>
      <c r="N1525" s="115"/>
      <c r="O1525" s="115"/>
    </row>
    <row r="1526" ht="14.25" customHeight="1">
      <c r="M1526" s="115"/>
      <c r="N1526" s="115"/>
      <c r="O1526" s="115"/>
    </row>
    <row r="1527" ht="14.25" customHeight="1">
      <c r="M1527" s="115"/>
      <c r="N1527" s="115"/>
      <c r="O1527" s="115"/>
    </row>
    <row r="1528" ht="14.25" customHeight="1">
      <c r="M1528" s="115"/>
      <c r="N1528" s="115"/>
      <c r="O1528" s="115"/>
    </row>
    <row r="1529" ht="14.25" customHeight="1">
      <c r="M1529" s="115"/>
      <c r="N1529" s="115"/>
      <c r="O1529" s="115"/>
    </row>
    <row r="1530" ht="14.25" customHeight="1">
      <c r="M1530" s="115"/>
      <c r="N1530" s="115"/>
      <c r="O1530" s="115"/>
    </row>
    <row r="1531" ht="14.25" customHeight="1">
      <c r="M1531" s="115"/>
      <c r="N1531" s="115"/>
      <c r="O1531" s="115"/>
    </row>
    <row r="1532" ht="14.25" customHeight="1">
      <c r="M1532" s="115"/>
      <c r="N1532" s="115"/>
      <c r="O1532" s="115"/>
    </row>
    <row r="1533" ht="14.25" customHeight="1">
      <c r="M1533" s="115"/>
      <c r="N1533" s="115"/>
      <c r="O1533" s="115"/>
    </row>
    <row r="1534" ht="14.25" customHeight="1">
      <c r="M1534" s="115"/>
      <c r="N1534" s="115"/>
      <c r="O1534" s="115"/>
    </row>
    <row r="1535" ht="14.25" customHeight="1">
      <c r="M1535" s="115"/>
      <c r="N1535" s="115"/>
      <c r="O1535" s="115"/>
    </row>
    <row r="1536" ht="14.25" customHeight="1">
      <c r="M1536" s="115"/>
      <c r="N1536" s="115"/>
      <c r="O1536" s="115"/>
    </row>
    <row r="1537" ht="14.25" customHeight="1">
      <c r="M1537" s="115"/>
      <c r="N1537" s="115"/>
      <c r="O1537" s="115"/>
    </row>
    <row r="1538" ht="14.25" customHeight="1">
      <c r="M1538" s="115"/>
      <c r="N1538" s="115"/>
      <c r="O1538" s="115"/>
    </row>
    <row r="1539" ht="14.25" customHeight="1">
      <c r="M1539" s="115"/>
      <c r="N1539" s="115"/>
      <c r="O1539" s="115"/>
    </row>
    <row r="1540" ht="14.25" customHeight="1">
      <c r="M1540" s="115"/>
      <c r="N1540" s="115"/>
      <c r="O1540" s="115"/>
    </row>
    <row r="1541" ht="14.25" customHeight="1">
      <c r="M1541" s="115"/>
      <c r="N1541" s="115"/>
      <c r="O1541" s="115"/>
    </row>
    <row r="1542" ht="14.25" customHeight="1">
      <c r="M1542" s="115"/>
      <c r="N1542" s="115"/>
      <c r="O1542" s="115"/>
    </row>
    <row r="1543" ht="14.25" customHeight="1">
      <c r="M1543" s="115"/>
      <c r="N1543" s="115"/>
      <c r="O1543" s="115"/>
    </row>
    <row r="1544" ht="14.25" customHeight="1">
      <c r="M1544" s="115"/>
      <c r="N1544" s="115"/>
      <c r="O1544" s="115"/>
    </row>
    <row r="1545" ht="14.25" customHeight="1">
      <c r="M1545" s="115"/>
      <c r="N1545" s="115"/>
      <c r="O1545" s="115"/>
    </row>
    <row r="1546" ht="14.25" customHeight="1">
      <c r="M1546" s="115"/>
      <c r="N1546" s="115"/>
      <c r="O1546" s="115"/>
    </row>
    <row r="1547" ht="14.25" customHeight="1">
      <c r="M1547" s="115"/>
      <c r="N1547" s="115"/>
      <c r="O1547" s="115"/>
    </row>
    <row r="1548" ht="14.25" customHeight="1">
      <c r="M1548" s="115"/>
      <c r="N1548" s="115"/>
      <c r="O1548" s="115"/>
    </row>
    <row r="1549" ht="14.25" customHeight="1">
      <c r="M1549" s="115"/>
      <c r="N1549" s="115"/>
      <c r="O1549" s="115"/>
    </row>
    <row r="1550" ht="14.25" customHeight="1">
      <c r="M1550" s="115"/>
      <c r="N1550" s="115"/>
      <c r="O1550" s="115"/>
    </row>
    <row r="1551" ht="14.25" customHeight="1">
      <c r="M1551" s="115"/>
      <c r="N1551" s="115"/>
      <c r="O1551" s="115"/>
    </row>
    <row r="1552" ht="14.25" customHeight="1">
      <c r="M1552" s="115"/>
      <c r="N1552" s="115"/>
      <c r="O1552" s="115"/>
    </row>
    <row r="1553" ht="14.25" customHeight="1">
      <c r="M1553" s="115"/>
      <c r="N1553" s="115"/>
      <c r="O1553" s="115"/>
    </row>
    <row r="1554" ht="14.25" customHeight="1">
      <c r="M1554" s="115"/>
      <c r="N1554" s="115"/>
      <c r="O1554" s="115"/>
    </row>
    <row r="1555" ht="14.25" customHeight="1">
      <c r="M1555" s="115"/>
      <c r="N1555" s="115"/>
      <c r="O1555" s="115"/>
    </row>
    <row r="1556" ht="14.25" customHeight="1">
      <c r="M1556" s="115"/>
      <c r="N1556" s="115"/>
      <c r="O1556" s="115"/>
    </row>
    <row r="1557" ht="14.25" customHeight="1">
      <c r="M1557" s="115"/>
      <c r="N1557" s="115"/>
      <c r="O1557" s="115"/>
    </row>
    <row r="1558" ht="14.25" customHeight="1">
      <c r="M1558" s="115"/>
      <c r="N1558" s="115"/>
      <c r="O1558" s="115"/>
    </row>
    <row r="1559" ht="14.25" customHeight="1">
      <c r="M1559" s="115"/>
      <c r="N1559" s="115"/>
      <c r="O1559" s="115"/>
    </row>
    <row r="1560" ht="14.25" customHeight="1">
      <c r="M1560" s="115"/>
      <c r="N1560" s="115"/>
      <c r="O1560" s="115"/>
    </row>
    <row r="1561" ht="14.25" customHeight="1">
      <c r="M1561" s="115"/>
      <c r="N1561" s="115"/>
      <c r="O1561" s="115"/>
    </row>
    <row r="1562" ht="14.25" customHeight="1">
      <c r="M1562" s="115"/>
      <c r="N1562" s="115"/>
      <c r="O1562" s="115"/>
    </row>
    <row r="1563" ht="14.25" customHeight="1">
      <c r="M1563" s="115"/>
      <c r="N1563" s="115"/>
      <c r="O1563" s="115"/>
    </row>
    <row r="1564" ht="14.25" customHeight="1">
      <c r="M1564" s="115"/>
      <c r="N1564" s="115"/>
      <c r="O1564" s="115"/>
    </row>
    <row r="1565" ht="14.25" customHeight="1">
      <c r="M1565" s="115"/>
      <c r="N1565" s="115"/>
      <c r="O1565" s="115"/>
    </row>
    <row r="1566" ht="14.25" customHeight="1">
      <c r="M1566" s="115"/>
      <c r="N1566" s="115"/>
      <c r="O1566" s="115"/>
    </row>
    <row r="1567" ht="14.25" customHeight="1">
      <c r="M1567" s="115"/>
      <c r="N1567" s="115"/>
      <c r="O1567" s="115"/>
    </row>
    <row r="1568" ht="14.25" customHeight="1">
      <c r="M1568" s="115"/>
      <c r="N1568" s="115"/>
      <c r="O1568" s="115"/>
    </row>
    <row r="1569" ht="14.25" customHeight="1">
      <c r="M1569" s="115"/>
      <c r="N1569" s="115"/>
      <c r="O1569" s="115"/>
    </row>
    <row r="1570" ht="14.25" customHeight="1">
      <c r="M1570" s="115"/>
      <c r="N1570" s="115"/>
      <c r="O1570" s="115"/>
    </row>
    <row r="1571" ht="14.25" customHeight="1">
      <c r="M1571" s="115"/>
      <c r="N1571" s="115"/>
      <c r="O1571" s="115"/>
    </row>
    <row r="1572" ht="14.25" customHeight="1">
      <c r="M1572" s="115"/>
      <c r="N1572" s="115"/>
      <c r="O1572" s="115"/>
    </row>
    <row r="1573" ht="14.25" customHeight="1">
      <c r="M1573" s="115"/>
      <c r="N1573" s="115"/>
      <c r="O1573" s="115"/>
    </row>
    <row r="1574" ht="14.25" customHeight="1">
      <c r="M1574" s="115"/>
      <c r="N1574" s="115"/>
      <c r="O1574" s="115"/>
    </row>
    <row r="1575" ht="14.25" customHeight="1">
      <c r="M1575" s="115"/>
      <c r="N1575" s="115"/>
      <c r="O1575" s="115"/>
    </row>
    <row r="1576" ht="14.25" customHeight="1">
      <c r="M1576" s="115"/>
      <c r="N1576" s="115"/>
      <c r="O1576" s="115"/>
    </row>
    <row r="1577" ht="14.25" customHeight="1">
      <c r="M1577" s="115"/>
      <c r="N1577" s="115"/>
      <c r="O1577" s="115"/>
    </row>
    <row r="1578" ht="14.25" customHeight="1">
      <c r="M1578" s="115"/>
      <c r="N1578" s="115"/>
      <c r="O1578" s="115"/>
    </row>
    <row r="1579" ht="14.25" customHeight="1">
      <c r="M1579" s="115"/>
      <c r="N1579" s="115"/>
      <c r="O1579" s="115"/>
    </row>
    <row r="1580" ht="14.25" customHeight="1">
      <c r="M1580" s="115"/>
      <c r="N1580" s="115"/>
      <c r="O1580" s="115"/>
    </row>
    <row r="1581" ht="14.25" customHeight="1">
      <c r="M1581" s="115"/>
      <c r="N1581" s="115"/>
      <c r="O1581" s="115"/>
    </row>
    <row r="1582" ht="14.25" customHeight="1">
      <c r="M1582" s="115"/>
      <c r="N1582" s="115"/>
      <c r="O1582" s="115"/>
    </row>
    <row r="1583" ht="14.25" customHeight="1">
      <c r="M1583" s="115"/>
      <c r="N1583" s="115"/>
      <c r="O1583" s="115"/>
    </row>
    <row r="1584" ht="14.25" customHeight="1">
      <c r="M1584" s="115"/>
      <c r="N1584" s="115"/>
      <c r="O1584" s="115"/>
    </row>
    <row r="1585" ht="14.25" customHeight="1">
      <c r="M1585" s="115"/>
      <c r="N1585" s="115"/>
      <c r="O1585" s="115"/>
    </row>
    <row r="1586" ht="14.25" customHeight="1">
      <c r="M1586" s="115"/>
      <c r="N1586" s="115"/>
      <c r="O1586" s="115"/>
    </row>
    <row r="1587" ht="14.25" customHeight="1">
      <c r="M1587" s="115"/>
      <c r="N1587" s="115"/>
      <c r="O1587" s="115"/>
    </row>
    <row r="1588" ht="14.25" customHeight="1">
      <c r="M1588" s="115"/>
      <c r="N1588" s="115"/>
      <c r="O1588" s="115"/>
    </row>
    <row r="1589" ht="14.25" customHeight="1">
      <c r="M1589" s="115"/>
      <c r="N1589" s="115"/>
      <c r="O1589" s="115"/>
    </row>
    <row r="1590" ht="14.25" customHeight="1">
      <c r="M1590" s="115"/>
      <c r="N1590" s="115"/>
      <c r="O1590" s="115"/>
    </row>
    <row r="1591" ht="14.25" customHeight="1">
      <c r="M1591" s="115"/>
      <c r="N1591" s="115"/>
      <c r="O1591" s="115"/>
    </row>
    <row r="1592" ht="14.25" customHeight="1">
      <c r="M1592" s="115"/>
      <c r="N1592" s="115"/>
      <c r="O1592" s="115"/>
    </row>
    <row r="1593" ht="14.25" customHeight="1">
      <c r="M1593" s="115"/>
      <c r="N1593" s="115"/>
      <c r="O1593" s="115"/>
    </row>
    <row r="1594" ht="14.25" customHeight="1">
      <c r="M1594" s="115"/>
      <c r="N1594" s="115"/>
      <c r="O1594" s="115"/>
    </row>
    <row r="1595" ht="14.25" customHeight="1">
      <c r="M1595" s="115"/>
      <c r="N1595" s="115"/>
      <c r="O1595" s="115"/>
    </row>
    <row r="1596" ht="14.25" customHeight="1">
      <c r="M1596" s="115"/>
      <c r="N1596" s="115"/>
      <c r="O1596" s="115"/>
    </row>
    <row r="1597" ht="14.25" customHeight="1">
      <c r="M1597" s="115"/>
      <c r="N1597" s="115"/>
      <c r="O1597" s="115"/>
    </row>
    <row r="1598" ht="14.25" customHeight="1">
      <c r="M1598" s="115"/>
      <c r="N1598" s="115"/>
      <c r="O1598" s="115"/>
    </row>
    <row r="1599" ht="14.25" customHeight="1">
      <c r="M1599" s="115"/>
      <c r="N1599" s="115"/>
      <c r="O1599" s="115"/>
    </row>
    <row r="1600" ht="14.25" customHeight="1">
      <c r="M1600" s="115"/>
      <c r="N1600" s="115"/>
      <c r="O1600" s="115"/>
    </row>
    <row r="1601" ht="14.25" customHeight="1">
      <c r="M1601" s="115"/>
      <c r="N1601" s="115"/>
      <c r="O1601" s="115"/>
    </row>
    <row r="1602" ht="14.25" customHeight="1">
      <c r="M1602" s="115"/>
      <c r="N1602" s="115"/>
      <c r="O1602" s="115"/>
    </row>
    <row r="1603" ht="14.25" customHeight="1">
      <c r="M1603" s="115"/>
      <c r="N1603" s="115"/>
      <c r="O1603" s="115"/>
    </row>
    <row r="1604" ht="14.25" customHeight="1">
      <c r="M1604" s="115"/>
      <c r="N1604" s="115"/>
      <c r="O1604" s="115"/>
    </row>
    <row r="1605" ht="14.25" customHeight="1">
      <c r="M1605" s="115"/>
      <c r="N1605" s="115"/>
      <c r="O1605" s="115"/>
    </row>
    <row r="1606" ht="14.25" customHeight="1">
      <c r="M1606" s="115"/>
      <c r="N1606" s="115"/>
      <c r="O1606" s="115"/>
    </row>
    <row r="1607" ht="14.25" customHeight="1">
      <c r="M1607" s="115"/>
      <c r="N1607" s="115"/>
      <c r="O1607" s="115"/>
    </row>
    <row r="1608" ht="14.25" customHeight="1">
      <c r="M1608" s="115"/>
      <c r="N1608" s="115"/>
      <c r="O1608" s="115"/>
    </row>
    <row r="1609" ht="14.25" customHeight="1">
      <c r="M1609" s="115"/>
      <c r="N1609" s="115"/>
      <c r="O1609" s="115"/>
    </row>
    <row r="1610" ht="14.25" customHeight="1">
      <c r="M1610" s="115"/>
      <c r="N1610" s="115"/>
      <c r="O1610" s="115"/>
    </row>
    <row r="1611" ht="14.25" customHeight="1">
      <c r="M1611" s="115"/>
      <c r="N1611" s="115"/>
      <c r="O1611" s="115"/>
    </row>
    <row r="1612" ht="14.25" customHeight="1">
      <c r="M1612" s="115"/>
      <c r="N1612" s="115"/>
      <c r="O1612" s="115"/>
    </row>
    <row r="1613" ht="14.25" customHeight="1">
      <c r="M1613" s="115"/>
      <c r="N1613" s="115"/>
      <c r="O1613" s="115"/>
    </row>
    <row r="1614" ht="14.25" customHeight="1">
      <c r="M1614" s="115"/>
      <c r="N1614" s="115"/>
      <c r="O1614" s="115"/>
    </row>
    <row r="1615" ht="14.25" customHeight="1">
      <c r="M1615" s="115"/>
      <c r="N1615" s="115"/>
      <c r="O1615" s="115"/>
    </row>
    <row r="1616" ht="14.25" customHeight="1">
      <c r="M1616" s="115"/>
      <c r="N1616" s="115"/>
      <c r="O1616" s="115"/>
    </row>
    <row r="1617" ht="14.25" customHeight="1">
      <c r="M1617" s="115"/>
      <c r="N1617" s="115"/>
      <c r="O1617" s="115"/>
    </row>
    <row r="1618" ht="14.25" customHeight="1">
      <c r="M1618" s="115"/>
      <c r="N1618" s="115"/>
      <c r="O1618" s="115"/>
    </row>
    <row r="1619" ht="14.25" customHeight="1">
      <c r="M1619" s="115"/>
      <c r="N1619" s="115"/>
      <c r="O1619" s="115"/>
    </row>
    <row r="1620" ht="14.25" customHeight="1">
      <c r="M1620" s="115"/>
      <c r="N1620" s="115"/>
      <c r="O1620" s="115"/>
    </row>
    <row r="1621" ht="14.25" customHeight="1">
      <c r="M1621" s="115"/>
      <c r="N1621" s="115"/>
      <c r="O1621" s="115"/>
    </row>
    <row r="1622" ht="14.25" customHeight="1">
      <c r="M1622" s="115"/>
      <c r="N1622" s="115"/>
      <c r="O1622" s="115"/>
    </row>
    <row r="1623" ht="14.25" customHeight="1">
      <c r="M1623" s="115"/>
      <c r="N1623" s="115"/>
      <c r="O1623" s="115"/>
    </row>
    <row r="1624" ht="14.25" customHeight="1">
      <c r="M1624" s="115"/>
      <c r="N1624" s="115"/>
      <c r="O1624" s="115"/>
    </row>
    <row r="1625" ht="14.25" customHeight="1">
      <c r="M1625" s="115"/>
      <c r="N1625" s="115"/>
      <c r="O1625" s="115"/>
    </row>
    <row r="1626" ht="14.25" customHeight="1">
      <c r="M1626" s="115"/>
      <c r="N1626" s="115"/>
      <c r="O1626" s="115"/>
    </row>
    <row r="1627" ht="14.25" customHeight="1">
      <c r="M1627" s="115"/>
      <c r="N1627" s="115"/>
      <c r="O1627" s="115"/>
    </row>
    <row r="1628" ht="14.25" customHeight="1">
      <c r="M1628" s="115"/>
      <c r="N1628" s="115"/>
      <c r="O1628" s="115"/>
    </row>
    <row r="1629" ht="14.25" customHeight="1">
      <c r="M1629" s="115"/>
      <c r="N1629" s="115"/>
      <c r="O1629" s="115"/>
    </row>
    <row r="1630" ht="14.25" customHeight="1">
      <c r="M1630" s="115"/>
      <c r="N1630" s="115"/>
      <c r="O1630" s="115"/>
    </row>
    <row r="1631" ht="14.25" customHeight="1">
      <c r="M1631" s="115"/>
      <c r="N1631" s="115"/>
      <c r="O1631" s="115"/>
    </row>
    <row r="1632" ht="14.25" customHeight="1">
      <c r="M1632" s="115"/>
      <c r="N1632" s="115"/>
      <c r="O1632" s="115"/>
    </row>
    <row r="1633" ht="14.25" customHeight="1">
      <c r="M1633" s="115"/>
      <c r="N1633" s="115"/>
      <c r="O1633" s="115"/>
    </row>
    <row r="1634" ht="14.25" customHeight="1">
      <c r="M1634" s="115"/>
      <c r="N1634" s="115"/>
      <c r="O1634" s="115"/>
    </row>
    <row r="1635" ht="14.25" customHeight="1">
      <c r="M1635" s="115"/>
      <c r="N1635" s="115"/>
      <c r="O1635" s="115"/>
    </row>
    <row r="1636" ht="14.25" customHeight="1">
      <c r="M1636" s="115"/>
      <c r="N1636" s="115"/>
      <c r="O1636" s="115"/>
    </row>
    <row r="1637" ht="14.25" customHeight="1">
      <c r="M1637" s="115"/>
      <c r="N1637" s="115"/>
      <c r="O1637" s="115"/>
    </row>
    <row r="1638" ht="14.25" customHeight="1">
      <c r="M1638" s="115"/>
      <c r="N1638" s="115"/>
      <c r="O1638" s="115"/>
    </row>
    <row r="1639" ht="14.25" customHeight="1">
      <c r="M1639" s="115"/>
      <c r="N1639" s="115"/>
      <c r="O1639" s="115"/>
    </row>
    <row r="1640" ht="14.25" customHeight="1">
      <c r="M1640" s="115"/>
      <c r="N1640" s="115"/>
      <c r="O1640" s="115"/>
    </row>
    <row r="1641" ht="14.25" customHeight="1">
      <c r="M1641" s="115"/>
      <c r="N1641" s="115"/>
      <c r="O1641" s="115"/>
    </row>
    <row r="1642" ht="14.25" customHeight="1">
      <c r="M1642" s="115"/>
      <c r="N1642" s="115"/>
      <c r="O1642" s="115"/>
    </row>
    <row r="1643" ht="14.25" customHeight="1">
      <c r="M1643" s="115"/>
      <c r="N1643" s="115"/>
      <c r="O1643" s="115"/>
    </row>
    <row r="1644" ht="14.25" customHeight="1">
      <c r="M1644" s="115"/>
      <c r="N1644" s="115"/>
      <c r="O1644" s="115"/>
    </row>
    <row r="1645" ht="14.25" customHeight="1">
      <c r="M1645" s="115"/>
      <c r="N1645" s="115"/>
      <c r="O1645" s="115"/>
    </row>
    <row r="1646" ht="14.25" customHeight="1">
      <c r="M1646" s="115"/>
      <c r="N1646" s="115"/>
      <c r="O1646" s="115"/>
    </row>
    <row r="1647" ht="14.25" customHeight="1">
      <c r="M1647" s="115"/>
      <c r="N1647" s="115"/>
      <c r="O1647" s="115"/>
    </row>
    <row r="1648" ht="14.25" customHeight="1">
      <c r="M1648" s="115"/>
      <c r="N1648" s="115"/>
      <c r="O1648" s="115"/>
    </row>
    <row r="1649" ht="14.25" customHeight="1">
      <c r="M1649" s="115"/>
      <c r="N1649" s="115"/>
      <c r="O1649" s="115"/>
    </row>
    <row r="1650" ht="14.25" customHeight="1">
      <c r="M1650" s="115"/>
      <c r="N1650" s="115"/>
      <c r="O1650" s="115"/>
    </row>
    <row r="1651" ht="14.25" customHeight="1">
      <c r="M1651" s="115"/>
      <c r="N1651" s="115"/>
      <c r="O1651" s="115"/>
    </row>
    <row r="1652" ht="14.25" customHeight="1">
      <c r="M1652" s="115"/>
      <c r="N1652" s="115"/>
      <c r="O1652" s="115"/>
    </row>
    <row r="1653" ht="14.25" customHeight="1">
      <c r="M1653" s="115"/>
      <c r="N1653" s="115"/>
      <c r="O1653" s="115"/>
    </row>
    <row r="1654" ht="14.25" customHeight="1">
      <c r="M1654" s="115"/>
      <c r="N1654" s="115"/>
      <c r="O1654" s="115"/>
    </row>
    <row r="1655" ht="14.25" customHeight="1">
      <c r="M1655" s="115"/>
      <c r="N1655" s="115"/>
      <c r="O1655" s="115"/>
    </row>
    <row r="1656" ht="14.25" customHeight="1">
      <c r="M1656" s="115"/>
      <c r="N1656" s="115"/>
      <c r="O1656" s="115"/>
    </row>
    <row r="1657" ht="14.25" customHeight="1">
      <c r="M1657" s="115"/>
      <c r="N1657" s="115"/>
      <c r="O1657" s="115"/>
    </row>
    <row r="1658" ht="14.25" customHeight="1">
      <c r="M1658" s="115"/>
      <c r="N1658" s="115"/>
      <c r="O1658" s="115"/>
    </row>
    <row r="1659" ht="14.25" customHeight="1">
      <c r="M1659" s="115"/>
      <c r="N1659" s="115"/>
      <c r="O1659" s="115"/>
    </row>
    <row r="1660" ht="14.25" customHeight="1">
      <c r="M1660" s="115"/>
      <c r="N1660" s="115"/>
      <c r="O1660" s="115"/>
    </row>
    <row r="1661" ht="14.25" customHeight="1">
      <c r="M1661" s="115"/>
      <c r="N1661" s="115"/>
      <c r="O1661" s="115"/>
    </row>
    <row r="1662" ht="14.25" customHeight="1">
      <c r="M1662" s="115"/>
      <c r="N1662" s="115"/>
      <c r="O1662" s="115"/>
    </row>
    <row r="1663" ht="14.25" customHeight="1">
      <c r="M1663" s="115"/>
      <c r="N1663" s="115"/>
      <c r="O1663" s="115"/>
    </row>
    <row r="1664" ht="14.25" customHeight="1">
      <c r="M1664" s="115"/>
      <c r="N1664" s="115"/>
      <c r="O1664" s="115"/>
    </row>
    <row r="1665" ht="14.25" customHeight="1">
      <c r="M1665" s="115"/>
      <c r="N1665" s="115"/>
      <c r="O1665" s="115"/>
    </row>
    <row r="1666" ht="14.25" customHeight="1">
      <c r="M1666" s="115"/>
      <c r="N1666" s="115"/>
      <c r="O1666" s="115"/>
    </row>
    <row r="1667" ht="14.25" customHeight="1">
      <c r="M1667" s="115"/>
      <c r="N1667" s="115"/>
      <c r="O1667" s="115"/>
    </row>
    <row r="1668" ht="14.25" customHeight="1">
      <c r="M1668" s="115"/>
      <c r="N1668" s="115"/>
      <c r="O1668" s="115"/>
    </row>
    <row r="1669" ht="14.25" customHeight="1">
      <c r="M1669" s="115"/>
      <c r="N1669" s="115"/>
      <c r="O1669" s="115"/>
    </row>
    <row r="1670" ht="14.25" customHeight="1">
      <c r="M1670" s="115"/>
      <c r="N1670" s="115"/>
      <c r="O1670" s="115"/>
    </row>
    <row r="1671" ht="14.25" customHeight="1">
      <c r="M1671" s="115"/>
      <c r="N1671" s="115"/>
      <c r="O1671" s="115"/>
    </row>
    <row r="1672" ht="14.25" customHeight="1">
      <c r="M1672" s="115"/>
      <c r="N1672" s="115"/>
      <c r="O1672" s="115"/>
    </row>
    <row r="1673" ht="14.25" customHeight="1">
      <c r="M1673" s="115"/>
      <c r="N1673" s="115"/>
      <c r="O1673" s="115"/>
    </row>
    <row r="1674" ht="14.25" customHeight="1">
      <c r="M1674" s="115"/>
      <c r="N1674" s="115"/>
      <c r="O1674" s="115"/>
    </row>
    <row r="1675" ht="14.25" customHeight="1">
      <c r="M1675" s="115"/>
      <c r="N1675" s="115"/>
      <c r="O1675" s="115"/>
    </row>
    <row r="1676" ht="14.25" customHeight="1">
      <c r="M1676" s="115"/>
      <c r="N1676" s="115"/>
      <c r="O1676" s="115"/>
    </row>
    <row r="1677" ht="14.25" customHeight="1">
      <c r="M1677" s="115"/>
      <c r="N1677" s="115"/>
      <c r="O1677" s="115"/>
    </row>
    <row r="1678" ht="14.25" customHeight="1">
      <c r="M1678" s="115"/>
      <c r="N1678" s="115"/>
      <c r="O1678" s="115"/>
    </row>
    <row r="1679" ht="14.25" customHeight="1">
      <c r="M1679" s="115"/>
      <c r="N1679" s="115"/>
      <c r="O1679" s="115"/>
    </row>
    <row r="1680" ht="14.25" customHeight="1">
      <c r="M1680" s="115"/>
      <c r="N1680" s="115"/>
      <c r="O1680" s="115"/>
    </row>
    <row r="1681" ht="14.25" customHeight="1">
      <c r="M1681" s="115"/>
      <c r="N1681" s="115"/>
      <c r="O1681" s="115"/>
    </row>
    <row r="1682" ht="14.25" customHeight="1">
      <c r="M1682" s="115"/>
      <c r="N1682" s="115"/>
      <c r="O1682" s="115"/>
    </row>
    <row r="1683" ht="14.25" customHeight="1">
      <c r="M1683" s="115"/>
      <c r="N1683" s="115"/>
      <c r="O1683" s="115"/>
    </row>
    <row r="1684" ht="14.25" customHeight="1">
      <c r="M1684" s="115"/>
      <c r="N1684" s="115"/>
      <c r="O1684" s="115"/>
    </row>
    <row r="1685" ht="14.25" customHeight="1">
      <c r="M1685" s="115"/>
      <c r="N1685" s="115"/>
      <c r="O1685" s="115"/>
    </row>
    <row r="1686" ht="14.25" customHeight="1">
      <c r="M1686" s="115"/>
      <c r="N1686" s="115"/>
      <c r="O1686" s="115"/>
    </row>
    <row r="1687" ht="14.25" customHeight="1">
      <c r="M1687" s="115"/>
      <c r="N1687" s="115"/>
      <c r="O1687" s="115"/>
    </row>
    <row r="1688" ht="14.25" customHeight="1">
      <c r="M1688" s="115"/>
      <c r="N1688" s="115"/>
      <c r="O1688" s="115"/>
    </row>
    <row r="1689" ht="14.25" customHeight="1">
      <c r="M1689" s="115"/>
      <c r="N1689" s="115"/>
      <c r="O1689" s="115"/>
    </row>
    <row r="1690" ht="14.25" customHeight="1">
      <c r="M1690" s="115"/>
      <c r="N1690" s="115"/>
      <c r="O1690" s="115"/>
    </row>
    <row r="1691" ht="14.25" customHeight="1">
      <c r="M1691" s="115"/>
      <c r="N1691" s="115"/>
      <c r="O1691" s="115"/>
    </row>
    <row r="1692" ht="14.25" customHeight="1">
      <c r="M1692" s="115"/>
      <c r="N1692" s="115"/>
      <c r="O1692" s="115"/>
    </row>
    <row r="1693" ht="14.25" customHeight="1">
      <c r="M1693" s="115"/>
      <c r="N1693" s="115"/>
      <c r="O1693" s="115"/>
    </row>
    <row r="1694" ht="14.25" customHeight="1">
      <c r="M1694" s="115"/>
      <c r="N1694" s="115"/>
      <c r="O1694" s="115"/>
    </row>
    <row r="1695" ht="14.25" customHeight="1">
      <c r="M1695" s="115"/>
      <c r="N1695" s="115"/>
      <c r="O1695" s="115"/>
    </row>
    <row r="1696" ht="14.25" customHeight="1">
      <c r="M1696" s="115"/>
      <c r="N1696" s="115"/>
      <c r="O1696" s="115"/>
    </row>
    <row r="1697" ht="14.25" customHeight="1">
      <c r="M1697" s="115"/>
      <c r="N1697" s="115"/>
      <c r="O1697" s="115"/>
    </row>
    <row r="1698" ht="14.25" customHeight="1">
      <c r="M1698" s="115"/>
      <c r="N1698" s="115"/>
      <c r="O1698" s="115"/>
    </row>
    <row r="1699" ht="14.25" customHeight="1">
      <c r="M1699" s="115"/>
      <c r="N1699" s="115"/>
      <c r="O1699" s="115"/>
    </row>
    <row r="1700" ht="14.25" customHeight="1">
      <c r="M1700" s="115"/>
      <c r="N1700" s="115"/>
      <c r="O1700" s="115"/>
    </row>
    <row r="1701" ht="14.25" customHeight="1">
      <c r="M1701" s="115"/>
      <c r="N1701" s="115"/>
      <c r="O1701" s="115"/>
    </row>
    <row r="1702" ht="14.25" customHeight="1">
      <c r="M1702" s="115"/>
      <c r="N1702" s="115"/>
      <c r="O1702" s="115"/>
    </row>
    <row r="1703" ht="14.25" customHeight="1">
      <c r="M1703" s="115"/>
      <c r="N1703" s="115"/>
      <c r="O1703" s="115"/>
    </row>
    <row r="1704" ht="14.25" customHeight="1">
      <c r="M1704" s="115"/>
      <c r="N1704" s="115"/>
      <c r="O1704" s="115"/>
    </row>
    <row r="1705" ht="14.25" customHeight="1">
      <c r="M1705" s="115"/>
      <c r="N1705" s="115"/>
      <c r="O1705" s="115"/>
    </row>
    <row r="1706" ht="14.25" customHeight="1">
      <c r="M1706" s="115"/>
      <c r="N1706" s="115"/>
      <c r="O1706" s="115"/>
    </row>
    <row r="1707" ht="14.25" customHeight="1">
      <c r="M1707" s="115"/>
      <c r="N1707" s="115"/>
      <c r="O1707" s="115"/>
    </row>
    <row r="1708" ht="14.25" customHeight="1">
      <c r="M1708" s="115"/>
      <c r="N1708" s="115"/>
      <c r="O1708" s="115"/>
    </row>
    <row r="1709" ht="14.25" customHeight="1">
      <c r="M1709" s="115"/>
      <c r="N1709" s="115"/>
      <c r="O1709" s="115"/>
    </row>
    <row r="1710" ht="14.25" customHeight="1">
      <c r="M1710" s="115"/>
      <c r="N1710" s="115"/>
      <c r="O1710" s="115"/>
    </row>
    <row r="1711" ht="14.25" customHeight="1">
      <c r="M1711" s="115"/>
      <c r="N1711" s="115"/>
      <c r="O1711" s="115"/>
    </row>
    <row r="1712" ht="14.25" customHeight="1">
      <c r="M1712" s="115"/>
      <c r="N1712" s="115"/>
      <c r="O1712" s="115"/>
    </row>
    <row r="1713" ht="14.25" customHeight="1">
      <c r="M1713" s="115"/>
      <c r="N1713" s="115"/>
      <c r="O1713" s="115"/>
    </row>
    <row r="1714" ht="14.25" customHeight="1">
      <c r="M1714" s="115"/>
      <c r="N1714" s="115"/>
      <c r="O1714" s="115"/>
    </row>
    <row r="1715" ht="14.25" customHeight="1">
      <c r="M1715" s="115"/>
      <c r="N1715" s="115"/>
      <c r="O1715" s="115"/>
    </row>
    <row r="1716" ht="14.25" customHeight="1">
      <c r="M1716" s="115"/>
      <c r="N1716" s="115"/>
      <c r="O1716" s="115"/>
    </row>
    <row r="1717" ht="14.25" customHeight="1">
      <c r="M1717" s="115"/>
      <c r="N1717" s="115"/>
      <c r="O1717" s="115"/>
    </row>
    <row r="1718" ht="14.25" customHeight="1">
      <c r="M1718" s="115"/>
      <c r="N1718" s="115"/>
      <c r="O1718" s="115"/>
    </row>
    <row r="1719" ht="14.25" customHeight="1">
      <c r="M1719" s="115"/>
      <c r="N1719" s="115"/>
      <c r="O1719" s="115"/>
    </row>
    <row r="1720" ht="14.25" customHeight="1">
      <c r="M1720" s="115"/>
      <c r="N1720" s="115"/>
      <c r="O1720" s="115"/>
    </row>
    <row r="1721" ht="14.25" customHeight="1">
      <c r="M1721" s="115"/>
      <c r="N1721" s="115"/>
      <c r="O1721" s="115"/>
    </row>
    <row r="1722" ht="14.25" customHeight="1">
      <c r="M1722" s="115"/>
      <c r="N1722" s="115"/>
      <c r="O1722" s="115"/>
    </row>
    <row r="1723" ht="14.25" customHeight="1">
      <c r="M1723" s="115"/>
      <c r="N1723" s="115"/>
      <c r="O1723" s="115"/>
    </row>
    <row r="1724" ht="14.25" customHeight="1">
      <c r="M1724" s="115"/>
      <c r="N1724" s="115"/>
      <c r="O1724" s="115"/>
    </row>
    <row r="1725" ht="14.25" customHeight="1">
      <c r="M1725" s="115"/>
      <c r="N1725" s="115"/>
      <c r="O1725" s="115"/>
    </row>
    <row r="1726" ht="14.25" customHeight="1">
      <c r="M1726" s="115"/>
      <c r="N1726" s="115"/>
      <c r="O1726" s="115"/>
    </row>
    <row r="1727" ht="14.25" customHeight="1">
      <c r="M1727" s="115"/>
      <c r="N1727" s="115"/>
      <c r="O1727" s="115"/>
    </row>
    <row r="1728" ht="14.25" customHeight="1">
      <c r="M1728" s="115"/>
      <c r="N1728" s="115"/>
      <c r="O1728" s="115"/>
    </row>
    <row r="1729" ht="14.25" customHeight="1">
      <c r="M1729" s="115"/>
      <c r="N1729" s="115"/>
      <c r="O1729" s="115"/>
    </row>
    <row r="1730" ht="14.25" customHeight="1">
      <c r="M1730" s="115"/>
      <c r="N1730" s="115"/>
      <c r="O1730" s="115"/>
    </row>
    <row r="1731" ht="14.25" customHeight="1">
      <c r="M1731" s="115"/>
      <c r="N1731" s="115"/>
      <c r="O1731" s="115"/>
    </row>
    <row r="1732" ht="14.25" customHeight="1">
      <c r="M1732" s="115"/>
      <c r="N1732" s="115"/>
      <c r="O1732" s="115"/>
    </row>
    <row r="1733" ht="14.25" customHeight="1">
      <c r="M1733" s="115"/>
      <c r="N1733" s="115"/>
      <c r="O1733" s="115"/>
    </row>
    <row r="1734" ht="14.25" customHeight="1">
      <c r="M1734" s="115"/>
      <c r="N1734" s="115"/>
      <c r="O1734" s="115"/>
    </row>
    <row r="1735" ht="14.25" customHeight="1">
      <c r="M1735" s="115"/>
      <c r="N1735" s="115"/>
      <c r="O1735" s="115"/>
    </row>
    <row r="1736" ht="14.25" customHeight="1">
      <c r="M1736" s="115"/>
      <c r="N1736" s="115"/>
      <c r="O1736" s="115"/>
    </row>
    <row r="1737" ht="14.25" customHeight="1">
      <c r="M1737" s="115"/>
      <c r="N1737" s="115"/>
      <c r="O1737" s="115"/>
    </row>
    <row r="1738" ht="14.25" customHeight="1">
      <c r="M1738" s="115"/>
      <c r="N1738" s="115"/>
      <c r="O1738" s="115"/>
    </row>
    <row r="1739" ht="14.25" customHeight="1">
      <c r="M1739" s="115"/>
      <c r="N1739" s="115"/>
      <c r="O1739" s="115"/>
    </row>
    <row r="1740" ht="14.25" customHeight="1">
      <c r="M1740" s="115"/>
      <c r="N1740" s="115"/>
      <c r="O1740" s="115"/>
    </row>
    <row r="1741" ht="14.25" customHeight="1">
      <c r="M1741" s="115"/>
      <c r="N1741" s="115"/>
      <c r="O1741" s="115"/>
    </row>
    <row r="1742" ht="14.25" customHeight="1">
      <c r="M1742" s="115"/>
      <c r="N1742" s="115"/>
      <c r="O1742" s="115"/>
    </row>
    <row r="1743" ht="14.25" customHeight="1">
      <c r="M1743" s="115"/>
      <c r="N1743" s="115"/>
      <c r="O1743" s="115"/>
    </row>
    <row r="1744" ht="14.25" customHeight="1">
      <c r="M1744" s="115"/>
      <c r="N1744" s="115"/>
      <c r="O1744" s="115"/>
    </row>
    <row r="1745" ht="14.25" customHeight="1">
      <c r="M1745" s="115"/>
      <c r="N1745" s="115"/>
      <c r="O1745" s="115"/>
    </row>
    <row r="1746" ht="14.25" customHeight="1">
      <c r="M1746" s="115"/>
      <c r="N1746" s="115"/>
      <c r="O1746" s="115"/>
    </row>
    <row r="1747" ht="14.25" customHeight="1">
      <c r="M1747" s="115"/>
      <c r="N1747" s="115"/>
      <c r="O1747" s="115"/>
    </row>
    <row r="1748" ht="14.25" customHeight="1">
      <c r="M1748" s="115"/>
      <c r="N1748" s="115"/>
      <c r="O1748" s="115"/>
    </row>
    <row r="1749" ht="14.25" customHeight="1">
      <c r="M1749" s="115"/>
      <c r="N1749" s="115"/>
      <c r="O1749" s="115"/>
    </row>
    <row r="1750" ht="14.25" customHeight="1">
      <c r="M1750" s="115"/>
      <c r="N1750" s="115"/>
      <c r="O1750" s="115"/>
    </row>
    <row r="1751" ht="14.25" customHeight="1">
      <c r="M1751" s="115"/>
      <c r="N1751" s="115"/>
      <c r="O1751" s="115"/>
    </row>
    <row r="1752" ht="14.25" customHeight="1">
      <c r="M1752" s="115"/>
      <c r="N1752" s="115"/>
      <c r="O1752" s="115"/>
    </row>
    <row r="1753" ht="14.25" customHeight="1">
      <c r="M1753" s="115"/>
      <c r="N1753" s="115"/>
      <c r="O1753" s="115"/>
    </row>
    <row r="1754" ht="14.25" customHeight="1">
      <c r="M1754" s="115"/>
      <c r="N1754" s="115"/>
      <c r="O1754" s="115"/>
    </row>
    <row r="1755" ht="14.25" customHeight="1">
      <c r="M1755" s="115"/>
      <c r="N1755" s="115"/>
      <c r="O1755" s="115"/>
    </row>
    <row r="1756" ht="14.25" customHeight="1">
      <c r="M1756" s="115"/>
      <c r="N1756" s="115"/>
      <c r="O1756" s="115"/>
    </row>
    <row r="1757" ht="14.25" customHeight="1">
      <c r="M1757" s="115"/>
      <c r="N1757" s="115"/>
      <c r="O1757" s="115"/>
    </row>
    <row r="1758" ht="14.25" customHeight="1">
      <c r="M1758" s="115"/>
      <c r="N1758" s="115"/>
      <c r="O1758" s="115"/>
    </row>
    <row r="1759" ht="14.25" customHeight="1">
      <c r="M1759" s="115"/>
      <c r="N1759" s="115"/>
      <c r="O1759" s="115"/>
    </row>
    <row r="1760" ht="14.25" customHeight="1">
      <c r="M1760" s="115"/>
      <c r="N1760" s="115"/>
      <c r="O1760" s="115"/>
    </row>
    <row r="1761" ht="14.25" customHeight="1">
      <c r="M1761" s="115"/>
      <c r="N1761" s="115"/>
      <c r="O1761" s="115"/>
    </row>
    <row r="1762" ht="14.25" customHeight="1">
      <c r="M1762" s="115"/>
      <c r="N1762" s="115"/>
      <c r="O1762" s="115"/>
    </row>
    <row r="1763" ht="14.25" customHeight="1">
      <c r="M1763" s="115"/>
      <c r="N1763" s="115"/>
      <c r="O1763" s="115"/>
    </row>
    <row r="1764" ht="14.25" customHeight="1">
      <c r="M1764" s="115"/>
      <c r="N1764" s="115"/>
      <c r="O1764" s="115"/>
    </row>
    <row r="1765" ht="14.25" customHeight="1">
      <c r="M1765" s="115"/>
      <c r="N1765" s="115"/>
      <c r="O1765" s="115"/>
    </row>
    <row r="1766" ht="14.25" customHeight="1">
      <c r="M1766" s="115"/>
      <c r="N1766" s="115"/>
      <c r="O1766" s="115"/>
    </row>
    <row r="1767" ht="14.25" customHeight="1">
      <c r="M1767" s="115"/>
      <c r="N1767" s="115"/>
      <c r="O1767" s="115"/>
    </row>
    <row r="1768" ht="14.25" customHeight="1">
      <c r="M1768" s="115"/>
      <c r="N1768" s="115"/>
      <c r="O1768" s="115"/>
    </row>
    <row r="1769" ht="14.25" customHeight="1">
      <c r="M1769" s="115"/>
      <c r="N1769" s="115"/>
      <c r="O1769" s="115"/>
    </row>
    <row r="1770" ht="14.25" customHeight="1">
      <c r="M1770" s="115"/>
      <c r="N1770" s="115"/>
      <c r="O1770" s="115"/>
    </row>
    <row r="1771" ht="14.25" customHeight="1">
      <c r="M1771" s="115"/>
      <c r="N1771" s="115"/>
      <c r="O1771" s="115"/>
    </row>
    <row r="1772" ht="14.25" customHeight="1">
      <c r="M1772" s="115"/>
      <c r="N1772" s="115"/>
      <c r="O1772" s="115"/>
    </row>
    <row r="1773" ht="14.25" customHeight="1">
      <c r="M1773" s="115"/>
      <c r="N1773" s="115"/>
      <c r="O1773" s="115"/>
    </row>
    <row r="1774" ht="14.25" customHeight="1">
      <c r="M1774" s="115"/>
      <c r="N1774" s="115"/>
      <c r="O1774" s="115"/>
    </row>
    <row r="1775" ht="14.25" customHeight="1">
      <c r="M1775" s="115"/>
      <c r="N1775" s="115"/>
      <c r="O1775" s="115"/>
    </row>
    <row r="1776" ht="14.25" customHeight="1">
      <c r="M1776" s="115"/>
      <c r="N1776" s="115"/>
      <c r="O1776" s="115"/>
    </row>
    <row r="1777" ht="14.25" customHeight="1">
      <c r="M1777" s="115"/>
      <c r="N1777" s="115"/>
      <c r="O1777" s="115"/>
    </row>
    <row r="1778" ht="14.25" customHeight="1">
      <c r="M1778" s="115"/>
      <c r="N1778" s="115"/>
      <c r="O1778" s="115"/>
    </row>
    <row r="1779" ht="14.25" customHeight="1">
      <c r="M1779" s="115"/>
      <c r="N1779" s="115"/>
      <c r="O1779" s="115"/>
    </row>
    <row r="1780" ht="14.25" customHeight="1">
      <c r="M1780" s="115"/>
      <c r="N1780" s="115"/>
      <c r="O1780" s="115"/>
    </row>
    <row r="1781" ht="14.25" customHeight="1">
      <c r="M1781" s="115"/>
      <c r="N1781" s="115"/>
      <c r="O1781" s="115"/>
    </row>
    <row r="1782" ht="14.25" customHeight="1">
      <c r="M1782" s="115"/>
      <c r="N1782" s="115"/>
      <c r="O1782" s="115"/>
    </row>
    <row r="1783" ht="14.25" customHeight="1">
      <c r="M1783" s="115"/>
      <c r="N1783" s="115"/>
      <c r="O1783" s="115"/>
    </row>
    <row r="1784" ht="14.25" customHeight="1">
      <c r="M1784" s="115"/>
      <c r="N1784" s="115"/>
      <c r="O1784" s="115"/>
    </row>
    <row r="1785" ht="14.25" customHeight="1">
      <c r="M1785" s="115"/>
      <c r="N1785" s="115"/>
      <c r="O1785" s="115"/>
    </row>
    <row r="1786" ht="14.25" customHeight="1">
      <c r="M1786" s="115"/>
      <c r="N1786" s="115"/>
      <c r="O1786" s="115"/>
    </row>
    <row r="1787" ht="14.25" customHeight="1">
      <c r="M1787" s="115"/>
      <c r="N1787" s="115"/>
      <c r="O1787" s="115"/>
    </row>
    <row r="1788" ht="14.25" customHeight="1">
      <c r="M1788" s="115"/>
      <c r="N1788" s="115"/>
      <c r="O1788" s="115"/>
    </row>
    <row r="1789" ht="14.25" customHeight="1">
      <c r="M1789" s="115"/>
      <c r="N1789" s="115"/>
      <c r="O1789" s="115"/>
    </row>
    <row r="1790" ht="14.25" customHeight="1">
      <c r="M1790" s="115"/>
      <c r="N1790" s="115"/>
      <c r="O1790" s="115"/>
    </row>
    <row r="1791" ht="14.25" customHeight="1">
      <c r="M1791" s="115"/>
      <c r="N1791" s="115"/>
      <c r="O1791" s="115"/>
    </row>
    <row r="1792" ht="14.25" customHeight="1">
      <c r="M1792" s="115"/>
      <c r="N1792" s="115"/>
      <c r="O1792" s="115"/>
    </row>
    <row r="1793" ht="14.25" customHeight="1">
      <c r="M1793" s="115"/>
      <c r="N1793" s="115"/>
      <c r="O1793" s="115"/>
    </row>
    <row r="1794" ht="14.25" customHeight="1">
      <c r="M1794" s="115"/>
      <c r="N1794" s="115"/>
      <c r="O1794" s="115"/>
    </row>
    <row r="1795" ht="14.25" customHeight="1">
      <c r="M1795" s="115"/>
      <c r="N1795" s="115"/>
      <c r="O1795" s="115"/>
    </row>
    <row r="1796" ht="14.25" customHeight="1">
      <c r="M1796" s="115"/>
      <c r="N1796" s="115"/>
      <c r="O1796" s="115"/>
    </row>
    <row r="1797" ht="14.25" customHeight="1">
      <c r="M1797" s="115"/>
      <c r="N1797" s="115"/>
      <c r="O1797" s="115"/>
    </row>
    <row r="1798" ht="14.25" customHeight="1">
      <c r="M1798" s="115"/>
      <c r="N1798" s="115"/>
      <c r="O1798" s="115"/>
    </row>
    <row r="1799" ht="14.25" customHeight="1">
      <c r="M1799" s="115"/>
      <c r="N1799" s="115"/>
      <c r="O1799" s="115"/>
    </row>
    <row r="1800" ht="14.25" customHeight="1">
      <c r="M1800" s="115"/>
      <c r="N1800" s="115"/>
      <c r="O1800" s="115"/>
    </row>
    <row r="1801" ht="14.25" customHeight="1">
      <c r="M1801" s="115"/>
      <c r="N1801" s="115"/>
      <c r="O1801" s="115"/>
    </row>
    <row r="1802" ht="14.25" customHeight="1">
      <c r="M1802" s="115"/>
      <c r="N1802" s="115"/>
      <c r="O1802" s="115"/>
    </row>
    <row r="1803" ht="14.25" customHeight="1">
      <c r="M1803" s="115"/>
      <c r="N1803" s="115"/>
      <c r="O1803" s="115"/>
    </row>
    <row r="1804" ht="14.25" customHeight="1">
      <c r="M1804" s="115"/>
      <c r="N1804" s="115"/>
      <c r="O1804" s="115"/>
    </row>
    <row r="1805" ht="14.25" customHeight="1">
      <c r="M1805" s="115"/>
      <c r="N1805" s="115"/>
      <c r="O1805" s="115"/>
    </row>
    <row r="1806" ht="14.25" customHeight="1">
      <c r="M1806" s="115"/>
      <c r="N1806" s="115"/>
      <c r="O1806" s="115"/>
    </row>
    <row r="1807" ht="14.25" customHeight="1">
      <c r="M1807" s="115"/>
      <c r="N1807" s="115"/>
      <c r="O1807" s="115"/>
    </row>
    <row r="1808" ht="14.25" customHeight="1">
      <c r="M1808" s="115"/>
      <c r="N1808" s="115"/>
      <c r="O1808" s="115"/>
    </row>
    <row r="1809" ht="14.25" customHeight="1">
      <c r="M1809" s="115"/>
      <c r="N1809" s="115"/>
      <c r="O1809" s="115"/>
    </row>
    <row r="1810" ht="14.25" customHeight="1">
      <c r="M1810" s="115"/>
      <c r="N1810" s="115"/>
      <c r="O1810" s="115"/>
    </row>
    <row r="1811" ht="14.25" customHeight="1">
      <c r="M1811" s="115"/>
      <c r="N1811" s="115"/>
      <c r="O1811" s="115"/>
    </row>
    <row r="1812" ht="14.25" customHeight="1">
      <c r="M1812" s="115"/>
      <c r="N1812" s="115"/>
      <c r="O1812" s="115"/>
    </row>
    <row r="1813" ht="14.25" customHeight="1">
      <c r="M1813" s="115"/>
      <c r="N1813" s="115"/>
      <c r="O1813" s="115"/>
    </row>
    <row r="1814" ht="14.25" customHeight="1">
      <c r="M1814" s="115"/>
      <c r="N1814" s="115"/>
      <c r="O1814" s="115"/>
    </row>
    <row r="1815" ht="14.25" customHeight="1">
      <c r="M1815" s="115"/>
      <c r="N1815" s="115"/>
      <c r="O1815" s="115"/>
    </row>
    <row r="1816" ht="14.25" customHeight="1">
      <c r="M1816" s="115"/>
      <c r="N1816" s="115"/>
      <c r="O1816" s="115"/>
    </row>
    <row r="1817" ht="14.25" customHeight="1">
      <c r="M1817" s="115"/>
      <c r="N1817" s="115"/>
      <c r="O1817" s="115"/>
    </row>
    <row r="1818" ht="14.25" customHeight="1">
      <c r="M1818" s="115"/>
      <c r="N1818" s="115"/>
      <c r="O1818" s="115"/>
    </row>
    <row r="1819" ht="14.25" customHeight="1">
      <c r="M1819" s="115"/>
      <c r="N1819" s="115"/>
      <c r="O1819" s="115"/>
    </row>
    <row r="1820" ht="14.25" customHeight="1">
      <c r="M1820" s="115"/>
      <c r="N1820" s="115"/>
      <c r="O1820" s="115"/>
    </row>
    <row r="1821" ht="14.25" customHeight="1">
      <c r="M1821" s="115"/>
      <c r="N1821" s="115"/>
      <c r="O1821" s="115"/>
    </row>
    <row r="1822" ht="14.25" customHeight="1">
      <c r="M1822" s="115"/>
      <c r="N1822" s="115"/>
      <c r="O1822" s="115"/>
    </row>
    <row r="1823" ht="14.25" customHeight="1">
      <c r="M1823" s="115"/>
      <c r="N1823" s="115"/>
      <c r="O1823" s="115"/>
    </row>
    <row r="1824" ht="14.25" customHeight="1">
      <c r="D1824" s="124"/>
      <c r="E1824" s="124"/>
      <c r="F1824" s="124"/>
      <c r="M1824" s="115"/>
      <c r="N1824" s="115"/>
      <c r="O1824" s="115"/>
    </row>
  </sheetData>
  <mergeCells count="6">
    <mergeCell ref="H2:I2"/>
    <mergeCell ref="J2:L2"/>
    <mergeCell ref="M2:P2"/>
    <mergeCell ref="J3:L3"/>
    <mergeCell ref="M3:N3"/>
    <mergeCell ref="O3:P3"/>
  </mergeCells>
  <printOptions/>
  <pageMargins bottom="0.75" footer="0.0" header="0.0" left="0.7" right="0.7" top="0.75"/>
  <pageSetup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5"/>
    <col customWidth="1" min="2" max="3" width="46.25"/>
    <col customWidth="1" min="4" max="4" width="11.63"/>
    <col customWidth="1" min="5" max="5" width="4.25"/>
    <col customWidth="1" min="6" max="6" width="15.5"/>
    <col customWidth="1" min="7" max="7" width="7.0"/>
    <col customWidth="1" min="8" max="8" width="21.0"/>
    <col customWidth="1" min="9" max="9" width="18.5"/>
    <col customWidth="1" min="10" max="10" width="19.5"/>
    <col customWidth="1" min="11" max="11" width="16.75"/>
    <col customWidth="1" min="12" max="12" width="9.13"/>
    <col customWidth="1" min="13" max="26" width="10.63"/>
  </cols>
  <sheetData>
    <row r="1" ht="14.25" customHeight="1">
      <c r="A1" s="169" t="s">
        <v>18797</v>
      </c>
      <c r="C1" s="169" t="s">
        <v>18798</v>
      </c>
    </row>
    <row r="2" ht="14.25" customHeight="1">
      <c r="A2" s="169" t="s">
        <v>18799</v>
      </c>
      <c r="C2" s="169" t="s">
        <v>18800</v>
      </c>
    </row>
    <row r="3" ht="14.25" customHeight="1">
      <c r="A3" s="169" t="s">
        <v>18801</v>
      </c>
      <c r="C3" s="169" t="s">
        <v>18800</v>
      </c>
    </row>
    <row r="4" ht="14.25" customHeight="1">
      <c r="A4" s="170"/>
    </row>
    <row r="5" ht="14.25" customHeight="1">
      <c r="A5" s="169" t="s">
        <v>18802</v>
      </c>
      <c r="B5" s="169" t="s">
        <v>6298</v>
      </c>
      <c r="C5" s="169" t="s">
        <v>16411</v>
      </c>
      <c r="D5" s="169" t="s">
        <v>18803</v>
      </c>
      <c r="E5" s="169" t="s">
        <v>2356</v>
      </c>
      <c r="F5" s="169" t="s">
        <v>18797</v>
      </c>
      <c r="G5" s="169" t="s">
        <v>18804</v>
      </c>
      <c r="H5" s="169" t="s">
        <v>18805</v>
      </c>
      <c r="I5" s="169" t="s">
        <v>18806</v>
      </c>
      <c r="J5" s="169" t="s">
        <v>18807</v>
      </c>
      <c r="K5" s="169" t="s">
        <v>18808</v>
      </c>
      <c r="L5" s="169" t="s">
        <v>18809</v>
      </c>
    </row>
    <row r="6" ht="14.25" customHeight="1">
      <c r="A6" s="169" t="s">
        <v>18810</v>
      </c>
      <c r="B6" s="169" t="s">
        <v>6399</v>
      </c>
      <c r="C6" s="169" t="s">
        <v>18670</v>
      </c>
      <c r="D6" s="169" t="str">
        <f t="shared" ref="D6:E6" si="1">"CT2165T"</f>
        <v>CT2165T</v>
      </c>
      <c r="E6" s="169" t="str">
        <f t="shared" si="1"/>
        <v>CT2165T</v>
      </c>
      <c r="F6" s="169" t="s">
        <v>18811</v>
      </c>
      <c r="G6" s="169">
        <v>5.0</v>
      </c>
      <c r="H6" s="169">
        <v>9400.0</v>
      </c>
      <c r="I6" s="169">
        <v>47000.0</v>
      </c>
      <c r="J6" s="169">
        <v>0.0</v>
      </c>
      <c r="K6" s="169">
        <v>5.0</v>
      </c>
      <c r="L6" s="169">
        <v>0.0</v>
      </c>
    </row>
    <row r="7" ht="14.25" customHeight="1">
      <c r="A7" s="169" t="s">
        <v>18810</v>
      </c>
      <c r="B7" s="169" t="s">
        <v>6399</v>
      </c>
      <c r="C7" s="169" t="s">
        <v>18669</v>
      </c>
      <c r="D7" s="169" t="str">
        <f t="shared" ref="D7:E7" si="2">"CT1925T"</f>
        <v>CT1925T</v>
      </c>
      <c r="E7" s="169" t="str">
        <f t="shared" si="2"/>
        <v>CT1925T</v>
      </c>
      <c r="F7" s="169" t="s">
        <v>18811</v>
      </c>
      <c r="G7" s="169">
        <v>4.0</v>
      </c>
      <c r="H7" s="169">
        <v>10500.0</v>
      </c>
      <c r="I7" s="169">
        <v>42000.0</v>
      </c>
      <c r="J7" s="169">
        <v>0.0</v>
      </c>
      <c r="K7" s="169">
        <v>4.0</v>
      </c>
      <c r="L7" s="169">
        <v>0.0</v>
      </c>
    </row>
    <row r="8" ht="14.25" customHeight="1">
      <c r="A8" s="169" t="s">
        <v>18810</v>
      </c>
      <c r="B8" s="169" t="s">
        <v>6399</v>
      </c>
      <c r="C8" s="169" t="s">
        <v>18668</v>
      </c>
      <c r="D8" s="169" t="str">
        <f t="shared" ref="D8:E8" si="3">"CT2156T"</f>
        <v>CT2156T</v>
      </c>
      <c r="E8" s="169" t="str">
        <f t="shared" si="3"/>
        <v>CT2156T</v>
      </c>
      <c r="F8" s="169" t="s">
        <v>18811</v>
      </c>
      <c r="G8" s="169">
        <v>7.0</v>
      </c>
      <c r="H8" s="169">
        <v>10079.0</v>
      </c>
      <c r="I8" s="169">
        <v>70553.0</v>
      </c>
      <c r="J8" s="169">
        <v>0.0</v>
      </c>
      <c r="K8" s="169">
        <v>7.0</v>
      </c>
      <c r="L8" s="169">
        <v>0.0</v>
      </c>
    </row>
    <row r="9" ht="14.25" customHeight="1">
      <c r="A9" s="169" t="s">
        <v>18810</v>
      </c>
      <c r="B9" s="169" t="s">
        <v>6399</v>
      </c>
      <c r="C9" s="169" t="s">
        <v>18667</v>
      </c>
      <c r="D9" s="169" t="str">
        <f t="shared" ref="D9:E9" si="4">"CT1853-6T"</f>
        <v>CT1853-6T</v>
      </c>
      <c r="E9" s="169" t="str">
        <f t="shared" si="4"/>
        <v>CT1853-6T</v>
      </c>
      <c r="F9" s="169" t="s">
        <v>18811</v>
      </c>
      <c r="G9" s="169">
        <v>3.0</v>
      </c>
      <c r="H9" s="169">
        <v>9500.0</v>
      </c>
      <c r="I9" s="169">
        <v>28500.0</v>
      </c>
      <c r="J9" s="169">
        <v>0.0</v>
      </c>
      <c r="K9" s="169">
        <v>3.0</v>
      </c>
      <c r="L9" s="169">
        <v>0.0</v>
      </c>
    </row>
    <row r="10" ht="14.25" customHeight="1">
      <c r="A10" s="169" t="s">
        <v>18810</v>
      </c>
      <c r="B10" s="169" t="s">
        <v>6399</v>
      </c>
      <c r="C10" s="169" t="s">
        <v>18666</v>
      </c>
      <c r="D10" s="169" t="str">
        <f t="shared" ref="D10:E10" si="5">"CT1761-6T"</f>
        <v>CT1761-6T</v>
      </c>
      <c r="E10" s="169" t="str">
        <f t="shared" si="5"/>
        <v>CT1761-6T</v>
      </c>
      <c r="F10" s="169" t="s">
        <v>18811</v>
      </c>
      <c r="G10" s="169">
        <v>6.0</v>
      </c>
      <c r="H10" s="169">
        <v>10500.0</v>
      </c>
      <c r="I10" s="169">
        <v>63000.0</v>
      </c>
      <c r="J10" s="169">
        <v>0.0</v>
      </c>
      <c r="K10" s="169">
        <v>6.0</v>
      </c>
      <c r="L10" s="169">
        <v>0.0</v>
      </c>
    </row>
    <row r="11" ht="14.25" customHeight="1">
      <c r="A11" s="169" t="s">
        <v>18810</v>
      </c>
      <c r="B11" s="169" t="s">
        <v>6399</v>
      </c>
      <c r="C11" s="169" t="s">
        <v>18665</v>
      </c>
      <c r="D11" s="169" t="str">
        <f t="shared" ref="D11:E11" si="6">"CT1929T"</f>
        <v>CT1929T</v>
      </c>
      <c r="E11" s="169" t="str">
        <f t="shared" si="6"/>
        <v>CT1929T</v>
      </c>
      <c r="F11" s="169" t="s">
        <v>18811</v>
      </c>
      <c r="G11" s="169">
        <v>6.0</v>
      </c>
      <c r="H11" s="169">
        <v>5950.0</v>
      </c>
      <c r="I11" s="169">
        <v>35700.0</v>
      </c>
      <c r="J11" s="169">
        <v>0.0</v>
      </c>
      <c r="K11" s="169">
        <v>6.0</v>
      </c>
      <c r="L11" s="169">
        <v>0.0</v>
      </c>
    </row>
    <row r="12" ht="14.25" customHeight="1">
      <c r="A12" s="169" t="s">
        <v>18558</v>
      </c>
      <c r="B12" s="169" t="s">
        <v>18772</v>
      </c>
      <c r="C12" s="169" t="s">
        <v>1666</v>
      </c>
      <c r="D12" s="169" t="str">
        <f t="shared" ref="D12:E12" si="7">"69748179686395"</f>
        <v>69748179686395</v>
      </c>
      <c r="E12" s="169" t="str">
        <f t="shared" si="7"/>
        <v>69748179686395</v>
      </c>
      <c r="F12" s="169" t="s">
        <v>18811</v>
      </c>
      <c r="G12" s="169">
        <v>29.0</v>
      </c>
      <c r="H12" s="169">
        <v>1.0</v>
      </c>
      <c r="I12" s="169">
        <v>29.0</v>
      </c>
      <c r="J12" s="169">
        <v>0.0</v>
      </c>
      <c r="K12" s="169">
        <v>29.0</v>
      </c>
      <c r="L12" s="169">
        <v>0.0</v>
      </c>
    </row>
    <row r="13" ht="14.25" customHeight="1">
      <c r="A13" s="169" t="s">
        <v>6603</v>
      </c>
      <c r="B13" s="169" t="s">
        <v>6599</v>
      </c>
      <c r="C13" s="169" t="s">
        <v>17800</v>
      </c>
      <c r="D13" s="169" t="str">
        <f t="shared" ref="D13:E13" si="8">"27534"</f>
        <v>27534</v>
      </c>
      <c r="E13" s="169" t="str">
        <f t="shared" si="8"/>
        <v>27534</v>
      </c>
      <c r="F13" s="169" t="s">
        <v>18811</v>
      </c>
      <c r="G13" s="169">
        <v>6.0</v>
      </c>
      <c r="H13" s="169">
        <v>15100.0</v>
      </c>
      <c r="I13" s="169">
        <v>90600.0</v>
      </c>
      <c r="J13" s="169">
        <v>0.0</v>
      </c>
      <c r="K13" s="169">
        <v>6.0</v>
      </c>
      <c r="L13" s="169">
        <v>0.0</v>
      </c>
    </row>
    <row r="14" ht="14.25" customHeight="1">
      <c r="A14" s="169" t="s">
        <v>6603</v>
      </c>
      <c r="B14" s="169" t="s">
        <v>6599</v>
      </c>
      <c r="C14" s="169" t="s">
        <v>17798</v>
      </c>
      <c r="D14" s="169" t="str">
        <f>"8430306262505"</f>
        <v>8430306262505</v>
      </c>
      <c r="E14" s="169" t="str">
        <f>"26250"</f>
        <v>26250</v>
      </c>
      <c r="F14" s="169" t="s">
        <v>18811</v>
      </c>
      <c r="G14" s="169">
        <v>9.0</v>
      </c>
      <c r="H14" s="169">
        <v>12580.0</v>
      </c>
      <c r="I14" s="169">
        <v>113220.0</v>
      </c>
      <c r="J14" s="169">
        <v>0.0</v>
      </c>
      <c r="K14" s="169">
        <v>9.0</v>
      </c>
      <c r="L14" s="169">
        <v>0.0</v>
      </c>
    </row>
    <row r="15" ht="14.25" customHeight="1">
      <c r="A15" s="169" t="s">
        <v>6603</v>
      </c>
      <c r="B15" s="169" t="s">
        <v>6599</v>
      </c>
      <c r="C15" s="169" t="s">
        <v>17796</v>
      </c>
      <c r="D15" s="169" t="str">
        <f>"8430306268828"</f>
        <v>8430306268828</v>
      </c>
      <c r="E15" s="169" t="str">
        <f>"26882"</f>
        <v>26882</v>
      </c>
      <c r="F15" s="169" t="s">
        <v>18811</v>
      </c>
      <c r="G15" s="169">
        <v>3.0</v>
      </c>
      <c r="H15" s="169">
        <v>10100.0</v>
      </c>
      <c r="I15" s="169">
        <v>30300.0</v>
      </c>
      <c r="J15" s="169">
        <v>0.0</v>
      </c>
      <c r="K15" s="169">
        <v>3.0</v>
      </c>
      <c r="L15" s="169">
        <v>0.0</v>
      </c>
    </row>
    <row r="16" ht="14.25" customHeight="1">
      <c r="A16" s="169" t="s">
        <v>6603</v>
      </c>
      <c r="B16" s="169" t="s">
        <v>6599</v>
      </c>
      <c r="C16" s="169" t="s">
        <v>17794</v>
      </c>
      <c r="D16" s="169" t="str">
        <f>"8430306268798"</f>
        <v>8430306268798</v>
      </c>
      <c r="E16" s="169" t="str">
        <f>"26879"</f>
        <v>26879</v>
      </c>
      <c r="F16" s="169" t="s">
        <v>18811</v>
      </c>
      <c r="G16" s="169">
        <v>6.0</v>
      </c>
      <c r="H16" s="169">
        <v>10100.0</v>
      </c>
      <c r="I16" s="169">
        <v>60600.0</v>
      </c>
      <c r="J16" s="169">
        <v>0.0</v>
      </c>
      <c r="K16" s="169">
        <v>6.0</v>
      </c>
      <c r="L16" s="169">
        <v>0.0</v>
      </c>
    </row>
    <row r="17" ht="14.25" customHeight="1">
      <c r="A17" s="169" t="s">
        <v>6603</v>
      </c>
      <c r="B17" s="169" t="s">
        <v>6599</v>
      </c>
      <c r="C17" s="169" t="s">
        <v>17792</v>
      </c>
      <c r="D17" s="169" t="str">
        <f>"8430306265025"</f>
        <v>8430306265025</v>
      </c>
      <c r="E17" s="169" t="str">
        <f>"26502"</f>
        <v>26502</v>
      </c>
      <c r="F17" s="169" t="s">
        <v>18811</v>
      </c>
      <c r="G17" s="169">
        <v>6.0</v>
      </c>
      <c r="H17" s="169">
        <v>5000.0</v>
      </c>
      <c r="I17" s="169">
        <v>30000.0</v>
      </c>
      <c r="J17" s="169">
        <v>0.0</v>
      </c>
      <c r="K17" s="169">
        <v>6.0</v>
      </c>
      <c r="L17" s="169">
        <v>0.0</v>
      </c>
    </row>
    <row r="18" ht="14.25" customHeight="1">
      <c r="A18" s="169" t="s">
        <v>6603</v>
      </c>
      <c r="B18" s="169" t="s">
        <v>6599</v>
      </c>
      <c r="C18" s="169" t="s">
        <v>17790</v>
      </c>
      <c r="D18" s="169" t="str">
        <f t="shared" ref="D18:E18" si="9">"27027"</f>
        <v>27027</v>
      </c>
      <c r="E18" s="169" t="str">
        <f t="shared" si="9"/>
        <v>27027</v>
      </c>
      <c r="F18" s="169" t="s">
        <v>18811</v>
      </c>
      <c r="G18" s="169">
        <v>6.0</v>
      </c>
      <c r="H18" s="169">
        <v>7600.0</v>
      </c>
      <c r="I18" s="169">
        <v>45600.0</v>
      </c>
      <c r="J18" s="169">
        <v>0.0</v>
      </c>
      <c r="K18" s="169">
        <v>6.0</v>
      </c>
      <c r="L18" s="169">
        <v>0.0</v>
      </c>
    </row>
    <row r="19" ht="14.25" customHeight="1">
      <c r="A19" s="169" t="s">
        <v>6603</v>
      </c>
      <c r="B19" s="169" t="s">
        <v>6599</v>
      </c>
      <c r="C19" s="169" t="s">
        <v>17788</v>
      </c>
      <c r="D19" s="169" t="str">
        <f t="shared" ref="D19:E19" si="10">"26807"</f>
        <v>26807</v>
      </c>
      <c r="E19" s="169" t="str">
        <f t="shared" si="10"/>
        <v>26807</v>
      </c>
      <c r="F19" s="169" t="s">
        <v>18811</v>
      </c>
      <c r="G19" s="169">
        <v>11.0</v>
      </c>
      <c r="H19" s="169">
        <v>7600.0</v>
      </c>
      <c r="I19" s="169">
        <v>83600.0</v>
      </c>
      <c r="J19" s="169">
        <v>0.0</v>
      </c>
      <c r="K19" s="169">
        <v>11.0</v>
      </c>
      <c r="L19" s="169">
        <v>0.0</v>
      </c>
    </row>
    <row r="20" ht="14.25" customHeight="1">
      <c r="A20" s="169" t="s">
        <v>6603</v>
      </c>
      <c r="B20" s="169" t="s">
        <v>6599</v>
      </c>
      <c r="C20" s="169" t="s">
        <v>17786</v>
      </c>
      <c r="D20" s="169" t="str">
        <f t="shared" ref="D20:E20" si="11">"26808"</f>
        <v>26808</v>
      </c>
      <c r="E20" s="169" t="str">
        <f t="shared" si="11"/>
        <v>26808</v>
      </c>
      <c r="F20" s="169" t="s">
        <v>18811</v>
      </c>
      <c r="G20" s="169">
        <v>9.0</v>
      </c>
      <c r="H20" s="169">
        <v>7600.0</v>
      </c>
      <c r="I20" s="169">
        <v>68400.0</v>
      </c>
      <c r="J20" s="169">
        <v>0.0</v>
      </c>
      <c r="K20" s="169">
        <v>9.0</v>
      </c>
      <c r="L20" s="169">
        <v>0.0</v>
      </c>
    </row>
    <row r="21" ht="14.25" customHeight="1">
      <c r="A21" s="169" t="s">
        <v>6603</v>
      </c>
      <c r="B21" s="169" t="s">
        <v>6599</v>
      </c>
      <c r="C21" s="169" t="s">
        <v>17784</v>
      </c>
      <c r="D21" s="169" t="str">
        <f t="shared" ref="D21:E21" si="12">"27213"</f>
        <v>27213</v>
      </c>
      <c r="E21" s="169" t="str">
        <f t="shared" si="12"/>
        <v>27213</v>
      </c>
      <c r="F21" s="169" t="s">
        <v>18811</v>
      </c>
      <c r="G21" s="169">
        <v>10.0</v>
      </c>
      <c r="H21" s="169">
        <v>7600.0</v>
      </c>
      <c r="I21" s="169">
        <v>76000.0</v>
      </c>
      <c r="J21" s="169">
        <v>0.0</v>
      </c>
      <c r="K21" s="169">
        <v>10.0</v>
      </c>
      <c r="L21" s="169">
        <v>0.0</v>
      </c>
    </row>
    <row r="22" ht="14.25" customHeight="1">
      <c r="A22" s="169" t="s">
        <v>6603</v>
      </c>
      <c r="B22" s="169" t="s">
        <v>6599</v>
      </c>
      <c r="C22" s="169" t="s">
        <v>17782</v>
      </c>
      <c r="D22" s="169" t="str">
        <f t="shared" ref="D22:E22" si="13">"26916"</f>
        <v>26916</v>
      </c>
      <c r="E22" s="169" t="str">
        <f t="shared" si="13"/>
        <v>26916</v>
      </c>
      <c r="F22" s="169" t="s">
        <v>18811</v>
      </c>
      <c r="G22" s="169">
        <v>9.0</v>
      </c>
      <c r="H22" s="169">
        <v>2500.0</v>
      </c>
      <c r="I22" s="169">
        <v>22500.0</v>
      </c>
      <c r="J22" s="169">
        <v>0.0</v>
      </c>
      <c r="K22" s="169">
        <v>9.0</v>
      </c>
      <c r="L22" s="169">
        <v>0.0</v>
      </c>
    </row>
    <row r="23" ht="14.25" customHeight="1">
      <c r="A23" s="169" t="s">
        <v>6603</v>
      </c>
      <c r="B23" s="169" t="s">
        <v>6599</v>
      </c>
      <c r="C23" s="169" t="s">
        <v>17780</v>
      </c>
      <c r="D23" s="169" t="str">
        <f t="shared" ref="D23:E23" si="14">"26915"</f>
        <v>26915</v>
      </c>
      <c r="E23" s="169" t="str">
        <f t="shared" si="14"/>
        <v>26915</v>
      </c>
      <c r="F23" s="169" t="s">
        <v>18811</v>
      </c>
      <c r="G23" s="169">
        <v>12.0</v>
      </c>
      <c r="H23" s="169">
        <v>2500.0</v>
      </c>
      <c r="I23" s="169">
        <v>30000.0</v>
      </c>
      <c r="J23" s="169">
        <v>0.0</v>
      </c>
      <c r="K23" s="169">
        <v>12.0</v>
      </c>
      <c r="L23" s="169">
        <v>0.0</v>
      </c>
    </row>
    <row r="24" ht="14.25" customHeight="1">
      <c r="A24" s="169" t="s">
        <v>6603</v>
      </c>
      <c r="B24" s="169" t="s">
        <v>6599</v>
      </c>
      <c r="C24" s="169" t="s">
        <v>17778</v>
      </c>
      <c r="D24" s="169" t="str">
        <f t="shared" ref="D24:E24" si="15">"26917"</f>
        <v>26917</v>
      </c>
      <c r="E24" s="169" t="str">
        <f t="shared" si="15"/>
        <v>26917</v>
      </c>
      <c r="F24" s="169" t="s">
        <v>18811</v>
      </c>
      <c r="G24" s="169">
        <v>17.0</v>
      </c>
      <c r="H24" s="169">
        <v>2500.0</v>
      </c>
      <c r="I24" s="169">
        <v>42500.0</v>
      </c>
      <c r="J24" s="169">
        <v>0.0</v>
      </c>
      <c r="K24" s="169">
        <v>17.0</v>
      </c>
      <c r="L24" s="169">
        <v>0.0</v>
      </c>
    </row>
    <row r="25" ht="14.25" customHeight="1">
      <c r="A25" s="169" t="s">
        <v>6603</v>
      </c>
      <c r="B25" s="169" t="s">
        <v>6599</v>
      </c>
      <c r="C25" s="169" t="s">
        <v>17776</v>
      </c>
      <c r="D25" s="169" t="str">
        <f>"8430306274454"</f>
        <v>8430306274454</v>
      </c>
      <c r="E25" s="169" t="str">
        <f>"27445"</f>
        <v>27445</v>
      </c>
      <c r="F25" s="169" t="s">
        <v>18811</v>
      </c>
      <c r="G25" s="169">
        <v>4.0</v>
      </c>
      <c r="H25" s="169">
        <v>5000.0</v>
      </c>
      <c r="I25" s="169">
        <v>20000.0</v>
      </c>
      <c r="J25" s="169">
        <v>0.0</v>
      </c>
      <c r="K25" s="169">
        <v>4.0</v>
      </c>
      <c r="L25" s="169">
        <v>0.0</v>
      </c>
    </row>
    <row r="26" ht="14.25" customHeight="1">
      <c r="A26" s="169" t="s">
        <v>6603</v>
      </c>
      <c r="B26" s="169" t="s">
        <v>6599</v>
      </c>
      <c r="C26" s="169" t="s">
        <v>17774</v>
      </c>
      <c r="D26" s="169" t="str">
        <f t="shared" ref="D26:E26" si="16">"27184"</f>
        <v>27184</v>
      </c>
      <c r="E26" s="169" t="str">
        <f t="shared" si="16"/>
        <v>27184</v>
      </c>
      <c r="F26" s="169" t="s">
        <v>18811</v>
      </c>
      <c r="G26" s="169">
        <v>6.0</v>
      </c>
      <c r="H26" s="169">
        <v>12600.0</v>
      </c>
      <c r="I26" s="169">
        <v>75600.0</v>
      </c>
      <c r="J26" s="169">
        <v>0.0</v>
      </c>
      <c r="K26" s="169">
        <v>6.0</v>
      </c>
      <c r="L26" s="169">
        <v>0.0</v>
      </c>
    </row>
    <row r="27" ht="14.25" customHeight="1">
      <c r="A27" s="169" t="s">
        <v>6603</v>
      </c>
      <c r="B27" s="169" t="s">
        <v>6599</v>
      </c>
      <c r="C27" s="169" t="s">
        <v>17772</v>
      </c>
      <c r="D27" s="169" t="str">
        <f t="shared" ref="D27:E27" si="17">"27185"</f>
        <v>27185</v>
      </c>
      <c r="E27" s="169" t="str">
        <f t="shared" si="17"/>
        <v>27185</v>
      </c>
      <c r="F27" s="169" t="s">
        <v>18811</v>
      </c>
      <c r="G27" s="169">
        <v>6.0</v>
      </c>
      <c r="H27" s="169">
        <v>12600.0</v>
      </c>
      <c r="I27" s="169">
        <v>75600.0</v>
      </c>
      <c r="J27" s="169">
        <v>0.0</v>
      </c>
      <c r="K27" s="169">
        <v>6.0</v>
      </c>
      <c r="L27" s="169">
        <v>0.0</v>
      </c>
    </row>
    <row r="28" ht="14.25" customHeight="1">
      <c r="A28" s="169" t="s">
        <v>6603</v>
      </c>
      <c r="B28" s="169" t="s">
        <v>6599</v>
      </c>
      <c r="C28" s="169" t="s">
        <v>17770</v>
      </c>
      <c r="D28" s="169" t="str">
        <f t="shared" ref="D28:E28" si="18">"27446"</f>
        <v>27446</v>
      </c>
      <c r="E28" s="169" t="str">
        <f t="shared" si="18"/>
        <v>27446</v>
      </c>
      <c r="F28" s="169" t="s">
        <v>18811</v>
      </c>
      <c r="G28" s="169">
        <v>7.0</v>
      </c>
      <c r="H28" s="169">
        <v>10100.0</v>
      </c>
      <c r="I28" s="169">
        <v>70700.0</v>
      </c>
      <c r="J28" s="169">
        <v>0.0</v>
      </c>
      <c r="K28" s="169">
        <v>7.0</v>
      </c>
      <c r="L28" s="169">
        <v>0.0</v>
      </c>
    </row>
    <row r="29" ht="14.25" customHeight="1">
      <c r="A29" s="169" t="s">
        <v>6603</v>
      </c>
      <c r="B29" s="169" t="s">
        <v>6599</v>
      </c>
      <c r="C29" s="169" t="s">
        <v>17768</v>
      </c>
      <c r="D29" s="169" t="str">
        <f t="shared" ref="D29:E29" si="19">"26876"</f>
        <v>26876</v>
      </c>
      <c r="E29" s="169" t="str">
        <f t="shared" si="19"/>
        <v>26876</v>
      </c>
      <c r="F29" s="169" t="s">
        <v>18811</v>
      </c>
      <c r="G29" s="169">
        <v>11.0</v>
      </c>
      <c r="H29" s="169">
        <v>3000.0</v>
      </c>
      <c r="I29" s="169">
        <v>33000.0</v>
      </c>
      <c r="J29" s="169">
        <v>0.0</v>
      </c>
      <c r="K29" s="169">
        <v>11.0</v>
      </c>
      <c r="L29" s="169">
        <v>0.0</v>
      </c>
    </row>
    <row r="30" ht="14.25" customHeight="1">
      <c r="A30" s="169" t="s">
        <v>6603</v>
      </c>
      <c r="B30" s="169" t="s">
        <v>6599</v>
      </c>
      <c r="C30" s="169" t="s">
        <v>17766</v>
      </c>
      <c r="D30" s="169" t="str">
        <f t="shared" ref="D30:E30" si="20">"26875"</f>
        <v>26875</v>
      </c>
      <c r="E30" s="169" t="str">
        <f t="shared" si="20"/>
        <v>26875</v>
      </c>
      <c r="F30" s="169" t="s">
        <v>18811</v>
      </c>
      <c r="G30" s="169">
        <v>9.0</v>
      </c>
      <c r="H30" s="169">
        <v>2458.3</v>
      </c>
      <c r="I30" s="169">
        <v>22125.0</v>
      </c>
      <c r="J30" s="169">
        <v>0.0</v>
      </c>
      <c r="K30" s="169">
        <v>9.0</v>
      </c>
      <c r="L30" s="169">
        <v>0.0</v>
      </c>
    </row>
    <row r="31" ht="14.25" customHeight="1">
      <c r="A31" s="169" t="s">
        <v>6603</v>
      </c>
      <c r="B31" s="169" t="s">
        <v>6599</v>
      </c>
      <c r="C31" s="169" t="s">
        <v>17764</v>
      </c>
      <c r="D31" s="169" t="str">
        <f t="shared" ref="D31:E31" si="21">"27122"</f>
        <v>27122</v>
      </c>
      <c r="E31" s="169" t="str">
        <f t="shared" si="21"/>
        <v>27122</v>
      </c>
      <c r="F31" s="169" t="s">
        <v>18811</v>
      </c>
      <c r="G31" s="169">
        <v>6.0</v>
      </c>
      <c r="H31" s="169">
        <v>15100.0</v>
      </c>
      <c r="I31" s="169">
        <v>90600.0</v>
      </c>
      <c r="J31" s="169">
        <v>0.0</v>
      </c>
      <c r="K31" s="169">
        <v>6.0</v>
      </c>
      <c r="L31" s="169">
        <v>0.0</v>
      </c>
    </row>
    <row r="32" ht="14.25" customHeight="1">
      <c r="A32" s="169" t="s">
        <v>6603</v>
      </c>
      <c r="B32" s="169" t="s">
        <v>6599</v>
      </c>
      <c r="C32" s="169" t="s">
        <v>17762</v>
      </c>
      <c r="D32" s="169" t="str">
        <f t="shared" ref="D32:E32" si="22">"26404"</f>
        <v>26404</v>
      </c>
      <c r="E32" s="169" t="str">
        <f t="shared" si="22"/>
        <v>26404</v>
      </c>
      <c r="F32" s="169" t="s">
        <v>18811</v>
      </c>
      <c r="G32" s="169">
        <v>9.0</v>
      </c>
      <c r="H32" s="169">
        <v>15100.0</v>
      </c>
      <c r="I32" s="169">
        <v>135900.0</v>
      </c>
      <c r="J32" s="169">
        <v>0.0</v>
      </c>
      <c r="K32" s="169">
        <v>9.0</v>
      </c>
      <c r="L32" s="169">
        <v>0.0</v>
      </c>
    </row>
    <row r="33" ht="14.25" customHeight="1">
      <c r="A33" s="169" t="s">
        <v>6603</v>
      </c>
      <c r="B33" s="169" t="s">
        <v>6599</v>
      </c>
      <c r="C33" s="169" t="s">
        <v>17760</v>
      </c>
      <c r="D33" s="169" t="str">
        <f t="shared" ref="D33:E33" si="23">"27239"</f>
        <v>27239</v>
      </c>
      <c r="E33" s="169" t="str">
        <f t="shared" si="23"/>
        <v>27239</v>
      </c>
      <c r="F33" s="169" t="s">
        <v>18811</v>
      </c>
      <c r="G33" s="169">
        <v>3.0</v>
      </c>
      <c r="H33" s="169">
        <v>20100.0</v>
      </c>
      <c r="I33" s="169">
        <v>60300.0</v>
      </c>
      <c r="J33" s="169">
        <v>0.0</v>
      </c>
      <c r="K33" s="169">
        <v>3.0</v>
      </c>
      <c r="L33" s="169">
        <v>0.0</v>
      </c>
    </row>
    <row r="34" ht="14.25" customHeight="1">
      <c r="A34" s="169" t="s">
        <v>6603</v>
      </c>
      <c r="B34" s="169" t="s">
        <v>6599</v>
      </c>
      <c r="C34" s="169" t="s">
        <v>17758</v>
      </c>
      <c r="D34" s="169" t="str">
        <f t="shared" ref="D34:E34" si="24">"26773"</f>
        <v>26773</v>
      </c>
      <c r="E34" s="169" t="str">
        <f t="shared" si="24"/>
        <v>26773</v>
      </c>
      <c r="F34" s="169" t="s">
        <v>18811</v>
      </c>
      <c r="G34" s="169">
        <v>10.0</v>
      </c>
      <c r="H34" s="169">
        <v>5000.0</v>
      </c>
      <c r="I34" s="169">
        <v>50000.0</v>
      </c>
      <c r="J34" s="169">
        <v>0.0</v>
      </c>
      <c r="K34" s="169">
        <v>10.0</v>
      </c>
      <c r="L34" s="169">
        <v>0.0</v>
      </c>
    </row>
    <row r="35" ht="14.25" customHeight="1">
      <c r="A35" s="169" t="s">
        <v>6603</v>
      </c>
      <c r="B35" s="169" t="s">
        <v>6599</v>
      </c>
      <c r="C35" s="169" t="s">
        <v>17756</v>
      </c>
      <c r="D35" s="169" t="str">
        <f t="shared" ref="D35:E35" si="25">"26065"</f>
        <v>26065</v>
      </c>
      <c r="E35" s="169" t="str">
        <f t="shared" si="25"/>
        <v>26065</v>
      </c>
      <c r="F35" s="169" t="s">
        <v>18811</v>
      </c>
      <c r="G35" s="169">
        <v>3.0</v>
      </c>
      <c r="H35" s="169">
        <v>7600.0</v>
      </c>
      <c r="I35" s="169">
        <v>22800.0</v>
      </c>
      <c r="J35" s="169">
        <v>0.0</v>
      </c>
      <c r="K35" s="169">
        <v>3.0</v>
      </c>
      <c r="L35" s="169">
        <v>0.0</v>
      </c>
    </row>
    <row r="36" ht="14.25" customHeight="1">
      <c r="A36" s="169" t="s">
        <v>6603</v>
      </c>
      <c r="B36" s="169" t="s">
        <v>6599</v>
      </c>
      <c r="C36" s="169" t="s">
        <v>17754</v>
      </c>
      <c r="D36" s="169" t="str">
        <f t="shared" ref="D36:E36" si="26">"27246"</f>
        <v>27246</v>
      </c>
      <c r="E36" s="169" t="str">
        <f t="shared" si="26"/>
        <v>27246</v>
      </c>
      <c r="F36" s="169" t="s">
        <v>18811</v>
      </c>
      <c r="G36" s="169">
        <v>11.0</v>
      </c>
      <c r="H36" s="169">
        <v>4000.0</v>
      </c>
      <c r="I36" s="169">
        <v>44000.0</v>
      </c>
      <c r="J36" s="169">
        <v>0.0</v>
      </c>
      <c r="K36" s="169">
        <v>11.0</v>
      </c>
      <c r="L36" s="169">
        <v>0.0</v>
      </c>
    </row>
    <row r="37" ht="14.25" customHeight="1">
      <c r="A37" s="169" t="s">
        <v>6603</v>
      </c>
      <c r="B37" s="169" t="s">
        <v>6599</v>
      </c>
      <c r="C37" s="169" t="s">
        <v>17752</v>
      </c>
      <c r="D37" s="169" t="str">
        <f t="shared" ref="D37:E37" si="27">"26575"</f>
        <v>26575</v>
      </c>
      <c r="E37" s="169" t="str">
        <f t="shared" si="27"/>
        <v>26575</v>
      </c>
      <c r="F37" s="169" t="s">
        <v>18811</v>
      </c>
      <c r="G37" s="169">
        <v>12.0</v>
      </c>
      <c r="H37" s="169">
        <v>5000.0</v>
      </c>
      <c r="I37" s="169">
        <v>60000.0</v>
      </c>
      <c r="J37" s="169">
        <v>0.0</v>
      </c>
      <c r="K37" s="169">
        <v>12.0</v>
      </c>
      <c r="L37" s="169">
        <v>0.0</v>
      </c>
    </row>
    <row r="38" ht="14.25" customHeight="1">
      <c r="A38" s="169" t="s">
        <v>6603</v>
      </c>
      <c r="B38" s="169" t="s">
        <v>6599</v>
      </c>
      <c r="C38" s="169" t="s">
        <v>17750</v>
      </c>
      <c r="D38" s="169" t="str">
        <f t="shared" ref="D38:E38" si="28">"27353"</f>
        <v>27353</v>
      </c>
      <c r="E38" s="169" t="str">
        <f t="shared" si="28"/>
        <v>27353</v>
      </c>
      <c r="F38" s="169" t="s">
        <v>18811</v>
      </c>
      <c r="G38" s="169">
        <v>4.0</v>
      </c>
      <c r="H38" s="169">
        <v>10100.0</v>
      </c>
      <c r="I38" s="169">
        <v>40400.0</v>
      </c>
      <c r="J38" s="169">
        <v>0.0</v>
      </c>
      <c r="K38" s="169">
        <v>4.0</v>
      </c>
      <c r="L38" s="169">
        <v>0.0</v>
      </c>
    </row>
    <row r="39" ht="14.25" customHeight="1">
      <c r="A39" s="169" t="s">
        <v>6603</v>
      </c>
      <c r="B39" s="169" t="s">
        <v>6599</v>
      </c>
      <c r="C39" s="169" t="s">
        <v>6705</v>
      </c>
      <c r="D39" s="169" t="str">
        <f>"8430306265964"</f>
        <v>8430306265964</v>
      </c>
      <c r="E39" s="169" t="str">
        <f>"26596"</f>
        <v>26596</v>
      </c>
      <c r="F39" s="169" t="s">
        <v>18811</v>
      </c>
      <c r="G39" s="169">
        <v>7.0</v>
      </c>
      <c r="H39" s="169">
        <v>5000.0</v>
      </c>
      <c r="I39" s="169">
        <v>35000.0</v>
      </c>
      <c r="J39" s="169">
        <v>0.0</v>
      </c>
      <c r="K39" s="169">
        <v>7.0</v>
      </c>
      <c r="L39" s="169">
        <v>0.0</v>
      </c>
    </row>
    <row r="40" ht="14.25" customHeight="1">
      <c r="A40" s="169" t="s">
        <v>6603</v>
      </c>
      <c r="B40" s="169" t="s">
        <v>6599</v>
      </c>
      <c r="C40" s="169" t="s">
        <v>17747</v>
      </c>
      <c r="D40" s="169" t="str">
        <f t="shared" ref="D40:E40" si="29">"27433"</f>
        <v>27433</v>
      </c>
      <c r="E40" s="169" t="str">
        <f t="shared" si="29"/>
        <v>27433</v>
      </c>
      <c r="F40" s="169" t="s">
        <v>18811</v>
      </c>
      <c r="G40" s="169">
        <v>8.0</v>
      </c>
      <c r="H40" s="169">
        <v>10100.0</v>
      </c>
      <c r="I40" s="169">
        <v>80800.0</v>
      </c>
      <c r="J40" s="169">
        <v>0.0</v>
      </c>
      <c r="K40" s="169">
        <v>8.0</v>
      </c>
      <c r="L40" s="169">
        <v>0.0</v>
      </c>
    </row>
    <row r="41" ht="14.25" customHeight="1">
      <c r="A41" s="169" t="s">
        <v>6603</v>
      </c>
      <c r="B41" s="169" t="s">
        <v>6599</v>
      </c>
      <c r="C41" s="169" t="s">
        <v>17745</v>
      </c>
      <c r="D41" s="169" t="str">
        <f t="shared" ref="D41:E41" si="30">"27249"</f>
        <v>27249</v>
      </c>
      <c r="E41" s="169" t="str">
        <f t="shared" si="30"/>
        <v>27249</v>
      </c>
      <c r="F41" s="169" t="s">
        <v>18811</v>
      </c>
      <c r="G41" s="169">
        <v>7.0</v>
      </c>
      <c r="H41" s="169">
        <v>3000.0</v>
      </c>
      <c r="I41" s="169">
        <v>21000.0</v>
      </c>
      <c r="J41" s="169">
        <v>0.0</v>
      </c>
      <c r="K41" s="169">
        <v>7.0</v>
      </c>
      <c r="L41" s="169">
        <v>0.0</v>
      </c>
    </row>
    <row r="42" ht="14.25" customHeight="1">
      <c r="A42" s="169" t="s">
        <v>6603</v>
      </c>
      <c r="B42" s="169" t="s">
        <v>6599</v>
      </c>
      <c r="C42" s="169" t="s">
        <v>17743</v>
      </c>
      <c r="D42" s="169" t="str">
        <f t="shared" ref="D42:E42" si="31">"27245"</f>
        <v>27245</v>
      </c>
      <c r="E42" s="169" t="str">
        <f t="shared" si="31"/>
        <v>27245</v>
      </c>
      <c r="F42" s="169" t="s">
        <v>18811</v>
      </c>
      <c r="G42" s="169">
        <v>14.0</v>
      </c>
      <c r="H42" s="169">
        <v>7600.0</v>
      </c>
      <c r="I42" s="169">
        <v>106400.0</v>
      </c>
      <c r="J42" s="169">
        <v>0.0</v>
      </c>
      <c r="K42" s="169">
        <v>14.0</v>
      </c>
      <c r="L42" s="169">
        <v>1.0</v>
      </c>
    </row>
    <row r="43" ht="14.25" customHeight="1">
      <c r="A43" s="169" t="s">
        <v>6603</v>
      </c>
      <c r="B43" s="169" t="s">
        <v>6599</v>
      </c>
      <c r="C43" s="169" t="s">
        <v>6708</v>
      </c>
      <c r="D43" s="169" t="str">
        <f>"8430306260709"</f>
        <v>8430306260709</v>
      </c>
      <c r="E43" s="169" t="str">
        <f>"26070"</f>
        <v>26070</v>
      </c>
      <c r="F43" s="169" t="s">
        <v>18811</v>
      </c>
      <c r="G43" s="169">
        <v>5.0</v>
      </c>
      <c r="H43" s="169">
        <v>7600.0</v>
      </c>
      <c r="I43" s="169">
        <v>38000.0</v>
      </c>
      <c r="J43" s="169">
        <v>0.0</v>
      </c>
      <c r="K43" s="169">
        <v>5.0</v>
      </c>
      <c r="L43" s="169">
        <v>0.0</v>
      </c>
    </row>
    <row r="44" ht="14.25" customHeight="1">
      <c r="A44" s="169" t="s">
        <v>6603</v>
      </c>
      <c r="B44" s="169" t="s">
        <v>6599</v>
      </c>
      <c r="C44" s="169" t="s">
        <v>17740</v>
      </c>
      <c r="D44" s="169" t="str">
        <f t="shared" ref="D44:E44" si="32">"23669"</f>
        <v>23669</v>
      </c>
      <c r="E44" s="169" t="str">
        <f t="shared" si="32"/>
        <v>23669</v>
      </c>
      <c r="F44" s="169" t="s">
        <v>18811</v>
      </c>
      <c r="G44" s="169">
        <v>9.0</v>
      </c>
      <c r="H44" s="169">
        <v>4000.0</v>
      </c>
      <c r="I44" s="169">
        <v>36000.0</v>
      </c>
      <c r="J44" s="169">
        <v>0.0</v>
      </c>
      <c r="K44" s="169">
        <v>9.0</v>
      </c>
      <c r="L44" s="169">
        <v>0.0</v>
      </c>
    </row>
    <row r="45" ht="14.25" customHeight="1">
      <c r="A45" s="169" t="s">
        <v>6603</v>
      </c>
      <c r="B45" s="169" t="s">
        <v>6599</v>
      </c>
      <c r="C45" s="169" t="s">
        <v>17738</v>
      </c>
      <c r="D45" s="169" t="str">
        <f t="shared" ref="D45:E45" si="33">"24767"</f>
        <v>24767</v>
      </c>
      <c r="E45" s="169" t="str">
        <f t="shared" si="33"/>
        <v>24767</v>
      </c>
      <c r="F45" s="169" t="s">
        <v>18811</v>
      </c>
      <c r="G45" s="169">
        <v>6.0</v>
      </c>
      <c r="H45" s="169">
        <v>4550.0</v>
      </c>
      <c r="I45" s="169">
        <v>27300.0</v>
      </c>
      <c r="J45" s="169">
        <v>0.0</v>
      </c>
      <c r="K45" s="169">
        <v>6.0</v>
      </c>
      <c r="L45" s="169">
        <v>0.0</v>
      </c>
    </row>
    <row r="46" ht="14.25" customHeight="1">
      <c r="A46" s="169" t="s">
        <v>6603</v>
      </c>
      <c r="B46" s="169" t="s">
        <v>6599</v>
      </c>
      <c r="C46" s="169" t="s">
        <v>17736</v>
      </c>
      <c r="D46" s="169" t="str">
        <f>"8430306267609"</f>
        <v>8430306267609</v>
      </c>
      <c r="E46" s="169" t="str">
        <f>"26760"</f>
        <v>26760</v>
      </c>
      <c r="F46" s="169" t="s">
        <v>18811</v>
      </c>
      <c r="G46" s="169">
        <v>6.0</v>
      </c>
      <c r="H46" s="169">
        <v>4000.0</v>
      </c>
      <c r="I46" s="169">
        <v>24000.0</v>
      </c>
      <c r="J46" s="169">
        <v>0.0</v>
      </c>
      <c r="K46" s="169">
        <v>6.0</v>
      </c>
      <c r="L46" s="169">
        <v>0.0</v>
      </c>
    </row>
    <row r="47" ht="14.25" customHeight="1">
      <c r="A47" s="169" t="s">
        <v>6603</v>
      </c>
      <c r="B47" s="169" t="s">
        <v>6599</v>
      </c>
      <c r="C47" s="169" t="s">
        <v>17734</v>
      </c>
      <c r="D47" s="169" t="str">
        <f>"8430306267647"</f>
        <v>8430306267647</v>
      </c>
      <c r="E47" s="169" t="str">
        <f>"26764"</f>
        <v>26764</v>
      </c>
      <c r="F47" s="169" t="s">
        <v>18811</v>
      </c>
      <c r="G47" s="169">
        <v>5.0</v>
      </c>
      <c r="H47" s="169">
        <v>6500.0</v>
      </c>
      <c r="I47" s="169">
        <v>32500.0</v>
      </c>
      <c r="J47" s="169">
        <v>0.0</v>
      </c>
      <c r="K47" s="169">
        <v>5.0</v>
      </c>
      <c r="L47" s="169">
        <v>0.0</v>
      </c>
    </row>
    <row r="48" ht="14.25" customHeight="1">
      <c r="A48" s="169" t="s">
        <v>6603</v>
      </c>
      <c r="B48" s="169" t="s">
        <v>6599</v>
      </c>
      <c r="C48" s="169" t="s">
        <v>17732</v>
      </c>
      <c r="D48" s="169" t="str">
        <f>"8430306267661"</f>
        <v>8430306267661</v>
      </c>
      <c r="E48" s="169" t="str">
        <f>"26766"</f>
        <v>26766</v>
      </c>
      <c r="F48" s="169" t="s">
        <v>18811</v>
      </c>
      <c r="G48" s="169">
        <v>5.0</v>
      </c>
      <c r="H48" s="169">
        <v>10100.0</v>
      </c>
      <c r="I48" s="169">
        <v>50500.0</v>
      </c>
      <c r="J48" s="169">
        <v>0.0</v>
      </c>
      <c r="K48" s="169">
        <v>5.0</v>
      </c>
      <c r="L48" s="169">
        <v>0.0</v>
      </c>
    </row>
    <row r="49" ht="14.25" customHeight="1">
      <c r="A49" s="169" t="s">
        <v>6603</v>
      </c>
      <c r="B49" s="169" t="s">
        <v>6599</v>
      </c>
      <c r="C49" s="169" t="s">
        <v>17730</v>
      </c>
      <c r="D49" s="169" t="str">
        <f t="shared" ref="D49:E49" si="34">"24824"</f>
        <v>24824</v>
      </c>
      <c r="E49" s="169" t="str">
        <f t="shared" si="34"/>
        <v>24824</v>
      </c>
      <c r="F49" s="169" t="s">
        <v>18811</v>
      </c>
      <c r="G49" s="169">
        <v>2.0</v>
      </c>
      <c r="H49" s="169">
        <v>5000.0</v>
      </c>
      <c r="I49" s="169">
        <v>10000.0</v>
      </c>
      <c r="J49" s="169">
        <v>0.0</v>
      </c>
      <c r="K49" s="169">
        <v>2.0</v>
      </c>
      <c r="L49" s="169">
        <v>0.0</v>
      </c>
    </row>
    <row r="50" ht="14.25" customHeight="1">
      <c r="A50" s="169" t="s">
        <v>6603</v>
      </c>
      <c r="B50" s="169" t="s">
        <v>6599</v>
      </c>
      <c r="C50" s="169" t="s">
        <v>17728</v>
      </c>
      <c r="D50" s="169" t="str">
        <f>"8430306258034"</f>
        <v>8430306258034</v>
      </c>
      <c r="E50" s="169" t="str">
        <f>"25803"</f>
        <v>25803</v>
      </c>
      <c r="F50" s="169" t="s">
        <v>18811</v>
      </c>
      <c r="G50" s="169">
        <v>9.0</v>
      </c>
      <c r="H50" s="169">
        <v>2800.0</v>
      </c>
      <c r="I50" s="169">
        <v>25200.0</v>
      </c>
      <c r="J50" s="169">
        <v>0.0</v>
      </c>
      <c r="K50" s="169">
        <v>9.0</v>
      </c>
      <c r="L50" s="169">
        <v>1.0</v>
      </c>
    </row>
    <row r="51" ht="14.25" customHeight="1">
      <c r="A51" s="169" t="s">
        <v>6603</v>
      </c>
      <c r="B51" s="169" t="s">
        <v>6599</v>
      </c>
      <c r="C51" s="169" t="s">
        <v>17726</v>
      </c>
      <c r="D51" s="169" t="str">
        <f>"8430306260556"</f>
        <v>8430306260556</v>
      </c>
      <c r="E51" s="169" t="str">
        <f>"26055"</f>
        <v>26055</v>
      </c>
      <c r="F51" s="169" t="s">
        <v>18811</v>
      </c>
      <c r="G51" s="169">
        <v>2.0</v>
      </c>
      <c r="H51" s="169">
        <v>2500.0</v>
      </c>
      <c r="I51" s="169">
        <v>5000.0</v>
      </c>
      <c r="J51" s="169">
        <v>0.0</v>
      </c>
      <c r="K51" s="169">
        <v>2.0</v>
      </c>
      <c r="L51" s="169">
        <v>0.0</v>
      </c>
    </row>
    <row r="52" ht="14.25" customHeight="1">
      <c r="A52" s="169" t="s">
        <v>6603</v>
      </c>
      <c r="B52" s="169" t="s">
        <v>6599</v>
      </c>
      <c r="C52" s="169" t="s">
        <v>17724</v>
      </c>
      <c r="D52" s="169" t="str">
        <f>"8430306260570"</f>
        <v>8430306260570</v>
      </c>
      <c r="E52" s="169" t="str">
        <f>"26057"</f>
        <v>26057</v>
      </c>
      <c r="F52" s="169" t="s">
        <v>18811</v>
      </c>
      <c r="G52" s="169">
        <v>2.0</v>
      </c>
      <c r="H52" s="169">
        <v>4000.0</v>
      </c>
      <c r="I52" s="169">
        <v>8000.0</v>
      </c>
      <c r="J52" s="169">
        <v>0.0</v>
      </c>
      <c r="K52" s="169">
        <v>2.0</v>
      </c>
      <c r="L52" s="169">
        <v>0.0</v>
      </c>
    </row>
    <row r="53" ht="14.25" customHeight="1">
      <c r="A53" s="169" t="s">
        <v>6603</v>
      </c>
      <c r="B53" s="169" t="s">
        <v>6599</v>
      </c>
      <c r="C53" s="169" t="s">
        <v>17722</v>
      </c>
      <c r="D53" s="169" t="str">
        <f t="shared" ref="D53:E53" si="35">"27496"</f>
        <v>27496</v>
      </c>
      <c r="E53" s="169" t="str">
        <f t="shared" si="35"/>
        <v>27496</v>
      </c>
      <c r="F53" s="169" t="s">
        <v>18811</v>
      </c>
      <c r="G53" s="169">
        <v>6.0</v>
      </c>
      <c r="H53" s="169">
        <v>20100.0</v>
      </c>
      <c r="I53" s="169">
        <v>120600.0</v>
      </c>
      <c r="J53" s="169">
        <v>0.0</v>
      </c>
      <c r="K53" s="169">
        <v>6.0</v>
      </c>
      <c r="L53" s="169">
        <v>0.0</v>
      </c>
    </row>
    <row r="54" ht="14.25" customHeight="1">
      <c r="A54" s="169" t="s">
        <v>6603</v>
      </c>
      <c r="B54" s="169" t="s">
        <v>6599</v>
      </c>
      <c r="C54" s="169" t="s">
        <v>17720</v>
      </c>
      <c r="D54" s="169" t="str">
        <f t="shared" ref="D54:E54" si="36">"27495"</f>
        <v>27495</v>
      </c>
      <c r="E54" s="169" t="str">
        <f t="shared" si="36"/>
        <v>27495</v>
      </c>
      <c r="F54" s="169" t="s">
        <v>18811</v>
      </c>
      <c r="G54" s="169">
        <v>3.0</v>
      </c>
      <c r="H54" s="169">
        <v>20100.0</v>
      </c>
      <c r="I54" s="169">
        <v>60300.0</v>
      </c>
      <c r="J54" s="169">
        <v>0.0</v>
      </c>
      <c r="K54" s="169">
        <v>3.0</v>
      </c>
      <c r="L54" s="169">
        <v>0.0</v>
      </c>
    </row>
    <row r="55" ht="14.25" customHeight="1">
      <c r="A55" s="169" t="s">
        <v>6603</v>
      </c>
      <c r="B55" s="169" t="s">
        <v>6599</v>
      </c>
      <c r="C55" s="169" t="s">
        <v>17718</v>
      </c>
      <c r="D55" s="169" t="str">
        <f>"8430306275857"</f>
        <v>8430306275857</v>
      </c>
      <c r="E55" s="169" t="str">
        <f>"27585"</f>
        <v>27585</v>
      </c>
      <c r="F55" s="169" t="s">
        <v>18811</v>
      </c>
      <c r="G55" s="169">
        <v>9.0</v>
      </c>
      <c r="H55" s="169">
        <v>4000.0</v>
      </c>
      <c r="I55" s="169">
        <v>36000.0</v>
      </c>
      <c r="J55" s="169">
        <v>0.0</v>
      </c>
      <c r="K55" s="169">
        <v>9.0</v>
      </c>
      <c r="L55" s="169">
        <v>0.0</v>
      </c>
    </row>
    <row r="56" ht="14.25" customHeight="1">
      <c r="A56" s="169" t="s">
        <v>6603</v>
      </c>
      <c r="B56" s="169" t="s">
        <v>6599</v>
      </c>
      <c r="C56" s="169" t="s">
        <v>17716</v>
      </c>
      <c r="D56" s="169" t="str">
        <f t="shared" ref="D56:E56" si="37">"26022"</f>
        <v>26022</v>
      </c>
      <c r="E56" s="169" t="str">
        <f t="shared" si="37"/>
        <v>26022</v>
      </c>
      <c r="F56" s="169" t="s">
        <v>18811</v>
      </c>
      <c r="G56" s="169">
        <v>6.0</v>
      </c>
      <c r="H56" s="169">
        <v>3500.0</v>
      </c>
      <c r="I56" s="169">
        <v>21000.0</v>
      </c>
      <c r="J56" s="169">
        <v>0.0</v>
      </c>
      <c r="K56" s="169">
        <v>6.0</v>
      </c>
      <c r="L56" s="169">
        <v>0.0</v>
      </c>
    </row>
    <row r="57" ht="14.25" customHeight="1">
      <c r="A57" s="169" t="s">
        <v>6603</v>
      </c>
      <c r="B57" s="169" t="s">
        <v>6599</v>
      </c>
      <c r="C57" s="169" t="s">
        <v>17714</v>
      </c>
      <c r="D57" s="169" t="str">
        <f t="shared" ref="D57:E57" si="38">"26021"</f>
        <v>26021</v>
      </c>
      <c r="E57" s="169" t="str">
        <f t="shared" si="38"/>
        <v>26021</v>
      </c>
      <c r="F57" s="169" t="s">
        <v>18811</v>
      </c>
      <c r="G57" s="169">
        <v>60.0</v>
      </c>
      <c r="H57" s="169">
        <v>1000.0</v>
      </c>
      <c r="I57" s="169">
        <v>60000.0</v>
      </c>
      <c r="J57" s="169">
        <v>0.0</v>
      </c>
      <c r="K57" s="169">
        <v>60.0</v>
      </c>
      <c r="L57" s="169">
        <v>0.0</v>
      </c>
    </row>
    <row r="58" ht="14.25" customHeight="1">
      <c r="A58" s="169" t="s">
        <v>6603</v>
      </c>
      <c r="B58" s="169" t="s">
        <v>6599</v>
      </c>
      <c r="C58" s="169" t="s">
        <v>17713</v>
      </c>
      <c r="D58" s="169" t="str">
        <f t="shared" ref="D58:E58" si="39">"26021A"</f>
        <v>26021A</v>
      </c>
      <c r="E58" s="169" t="str">
        <f t="shared" si="39"/>
        <v>26021A</v>
      </c>
      <c r="F58" s="169" t="s">
        <v>18811</v>
      </c>
      <c r="G58" s="169">
        <v>2.0</v>
      </c>
      <c r="H58" s="169">
        <v>2000.0</v>
      </c>
      <c r="I58" s="169">
        <v>4000.0</v>
      </c>
      <c r="J58" s="169">
        <v>0.0</v>
      </c>
      <c r="K58" s="169">
        <v>2.0</v>
      </c>
      <c r="L58" s="169">
        <v>0.0</v>
      </c>
    </row>
    <row r="59" ht="14.25" customHeight="1">
      <c r="A59" s="169" t="s">
        <v>6603</v>
      </c>
      <c r="B59" s="169" t="s">
        <v>6599</v>
      </c>
      <c r="C59" s="169" t="s">
        <v>17712</v>
      </c>
      <c r="D59" s="169" t="str">
        <f t="shared" ref="D59:E59" si="40">"26021B"</f>
        <v>26021B</v>
      </c>
      <c r="E59" s="169" t="str">
        <f t="shared" si="40"/>
        <v>26021B</v>
      </c>
      <c r="F59" s="169" t="s">
        <v>18811</v>
      </c>
      <c r="G59" s="169">
        <v>4.0</v>
      </c>
      <c r="H59" s="169">
        <v>3500.0</v>
      </c>
      <c r="I59" s="169">
        <v>14000.0</v>
      </c>
      <c r="J59" s="169">
        <v>0.0</v>
      </c>
      <c r="K59" s="169">
        <v>4.0</v>
      </c>
      <c r="L59" s="169">
        <v>0.0</v>
      </c>
    </row>
    <row r="60" ht="14.25" customHeight="1">
      <c r="A60" s="169" t="s">
        <v>6603</v>
      </c>
      <c r="B60" s="169" t="s">
        <v>6599</v>
      </c>
      <c r="C60" s="169" t="s">
        <v>17710</v>
      </c>
      <c r="D60" s="169" t="str">
        <f>"8430306269948"</f>
        <v>8430306269948</v>
      </c>
      <c r="E60" s="169" t="str">
        <f>"26994"</f>
        <v>26994</v>
      </c>
      <c r="F60" s="169" t="s">
        <v>18811</v>
      </c>
      <c r="G60" s="169">
        <v>6.0</v>
      </c>
      <c r="H60" s="169">
        <v>4161.0</v>
      </c>
      <c r="I60" s="169">
        <v>24966.0</v>
      </c>
      <c r="J60" s="169">
        <v>0.0</v>
      </c>
      <c r="K60" s="169">
        <v>6.0</v>
      </c>
      <c r="L60" s="169">
        <v>0.0</v>
      </c>
    </row>
    <row r="61" ht="14.25" customHeight="1">
      <c r="A61" s="169" t="s">
        <v>6603</v>
      </c>
      <c r="B61" s="169" t="s">
        <v>6599</v>
      </c>
      <c r="C61" s="169" t="s">
        <v>17708</v>
      </c>
      <c r="D61" s="169" t="str">
        <f t="shared" ref="D61:E61" si="41">"2691516"</f>
        <v>2691516</v>
      </c>
      <c r="E61" s="169" t="str">
        <f t="shared" si="41"/>
        <v>2691516</v>
      </c>
      <c r="F61" s="169" t="s">
        <v>18811</v>
      </c>
      <c r="G61" s="169">
        <v>6.0</v>
      </c>
      <c r="H61" s="169">
        <v>4000.0</v>
      </c>
      <c r="I61" s="169">
        <v>24000.0</v>
      </c>
      <c r="J61" s="169">
        <v>0.0</v>
      </c>
      <c r="K61" s="169">
        <v>6.0</v>
      </c>
      <c r="L61" s="169">
        <v>0.0</v>
      </c>
    </row>
    <row r="62" ht="14.25" customHeight="1">
      <c r="A62" s="169" t="s">
        <v>6603</v>
      </c>
      <c r="B62" s="169" t="s">
        <v>6599</v>
      </c>
      <c r="C62" s="169" t="s">
        <v>17706</v>
      </c>
      <c r="D62" s="169" t="str">
        <f t="shared" ref="D62:E62" si="42">"2691517"</f>
        <v>2691517</v>
      </c>
      <c r="E62" s="169" t="str">
        <f t="shared" si="42"/>
        <v>2691517</v>
      </c>
      <c r="F62" s="169" t="s">
        <v>18811</v>
      </c>
      <c r="G62" s="169">
        <v>7.0</v>
      </c>
      <c r="H62" s="169">
        <v>3329.0</v>
      </c>
      <c r="I62" s="169">
        <v>23303.0</v>
      </c>
      <c r="J62" s="169">
        <v>0.0</v>
      </c>
      <c r="K62" s="169">
        <v>7.0</v>
      </c>
      <c r="L62" s="169">
        <v>0.0</v>
      </c>
    </row>
    <row r="63" ht="14.25" customHeight="1">
      <c r="A63" s="169" t="s">
        <v>6603</v>
      </c>
      <c r="B63" s="169" t="s">
        <v>6599</v>
      </c>
      <c r="C63" s="169" t="s">
        <v>17704</v>
      </c>
      <c r="D63" s="169" t="str">
        <f t="shared" ref="D63:E63" si="43">"26409"</f>
        <v>26409</v>
      </c>
      <c r="E63" s="169" t="str">
        <f t="shared" si="43"/>
        <v>26409</v>
      </c>
      <c r="F63" s="169" t="s">
        <v>18811</v>
      </c>
      <c r="G63" s="169">
        <v>9.0</v>
      </c>
      <c r="H63" s="169">
        <v>6340.0</v>
      </c>
      <c r="I63" s="169">
        <v>57060.0</v>
      </c>
      <c r="J63" s="169">
        <v>0.0</v>
      </c>
      <c r="K63" s="169">
        <v>9.0</v>
      </c>
      <c r="L63" s="169">
        <v>0.0</v>
      </c>
    </row>
    <row r="64" ht="14.25" customHeight="1">
      <c r="A64" s="169" t="s">
        <v>6603</v>
      </c>
      <c r="B64" s="169" t="s">
        <v>6599</v>
      </c>
      <c r="C64" s="169" t="s">
        <v>17702</v>
      </c>
      <c r="D64" s="169" t="str">
        <f t="shared" ref="D64:E64" si="44">"25566"</f>
        <v>25566</v>
      </c>
      <c r="E64" s="169" t="str">
        <f t="shared" si="44"/>
        <v>25566</v>
      </c>
      <c r="F64" s="169" t="s">
        <v>18811</v>
      </c>
      <c r="G64" s="169">
        <v>8.0</v>
      </c>
      <c r="H64" s="169">
        <v>9260.0</v>
      </c>
      <c r="I64" s="169">
        <v>74080.0</v>
      </c>
      <c r="J64" s="169">
        <v>0.0</v>
      </c>
      <c r="K64" s="169">
        <v>8.0</v>
      </c>
      <c r="L64" s="169">
        <v>0.0</v>
      </c>
    </row>
    <row r="65" ht="14.25" customHeight="1">
      <c r="A65" s="169" t="s">
        <v>6603</v>
      </c>
      <c r="B65" s="169" t="s">
        <v>6599</v>
      </c>
      <c r="C65" s="169" t="s">
        <v>17700</v>
      </c>
      <c r="D65" s="169" t="str">
        <f t="shared" ref="D65:E65" si="45">"26883"</f>
        <v>26883</v>
      </c>
      <c r="E65" s="169" t="str">
        <f t="shared" si="45"/>
        <v>26883</v>
      </c>
      <c r="F65" s="169" t="s">
        <v>18811</v>
      </c>
      <c r="G65" s="169">
        <v>5.0</v>
      </c>
      <c r="H65" s="169">
        <v>7600.0</v>
      </c>
      <c r="I65" s="169">
        <v>38000.0</v>
      </c>
      <c r="J65" s="169">
        <v>0.0</v>
      </c>
      <c r="K65" s="169">
        <v>5.0</v>
      </c>
      <c r="L65" s="169">
        <v>0.0</v>
      </c>
    </row>
    <row r="66" ht="14.25" customHeight="1">
      <c r="A66" s="169" t="s">
        <v>6603</v>
      </c>
      <c r="B66" s="169" t="s">
        <v>6599</v>
      </c>
      <c r="C66" s="169" t="s">
        <v>6656</v>
      </c>
      <c r="D66" s="169" t="str">
        <f t="shared" ref="D66:E66" si="46">"26885"</f>
        <v>26885</v>
      </c>
      <c r="E66" s="169" t="str">
        <f t="shared" si="46"/>
        <v>26885</v>
      </c>
      <c r="F66" s="169" t="s">
        <v>18811</v>
      </c>
      <c r="G66" s="169">
        <v>6.0</v>
      </c>
      <c r="H66" s="169">
        <v>7600.0</v>
      </c>
      <c r="I66" s="169">
        <v>45600.0</v>
      </c>
      <c r="J66" s="169">
        <v>0.0</v>
      </c>
      <c r="K66" s="169">
        <v>6.0</v>
      </c>
      <c r="L66" s="169">
        <v>0.0</v>
      </c>
    </row>
    <row r="67" ht="14.25" customHeight="1">
      <c r="A67" s="169" t="s">
        <v>6603</v>
      </c>
      <c r="B67" s="169" t="s">
        <v>6599</v>
      </c>
      <c r="C67" s="169" t="s">
        <v>17697</v>
      </c>
      <c r="D67" s="169" t="str">
        <f t="shared" ref="D67:E67" si="47">"26884"</f>
        <v>26884</v>
      </c>
      <c r="E67" s="169" t="str">
        <f t="shared" si="47"/>
        <v>26884</v>
      </c>
      <c r="F67" s="169" t="s">
        <v>18811</v>
      </c>
      <c r="G67" s="169">
        <v>6.0</v>
      </c>
      <c r="H67" s="169">
        <v>7600.0</v>
      </c>
      <c r="I67" s="169">
        <v>45600.0</v>
      </c>
      <c r="J67" s="169">
        <v>0.0</v>
      </c>
      <c r="K67" s="169">
        <v>6.0</v>
      </c>
      <c r="L67" s="169">
        <v>0.0</v>
      </c>
    </row>
    <row r="68" ht="14.25" customHeight="1">
      <c r="A68" s="169" t="s">
        <v>6603</v>
      </c>
      <c r="B68" s="169" t="s">
        <v>6599</v>
      </c>
      <c r="C68" s="169" t="s">
        <v>17695</v>
      </c>
      <c r="D68" s="169" t="str">
        <f t="shared" ref="D68:E68" si="48">"27409"</f>
        <v>27409</v>
      </c>
      <c r="E68" s="169" t="str">
        <f t="shared" si="48"/>
        <v>27409</v>
      </c>
      <c r="F68" s="169" t="s">
        <v>18811</v>
      </c>
      <c r="G68" s="169">
        <v>4.0</v>
      </c>
      <c r="H68" s="169">
        <v>10100.0</v>
      </c>
      <c r="I68" s="169">
        <v>40400.0</v>
      </c>
      <c r="J68" s="169">
        <v>0.0</v>
      </c>
      <c r="K68" s="169">
        <v>4.0</v>
      </c>
      <c r="L68" s="169">
        <v>0.0</v>
      </c>
    </row>
    <row r="69" ht="14.25" customHeight="1">
      <c r="A69" s="169" t="s">
        <v>6603</v>
      </c>
      <c r="B69" s="169" t="s">
        <v>6599</v>
      </c>
      <c r="C69" s="169" t="s">
        <v>17693</v>
      </c>
      <c r="D69" s="169" t="str">
        <f t="shared" ref="D69:E69" si="49">"27261"</f>
        <v>27261</v>
      </c>
      <c r="E69" s="169" t="str">
        <f t="shared" si="49"/>
        <v>27261</v>
      </c>
      <c r="F69" s="169" t="s">
        <v>18811</v>
      </c>
      <c r="G69" s="169">
        <v>7.0</v>
      </c>
      <c r="H69" s="169">
        <v>10100.0</v>
      </c>
      <c r="I69" s="169">
        <v>70700.0</v>
      </c>
      <c r="J69" s="169">
        <v>0.0</v>
      </c>
      <c r="K69" s="169">
        <v>7.0</v>
      </c>
      <c r="L69" s="169">
        <v>0.0</v>
      </c>
    </row>
    <row r="70" ht="14.25" customHeight="1">
      <c r="A70" s="169" t="s">
        <v>6603</v>
      </c>
      <c r="B70" s="169" t="s">
        <v>6599</v>
      </c>
      <c r="C70" s="169" t="s">
        <v>17691</v>
      </c>
      <c r="D70" s="169" t="str">
        <f t="shared" ref="D70:E70" si="50">"27413"</f>
        <v>27413</v>
      </c>
      <c r="E70" s="169" t="str">
        <f t="shared" si="50"/>
        <v>27413</v>
      </c>
      <c r="F70" s="169" t="s">
        <v>18811</v>
      </c>
      <c r="G70" s="169">
        <v>10.0</v>
      </c>
      <c r="H70" s="169">
        <v>10100.0</v>
      </c>
      <c r="I70" s="169">
        <v>101000.0</v>
      </c>
      <c r="J70" s="169">
        <v>0.0</v>
      </c>
      <c r="K70" s="169">
        <v>10.0</v>
      </c>
      <c r="L70" s="169">
        <v>0.0</v>
      </c>
    </row>
    <row r="71" ht="14.25" customHeight="1">
      <c r="A71" s="169" t="s">
        <v>6603</v>
      </c>
      <c r="B71" s="169" t="s">
        <v>6599</v>
      </c>
      <c r="C71" s="169" t="s">
        <v>17689</v>
      </c>
      <c r="D71" s="169" t="str">
        <f t="shared" ref="D71:E71" si="51">"27411"</f>
        <v>27411</v>
      </c>
      <c r="E71" s="169" t="str">
        <f t="shared" si="51"/>
        <v>27411</v>
      </c>
      <c r="F71" s="169" t="s">
        <v>18811</v>
      </c>
      <c r="G71" s="169">
        <v>15.0</v>
      </c>
      <c r="H71" s="169">
        <v>10100.0</v>
      </c>
      <c r="I71" s="169">
        <v>151500.0</v>
      </c>
      <c r="J71" s="169">
        <v>0.0</v>
      </c>
      <c r="K71" s="169">
        <v>15.0</v>
      </c>
      <c r="L71" s="169">
        <v>0.0</v>
      </c>
    </row>
    <row r="72" ht="14.25" customHeight="1">
      <c r="A72" s="169" t="s">
        <v>6603</v>
      </c>
      <c r="B72" s="169" t="s">
        <v>6599</v>
      </c>
      <c r="C72" s="169" t="s">
        <v>17685</v>
      </c>
      <c r="D72" s="169" t="str">
        <f t="shared" ref="D72:E72" si="52">"26925"</f>
        <v>26925</v>
      </c>
      <c r="E72" s="169" t="str">
        <f t="shared" si="52"/>
        <v>26925</v>
      </c>
      <c r="F72" s="169" t="s">
        <v>18811</v>
      </c>
      <c r="G72" s="169">
        <v>5.0</v>
      </c>
      <c r="H72" s="169">
        <v>40300.0</v>
      </c>
      <c r="I72" s="169">
        <v>201500.0</v>
      </c>
      <c r="J72" s="169">
        <v>0.0</v>
      </c>
      <c r="K72" s="169">
        <v>5.0</v>
      </c>
      <c r="L72" s="169">
        <v>0.0</v>
      </c>
    </row>
    <row r="73" ht="14.25" customHeight="1">
      <c r="A73" s="169" t="s">
        <v>6603</v>
      </c>
      <c r="B73" s="169" t="s">
        <v>6599</v>
      </c>
      <c r="C73" s="169" t="s">
        <v>17687</v>
      </c>
      <c r="D73" s="169" t="str">
        <f t="shared" ref="D73:E73" si="53">"25163"</f>
        <v>25163</v>
      </c>
      <c r="E73" s="169" t="str">
        <f t="shared" si="53"/>
        <v>25163</v>
      </c>
      <c r="F73" s="169" t="s">
        <v>18811</v>
      </c>
      <c r="G73" s="169">
        <v>10.0</v>
      </c>
      <c r="H73" s="169">
        <v>40300.0</v>
      </c>
      <c r="I73" s="169">
        <v>403000.0</v>
      </c>
      <c r="J73" s="169">
        <v>0.0</v>
      </c>
      <c r="K73" s="169">
        <v>10.0</v>
      </c>
      <c r="L73" s="169">
        <v>0.0</v>
      </c>
    </row>
    <row r="74" ht="14.25" customHeight="1">
      <c r="A74" s="169" t="s">
        <v>6603</v>
      </c>
      <c r="B74" s="169" t="s">
        <v>6599</v>
      </c>
      <c r="C74" s="169" t="s">
        <v>17683</v>
      </c>
      <c r="D74" s="169" t="str">
        <f t="shared" ref="D74:E74" si="54">"26667"</f>
        <v>26667</v>
      </c>
      <c r="E74" s="169" t="str">
        <f t="shared" si="54"/>
        <v>26667</v>
      </c>
      <c r="F74" s="169" t="s">
        <v>18811</v>
      </c>
      <c r="G74" s="169">
        <v>5.0</v>
      </c>
      <c r="H74" s="169">
        <v>35300.0</v>
      </c>
      <c r="I74" s="169">
        <v>176500.0</v>
      </c>
      <c r="J74" s="169">
        <v>0.0</v>
      </c>
      <c r="K74" s="169">
        <v>5.0</v>
      </c>
      <c r="L74" s="169">
        <v>0.0</v>
      </c>
    </row>
    <row r="75" ht="14.25" customHeight="1">
      <c r="A75" s="169" t="s">
        <v>6603</v>
      </c>
      <c r="B75" s="169" t="s">
        <v>6599</v>
      </c>
      <c r="C75" s="169" t="s">
        <v>17681</v>
      </c>
      <c r="D75" s="169" t="str">
        <f t="shared" ref="D75:E75" si="55">"26669"</f>
        <v>26669</v>
      </c>
      <c r="E75" s="169" t="str">
        <f t="shared" si="55"/>
        <v>26669</v>
      </c>
      <c r="F75" s="169" t="s">
        <v>18811</v>
      </c>
      <c r="G75" s="169">
        <v>2.0</v>
      </c>
      <c r="H75" s="169">
        <v>31770.0</v>
      </c>
      <c r="I75" s="169">
        <v>63540.0</v>
      </c>
      <c r="J75" s="169">
        <v>0.0</v>
      </c>
      <c r="K75" s="169">
        <v>2.0</v>
      </c>
      <c r="L75" s="169">
        <v>0.0</v>
      </c>
    </row>
    <row r="76" ht="14.25" customHeight="1">
      <c r="A76" s="169" t="s">
        <v>6603</v>
      </c>
      <c r="B76" s="169" t="s">
        <v>6599</v>
      </c>
      <c r="C76" s="169" t="s">
        <v>17679</v>
      </c>
      <c r="D76" s="169" t="str">
        <f t="shared" ref="D76:E76" si="56">"26668"</f>
        <v>26668</v>
      </c>
      <c r="E76" s="169" t="str">
        <f t="shared" si="56"/>
        <v>26668</v>
      </c>
      <c r="F76" s="169" t="s">
        <v>18811</v>
      </c>
      <c r="G76" s="169">
        <v>5.0</v>
      </c>
      <c r="H76" s="169">
        <v>40300.0</v>
      </c>
      <c r="I76" s="169">
        <v>201500.0</v>
      </c>
      <c r="J76" s="169">
        <v>0.0</v>
      </c>
      <c r="K76" s="169">
        <v>5.0</v>
      </c>
      <c r="L76" s="169">
        <v>0.0</v>
      </c>
    </row>
    <row r="77" ht="14.25" customHeight="1">
      <c r="A77" s="169" t="s">
        <v>6603</v>
      </c>
      <c r="B77" s="169" t="s">
        <v>6599</v>
      </c>
      <c r="C77" s="169" t="s">
        <v>17677</v>
      </c>
      <c r="D77" s="169" t="str">
        <f>"8430306267364"</f>
        <v>8430306267364</v>
      </c>
      <c r="E77" s="169" t="str">
        <f>"26736"</f>
        <v>26736</v>
      </c>
      <c r="F77" s="169" t="s">
        <v>18811</v>
      </c>
      <c r="G77" s="169">
        <v>9.0</v>
      </c>
      <c r="H77" s="169">
        <v>3000.0</v>
      </c>
      <c r="I77" s="169">
        <v>27000.0</v>
      </c>
      <c r="J77" s="169">
        <v>0.0</v>
      </c>
      <c r="K77" s="169">
        <v>9.0</v>
      </c>
      <c r="L77" s="169">
        <v>0.0</v>
      </c>
    </row>
    <row r="78" ht="14.25" customHeight="1">
      <c r="A78" s="169" t="s">
        <v>6603</v>
      </c>
      <c r="B78" s="169" t="s">
        <v>6599</v>
      </c>
      <c r="C78" s="169" t="s">
        <v>17675</v>
      </c>
      <c r="D78" s="169" t="str">
        <f t="shared" ref="D78:E78" si="57">"26935"</f>
        <v>26935</v>
      </c>
      <c r="E78" s="169" t="str">
        <f t="shared" si="57"/>
        <v>26935</v>
      </c>
      <c r="F78" s="169" t="s">
        <v>18811</v>
      </c>
      <c r="G78" s="169">
        <v>2.0</v>
      </c>
      <c r="H78" s="169">
        <v>33583.0</v>
      </c>
      <c r="I78" s="169">
        <v>67166.0</v>
      </c>
      <c r="J78" s="169">
        <v>0.0</v>
      </c>
      <c r="K78" s="169">
        <v>2.0</v>
      </c>
      <c r="L78" s="169">
        <v>0.0</v>
      </c>
    </row>
    <row r="79" ht="14.25" customHeight="1">
      <c r="A79" s="169" t="s">
        <v>6603</v>
      </c>
      <c r="B79" s="169" t="s">
        <v>6599</v>
      </c>
      <c r="C79" s="169" t="s">
        <v>6681</v>
      </c>
      <c r="D79" s="169" t="str">
        <f t="shared" ref="D79:E79" si="58">"27106"</f>
        <v>27106</v>
      </c>
      <c r="E79" s="169" t="str">
        <f t="shared" si="58"/>
        <v>27106</v>
      </c>
      <c r="F79" s="169" t="s">
        <v>18811</v>
      </c>
      <c r="G79" s="169">
        <v>6.0</v>
      </c>
      <c r="H79" s="169">
        <v>40300.0</v>
      </c>
      <c r="I79" s="169">
        <v>241800.0</v>
      </c>
      <c r="J79" s="169">
        <v>0.0</v>
      </c>
      <c r="K79" s="169">
        <v>6.0</v>
      </c>
      <c r="L79" s="169">
        <v>0.0</v>
      </c>
    </row>
    <row r="80" ht="14.25" customHeight="1">
      <c r="A80" s="169" t="s">
        <v>6603</v>
      </c>
      <c r="B80" s="169" t="s">
        <v>6599</v>
      </c>
      <c r="C80" s="169" t="s">
        <v>17672</v>
      </c>
      <c r="D80" s="169" t="str">
        <f t="shared" ref="D80:E80" si="59">"27174"</f>
        <v>27174</v>
      </c>
      <c r="E80" s="169" t="str">
        <f t="shared" si="59"/>
        <v>27174</v>
      </c>
      <c r="F80" s="169" t="s">
        <v>18811</v>
      </c>
      <c r="G80" s="169">
        <v>6.0</v>
      </c>
      <c r="H80" s="169">
        <v>40300.0</v>
      </c>
      <c r="I80" s="169">
        <v>241800.0</v>
      </c>
      <c r="J80" s="169">
        <v>0.0</v>
      </c>
      <c r="K80" s="169">
        <v>6.0</v>
      </c>
      <c r="L80" s="169">
        <v>0.0</v>
      </c>
    </row>
    <row r="81" ht="14.25" customHeight="1">
      <c r="A81" s="169" t="s">
        <v>6603</v>
      </c>
      <c r="B81" s="169" t="s">
        <v>6599</v>
      </c>
      <c r="C81" s="169" t="s">
        <v>17670</v>
      </c>
      <c r="D81" s="169" t="str">
        <f t="shared" ref="D81:E81" si="60">"27489"</f>
        <v>27489</v>
      </c>
      <c r="E81" s="169" t="str">
        <f t="shared" si="60"/>
        <v>27489</v>
      </c>
      <c r="F81" s="169" t="s">
        <v>18811</v>
      </c>
      <c r="G81" s="169">
        <v>8.0</v>
      </c>
      <c r="H81" s="169">
        <v>50400.0</v>
      </c>
      <c r="I81" s="169">
        <v>403200.0</v>
      </c>
      <c r="J81" s="169">
        <v>0.0</v>
      </c>
      <c r="K81" s="169">
        <v>8.0</v>
      </c>
      <c r="L81" s="169">
        <v>0.0</v>
      </c>
    </row>
    <row r="82" ht="14.25" customHeight="1">
      <c r="A82" s="169" t="s">
        <v>6603</v>
      </c>
      <c r="B82" s="169" t="s">
        <v>6599</v>
      </c>
      <c r="C82" s="169" t="s">
        <v>6684</v>
      </c>
      <c r="D82" s="169" t="str">
        <f t="shared" ref="D82:E82" si="61">"27487"</f>
        <v>27487</v>
      </c>
      <c r="E82" s="169" t="str">
        <f t="shared" si="61"/>
        <v>27487</v>
      </c>
      <c r="F82" s="169" t="s">
        <v>18811</v>
      </c>
      <c r="G82" s="169">
        <v>2.0</v>
      </c>
      <c r="H82" s="169">
        <v>50400.0</v>
      </c>
      <c r="I82" s="169">
        <v>100800.0</v>
      </c>
      <c r="J82" s="169">
        <v>0.0</v>
      </c>
      <c r="K82" s="169">
        <v>2.0</v>
      </c>
      <c r="L82" s="169">
        <v>0.0</v>
      </c>
    </row>
    <row r="83" ht="14.25" customHeight="1">
      <c r="A83" s="169" t="s">
        <v>6603</v>
      </c>
      <c r="B83" s="169" t="s">
        <v>6599</v>
      </c>
      <c r="C83" s="169" t="s">
        <v>6685</v>
      </c>
      <c r="D83" s="169" t="str">
        <f t="shared" ref="D83:E83" si="62">"27488"</f>
        <v>27488</v>
      </c>
      <c r="E83" s="169" t="str">
        <f t="shared" si="62"/>
        <v>27488</v>
      </c>
      <c r="F83" s="169" t="s">
        <v>18811</v>
      </c>
      <c r="G83" s="169">
        <v>5.0</v>
      </c>
      <c r="H83" s="169">
        <v>50400.0</v>
      </c>
      <c r="I83" s="169">
        <v>252000.0</v>
      </c>
      <c r="J83" s="169">
        <v>0.0</v>
      </c>
      <c r="K83" s="169">
        <v>5.0</v>
      </c>
      <c r="L83" s="169">
        <v>0.0</v>
      </c>
    </row>
    <row r="84" ht="14.25" customHeight="1">
      <c r="A84" s="169" t="s">
        <v>6603</v>
      </c>
      <c r="B84" s="169" t="s">
        <v>6599</v>
      </c>
      <c r="C84" s="169" t="s">
        <v>17666</v>
      </c>
      <c r="D84" s="169" t="str">
        <f t="shared" ref="D84:E84" si="63">"25835"</f>
        <v>25835</v>
      </c>
      <c r="E84" s="169" t="str">
        <f t="shared" si="63"/>
        <v>25835</v>
      </c>
      <c r="F84" s="169" t="s">
        <v>18811</v>
      </c>
      <c r="G84" s="169">
        <v>12.0</v>
      </c>
      <c r="H84" s="169">
        <v>3500.0</v>
      </c>
      <c r="I84" s="169">
        <v>42000.0</v>
      </c>
      <c r="J84" s="169">
        <v>0.0</v>
      </c>
      <c r="K84" s="169">
        <v>12.0</v>
      </c>
      <c r="L84" s="169">
        <v>0.0</v>
      </c>
    </row>
    <row r="85" ht="14.25" customHeight="1">
      <c r="A85" s="169" t="s">
        <v>6603</v>
      </c>
      <c r="B85" s="169" t="s">
        <v>6599</v>
      </c>
      <c r="C85" s="169" t="s">
        <v>17664</v>
      </c>
      <c r="D85" s="169" t="str">
        <f t="shared" ref="D85:E85" si="64">"26233"</f>
        <v>26233</v>
      </c>
      <c r="E85" s="169" t="str">
        <f t="shared" si="64"/>
        <v>26233</v>
      </c>
      <c r="F85" s="169" t="s">
        <v>18811</v>
      </c>
      <c r="G85" s="169">
        <v>7.0</v>
      </c>
      <c r="H85" s="169">
        <v>7600.0</v>
      </c>
      <c r="I85" s="169">
        <v>53200.0</v>
      </c>
      <c r="J85" s="169">
        <v>0.0</v>
      </c>
      <c r="K85" s="169">
        <v>7.0</v>
      </c>
      <c r="L85" s="169">
        <v>0.0</v>
      </c>
    </row>
    <row r="86" ht="14.25" customHeight="1">
      <c r="A86" s="169" t="s">
        <v>6603</v>
      </c>
      <c r="B86" s="169" t="s">
        <v>6599</v>
      </c>
      <c r="C86" s="169" t="s">
        <v>17662</v>
      </c>
      <c r="D86" s="169" t="str">
        <f>"8430306271255"</f>
        <v>8430306271255</v>
      </c>
      <c r="E86" s="169" t="str">
        <f>"27125"</f>
        <v>27125</v>
      </c>
      <c r="F86" s="169" t="s">
        <v>18811</v>
      </c>
      <c r="G86" s="169">
        <v>4.0</v>
      </c>
      <c r="H86" s="169">
        <v>10100.0</v>
      </c>
      <c r="I86" s="169">
        <v>40400.0</v>
      </c>
      <c r="J86" s="169">
        <v>0.0</v>
      </c>
      <c r="K86" s="169">
        <v>4.0</v>
      </c>
      <c r="L86" s="169">
        <v>0.0</v>
      </c>
    </row>
    <row r="87" ht="14.25" customHeight="1">
      <c r="A87" s="169" t="s">
        <v>6603</v>
      </c>
      <c r="B87" s="169" t="s">
        <v>6599</v>
      </c>
      <c r="C87" s="169" t="s">
        <v>17660</v>
      </c>
      <c r="D87" s="169" t="str">
        <f t="shared" ref="D87:E87" si="65">"27123"</f>
        <v>27123</v>
      </c>
      <c r="E87" s="169" t="str">
        <f t="shared" si="65"/>
        <v>27123</v>
      </c>
      <c r="F87" s="169" t="s">
        <v>18811</v>
      </c>
      <c r="G87" s="169">
        <v>5.0</v>
      </c>
      <c r="H87" s="169">
        <v>10100.0</v>
      </c>
      <c r="I87" s="169">
        <v>50500.0</v>
      </c>
      <c r="J87" s="169">
        <v>0.0</v>
      </c>
      <c r="K87" s="169">
        <v>5.0</v>
      </c>
      <c r="L87" s="169">
        <v>0.0</v>
      </c>
    </row>
    <row r="88" ht="14.25" customHeight="1">
      <c r="A88" s="169" t="s">
        <v>6603</v>
      </c>
      <c r="B88" s="169" t="s">
        <v>6599</v>
      </c>
      <c r="C88" s="169" t="s">
        <v>17658</v>
      </c>
      <c r="D88" s="169" t="str">
        <f t="shared" ref="D88:E88" si="66">"27124"</f>
        <v>27124</v>
      </c>
      <c r="E88" s="169" t="str">
        <f t="shared" si="66"/>
        <v>27124</v>
      </c>
      <c r="F88" s="169" t="s">
        <v>18811</v>
      </c>
      <c r="G88" s="169">
        <v>4.0</v>
      </c>
      <c r="H88" s="169">
        <v>10100.0</v>
      </c>
      <c r="I88" s="169">
        <v>40400.0</v>
      </c>
      <c r="J88" s="169">
        <v>0.0</v>
      </c>
      <c r="K88" s="169">
        <v>4.0</v>
      </c>
      <c r="L88" s="169">
        <v>0.0</v>
      </c>
    </row>
    <row r="89" ht="14.25" customHeight="1">
      <c r="A89" s="169" t="s">
        <v>6603</v>
      </c>
      <c r="B89" s="169" t="s">
        <v>6599</v>
      </c>
      <c r="C89" s="169" t="s">
        <v>17656</v>
      </c>
      <c r="D89" s="169" t="str">
        <f t="shared" ref="D89:E89" si="67">"26968"</f>
        <v>26968</v>
      </c>
      <c r="E89" s="169" t="str">
        <f t="shared" si="67"/>
        <v>26968</v>
      </c>
      <c r="F89" s="169" t="s">
        <v>18811</v>
      </c>
      <c r="G89" s="169">
        <v>16.0</v>
      </c>
      <c r="H89" s="169">
        <v>12600.0</v>
      </c>
      <c r="I89" s="169">
        <v>201600.0</v>
      </c>
      <c r="J89" s="169">
        <v>0.0</v>
      </c>
      <c r="K89" s="169">
        <v>16.0</v>
      </c>
      <c r="L89" s="169">
        <v>0.0</v>
      </c>
    </row>
    <row r="90" ht="14.25" customHeight="1">
      <c r="A90" s="169" t="s">
        <v>6603</v>
      </c>
      <c r="B90" s="169" t="s">
        <v>6599</v>
      </c>
      <c r="C90" s="169" t="s">
        <v>17654</v>
      </c>
      <c r="D90" s="169" t="str">
        <f t="shared" ref="D90:E90" si="68">"26967"</f>
        <v>26967</v>
      </c>
      <c r="E90" s="169" t="str">
        <f t="shared" si="68"/>
        <v>26967</v>
      </c>
      <c r="F90" s="169" t="s">
        <v>18811</v>
      </c>
      <c r="G90" s="169">
        <v>6.0</v>
      </c>
      <c r="H90" s="169">
        <v>12600.0</v>
      </c>
      <c r="I90" s="169">
        <v>75600.0</v>
      </c>
      <c r="J90" s="169">
        <v>0.0</v>
      </c>
      <c r="K90" s="169">
        <v>6.0</v>
      </c>
      <c r="L90" s="169">
        <v>0.0</v>
      </c>
    </row>
    <row r="91" ht="14.25" customHeight="1">
      <c r="A91" s="169" t="s">
        <v>6603</v>
      </c>
      <c r="B91" s="169" t="s">
        <v>6599</v>
      </c>
      <c r="C91" s="169" t="s">
        <v>17652</v>
      </c>
      <c r="D91" s="169" t="str">
        <f t="shared" ref="D91:E91" si="69">"26969"</f>
        <v>26969</v>
      </c>
      <c r="E91" s="169" t="str">
        <f t="shared" si="69"/>
        <v>26969</v>
      </c>
      <c r="F91" s="169" t="s">
        <v>18811</v>
      </c>
      <c r="G91" s="169">
        <v>3.0</v>
      </c>
      <c r="H91" s="169">
        <v>15100.0</v>
      </c>
      <c r="I91" s="169">
        <v>45300.0</v>
      </c>
      <c r="J91" s="169">
        <v>0.0</v>
      </c>
      <c r="K91" s="169">
        <v>3.0</v>
      </c>
      <c r="L91" s="169">
        <v>0.0</v>
      </c>
    </row>
    <row r="92" ht="14.25" customHeight="1">
      <c r="A92" s="169" t="s">
        <v>6603</v>
      </c>
      <c r="B92" s="169" t="s">
        <v>6599</v>
      </c>
      <c r="C92" s="169" t="s">
        <v>17650</v>
      </c>
      <c r="D92" s="169" t="str">
        <f t="shared" ref="D92:E92" si="70">"26970"</f>
        <v>26970</v>
      </c>
      <c r="E92" s="169" t="str">
        <f t="shared" si="70"/>
        <v>26970</v>
      </c>
      <c r="F92" s="169" t="s">
        <v>18811</v>
      </c>
      <c r="G92" s="169">
        <v>6.0</v>
      </c>
      <c r="H92" s="169">
        <v>15100.0</v>
      </c>
      <c r="I92" s="169">
        <v>90600.0</v>
      </c>
      <c r="J92" s="169">
        <v>0.0</v>
      </c>
      <c r="K92" s="169">
        <v>6.0</v>
      </c>
      <c r="L92" s="169">
        <v>0.0</v>
      </c>
    </row>
    <row r="93" ht="14.25" customHeight="1">
      <c r="A93" s="169" t="s">
        <v>6603</v>
      </c>
      <c r="B93" s="169" t="s">
        <v>6599</v>
      </c>
      <c r="C93" s="169" t="s">
        <v>17648</v>
      </c>
      <c r="D93" s="169" t="str">
        <f t="shared" ref="D93:E93" si="71">"27535"</f>
        <v>27535</v>
      </c>
      <c r="E93" s="169" t="str">
        <f t="shared" si="71"/>
        <v>27535</v>
      </c>
      <c r="F93" s="169" t="s">
        <v>18811</v>
      </c>
      <c r="G93" s="169">
        <v>5.0</v>
      </c>
      <c r="H93" s="169">
        <v>13084.0</v>
      </c>
      <c r="I93" s="169">
        <v>65420.0</v>
      </c>
      <c r="J93" s="169">
        <v>0.0</v>
      </c>
      <c r="K93" s="169">
        <v>5.0</v>
      </c>
      <c r="L93" s="169">
        <v>0.0</v>
      </c>
    </row>
    <row r="94" ht="14.25" customHeight="1">
      <c r="A94" s="169" t="s">
        <v>6603</v>
      </c>
      <c r="B94" s="169" t="s">
        <v>6599</v>
      </c>
      <c r="C94" s="169" t="s">
        <v>17646</v>
      </c>
      <c r="D94" s="169" t="str">
        <f>"8430306257822"</f>
        <v>8430306257822</v>
      </c>
      <c r="E94" s="169" t="str">
        <f>"25782"</f>
        <v>25782</v>
      </c>
      <c r="F94" s="169" t="s">
        <v>18811</v>
      </c>
      <c r="G94" s="169">
        <v>6.0</v>
      </c>
      <c r="H94" s="169">
        <v>4000.0</v>
      </c>
      <c r="I94" s="169">
        <v>24000.0</v>
      </c>
      <c r="J94" s="169">
        <v>0.0</v>
      </c>
      <c r="K94" s="169">
        <v>6.0</v>
      </c>
      <c r="L94" s="169">
        <v>0.0</v>
      </c>
    </row>
    <row r="95" ht="14.25" customHeight="1">
      <c r="A95" s="169" t="s">
        <v>6603</v>
      </c>
      <c r="B95" s="169" t="s">
        <v>6599</v>
      </c>
      <c r="C95" s="169" t="s">
        <v>17644</v>
      </c>
      <c r="D95" s="169" t="str">
        <f t="shared" ref="D95:E95" si="72">"27016"</f>
        <v>27016</v>
      </c>
      <c r="E95" s="169" t="str">
        <f t="shared" si="72"/>
        <v>27016</v>
      </c>
      <c r="F95" s="169" t="s">
        <v>18811</v>
      </c>
      <c r="G95" s="169">
        <v>17.0</v>
      </c>
      <c r="H95" s="169">
        <v>10100.0</v>
      </c>
      <c r="I95" s="169">
        <v>171700.0</v>
      </c>
      <c r="J95" s="169">
        <v>0.0</v>
      </c>
      <c r="K95" s="169">
        <v>17.0</v>
      </c>
      <c r="L95" s="169">
        <v>0.0</v>
      </c>
    </row>
    <row r="96" ht="14.25" customHeight="1">
      <c r="A96" s="169" t="s">
        <v>6603</v>
      </c>
      <c r="B96" s="169" t="s">
        <v>6599</v>
      </c>
      <c r="C96" s="169" t="s">
        <v>17642</v>
      </c>
      <c r="D96" s="169" t="str">
        <f t="shared" ref="D96:E96" si="73">"26966"</f>
        <v>26966</v>
      </c>
      <c r="E96" s="169" t="str">
        <f t="shared" si="73"/>
        <v>26966</v>
      </c>
      <c r="F96" s="169" t="s">
        <v>18811</v>
      </c>
      <c r="G96" s="169">
        <v>5.0</v>
      </c>
      <c r="H96" s="169">
        <v>15600.0</v>
      </c>
      <c r="I96" s="169">
        <v>78000.0</v>
      </c>
      <c r="J96" s="169">
        <v>0.0</v>
      </c>
      <c r="K96" s="169">
        <v>5.0</v>
      </c>
      <c r="L96" s="169">
        <v>0.0</v>
      </c>
    </row>
    <row r="97" ht="14.25" customHeight="1">
      <c r="A97" s="169" t="s">
        <v>6603</v>
      </c>
      <c r="B97" s="169" t="s">
        <v>6599</v>
      </c>
      <c r="C97" s="169" t="s">
        <v>17640</v>
      </c>
      <c r="D97" s="169" t="str">
        <f>"8430306260181"</f>
        <v>8430306260181</v>
      </c>
      <c r="E97" s="169" t="str">
        <f>"26018"</f>
        <v>26018</v>
      </c>
      <c r="F97" s="169" t="s">
        <v>18811</v>
      </c>
      <c r="G97" s="169">
        <v>14.0</v>
      </c>
      <c r="H97" s="169">
        <v>3500.0</v>
      </c>
      <c r="I97" s="169">
        <v>49000.0</v>
      </c>
      <c r="J97" s="169">
        <v>0.0</v>
      </c>
      <c r="K97" s="169">
        <v>14.0</v>
      </c>
      <c r="L97" s="169">
        <v>0.0</v>
      </c>
    </row>
    <row r="98" ht="14.25" customHeight="1">
      <c r="A98" s="169" t="s">
        <v>6751</v>
      </c>
      <c r="B98" s="169" t="s">
        <v>6747</v>
      </c>
      <c r="C98" s="169" t="s">
        <v>18754</v>
      </c>
      <c r="D98" s="169" t="str">
        <f t="shared" ref="D98:E98" si="74">"4751030830940"</f>
        <v>4751030830940</v>
      </c>
      <c r="E98" s="169" t="str">
        <f t="shared" si="74"/>
        <v>4751030830940</v>
      </c>
      <c r="F98" s="169" t="s">
        <v>18811</v>
      </c>
      <c r="G98" s="169">
        <v>1.0</v>
      </c>
      <c r="H98" s="169">
        <v>5037.0</v>
      </c>
      <c r="I98" s="169">
        <v>5037.0</v>
      </c>
      <c r="J98" s="169">
        <v>0.0</v>
      </c>
      <c r="K98" s="169">
        <v>1.0</v>
      </c>
      <c r="L98" s="169">
        <v>0.0</v>
      </c>
    </row>
    <row r="99" ht="14.25" customHeight="1">
      <c r="A99" s="169" t="s">
        <v>6880</v>
      </c>
      <c r="B99" s="169" t="s">
        <v>6877</v>
      </c>
      <c r="C99" s="169" t="s">
        <v>18675</v>
      </c>
      <c r="D99" s="169" t="str">
        <f>"15916560879484"</f>
        <v>15916560879484</v>
      </c>
      <c r="E99" s="169" t="str">
        <f>"BGMP-3306"</f>
        <v>BGMP-3306</v>
      </c>
      <c r="F99" s="169" t="s">
        <v>18811</v>
      </c>
      <c r="G99" s="169">
        <v>8.0</v>
      </c>
      <c r="H99" s="169">
        <v>14264.8</v>
      </c>
      <c r="I99" s="169">
        <v>114118.0</v>
      </c>
      <c r="J99" s="169">
        <v>0.0</v>
      </c>
      <c r="K99" s="169">
        <v>8.0</v>
      </c>
      <c r="L99" s="169">
        <v>0.0</v>
      </c>
    </row>
    <row r="100" ht="14.25" customHeight="1">
      <c r="A100" s="169" t="s">
        <v>6880</v>
      </c>
      <c r="B100" s="169" t="s">
        <v>6877</v>
      </c>
      <c r="C100" s="169" t="s">
        <v>18674</v>
      </c>
      <c r="D100" s="169" t="str">
        <f t="shared" ref="D100:E100" si="75">"BGMP-3302"</f>
        <v>BGMP-3302</v>
      </c>
      <c r="E100" s="169" t="str">
        <f t="shared" si="75"/>
        <v>BGMP-3302</v>
      </c>
      <c r="F100" s="169" t="s">
        <v>18811</v>
      </c>
      <c r="G100" s="169">
        <v>1.0</v>
      </c>
      <c r="H100" s="169">
        <v>7850.0</v>
      </c>
      <c r="I100" s="169">
        <v>7850.0</v>
      </c>
      <c r="J100" s="169">
        <v>0.0</v>
      </c>
      <c r="K100" s="169">
        <v>1.0</v>
      </c>
      <c r="L100" s="169">
        <v>0.0</v>
      </c>
    </row>
    <row r="101" ht="14.25" customHeight="1">
      <c r="A101" s="169" t="s">
        <v>6880</v>
      </c>
      <c r="B101" s="169" t="s">
        <v>6877</v>
      </c>
      <c r="C101" s="169" t="s">
        <v>18673</v>
      </c>
      <c r="D101" s="169" t="str">
        <f>"15888899205009"</f>
        <v>15888899205009</v>
      </c>
      <c r="E101" s="169" t="str">
        <f>"BGIC-1002"</f>
        <v>BGIC-1002</v>
      </c>
      <c r="F101" s="169" t="s">
        <v>18811</v>
      </c>
      <c r="G101" s="169">
        <v>1.0</v>
      </c>
      <c r="H101" s="169">
        <v>11034.0</v>
      </c>
      <c r="I101" s="169">
        <v>11034.0</v>
      </c>
      <c r="J101" s="169">
        <v>1.0</v>
      </c>
      <c r="K101" s="169">
        <v>0.0</v>
      </c>
      <c r="L101" s="169">
        <v>1.0</v>
      </c>
    </row>
    <row r="102" ht="14.25" customHeight="1">
      <c r="A102" s="169" t="s">
        <v>6880</v>
      </c>
      <c r="B102" s="169" t="s">
        <v>6877</v>
      </c>
      <c r="C102" s="169" t="s">
        <v>18672</v>
      </c>
      <c r="D102" s="169" t="str">
        <f>"15888899214888"</f>
        <v>15888899214888</v>
      </c>
      <c r="E102" s="169" t="str">
        <f>"BG-8511-MBG"</f>
        <v>BG-8511-MBG</v>
      </c>
      <c r="F102" s="169" t="s">
        <v>18811</v>
      </c>
      <c r="G102" s="169">
        <v>2.0</v>
      </c>
      <c r="H102" s="169">
        <v>10350.0</v>
      </c>
      <c r="I102" s="169">
        <v>20700.0</v>
      </c>
      <c r="J102" s="169">
        <v>0.0</v>
      </c>
      <c r="K102" s="169">
        <v>2.0</v>
      </c>
      <c r="L102" s="169">
        <v>0.0</v>
      </c>
    </row>
    <row r="103" ht="14.25" customHeight="1">
      <c r="A103" s="169" t="s">
        <v>6880</v>
      </c>
      <c r="B103" s="169" t="s">
        <v>6877</v>
      </c>
      <c r="C103" s="169" t="s">
        <v>18671</v>
      </c>
      <c r="D103" s="169" t="str">
        <f>"15916560878836"</f>
        <v>15916560878836</v>
      </c>
      <c r="E103" s="169" t="str">
        <f>"BGMP-3305"</f>
        <v>BGMP-3305</v>
      </c>
      <c r="F103" s="169" t="s">
        <v>18811</v>
      </c>
      <c r="G103" s="169">
        <v>6.0</v>
      </c>
      <c r="H103" s="169">
        <v>14607.0</v>
      </c>
      <c r="I103" s="169">
        <v>87642.0</v>
      </c>
      <c r="J103" s="169">
        <v>0.0</v>
      </c>
      <c r="K103" s="169">
        <v>6.0</v>
      </c>
      <c r="L103" s="169">
        <v>0.0</v>
      </c>
    </row>
    <row r="104" ht="14.25" customHeight="1">
      <c r="A104" s="169" t="s">
        <v>6603</v>
      </c>
      <c r="B104" s="169" t="s">
        <v>7072</v>
      </c>
      <c r="C104" s="169" t="s">
        <v>18611</v>
      </c>
      <c r="D104" s="169" t="str">
        <f t="shared" ref="D104:E104" si="76">"BUC-101"</f>
        <v>BUC-101</v>
      </c>
      <c r="E104" s="169" t="str">
        <f t="shared" si="76"/>
        <v>BUC-101</v>
      </c>
      <c r="F104" s="169" t="s">
        <v>18811</v>
      </c>
      <c r="G104" s="169">
        <v>16.0</v>
      </c>
      <c r="H104" s="169">
        <v>6500.0</v>
      </c>
      <c r="I104" s="169">
        <v>104000.0</v>
      </c>
      <c r="J104" s="169">
        <v>0.0</v>
      </c>
      <c r="K104" s="169">
        <v>16.0</v>
      </c>
      <c r="L104" s="169">
        <v>0.0</v>
      </c>
    </row>
    <row r="105" ht="14.25" customHeight="1">
      <c r="A105" s="169" t="s">
        <v>6603</v>
      </c>
      <c r="B105" s="169" t="s">
        <v>7072</v>
      </c>
      <c r="C105" s="169" t="s">
        <v>18610</v>
      </c>
      <c r="D105" s="169" t="str">
        <f t="shared" ref="D105:E105" si="77">"BUC-103"</f>
        <v>BUC-103</v>
      </c>
      <c r="E105" s="169" t="str">
        <f t="shared" si="77"/>
        <v>BUC-103</v>
      </c>
      <c r="F105" s="169" t="s">
        <v>18811</v>
      </c>
      <c r="G105" s="169">
        <v>4.0</v>
      </c>
      <c r="H105" s="169">
        <v>3500.0</v>
      </c>
      <c r="I105" s="169">
        <v>14000.0</v>
      </c>
      <c r="J105" s="169">
        <v>0.0</v>
      </c>
      <c r="K105" s="169">
        <v>4.0</v>
      </c>
      <c r="L105" s="169">
        <v>0.0</v>
      </c>
    </row>
    <row r="106" ht="14.25" customHeight="1">
      <c r="A106" s="169" t="s">
        <v>6603</v>
      </c>
      <c r="B106" s="169" t="s">
        <v>7072</v>
      </c>
      <c r="C106" s="169" t="s">
        <v>18609</v>
      </c>
      <c r="D106" s="169" t="str">
        <f t="shared" ref="D106:E106" si="78">"BUC-102"</f>
        <v>BUC-102</v>
      </c>
      <c r="E106" s="169" t="str">
        <f t="shared" si="78"/>
        <v>BUC-102</v>
      </c>
      <c r="F106" s="169" t="s">
        <v>18811</v>
      </c>
      <c r="G106" s="169">
        <v>22.0</v>
      </c>
      <c r="H106" s="169">
        <v>3500.0</v>
      </c>
      <c r="I106" s="169">
        <v>77000.0</v>
      </c>
      <c r="J106" s="169">
        <v>0.0</v>
      </c>
      <c r="K106" s="169">
        <v>22.0</v>
      </c>
      <c r="L106" s="169">
        <v>0.0</v>
      </c>
    </row>
    <row r="107" ht="14.25" customHeight="1">
      <c r="A107" s="169" t="s">
        <v>6603</v>
      </c>
      <c r="B107" s="169" t="s">
        <v>7072</v>
      </c>
      <c r="C107" s="169" t="s">
        <v>18608</v>
      </c>
      <c r="D107" s="169" t="str">
        <f t="shared" ref="D107:E107" si="79">"BUC-105"</f>
        <v>BUC-105</v>
      </c>
      <c r="E107" s="169" t="str">
        <f t="shared" si="79"/>
        <v>BUC-105</v>
      </c>
      <c r="F107" s="169" t="s">
        <v>18811</v>
      </c>
      <c r="G107" s="169">
        <v>3.0</v>
      </c>
      <c r="H107" s="169">
        <v>15100.0</v>
      </c>
      <c r="I107" s="169">
        <v>45300.0</v>
      </c>
      <c r="J107" s="169">
        <v>0.0</v>
      </c>
      <c r="K107" s="169">
        <v>3.0</v>
      </c>
      <c r="L107" s="169">
        <v>0.0</v>
      </c>
    </row>
    <row r="108" ht="14.25" customHeight="1">
      <c r="A108" s="169" t="s">
        <v>6603</v>
      </c>
      <c r="B108" s="169" t="s">
        <v>7072</v>
      </c>
      <c r="C108" s="169" t="s">
        <v>18607</v>
      </c>
      <c r="D108" s="169" t="str">
        <f t="shared" ref="D108:E108" si="80">"BUC-106"</f>
        <v>BUC-106</v>
      </c>
      <c r="E108" s="169" t="str">
        <f t="shared" si="80"/>
        <v>BUC-106</v>
      </c>
      <c r="F108" s="169" t="s">
        <v>18811</v>
      </c>
      <c r="G108" s="169">
        <v>15.0</v>
      </c>
      <c r="H108" s="169">
        <v>6500.0</v>
      </c>
      <c r="I108" s="169">
        <v>97500.0</v>
      </c>
      <c r="J108" s="169">
        <v>0.0</v>
      </c>
      <c r="K108" s="169">
        <v>15.0</v>
      </c>
      <c r="L108" s="169">
        <v>0.0</v>
      </c>
    </row>
    <row r="109" ht="14.25" customHeight="1">
      <c r="A109" s="169" t="s">
        <v>6603</v>
      </c>
      <c r="B109" s="169" t="s">
        <v>7072</v>
      </c>
      <c r="C109" s="169" t="s">
        <v>18606</v>
      </c>
      <c r="D109" s="169" t="str">
        <f t="shared" ref="D109:E109" si="81">"BUC-107"</f>
        <v>BUC-107</v>
      </c>
      <c r="E109" s="169" t="str">
        <f t="shared" si="81"/>
        <v>BUC-107</v>
      </c>
      <c r="F109" s="169" t="s">
        <v>18811</v>
      </c>
      <c r="G109" s="169">
        <v>8.0</v>
      </c>
      <c r="H109" s="169">
        <v>10100.0</v>
      </c>
      <c r="I109" s="169">
        <v>80800.0</v>
      </c>
      <c r="J109" s="169">
        <v>0.0</v>
      </c>
      <c r="K109" s="169">
        <v>8.0</v>
      </c>
      <c r="L109" s="169">
        <v>0.0</v>
      </c>
    </row>
    <row r="110" ht="14.25" customHeight="1">
      <c r="A110" s="169" t="s">
        <v>6603</v>
      </c>
      <c r="B110" s="169" t="s">
        <v>7072</v>
      </c>
      <c r="C110" s="169" t="s">
        <v>18606</v>
      </c>
      <c r="D110" s="169" t="str">
        <f t="shared" ref="D110:E110" si="82">"BUC-108"</f>
        <v>BUC-108</v>
      </c>
      <c r="E110" s="169" t="str">
        <f t="shared" si="82"/>
        <v>BUC-108</v>
      </c>
      <c r="F110" s="169" t="s">
        <v>18811</v>
      </c>
      <c r="G110" s="169">
        <v>9.0</v>
      </c>
      <c r="H110" s="169">
        <v>12600.0</v>
      </c>
      <c r="I110" s="169">
        <v>113400.0</v>
      </c>
      <c r="J110" s="169">
        <v>0.0</v>
      </c>
      <c r="K110" s="169">
        <v>9.0</v>
      </c>
      <c r="L110" s="169">
        <v>0.0</v>
      </c>
    </row>
    <row r="111" ht="14.25" customHeight="1">
      <c r="A111" s="169" t="s">
        <v>6603</v>
      </c>
      <c r="B111" s="169" t="s">
        <v>7149</v>
      </c>
      <c r="C111" s="169" t="s">
        <v>17639</v>
      </c>
      <c r="D111" s="169" t="str">
        <f>"8435508000153"</f>
        <v>8435508000153</v>
      </c>
      <c r="E111" s="169" t="str">
        <f>"B0015"</f>
        <v>B0015</v>
      </c>
      <c r="F111" s="169" t="s">
        <v>18811</v>
      </c>
      <c r="G111" s="169">
        <v>4.0</v>
      </c>
      <c r="H111" s="169">
        <v>50400.0</v>
      </c>
      <c r="I111" s="169">
        <v>201600.0</v>
      </c>
      <c r="J111" s="169">
        <v>0.0</v>
      </c>
      <c r="K111" s="169">
        <v>4.0</v>
      </c>
      <c r="L111" s="169">
        <v>0.0</v>
      </c>
    </row>
    <row r="112" ht="14.25" customHeight="1">
      <c r="A112" s="169" t="s">
        <v>6603</v>
      </c>
      <c r="B112" s="169" t="s">
        <v>7149</v>
      </c>
      <c r="C112" s="169" t="s">
        <v>17638</v>
      </c>
      <c r="D112" s="169" t="str">
        <f t="shared" ref="D112:E112" si="83">"B0239"</f>
        <v>B0239</v>
      </c>
      <c r="E112" s="169" t="str">
        <f t="shared" si="83"/>
        <v>B0239</v>
      </c>
      <c r="F112" s="169" t="s">
        <v>18811</v>
      </c>
      <c r="G112" s="169">
        <v>6.0</v>
      </c>
      <c r="H112" s="169">
        <v>10100.0</v>
      </c>
      <c r="I112" s="169">
        <v>60600.0</v>
      </c>
      <c r="J112" s="169">
        <v>0.0</v>
      </c>
      <c r="K112" s="169">
        <v>6.0</v>
      </c>
      <c r="L112" s="169">
        <v>0.0</v>
      </c>
    </row>
    <row r="113" ht="14.25" customHeight="1">
      <c r="A113" s="169" t="s">
        <v>6603</v>
      </c>
      <c r="B113" s="169" t="s">
        <v>7149</v>
      </c>
      <c r="C113" s="169" t="s">
        <v>17637</v>
      </c>
      <c r="D113" s="169" t="str">
        <f>"8435508003710"</f>
        <v>8435508003710</v>
      </c>
      <c r="E113" s="169" t="str">
        <f>"B0371"</f>
        <v>B0371</v>
      </c>
      <c r="F113" s="169" t="s">
        <v>18811</v>
      </c>
      <c r="G113" s="169">
        <v>3.0</v>
      </c>
      <c r="H113" s="169">
        <v>20200.0</v>
      </c>
      <c r="I113" s="169">
        <v>60600.0</v>
      </c>
      <c r="J113" s="169">
        <v>0.0</v>
      </c>
      <c r="K113" s="169">
        <v>3.0</v>
      </c>
      <c r="L113" s="169">
        <v>0.0</v>
      </c>
    </row>
    <row r="114" ht="14.25" customHeight="1">
      <c r="A114" s="169" t="s">
        <v>6603</v>
      </c>
      <c r="B114" s="169" t="s">
        <v>7149</v>
      </c>
      <c r="C114" s="169" t="s">
        <v>17636</v>
      </c>
      <c r="D114" s="169" t="str">
        <f>"8435508005110"</f>
        <v>8435508005110</v>
      </c>
      <c r="E114" s="169" t="str">
        <f>"B0511"</f>
        <v>B0511</v>
      </c>
      <c r="F114" s="169" t="s">
        <v>18811</v>
      </c>
      <c r="G114" s="169">
        <v>3.0</v>
      </c>
      <c r="H114" s="169">
        <v>30200.0</v>
      </c>
      <c r="I114" s="169">
        <v>90600.0</v>
      </c>
      <c r="J114" s="169">
        <v>0.0</v>
      </c>
      <c r="K114" s="169">
        <v>3.0</v>
      </c>
      <c r="L114" s="169">
        <v>0.0</v>
      </c>
    </row>
    <row r="115" ht="14.25" customHeight="1">
      <c r="A115" s="169" t="s">
        <v>6603</v>
      </c>
      <c r="B115" s="169" t="s">
        <v>7149</v>
      </c>
      <c r="C115" s="169" t="s">
        <v>17635</v>
      </c>
      <c r="D115" s="169" t="str">
        <f t="shared" ref="D115:E115" si="84">"B0406"</f>
        <v>B0406</v>
      </c>
      <c r="E115" s="169" t="str">
        <f t="shared" si="84"/>
        <v>B0406</v>
      </c>
      <c r="F115" s="169" t="s">
        <v>18811</v>
      </c>
      <c r="G115" s="169">
        <v>2.0</v>
      </c>
      <c r="H115" s="169">
        <v>10100.0</v>
      </c>
      <c r="I115" s="169">
        <v>20200.0</v>
      </c>
      <c r="J115" s="169">
        <v>0.0</v>
      </c>
      <c r="K115" s="169">
        <v>2.0</v>
      </c>
      <c r="L115" s="169">
        <v>0.0</v>
      </c>
    </row>
    <row r="116" ht="14.25" customHeight="1">
      <c r="A116" s="169" t="s">
        <v>6603</v>
      </c>
      <c r="B116" s="169" t="s">
        <v>7149</v>
      </c>
      <c r="C116" s="169" t="s">
        <v>17634</v>
      </c>
      <c r="D116" s="169" t="str">
        <f>"8435508003420"</f>
        <v>8435508003420</v>
      </c>
      <c r="E116" s="169" t="str">
        <f>"B0342"</f>
        <v>B0342</v>
      </c>
      <c r="F116" s="169" t="s">
        <v>18811</v>
      </c>
      <c r="G116" s="169">
        <v>3.0</v>
      </c>
      <c r="H116" s="169">
        <v>10100.0</v>
      </c>
      <c r="I116" s="169">
        <v>30300.0</v>
      </c>
      <c r="J116" s="169">
        <v>0.0</v>
      </c>
      <c r="K116" s="169">
        <v>3.0</v>
      </c>
      <c r="L116" s="169">
        <v>0.0</v>
      </c>
    </row>
    <row r="117" ht="14.25" customHeight="1">
      <c r="A117" s="169" t="s">
        <v>6603</v>
      </c>
      <c r="B117" s="169" t="s">
        <v>7149</v>
      </c>
      <c r="C117" s="169" t="s">
        <v>17632</v>
      </c>
      <c r="D117" s="169" t="str">
        <f t="shared" ref="D117:E117" si="85">"B0601"</f>
        <v>B0601</v>
      </c>
      <c r="E117" s="169" t="str">
        <f t="shared" si="85"/>
        <v>B0601</v>
      </c>
      <c r="F117" s="169" t="s">
        <v>18811</v>
      </c>
      <c r="G117" s="169">
        <v>4.0</v>
      </c>
      <c r="H117" s="169">
        <v>20200.0</v>
      </c>
      <c r="I117" s="169">
        <v>80800.0</v>
      </c>
      <c r="J117" s="169">
        <v>0.0</v>
      </c>
      <c r="K117" s="169">
        <v>4.0</v>
      </c>
      <c r="L117" s="169">
        <v>0.0</v>
      </c>
    </row>
    <row r="118" ht="14.25" customHeight="1">
      <c r="A118" s="169" t="s">
        <v>6603</v>
      </c>
      <c r="B118" s="169" t="s">
        <v>7149</v>
      </c>
      <c r="C118" s="169" t="s">
        <v>17631</v>
      </c>
      <c r="D118" s="169" t="str">
        <f t="shared" ref="D118:E118" si="86">"B0403"</f>
        <v>B0403</v>
      </c>
      <c r="E118" s="169" t="str">
        <f t="shared" si="86"/>
        <v>B0403</v>
      </c>
      <c r="F118" s="169" t="s">
        <v>18811</v>
      </c>
      <c r="G118" s="169">
        <v>4.0</v>
      </c>
      <c r="H118" s="169">
        <v>17600.0</v>
      </c>
      <c r="I118" s="169">
        <v>70400.0</v>
      </c>
      <c r="J118" s="169">
        <v>0.0</v>
      </c>
      <c r="K118" s="169">
        <v>4.0</v>
      </c>
      <c r="L118" s="169">
        <v>0.0</v>
      </c>
    </row>
    <row r="119" ht="14.25" customHeight="1">
      <c r="A119" s="169" t="s">
        <v>6603</v>
      </c>
      <c r="B119" s="169" t="s">
        <v>7149</v>
      </c>
      <c r="C119" s="169" t="s">
        <v>17633</v>
      </c>
      <c r="D119" s="169" t="str">
        <f t="shared" ref="D119:E119" si="87">"B0404"</f>
        <v>B0404</v>
      </c>
      <c r="E119" s="169" t="str">
        <f t="shared" si="87"/>
        <v>B0404</v>
      </c>
      <c r="F119" s="169" t="s">
        <v>18811</v>
      </c>
      <c r="G119" s="169">
        <v>4.0</v>
      </c>
      <c r="H119" s="169">
        <v>20200.0</v>
      </c>
      <c r="I119" s="169">
        <v>80800.0</v>
      </c>
      <c r="J119" s="169">
        <v>0.0</v>
      </c>
      <c r="K119" s="169">
        <v>4.0</v>
      </c>
      <c r="L119" s="169">
        <v>0.0</v>
      </c>
    </row>
    <row r="120" ht="14.25" customHeight="1">
      <c r="A120" s="169" t="s">
        <v>6603</v>
      </c>
      <c r="B120" s="169" t="s">
        <v>7149</v>
      </c>
      <c r="C120" s="169" t="s">
        <v>17630</v>
      </c>
      <c r="D120" s="169" t="str">
        <f>"8435508002621"</f>
        <v>8435508002621</v>
      </c>
      <c r="E120" s="169" t="str">
        <f>"B0262"</f>
        <v>B0262</v>
      </c>
      <c r="F120" s="169" t="s">
        <v>18811</v>
      </c>
      <c r="G120" s="169">
        <v>4.0</v>
      </c>
      <c r="H120" s="169">
        <v>6500.0</v>
      </c>
      <c r="I120" s="169">
        <v>26000.0</v>
      </c>
      <c r="J120" s="169">
        <v>0.0</v>
      </c>
      <c r="K120" s="169">
        <v>4.0</v>
      </c>
      <c r="L120" s="169">
        <v>0.0</v>
      </c>
    </row>
    <row r="121" ht="14.25" customHeight="1">
      <c r="A121" s="169" t="s">
        <v>6603</v>
      </c>
      <c r="B121" s="169" t="s">
        <v>7149</v>
      </c>
      <c r="C121" s="169" t="s">
        <v>17629</v>
      </c>
      <c r="D121" s="169" t="str">
        <f>"8435508002638"</f>
        <v>8435508002638</v>
      </c>
      <c r="E121" s="169" t="str">
        <f>"B0263"</f>
        <v>B0263</v>
      </c>
      <c r="F121" s="169" t="s">
        <v>18811</v>
      </c>
      <c r="G121" s="169">
        <v>1.0</v>
      </c>
      <c r="H121" s="169">
        <v>7600.0</v>
      </c>
      <c r="I121" s="169">
        <v>7600.0</v>
      </c>
      <c r="J121" s="169">
        <v>0.0</v>
      </c>
      <c r="K121" s="169">
        <v>1.0</v>
      </c>
      <c r="L121" s="169">
        <v>0.0</v>
      </c>
    </row>
    <row r="122" ht="14.25" customHeight="1">
      <c r="A122" s="169" t="s">
        <v>6603</v>
      </c>
      <c r="B122" s="169" t="s">
        <v>7149</v>
      </c>
      <c r="C122" s="169" t="s">
        <v>17628</v>
      </c>
      <c r="D122" s="169" t="str">
        <f t="shared" ref="D122:E122" si="88">"B0253"</f>
        <v>B0253</v>
      </c>
      <c r="E122" s="169" t="str">
        <f t="shared" si="88"/>
        <v>B0253</v>
      </c>
      <c r="F122" s="169" t="s">
        <v>18811</v>
      </c>
      <c r="G122" s="169">
        <v>2.0</v>
      </c>
      <c r="H122" s="169">
        <v>3500.0</v>
      </c>
      <c r="I122" s="169">
        <v>7000.0</v>
      </c>
      <c r="J122" s="169">
        <v>0.0</v>
      </c>
      <c r="K122" s="169">
        <v>2.0</v>
      </c>
      <c r="L122" s="169">
        <v>0.0</v>
      </c>
    </row>
    <row r="123" ht="14.25" customHeight="1">
      <c r="A123" s="169" t="s">
        <v>6603</v>
      </c>
      <c r="B123" s="169" t="s">
        <v>7149</v>
      </c>
      <c r="C123" s="169" t="s">
        <v>17627</v>
      </c>
      <c r="D123" s="169" t="str">
        <f>"8435508002591"</f>
        <v>8435508002591</v>
      </c>
      <c r="E123" s="169" t="str">
        <f>"B0259"</f>
        <v>B0259</v>
      </c>
      <c r="F123" s="169" t="s">
        <v>18811</v>
      </c>
      <c r="G123" s="169">
        <v>4.0</v>
      </c>
      <c r="H123" s="169">
        <v>7600.0</v>
      </c>
      <c r="I123" s="169">
        <v>30400.0</v>
      </c>
      <c r="J123" s="169">
        <v>0.0</v>
      </c>
      <c r="K123" s="169">
        <v>4.0</v>
      </c>
      <c r="L123" s="169">
        <v>0.0</v>
      </c>
    </row>
    <row r="124" ht="14.25" customHeight="1">
      <c r="A124" s="169" t="s">
        <v>6603</v>
      </c>
      <c r="B124" s="169" t="s">
        <v>7149</v>
      </c>
      <c r="C124" s="169" t="s">
        <v>17626</v>
      </c>
      <c r="D124" s="169" t="str">
        <f t="shared" ref="D124:E124" si="89">"B0619"</f>
        <v>B0619</v>
      </c>
      <c r="E124" s="169" t="str">
        <f t="shared" si="89"/>
        <v>B0619</v>
      </c>
      <c r="F124" s="169" t="s">
        <v>18811</v>
      </c>
      <c r="G124" s="169">
        <v>7.0</v>
      </c>
      <c r="H124" s="169">
        <v>32274.3</v>
      </c>
      <c r="I124" s="169">
        <v>225920.0</v>
      </c>
      <c r="J124" s="169">
        <v>0.0</v>
      </c>
      <c r="K124" s="169">
        <v>7.0</v>
      </c>
      <c r="L124" s="169">
        <v>0.0</v>
      </c>
    </row>
    <row r="125" ht="14.25" customHeight="1">
      <c r="A125" s="169" t="s">
        <v>6603</v>
      </c>
      <c r="B125" s="169" t="s">
        <v>7149</v>
      </c>
      <c r="C125" s="169" t="s">
        <v>17625</v>
      </c>
      <c r="D125" s="169" t="str">
        <f t="shared" ref="D125:E125" si="90">"B0622"</f>
        <v>B0622</v>
      </c>
      <c r="E125" s="169" t="str">
        <f t="shared" si="90"/>
        <v>B0622</v>
      </c>
      <c r="F125" s="169" t="s">
        <v>18811</v>
      </c>
      <c r="G125" s="169">
        <v>4.0</v>
      </c>
      <c r="H125" s="169">
        <v>15100.0</v>
      </c>
      <c r="I125" s="169">
        <v>60400.0</v>
      </c>
      <c r="J125" s="169">
        <v>0.0</v>
      </c>
      <c r="K125" s="169">
        <v>4.0</v>
      </c>
      <c r="L125" s="169">
        <v>0.0</v>
      </c>
    </row>
    <row r="126" ht="14.25" customHeight="1">
      <c r="A126" s="169" t="s">
        <v>6603</v>
      </c>
      <c r="B126" s="169" t="s">
        <v>7149</v>
      </c>
      <c r="C126" s="169" t="s">
        <v>17624</v>
      </c>
      <c r="D126" s="169" t="str">
        <f t="shared" ref="D126:E126" si="91">"B0733"</f>
        <v>B0733</v>
      </c>
      <c r="E126" s="169" t="str">
        <f t="shared" si="91"/>
        <v>B0733</v>
      </c>
      <c r="F126" s="169" t="s">
        <v>18811</v>
      </c>
      <c r="G126" s="169">
        <v>2.0</v>
      </c>
      <c r="H126" s="169">
        <v>20200.0</v>
      </c>
      <c r="I126" s="169">
        <v>40400.0</v>
      </c>
      <c r="J126" s="169">
        <v>0.0</v>
      </c>
      <c r="K126" s="169">
        <v>2.0</v>
      </c>
      <c r="L126" s="169">
        <v>0.0</v>
      </c>
    </row>
    <row r="127" ht="14.25" customHeight="1">
      <c r="A127" s="169" t="s">
        <v>6603</v>
      </c>
      <c r="B127" s="169" t="s">
        <v>7149</v>
      </c>
      <c r="C127" s="169" t="s">
        <v>17623</v>
      </c>
      <c r="D127" s="169" t="str">
        <f>"8435508003468"</f>
        <v>8435508003468</v>
      </c>
      <c r="E127" s="169" t="str">
        <f>"B0346"</f>
        <v>B0346</v>
      </c>
      <c r="F127" s="169" t="s">
        <v>18811</v>
      </c>
      <c r="G127" s="169">
        <v>4.0</v>
      </c>
      <c r="H127" s="169">
        <v>30300.0</v>
      </c>
      <c r="I127" s="169">
        <v>121200.0</v>
      </c>
      <c r="J127" s="169">
        <v>0.0</v>
      </c>
      <c r="K127" s="169">
        <v>4.0</v>
      </c>
      <c r="L127" s="169">
        <v>0.0</v>
      </c>
    </row>
    <row r="128" ht="14.25" customHeight="1">
      <c r="A128" s="169" t="s">
        <v>6603</v>
      </c>
      <c r="B128" s="169" t="s">
        <v>7149</v>
      </c>
      <c r="C128" s="169" t="s">
        <v>17622</v>
      </c>
      <c r="D128" s="169" t="str">
        <f t="shared" ref="D128:E128" si="92">"B0527"</f>
        <v>B0527</v>
      </c>
      <c r="E128" s="169" t="str">
        <f t="shared" si="92"/>
        <v>B0527</v>
      </c>
      <c r="F128" s="169" t="s">
        <v>18811</v>
      </c>
      <c r="G128" s="169">
        <v>4.0</v>
      </c>
      <c r="H128" s="169">
        <v>30300.0</v>
      </c>
      <c r="I128" s="169">
        <v>121200.0</v>
      </c>
      <c r="J128" s="169">
        <v>0.0</v>
      </c>
      <c r="K128" s="169">
        <v>4.0</v>
      </c>
      <c r="L128" s="169">
        <v>0.0</v>
      </c>
    </row>
    <row r="129" ht="14.25" customHeight="1">
      <c r="A129" s="169" t="s">
        <v>6603</v>
      </c>
      <c r="B129" s="169" t="s">
        <v>7149</v>
      </c>
      <c r="C129" s="169" t="s">
        <v>17621</v>
      </c>
      <c r="D129" s="169" t="str">
        <f t="shared" ref="D129:E129" si="93">"B0046"</f>
        <v>B0046</v>
      </c>
      <c r="E129" s="169" t="str">
        <f t="shared" si="93"/>
        <v>B0046</v>
      </c>
      <c r="F129" s="169" t="s">
        <v>18811</v>
      </c>
      <c r="G129" s="169">
        <v>1.0</v>
      </c>
      <c r="H129" s="169">
        <v>25200.0</v>
      </c>
      <c r="I129" s="169">
        <v>25200.0</v>
      </c>
      <c r="J129" s="169">
        <v>0.0</v>
      </c>
      <c r="K129" s="169">
        <v>1.0</v>
      </c>
      <c r="L129" s="169">
        <v>0.0</v>
      </c>
    </row>
    <row r="130" ht="14.25" customHeight="1">
      <c r="A130" s="169" t="s">
        <v>6603</v>
      </c>
      <c r="B130" s="169" t="s">
        <v>7149</v>
      </c>
      <c r="C130" s="169" t="s">
        <v>17620</v>
      </c>
      <c r="D130" s="169" t="str">
        <f t="shared" ref="D130:E130" si="94">"B0623"</f>
        <v>B0623</v>
      </c>
      <c r="E130" s="169" t="str">
        <f t="shared" si="94"/>
        <v>B0623</v>
      </c>
      <c r="F130" s="169" t="s">
        <v>18811</v>
      </c>
      <c r="G130" s="169">
        <v>2.0</v>
      </c>
      <c r="H130" s="169">
        <v>20200.0</v>
      </c>
      <c r="I130" s="169">
        <v>40400.0</v>
      </c>
      <c r="J130" s="169">
        <v>0.0</v>
      </c>
      <c r="K130" s="169">
        <v>2.0</v>
      </c>
      <c r="L130" s="169">
        <v>0.0</v>
      </c>
    </row>
    <row r="131" ht="14.25" customHeight="1">
      <c r="A131" s="169" t="s">
        <v>6603</v>
      </c>
      <c r="B131" s="169" t="s">
        <v>7149</v>
      </c>
      <c r="C131" s="169" t="s">
        <v>17619</v>
      </c>
      <c r="D131" s="169" t="str">
        <f t="shared" ref="D131:E131" si="95">"B0624"</f>
        <v>B0624</v>
      </c>
      <c r="E131" s="169" t="str">
        <f t="shared" si="95"/>
        <v>B0624</v>
      </c>
      <c r="F131" s="169" t="s">
        <v>18811</v>
      </c>
      <c r="G131" s="169">
        <v>5.0</v>
      </c>
      <c r="H131" s="169">
        <v>25200.0</v>
      </c>
      <c r="I131" s="169">
        <v>126000.0</v>
      </c>
      <c r="J131" s="169">
        <v>0.0</v>
      </c>
      <c r="K131" s="169">
        <v>5.0</v>
      </c>
      <c r="L131" s="169">
        <v>0.0</v>
      </c>
    </row>
    <row r="132" ht="14.25" customHeight="1">
      <c r="A132" s="169" t="s">
        <v>6603</v>
      </c>
      <c r="B132" s="169" t="s">
        <v>7149</v>
      </c>
      <c r="C132" s="169" t="s">
        <v>17618</v>
      </c>
      <c r="D132" s="169" t="str">
        <f t="shared" ref="D132:E132" si="96">"B0761"</f>
        <v>B0761</v>
      </c>
      <c r="E132" s="169" t="str">
        <f t="shared" si="96"/>
        <v>B0761</v>
      </c>
      <c r="F132" s="169" t="s">
        <v>18811</v>
      </c>
      <c r="G132" s="169">
        <v>4.0</v>
      </c>
      <c r="H132" s="169">
        <v>20200.0</v>
      </c>
      <c r="I132" s="169">
        <v>80800.0</v>
      </c>
      <c r="J132" s="169">
        <v>0.0</v>
      </c>
      <c r="K132" s="169">
        <v>4.0</v>
      </c>
      <c r="L132" s="169">
        <v>0.0</v>
      </c>
    </row>
    <row r="133" ht="14.25" customHeight="1">
      <c r="A133" s="169" t="s">
        <v>6603</v>
      </c>
      <c r="B133" s="169" t="s">
        <v>7149</v>
      </c>
      <c r="C133" s="169" t="s">
        <v>17617</v>
      </c>
      <c r="D133" s="169" t="str">
        <f t="shared" ref="D133:E133" si="97">"B0760"</f>
        <v>B0760</v>
      </c>
      <c r="E133" s="169" t="str">
        <f t="shared" si="97"/>
        <v>B0760</v>
      </c>
      <c r="F133" s="169" t="s">
        <v>18811</v>
      </c>
      <c r="G133" s="169">
        <v>1.0</v>
      </c>
      <c r="H133" s="169">
        <v>20200.0</v>
      </c>
      <c r="I133" s="169">
        <v>20200.0</v>
      </c>
      <c r="J133" s="169">
        <v>0.0</v>
      </c>
      <c r="K133" s="169">
        <v>1.0</v>
      </c>
      <c r="L133" s="169">
        <v>0.0</v>
      </c>
    </row>
    <row r="134" ht="14.25" customHeight="1">
      <c r="A134" s="169" t="s">
        <v>6603</v>
      </c>
      <c r="B134" s="169" t="s">
        <v>7149</v>
      </c>
      <c r="C134" s="169" t="s">
        <v>17616</v>
      </c>
      <c r="D134" s="169" t="str">
        <f t="shared" ref="D134:E134" si="98">"B0756"</f>
        <v>B0756</v>
      </c>
      <c r="E134" s="169" t="str">
        <f t="shared" si="98"/>
        <v>B0756</v>
      </c>
      <c r="F134" s="169" t="s">
        <v>18811</v>
      </c>
      <c r="G134" s="169">
        <v>7.0</v>
      </c>
      <c r="H134" s="169">
        <v>20200.0</v>
      </c>
      <c r="I134" s="169">
        <v>141400.0</v>
      </c>
      <c r="J134" s="169">
        <v>0.0</v>
      </c>
      <c r="K134" s="169">
        <v>7.0</v>
      </c>
      <c r="L134" s="169">
        <v>0.0</v>
      </c>
    </row>
    <row r="135" ht="14.25" customHeight="1">
      <c r="A135" s="169" t="s">
        <v>6603</v>
      </c>
      <c r="B135" s="169" t="s">
        <v>7149</v>
      </c>
      <c r="C135" s="169" t="s">
        <v>17615</v>
      </c>
      <c r="D135" s="169" t="str">
        <f t="shared" ref="D135:E135" si="99">"B0762"</f>
        <v>B0762</v>
      </c>
      <c r="E135" s="169" t="str">
        <f t="shared" si="99"/>
        <v>B0762</v>
      </c>
      <c r="F135" s="169" t="s">
        <v>18811</v>
      </c>
      <c r="G135" s="169">
        <v>8.0</v>
      </c>
      <c r="H135" s="169">
        <v>20200.0</v>
      </c>
      <c r="I135" s="169">
        <v>161600.0</v>
      </c>
      <c r="J135" s="169">
        <v>0.0</v>
      </c>
      <c r="K135" s="169">
        <v>8.0</v>
      </c>
      <c r="L135" s="169">
        <v>0.0</v>
      </c>
    </row>
    <row r="136" ht="14.25" customHeight="1">
      <c r="A136" s="169" t="s">
        <v>6603</v>
      </c>
      <c r="B136" s="169" t="s">
        <v>7149</v>
      </c>
      <c r="C136" s="169" t="s">
        <v>17614</v>
      </c>
      <c r="D136" s="169" t="str">
        <f t="shared" ref="D136:E136" si="100">"B0757"</f>
        <v>B0757</v>
      </c>
      <c r="E136" s="169" t="str">
        <f t="shared" si="100"/>
        <v>B0757</v>
      </c>
      <c r="F136" s="169" t="s">
        <v>18811</v>
      </c>
      <c r="G136" s="169">
        <v>5.0</v>
      </c>
      <c r="H136" s="169">
        <v>20200.0</v>
      </c>
      <c r="I136" s="169">
        <v>101000.0</v>
      </c>
      <c r="J136" s="169">
        <v>0.0</v>
      </c>
      <c r="K136" s="169">
        <v>5.0</v>
      </c>
      <c r="L136" s="169">
        <v>0.0</v>
      </c>
    </row>
    <row r="137" ht="14.25" customHeight="1">
      <c r="A137" s="169" t="s">
        <v>6603</v>
      </c>
      <c r="B137" s="169" t="s">
        <v>7149</v>
      </c>
      <c r="C137" s="169" t="s">
        <v>17613</v>
      </c>
      <c r="D137" s="169" t="str">
        <f t="shared" ref="D137:E137" si="101">"B0734"</f>
        <v>B0734</v>
      </c>
      <c r="E137" s="169" t="str">
        <f t="shared" si="101"/>
        <v>B0734</v>
      </c>
      <c r="F137" s="169" t="s">
        <v>18811</v>
      </c>
      <c r="G137" s="169">
        <v>4.0</v>
      </c>
      <c r="H137" s="169">
        <v>20200.0</v>
      </c>
      <c r="I137" s="169">
        <v>80800.0</v>
      </c>
      <c r="J137" s="169">
        <v>0.0</v>
      </c>
      <c r="K137" s="169">
        <v>4.0</v>
      </c>
      <c r="L137" s="169">
        <v>0.0</v>
      </c>
    </row>
    <row r="138" ht="14.25" customHeight="1">
      <c r="A138" s="169" t="s">
        <v>6603</v>
      </c>
      <c r="B138" s="169" t="s">
        <v>7149</v>
      </c>
      <c r="C138" s="169" t="s">
        <v>17612</v>
      </c>
      <c r="D138" s="169" t="str">
        <f t="shared" ref="D138:E138" si="102">"B0344"</f>
        <v>B0344</v>
      </c>
      <c r="E138" s="169" t="str">
        <f t="shared" si="102"/>
        <v>B0344</v>
      </c>
      <c r="F138" s="169" t="s">
        <v>18811</v>
      </c>
      <c r="G138" s="169">
        <v>5.0</v>
      </c>
      <c r="H138" s="169">
        <v>25200.0</v>
      </c>
      <c r="I138" s="169">
        <v>126000.0</v>
      </c>
      <c r="J138" s="169">
        <v>0.0</v>
      </c>
      <c r="K138" s="169">
        <v>5.0</v>
      </c>
      <c r="L138" s="169">
        <v>0.0</v>
      </c>
    </row>
    <row r="139" ht="14.25" customHeight="1">
      <c r="A139" s="169" t="s">
        <v>6603</v>
      </c>
      <c r="B139" s="169" t="s">
        <v>7149</v>
      </c>
      <c r="C139" s="169" t="s">
        <v>17611</v>
      </c>
      <c r="D139" s="169" t="str">
        <f t="shared" ref="D139:E139" si="103">"B0348"</f>
        <v>B0348</v>
      </c>
      <c r="E139" s="169" t="str">
        <f t="shared" si="103"/>
        <v>B0348</v>
      </c>
      <c r="F139" s="169" t="s">
        <v>18811</v>
      </c>
      <c r="G139" s="169">
        <v>6.0</v>
      </c>
      <c r="H139" s="169">
        <v>20200.0</v>
      </c>
      <c r="I139" s="169">
        <v>121200.0</v>
      </c>
      <c r="J139" s="169">
        <v>0.0</v>
      </c>
      <c r="K139" s="169">
        <v>6.0</v>
      </c>
      <c r="L139" s="169">
        <v>0.0</v>
      </c>
    </row>
    <row r="140" ht="14.25" customHeight="1">
      <c r="A140" s="169" t="s">
        <v>6603</v>
      </c>
      <c r="B140" s="169" t="s">
        <v>7149</v>
      </c>
      <c r="C140" s="169" t="s">
        <v>17610</v>
      </c>
      <c r="D140" s="169" t="str">
        <f t="shared" ref="D140:E140" si="104">"B0726"</f>
        <v>B0726</v>
      </c>
      <c r="E140" s="169" t="str">
        <f t="shared" si="104"/>
        <v>B0726</v>
      </c>
      <c r="F140" s="169" t="s">
        <v>18811</v>
      </c>
      <c r="G140" s="169">
        <v>10.0</v>
      </c>
      <c r="H140" s="169">
        <v>20200.0</v>
      </c>
      <c r="I140" s="169">
        <v>202000.0</v>
      </c>
      <c r="J140" s="169">
        <v>0.0</v>
      </c>
      <c r="K140" s="169">
        <v>10.0</v>
      </c>
      <c r="L140" s="169">
        <v>0.0</v>
      </c>
    </row>
    <row r="141" ht="14.25" customHeight="1">
      <c r="A141" s="169" t="s">
        <v>6603</v>
      </c>
      <c r="B141" s="169" t="s">
        <v>7149</v>
      </c>
      <c r="C141" s="169" t="s">
        <v>17609</v>
      </c>
      <c r="D141" s="169" t="str">
        <f t="shared" ref="D141:E141" si="105">"B0618"</f>
        <v>B0618</v>
      </c>
      <c r="E141" s="169" t="str">
        <f t="shared" si="105"/>
        <v>B0618</v>
      </c>
      <c r="F141" s="169" t="s">
        <v>18811</v>
      </c>
      <c r="G141" s="169">
        <v>4.0</v>
      </c>
      <c r="H141" s="169">
        <v>30300.0</v>
      </c>
      <c r="I141" s="169">
        <v>121200.0</v>
      </c>
      <c r="J141" s="169">
        <v>0.0</v>
      </c>
      <c r="K141" s="169">
        <v>4.0</v>
      </c>
      <c r="L141" s="169">
        <v>0.0</v>
      </c>
    </row>
    <row r="142" ht="14.25" customHeight="1">
      <c r="A142" s="169" t="s">
        <v>6603</v>
      </c>
      <c r="B142" s="169" t="s">
        <v>7149</v>
      </c>
      <c r="C142" s="169" t="s">
        <v>17608</v>
      </c>
      <c r="D142" s="169" t="str">
        <f t="shared" ref="D142:E142" si="106">"B0442"</f>
        <v>B0442</v>
      </c>
      <c r="E142" s="169" t="str">
        <f t="shared" si="106"/>
        <v>B0442</v>
      </c>
      <c r="F142" s="169" t="s">
        <v>18811</v>
      </c>
      <c r="G142" s="169">
        <v>1.0</v>
      </c>
      <c r="H142" s="169">
        <v>20200.0</v>
      </c>
      <c r="I142" s="169">
        <v>20200.0</v>
      </c>
      <c r="J142" s="169">
        <v>0.0</v>
      </c>
      <c r="K142" s="169">
        <v>1.0</v>
      </c>
      <c r="L142" s="169">
        <v>0.0</v>
      </c>
    </row>
    <row r="143" ht="14.25" customHeight="1">
      <c r="A143" s="169" t="s">
        <v>6603</v>
      </c>
      <c r="B143" s="169" t="s">
        <v>7149</v>
      </c>
      <c r="C143" s="169" t="s">
        <v>17607</v>
      </c>
      <c r="D143" s="169" t="str">
        <f t="shared" ref="D143:E143" si="107">"B0600"</f>
        <v>B0600</v>
      </c>
      <c r="E143" s="169" t="str">
        <f t="shared" si="107"/>
        <v>B0600</v>
      </c>
      <c r="F143" s="169" t="s">
        <v>18811</v>
      </c>
      <c r="G143" s="169">
        <v>4.0</v>
      </c>
      <c r="H143" s="169">
        <v>20200.0</v>
      </c>
      <c r="I143" s="169">
        <v>80800.0</v>
      </c>
      <c r="J143" s="169">
        <v>0.0</v>
      </c>
      <c r="K143" s="169">
        <v>4.0</v>
      </c>
      <c r="L143" s="169">
        <v>0.0</v>
      </c>
    </row>
    <row r="144" ht="14.25" customHeight="1">
      <c r="A144" s="169" t="s">
        <v>6603</v>
      </c>
      <c r="B144" s="169" t="s">
        <v>7149</v>
      </c>
      <c r="C144" s="169" t="s">
        <v>17606</v>
      </c>
      <c r="D144" s="169" t="str">
        <f t="shared" ref="D144:E144" si="108">"B0598"</f>
        <v>B0598</v>
      </c>
      <c r="E144" s="169" t="str">
        <f t="shared" si="108"/>
        <v>B0598</v>
      </c>
      <c r="F144" s="169" t="s">
        <v>18811</v>
      </c>
      <c r="G144" s="169">
        <v>4.0</v>
      </c>
      <c r="H144" s="169">
        <v>20200.0</v>
      </c>
      <c r="I144" s="169">
        <v>80800.0</v>
      </c>
      <c r="J144" s="169">
        <v>0.0</v>
      </c>
      <c r="K144" s="169">
        <v>4.0</v>
      </c>
      <c r="L144" s="169">
        <v>0.0</v>
      </c>
    </row>
    <row r="145" ht="14.25" customHeight="1">
      <c r="A145" s="169" t="s">
        <v>6603</v>
      </c>
      <c r="B145" s="169" t="s">
        <v>7149</v>
      </c>
      <c r="C145" s="169" t="s">
        <v>17605</v>
      </c>
      <c r="D145" s="169" t="str">
        <f t="shared" ref="D145:E145" si="109">"B0599"</f>
        <v>B0599</v>
      </c>
      <c r="E145" s="169" t="str">
        <f t="shared" si="109"/>
        <v>B0599</v>
      </c>
      <c r="F145" s="169" t="s">
        <v>18811</v>
      </c>
      <c r="G145" s="169">
        <v>4.0</v>
      </c>
      <c r="H145" s="169">
        <v>35300.0</v>
      </c>
      <c r="I145" s="169">
        <v>141200.0</v>
      </c>
      <c r="J145" s="169">
        <v>0.0</v>
      </c>
      <c r="K145" s="169">
        <v>4.0</v>
      </c>
      <c r="L145" s="169">
        <v>0.0</v>
      </c>
    </row>
    <row r="146" ht="14.25" customHeight="1">
      <c r="A146" s="169" t="s">
        <v>6603</v>
      </c>
      <c r="B146" s="169" t="s">
        <v>7149</v>
      </c>
      <c r="C146" s="169" t="s">
        <v>17604</v>
      </c>
      <c r="D146" s="169" t="str">
        <f>"8435508003208"</f>
        <v>8435508003208</v>
      </c>
      <c r="E146" s="169" t="str">
        <f>"B0320"</f>
        <v>B0320</v>
      </c>
      <c r="F146" s="169" t="s">
        <v>18811</v>
      </c>
      <c r="G146" s="169">
        <v>3.0</v>
      </c>
      <c r="H146" s="169">
        <v>15100.0</v>
      </c>
      <c r="I146" s="169">
        <v>45300.0</v>
      </c>
      <c r="J146" s="169">
        <v>0.0</v>
      </c>
      <c r="K146" s="169">
        <v>3.0</v>
      </c>
      <c r="L146" s="169">
        <v>0.0</v>
      </c>
    </row>
    <row r="147" ht="14.25" customHeight="1">
      <c r="A147" s="169" t="s">
        <v>6603</v>
      </c>
      <c r="B147" s="169" t="s">
        <v>7149</v>
      </c>
      <c r="C147" s="169" t="s">
        <v>17603</v>
      </c>
      <c r="D147" s="169" t="str">
        <f>"8435508004083"</f>
        <v>8435508004083</v>
      </c>
      <c r="E147" s="169" t="str">
        <f>"B0408"</f>
        <v>B0408</v>
      </c>
      <c r="F147" s="169" t="s">
        <v>18811</v>
      </c>
      <c r="G147" s="169">
        <v>6.0</v>
      </c>
      <c r="H147" s="169">
        <v>20200.0</v>
      </c>
      <c r="I147" s="169">
        <v>121200.0</v>
      </c>
      <c r="J147" s="169">
        <v>0.0</v>
      </c>
      <c r="K147" s="169">
        <v>6.0</v>
      </c>
      <c r="L147" s="169">
        <v>0.0</v>
      </c>
    </row>
    <row r="148" ht="14.25" customHeight="1">
      <c r="A148" s="169" t="s">
        <v>6603</v>
      </c>
      <c r="B148" s="169" t="s">
        <v>7149</v>
      </c>
      <c r="C148" s="169" t="s">
        <v>17602</v>
      </c>
      <c r="D148" s="169" t="str">
        <f>"8435508005059"</f>
        <v>8435508005059</v>
      </c>
      <c r="E148" s="169" t="str">
        <f>"B0505"</f>
        <v>B0505</v>
      </c>
      <c r="F148" s="169" t="s">
        <v>18811</v>
      </c>
      <c r="G148" s="169">
        <v>3.0</v>
      </c>
      <c r="H148" s="169">
        <v>15100.0</v>
      </c>
      <c r="I148" s="169">
        <v>45300.0</v>
      </c>
      <c r="J148" s="169">
        <v>0.0</v>
      </c>
      <c r="K148" s="169">
        <v>3.0</v>
      </c>
      <c r="L148" s="169">
        <v>0.0</v>
      </c>
    </row>
    <row r="149" ht="14.25" customHeight="1">
      <c r="A149" s="169" t="s">
        <v>6603</v>
      </c>
      <c r="B149" s="169" t="s">
        <v>7149</v>
      </c>
      <c r="C149" s="169" t="s">
        <v>17601</v>
      </c>
      <c r="D149" s="169" t="str">
        <f>"8435508005073"</f>
        <v>8435508005073</v>
      </c>
      <c r="E149" s="169" t="str">
        <f>"B0507"</f>
        <v>B0507</v>
      </c>
      <c r="F149" s="169" t="s">
        <v>18811</v>
      </c>
      <c r="G149" s="169">
        <v>3.0</v>
      </c>
      <c r="H149" s="169">
        <v>15100.0</v>
      </c>
      <c r="I149" s="169">
        <v>45300.0</v>
      </c>
      <c r="J149" s="169">
        <v>0.0</v>
      </c>
      <c r="K149" s="169">
        <v>3.0</v>
      </c>
      <c r="L149" s="169">
        <v>0.0</v>
      </c>
    </row>
    <row r="150" ht="14.25" customHeight="1">
      <c r="A150" s="169" t="s">
        <v>6603</v>
      </c>
      <c r="B150" s="169" t="s">
        <v>7149</v>
      </c>
      <c r="C150" s="169" t="s">
        <v>17600</v>
      </c>
      <c r="D150" s="169" t="str">
        <f t="shared" ref="D150:E150" si="110">"B0258"</f>
        <v>B0258</v>
      </c>
      <c r="E150" s="169" t="str">
        <f t="shared" si="110"/>
        <v>B0258</v>
      </c>
      <c r="F150" s="169" t="s">
        <v>18811</v>
      </c>
      <c r="G150" s="169">
        <v>9.0</v>
      </c>
      <c r="H150" s="169">
        <v>3500.0</v>
      </c>
      <c r="I150" s="169">
        <v>31500.0</v>
      </c>
      <c r="J150" s="169">
        <v>0.0</v>
      </c>
      <c r="K150" s="169">
        <v>9.0</v>
      </c>
      <c r="L150" s="169">
        <v>0.0</v>
      </c>
    </row>
    <row r="151" ht="14.25" customHeight="1">
      <c r="A151" s="169" t="s">
        <v>6603</v>
      </c>
      <c r="B151" s="169" t="s">
        <v>7149</v>
      </c>
      <c r="C151" s="169" t="s">
        <v>17599</v>
      </c>
      <c r="D151" s="169" t="str">
        <f t="shared" ref="D151:E151" si="111">"B0275"</f>
        <v>B0275</v>
      </c>
      <c r="E151" s="169" t="str">
        <f t="shared" si="111"/>
        <v>B0275</v>
      </c>
      <c r="F151" s="169" t="s">
        <v>18811</v>
      </c>
      <c r="G151" s="169">
        <v>4.0</v>
      </c>
      <c r="H151" s="169">
        <v>10100.0</v>
      </c>
      <c r="I151" s="169">
        <v>40400.0</v>
      </c>
      <c r="J151" s="169">
        <v>0.0</v>
      </c>
      <c r="K151" s="169">
        <v>4.0</v>
      </c>
      <c r="L151" s="169">
        <v>0.0</v>
      </c>
    </row>
    <row r="152" ht="14.25" customHeight="1">
      <c r="A152" s="169" t="s">
        <v>6603</v>
      </c>
      <c r="B152" s="169" t="s">
        <v>7149</v>
      </c>
      <c r="C152" s="169" t="s">
        <v>17598</v>
      </c>
      <c r="D152" s="169" t="str">
        <f t="shared" ref="D152:E152" si="112">"B0250"</f>
        <v>B0250</v>
      </c>
      <c r="E152" s="169" t="str">
        <f t="shared" si="112"/>
        <v>B0250</v>
      </c>
      <c r="F152" s="169" t="s">
        <v>18811</v>
      </c>
      <c r="G152" s="169">
        <v>3.0</v>
      </c>
      <c r="H152" s="169">
        <v>10100.0</v>
      </c>
      <c r="I152" s="169">
        <v>30300.0</v>
      </c>
      <c r="J152" s="169">
        <v>0.0</v>
      </c>
      <c r="K152" s="169">
        <v>3.0</v>
      </c>
      <c r="L152" s="169">
        <v>0.0</v>
      </c>
    </row>
    <row r="153" ht="14.25" customHeight="1">
      <c r="A153" s="169" t="s">
        <v>6603</v>
      </c>
      <c r="B153" s="169" t="s">
        <v>7149</v>
      </c>
      <c r="C153" s="169" t="s">
        <v>17597</v>
      </c>
      <c r="D153" s="169" t="str">
        <f t="shared" ref="D153:E153" si="113">"B0273"</f>
        <v>B0273</v>
      </c>
      <c r="E153" s="169" t="str">
        <f t="shared" si="113"/>
        <v>B0273</v>
      </c>
      <c r="F153" s="169" t="s">
        <v>18811</v>
      </c>
      <c r="G153" s="169">
        <v>5.0</v>
      </c>
      <c r="H153" s="169">
        <v>10100.0</v>
      </c>
      <c r="I153" s="169">
        <v>50500.0</v>
      </c>
      <c r="J153" s="169">
        <v>0.0</v>
      </c>
      <c r="K153" s="169">
        <v>5.0</v>
      </c>
      <c r="L153" s="169">
        <v>0.0</v>
      </c>
    </row>
    <row r="154" ht="14.25" customHeight="1">
      <c r="A154" s="169" t="s">
        <v>6603</v>
      </c>
      <c r="B154" s="169" t="s">
        <v>7149</v>
      </c>
      <c r="C154" s="169" t="s">
        <v>17596</v>
      </c>
      <c r="D154" s="169" t="str">
        <f t="shared" ref="D154:E154" si="114">"B0255"</f>
        <v>B0255</v>
      </c>
      <c r="E154" s="169" t="str">
        <f t="shared" si="114"/>
        <v>B0255</v>
      </c>
      <c r="F154" s="169" t="s">
        <v>18811</v>
      </c>
      <c r="G154" s="169">
        <v>1.0</v>
      </c>
      <c r="H154" s="169">
        <v>3500.0</v>
      </c>
      <c r="I154" s="169">
        <v>3500.0</v>
      </c>
      <c r="J154" s="169">
        <v>0.0</v>
      </c>
      <c r="K154" s="169">
        <v>1.0</v>
      </c>
      <c r="L154" s="169">
        <v>0.0</v>
      </c>
    </row>
    <row r="155" ht="14.25" customHeight="1">
      <c r="A155" s="169" t="s">
        <v>6603</v>
      </c>
      <c r="B155" s="169" t="s">
        <v>7149</v>
      </c>
      <c r="C155" s="169" t="s">
        <v>17595</v>
      </c>
      <c r="D155" s="169" t="str">
        <f t="shared" ref="D155:E155" si="115">"B0254"</f>
        <v>B0254</v>
      </c>
      <c r="E155" s="169" t="str">
        <f t="shared" si="115"/>
        <v>B0254</v>
      </c>
      <c r="F155" s="169" t="s">
        <v>18811</v>
      </c>
      <c r="G155" s="169">
        <v>3.0</v>
      </c>
      <c r="H155" s="169">
        <v>3500.0</v>
      </c>
      <c r="I155" s="169">
        <v>10500.0</v>
      </c>
      <c r="J155" s="169">
        <v>0.0</v>
      </c>
      <c r="K155" s="169">
        <v>3.0</v>
      </c>
      <c r="L155" s="169">
        <v>0.0</v>
      </c>
    </row>
    <row r="156" ht="14.25" customHeight="1">
      <c r="A156" s="169" t="s">
        <v>6603</v>
      </c>
      <c r="B156" s="169" t="s">
        <v>7149</v>
      </c>
      <c r="C156" s="169" t="s">
        <v>17594</v>
      </c>
      <c r="D156" s="169" t="str">
        <f t="shared" ref="D156:E156" si="116">"B0252"</f>
        <v>B0252</v>
      </c>
      <c r="E156" s="169" t="str">
        <f t="shared" si="116"/>
        <v>B0252</v>
      </c>
      <c r="F156" s="169" t="s">
        <v>18811</v>
      </c>
      <c r="G156" s="169">
        <v>5.0</v>
      </c>
      <c r="H156" s="169">
        <v>2800.0</v>
      </c>
      <c r="I156" s="169">
        <v>14000.0</v>
      </c>
      <c r="J156" s="169">
        <v>0.0</v>
      </c>
      <c r="K156" s="169">
        <v>5.0</v>
      </c>
      <c r="L156" s="169">
        <v>0.0</v>
      </c>
    </row>
    <row r="157" ht="14.25" customHeight="1">
      <c r="A157" s="169" t="s">
        <v>6603</v>
      </c>
      <c r="B157" s="169" t="s">
        <v>7149</v>
      </c>
      <c r="C157" s="169" t="s">
        <v>17593</v>
      </c>
      <c r="D157" s="169" t="str">
        <f>"8435508003741"</f>
        <v>8435508003741</v>
      </c>
      <c r="E157" s="169" t="str">
        <f>"B0374"</f>
        <v>B0374</v>
      </c>
      <c r="F157" s="169" t="s">
        <v>18811</v>
      </c>
      <c r="G157" s="169">
        <v>2.0</v>
      </c>
      <c r="H157" s="169">
        <v>10100.0</v>
      </c>
      <c r="I157" s="169">
        <v>20200.0</v>
      </c>
      <c r="J157" s="169">
        <v>0.0</v>
      </c>
      <c r="K157" s="169">
        <v>2.0</v>
      </c>
      <c r="L157" s="169">
        <v>0.0</v>
      </c>
    </row>
    <row r="158" ht="14.25" customHeight="1">
      <c r="A158" s="169" t="s">
        <v>6603</v>
      </c>
      <c r="B158" s="169" t="s">
        <v>7149</v>
      </c>
      <c r="C158" s="169" t="s">
        <v>17592</v>
      </c>
      <c r="D158" s="169" t="str">
        <f>"8435508003758"</f>
        <v>8435508003758</v>
      </c>
      <c r="E158" s="169" t="str">
        <f>"B0375"</f>
        <v>B0375</v>
      </c>
      <c r="F158" s="169" t="s">
        <v>18811</v>
      </c>
      <c r="G158" s="169">
        <v>8.0</v>
      </c>
      <c r="H158" s="169">
        <v>12600.0</v>
      </c>
      <c r="I158" s="169">
        <v>100800.0</v>
      </c>
      <c r="J158" s="169">
        <v>0.0</v>
      </c>
      <c r="K158" s="169">
        <v>8.0</v>
      </c>
      <c r="L158" s="169">
        <v>0.0</v>
      </c>
    </row>
    <row r="159" ht="14.25" customHeight="1">
      <c r="A159" s="169" t="s">
        <v>6603</v>
      </c>
      <c r="B159" s="169" t="s">
        <v>7149</v>
      </c>
      <c r="C159" s="169" t="s">
        <v>17591</v>
      </c>
      <c r="D159" s="169" t="str">
        <f>"8435508007527"</f>
        <v>8435508007527</v>
      </c>
      <c r="E159" s="169" t="str">
        <f>"B0752"</f>
        <v>B0752</v>
      </c>
      <c r="F159" s="169" t="s">
        <v>18811</v>
      </c>
      <c r="G159" s="169">
        <v>5.0</v>
      </c>
      <c r="H159" s="169">
        <v>7676.0</v>
      </c>
      <c r="I159" s="169">
        <v>38380.0</v>
      </c>
      <c r="J159" s="169">
        <v>0.0</v>
      </c>
      <c r="K159" s="169">
        <v>5.0</v>
      </c>
      <c r="L159" s="169">
        <v>0.0</v>
      </c>
    </row>
    <row r="160" ht="14.25" customHeight="1">
      <c r="A160" s="169" t="s">
        <v>6603</v>
      </c>
      <c r="B160" s="169" t="s">
        <v>7149</v>
      </c>
      <c r="C160" s="169" t="s">
        <v>17590</v>
      </c>
      <c r="D160" s="169" t="str">
        <f>"8435508007510"</f>
        <v>8435508007510</v>
      </c>
      <c r="E160" s="169" t="str">
        <f>"B0751"</f>
        <v>B0751</v>
      </c>
      <c r="F160" s="169" t="s">
        <v>18811</v>
      </c>
      <c r="G160" s="169">
        <v>5.0</v>
      </c>
      <c r="H160" s="169">
        <v>10100.0</v>
      </c>
      <c r="I160" s="169">
        <v>50500.0</v>
      </c>
      <c r="J160" s="169">
        <v>0.0</v>
      </c>
      <c r="K160" s="169">
        <v>5.0</v>
      </c>
      <c r="L160" s="169">
        <v>0.0</v>
      </c>
    </row>
    <row r="161" ht="14.25" customHeight="1">
      <c r="A161" s="169" t="s">
        <v>6603</v>
      </c>
      <c r="B161" s="169" t="s">
        <v>7149</v>
      </c>
      <c r="C161" s="169" t="s">
        <v>17589</v>
      </c>
      <c r="D161" s="169" t="str">
        <f>"8435508003772"</f>
        <v>8435508003772</v>
      </c>
      <c r="E161" s="169" t="str">
        <f>"B0377"</f>
        <v>B0377</v>
      </c>
      <c r="F161" s="169" t="s">
        <v>18811</v>
      </c>
      <c r="G161" s="169">
        <v>4.0</v>
      </c>
      <c r="H161" s="169">
        <v>12600.0</v>
      </c>
      <c r="I161" s="169">
        <v>50400.0</v>
      </c>
      <c r="J161" s="169">
        <v>0.0</v>
      </c>
      <c r="K161" s="169">
        <v>4.0</v>
      </c>
      <c r="L161" s="169">
        <v>0.0</v>
      </c>
    </row>
    <row r="162" ht="14.25" customHeight="1">
      <c r="A162" s="169" t="s">
        <v>6603</v>
      </c>
      <c r="B162" s="169" t="s">
        <v>7149</v>
      </c>
      <c r="C162" s="169" t="s">
        <v>17588</v>
      </c>
      <c r="D162" s="169" t="str">
        <f>"8435508003802"</f>
        <v>8435508003802</v>
      </c>
      <c r="E162" s="169" t="str">
        <f>"B0380"</f>
        <v>B0380</v>
      </c>
      <c r="F162" s="169" t="s">
        <v>18811</v>
      </c>
      <c r="G162" s="169">
        <v>4.0</v>
      </c>
      <c r="H162" s="169">
        <v>12600.0</v>
      </c>
      <c r="I162" s="169">
        <v>50400.0</v>
      </c>
      <c r="J162" s="169">
        <v>0.0</v>
      </c>
      <c r="K162" s="169">
        <v>4.0</v>
      </c>
      <c r="L162" s="169">
        <v>0.0</v>
      </c>
    </row>
    <row r="163" ht="14.25" customHeight="1">
      <c r="A163" s="169" t="s">
        <v>6603</v>
      </c>
      <c r="B163" s="169" t="s">
        <v>7149</v>
      </c>
      <c r="C163" s="169" t="s">
        <v>17587</v>
      </c>
      <c r="D163" s="169" t="str">
        <f>"8435508003796"</f>
        <v>8435508003796</v>
      </c>
      <c r="E163" s="169" t="str">
        <f>"B0379"</f>
        <v>B0379</v>
      </c>
      <c r="F163" s="169" t="s">
        <v>18811</v>
      </c>
      <c r="G163" s="169">
        <v>4.0</v>
      </c>
      <c r="H163" s="169">
        <v>15100.0</v>
      </c>
      <c r="I163" s="169">
        <v>60400.0</v>
      </c>
      <c r="J163" s="169">
        <v>0.0</v>
      </c>
      <c r="K163" s="169">
        <v>4.0</v>
      </c>
      <c r="L163" s="169">
        <v>0.0</v>
      </c>
    </row>
    <row r="164" ht="14.25" customHeight="1">
      <c r="A164" s="169" t="s">
        <v>6603</v>
      </c>
      <c r="B164" s="169" t="s">
        <v>7149</v>
      </c>
      <c r="C164" s="169" t="s">
        <v>17586</v>
      </c>
      <c r="D164" s="169" t="str">
        <f t="shared" ref="D164:E164" si="117">"B0314"</f>
        <v>B0314</v>
      </c>
      <c r="E164" s="169" t="str">
        <f t="shared" si="117"/>
        <v>B0314</v>
      </c>
      <c r="F164" s="169" t="s">
        <v>18811</v>
      </c>
      <c r="G164" s="169">
        <v>6.0</v>
      </c>
      <c r="H164" s="169">
        <v>20200.0</v>
      </c>
      <c r="I164" s="169">
        <v>121200.0</v>
      </c>
      <c r="J164" s="169">
        <v>0.0</v>
      </c>
      <c r="K164" s="169">
        <v>6.0</v>
      </c>
      <c r="L164" s="169">
        <v>0.0</v>
      </c>
    </row>
    <row r="165" ht="14.25" customHeight="1">
      <c r="A165" s="169" t="s">
        <v>6603</v>
      </c>
      <c r="B165" s="169" t="s">
        <v>7149</v>
      </c>
      <c r="C165" s="169" t="s">
        <v>17585</v>
      </c>
      <c r="D165" s="169" t="str">
        <f t="shared" ref="D165:E165" si="118">"B0313"</f>
        <v>B0313</v>
      </c>
      <c r="E165" s="169" t="str">
        <f t="shared" si="118"/>
        <v>B0313</v>
      </c>
      <c r="F165" s="169" t="s">
        <v>18811</v>
      </c>
      <c r="G165" s="169">
        <v>4.0</v>
      </c>
      <c r="H165" s="169">
        <v>17600.0</v>
      </c>
      <c r="I165" s="169">
        <v>70400.0</v>
      </c>
      <c r="J165" s="169">
        <v>0.0</v>
      </c>
      <c r="K165" s="169">
        <v>4.0</v>
      </c>
      <c r="L165" s="169">
        <v>0.0</v>
      </c>
    </row>
    <row r="166" ht="14.25" customHeight="1">
      <c r="A166" s="169" t="s">
        <v>6603</v>
      </c>
      <c r="B166" s="169" t="s">
        <v>7149</v>
      </c>
      <c r="C166" s="169" t="s">
        <v>17584</v>
      </c>
      <c r="D166" s="169" t="str">
        <f>"8435508003086"</f>
        <v>8435508003086</v>
      </c>
      <c r="E166" s="169" t="str">
        <f>"B0308"</f>
        <v>B0308</v>
      </c>
      <c r="F166" s="169" t="s">
        <v>18811</v>
      </c>
      <c r="G166" s="169">
        <v>6.0</v>
      </c>
      <c r="H166" s="169">
        <v>20200.0</v>
      </c>
      <c r="I166" s="169">
        <v>121200.0</v>
      </c>
      <c r="J166" s="169">
        <v>0.0</v>
      </c>
      <c r="K166" s="169">
        <v>6.0</v>
      </c>
      <c r="L166" s="169">
        <v>0.0</v>
      </c>
    </row>
    <row r="167" ht="14.25" customHeight="1">
      <c r="A167" s="169" t="s">
        <v>6603</v>
      </c>
      <c r="B167" s="169" t="s">
        <v>7149</v>
      </c>
      <c r="C167" s="169" t="s">
        <v>17583</v>
      </c>
      <c r="D167" s="169" t="str">
        <f>"8435508003017"</f>
        <v>8435508003017</v>
      </c>
      <c r="E167" s="169" t="str">
        <f>"B0301"</f>
        <v>B0301</v>
      </c>
      <c r="F167" s="169" t="s">
        <v>18811</v>
      </c>
      <c r="G167" s="169">
        <v>5.0</v>
      </c>
      <c r="H167" s="169">
        <v>25200.0</v>
      </c>
      <c r="I167" s="169">
        <v>126000.0</v>
      </c>
      <c r="J167" s="169">
        <v>0.0</v>
      </c>
      <c r="K167" s="169">
        <v>5.0</v>
      </c>
      <c r="L167" s="169">
        <v>0.0</v>
      </c>
    </row>
    <row r="168" ht="14.25" customHeight="1">
      <c r="A168" s="169" t="s">
        <v>6603</v>
      </c>
      <c r="B168" s="169" t="s">
        <v>7149</v>
      </c>
      <c r="C168" s="169" t="s">
        <v>17582</v>
      </c>
      <c r="D168" s="169" t="str">
        <f>"8435508003154"</f>
        <v>8435508003154</v>
      </c>
      <c r="E168" s="169" t="str">
        <f>"B0315"</f>
        <v>B0315</v>
      </c>
      <c r="F168" s="169" t="s">
        <v>18811</v>
      </c>
      <c r="G168" s="169">
        <v>4.0</v>
      </c>
      <c r="H168" s="169">
        <v>20200.0</v>
      </c>
      <c r="I168" s="169">
        <v>80800.0</v>
      </c>
      <c r="J168" s="169">
        <v>0.0</v>
      </c>
      <c r="K168" s="169">
        <v>4.0</v>
      </c>
      <c r="L168" s="169">
        <v>0.0</v>
      </c>
    </row>
    <row r="169" ht="14.25" customHeight="1">
      <c r="A169" s="169" t="s">
        <v>6603</v>
      </c>
      <c r="B169" s="169" t="s">
        <v>7149</v>
      </c>
      <c r="C169" s="169" t="s">
        <v>17581</v>
      </c>
      <c r="D169" s="169" t="str">
        <f>"8435508007237"</f>
        <v>8435508007237</v>
      </c>
      <c r="E169" s="169" t="str">
        <f>"B0723"</f>
        <v>B0723</v>
      </c>
      <c r="F169" s="169" t="s">
        <v>18811</v>
      </c>
      <c r="G169" s="169">
        <v>6.0</v>
      </c>
      <c r="H169" s="169">
        <v>20200.0</v>
      </c>
      <c r="I169" s="169">
        <v>121200.0</v>
      </c>
      <c r="J169" s="169">
        <v>0.0</v>
      </c>
      <c r="K169" s="169">
        <v>6.0</v>
      </c>
      <c r="L169" s="169">
        <v>0.0</v>
      </c>
    </row>
    <row r="170" ht="14.25" customHeight="1">
      <c r="A170" s="169" t="s">
        <v>6603</v>
      </c>
      <c r="B170" s="169" t="s">
        <v>7149</v>
      </c>
      <c r="C170" s="169" t="s">
        <v>17580</v>
      </c>
      <c r="D170" s="169" t="str">
        <f>"8435508000238"</f>
        <v>8435508000238</v>
      </c>
      <c r="E170" s="169" t="str">
        <f>"B0023"</f>
        <v>B0023</v>
      </c>
      <c r="F170" s="169" t="s">
        <v>18811</v>
      </c>
      <c r="G170" s="169">
        <v>4.0</v>
      </c>
      <c r="H170" s="169">
        <v>20200.0</v>
      </c>
      <c r="I170" s="169">
        <v>80800.0</v>
      </c>
      <c r="J170" s="169">
        <v>0.0</v>
      </c>
      <c r="K170" s="169">
        <v>4.0</v>
      </c>
      <c r="L170" s="169">
        <v>0.0</v>
      </c>
    </row>
    <row r="171" ht="14.25" customHeight="1">
      <c r="A171" s="169" t="s">
        <v>6603</v>
      </c>
      <c r="B171" s="169" t="s">
        <v>7149</v>
      </c>
      <c r="C171" s="169" t="s">
        <v>17579</v>
      </c>
      <c r="D171" s="169" t="str">
        <f>"8435508007107"</f>
        <v>8435508007107</v>
      </c>
      <c r="E171" s="169" t="str">
        <f>"B0710"</f>
        <v>B0710</v>
      </c>
      <c r="F171" s="169" t="s">
        <v>18811</v>
      </c>
      <c r="G171" s="169">
        <v>4.0</v>
      </c>
      <c r="H171" s="169">
        <v>25200.0</v>
      </c>
      <c r="I171" s="169">
        <v>100800.0</v>
      </c>
      <c r="J171" s="169">
        <v>0.0</v>
      </c>
      <c r="K171" s="169">
        <v>4.0</v>
      </c>
      <c r="L171" s="169">
        <v>0.0</v>
      </c>
    </row>
    <row r="172" ht="14.25" customHeight="1">
      <c r="A172" s="169" t="s">
        <v>6603</v>
      </c>
      <c r="B172" s="169" t="s">
        <v>7149</v>
      </c>
      <c r="C172" s="169" t="s">
        <v>17578</v>
      </c>
      <c r="D172" s="169" t="str">
        <f>"8435508003321"</f>
        <v>8435508003321</v>
      </c>
      <c r="E172" s="169" t="str">
        <f>"B0332"</f>
        <v>B0332</v>
      </c>
      <c r="F172" s="169" t="s">
        <v>18811</v>
      </c>
      <c r="G172" s="169">
        <v>3.0</v>
      </c>
      <c r="H172" s="169">
        <v>15100.0</v>
      </c>
      <c r="I172" s="169">
        <v>45300.0</v>
      </c>
      <c r="J172" s="169">
        <v>0.0</v>
      </c>
      <c r="K172" s="169">
        <v>3.0</v>
      </c>
      <c r="L172" s="169">
        <v>0.0</v>
      </c>
    </row>
    <row r="173" ht="14.25" customHeight="1">
      <c r="A173" s="169" t="s">
        <v>6603</v>
      </c>
      <c r="B173" s="169" t="s">
        <v>7149</v>
      </c>
      <c r="C173" s="169" t="s">
        <v>17577</v>
      </c>
      <c r="D173" s="169" t="str">
        <f>"8435508003192"</f>
        <v>8435508003192</v>
      </c>
      <c r="E173" s="169" t="str">
        <f>"B0319"</f>
        <v>B0319</v>
      </c>
      <c r="F173" s="169" t="s">
        <v>18811</v>
      </c>
      <c r="G173" s="169">
        <v>6.0</v>
      </c>
      <c r="H173" s="169">
        <v>7600.0</v>
      </c>
      <c r="I173" s="169">
        <v>45600.0</v>
      </c>
      <c r="J173" s="169">
        <v>0.0</v>
      </c>
      <c r="K173" s="169">
        <v>6.0</v>
      </c>
      <c r="L173" s="169">
        <v>0.0</v>
      </c>
    </row>
    <row r="174" ht="14.25" customHeight="1">
      <c r="A174" s="169" t="s">
        <v>6603</v>
      </c>
      <c r="B174" s="169" t="s">
        <v>7149</v>
      </c>
      <c r="C174" s="169" t="s">
        <v>17576</v>
      </c>
      <c r="D174" s="169" t="str">
        <f>"8435508002928"</f>
        <v>8435508002928</v>
      </c>
      <c r="E174" s="169" t="str">
        <f>"B0292"</f>
        <v>B0292</v>
      </c>
      <c r="F174" s="169" t="s">
        <v>18811</v>
      </c>
      <c r="G174" s="169">
        <v>12.0</v>
      </c>
      <c r="H174" s="169">
        <v>3500.0</v>
      </c>
      <c r="I174" s="169">
        <v>42000.0</v>
      </c>
      <c r="J174" s="169">
        <v>0.0</v>
      </c>
      <c r="K174" s="169">
        <v>12.0</v>
      </c>
      <c r="L174" s="169">
        <v>0.0</v>
      </c>
    </row>
    <row r="175" ht="14.25" customHeight="1">
      <c r="A175" s="169" t="s">
        <v>6603</v>
      </c>
      <c r="B175" s="169" t="s">
        <v>7149</v>
      </c>
      <c r="C175" s="169" t="s">
        <v>17574</v>
      </c>
      <c r="D175" s="169" t="str">
        <f>"8435508002904"</f>
        <v>8435508002904</v>
      </c>
      <c r="E175" s="169" t="str">
        <f>"B0290"</f>
        <v>B0290</v>
      </c>
      <c r="F175" s="169" t="s">
        <v>18811</v>
      </c>
      <c r="G175" s="169">
        <v>9.0</v>
      </c>
      <c r="H175" s="169">
        <v>4161.0</v>
      </c>
      <c r="I175" s="169">
        <v>37449.0</v>
      </c>
      <c r="J175" s="169">
        <v>0.0</v>
      </c>
      <c r="K175" s="169">
        <v>9.0</v>
      </c>
      <c r="L175" s="169">
        <v>0.0</v>
      </c>
    </row>
    <row r="176" ht="14.25" customHeight="1">
      <c r="A176" s="169" t="s">
        <v>6603</v>
      </c>
      <c r="B176" s="169" t="s">
        <v>7149</v>
      </c>
      <c r="C176" s="169" t="s">
        <v>17573</v>
      </c>
      <c r="D176" s="169" t="str">
        <f>"8435508006421"</f>
        <v>8435508006421</v>
      </c>
      <c r="E176" s="169" t="str">
        <f>"B0642"</f>
        <v>B0642</v>
      </c>
      <c r="F176" s="169" t="s">
        <v>18811</v>
      </c>
      <c r="G176" s="169">
        <v>9.0</v>
      </c>
      <c r="H176" s="169">
        <v>4000.0</v>
      </c>
      <c r="I176" s="169">
        <v>36000.0</v>
      </c>
      <c r="J176" s="169">
        <v>0.0</v>
      </c>
      <c r="K176" s="169">
        <v>9.0</v>
      </c>
      <c r="L176" s="169">
        <v>0.0</v>
      </c>
    </row>
    <row r="177" ht="14.25" customHeight="1">
      <c r="A177" s="169" t="s">
        <v>6603</v>
      </c>
      <c r="B177" s="169" t="s">
        <v>7149</v>
      </c>
      <c r="C177" s="169" t="s">
        <v>17572</v>
      </c>
      <c r="D177" s="169" t="str">
        <f t="shared" ref="D177:E177" si="119">"B0295"</f>
        <v>B0295</v>
      </c>
      <c r="E177" s="169" t="str">
        <f t="shared" si="119"/>
        <v>B0295</v>
      </c>
      <c r="F177" s="169" t="s">
        <v>18811</v>
      </c>
      <c r="G177" s="169">
        <v>12.0</v>
      </c>
      <c r="H177" s="169">
        <v>2500.0</v>
      </c>
      <c r="I177" s="169">
        <v>30000.0</v>
      </c>
      <c r="J177" s="169">
        <v>0.0</v>
      </c>
      <c r="K177" s="169">
        <v>12.0</v>
      </c>
      <c r="L177" s="169">
        <v>0.0</v>
      </c>
    </row>
    <row r="178" ht="14.25" customHeight="1">
      <c r="A178" s="169" t="s">
        <v>6603</v>
      </c>
      <c r="B178" s="169" t="s">
        <v>7149</v>
      </c>
      <c r="C178" s="169" t="s">
        <v>17571</v>
      </c>
      <c r="D178" s="169" t="str">
        <f t="shared" ref="D178:E178" si="120">"B0298"</f>
        <v>B0298</v>
      </c>
      <c r="E178" s="169" t="str">
        <f t="shared" si="120"/>
        <v>B0298</v>
      </c>
      <c r="F178" s="169" t="s">
        <v>18811</v>
      </c>
      <c r="G178" s="169">
        <v>3.0</v>
      </c>
      <c r="H178" s="169">
        <v>2000.0</v>
      </c>
      <c r="I178" s="169">
        <v>6000.0</v>
      </c>
      <c r="J178" s="169">
        <v>0.0</v>
      </c>
      <c r="K178" s="169">
        <v>3.0</v>
      </c>
      <c r="L178" s="169">
        <v>0.0</v>
      </c>
    </row>
    <row r="179" ht="14.25" customHeight="1">
      <c r="A179" s="169" t="s">
        <v>6603</v>
      </c>
      <c r="B179" s="169" t="s">
        <v>7149</v>
      </c>
      <c r="C179" s="169" t="s">
        <v>17570</v>
      </c>
      <c r="D179" s="169" t="str">
        <f t="shared" ref="D179:E179" si="121">"B0299"</f>
        <v>B0299</v>
      </c>
      <c r="E179" s="169" t="str">
        <f t="shared" si="121"/>
        <v>B0299</v>
      </c>
      <c r="F179" s="169" t="s">
        <v>18811</v>
      </c>
      <c r="G179" s="169">
        <v>6.0</v>
      </c>
      <c r="H179" s="169">
        <v>2000.0</v>
      </c>
      <c r="I179" s="169">
        <v>12000.0</v>
      </c>
      <c r="J179" s="169">
        <v>0.0</v>
      </c>
      <c r="K179" s="169">
        <v>6.0</v>
      </c>
      <c r="L179" s="169">
        <v>0.0</v>
      </c>
    </row>
    <row r="180" ht="14.25" customHeight="1">
      <c r="A180" s="169" t="s">
        <v>6603</v>
      </c>
      <c r="B180" s="169" t="s">
        <v>7149</v>
      </c>
      <c r="C180" s="169" t="s">
        <v>17569</v>
      </c>
      <c r="D180" s="169" t="str">
        <f>"8435508002966"</f>
        <v>8435508002966</v>
      </c>
      <c r="E180" s="169" t="str">
        <f>"B0296"</f>
        <v>B0296</v>
      </c>
      <c r="F180" s="169" t="s">
        <v>18811</v>
      </c>
      <c r="G180" s="169">
        <v>10.0</v>
      </c>
      <c r="H180" s="169">
        <v>2500.0</v>
      </c>
      <c r="I180" s="169">
        <v>25000.0</v>
      </c>
      <c r="J180" s="169">
        <v>0.0</v>
      </c>
      <c r="K180" s="169">
        <v>10.0</v>
      </c>
      <c r="L180" s="169">
        <v>0.0</v>
      </c>
    </row>
    <row r="181" ht="14.25" customHeight="1">
      <c r="A181" s="169" t="s">
        <v>6603</v>
      </c>
      <c r="B181" s="169" t="s">
        <v>7149</v>
      </c>
      <c r="C181" s="169" t="s">
        <v>17568</v>
      </c>
      <c r="D181" s="169" t="str">
        <f>"8435508002973"</f>
        <v>8435508002973</v>
      </c>
      <c r="E181" s="169" t="str">
        <f>"B0297"</f>
        <v>B0297</v>
      </c>
      <c r="F181" s="169" t="s">
        <v>18811</v>
      </c>
      <c r="G181" s="169">
        <v>9.0</v>
      </c>
      <c r="H181" s="169">
        <v>2500.0</v>
      </c>
      <c r="I181" s="169">
        <v>22500.0</v>
      </c>
      <c r="J181" s="169">
        <v>0.0</v>
      </c>
      <c r="K181" s="169">
        <v>9.0</v>
      </c>
      <c r="L181" s="169">
        <v>0.0</v>
      </c>
    </row>
    <row r="182" ht="14.25" customHeight="1">
      <c r="A182" s="169" t="s">
        <v>6603</v>
      </c>
      <c r="B182" s="169" t="s">
        <v>7149</v>
      </c>
      <c r="C182" s="169" t="s">
        <v>17567</v>
      </c>
      <c r="D182" s="169" t="str">
        <f>"8435508002942"</f>
        <v>8435508002942</v>
      </c>
      <c r="E182" s="169" t="str">
        <f>"B0294"</f>
        <v>B0294</v>
      </c>
      <c r="F182" s="169" t="s">
        <v>18811</v>
      </c>
      <c r="G182" s="169">
        <v>13.0</v>
      </c>
      <c r="H182" s="169">
        <v>4000.0</v>
      </c>
      <c r="I182" s="169">
        <v>52000.0</v>
      </c>
      <c r="J182" s="169">
        <v>0.0</v>
      </c>
      <c r="K182" s="169">
        <v>13.0</v>
      </c>
      <c r="L182" s="169">
        <v>0.0</v>
      </c>
    </row>
    <row r="183" ht="14.25" customHeight="1">
      <c r="A183" s="169" t="s">
        <v>6603</v>
      </c>
      <c r="B183" s="169" t="s">
        <v>7149</v>
      </c>
      <c r="C183" s="169" t="s">
        <v>17566</v>
      </c>
      <c r="D183" s="169" t="str">
        <f>"8435508002935"</f>
        <v>8435508002935</v>
      </c>
      <c r="E183" s="169" t="str">
        <f>"B0293"</f>
        <v>B0293</v>
      </c>
      <c r="F183" s="169" t="s">
        <v>18811</v>
      </c>
      <c r="G183" s="169">
        <v>12.0</v>
      </c>
      <c r="H183" s="169">
        <v>3353.7</v>
      </c>
      <c r="I183" s="169">
        <v>40244.0</v>
      </c>
      <c r="J183" s="169">
        <v>0.0</v>
      </c>
      <c r="K183" s="169">
        <v>12.0</v>
      </c>
      <c r="L183" s="169">
        <v>0.0</v>
      </c>
    </row>
    <row r="184" ht="14.25" customHeight="1">
      <c r="A184" s="169" t="s">
        <v>6603</v>
      </c>
      <c r="B184" s="169" t="s">
        <v>7149</v>
      </c>
      <c r="C184" s="169" t="s">
        <v>17565</v>
      </c>
      <c r="D184" s="169" t="str">
        <f t="shared" ref="D184:E184" si="122">"B0289"</f>
        <v>B0289</v>
      </c>
      <c r="E184" s="169" t="str">
        <f t="shared" si="122"/>
        <v>B0289</v>
      </c>
      <c r="F184" s="169" t="s">
        <v>18811</v>
      </c>
      <c r="G184" s="169">
        <v>5.0</v>
      </c>
      <c r="H184" s="169">
        <v>4000.0</v>
      </c>
      <c r="I184" s="169">
        <v>20000.0</v>
      </c>
      <c r="J184" s="169">
        <v>0.0</v>
      </c>
      <c r="K184" s="169">
        <v>5.0</v>
      </c>
      <c r="L184" s="169">
        <v>0.0</v>
      </c>
    </row>
    <row r="185" ht="14.25" customHeight="1">
      <c r="A185" s="169" t="s">
        <v>6603</v>
      </c>
      <c r="B185" s="169" t="s">
        <v>7149</v>
      </c>
      <c r="C185" s="169" t="s">
        <v>17564</v>
      </c>
      <c r="D185" s="169" t="str">
        <f t="shared" ref="D185:E185" si="123">"B0178"</f>
        <v>B0178</v>
      </c>
      <c r="E185" s="169" t="str">
        <f t="shared" si="123"/>
        <v>B0178</v>
      </c>
      <c r="F185" s="169" t="s">
        <v>18811</v>
      </c>
      <c r="G185" s="169">
        <v>4.0</v>
      </c>
      <c r="H185" s="169">
        <v>25200.0</v>
      </c>
      <c r="I185" s="169">
        <v>100800.0</v>
      </c>
      <c r="J185" s="169">
        <v>0.0</v>
      </c>
      <c r="K185" s="169">
        <v>4.0</v>
      </c>
      <c r="L185" s="169">
        <v>0.0</v>
      </c>
    </row>
    <row r="186" ht="14.25" customHeight="1">
      <c r="A186" s="169" t="s">
        <v>6603</v>
      </c>
      <c r="B186" s="169" t="s">
        <v>7149</v>
      </c>
      <c r="C186" s="169" t="s">
        <v>17563</v>
      </c>
      <c r="D186" s="169" t="str">
        <f>"8435508004137"</f>
        <v>8435508004137</v>
      </c>
      <c r="E186" s="169" t="str">
        <f>"B0413"</f>
        <v>B0413</v>
      </c>
      <c r="F186" s="169" t="s">
        <v>18811</v>
      </c>
      <c r="G186" s="169">
        <v>12.0</v>
      </c>
      <c r="H186" s="169">
        <v>10100.0</v>
      </c>
      <c r="I186" s="169">
        <v>121200.0</v>
      </c>
      <c r="J186" s="169">
        <v>0.0</v>
      </c>
      <c r="K186" s="169">
        <v>12.0</v>
      </c>
      <c r="L186" s="169">
        <v>0.0</v>
      </c>
    </row>
    <row r="187" ht="14.25" customHeight="1">
      <c r="A187" s="169" t="s">
        <v>6603</v>
      </c>
      <c r="B187" s="169" t="s">
        <v>7149</v>
      </c>
      <c r="C187" s="169" t="s">
        <v>17562</v>
      </c>
      <c r="D187" s="169" t="str">
        <f>"8435508004120"</f>
        <v>8435508004120</v>
      </c>
      <c r="E187" s="169" t="str">
        <f>"B0412"</f>
        <v>B0412</v>
      </c>
      <c r="F187" s="169" t="s">
        <v>18811</v>
      </c>
      <c r="G187" s="169">
        <v>12.0</v>
      </c>
      <c r="H187" s="169">
        <v>10100.0</v>
      </c>
      <c r="I187" s="169">
        <v>121200.0</v>
      </c>
      <c r="J187" s="169">
        <v>0.0</v>
      </c>
      <c r="K187" s="169">
        <v>12.0</v>
      </c>
      <c r="L187" s="169">
        <v>0.0</v>
      </c>
    </row>
    <row r="188" ht="14.25" customHeight="1">
      <c r="A188" s="169" t="s">
        <v>6603</v>
      </c>
      <c r="B188" s="169" t="s">
        <v>7149</v>
      </c>
      <c r="C188" s="169" t="s">
        <v>17561</v>
      </c>
      <c r="D188" s="169" t="str">
        <f>"8435508004113"</f>
        <v>8435508004113</v>
      </c>
      <c r="E188" s="169" t="str">
        <f>"B0411"</f>
        <v>B0411</v>
      </c>
      <c r="F188" s="169" t="s">
        <v>18811</v>
      </c>
      <c r="G188" s="169">
        <v>9.0</v>
      </c>
      <c r="H188" s="169">
        <v>9540.0</v>
      </c>
      <c r="I188" s="169">
        <v>85860.0</v>
      </c>
      <c r="J188" s="169">
        <v>0.0</v>
      </c>
      <c r="K188" s="169">
        <v>9.0</v>
      </c>
      <c r="L188" s="169">
        <v>0.0</v>
      </c>
    </row>
    <row r="189" ht="14.25" customHeight="1">
      <c r="A189" s="169" t="s">
        <v>6603</v>
      </c>
      <c r="B189" s="169" t="s">
        <v>7149</v>
      </c>
      <c r="C189" s="169" t="s">
        <v>17560</v>
      </c>
      <c r="D189" s="169" t="str">
        <f>"8435508004106"</f>
        <v>8435508004106</v>
      </c>
      <c r="E189" s="169" t="str">
        <f>"B0410"</f>
        <v>B0410</v>
      </c>
      <c r="F189" s="169" t="s">
        <v>18811</v>
      </c>
      <c r="G189" s="169">
        <v>13.0</v>
      </c>
      <c r="H189" s="169">
        <v>23449.5</v>
      </c>
      <c r="I189" s="169">
        <v>304844.0</v>
      </c>
      <c r="J189" s="169">
        <v>0.0</v>
      </c>
      <c r="K189" s="169">
        <v>13.0</v>
      </c>
      <c r="L189" s="169">
        <v>0.0</v>
      </c>
    </row>
    <row r="190" ht="14.25" customHeight="1">
      <c r="A190" s="169" t="s">
        <v>6603</v>
      </c>
      <c r="B190" s="169" t="s">
        <v>7149</v>
      </c>
      <c r="C190" s="169" t="s">
        <v>17559</v>
      </c>
      <c r="D190" s="169" t="str">
        <f t="shared" ref="D190:E190" si="124">"B0698"</f>
        <v>B0698</v>
      </c>
      <c r="E190" s="169" t="str">
        <f t="shared" si="124"/>
        <v>B0698</v>
      </c>
      <c r="F190" s="169" t="s">
        <v>18811</v>
      </c>
      <c r="G190" s="169">
        <v>3.0</v>
      </c>
      <c r="H190" s="169">
        <v>11100.0</v>
      </c>
      <c r="I190" s="169">
        <v>33300.0</v>
      </c>
      <c r="J190" s="169">
        <v>0.0</v>
      </c>
      <c r="K190" s="169">
        <v>3.0</v>
      </c>
      <c r="L190" s="169">
        <v>0.0</v>
      </c>
    </row>
    <row r="191" ht="14.25" customHeight="1">
      <c r="A191" s="169" t="s">
        <v>6603</v>
      </c>
      <c r="B191" s="169" t="s">
        <v>7149</v>
      </c>
      <c r="C191" s="169" t="s">
        <v>17558</v>
      </c>
      <c r="D191" s="169" t="str">
        <f t="shared" ref="D191:E191" si="125">"B0696"</f>
        <v>B0696</v>
      </c>
      <c r="E191" s="169" t="str">
        <f t="shared" si="125"/>
        <v>B0696</v>
      </c>
      <c r="F191" s="169" t="s">
        <v>18811</v>
      </c>
      <c r="G191" s="169">
        <v>4.0</v>
      </c>
      <c r="H191" s="169">
        <v>11100.0</v>
      </c>
      <c r="I191" s="169">
        <v>44400.0</v>
      </c>
      <c r="J191" s="169">
        <v>0.0</v>
      </c>
      <c r="K191" s="169">
        <v>4.0</v>
      </c>
      <c r="L191" s="169">
        <v>0.0</v>
      </c>
    </row>
    <row r="192" ht="14.25" customHeight="1">
      <c r="A192" s="169" t="s">
        <v>6603</v>
      </c>
      <c r="B192" s="169" t="s">
        <v>7149</v>
      </c>
      <c r="C192" s="169" t="s">
        <v>17557</v>
      </c>
      <c r="D192" s="169" t="str">
        <f t="shared" ref="D192:E192" si="126">"B0697"</f>
        <v>B0697</v>
      </c>
      <c r="E192" s="169" t="str">
        <f t="shared" si="126"/>
        <v>B0697</v>
      </c>
      <c r="F192" s="169" t="s">
        <v>18811</v>
      </c>
      <c r="G192" s="169">
        <v>9.0</v>
      </c>
      <c r="H192" s="169">
        <v>11100.0</v>
      </c>
      <c r="I192" s="169">
        <v>99900.0</v>
      </c>
      <c r="J192" s="169">
        <v>0.0</v>
      </c>
      <c r="K192" s="169">
        <v>9.0</v>
      </c>
      <c r="L192" s="169">
        <v>0.0</v>
      </c>
    </row>
    <row r="193" ht="14.25" customHeight="1">
      <c r="A193" s="169" t="s">
        <v>6603</v>
      </c>
      <c r="B193" s="169" t="s">
        <v>7149</v>
      </c>
      <c r="C193" s="169" t="s">
        <v>17556</v>
      </c>
      <c r="D193" s="169" t="str">
        <f>"8435508006865"</f>
        <v>8435508006865</v>
      </c>
      <c r="E193" s="169" t="str">
        <f>"B0686"</f>
        <v>B0686</v>
      </c>
      <c r="F193" s="169" t="s">
        <v>18811</v>
      </c>
      <c r="G193" s="169">
        <v>5.0</v>
      </c>
      <c r="H193" s="169">
        <v>10100.0</v>
      </c>
      <c r="I193" s="169">
        <v>50500.0</v>
      </c>
      <c r="J193" s="169">
        <v>0.0</v>
      </c>
      <c r="K193" s="169">
        <v>5.0</v>
      </c>
      <c r="L193" s="169">
        <v>0.0</v>
      </c>
    </row>
    <row r="194" ht="14.25" customHeight="1">
      <c r="A194" s="169" t="s">
        <v>6603</v>
      </c>
      <c r="B194" s="169" t="s">
        <v>7149</v>
      </c>
      <c r="C194" s="169" t="s">
        <v>17555</v>
      </c>
      <c r="D194" s="169" t="str">
        <f>"8435508006889"</f>
        <v>8435508006889</v>
      </c>
      <c r="E194" s="169" t="str">
        <f>"B0688"</f>
        <v>B0688</v>
      </c>
      <c r="F194" s="169" t="s">
        <v>18811</v>
      </c>
      <c r="G194" s="169">
        <v>8.0</v>
      </c>
      <c r="H194" s="169">
        <v>10100.0</v>
      </c>
      <c r="I194" s="169">
        <v>80800.0</v>
      </c>
      <c r="J194" s="169">
        <v>0.0</v>
      </c>
      <c r="K194" s="169">
        <v>8.0</v>
      </c>
      <c r="L194" s="169">
        <v>0.0</v>
      </c>
    </row>
    <row r="195" ht="14.25" customHeight="1">
      <c r="A195" s="169" t="s">
        <v>6603</v>
      </c>
      <c r="B195" s="169" t="s">
        <v>7149</v>
      </c>
      <c r="C195" s="169" t="s">
        <v>17554</v>
      </c>
      <c r="D195" s="169" t="str">
        <f>"8435508006995"</f>
        <v>8435508006995</v>
      </c>
      <c r="E195" s="169" t="str">
        <f>"B0699"</f>
        <v>B0699</v>
      </c>
      <c r="F195" s="169" t="s">
        <v>18811</v>
      </c>
      <c r="G195" s="169">
        <v>9.0</v>
      </c>
      <c r="H195" s="169">
        <v>10100.0</v>
      </c>
      <c r="I195" s="169">
        <v>90900.0</v>
      </c>
      <c r="J195" s="169">
        <v>0.0</v>
      </c>
      <c r="K195" s="169">
        <v>9.0</v>
      </c>
      <c r="L195" s="169">
        <v>1.0</v>
      </c>
    </row>
    <row r="196" ht="14.25" customHeight="1">
      <c r="A196" s="169" t="s">
        <v>6603</v>
      </c>
      <c r="B196" s="169" t="s">
        <v>7149</v>
      </c>
      <c r="C196" s="169" t="s">
        <v>17553</v>
      </c>
      <c r="D196" s="169" t="str">
        <f t="shared" ref="D196:E196" si="127">"B0500"</f>
        <v>B0500</v>
      </c>
      <c r="E196" s="169" t="str">
        <f t="shared" si="127"/>
        <v>B0500</v>
      </c>
      <c r="F196" s="169" t="s">
        <v>18811</v>
      </c>
      <c r="G196" s="169">
        <v>6.0</v>
      </c>
      <c r="H196" s="169">
        <v>30300.0</v>
      </c>
      <c r="I196" s="169">
        <v>181800.0</v>
      </c>
      <c r="J196" s="169">
        <v>0.0</v>
      </c>
      <c r="K196" s="169">
        <v>6.0</v>
      </c>
      <c r="L196" s="169">
        <v>0.0</v>
      </c>
    </row>
    <row r="197" ht="14.25" customHeight="1">
      <c r="A197" s="169" t="s">
        <v>6603</v>
      </c>
      <c r="B197" s="169" t="s">
        <v>7149</v>
      </c>
      <c r="C197" s="169" t="s">
        <v>17552</v>
      </c>
      <c r="D197" s="169" t="str">
        <f>"8435508004175"</f>
        <v>8435508004175</v>
      </c>
      <c r="E197" s="169" t="str">
        <f>"B0417"</f>
        <v>B0417</v>
      </c>
      <c r="F197" s="169" t="s">
        <v>18811</v>
      </c>
      <c r="G197" s="169">
        <v>3.0</v>
      </c>
      <c r="H197" s="169">
        <v>25200.0</v>
      </c>
      <c r="I197" s="169">
        <v>75600.0</v>
      </c>
      <c r="J197" s="169">
        <v>0.0</v>
      </c>
      <c r="K197" s="169">
        <v>3.0</v>
      </c>
      <c r="L197" s="169">
        <v>0.0</v>
      </c>
    </row>
    <row r="198" ht="14.25" customHeight="1">
      <c r="A198" s="169" t="s">
        <v>6603</v>
      </c>
      <c r="B198" s="169" t="s">
        <v>7149</v>
      </c>
      <c r="C198" s="169" t="s">
        <v>17551</v>
      </c>
      <c r="D198" s="169" t="str">
        <f>"8435508004182"</f>
        <v>8435508004182</v>
      </c>
      <c r="E198" s="169" t="str">
        <f>"B0418"</f>
        <v>B0418</v>
      </c>
      <c r="F198" s="169" t="s">
        <v>18811</v>
      </c>
      <c r="G198" s="169">
        <v>9.0</v>
      </c>
      <c r="H198" s="169">
        <v>22399.3</v>
      </c>
      <c r="I198" s="169">
        <v>201594.0</v>
      </c>
      <c r="J198" s="169">
        <v>0.0</v>
      </c>
      <c r="K198" s="169">
        <v>9.0</v>
      </c>
      <c r="L198" s="169">
        <v>0.0</v>
      </c>
    </row>
    <row r="199" ht="14.25" customHeight="1">
      <c r="A199" s="169" t="s">
        <v>6603</v>
      </c>
      <c r="B199" s="169" t="s">
        <v>7149</v>
      </c>
      <c r="C199" s="169" t="s">
        <v>17575</v>
      </c>
      <c r="D199" s="169" t="str">
        <f t="shared" ref="D199:E199" si="128">"B0300"</f>
        <v>B0300</v>
      </c>
      <c r="E199" s="169" t="str">
        <f t="shared" si="128"/>
        <v>B0300</v>
      </c>
      <c r="F199" s="169" t="s">
        <v>18811</v>
      </c>
      <c r="G199" s="169">
        <v>9.0</v>
      </c>
      <c r="H199" s="169">
        <v>4000.0</v>
      </c>
      <c r="I199" s="169">
        <v>36000.0</v>
      </c>
      <c r="J199" s="169">
        <v>0.0</v>
      </c>
      <c r="K199" s="169">
        <v>9.0</v>
      </c>
      <c r="L199" s="169">
        <v>0.0</v>
      </c>
    </row>
    <row r="200" ht="14.25" customHeight="1">
      <c r="A200" s="169" t="s">
        <v>6603</v>
      </c>
      <c r="B200" s="169" t="s">
        <v>7149</v>
      </c>
      <c r="C200" s="169" t="s">
        <v>17550</v>
      </c>
      <c r="D200" s="169" t="str">
        <f t="shared" ref="D200:E200" si="129">"B0716"</f>
        <v>B0716</v>
      </c>
      <c r="E200" s="169" t="str">
        <f t="shared" si="129"/>
        <v>B0716</v>
      </c>
      <c r="F200" s="169" t="s">
        <v>18811</v>
      </c>
      <c r="G200" s="169">
        <v>3.0</v>
      </c>
      <c r="H200" s="169">
        <v>70500.0</v>
      </c>
      <c r="I200" s="169">
        <v>211500.0</v>
      </c>
      <c r="J200" s="169">
        <v>0.0</v>
      </c>
      <c r="K200" s="169">
        <v>3.0</v>
      </c>
      <c r="L200" s="169">
        <v>0.0</v>
      </c>
    </row>
    <row r="201" ht="14.25" customHeight="1">
      <c r="A201" s="169" t="s">
        <v>6603</v>
      </c>
      <c r="B201" s="169" t="s">
        <v>7149</v>
      </c>
      <c r="C201" s="169" t="s">
        <v>17549</v>
      </c>
      <c r="D201" s="169" t="str">
        <f t="shared" ref="D201:E201" si="130">"B0031"</f>
        <v>B0031</v>
      </c>
      <c r="E201" s="169" t="str">
        <f t="shared" si="130"/>
        <v>B0031</v>
      </c>
      <c r="F201" s="169" t="s">
        <v>18811</v>
      </c>
      <c r="G201" s="169">
        <v>4.0</v>
      </c>
      <c r="H201" s="169">
        <v>20200.0</v>
      </c>
      <c r="I201" s="169">
        <v>80800.0</v>
      </c>
      <c r="J201" s="169">
        <v>0.0</v>
      </c>
      <c r="K201" s="169">
        <v>4.0</v>
      </c>
      <c r="L201" s="169">
        <v>0.0</v>
      </c>
    </row>
    <row r="202" ht="14.25" customHeight="1">
      <c r="A202" s="169" t="s">
        <v>6603</v>
      </c>
      <c r="B202" s="169" t="s">
        <v>7149</v>
      </c>
      <c r="C202" s="169" t="s">
        <v>17548</v>
      </c>
      <c r="D202" s="169" t="str">
        <f>"8435508003505"</f>
        <v>8435508003505</v>
      </c>
      <c r="E202" s="169" t="str">
        <f>"B0350"</f>
        <v>B0350</v>
      </c>
      <c r="F202" s="169" t="s">
        <v>18811</v>
      </c>
      <c r="G202" s="169">
        <v>6.0</v>
      </c>
      <c r="H202" s="169">
        <v>10100.0</v>
      </c>
      <c r="I202" s="169">
        <v>60600.0</v>
      </c>
      <c r="J202" s="169">
        <v>0.0</v>
      </c>
      <c r="K202" s="169">
        <v>6.0</v>
      </c>
      <c r="L202" s="169">
        <v>0.0</v>
      </c>
    </row>
    <row r="203" ht="14.25" customHeight="1">
      <c r="A203" s="169" t="s">
        <v>6603</v>
      </c>
      <c r="B203" s="169" t="s">
        <v>7149</v>
      </c>
      <c r="C203" s="169" t="s">
        <v>17547</v>
      </c>
      <c r="D203" s="169" t="str">
        <f>"8435508003680"</f>
        <v>8435508003680</v>
      </c>
      <c r="E203" s="169" t="str">
        <f>"B0368"</f>
        <v>B0368</v>
      </c>
      <c r="F203" s="169" t="s">
        <v>18811</v>
      </c>
      <c r="G203" s="169">
        <v>7.0</v>
      </c>
      <c r="H203" s="169">
        <v>11000.0</v>
      </c>
      <c r="I203" s="169">
        <v>77000.0</v>
      </c>
      <c r="J203" s="169">
        <v>0.0</v>
      </c>
      <c r="K203" s="169">
        <v>7.0</v>
      </c>
      <c r="L203" s="169">
        <v>0.0</v>
      </c>
    </row>
    <row r="204" ht="14.25" customHeight="1">
      <c r="A204" s="169" t="s">
        <v>6603</v>
      </c>
      <c r="B204" s="169" t="s">
        <v>7149</v>
      </c>
      <c r="C204" s="169" t="s">
        <v>17546</v>
      </c>
      <c r="D204" s="169" t="str">
        <f>"8435508003659"</f>
        <v>8435508003659</v>
      </c>
      <c r="E204" s="169" t="str">
        <f>"B0365"</f>
        <v>B0365</v>
      </c>
      <c r="F204" s="169" t="s">
        <v>18811</v>
      </c>
      <c r="G204" s="169">
        <v>4.0</v>
      </c>
      <c r="H204" s="169">
        <v>6500.0</v>
      </c>
      <c r="I204" s="169">
        <v>26000.0</v>
      </c>
      <c r="J204" s="169">
        <v>0.0</v>
      </c>
      <c r="K204" s="169">
        <v>4.0</v>
      </c>
      <c r="L204" s="169">
        <v>0.0</v>
      </c>
    </row>
    <row r="205" ht="14.25" customHeight="1">
      <c r="A205" s="169" t="s">
        <v>6603</v>
      </c>
      <c r="B205" s="169" t="s">
        <v>7149</v>
      </c>
      <c r="C205" s="169" t="s">
        <v>17545</v>
      </c>
      <c r="D205" s="169" t="str">
        <f>"8435508003666"</f>
        <v>8435508003666</v>
      </c>
      <c r="E205" s="169" t="str">
        <f>"B0366"</f>
        <v>B0366</v>
      </c>
      <c r="F205" s="169" t="s">
        <v>18811</v>
      </c>
      <c r="G205" s="169">
        <v>2.0</v>
      </c>
      <c r="H205" s="169">
        <v>5000.0</v>
      </c>
      <c r="I205" s="169">
        <v>10000.0</v>
      </c>
      <c r="J205" s="169">
        <v>0.0</v>
      </c>
      <c r="K205" s="169">
        <v>2.0</v>
      </c>
      <c r="L205" s="169">
        <v>0.0</v>
      </c>
    </row>
    <row r="206" ht="14.25" customHeight="1">
      <c r="A206" s="169" t="s">
        <v>6603</v>
      </c>
      <c r="B206" s="169" t="s">
        <v>7149</v>
      </c>
      <c r="C206" s="169" t="s">
        <v>17544</v>
      </c>
      <c r="D206" s="169" t="str">
        <f>"8435508003673"</f>
        <v>8435508003673</v>
      </c>
      <c r="E206" s="169" t="str">
        <f>"B0367"</f>
        <v>B0367</v>
      </c>
      <c r="F206" s="169" t="s">
        <v>18811</v>
      </c>
      <c r="G206" s="169">
        <v>5.0</v>
      </c>
      <c r="H206" s="169">
        <v>4500.0</v>
      </c>
      <c r="I206" s="169">
        <v>22500.0</v>
      </c>
      <c r="J206" s="169">
        <v>0.0</v>
      </c>
      <c r="K206" s="169">
        <v>5.0</v>
      </c>
      <c r="L206" s="169">
        <v>0.0</v>
      </c>
    </row>
    <row r="207" ht="14.25" customHeight="1">
      <c r="A207" s="169" t="s">
        <v>6603</v>
      </c>
      <c r="B207" s="169" t="s">
        <v>7149</v>
      </c>
      <c r="C207" s="169" t="s">
        <v>17543</v>
      </c>
      <c r="D207" s="169" t="str">
        <f>"8435508003512"</f>
        <v>8435508003512</v>
      </c>
      <c r="E207" s="169" t="str">
        <f>"B0351"</f>
        <v>B0351</v>
      </c>
      <c r="F207" s="169" t="s">
        <v>18811</v>
      </c>
      <c r="G207" s="169">
        <v>9.0</v>
      </c>
      <c r="H207" s="169">
        <v>7600.0</v>
      </c>
      <c r="I207" s="169">
        <v>68400.0</v>
      </c>
      <c r="J207" s="169">
        <v>0.0</v>
      </c>
      <c r="K207" s="169">
        <v>9.0</v>
      </c>
      <c r="L207" s="169">
        <v>0.0</v>
      </c>
    </row>
    <row r="208" ht="14.25" customHeight="1">
      <c r="A208" s="169" t="s">
        <v>18812</v>
      </c>
      <c r="B208" s="169" t="s">
        <v>7354</v>
      </c>
      <c r="C208" s="169" t="s">
        <v>17808</v>
      </c>
      <c r="D208" s="169" t="str">
        <f>"1584553341630"</f>
        <v>1584553341630</v>
      </c>
      <c r="E208" s="169" t="str">
        <f>"XK-201B"</f>
        <v>XK-201B</v>
      </c>
      <c r="F208" s="169" t="s">
        <v>18811</v>
      </c>
      <c r="G208" s="169">
        <v>89.0</v>
      </c>
      <c r="H208" s="169">
        <v>68000.0</v>
      </c>
      <c r="I208" s="169">
        <v>6052000.0</v>
      </c>
      <c r="J208" s="169">
        <v>0.0</v>
      </c>
      <c r="K208" s="169">
        <v>89.0</v>
      </c>
      <c r="L208" s="169">
        <v>0.0</v>
      </c>
    </row>
    <row r="209" ht="14.25" customHeight="1">
      <c r="A209" s="169" t="s">
        <v>7567</v>
      </c>
      <c r="B209" s="169" t="s">
        <v>7567</v>
      </c>
      <c r="C209" s="169" t="s">
        <v>18171</v>
      </c>
      <c r="D209" s="169" t="str">
        <f t="shared" ref="D209:E209" si="131">"6902221314499"</f>
        <v>6902221314499</v>
      </c>
      <c r="E209" s="169" t="str">
        <f t="shared" si="131"/>
        <v>6902221314499</v>
      </c>
      <c r="F209" s="169" t="s">
        <v>18811</v>
      </c>
      <c r="G209" s="169">
        <v>1.0</v>
      </c>
      <c r="H209" s="169">
        <v>3354.8</v>
      </c>
      <c r="I209" s="169">
        <v>3355.0</v>
      </c>
      <c r="J209" s="169">
        <v>0.0</v>
      </c>
      <c r="K209" s="169">
        <v>1.0</v>
      </c>
      <c r="L209" s="169">
        <v>0.0</v>
      </c>
    </row>
    <row r="210" ht="14.25" customHeight="1">
      <c r="A210" s="169" t="s">
        <v>7567</v>
      </c>
      <c r="B210" s="169" t="s">
        <v>7567</v>
      </c>
      <c r="C210" s="169" t="s">
        <v>18169</v>
      </c>
      <c r="D210" s="169" t="str">
        <f>"1643632126554"</f>
        <v>1643632126554</v>
      </c>
      <c r="E210" s="169" t="str">
        <f>"6902221326225"</f>
        <v>6902221326225</v>
      </c>
      <c r="F210" s="169" t="s">
        <v>18811</v>
      </c>
      <c r="G210" s="169">
        <v>8.0</v>
      </c>
      <c r="H210" s="169">
        <v>3671.0</v>
      </c>
      <c r="I210" s="169">
        <v>29368.0</v>
      </c>
      <c r="J210" s="169">
        <v>0.0</v>
      </c>
      <c r="K210" s="169">
        <v>8.0</v>
      </c>
      <c r="L210" s="169">
        <v>0.0</v>
      </c>
    </row>
    <row r="211" ht="14.25" customHeight="1">
      <c r="A211" s="169" t="s">
        <v>7567</v>
      </c>
      <c r="B211" s="169" t="s">
        <v>7567</v>
      </c>
      <c r="C211" s="169" t="s">
        <v>7681</v>
      </c>
      <c r="D211" s="169" t="str">
        <f t="shared" ref="D211:E211" si="132">"6902221326232"</f>
        <v>6902221326232</v>
      </c>
      <c r="E211" s="169" t="str">
        <f t="shared" si="132"/>
        <v>6902221326232</v>
      </c>
      <c r="F211" s="169" t="s">
        <v>18811</v>
      </c>
      <c r="G211" s="169">
        <v>6.0</v>
      </c>
      <c r="H211" s="169">
        <v>4722.0</v>
      </c>
      <c r="I211" s="169">
        <v>28332.0</v>
      </c>
      <c r="J211" s="169">
        <v>0.0</v>
      </c>
      <c r="K211" s="169">
        <v>6.0</v>
      </c>
      <c r="L211" s="169">
        <v>0.0</v>
      </c>
    </row>
    <row r="212" ht="14.25" customHeight="1">
      <c r="A212" s="169" t="s">
        <v>7567</v>
      </c>
      <c r="B212" s="169" t="s">
        <v>7567</v>
      </c>
      <c r="C212" s="169" t="s">
        <v>18166</v>
      </c>
      <c r="D212" s="169" t="str">
        <f t="shared" ref="D212:E212" si="133">"6902221318954"</f>
        <v>6902221318954</v>
      </c>
      <c r="E212" s="169" t="str">
        <f t="shared" si="133"/>
        <v>6902221318954</v>
      </c>
      <c r="F212" s="169" t="s">
        <v>18811</v>
      </c>
      <c r="G212" s="169">
        <v>2.0</v>
      </c>
      <c r="H212" s="169">
        <v>1570.0</v>
      </c>
      <c r="I212" s="169">
        <v>3140.0</v>
      </c>
      <c r="J212" s="169">
        <v>0.0</v>
      </c>
      <c r="K212" s="169">
        <v>2.0</v>
      </c>
      <c r="L212" s="169">
        <v>0.0</v>
      </c>
    </row>
    <row r="213" ht="14.25" customHeight="1">
      <c r="A213" s="169" t="s">
        <v>7567</v>
      </c>
      <c r="B213" s="169" t="s">
        <v>7567</v>
      </c>
      <c r="C213" s="169" t="s">
        <v>7913</v>
      </c>
      <c r="D213" s="169" t="str">
        <f t="shared" ref="D213:E213" si="134">"6902221318817"</f>
        <v>6902221318817</v>
      </c>
      <c r="E213" s="169" t="str">
        <f t="shared" si="134"/>
        <v>6902221318817</v>
      </c>
      <c r="F213" s="169" t="s">
        <v>18811</v>
      </c>
      <c r="G213" s="169">
        <v>2.0</v>
      </c>
      <c r="H213" s="169">
        <v>4087.0</v>
      </c>
      <c r="I213" s="169">
        <v>8174.0</v>
      </c>
      <c r="J213" s="169">
        <v>0.0</v>
      </c>
      <c r="K213" s="169">
        <v>2.0</v>
      </c>
      <c r="L213" s="169">
        <v>0.0</v>
      </c>
    </row>
    <row r="214" ht="14.25" customHeight="1">
      <c r="A214" s="169" t="s">
        <v>7567</v>
      </c>
      <c r="B214" s="169" t="s">
        <v>7567</v>
      </c>
      <c r="C214" s="169" t="s">
        <v>18163</v>
      </c>
      <c r="D214" s="169" t="str">
        <f t="shared" ref="D214:E214" si="135">"6902221326416"</f>
        <v>6902221326416</v>
      </c>
      <c r="E214" s="169" t="str">
        <f t="shared" si="135"/>
        <v>6902221326416</v>
      </c>
      <c r="F214" s="169" t="s">
        <v>18811</v>
      </c>
      <c r="G214" s="169">
        <v>1.0</v>
      </c>
      <c r="H214" s="169">
        <v>2621.0</v>
      </c>
      <c r="I214" s="169">
        <v>2621.0</v>
      </c>
      <c r="J214" s="169">
        <v>0.0</v>
      </c>
      <c r="K214" s="169">
        <v>1.0</v>
      </c>
      <c r="L214" s="169">
        <v>0.0</v>
      </c>
    </row>
    <row r="215" ht="14.25" customHeight="1">
      <c r="A215" s="169" t="s">
        <v>7567</v>
      </c>
      <c r="B215" s="169" t="s">
        <v>7567</v>
      </c>
      <c r="C215" s="169" t="s">
        <v>18161</v>
      </c>
      <c r="D215" s="169" t="str">
        <f t="shared" ref="D215:E215" si="136">"6909721325543"</f>
        <v>6909721325543</v>
      </c>
      <c r="E215" s="169" t="str">
        <f t="shared" si="136"/>
        <v>6909721325543</v>
      </c>
      <c r="F215" s="169" t="s">
        <v>18811</v>
      </c>
      <c r="G215" s="169">
        <v>1.0</v>
      </c>
      <c r="H215" s="169">
        <v>3146.0</v>
      </c>
      <c r="I215" s="169">
        <v>3146.0</v>
      </c>
      <c r="J215" s="169">
        <v>0.0</v>
      </c>
      <c r="K215" s="169">
        <v>1.0</v>
      </c>
      <c r="L215" s="169">
        <v>0.0</v>
      </c>
    </row>
    <row r="216" ht="14.25" customHeight="1">
      <c r="A216" s="169" t="s">
        <v>7567</v>
      </c>
      <c r="B216" s="169" t="s">
        <v>7567</v>
      </c>
      <c r="C216" s="169" t="s">
        <v>7720</v>
      </c>
      <c r="D216" s="169" t="str">
        <f t="shared" ref="D216:E216" si="137">"6902221296276"</f>
        <v>6902221296276</v>
      </c>
      <c r="E216" s="169" t="str">
        <f t="shared" si="137"/>
        <v>6902221296276</v>
      </c>
      <c r="F216" s="169" t="s">
        <v>18811</v>
      </c>
      <c r="G216" s="169">
        <v>4.0</v>
      </c>
      <c r="H216" s="169">
        <v>1570.0</v>
      </c>
      <c r="I216" s="169">
        <v>6280.0</v>
      </c>
      <c r="J216" s="169">
        <v>0.0</v>
      </c>
      <c r="K216" s="169">
        <v>4.0</v>
      </c>
      <c r="L216" s="169">
        <v>0.0</v>
      </c>
    </row>
    <row r="217" ht="14.25" customHeight="1">
      <c r="A217" s="169" t="s">
        <v>7567</v>
      </c>
      <c r="B217" s="169" t="s">
        <v>7567</v>
      </c>
      <c r="C217" s="169" t="s">
        <v>7872</v>
      </c>
      <c r="D217" s="169" t="str">
        <f t="shared" ref="D217:E217" si="138">"6902221328984"</f>
        <v>6902221328984</v>
      </c>
      <c r="E217" s="169" t="str">
        <f t="shared" si="138"/>
        <v>6902221328984</v>
      </c>
      <c r="F217" s="169" t="s">
        <v>18811</v>
      </c>
      <c r="G217" s="169">
        <v>1.0</v>
      </c>
      <c r="H217" s="169">
        <v>5247.0</v>
      </c>
      <c r="I217" s="169">
        <v>5247.0</v>
      </c>
      <c r="J217" s="169">
        <v>0.0</v>
      </c>
      <c r="K217" s="169">
        <v>1.0</v>
      </c>
      <c r="L217" s="169">
        <v>0.0</v>
      </c>
    </row>
    <row r="218" ht="14.25" customHeight="1">
      <c r="A218" s="169" t="s">
        <v>7567</v>
      </c>
      <c r="B218" s="169" t="s">
        <v>7567</v>
      </c>
      <c r="C218" s="169" t="s">
        <v>18157</v>
      </c>
      <c r="D218" s="169" t="str">
        <f t="shared" ref="D218:E218" si="139">"6902221315069"</f>
        <v>6902221315069</v>
      </c>
      <c r="E218" s="169" t="str">
        <f t="shared" si="139"/>
        <v>6902221315069</v>
      </c>
      <c r="F218" s="169" t="s">
        <v>18811</v>
      </c>
      <c r="G218" s="169">
        <v>1.0</v>
      </c>
      <c r="H218" s="169">
        <v>7873.0</v>
      </c>
      <c r="I218" s="169">
        <v>7873.0</v>
      </c>
      <c r="J218" s="169">
        <v>0.0</v>
      </c>
      <c r="K218" s="169">
        <v>1.0</v>
      </c>
      <c r="L218" s="169">
        <v>0.0</v>
      </c>
    </row>
    <row r="219" ht="14.25" customHeight="1">
      <c r="A219" s="169" t="s">
        <v>7567</v>
      </c>
      <c r="B219" s="169" t="s">
        <v>7567</v>
      </c>
      <c r="C219" s="169" t="s">
        <v>18155</v>
      </c>
      <c r="D219" s="169" t="str">
        <f t="shared" ref="D219:E219" si="140">"6902221325969"</f>
        <v>6902221325969</v>
      </c>
      <c r="E219" s="169" t="str">
        <f t="shared" si="140"/>
        <v>6902221325969</v>
      </c>
      <c r="F219" s="169" t="s">
        <v>18811</v>
      </c>
      <c r="G219" s="169">
        <v>3.0</v>
      </c>
      <c r="H219" s="169">
        <v>14728.0</v>
      </c>
      <c r="I219" s="169">
        <v>44184.0</v>
      </c>
      <c r="J219" s="169">
        <v>0.0</v>
      </c>
      <c r="K219" s="169">
        <v>3.0</v>
      </c>
      <c r="L219" s="169">
        <v>0.0</v>
      </c>
    </row>
    <row r="220" ht="14.25" customHeight="1">
      <c r="A220" s="169" t="s">
        <v>7567</v>
      </c>
      <c r="B220" s="169" t="s">
        <v>7567</v>
      </c>
      <c r="C220" s="169" t="s">
        <v>18153</v>
      </c>
      <c r="D220" s="169" t="str">
        <f t="shared" ref="D220:E220" si="141">"6902221335241"</f>
        <v>6902221335241</v>
      </c>
      <c r="E220" s="169" t="str">
        <f t="shared" si="141"/>
        <v>6902221335241</v>
      </c>
      <c r="F220" s="169" t="s">
        <v>18811</v>
      </c>
      <c r="G220" s="169">
        <v>3.0</v>
      </c>
      <c r="H220" s="169">
        <v>7873.0</v>
      </c>
      <c r="I220" s="169">
        <v>23619.0</v>
      </c>
      <c r="J220" s="169">
        <v>0.0</v>
      </c>
      <c r="K220" s="169">
        <v>3.0</v>
      </c>
      <c r="L220" s="169">
        <v>0.0</v>
      </c>
    </row>
    <row r="221" ht="14.25" customHeight="1">
      <c r="A221" s="169" t="s">
        <v>7567</v>
      </c>
      <c r="B221" s="169" t="s">
        <v>7567</v>
      </c>
      <c r="C221" s="169" t="s">
        <v>18151</v>
      </c>
      <c r="D221" s="169" t="str">
        <f t="shared" ref="D221:E221" si="142">"6902221335258"</f>
        <v>6902221335258</v>
      </c>
      <c r="E221" s="169" t="str">
        <f t="shared" si="142"/>
        <v>6902221335258</v>
      </c>
      <c r="F221" s="169" t="s">
        <v>18811</v>
      </c>
      <c r="G221" s="169">
        <v>4.0</v>
      </c>
      <c r="H221" s="169">
        <v>7873.0</v>
      </c>
      <c r="I221" s="169">
        <v>31492.0</v>
      </c>
      <c r="J221" s="169">
        <v>0.0</v>
      </c>
      <c r="K221" s="169">
        <v>4.0</v>
      </c>
      <c r="L221" s="169">
        <v>0.0</v>
      </c>
    </row>
    <row r="222" ht="14.25" customHeight="1">
      <c r="A222" s="169" t="s">
        <v>7567</v>
      </c>
      <c r="B222" s="169" t="s">
        <v>7567</v>
      </c>
      <c r="C222" s="169" t="s">
        <v>18149</v>
      </c>
      <c r="D222" s="169" t="str">
        <f t="shared" ref="D222:E222" si="143">"6902221314901"</f>
        <v>6902221314901</v>
      </c>
      <c r="E222" s="169" t="str">
        <f t="shared" si="143"/>
        <v>6902221314901</v>
      </c>
      <c r="F222" s="169" t="s">
        <v>18811</v>
      </c>
      <c r="G222" s="169">
        <v>5.0</v>
      </c>
      <c r="H222" s="169">
        <v>3671.0</v>
      </c>
      <c r="I222" s="169">
        <v>18355.0</v>
      </c>
      <c r="J222" s="169">
        <v>0.0</v>
      </c>
      <c r="K222" s="169">
        <v>5.0</v>
      </c>
      <c r="L222" s="169">
        <v>0.0</v>
      </c>
    </row>
    <row r="223" ht="14.25" customHeight="1">
      <c r="A223" s="169" t="s">
        <v>7567</v>
      </c>
      <c r="B223" s="169" t="s">
        <v>7567</v>
      </c>
      <c r="C223" s="169" t="s">
        <v>7949</v>
      </c>
      <c r="D223" s="169" t="str">
        <f t="shared" ref="D223:E223" si="144">"6902221297877"</f>
        <v>6902221297877</v>
      </c>
      <c r="E223" s="169" t="str">
        <f t="shared" si="144"/>
        <v>6902221297877</v>
      </c>
      <c r="F223" s="169" t="s">
        <v>18811</v>
      </c>
      <c r="G223" s="169">
        <v>43.0</v>
      </c>
      <c r="H223" s="169">
        <v>5223.4</v>
      </c>
      <c r="I223" s="169">
        <v>224605.0</v>
      </c>
      <c r="J223" s="169">
        <v>0.0</v>
      </c>
      <c r="K223" s="169">
        <v>43.0</v>
      </c>
      <c r="L223" s="169">
        <v>0.0</v>
      </c>
    </row>
    <row r="224" ht="14.25" customHeight="1">
      <c r="A224" s="169" t="s">
        <v>7567</v>
      </c>
      <c r="B224" s="169" t="s">
        <v>7567</v>
      </c>
      <c r="C224" s="169" t="s">
        <v>7952</v>
      </c>
      <c r="D224" s="169" t="str">
        <f t="shared" ref="D224:E224" si="145">"6902221297884"</f>
        <v>6902221297884</v>
      </c>
      <c r="E224" s="169" t="str">
        <f t="shared" si="145"/>
        <v>6902221297884</v>
      </c>
      <c r="F224" s="169" t="s">
        <v>18811</v>
      </c>
      <c r="G224" s="169">
        <v>9.0</v>
      </c>
      <c r="H224" s="169">
        <v>4722.0</v>
      </c>
      <c r="I224" s="169">
        <v>42498.0</v>
      </c>
      <c r="J224" s="169">
        <v>0.0</v>
      </c>
      <c r="K224" s="169">
        <v>9.0</v>
      </c>
      <c r="L224" s="169">
        <v>0.0</v>
      </c>
    </row>
    <row r="225" ht="14.25" customHeight="1">
      <c r="A225" s="169" t="s">
        <v>7567</v>
      </c>
      <c r="B225" s="169" t="s">
        <v>7567</v>
      </c>
      <c r="C225" s="169" t="s">
        <v>18145</v>
      </c>
      <c r="D225" s="169" t="str">
        <f t="shared" ref="D225:E225" si="146">"6902221297907"</f>
        <v>6902221297907</v>
      </c>
      <c r="E225" s="169" t="str">
        <f t="shared" si="146"/>
        <v>6902221297907</v>
      </c>
      <c r="F225" s="169" t="s">
        <v>18811</v>
      </c>
      <c r="G225" s="169">
        <v>7.0</v>
      </c>
      <c r="H225" s="169">
        <v>4722.0</v>
      </c>
      <c r="I225" s="169">
        <v>33054.0</v>
      </c>
      <c r="J225" s="169">
        <v>0.0</v>
      </c>
      <c r="K225" s="169">
        <v>7.0</v>
      </c>
      <c r="L225" s="169">
        <v>0.0</v>
      </c>
    </row>
    <row r="226" ht="14.25" customHeight="1">
      <c r="A226" s="169" t="s">
        <v>7567</v>
      </c>
      <c r="B226" s="169" t="s">
        <v>7567</v>
      </c>
      <c r="C226" s="169" t="s">
        <v>7706</v>
      </c>
      <c r="D226" s="169" t="str">
        <f t="shared" ref="D226:E226" si="147">"6902221296382"</f>
        <v>6902221296382</v>
      </c>
      <c r="E226" s="169" t="str">
        <f t="shared" si="147"/>
        <v>6902221296382</v>
      </c>
      <c r="F226" s="169" t="s">
        <v>18811</v>
      </c>
      <c r="G226" s="169">
        <v>1.0</v>
      </c>
      <c r="H226" s="169">
        <v>1570.0</v>
      </c>
      <c r="I226" s="169">
        <v>1570.0</v>
      </c>
      <c r="J226" s="169">
        <v>0.0</v>
      </c>
      <c r="K226" s="169">
        <v>1.0</v>
      </c>
      <c r="L226" s="169">
        <v>0.0</v>
      </c>
    </row>
    <row r="227" ht="14.25" customHeight="1">
      <c r="A227" s="169" t="s">
        <v>7567</v>
      </c>
      <c r="B227" s="169" t="s">
        <v>7567</v>
      </c>
      <c r="C227" s="169" t="s">
        <v>7772</v>
      </c>
      <c r="D227" s="169" t="str">
        <f t="shared" ref="D227:E227" si="148">"6902221293046"</f>
        <v>6902221293046</v>
      </c>
      <c r="E227" s="169" t="str">
        <f t="shared" si="148"/>
        <v>6902221293046</v>
      </c>
      <c r="F227" s="169" t="s">
        <v>18811</v>
      </c>
      <c r="G227" s="169">
        <v>5.0</v>
      </c>
      <c r="H227" s="169">
        <v>3760.0</v>
      </c>
      <c r="I227" s="169">
        <v>18800.0</v>
      </c>
      <c r="J227" s="169">
        <v>0.0</v>
      </c>
      <c r="K227" s="169">
        <v>5.0</v>
      </c>
      <c r="L227" s="169">
        <v>0.0</v>
      </c>
    </row>
    <row r="228" ht="14.25" customHeight="1">
      <c r="A228" s="169" t="s">
        <v>7567</v>
      </c>
      <c r="B228" s="169" t="s">
        <v>7567</v>
      </c>
      <c r="C228" s="169" t="s">
        <v>18141</v>
      </c>
      <c r="D228" s="169" t="str">
        <f t="shared" ref="D228:E228" si="149">"6902221335166"</f>
        <v>6902221335166</v>
      </c>
      <c r="E228" s="169" t="str">
        <f t="shared" si="149"/>
        <v>6902221335166</v>
      </c>
      <c r="F228" s="169" t="s">
        <v>18811</v>
      </c>
      <c r="G228" s="169">
        <v>2.0</v>
      </c>
      <c r="H228" s="169">
        <v>6822.0</v>
      </c>
      <c r="I228" s="169">
        <v>13644.0</v>
      </c>
      <c r="J228" s="169">
        <v>0.0</v>
      </c>
      <c r="K228" s="169">
        <v>2.0</v>
      </c>
      <c r="L228" s="169">
        <v>0.0</v>
      </c>
    </row>
    <row r="229" ht="14.25" customHeight="1">
      <c r="A229" s="169" t="s">
        <v>7567</v>
      </c>
      <c r="B229" s="169" t="s">
        <v>7567</v>
      </c>
      <c r="C229" s="169" t="s">
        <v>18139</v>
      </c>
      <c r="D229" s="169" t="str">
        <f t="shared" ref="D229:E229" si="150">"6902221335227"</f>
        <v>6902221335227</v>
      </c>
      <c r="E229" s="169" t="str">
        <f t="shared" si="150"/>
        <v>6902221335227</v>
      </c>
      <c r="F229" s="169" t="s">
        <v>18811</v>
      </c>
      <c r="G229" s="169">
        <v>3.0</v>
      </c>
      <c r="H229" s="169">
        <v>9449.0</v>
      </c>
      <c r="I229" s="169">
        <v>28347.0</v>
      </c>
      <c r="J229" s="169">
        <v>0.0</v>
      </c>
      <c r="K229" s="169">
        <v>3.0</v>
      </c>
      <c r="L229" s="169">
        <v>0.0</v>
      </c>
    </row>
    <row r="230" ht="14.25" customHeight="1">
      <c r="A230" s="169" t="s">
        <v>7567</v>
      </c>
      <c r="B230" s="169" t="s">
        <v>7567</v>
      </c>
      <c r="C230" s="169" t="s">
        <v>8062</v>
      </c>
      <c r="D230" s="169" t="str">
        <f t="shared" ref="D230:E230" si="151">"6902221318398"</f>
        <v>6902221318398</v>
      </c>
      <c r="E230" s="169" t="str">
        <f t="shared" si="151"/>
        <v>6902221318398</v>
      </c>
      <c r="F230" s="169" t="s">
        <v>18811</v>
      </c>
      <c r="G230" s="169">
        <v>1.0</v>
      </c>
      <c r="H230" s="169">
        <v>4081.0</v>
      </c>
      <c r="I230" s="169">
        <v>4081.0</v>
      </c>
      <c r="J230" s="169">
        <v>0.0</v>
      </c>
      <c r="K230" s="169">
        <v>1.0</v>
      </c>
      <c r="L230" s="169">
        <v>0.0</v>
      </c>
    </row>
    <row r="231" ht="14.25" customHeight="1">
      <c r="A231" s="169" t="s">
        <v>7567</v>
      </c>
      <c r="B231" s="169" t="s">
        <v>7567</v>
      </c>
      <c r="C231" s="169" t="s">
        <v>18136</v>
      </c>
      <c r="D231" s="169" t="str">
        <f t="shared" ref="D231:E231" si="152">"6902221325891"</f>
        <v>6902221325891</v>
      </c>
      <c r="E231" s="169" t="str">
        <f t="shared" si="152"/>
        <v>6902221325891</v>
      </c>
      <c r="F231" s="169" t="s">
        <v>18811</v>
      </c>
      <c r="G231" s="169">
        <v>5.0</v>
      </c>
      <c r="H231" s="169">
        <v>3671.0</v>
      </c>
      <c r="I231" s="169">
        <v>18355.0</v>
      </c>
      <c r="J231" s="169">
        <v>0.0</v>
      </c>
      <c r="K231" s="169">
        <v>5.0</v>
      </c>
      <c r="L231" s="169">
        <v>0.0</v>
      </c>
    </row>
    <row r="232" ht="14.25" customHeight="1">
      <c r="A232" s="169" t="s">
        <v>7567</v>
      </c>
      <c r="B232" s="169" t="s">
        <v>7567</v>
      </c>
      <c r="C232" s="169" t="s">
        <v>18134</v>
      </c>
      <c r="D232" s="169" t="str">
        <f t="shared" ref="D232:E232" si="153">"6902221325877"</f>
        <v>6902221325877</v>
      </c>
      <c r="E232" s="169" t="str">
        <f t="shared" si="153"/>
        <v>6902221325877</v>
      </c>
      <c r="F232" s="169" t="s">
        <v>18811</v>
      </c>
      <c r="G232" s="169">
        <v>1.0</v>
      </c>
      <c r="H232" s="169">
        <v>3146.0</v>
      </c>
      <c r="I232" s="169">
        <v>3146.0</v>
      </c>
      <c r="J232" s="169">
        <v>0.0</v>
      </c>
      <c r="K232" s="169">
        <v>1.0</v>
      </c>
      <c r="L232" s="169">
        <v>0.0</v>
      </c>
    </row>
    <row r="233" ht="14.25" customHeight="1">
      <c r="A233" s="169" t="s">
        <v>7567</v>
      </c>
      <c r="B233" s="169" t="s">
        <v>7567</v>
      </c>
      <c r="C233" s="169" t="s">
        <v>18132</v>
      </c>
      <c r="D233" s="169" t="str">
        <f t="shared" ref="D233:E233" si="154">"6902221325907"</f>
        <v>6902221325907</v>
      </c>
      <c r="E233" s="169" t="str">
        <f t="shared" si="154"/>
        <v>6902221325907</v>
      </c>
      <c r="F233" s="169" t="s">
        <v>18811</v>
      </c>
      <c r="G233" s="169">
        <v>12.0</v>
      </c>
      <c r="H233" s="169">
        <v>2096.0</v>
      </c>
      <c r="I233" s="169">
        <v>25152.0</v>
      </c>
      <c r="J233" s="169">
        <v>0.0</v>
      </c>
      <c r="K233" s="169">
        <v>12.0</v>
      </c>
      <c r="L233" s="169">
        <v>0.0</v>
      </c>
    </row>
    <row r="234" ht="14.25" customHeight="1">
      <c r="A234" s="169" t="s">
        <v>7567</v>
      </c>
      <c r="B234" s="169" t="s">
        <v>7567</v>
      </c>
      <c r="C234" s="169" t="s">
        <v>18130</v>
      </c>
      <c r="D234" s="169" t="str">
        <f t="shared" ref="D234:E234" si="155">"6902221315083"</f>
        <v>6902221315083</v>
      </c>
      <c r="E234" s="169" t="str">
        <f t="shared" si="155"/>
        <v>6902221315083</v>
      </c>
      <c r="F234" s="169" t="s">
        <v>18811</v>
      </c>
      <c r="G234" s="169">
        <v>1.0</v>
      </c>
      <c r="H234" s="169">
        <v>4722.0</v>
      </c>
      <c r="I234" s="169">
        <v>4722.0</v>
      </c>
      <c r="J234" s="169">
        <v>0.0</v>
      </c>
      <c r="K234" s="169">
        <v>1.0</v>
      </c>
      <c r="L234" s="169">
        <v>0.0</v>
      </c>
    </row>
    <row r="235" ht="14.25" customHeight="1">
      <c r="A235" s="169" t="s">
        <v>7567</v>
      </c>
      <c r="B235" s="169" t="s">
        <v>7567</v>
      </c>
      <c r="C235" s="169" t="s">
        <v>8030</v>
      </c>
      <c r="D235" s="169" t="str">
        <f>"1623965684963"</f>
        <v>1623965684963</v>
      </c>
      <c r="E235" s="169" t="str">
        <f>"6902221318633"</f>
        <v>6902221318633</v>
      </c>
      <c r="F235" s="169" t="s">
        <v>18811</v>
      </c>
      <c r="G235" s="169">
        <v>80.0</v>
      </c>
      <c r="H235" s="169">
        <v>5686.7</v>
      </c>
      <c r="I235" s="169">
        <v>454935.0</v>
      </c>
      <c r="J235" s="169">
        <v>0.0</v>
      </c>
      <c r="K235" s="169">
        <v>80.0</v>
      </c>
      <c r="L235" s="169">
        <v>0.0</v>
      </c>
    </row>
    <row r="236" ht="14.25" customHeight="1">
      <c r="A236" s="169" t="s">
        <v>7567</v>
      </c>
      <c r="B236" s="169" t="s">
        <v>7567</v>
      </c>
      <c r="C236" s="169" t="s">
        <v>8031</v>
      </c>
      <c r="D236" s="169" t="str">
        <f>"1623965693222"</f>
        <v>1623965693222</v>
      </c>
      <c r="E236" s="169" t="str">
        <f>"6902221318657"</f>
        <v>6902221318657</v>
      </c>
      <c r="F236" s="169" t="s">
        <v>18811</v>
      </c>
      <c r="G236" s="169">
        <v>20.0</v>
      </c>
      <c r="H236" s="169">
        <v>5247.0</v>
      </c>
      <c r="I236" s="169">
        <v>104940.0</v>
      </c>
      <c r="J236" s="169">
        <v>0.0</v>
      </c>
      <c r="K236" s="169">
        <v>20.0</v>
      </c>
      <c r="L236" s="169">
        <v>0.0</v>
      </c>
    </row>
    <row r="237" ht="14.25" customHeight="1">
      <c r="A237" s="169" t="s">
        <v>7567</v>
      </c>
      <c r="B237" s="169" t="s">
        <v>7567</v>
      </c>
      <c r="C237" s="169" t="s">
        <v>7648</v>
      </c>
      <c r="D237" s="169" t="str">
        <f t="shared" ref="D237:E237" si="156">"6902221325709"</f>
        <v>6902221325709</v>
      </c>
      <c r="E237" s="169" t="str">
        <f t="shared" si="156"/>
        <v>6902221325709</v>
      </c>
      <c r="F237" s="169" t="s">
        <v>18811</v>
      </c>
      <c r="G237" s="169">
        <v>3.0</v>
      </c>
      <c r="H237" s="169">
        <v>9449.0</v>
      </c>
      <c r="I237" s="169">
        <v>28347.0</v>
      </c>
      <c r="J237" s="169">
        <v>0.0</v>
      </c>
      <c r="K237" s="169">
        <v>3.0</v>
      </c>
      <c r="L237" s="169">
        <v>0.0</v>
      </c>
    </row>
    <row r="238" ht="14.25" customHeight="1">
      <c r="A238" s="169" t="s">
        <v>7567</v>
      </c>
      <c r="B238" s="169" t="s">
        <v>7567</v>
      </c>
      <c r="C238" s="169" t="s">
        <v>8032</v>
      </c>
      <c r="D238" s="169" t="str">
        <f>"1623965619775"</f>
        <v>1623965619775</v>
      </c>
      <c r="E238" s="169" t="str">
        <f>"6902221318688"</f>
        <v>6902221318688</v>
      </c>
      <c r="F238" s="169" t="s">
        <v>18811</v>
      </c>
      <c r="G238" s="169">
        <v>32.0</v>
      </c>
      <c r="H238" s="169">
        <v>8923.0</v>
      </c>
      <c r="I238" s="169">
        <v>285536.0</v>
      </c>
      <c r="J238" s="169">
        <v>0.0</v>
      </c>
      <c r="K238" s="169">
        <v>32.0</v>
      </c>
      <c r="L238" s="169">
        <v>0.0</v>
      </c>
    </row>
    <row r="239" ht="14.25" customHeight="1">
      <c r="A239" s="169" t="s">
        <v>7567</v>
      </c>
      <c r="B239" s="169" t="s">
        <v>7567</v>
      </c>
      <c r="C239" s="169" t="s">
        <v>18124</v>
      </c>
      <c r="D239" s="169" t="str">
        <f t="shared" ref="D239:E239" si="157">"6902221315267"</f>
        <v>6902221315267</v>
      </c>
      <c r="E239" s="169" t="str">
        <f t="shared" si="157"/>
        <v>6902221315267</v>
      </c>
      <c r="F239" s="169" t="s">
        <v>18811</v>
      </c>
      <c r="G239" s="169">
        <v>1.0</v>
      </c>
      <c r="H239" s="169">
        <v>4196.0</v>
      </c>
      <c r="I239" s="169">
        <v>4196.0</v>
      </c>
      <c r="J239" s="169">
        <v>0.0</v>
      </c>
      <c r="K239" s="169">
        <v>1.0</v>
      </c>
      <c r="L239" s="169">
        <v>0.0</v>
      </c>
    </row>
    <row r="240" ht="14.25" customHeight="1">
      <c r="A240" s="169" t="s">
        <v>7567</v>
      </c>
      <c r="B240" s="169" t="s">
        <v>7567</v>
      </c>
      <c r="C240" s="169" t="s">
        <v>18122</v>
      </c>
      <c r="D240" s="169" t="str">
        <f t="shared" ref="D240:E240" si="158">"6902221324641"</f>
        <v>6902221324641</v>
      </c>
      <c r="E240" s="169" t="str">
        <f t="shared" si="158"/>
        <v>6902221324641</v>
      </c>
      <c r="F240" s="169" t="s">
        <v>18811</v>
      </c>
      <c r="G240" s="169">
        <v>1.0</v>
      </c>
      <c r="H240" s="169">
        <v>3671.0</v>
      </c>
      <c r="I240" s="169">
        <v>3671.0</v>
      </c>
      <c r="J240" s="169">
        <v>0.0</v>
      </c>
      <c r="K240" s="169">
        <v>1.0</v>
      </c>
      <c r="L240" s="169">
        <v>0.0</v>
      </c>
    </row>
    <row r="241" ht="14.25" customHeight="1">
      <c r="A241" s="169" t="s">
        <v>7567</v>
      </c>
      <c r="B241" s="169" t="s">
        <v>7567</v>
      </c>
      <c r="C241" s="169" t="s">
        <v>18120</v>
      </c>
      <c r="D241" s="169" t="str">
        <f t="shared" ref="D241:E241" si="159">"6902221325914"</f>
        <v>6902221325914</v>
      </c>
      <c r="E241" s="169" t="str">
        <f t="shared" si="159"/>
        <v>6902221325914</v>
      </c>
      <c r="F241" s="169" t="s">
        <v>18811</v>
      </c>
      <c r="G241" s="169">
        <v>3.0</v>
      </c>
      <c r="H241" s="169">
        <v>5247.0</v>
      </c>
      <c r="I241" s="169">
        <v>15741.0</v>
      </c>
      <c r="J241" s="169">
        <v>0.0</v>
      </c>
      <c r="K241" s="169">
        <v>3.0</v>
      </c>
      <c r="L241" s="169">
        <v>0.0</v>
      </c>
    </row>
    <row r="242" ht="14.25" customHeight="1">
      <c r="A242" s="169" t="s">
        <v>7567</v>
      </c>
      <c r="B242" s="169" t="s">
        <v>7567</v>
      </c>
      <c r="C242" s="169" t="s">
        <v>18118</v>
      </c>
      <c r="D242" s="169" t="str">
        <f t="shared" ref="D242:E242" si="160">"6902221332998"</f>
        <v>6902221332998</v>
      </c>
      <c r="E242" s="169" t="str">
        <f t="shared" si="160"/>
        <v>6902221332998</v>
      </c>
      <c r="F242" s="169" t="s">
        <v>18811</v>
      </c>
      <c r="G242" s="169">
        <v>2.0</v>
      </c>
      <c r="H242" s="169">
        <v>5247.0</v>
      </c>
      <c r="I242" s="169">
        <v>10494.0</v>
      </c>
      <c r="J242" s="169">
        <v>0.0</v>
      </c>
      <c r="K242" s="169">
        <v>2.0</v>
      </c>
      <c r="L242" s="169">
        <v>0.0</v>
      </c>
    </row>
    <row r="243" ht="14.25" customHeight="1">
      <c r="A243" s="169" t="s">
        <v>7567</v>
      </c>
      <c r="B243" s="169" t="s">
        <v>7567</v>
      </c>
      <c r="C243" s="169" t="s">
        <v>18116</v>
      </c>
      <c r="D243" s="169" t="str">
        <f t="shared" ref="D243:E243" si="161">"6902221326102"</f>
        <v>6902221326102</v>
      </c>
      <c r="E243" s="169" t="str">
        <f t="shared" si="161"/>
        <v>6902221326102</v>
      </c>
      <c r="F243" s="169" t="s">
        <v>18811</v>
      </c>
      <c r="G243" s="169">
        <v>10.0</v>
      </c>
      <c r="H243" s="169">
        <v>6822.0</v>
      </c>
      <c r="I243" s="169">
        <v>68220.0</v>
      </c>
      <c r="J243" s="169">
        <v>0.0</v>
      </c>
      <c r="K243" s="169">
        <v>10.0</v>
      </c>
      <c r="L243" s="169">
        <v>0.0</v>
      </c>
    </row>
    <row r="244" ht="14.25" customHeight="1">
      <c r="A244" s="169" t="s">
        <v>7567</v>
      </c>
      <c r="B244" s="169" t="s">
        <v>7567</v>
      </c>
      <c r="C244" s="169" t="s">
        <v>18114</v>
      </c>
      <c r="D244" s="169" t="str">
        <f t="shared" ref="D244:E244" si="162">"6902221315359"</f>
        <v>6902221315359</v>
      </c>
      <c r="E244" s="169" t="str">
        <f t="shared" si="162"/>
        <v>6902221315359</v>
      </c>
      <c r="F244" s="169" t="s">
        <v>18811</v>
      </c>
      <c r="G244" s="169">
        <v>2.0</v>
      </c>
      <c r="H244" s="169">
        <v>9974.0</v>
      </c>
      <c r="I244" s="169">
        <v>19948.0</v>
      </c>
      <c r="J244" s="169">
        <v>0.0</v>
      </c>
      <c r="K244" s="169">
        <v>2.0</v>
      </c>
      <c r="L244" s="169">
        <v>0.0</v>
      </c>
    </row>
    <row r="245" ht="14.25" customHeight="1">
      <c r="A245" s="169" t="s">
        <v>7567</v>
      </c>
      <c r="B245" s="169" t="s">
        <v>7567</v>
      </c>
      <c r="C245" s="169" t="s">
        <v>18112</v>
      </c>
      <c r="D245" s="169" t="str">
        <f t="shared" ref="D245:E245" si="163">"6902221315373"</f>
        <v>6902221315373</v>
      </c>
      <c r="E245" s="169" t="str">
        <f t="shared" si="163"/>
        <v>6902221315373</v>
      </c>
      <c r="F245" s="169" t="s">
        <v>18811</v>
      </c>
      <c r="G245" s="169">
        <v>1.0</v>
      </c>
      <c r="H245" s="169">
        <v>8923.0</v>
      </c>
      <c r="I245" s="169">
        <v>8923.0</v>
      </c>
      <c r="J245" s="169">
        <v>0.0</v>
      </c>
      <c r="K245" s="169">
        <v>1.0</v>
      </c>
      <c r="L245" s="169">
        <v>0.0</v>
      </c>
    </row>
    <row r="246" ht="14.25" customHeight="1">
      <c r="A246" s="169" t="s">
        <v>7567</v>
      </c>
      <c r="B246" s="169" t="s">
        <v>7567</v>
      </c>
      <c r="C246" s="169" t="s">
        <v>8130</v>
      </c>
      <c r="D246" s="169" t="str">
        <f t="shared" ref="D246:E246" si="164">"6902221295811"</f>
        <v>6902221295811</v>
      </c>
      <c r="E246" s="169" t="str">
        <f t="shared" si="164"/>
        <v>6902221295811</v>
      </c>
      <c r="F246" s="169" t="s">
        <v>18811</v>
      </c>
      <c r="G246" s="169">
        <v>1.0</v>
      </c>
      <c r="H246" s="169">
        <v>4196.0</v>
      </c>
      <c r="I246" s="169">
        <v>4196.0</v>
      </c>
      <c r="J246" s="169">
        <v>0.0</v>
      </c>
      <c r="K246" s="169">
        <v>1.0</v>
      </c>
      <c r="L246" s="169">
        <v>0.0</v>
      </c>
    </row>
    <row r="247" ht="14.25" customHeight="1">
      <c r="A247" s="169" t="s">
        <v>7567</v>
      </c>
      <c r="B247" s="169" t="s">
        <v>7567</v>
      </c>
      <c r="C247" s="169" t="s">
        <v>18109</v>
      </c>
      <c r="D247" s="169" t="str">
        <f t="shared" ref="D247:E247" si="165">"6902221318312"</f>
        <v>6902221318312</v>
      </c>
      <c r="E247" s="169" t="str">
        <f t="shared" si="165"/>
        <v>6902221318312</v>
      </c>
      <c r="F247" s="169" t="s">
        <v>18811</v>
      </c>
      <c r="G247" s="169">
        <v>3.0</v>
      </c>
      <c r="H247" s="169">
        <v>7172.3</v>
      </c>
      <c r="I247" s="169">
        <v>21517.0</v>
      </c>
      <c r="J247" s="169">
        <v>0.0</v>
      </c>
      <c r="K247" s="169">
        <v>3.0</v>
      </c>
      <c r="L247" s="169">
        <v>0.0</v>
      </c>
    </row>
    <row r="248" ht="14.25" customHeight="1">
      <c r="A248" s="169" t="s">
        <v>7567</v>
      </c>
      <c r="B248" s="169" t="s">
        <v>7567</v>
      </c>
      <c r="C248" s="169" t="s">
        <v>18107</v>
      </c>
      <c r="D248" s="169" t="str">
        <f t="shared" ref="D248:E248" si="166">"6902221318329"</f>
        <v>6902221318329</v>
      </c>
      <c r="E248" s="169" t="str">
        <f t="shared" si="166"/>
        <v>6902221318329</v>
      </c>
      <c r="F248" s="169" t="s">
        <v>18811</v>
      </c>
      <c r="G248" s="169">
        <v>2.0</v>
      </c>
      <c r="H248" s="169">
        <v>6822.0</v>
      </c>
      <c r="I248" s="169">
        <v>13644.0</v>
      </c>
      <c r="J248" s="169">
        <v>0.0</v>
      </c>
      <c r="K248" s="169">
        <v>2.0</v>
      </c>
      <c r="L248" s="169">
        <v>0.0</v>
      </c>
    </row>
    <row r="249" ht="14.25" customHeight="1">
      <c r="A249" s="169" t="s">
        <v>7567</v>
      </c>
      <c r="B249" s="169" t="s">
        <v>7567</v>
      </c>
      <c r="C249" s="169" t="s">
        <v>8087</v>
      </c>
      <c r="D249" s="169" t="str">
        <f t="shared" ref="D249:E249" si="167">"6902221318527"</f>
        <v>6902221318527</v>
      </c>
      <c r="E249" s="169" t="str">
        <f t="shared" si="167"/>
        <v>6902221318527</v>
      </c>
      <c r="F249" s="169" t="s">
        <v>18811</v>
      </c>
      <c r="G249" s="169">
        <v>1.0</v>
      </c>
      <c r="H249" s="169">
        <v>4722.0</v>
      </c>
      <c r="I249" s="169">
        <v>4722.0</v>
      </c>
      <c r="J249" s="169">
        <v>0.0</v>
      </c>
      <c r="K249" s="169">
        <v>1.0</v>
      </c>
      <c r="L249" s="169">
        <v>0.0</v>
      </c>
    </row>
    <row r="250" ht="14.25" customHeight="1">
      <c r="A250" s="169" t="s">
        <v>7567</v>
      </c>
      <c r="B250" s="169" t="s">
        <v>7567</v>
      </c>
      <c r="C250" s="169" t="s">
        <v>18104</v>
      </c>
      <c r="D250" s="169" t="str">
        <f t="shared" ref="D250:E250" si="168">"6902221314598"</f>
        <v>6902221314598</v>
      </c>
      <c r="E250" s="169" t="str">
        <f t="shared" si="168"/>
        <v>6902221314598</v>
      </c>
      <c r="F250" s="169" t="s">
        <v>18811</v>
      </c>
      <c r="G250" s="169">
        <v>1.0</v>
      </c>
      <c r="H250" s="169">
        <v>2517.0</v>
      </c>
      <c r="I250" s="169">
        <v>2517.0</v>
      </c>
      <c r="J250" s="169">
        <v>0.0</v>
      </c>
      <c r="K250" s="169">
        <v>1.0</v>
      </c>
      <c r="L250" s="169">
        <v>0.0</v>
      </c>
    </row>
    <row r="251" ht="14.25" customHeight="1">
      <c r="A251" s="169" t="s">
        <v>7567</v>
      </c>
      <c r="B251" s="169" t="s">
        <v>7567</v>
      </c>
      <c r="C251" s="169" t="s">
        <v>18102</v>
      </c>
      <c r="D251" s="169" t="str">
        <f t="shared" ref="D251:E251" si="169">"6902221318374"</f>
        <v>6902221318374</v>
      </c>
      <c r="E251" s="169" t="str">
        <f t="shared" si="169"/>
        <v>6902221318374</v>
      </c>
      <c r="F251" s="169" t="s">
        <v>18811</v>
      </c>
      <c r="G251" s="169">
        <v>1.0</v>
      </c>
      <c r="H251" s="169">
        <v>6822.0</v>
      </c>
      <c r="I251" s="169">
        <v>6822.0</v>
      </c>
      <c r="J251" s="169">
        <v>0.0</v>
      </c>
      <c r="K251" s="169">
        <v>1.0</v>
      </c>
      <c r="L251" s="169">
        <v>0.0</v>
      </c>
    </row>
    <row r="252" ht="14.25" customHeight="1">
      <c r="A252" s="169" t="s">
        <v>7567</v>
      </c>
      <c r="B252" s="169" t="s">
        <v>7567</v>
      </c>
      <c r="C252" s="169" t="s">
        <v>7678</v>
      </c>
      <c r="D252" s="169" t="str">
        <f t="shared" ref="D252:E252" si="170">"22103356545"</f>
        <v>22103356545</v>
      </c>
      <c r="E252" s="169" t="str">
        <f t="shared" si="170"/>
        <v>22103356545</v>
      </c>
      <c r="F252" s="169" t="s">
        <v>18811</v>
      </c>
      <c r="G252" s="169">
        <v>1.0</v>
      </c>
      <c r="H252" s="169">
        <v>2270.0</v>
      </c>
      <c r="I252" s="169">
        <v>2270.0</v>
      </c>
      <c r="J252" s="169">
        <v>0.0</v>
      </c>
      <c r="K252" s="169">
        <v>1.0</v>
      </c>
      <c r="L252" s="169">
        <v>0.0</v>
      </c>
    </row>
    <row r="253" ht="14.25" customHeight="1">
      <c r="A253" s="169" t="s">
        <v>7357</v>
      </c>
      <c r="B253" s="169" t="s">
        <v>17014</v>
      </c>
      <c r="C253" s="169" t="s">
        <v>17044</v>
      </c>
      <c r="D253" s="169" t="str">
        <f>"659525528072"</f>
        <v>659525528072</v>
      </c>
      <c r="E253" s="169" t="str">
        <f>"IMA-COLUM6"</f>
        <v>IMA-COLUM6</v>
      </c>
      <c r="F253" s="169" t="s">
        <v>18811</v>
      </c>
      <c r="G253" s="169">
        <v>4.0</v>
      </c>
      <c r="H253" s="169">
        <v>3524.0</v>
      </c>
      <c r="I253" s="169">
        <v>14096.0</v>
      </c>
      <c r="J253" s="169">
        <v>0.0</v>
      </c>
      <c r="K253" s="169">
        <v>4.0</v>
      </c>
      <c r="L253" s="169">
        <v>0.0</v>
      </c>
    </row>
    <row r="254" ht="14.25" customHeight="1">
      <c r="A254" s="169" t="s">
        <v>7357</v>
      </c>
      <c r="B254" s="169" t="s">
        <v>17014</v>
      </c>
      <c r="C254" s="169" t="s">
        <v>17043</v>
      </c>
      <c r="D254" s="169" t="str">
        <f>"6595255280580"</f>
        <v>6595255280580</v>
      </c>
      <c r="E254" s="169" t="str">
        <f>"IMA-RCPISTA"</f>
        <v>IMA-RCPISTA</v>
      </c>
      <c r="F254" s="169" t="s">
        <v>18811</v>
      </c>
      <c r="G254" s="169">
        <v>5.0</v>
      </c>
      <c r="H254" s="169">
        <v>3465.4</v>
      </c>
      <c r="I254" s="169">
        <v>17327.0</v>
      </c>
      <c r="J254" s="169">
        <v>0.0</v>
      </c>
      <c r="K254" s="169">
        <v>5.0</v>
      </c>
      <c r="L254" s="169">
        <v>0.0</v>
      </c>
    </row>
    <row r="255" ht="14.25" customHeight="1">
      <c r="A255" s="169" t="s">
        <v>7357</v>
      </c>
      <c r="B255" s="169" t="s">
        <v>17014</v>
      </c>
      <c r="C255" s="169" t="s">
        <v>17042</v>
      </c>
      <c r="D255" s="169" t="str">
        <f>"659525528065"</f>
        <v>659525528065</v>
      </c>
      <c r="E255" s="169" t="str">
        <f>"IMA-RAMPA4"</f>
        <v>IMA-RAMPA4</v>
      </c>
      <c r="F255" s="169" t="s">
        <v>18811</v>
      </c>
      <c r="G255" s="169">
        <v>3.0</v>
      </c>
      <c r="H255" s="169">
        <v>3524.0</v>
      </c>
      <c r="I255" s="169">
        <v>10572.0</v>
      </c>
      <c r="J255" s="169">
        <v>0.0</v>
      </c>
      <c r="K255" s="169">
        <v>3.0</v>
      </c>
      <c r="L255" s="169">
        <v>0.0</v>
      </c>
    </row>
    <row r="256" ht="14.25" customHeight="1">
      <c r="A256" s="169" t="s">
        <v>7357</v>
      </c>
      <c r="B256" s="169" t="s">
        <v>17014</v>
      </c>
      <c r="C256" s="169" t="s">
        <v>7379</v>
      </c>
      <c r="D256" s="169" t="str">
        <f>"659525528089"</f>
        <v>659525528089</v>
      </c>
      <c r="E256" s="169" t="str">
        <f>"IMA-TUBO6"</f>
        <v>IMA-TUBO6</v>
      </c>
      <c r="F256" s="169" t="s">
        <v>18811</v>
      </c>
      <c r="G256" s="169">
        <v>11.0</v>
      </c>
      <c r="H256" s="169">
        <v>3524.0</v>
      </c>
      <c r="I256" s="169">
        <v>38764.0</v>
      </c>
      <c r="J256" s="169">
        <v>0.0</v>
      </c>
      <c r="K256" s="169">
        <v>11.0</v>
      </c>
      <c r="L256" s="169">
        <v>0.0</v>
      </c>
    </row>
    <row r="257" ht="14.25" customHeight="1">
      <c r="A257" s="169" t="s">
        <v>7357</v>
      </c>
      <c r="B257" s="169" t="s">
        <v>17014</v>
      </c>
      <c r="C257" s="169" t="s">
        <v>17041</v>
      </c>
      <c r="D257" s="169" t="str">
        <f>"659525528058"</f>
        <v>659525528058</v>
      </c>
      <c r="E257" s="169" t="str">
        <f>"IMA-UTURN6"</f>
        <v>IMA-UTURN6</v>
      </c>
      <c r="F257" s="169" t="s">
        <v>18811</v>
      </c>
      <c r="G257" s="169">
        <v>5.0</v>
      </c>
      <c r="H257" s="169">
        <v>3347.8</v>
      </c>
      <c r="I257" s="169">
        <v>16739.0</v>
      </c>
      <c r="J257" s="169">
        <v>0.0</v>
      </c>
      <c r="K257" s="169">
        <v>5.0</v>
      </c>
      <c r="L257" s="169">
        <v>0.0</v>
      </c>
    </row>
    <row r="258" ht="14.25" customHeight="1">
      <c r="A258" s="169" t="s">
        <v>7357</v>
      </c>
      <c r="B258" s="169" t="s">
        <v>17014</v>
      </c>
      <c r="C258" s="169" t="s">
        <v>17040</v>
      </c>
      <c r="D258" s="169" t="str">
        <f>"1643635333606"</f>
        <v>1643635333606</v>
      </c>
      <c r="E258" s="169" t="str">
        <f>"IMA-TB"</f>
        <v>IMA-TB</v>
      </c>
      <c r="F258" s="169" t="s">
        <v>18811</v>
      </c>
      <c r="G258" s="169">
        <v>3.0</v>
      </c>
      <c r="H258" s="169">
        <v>2012.0</v>
      </c>
      <c r="I258" s="169">
        <v>6036.0</v>
      </c>
      <c r="J258" s="169">
        <v>0.0</v>
      </c>
      <c r="K258" s="169">
        <v>3.0</v>
      </c>
      <c r="L258" s="169">
        <v>0.0</v>
      </c>
    </row>
    <row r="259" ht="14.25" customHeight="1">
      <c r="A259" s="169" t="s">
        <v>7357</v>
      </c>
      <c r="B259" s="169" t="s">
        <v>17014</v>
      </c>
      <c r="C259" s="169" t="s">
        <v>7383</v>
      </c>
      <c r="D259" s="169" t="str">
        <f>"659525528034"</f>
        <v>659525528034</v>
      </c>
      <c r="E259" s="169" t="str">
        <f>"BAR-SP24"</f>
        <v>BAR-SP24</v>
      </c>
      <c r="F259" s="169" t="s">
        <v>18811</v>
      </c>
      <c r="G259" s="169">
        <v>8.0</v>
      </c>
      <c r="H259" s="169">
        <v>8399.0</v>
      </c>
      <c r="I259" s="169">
        <v>67192.0</v>
      </c>
      <c r="J259" s="169">
        <v>0.0</v>
      </c>
      <c r="K259" s="169">
        <v>8.0</v>
      </c>
      <c r="L259" s="169">
        <v>0.0</v>
      </c>
    </row>
    <row r="260" ht="14.25" customHeight="1">
      <c r="A260" s="169" t="s">
        <v>7357</v>
      </c>
      <c r="B260" s="169" t="s">
        <v>17014</v>
      </c>
      <c r="C260" s="169" t="s">
        <v>7384</v>
      </c>
      <c r="D260" s="169" t="str">
        <f>"659525528041"</f>
        <v>659525528041</v>
      </c>
      <c r="E260" s="169" t="str">
        <f>"BAR-SP60"</f>
        <v>BAR-SP60</v>
      </c>
      <c r="F260" s="169" t="s">
        <v>18811</v>
      </c>
      <c r="G260" s="169">
        <v>5.0</v>
      </c>
      <c r="H260" s="169">
        <v>17475.0</v>
      </c>
      <c r="I260" s="169">
        <v>87375.0</v>
      </c>
      <c r="J260" s="169">
        <v>0.0</v>
      </c>
      <c r="K260" s="169">
        <v>5.0</v>
      </c>
      <c r="L260" s="169">
        <v>0.0</v>
      </c>
    </row>
    <row r="261" ht="14.25" customHeight="1">
      <c r="A261" s="169" t="s">
        <v>7357</v>
      </c>
      <c r="B261" s="169" t="s">
        <v>17014</v>
      </c>
      <c r="C261" s="169" t="s">
        <v>17039</v>
      </c>
      <c r="D261" s="169" t="str">
        <f>"659525528126"</f>
        <v>659525528126</v>
      </c>
      <c r="E261" s="169" t="str">
        <f>"IMA-WSB"</f>
        <v>IMA-WSB</v>
      </c>
      <c r="F261" s="169" t="s">
        <v>18811</v>
      </c>
      <c r="G261" s="169">
        <v>37.0</v>
      </c>
      <c r="H261" s="169">
        <v>12601.0</v>
      </c>
      <c r="I261" s="169">
        <v>466237.0</v>
      </c>
      <c r="J261" s="169">
        <v>0.0</v>
      </c>
      <c r="K261" s="169">
        <v>37.0</v>
      </c>
      <c r="L261" s="169">
        <v>0.0</v>
      </c>
    </row>
    <row r="262" ht="14.25" customHeight="1">
      <c r="A262" s="169" t="s">
        <v>7357</v>
      </c>
      <c r="B262" s="169" t="s">
        <v>17014</v>
      </c>
      <c r="C262" s="169" t="s">
        <v>17038</v>
      </c>
      <c r="D262" s="169" t="str">
        <f>"788115523491"</f>
        <v>788115523491</v>
      </c>
      <c r="E262" s="169" t="str">
        <f>"IMA-BDS"</f>
        <v>IMA-BDS</v>
      </c>
      <c r="F262" s="169" t="s">
        <v>18811</v>
      </c>
      <c r="G262" s="169">
        <v>10.0</v>
      </c>
      <c r="H262" s="169">
        <v>6298.0</v>
      </c>
      <c r="I262" s="169">
        <v>62980.0</v>
      </c>
      <c r="J262" s="169">
        <v>0.0</v>
      </c>
      <c r="K262" s="169">
        <v>10.0</v>
      </c>
      <c r="L262" s="169">
        <v>0.0</v>
      </c>
    </row>
    <row r="263" ht="14.25" customHeight="1">
      <c r="A263" s="169" t="s">
        <v>7357</v>
      </c>
      <c r="B263" s="169" t="s">
        <v>17014</v>
      </c>
      <c r="C263" s="169" t="s">
        <v>17037</v>
      </c>
      <c r="D263" s="169" t="str">
        <f>"15888899248284"</f>
        <v>15888899248284</v>
      </c>
      <c r="E263" s="169" t="str">
        <f>"CLI-032"</f>
        <v>CLI-032</v>
      </c>
      <c r="F263" s="169" t="s">
        <v>18811</v>
      </c>
      <c r="G263" s="169">
        <v>3.0</v>
      </c>
      <c r="H263" s="169">
        <v>7559.0</v>
      </c>
      <c r="I263" s="169">
        <v>22677.0</v>
      </c>
      <c r="J263" s="169">
        <v>0.0</v>
      </c>
      <c r="K263" s="169">
        <v>3.0</v>
      </c>
      <c r="L263" s="169">
        <v>0.0</v>
      </c>
    </row>
    <row r="264" ht="14.25" customHeight="1">
      <c r="A264" s="169" t="s">
        <v>7357</v>
      </c>
      <c r="B264" s="169" t="s">
        <v>17014</v>
      </c>
      <c r="C264" s="169" t="s">
        <v>17036</v>
      </c>
      <c r="D264" s="169" t="str">
        <f t="shared" ref="D264:E264" si="171">"DOT-030"</f>
        <v>DOT-030</v>
      </c>
      <c r="E264" s="169" t="str">
        <f t="shared" si="171"/>
        <v>DOT-030</v>
      </c>
      <c r="F264" s="169" t="s">
        <v>18811</v>
      </c>
      <c r="G264" s="169">
        <v>32.0</v>
      </c>
      <c r="H264" s="169">
        <v>11029.3</v>
      </c>
      <c r="I264" s="169">
        <v>352936.0</v>
      </c>
      <c r="J264" s="169">
        <v>0.0</v>
      </c>
      <c r="K264" s="169">
        <v>32.0</v>
      </c>
      <c r="L264" s="169">
        <v>0.0</v>
      </c>
    </row>
    <row r="265" ht="14.25" customHeight="1">
      <c r="A265" s="169" t="s">
        <v>7357</v>
      </c>
      <c r="B265" s="169" t="s">
        <v>17014</v>
      </c>
      <c r="C265" s="169" t="s">
        <v>17035</v>
      </c>
      <c r="D265" s="169" t="str">
        <f t="shared" ref="D265:E265" si="172">"DOT-020"</f>
        <v>DOT-020</v>
      </c>
      <c r="E265" s="169" t="str">
        <f t="shared" si="172"/>
        <v>DOT-020</v>
      </c>
      <c r="F265" s="169" t="s">
        <v>18811</v>
      </c>
      <c r="G265" s="169">
        <v>7.0</v>
      </c>
      <c r="H265" s="169">
        <v>7018.0</v>
      </c>
      <c r="I265" s="169">
        <v>49126.0</v>
      </c>
      <c r="J265" s="169">
        <v>0.0</v>
      </c>
      <c r="K265" s="169">
        <v>7.0</v>
      </c>
      <c r="L265" s="169">
        <v>0.0</v>
      </c>
    </row>
    <row r="266" ht="14.25" customHeight="1">
      <c r="A266" s="169" t="s">
        <v>7357</v>
      </c>
      <c r="B266" s="169" t="s">
        <v>17014</v>
      </c>
      <c r="C266" s="169" t="s">
        <v>17034</v>
      </c>
      <c r="D266" s="169" t="str">
        <f t="shared" ref="D266:E266" si="173">"GRA-024"</f>
        <v>GRA-024</v>
      </c>
      <c r="E266" s="169" t="str">
        <f t="shared" si="173"/>
        <v>GRA-024</v>
      </c>
      <c r="F266" s="169" t="s">
        <v>18811</v>
      </c>
      <c r="G266" s="169">
        <v>29.0</v>
      </c>
      <c r="H266" s="169">
        <v>7559.0</v>
      </c>
      <c r="I266" s="169">
        <v>219211.0</v>
      </c>
      <c r="J266" s="169">
        <v>0.0</v>
      </c>
      <c r="K266" s="169">
        <v>29.0</v>
      </c>
      <c r="L266" s="169">
        <v>0.0</v>
      </c>
    </row>
    <row r="267" ht="14.25" customHeight="1">
      <c r="A267" s="169" t="s">
        <v>7357</v>
      </c>
      <c r="B267" s="169" t="s">
        <v>17014</v>
      </c>
      <c r="C267" s="169" t="s">
        <v>17033</v>
      </c>
      <c r="D267" s="169" t="str">
        <f>"659525527976"</f>
        <v>659525527976</v>
      </c>
      <c r="E267" s="169" t="str">
        <f>"IMA-ANI2"</f>
        <v>IMA-ANI2</v>
      </c>
      <c r="F267" s="169" t="s">
        <v>18811</v>
      </c>
      <c r="G267" s="169">
        <v>28.0</v>
      </c>
      <c r="H267" s="169">
        <v>8459.0</v>
      </c>
      <c r="I267" s="169">
        <v>236852.0</v>
      </c>
      <c r="J267" s="169">
        <v>0.0</v>
      </c>
      <c r="K267" s="169">
        <v>28.0</v>
      </c>
      <c r="L267" s="169">
        <v>0.0</v>
      </c>
    </row>
    <row r="268" ht="14.25" customHeight="1">
      <c r="A268" s="169" t="s">
        <v>7357</v>
      </c>
      <c r="B268" s="169" t="s">
        <v>17014</v>
      </c>
      <c r="C268" s="169" t="s">
        <v>17026</v>
      </c>
      <c r="D268" s="169" t="str">
        <f t="shared" ref="D268:E268" si="174">"IMA-050"</f>
        <v>IMA-050</v>
      </c>
      <c r="E268" s="169" t="str">
        <f t="shared" si="174"/>
        <v>IMA-050</v>
      </c>
      <c r="F268" s="169" t="s">
        <v>18811</v>
      </c>
      <c r="G268" s="169">
        <v>2.0</v>
      </c>
      <c r="H268" s="169">
        <v>25993.0</v>
      </c>
      <c r="I268" s="169">
        <v>51986.0</v>
      </c>
      <c r="J268" s="169">
        <v>0.0</v>
      </c>
      <c r="K268" s="169">
        <v>2.0</v>
      </c>
      <c r="L268" s="169">
        <v>1.0</v>
      </c>
    </row>
    <row r="269" ht="14.25" customHeight="1">
      <c r="A269" s="169" t="s">
        <v>7357</v>
      </c>
      <c r="B269" s="169" t="s">
        <v>17014</v>
      </c>
      <c r="C269" s="169" t="s">
        <v>17032</v>
      </c>
      <c r="D269" s="169" t="str">
        <f>"781718817110"</f>
        <v>781718817110</v>
      </c>
      <c r="E269" s="169" t="str">
        <f>"IMA-016"</f>
        <v>IMA-016</v>
      </c>
      <c r="F269" s="169" t="s">
        <v>18811</v>
      </c>
      <c r="G269" s="169">
        <v>246.0</v>
      </c>
      <c r="H269" s="169">
        <v>8062.0</v>
      </c>
      <c r="I269" s="169">
        <v>1983252.0</v>
      </c>
      <c r="J269" s="169">
        <v>0.0</v>
      </c>
      <c r="K269" s="169">
        <v>246.0</v>
      </c>
      <c r="L269" s="169">
        <v>0.0</v>
      </c>
    </row>
    <row r="270" ht="14.25" customHeight="1">
      <c r="A270" s="169" t="s">
        <v>7357</v>
      </c>
      <c r="B270" s="169" t="s">
        <v>17014</v>
      </c>
      <c r="C270" s="169" t="s">
        <v>7415</v>
      </c>
      <c r="D270" s="169" t="str">
        <f>"781159477959"</f>
        <v>781159477959</v>
      </c>
      <c r="E270" s="169" t="str">
        <f>"IMA-AC8"</f>
        <v>IMA-AC8</v>
      </c>
      <c r="F270" s="169" t="s">
        <v>18811</v>
      </c>
      <c r="G270" s="169">
        <v>7.0</v>
      </c>
      <c r="H270" s="169">
        <v>6910.0</v>
      </c>
      <c r="I270" s="169">
        <v>48370.0</v>
      </c>
      <c r="J270" s="169">
        <v>0.0</v>
      </c>
      <c r="K270" s="169">
        <v>7.0</v>
      </c>
      <c r="L270" s="169">
        <v>0.0</v>
      </c>
    </row>
    <row r="271" ht="14.25" customHeight="1">
      <c r="A271" s="169" t="s">
        <v>7357</v>
      </c>
      <c r="B271" s="169" t="s">
        <v>17014</v>
      </c>
      <c r="C271" s="169" t="s">
        <v>17031</v>
      </c>
      <c r="D271" s="169" t="str">
        <f t="shared" ref="D271:E271" si="175">"IMA-B01"</f>
        <v>IMA-B01</v>
      </c>
      <c r="E271" s="169" t="str">
        <f t="shared" si="175"/>
        <v>IMA-B01</v>
      </c>
      <c r="F271" s="169" t="s">
        <v>18811</v>
      </c>
      <c r="G271" s="169">
        <v>11.0</v>
      </c>
      <c r="H271" s="169">
        <v>6550.0</v>
      </c>
      <c r="I271" s="169">
        <v>72050.0</v>
      </c>
      <c r="J271" s="169">
        <v>0.0</v>
      </c>
      <c r="K271" s="169">
        <v>11.0</v>
      </c>
      <c r="L271" s="169">
        <v>0.0</v>
      </c>
    </row>
    <row r="272" ht="14.25" customHeight="1">
      <c r="A272" s="169" t="s">
        <v>7357</v>
      </c>
      <c r="B272" s="169" t="s">
        <v>17014</v>
      </c>
      <c r="C272" s="169" t="s">
        <v>7421</v>
      </c>
      <c r="D272" s="169" t="str">
        <f t="shared" ref="D272:E272" si="176">"IMA-CLR20"</f>
        <v>IMA-CLR20</v>
      </c>
      <c r="E272" s="169" t="str">
        <f t="shared" si="176"/>
        <v>IMA-CLR20</v>
      </c>
      <c r="F272" s="169" t="s">
        <v>18811</v>
      </c>
      <c r="G272" s="169">
        <v>18.0</v>
      </c>
      <c r="H272" s="169">
        <v>10500.0</v>
      </c>
      <c r="I272" s="169">
        <v>189000.0</v>
      </c>
      <c r="J272" s="169">
        <v>0.0</v>
      </c>
      <c r="K272" s="169">
        <v>18.0</v>
      </c>
      <c r="L272" s="169">
        <v>0.0</v>
      </c>
    </row>
    <row r="273" ht="14.25" customHeight="1">
      <c r="A273" s="169" t="s">
        <v>7357</v>
      </c>
      <c r="B273" s="169" t="s">
        <v>17014</v>
      </c>
      <c r="C273" s="169" t="s">
        <v>17030</v>
      </c>
      <c r="D273" s="169" t="str">
        <f t="shared" ref="D273:E273" si="177">"IMA-44"</f>
        <v>IMA-44</v>
      </c>
      <c r="E273" s="169" t="str">
        <f t="shared" si="177"/>
        <v>IMA-44</v>
      </c>
      <c r="F273" s="169" t="s">
        <v>18811</v>
      </c>
      <c r="G273" s="169">
        <v>8.0</v>
      </c>
      <c r="H273" s="169">
        <v>10500.0</v>
      </c>
      <c r="I273" s="169">
        <v>84000.0</v>
      </c>
      <c r="J273" s="169">
        <v>0.0</v>
      </c>
      <c r="K273" s="169">
        <v>8.0</v>
      </c>
      <c r="L273" s="169">
        <v>0.0</v>
      </c>
    </row>
    <row r="274" ht="14.25" customHeight="1">
      <c r="A274" s="169" t="s">
        <v>7357</v>
      </c>
      <c r="B274" s="169" t="s">
        <v>17014</v>
      </c>
      <c r="C274" s="169" t="s">
        <v>7426</v>
      </c>
      <c r="D274" s="169" t="str">
        <f t="shared" ref="D274:E274" si="178">"IMA-AC16"</f>
        <v>IMA-AC16</v>
      </c>
      <c r="E274" s="169" t="str">
        <f t="shared" si="178"/>
        <v>IMA-AC16</v>
      </c>
      <c r="F274" s="169" t="s">
        <v>18811</v>
      </c>
      <c r="G274" s="169">
        <v>5.0</v>
      </c>
      <c r="H274" s="169">
        <v>14465.8</v>
      </c>
      <c r="I274" s="169">
        <v>72329.0</v>
      </c>
      <c r="J274" s="169">
        <v>0.0</v>
      </c>
      <c r="K274" s="169">
        <v>5.0</v>
      </c>
      <c r="L274" s="169">
        <v>0.0</v>
      </c>
    </row>
    <row r="275" ht="14.25" customHeight="1">
      <c r="A275" s="169" t="s">
        <v>7357</v>
      </c>
      <c r="B275" s="169" t="s">
        <v>17014</v>
      </c>
      <c r="C275" s="169" t="s">
        <v>7428</v>
      </c>
      <c r="D275" s="169" t="str">
        <f>"659525528010"</f>
        <v>659525528010</v>
      </c>
      <c r="E275" s="169" t="str">
        <f>"IMA-F5C"</f>
        <v>IMA-F5C</v>
      </c>
      <c r="F275" s="169" t="s">
        <v>18811</v>
      </c>
      <c r="G275" s="169">
        <v>3.0</v>
      </c>
      <c r="H275" s="169">
        <v>6549.3</v>
      </c>
      <c r="I275" s="169">
        <v>19648.0</v>
      </c>
      <c r="J275" s="169">
        <v>0.0</v>
      </c>
      <c r="K275" s="169">
        <v>3.0</v>
      </c>
      <c r="L275" s="169">
        <v>0.0</v>
      </c>
    </row>
    <row r="276" ht="14.25" customHeight="1">
      <c r="A276" s="169" t="s">
        <v>7357</v>
      </c>
      <c r="B276" s="169" t="s">
        <v>17014</v>
      </c>
      <c r="C276" s="169" t="s">
        <v>7430</v>
      </c>
      <c r="D276" s="169" t="str">
        <f>"659525528027"</f>
        <v>659525528027</v>
      </c>
      <c r="E276" s="169" t="str">
        <f>"IMA-F5F"</f>
        <v>IMA-F5F</v>
      </c>
      <c r="F276" s="169" t="s">
        <v>18811</v>
      </c>
      <c r="G276" s="169">
        <v>11.0</v>
      </c>
      <c r="H276" s="169">
        <v>6550.0</v>
      </c>
      <c r="I276" s="169">
        <v>72050.0</v>
      </c>
      <c r="J276" s="169">
        <v>0.0</v>
      </c>
      <c r="K276" s="169">
        <v>11.0</v>
      </c>
      <c r="L276" s="169">
        <v>0.0</v>
      </c>
    </row>
    <row r="277" ht="14.25" customHeight="1">
      <c r="A277" s="169" t="s">
        <v>7357</v>
      </c>
      <c r="B277" s="169" t="s">
        <v>17014</v>
      </c>
      <c r="C277" s="169" t="s">
        <v>17029</v>
      </c>
      <c r="D277" s="169" t="str">
        <f t="shared" ref="D277:E277" si="179">"IMA-GLI"</f>
        <v>IMA-GLI</v>
      </c>
      <c r="E277" s="169" t="str">
        <f t="shared" si="179"/>
        <v>IMA-GLI</v>
      </c>
      <c r="F277" s="169" t="s">
        <v>18811</v>
      </c>
      <c r="G277" s="169">
        <v>6.0</v>
      </c>
      <c r="H277" s="169">
        <v>7558.0</v>
      </c>
      <c r="I277" s="169">
        <v>45348.0</v>
      </c>
      <c r="J277" s="169">
        <v>0.0</v>
      </c>
      <c r="K277" s="169">
        <v>6.0</v>
      </c>
      <c r="L277" s="169">
        <v>0.0</v>
      </c>
    </row>
    <row r="278" ht="14.25" customHeight="1">
      <c r="A278" s="169" t="s">
        <v>7357</v>
      </c>
      <c r="B278" s="169" t="s">
        <v>17014</v>
      </c>
      <c r="C278" s="169" t="s">
        <v>17028</v>
      </c>
      <c r="D278" s="169" t="str">
        <f t="shared" ref="D278:E278" si="180">"IMA-GID"</f>
        <v>IMA-GID</v>
      </c>
      <c r="E278" s="169" t="str">
        <f t="shared" si="180"/>
        <v>IMA-GID</v>
      </c>
      <c r="F278" s="169" t="s">
        <v>18811</v>
      </c>
      <c r="G278" s="169">
        <v>16.0</v>
      </c>
      <c r="H278" s="169">
        <v>9765.1</v>
      </c>
      <c r="I278" s="169">
        <v>156241.0</v>
      </c>
      <c r="J278" s="169">
        <v>0.0</v>
      </c>
      <c r="K278" s="169">
        <v>16.0</v>
      </c>
      <c r="L278" s="169">
        <v>0.0</v>
      </c>
    </row>
    <row r="279" ht="14.25" customHeight="1">
      <c r="A279" s="169" t="s">
        <v>7357</v>
      </c>
      <c r="B279" s="169" t="s">
        <v>17014</v>
      </c>
      <c r="C279" s="169" t="s">
        <v>7467</v>
      </c>
      <c r="D279" s="169" t="str">
        <f t="shared" ref="D279:E279" si="181">"IMA-032"</f>
        <v>IMA-032</v>
      </c>
      <c r="E279" s="169" t="str">
        <f t="shared" si="181"/>
        <v>IMA-032</v>
      </c>
      <c r="F279" s="169" t="s">
        <v>18811</v>
      </c>
      <c r="G279" s="169">
        <v>28.0</v>
      </c>
      <c r="H279" s="169">
        <v>13861.0</v>
      </c>
      <c r="I279" s="169">
        <v>388108.0</v>
      </c>
      <c r="J279" s="169">
        <v>1.0</v>
      </c>
      <c r="K279" s="169">
        <v>27.0</v>
      </c>
      <c r="L279" s="169">
        <v>0.0</v>
      </c>
    </row>
    <row r="280" ht="14.25" customHeight="1">
      <c r="A280" s="169" t="s">
        <v>7357</v>
      </c>
      <c r="B280" s="169" t="s">
        <v>17014</v>
      </c>
      <c r="C280" s="169" t="s">
        <v>7475</v>
      </c>
      <c r="D280" s="169" t="str">
        <f t="shared" ref="D280:E280" si="182">"IMA-060"</f>
        <v>IMA-060</v>
      </c>
      <c r="E280" s="169" t="str">
        <f t="shared" si="182"/>
        <v>IMA-060</v>
      </c>
      <c r="F280" s="169" t="s">
        <v>18811</v>
      </c>
      <c r="G280" s="169">
        <v>98.0</v>
      </c>
      <c r="H280" s="169">
        <v>23058.3</v>
      </c>
      <c r="I280" s="169">
        <v>2259717.0</v>
      </c>
      <c r="J280" s="169">
        <v>0.0</v>
      </c>
      <c r="K280" s="169">
        <v>98.0</v>
      </c>
      <c r="L280" s="169">
        <v>0.0</v>
      </c>
    </row>
    <row r="281" ht="14.25" customHeight="1">
      <c r="A281" s="169" t="s">
        <v>7357</v>
      </c>
      <c r="B281" s="169" t="s">
        <v>17014</v>
      </c>
      <c r="C281" s="169" t="s">
        <v>17027</v>
      </c>
      <c r="D281" s="169" t="str">
        <f t="shared" ref="D281:E281" si="183">"IMA-PISTA"</f>
        <v>IMA-PISTA</v>
      </c>
      <c r="E281" s="169" t="str">
        <f t="shared" si="183"/>
        <v>IMA-PISTA</v>
      </c>
      <c r="F281" s="169" t="s">
        <v>18811</v>
      </c>
      <c r="G281" s="169">
        <v>13.0</v>
      </c>
      <c r="H281" s="169">
        <v>49445.5</v>
      </c>
      <c r="I281" s="169">
        <v>642791.0</v>
      </c>
      <c r="J281" s="169">
        <v>0.0</v>
      </c>
      <c r="K281" s="169">
        <v>13.0</v>
      </c>
      <c r="L281" s="169">
        <v>0.0</v>
      </c>
    </row>
    <row r="282" ht="14.25" customHeight="1">
      <c r="A282" s="169" t="s">
        <v>7357</v>
      </c>
      <c r="B282" s="169" t="s">
        <v>17014</v>
      </c>
      <c r="C282" s="169" t="s">
        <v>7370</v>
      </c>
      <c r="D282" s="169" t="str">
        <f t="shared" ref="D282:E282" si="184">"IMA-PI50"</f>
        <v>IMA-PI50</v>
      </c>
      <c r="E282" s="169" t="str">
        <f t="shared" si="184"/>
        <v>IMA-PI50</v>
      </c>
      <c r="F282" s="169" t="s">
        <v>18811</v>
      </c>
      <c r="G282" s="169">
        <v>28.0</v>
      </c>
      <c r="H282" s="169">
        <v>31792.8</v>
      </c>
      <c r="I282" s="169">
        <v>890198.0</v>
      </c>
      <c r="J282" s="169">
        <v>1.0</v>
      </c>
      <c r="K282" s="169">
        <v>27.0</v>
      </c>
      <c r="L282" s="169">
        <v>0.0</v>
      </c>
    </row>
    <row r="283" ht="14.25" customHeight="1">
      <c r="A283" s="169" t="s">
        <v>7357</v>
      </c>
      <c r="B283" s="169" t="s">
        <v>17014</v>
      </c>
      <c r="C283" s="169" t="s">
        <v>7495</v>
      </c>
      <c r="D283" s="169" t="str">
        <f t="shared" ref="D283:E283" si="185">"IMA-A02"</f>
        <v>IMA-A02</v>
      </c>
      <c r="E283" s="169" t="str">
        <f t="shared" si="185"/>
        <v>IMA-A02</v>
      </c>
      <c r="F283" s="169" t="s">
        <v>18811</v>
      </c>
      <c r="G283" s="169">
        <v>9.0</v>
      </c>
      <c r="H283" s="169">
        <v>5037.0</v>
      </c>
      <c r="I283" s="169">
        <v>45333.0</v>
      </c>
      <c r="J283" s="169">
        <v>0.0</v>
      </c>
      <c r="K283" s="169">
        <v>9.0</v>
      </c>
      <c r="L283" s="169">
        <v>0.0</v>
      </c>
    </row>
    <row r="284" ht="14.25" customHeight="1">
      <c r="A284" s="169" t="s">
        <v>7357</v>
      </c>
      <c r="B284" s="169" t="s">
        <v>17014</v>
      </c>
      <c r="C284" s="169" t="s">
        <v>7498</v>
      </c>
      <c r="D284" s="169" t="str">
        <f t="shared" ref="D284:E284" si="186">"IMA-CG5"</f>
        <v>IMA-CG5</v>
      </c>
      <c r="E284" s="169" t="str">
        <f t="shared" si="186"/>
        <v>IMA-CG5</v>
      </c>
      <c r="F284" s="169" t="s">
        <v>18811</v>
      </c>
      <c r="G284" s="169">
        <v>17.0</v>
      </c>
      <c r="H284" s="169">
        <v>7335.6</v>
      </c>
      <c r="I284" s="169">
        <v>124706.0</v>
      </c>
      <c r="J284" s="169">
        <v>0.0</v>
      </c>
      <c r="K284" s="169">
        <v>17.0</v>
      </c>
      <c r="L284" s="169">
        <v>0.0</v>
      </c>
    </row>
    <row r="285" ht="14.25" customHeight="1">
      <c r="A285" s="169" t="s">
        <v>7357</v>
      </c>
      <c r="B285" s="169" t="s">
        <v>17014</v>
      </c>
      <c r="C285" s="169" t="s">
        <v>17025</v>
      </c>
      <c r="D285" s="169" t="str">
        <f t="shared" ref="D285:E285" si="187">"IMA-TOBO"</f>
        <v>IMA-TOBO</v>
      </c>
      <c r="E285" s="169" t="str">
        <f t="shared" si="187"/>
        <v>IMA-TOBO</v>
      </c>
      <c r="F285" s="169" t="s">
        <v>18811</v>
      </c>
      <c r="G285" s="169">
        <v>52.0</v>
      </c>
      <c r="H285" s="169">
        <v>37681.0</v>
      </c>
      <c r="I285" s="169">
        <v>1959411.0</v>
      </c>
      <c r="J285" s="169">
        <v>0.0</v>
      </c>
      <c r="K285" s="169">
        <v>52.0</v>
      </c>
      <c r="L285" s="169">
        <v>0.0</v>
      </c>
    </row>
    <row r="286" ht="14.25" customHeight="1">
      <c r="A286" s="169" t="s">
        <v>7357</v>
      </c>
      <c r="B286" s="169" t="s">
        <v>17014</v>
      </c>
      <c r="C286" s="169" t="s">
        <v>7510</v>
      </c>
      <c r="D286" s="169" t="str">
        <f t="shared" ref="D286:E286" si="188">"IMA-TOBO70"</f>
        <v>IMA-TOBO70</v>
      </c>
      <c r="E286" s="169" t="str">
        <f t="shared" si="188"/>
        <v>IMA-TOBO70</v>
      </c>
      <c r="F286" s="169" t="s">
        <v>18811</v>
      </c>
      <c r="G286" s="169">
        <v>53.0</v>
      </c>
      <c r="H286" s="169">
        <v>20965.8</v>
      </c>
      <c r="I286" s="169">
        <v>1111188.0</v>
      </c>
      <c r="J286" s="169">
        <v>0.0</v>
      </c>
      <c r="K286" s="169">
        <v>53.0</v>
      </c>
      <c r="L286" s="169">
        <v>0.0</v>
      </c>
    </row>
    <row r="287" ht="14.25" customHeight="1">
      <c r="A287" s="169" t="s">
        <v>7357</v>
      </c>
      <c r="B287" s="169" t="s">
        <v>17014</v>
      </c>
      <c r="C287" s="169" t="s">
        <v>7512</v>
      </c>
      <c r="D287" s="169" t="str">
        <f t="shared" ref="D287:E287" si="189">"PAD-DLMM"</f>
        <v>PAD-DLMM</v>
      </c>
      <c r="E287" s="169" t="str">
        <f t="shared" si="189"/>
        <v>PAD-DLMM</v>
      </c>
      <c r="F287" s="169" t="s">
        <v>18811</v>
      </c>
      <c r="G287" s="169">
        <v>2.0</v>
      </c>
      <c r="H287" s="169">
        <v>9660.0</v>
      </c>
      <c r="I287" s="169">
        <v>19320.0</v>
      </c>
      <c r="J287" s="169">
        <v>0.0</v>
      </c>
      <c r="K287" s="169">
        <v>2.0</v>
      </c>
      <c r="L287" s="169">
        <v>0.0</v>
      </c>
    </row>
    <row r="288" ht="14.25" customHeight="1">
      <c r="A288" s="169" t="s">
        <v>7357</v>
      </c>
      <c r="B288" s="169" t="s">
        <v>17014</v>
      </c>
      <c r="C288" s="169" t="s">
        <v>7513</v>
      </c>
      <c r="D288" s="169" t="str">
        <f t="shared" ref="D288:E288" si="190">"PAD-DLN"</f>
        <v>PAD-DLN</v>
      </c>
      <c r="E288" s="169" t="str">
        <f t="shared" si="190"/>
        <v>PAD-DLN</v>
      </c>
      <c r="F288" s="169" t="s">
        <v>18811</v>
      </c>
      <c r="G288" s="169">
        <v>7.0</v>
      </c>
      <c r="H288" s="169">
        <v>9660.0</v>
      </c>
      <c r="I288" s="169">
        <v>67620.0</v>
      </c>
      <c r="J288" s="169">
        <v>0.0</v>
      </c>
      <c r="K288" s="169">
        <v>7.0</v>
      </c>
      <c r="L288" s="169">
        <v>0.0</v>
      </c>
    </row>
    <row r="289" ht="14.25" customHeight="1">
      <c r="A289" s="169" t="s">
        <v>7357</v>
      </c>
      <c r="B289" s="169" t="s">
        <v>17014</v>
      </c>
      <c r="C289" s="169" t="s">
        <v>17024</v>
      </c>
      <c r="D289" s="169" t="str">
        <f>"781159926891"</f>
        <v>781159926891</v>
      </c>
      <c r="E289" s="169" t="str">
        <f>"PAD-002NE"</f>
        <v>PAD-002NE</v>
      </c>
      <c r="F289" s="169" t="s">
        <v>18811</v>
      </c>
      <c r="G289" s="169">
        <v>2.0</v>
      </c>
      <c r="H289" s="169">
        <v>3777.0</v>
      </c>
      <c r="I289" s="169">
        <v>7554.0</v>
      </c>
      <c r="J289" s="169">
        <v>0.0</v>
      </c>
      <c r="K289" s="169">
        <v>2.0</v>
      </c>
      <c r="L289" s="169">
        <v>0.0</v>
      </c>
    </row>
    <row r="290" ht="14.25" customHeight="1">
      <c r="A290" s="169" t="s">
        <v>7357</v>
      </c>
      <c r="B290" s="169" t="s">
        <v>17014</v>
      </c>
      <c r="C290" s="169" t="s">
        <v>17023</v>
      </c>
      <c r="D290" s="169" t="str">
        <f>"781159926907"</f>
        <v>781159926907</v>
      </c>
      <c r="E290" s="169" t="str">
        <f>"PAD-002ROJ"</f>
        <v>PAD-002ROJ</v>
      </c>
      <c r="F290" s="169" t="s">
        <v>18811</v>
      </c>
      <c r="G290" s="169">
        <v>14.0</v>
      </c>
      <c r="H290" s="169">
        <v>4947.0</v>
      </c>
      <c r="I290" s="169">
        <v>69258.0</v>
      </c>
      <c r="J290" s="169">
        <v>0.0</v>
      </c>
      <c r="K290" s="169">
        <v>14.0</v>
      </c>
      <c r="L290" s="169">
        <v>0.0</v>
      </c>
    </row>
    <row r="291" ht="14.25" customHeight="1">
      <c r="A291" s="169" t="s">
        <v>7357</v>
      </c>
      <c r="B291" s="169" t="s">
        <v>17014</v>
      </c>
      <c r="C291" s="169" t="s">
        <v>17022</v>
      </c>
      <c r="D291" s="169" t="str">
        <f t="shared" ref="D291:E291" si="191">"PAD-001NE"</f>
        <v>PAD-001NE</v>
      </c>
      <c r="E291" s="169" t="str">
        <f t="shared" si="191"/>
        <v>PAD-001NE</v>
      </c>
      <c r="F291" s="169" t="s">
        <v>18811</v>
      </c>
      <c r="G291" s="169">
        <v>24.0</v>
      </c>
      <c r="H291" s="169">
        <v>6662.1</v>
      </c>
      <c r="I291" s="169">
        <v>159890.0</v>
      </c>
      <c r="J291" s="169">
        <v>0.0</v>
      </c>
      <c r="K291" s="169">
        <v>24.0</v>
      </c>
      <c r="L291" s="169">
        <v>0.0</v>
      </c>
    </row>
    <row r="292" ht="14.25" customHeight="1">
      <c r="A292" s="169" t="s">
        <v>7357</v>
      </c>
      <c r="B292" s="169" t="s">
        <v>17014</v>
      </c>
      <c r="C292" s="169" t="s">
        <v>17021</v>
      </c>
      <c r="D292" s="169" t="str">
        <f>"659525528102"</f>
        <v>659525528102</v>
      </c>
      <c r="E292" s="169" t="str">
        <f>"PAD-MANROJ"</f>
        <v>PAD-MANROJ</v>
      </c>
      <c r="F292" s="169" t="s">
        <v>18811</v>
      </c>
      <c r="G292" s="169">
        <v>14.0</v>
      </c>
      <c r="H292" s="169">
        <v>3524.0</v>
      </c>
      <c r="I292" s="169">
        <v>49336.0</v>
      </c>
      <c r="J292" s="169">
        <v>0.0</v>
      </c>
      <c r="K292" s="169">
        <v>14.0</v>
      </c>
      <c r="L292" s="169">
        <v>0.0</v>
      </c>
    </row>
    <row r="293" ht="14.25" customHeight="1">
      <c r="A293" s="169" t="s">
        <v>7357</v>
      </c>
      <c r="B293" s="169" t="s">
        <v>17014</v>
      </c>
      <c r="C293" s="169" t="s">
        <v>17020</v>
      </c>
      <c r="D293" s="169" t="str">
        <f t="shared" ref="D293:E293" si="192">"PAD-001RO"</f>
        <v>PAD-001RO</v>
      </c>
      <c r="E293" s="169" t="str">
        <f t="shared" si="192"/>
        <v>PAD-001RO</v>
      </c>
      <c r="F293" s="169" t="s">
        <v>18811</v>
      </c>
      <c r="G293" s="169">
        <v>42.0</v>
      </c>
      <c r="H293" s="169">
        <v>6878.0</v>
      </c>
      <c r="I293" s="169">
        <v>288876.0</v>
      </c>
      <c r="J293" s="169">
        <v>0.0</v>
      </c>
      <c r="K293" s="169">
        <v>42.0</v>
      </c>
      <c r="L293" s="169">
        <v>0.0</v>
      </c>
    </row>
    <row r="294" ht="14.25" customHeight="1">
      <c r="A294" s="169" t="s">
        <v>7357</v>
      </c>
      <c r="B294" s="169" t="s">
        <v>17014</v>
      </c>
      <c r="C294" s="169" t="s">
        <v>7537</v>
      </c>
      <c r="D294" s="169" t="str">
        <f t="shared" ref="D294:E294" si="193">"MAG-01"</f>
        <v>MAG-01</v>
      </c>
      <c r="E294" s="169" t="str">
        <f t="shared" si="193"/>
        <v>MAG-01</v>
      </c>
      <c r="F294" s="169" t="s">
        <v>18811</v>
      </c>
      <c r="G294" s="169">
        <v>146.0</v>
      </c>
      <c r="H294" s="169">
        <v>1676.0</v>
      </c>
      <c r="I294" s="169">
        <v>244696.0</v>
      </c>
      <c r="J294" s="169">
        <v>0.0</v>
      </c>
      <c r="K294" s="169">
        <v>146.0</v>
      </c>
      <c r="L294" s="169">
        <v>0.0</v>
      </c>
    </row>
    <row r="295" ht="14.25" customHeight="1">
      <c r="A295" s="169" t="s">
        <v>7357</v>
      </c>
      <c r="B295" s="169" t="s">
        <v>17014</v>
      </c>
      <c r="C295" s="169" t="s">
        <v>17019</v>
      </c>
      <c r="D295" s="169" t="str">
        <f>"15888919706352"</f>
        <v>15888919706352</v>
      </c>
      <c r="E295" s="169" t="str">
        <f>"PAD-PKTNE"</f>
        <v>PAD-PKTNE</v>
      </c>
      <c r="F295" s="169" t="s">
        <v>18811</v>
      </c>
      <c r="G295" s="169">
        <v>15.0</v>
      </c>
      <c r="H295" s="169">
        <v>2097.0</v>
      </c>
      <c r="I295" s="169">
        <v>31455.0</v>
      </c>
      <c r="J295" s="169">
        <v>0.0</v>
      </c>
      <c r="K295" s="169">
        <v>15.0</v>
      </c>
      <c r="L295" s="169">
        <v>0.0</v>
      </c>
    </row>
    <row r="296" ht="14.25" customHeight="1">
      <c r="A296" s="169" t="s">
        <v>7357</v>
      </c>
      <c r="B296" s="169" t="s">
        <v>17014</v>
      </c>
      <c r="C296" s="169" t="s">
        <v>17018</v>
      </c>
      <c r="D296" s="169" t="str">
        <f>"15888919706971"</f>
        <v>15888919706971</v>
      </c>
      <c r="E296" s="169" t="str">
        <f>"PAD-PKTROJ"</f>
        <v>PAD-PKTROJ</v>
      </c>
      <c r="F296" s="169" t="s">
        <v>18811</v>
      </c>
      <c r="G296" s="169">
        <v>17.0</v>
      </c>
      <c r="H296" s="169">
        <v>2516.0</v>
      </c>
      <c r="I296" s="169">
        <v>42772.0</v>
      </c>
      <c r="J296" s="169">
        <v>0.0</v>
      </c>
      <c r="K296" s="169">
        <v>17.0</v>
      </c>
      <c r="L296" s="169">
        <v>0.0</v>
      </c>
    </row>
    <row r="297" ht="14.25" customHeight="1">
      <c r="A297" s="169" t="s">
        <v>7357</v>
      </c>
      <c r="B297" s="169" t="s">
        <v>17014</v>
      </c>
      <c r="C297" s="169" t="s">
        <v>17017</v>
      </c>
      <c r="D297" s="169" t="str">
        <f>"781159926679"</f>
        <v>781159926679</v>
      </c>
      <c r="E297" s="169" t="str">
        <f>"RAM-34"</f>
        <v>RAM-34</v>
      </c>
      <c r="F297" s="169" t="s">
        <v>18811</v>
      </c>
      <c r="G297" s="169">
        <v>5.0</v>
      </c>
      <c r="H297" s="169">
        <v>9323.0</v>
      </c>
      <c r="I297" s="169">
        <v>46615.0</v>
      </c>
      <c r="J297" s="169">
        <v>0.0</v>
      </c>
      <c r="K297" s="169">
        <v>5.0</v>
      </c>
      <c r="L297" s="169">
        <v>0.0</v>
      </c>
    </row>
    <row r="298" ht="14.25" customHeight="1">
      <c r="A298" s="169" t="s">
        <v>7357</v>
      </c>
      <c r="B298" s="169" t="s">
        <v>17014</v>
      </c>
      <c r="C298" s="169" t="s">
        <v>17016</v>
      </c>
      <c r="D298" s="169" t="str">
        <f>"781159926662"</f>
        <v>781159926662</v>
      </c>
      <c r="E298" s="169" t="str">
        <f>"RAM-66"</f>
        <v>RAM-66</v>
      </c>
      <c r="F298" s="169" t="s">
        <v>18811</v>
      </c>
      <c r="G298" s="169">
        <v>6.0</v>
      </c>
      <c r="H298" s="169">
        <v>16129.0</v>
      </c>
      <c r="I298" s="169">
        <v>96774.0</v>
      </c>
      <c r="J298" s="169">
        <v>0.0</v>
      </c>
      <c r="K298" s="169">
        <v>6.0</v>
      </c>
      <c r="L298" s="169">
        <v>0.0</v>
      </c>
    </row>
    <row r="299" ht="14.25" customHeight="1">
      <c r="A299" s="169" t="s">
        <v>7357</v>
      </c>
      <c r="B299" s="169" t="s">
        <v>17014</v>
      </c>
      <c r="C299" s="169" t="s">
        <v>17015</v>
      </c>
      <c r="D299" s="169" t="str">
        <f t="shared" ref="D299:E299" si="194">"PAD-L02"</f>
        <v>PAD-L02</v>
      </c>
      <c r="E299" s="169" t="str">
        <f t="shared" si="194"/>
        <v>PAD-L02</v>
      </c>
      <c r="F299" s="169" t="s">
        <v>18811</v>
      </c>
      <c r="G299" s="169">
        <v>28.0</v>
      </c>
      <c r="H299" s="169">
        <v>1508.0</v>
      </c>
      <c r="I299" s="169">
        <v>42224.0</v>
      </c>
      <c r="J299" s="169">
        <v>0.0</v>
      </c>
      <c r="K299" s="169">
        <v>28.0</v>
      </c>
      <c r="L299" s="169">
        <v>0.0</v>
      </c>
    </row>
    <row r="300" ht="14.25" customHeight="1">
      <c r="A300" s="169" t="s">
        <v>18813</v>
      </c>
      <c r="B300" s="169" t="s">
        <v>17920</v>
      </c>
      <c r="C300" s="169" t="s">
        <v>18013</v>
      </c>
      <c r="D300" s="169" t="str">
        <f t="shared" ref="D300:E300" si="195">"6902221289452"</f>
        <v>6902221289452</v>
      </c>
      <c r="E300" s="169" t="str">
        <f t="shared" si="195"/>
        <v>6902221289452</v>
      </c>
      <c r="F300" s="169" t="s">
        <v>18811</v>
      </c>
      <c r="G300" s="169">
        <v>2.0</v>
      </c>
      <c r="H300" s="169">
        <v>10236.0</v>
      </c>
      <c r="I300" s="169">
        <v>20472.0</v>
      </c>
      <c r="J300" s="169">
        <v>2.0</v>
      </c>
      <c r="K300" s="169">
        <v>0.0</v>
      </c>
      <c r="L300" s="169">
        <v>0.0</v>
      </c>
    </row>
    <row r="301" ht="14.25" customHeight="1">
      <c r="A301" s="169" t="s">
        <v>18813</v>
      </c>
      <c r="B301" s="169" t="s">
        <v>17920</v>
      </c>
      <c r="C301" s="169" t="s">
        <v>18011</v>
      </c>
      <c r="D301" s="169" t="str">
        <f t="shared" ref="D301:E301" si="196">"6902221381835"</f>
        <v>6902221381835</v>
      </c>
      <c r="E301" s="169" t="str">
        <f t="shared" si="196"/>
        <v>6902221381835</v>
      </c>
      <c r="F301" s="169" t="s">
        <v>18811</v>
      </c>
      <c r="G301" s="169">
        <v>2.0</v>
      </c>
      <c r="H301" s="169">
        <v>10919.0</v>
      </c>
      <c r="I301" s="169">
        <v>21838.0</v>
      </c>
      <c r="J301" s="169">
        <v>0.0</v>
      </c>
      <c r="K301" s="169">
        <v>2.0</v>
      </c>
      <c r="L301" s="169">
        <v>0.0</v>
      </c>
    </row>
    <row r="302" ht="14.25" customHeight="1">
      <c r="A302" s="169" t="s">
        <v>18813</v>
      </c>
      <c r="B302" s="169" t="s">
        <v>17920</v>
      </c>
      <c r="C302" s="169" t="s">
        <v>8390</v>
      </c>
      <c r="D302" s="169" t="str">
        <f t="shared" ref="D302:E302" si="197">"22130608780"</f>
        <v>22130608780</v>
      </c>
      <c r="E302" s="169" t="str">
        <f t="shared" si="197"/>
        <v>22130608780</v>
      </c>
      <c r="F302" s="169" t="s">
        <v>18811</v>
      </c>
      <c r="G302" s="169">
        <v>1.0</v>
      </c>
      <c r="H302" s="169">
        <v>9280.0</v>
      </c>
      <c r="I302" s="169">
        <v>9280.0</v>
      </c>
      <c r="J302" s="169">
        <v>1.0</v>
      </c>
      <c r="K302" s="169">
        <v>0.0</v>
      </c>
      <c r="L302" s="169">
        <v>0.0</v>
      </c>
    </row>
    <row r="303" ht="14.25" customHeight="1">
      <c r="A303" s="169" t="s">
        <v>18813</v>
      </c>
      <c r="B303" s="169" t="s">
        <v>17920</v>
      </c>
      <c r="C303" s="169" t="s">
        <v>18008</v>
      </c>
      <c r="D303" s="169" t="str">
        <f t="shared" ref="D303:E303" si="198">"6902221323545"</f>
        <v>6902221323545</v>
      </c>
      <c r="E303" s="169" t="str">
        <f t="shared" si="198"/>
        <v>6902221323545</v>
      </c>
      <c r="F303" s="169" t="s">
        <v>18811</v>
      </c>
      <c r="G303" s="169">
        <v>3.0</v>
      </c>
      <c r="H303" s="169">
        <v>2516.0</v>
      </c>
      <c r="I303" s="169">
        <v>7548.0</v>
      </c>
      <c r="J303" s="169">
        <v>0.0</v>
      </c>
      <c r="K303" s="169">
        <v>3.0</v>
      </c>
      <c r="L303" s="169">
        <v>0.0</v>
      </c>
    </row>
    <row r="304" ht="14.25" customHeight="1">
      <c r="A304" s="169" t="s">
        <v>18813</v>
      </c>
      <c r="B304" s="169" t="s">
        <v>17920</v>
      </c>
      <c r="C304" s="169" t="s">
        <v>18006</v>
      </c>
      <c r="D304" s="169" t="str">
        <f t="shared" ref="D304:E304" si="199">"6902221323552"</f>
        <v>6902221323552</v>
      </c>
      <c r="E304" s="169" t="str">
        <f t="shared" si="199"/>
        <v>6902221323552</v>
      </c>
      <c r="F304" s="169" t="s">
        <v>18811</v>
      </c>
      <c r="G304" s="169">
        <v>8.0</v>
      </c>
      <c r="H304" s="169">
        <v>2516.0</v>
      </c>
      <c r="I304" s="169">
        <v>20128.0</v>
      </c>
      <c r="J304" s="169">
        <v>0.0</v>
      </c>
      <c r="K304" s="169">
        <v>8.0</v>
      </c>
      <c r="L304" s="169">
        <v>0.0</v>
      </c>
    </row>
    <row r="305" ht="14.25" customHeight="1">
      <c r="A305" s="169" t="s">
        <v>18813</v>
      </c>
      <c r="B305" s="169" t="s">
        <v>17920</v>
      </c>
      <c r="C305" s="169" t="s">
        <v>18004</v>
      </c>
      <c r="D305" s="169" t="str">
        <f t="shared" ref="D305:E305" si="200">"6902221324078"</f>
        <v>6902221324078</v>
      </c>
      <c r="E305" s="169" t="str">
        <f t="shared" si="200"/>
        <v>6902221324078</v>
      </c>
      <c r="F305" s="169" t="s">
        <v>18811</v>
      </c>
      <c r="G305" s="169">
        <v>14.0</v>
      </c>
      <c r="H305" s="169">
        <v>2516.0</v>
      </c>
      <c r="I305" s="169">
        <v>35224.0</v>
      </c>
      <c r="J305" s="169">
        <v>0.0</v>
      </c>
      <c r="K305" s="169">
        <v>14.0</v>
      </c>
      <c r="L305" s="169">
        <v>0.0</v>
      </c>
    </row>
    <row r="306" ht="14.25" customHeight="1">
      <c r="A306" s="169" t="s">
        <v>18813</v>
      </c>
      <c r="B306" s="169" t="s">
        <v>17920</v>
      </c>
      <c r="C306" s="169" t="s">
        <v>18002</v>
      </c>
      <c r="D306" s="169" t="str">
        <f t="shared" ref="D306:E306" si="201">"6902221390059"</f>
        <v>6902221390059</v>
      </c>
      <c r="E306" s="169" t="str">
        <f t="shared" si="201"/>
        <v>6902221390059</v>
      </c>
      <c r="F306" s="169" t="s">
        <v>18811</v>
      </c>
      <c r="G306" s="169">
        <v>1.0</v>
      </c>
      <c r="H306" s="169">
        <v>49154.0</v>
      </c>
      <c r="I306" s="169">
        <v>49154.0</v>
      </c>
      <c r="J306" s="169">
        <v>0.0</v>
      </c>
      <c r="K306" s="169">
        <v>1.0</v>
      </c>
      <c r="L306" s="169">
        <v>0.0</v>
      </c>
    </row>
    <row r="307" ht="14.25" customHeight="1">
      <c r="A307" s="169" t="s">
        <v>18813</v>
      </c>
      <c r="B307" s="169" t="s">
        <v>17920</v>
      </c>
      <c r="C307" s="169" t="s">
        <v>17994</v>
      </c>
      <c r="D307" s="169" t="str">
        <f>"1618355623582"</f>
        <v>1618355623582</v>
      </c>
      <c r="E307" s="169" t="str">
        <f>"6902221342553"</f>
        <v>6902221342553</v>
      </c>
      <c r="F307" s="169" t="s">
        <v>18811</v>
      </c>
      <c r="G307" s="169">
        <v>7.0</v>
      </c>
      <c r="H307" s="169">
        <v>6550.0</v>
      </c>
      <c r="I307" s="169">
        <v>45850.0</v>
      </c>
      <c r="J307" s="169">
        <v>0.0</v>
      </c>
      <c r="K307" s="169">
        <v>7.0</v>
      </c>
      <c r="L307" s="169">
        <v>0.0</v>
      </c>
    </row>
    <row r="308" ht="14.25" customHeight="1">
      <c r="A308" s="169" t="s">
        <v>18813</v>
      </c>
      <c r="B308" s="169" t="s">
        <v>17920</v>
      </c>
      <c r="C308" s="169" t="s">
        <v>18000</v>
      </c>
      <c r="D308" s="169" t="str">
        <f t="shared" ref="D308:E308" si="202">"6902221327284"</f>
        <v>6902221327284</v>
      </c>
      <c r="E308" s="169" t="str">
        <f t="shared" si="202"/>
        <v>6902221327284</v>
      </c>
      <c r="F308" s="169" t="s">
        <v>18811</v>
      </c>
      <c r="G308" s="169">
        <v>6.0</v>
      </c>
      <c r="H308" s="169">
        <v>6822.0</v>
      </c>
      <c r="I308" s="169">
        <v>40932.0</v>
      </c>
      <c r="J308" s="169">
        <v>0.0</v>
      </c>
      <c r="K308" s="169">
        <v>6.0</v>
      </c>
      <c r="L308" s="169">
        <v>0.0</v>
      </c>
    </row>
    <row r="309" ht="14.25" customHeight="1">
      <c r="A309" s="169" t="s">
        <v>18813</v>
      </c>
      <c r="B309" s="169" t="s">
        <v>17920</v>
      </c>
      <c r="C309" s="169" t="s">
        <v>17998</v>
      </c>
      <c r="D309" s="169" t="str">
        <f t="shared" ref="D309:E309" si="203">"6902221386519"</f>
        <v>6902221386519</v>
      </c>
      <c r="E309" s="169" t="str">
        <f t="shared" si="203"/>
        <v>6902221386519</v>
      </c>
      <c r="F309" s="169" t="s">
        <v>18811</v>
      </c>
      <c r="G309" s="169">
        <v>1.0</v>
      </c>
      <c r="H309" s="169">
        <v>13650.0</v>
      </c>
      <c r="I309" s="169">
        <v>13650.0</v>
      </c>
      <c r="J309" s="169">
        <v>0.0</v>
      </c>
      <c r="K309" s="169">
        <v>1.0</v>
      </c>
      <c r="L309" s="169">
        <v>0.0</v>
      </c>
    </row>
    <row r="310" ht="14.25" customHeight="1">
      <c r="A310" s="169" t="s">
        <v>18813</v>
      </c>
      <c r="B310" s="169" t="s">
        <v>17920</v>
      </c>
      <c r="C310" s="169" t="s">
        <v>17996</v>
      </c>
      <c r="D310" s="169" t="str">
        <f>"1618355664643"</f>
        <v>1618355664643</v>
      </c>
      <c r="E310" s="169" t="str">
        <f>"6902221342492"</f>
        <v>6902221342492</v>
      </c>
      <c r="F310" s="169" t="s">
        <v>18811</v>
      </c>
      <c r="G310" s="169">
        <v>6.0</v>
      </c>
      <c r="H310" s="169">
        <v>6550.0</v>
      </c>
      <c r="I310" s="169">
        <v>39300.0</v>
      </c>
      <c r="J310" s="169">
        <v>0.0</v>
      </c>
      <c r="K310" s="169">
        <v>6.0</v>
      </c>
      <c r="L310" s="169">
        <v>0.0</v>
      </c>
    </row>
    <row r="311" ht="14.25" customHeight="1">
      <c r="A311" s="169" t="s">
        <v>18813</v>
      </c>
      <c r="B311" s="169" t="s">
        <v>17920</v>
      </c>
      <c r="C311" s="169" t="s">
        <v>17992</v>
      </c>
      <c r="D311" s="169" t="str">
        <f t="shared" ref="D311:E311" si="204">"6902221322852"</f>
        <v>6902221322852</v>
      </c>
      <c r="E311" s="169" t="str">
        <f t="shared" si="204"/>
        <v>6902221322852</v>
      </c>
      <c r="F311" s="169" t="s">
        <v>18811</v>
      </c>
      <c r="G311" s="169">
        <v>16.0</v>
      </c>
      <c r="H311" s="169">
        <v>2516.0</v>
      </c>
      <c r="I311" s="169">
        <v>40256.0</v>
      </c>
      <c r="J311" s="169">
        <v>0.0</v>
      </c>
      <c r="K311" s="169">
        <v>16.0</v>
      </c>
      <c r="L311" s="169">
        <v>0.0</v>
      </c>
    </row>
    <row r="312" ht="14.25" customHeight="1">
      <c r="A312" s="169" t="s">
        <v>18813</v>
      </c>
      <c r="B312" s="169" t="s">
        <v>17920</v>
      </c>
      <c r="C312" s="169" t="s">
        <v>17990</v>
      </c>
      <c r="D312" s="169" t="str">
        <f t="shared" ref="D312:E312" si="205">"6902221322944"</f>
        <v>6902221322944</v>
      </c>
      <c r="E312" s="169" t="str">
        <f t="shared" si="205"/>
        <v>6902221322944</v>
      </c>
      <c r="F312" s="169" t="s">
        <v>18811</v>
      </c>
      <c r="G312" s="169">
        <v>27.0</v>
      </c>
      <c r="H312" s="169">
        <v>2516.0</v>
      </c>
      <c r="I312" s="169">
        <v>67932.0</v>
      </c>
      <c r="J312" s="169">
        <v>0.0</v>
      </c>
      <c r="K312" s="169">
        <v>27.0</v>
      </c>
      <c r="L312" s="169">
        <v>0.0</v>
      </c>
    </row>
    <row r="313" ht="14.25" customHeight="1">
      <c r="A313" s="169" t="s">
        <v>18813</v>
      </c>
      <c r="B313" s="169" t="s">
        <v>17920</v>
      </c>
      <c r="C313" s="169" t="s">
        <v>17988</v>
      </c>
      <c r="D313" s="169" t="str">
        <f t="shared" ref="D313:E313" si="206">"6902221322845"</f>
        <v>6902221322845</v>
      </c>
      <c r="E313" s="169" t="str">
        <f t="shared" si="206"/>
        <v>6902221322845</v>
      </c>
      <c r="F313" s="169" t="s">
        <v>18811</v>
      </c>
      <c r="G313" s="169">
        <v>3.0</v>
      </c>
      <c r="H313" s="169">
        <v>2516.0</v>
      </c>
      <c r="I313" s="169">
        <v>7548.0</v>
      </c>
      <c r="J313" s="169">
        <v>0.0</v>
      </c>
      <c r="K313" s="169">
        <v>3.0</v>
      </c>
      <c r="L313" s="169">
        <v>0.0</v>
      </c>
    </row>
    <row r="314" ht="14.25" customHeight="1">
      <c r="A314" s="169" t="s">
        <v>18813</v>
      </c>
      <c r="B314" s="169" t="s">
        <v>17920</v>
      </c>
      <c r="C314" s="169" t="s">
        <v>17986</v>
      </c>
      <c r="D314" s="169" t="str">
        <f>"69034213249412"</f>
        <v>69034213249412</v>
      </c>
      <c r="E314" s="169" t="str">
        <f>"6903421324912"</f>
        <v>6903421324912</v>
      </c>
      <c r="F314" s="169" t="s">
        <v>18811</v>
      </c>
      <c r="G314" s="169">
        <v>15.0</v>
      </c>
      <c r="H314" s="169">
        <v>2516.0</v>
      </c>
      <c r="I314" s="169">
        <v>37740.0</v>
      </c>
      <c r="J314" s="169">
        <v>0.0</v>
      </c>
      <c r="K314" s="169">
        <v>15.0</v>
      </c>
      <c r="L314" s="169">
        <v>0.0</v>
      </c>
    </row>
    <row r="315" ht="14.25" customHeight="1">
      <c r="A315" s="169" t="s">
        <v>18813</v>
      </c>
      <c r="B315" s="169" t="s">
        <v>17920</v>
      </c>
      <c r="C315" s="169" t="s">
        <v>17984</v>
      </c>
      <c r="D315" s="169" t="str">
        <f t="shared" ref="D315:E315" si="207">"6902221322814"</f>
        <v>6902221322814</v>
      </c>
      <c r="E315" s="169" t="str">
        <f t="shared" si="207"/>
        <v>6902221322814</v>
      </c>
      <c r="F315" s="169" t="s">
        <v>18811</v>
      </c>
      <c r="G315" s="169">
        <v>9.0</v>
      </c>
      <c r="H315" s="169">
        <v>2516.0</v>
      </c>
      <c r="I315" s="169">
        <v>22644.0</v>
      </c>
      <c r="J315" s="169">
        <v>0.0</v>
      </c>
      <c r="K315" s="169">
        <v>9.0</v>
      </c>
      <c r="L315" s="169">
        <v>0.0</v>
      </c>
    </row>
    <row r="316" ht="14.25" customHeight="1">
      <c r="A316" s="169" t="s">
        <v>18813</v>
      </c>
      <c r="B316" s="169" t="s">
        <v>17920</v>
      </c>
      <c r="C316" s="169" t="s">
        <v>17982</v>
      </c>
      <c r="D316" s="169" t="str">
        <f t="shared" ref="D316:E316" si="208">"6902221322937"</f>
        <v>6902221322937</v>
      </c>
      <c r="E316" s="169" t="str">
        <f t="shared" si="208"/>
        <v>6902221322937</v>
      </c>
      <c r="F316" s="169" t="s">
        <v>18811</v>
      </c>
      <c r="G316" s="169">
        <v>41.0</v>
      </c>
      <c r="H316" s="169">
        <v>2516.0</v>
      </c>
      <c r="I316" s="169">
        <v>103156.0</v>
      </c>
      <c r="J316" s="169">
        <v>0.0</v>
      </c>
      <c r="K316" s="169">
        <v>41.0</v>
      </c>
      <c r="L316" s="169">
        <v>0.0</v>
      </c>
    </row>
    <row r="317" ht="14.25" customHeight="1">
      <c r="A317" s="169" t="s">
        <v>18813</v>
      </c>
      <c r="B317" s="169" t="s">
        <v>17920</v>
      </c>
      <c r="C317" s="169" t="s">
        <v>17980</v>
      </c>
      <c r="D317" s="169" t="str">
        <f t="shared" ref="D317:E317" si="209">"6902221322838"</f>
        <v>6902221322838</v>
      </c>
      <c r="E317" s="169" t="str">
        <f t="shared" si="209"/>
        <v>6902221322838</v>
      </c>
      <c r="F317" s="169" t="s">
        <v>18811</v>
      </c>
      <c r="G317" s="169">
        <v>17.0</v>
      </c>
      <c r="H317" s="169">
        <v>2516.0</v>
      </c>
      <c r="I317" s="169">
        <v>42772.0</v>
      </c>
      <c r="J317" s="169">
        <v>0.0</v>
      </c>
      <c r="K317" s="169">
        <v>17.0</v>
      </c>
      <c r="L317" s="169">
        <v>0.0</v>
      </c>
    </row>
    <row r="318" ht="14.25" customHeight="1">
      <c r="A318" s="169" t="s">
        <v>18813</v>
      </c>
      <c r="B318" s="169" t="s">
        <v>17920</v>
      </c>
      <c r="C318" s="169" t="s">
        <v>17978</v>
      </c>
      <c r="D318" s="169" t="str">
        <f t="shared" ref="D318:E318" si="210">"6902221322883"</f>
        <v>6902221322883</v>
      </c>
      <c r="E318" s="169" t="str">
        <f t="shared" si="210"/>
        <v>6902221322883</v>
      </c>
      <c r="F318" s="169" t="s">
        <v>18811</v>
      </c>
      <c r="G318" s="169">
        <v>20.0</v>
      </c>
      <c r="H318" s="169">
        <v>2516.0</v>
      </c>
      <c r="I318" s="169">
        <v>50320.0</v>
      </c>
      <c r="J318" s="169">
        <v>0.0</v>
      </c>
      <c r="K318" s="169">
        <v>20.0</v>
      </c>
      <c r="L318" s="169">
        <v>0.0</v>
      </c>
    </row>
    <row r="319" ht="14.25" customHeight="1">
      <c r="A319" s="169" t="s">
        <v>18813</v>
      </c>
      <c r="B319" s="169" t="s">
        <v>17920</v>
      </c>
      <c r="C319" s="169" t="s">
        <v>17976</v>
      </c>
      <c r="D319" s="169" t="str">
        <f t="shared" ref="D319:E319" si="211">"6902221322319"</f>
        <v>6902221322319</v>
      </c>
      <c r="E319" s="169" t="str">
        <f t="shared" si="211"/>
        <v>6902221322319</v>
      </c>
      <c r="F319" s="169" t="s">
        <v>18811</v>
      </c>
      <c r="G319" s="169">
        <v>2.0</v>
      </c>
      <c r="H319" s="169">
        <v>14742.0</v>
      </c>
      <c r="I319" s="169">
        <v>29484.0</v>
      </c>
      <c r="J319" s="169">
        <v>0.0</v>
      </c>
      <c r="K319" s="169">
        <v>2.0</v>
      </c>
      <c r="L319" s="169">
        <v>0.0</v>
      </c>
    </row>
    <row r="320" ht="14.25" customHeight="1">
      <c r="A320" s="169" t="s">
        <v>18813</v>
      </c>
      <c r="B320" s="169" t="s">
        <v>17920</v>
      </c>
      <c r="C320" s="169" t="s">
        <v>17974</v>
      </c>
      <c r="D320" s="169" t="str">
        <f t="shared" ref="D320:E320" si="212">"6902221386274"</f>
        <v>6902221386274</v>
      </c>
      <c r="E320" s="169" t="str">
        <f t="shared" si="212"/>
        <v>6902221386274</v>
      </c>
      <c r="F320" s="169" t="s">
        <v>18811</v>
      </c>
      <c r="G320" s="169">
        <v>3.0</v>
      </c>
      <c r="H320" s="169">
        <v>10782.0</v>
      </c>
      <c r="I320" s="169">
        <v>32346.0</v>
      </c>
      <c r="J320" s="169">
        <v>0.0</v>
      </c>
      <c r="K320" s="169">
        <v>3.0</v>
      </c>
      <c r="L320" s="169">
        <v>0.0</v>
      </c>
    </row>
    <row r="321" ht="14.25" customHeight="1">
      <c r="A321" s="169" t="s">
        <v>18813</v>
      </c>
      <c r="B321" s="169" t="s">
        <v>17920</v>
      </c>
      <c r="C321" s="169" t="s">
        <v>17972</v>
      </c>
      <c r="D321" s="169" t="str">
        <f t="shared" ref="D321:E321" si="213">"22130608661"</f>
        <v>22130608661</v>
      </c>
      <c r="E321" s="169" t="str">
        <f t="shared" si="213"/>
        <v>22130608661</v>
      </c>
      <c r="F321" s="169" t="s">
        <v>18811</v>
      </c>
      <c r="G321" s="169">
        <v>6.0</v>
      </c>
      <c r="H321" s="169">
        <v>13556.8</v>
      </c>
      <c r="I321" s="169">
        <v>81341.0</v>
      </c>
      <c r="J321" s="169">
        <v>0.0</v>
      </c>
      <c r="K321" s="169">
        <v>6.0</v>
      </c>
      <c r="L321" s="169">
        <v>0.0</v>
      </c>
    </row>
    <row r="322" ht="14.25" customHeight="1">
      <c r="A322" s="169" t="s">
        <v>18813</v>
      </c>
      <c r="B322" s="169" t="s">
        <v>17920</v>
      </c>
      <c r="C322" s="169" t="s">
        <v>17970</v>
      </c>
      <c r="D322" s="169" t="str">
        <f t="shared" ref="D322:E322" si="214">"6902221386373"</f>
        <v>6902221386373</v>
      </c>
      <c r="E322" s="169" t="str">
        <f t="shared" si="214"/>
        <v>6902221386373</v>
      </c>
      <c r="F322" s="169" t="s">
        <v>18811</v>
      </c>
      <c r="G322" s="169">
        <v>8.0</v>
      </c>
      <c r="H322" s="169">
        <v>10919.0</v>
      </c>
      <c r="I322" s="169">
        <v>87352.0</v>
      </c>
      <c r="J322" s="169">
        <v>1.0</v>
      </c>
      <c r="K322" s="169">
        <v>7.0</v>
      </c>
      <c r="L322" s="169">
        <v>0.0</v>
      </c>
    </row>
    <row r="323" ht="14.25" customHeight="1">
      <c r="A323" s="169" t="s">
        <v>18813</v>
      </c>
      <c r="B323" s="169" t="s">
        <v>17920</v>
      </c>
      <c r="C323" s="169" t="s">
        <v>8845</v>
      </c>
      <c r="D323" s="169" t="str">
        <f t="shared" ref="D323:E323" si="215">"6902221316967"</f>
        <v>6902221316967</v>
      </c>
      <c r="E323" s="169" t="str">
        <f t="shared" si="215"/>
        <v>6902221316967</v>
      </c>
      <c r="F323" s="169" t="s">
        <v>18811</v>
      </c>
      <c r="G323" s="169">
        <v>24.0</v>
      </c>
      <c r="H323" s="169">
        <v>2516.0</v>
      </c>
      <c r="I323" s="169">
        <v>60384.0</v>
      </c>
      <c r="J323" s="169">
        <v>0.0</v>
      </c>
      <c r="K323" s="169">
        <v>24.0</v>
      </c>
      <c r="L323" s="169">
        <v>0.0</v>
      </c>
    </row>
    <row r="324" ht="14.25" customHeight="1">
      <c r="A324" s="169" t="s">
        <v>18813</v>
      </c>
      <c r="B324" s="169" t="s">
        <v>17920</v>
      </c>
      <c r="C324" s="169" t="s">
        <v>8846</v>
      </c>
      <c r="D324" s="169" t="str">
        <f t="shared" ref="D324:E324" si="216">"6902221317094"</f>
        <v>6902221317094</v>
      </c>
      <c r="E324" s="169" t="str">
        <f t="shared" si="216"/>
        <v>6902221317094</v>
      </c>
      <c r="F324" s="169" t="s">
        <v>18811</v>
      </c>
      <c r="G324" s="169">
        <v>4.0</v>
      </c>
      <c r="H324" s="169">
        <v>2516.0</v>
      </c>
      <c r="I324" s="169">
        <v>10064.0</v>
      </c>
      <c r="J324" s="169">
        <v>0.0</v>
      </c>
      <c r="K324" s="169">
        <v>4.0</v>
      </c>
      <c r="L324" s="169">
        <v>0.0</v>
      </c>
    </row>
    <row r="325" ht="14.25" customHeight="1">
      <c r="A325" s="169" t="s">
        <v>18813</v>
      </c>
      <c r="B325" s="169" t="s">
        <v>17920</v>
      </c>
      <c r="C325" s="169" t="s">
        <v>8848</v>
      </c>
      <c r="D325" s="169" t="str">
        <f t="shared" ref="D325:E325" si="217">"6902221319104"</f>
        <v>6902221319104</v>
      </c>
      <c r="E325" s="169" t="str">
        <f t="shared" si="217"/>
        <v>6902221319104</v>
      </c>
      <c r="F325" s="169" t="s">
        <v>18811</v>
      </c>
      <c r="G325" s="169">
        <v>6.0</v>
      </c>
      <c r="H325" s="169">
        <v>2516.0</v>
      </c>
      <c r="I325" s="169">
        <v>15096.0</v>
      </c>
      <c r="J325" s="169">
        <v>0.0</v>
      </c>
      <c r="K325" s="169">
        <v>6.0</v>
      </c>
      <c r="L325" s="169">
        <v>0.0</v>
      </c>
    </row>
    <row r="326" ht="14.25" customHeight="1">
      <c r="A326" s="169" t="s">
        <v>18813</v>
      </c>
      <c r="B326" s="169" t="s">
        <v>17920</v>
      </c>
      <c r="C326" s="169" t="s">
        <v>8849</v>
      </c>
      <c r="D326" s="169" t="str">
        <f t="shared" ref="D326:E326" si="218">"6902221319111"</f>
        <v>6902221319111</v>
      </c>
      <c r="E326" s="169" t="str">
        <f t="shared" si="218"/>
        <v>6902221319111</v>
      </c>
      <c r="F326" s="169" t="s">
        <v>18811</v>
      </c>
      <c r="G326" s="169">
        <v>8.0</v>
      </c>
      <c r="H326" s="169">
        <v>2516.0</v>
      </c>
      <c r="I326" s="169">
        <v>20128.0</v>
      </c>
      <c r="J326" s="169">
        <v>0.0</v>
      </c>
      <c r="K326" s="169">
        <v>8.0</v>
      </c>
      <c r="L326" s="169">
        <v>0.0</v>
      </c>
    </row>
    <row r="327" ht="14.25" customHeight="1">
      <c r="A327" s="169" t="s">
        <v>18813</v>
      </c>
      <c r="B327" s="169" t="s">
        <v>17920</v>
      </c>
      <c r="C327" s="169" t="s">
        <v>8850</v>
      </c>
      <c r="D327" s="169" t="str">
        <f t="shared" ref="D327:E327" si="219">"6902221342652"</f>
        <v>6902221342652</v>
      </c>
      <c r="E327" s="169" t="str">
        <f t="shared" si="219"/>
        <v>6902221342652</v>
      </c>
      <c r="F327" s="169" t="s">
        <v>18811</v>
      </c>
      <c r="G327" s="169">
        <v>8.0</v>
      </c>
      <c r="H327" s="169">
        <v>2516.0</v>
      </c>
      <c r="I327" s="169">
        <v>20128.0</v>
      </c>
      <c r="J327" s="169">
        <v>0.0</v>
      </c>
      <c r="K327" s="169">
        <v>8.0</v>
      </c>
      <c r="L327" s="169">
        <v>0.0</v>
      </c>
    </row>
    <row r="328" ht="14.25" customHeight="1">
      <c r="A328" s="169" t="s">
        <v>18813</v>
      </c>
      <c r="B328" s="169" t="s">
        <v>17920</v>
      </c>
      <c r="C328" s="169" t="s">
        <v>8853</v>
      </c>
      <c r="D328" s="169" t="str">
        <f t="shared" ref="D328:E328" si="220">"6902221341129"</f>
        <v>6902221341129</v>
      </c>
      <c r="E328" s="169" t="str">
        <f t="shared" si="220"/>
        <v>6902221341129</v>
      </c>
      <c r="F328" s="169" t="s">
        <v>18811</v>
      </c>
      <c r="G328" s="169">
        <v>11.0</v>
      </c>
      <c r="H328" s="169">
        <v>2516.0</v>
      </c>
      <c r="I328" s="169">
        <v>27676.0</v>
      </c>
      <c r="J328" s="169">
        <v>0.0</v>
      </c>
      <c r="K328" s="169">
        <v>11.0</v>
      </c>
      <c r="L328" s="169">
        <v>0.0</v>
      </c>
    </row>
    <row r="329" ht="14.25" customHeight="1">
      <c r="A329" s="169" t="s">
        <v>18813</v>
      </c>
      <c r="B329" s="169" t="s">
        <v>17920</v>
      </c>
      <c r="C329" s="169" t="s">
        <v>8854</v>
      </c>
      <c r="D329" s="169" t="str">
        <f t="shared" ref="D329:E329" si="221">"6902221342003"</f>
        <v>6902221342003</v>
      </c>
      <c r="E329" s="169" t="str">
        <f t="shared" si="221"/>
        <v>6902221342003</v>
      </c>
      <c r="F329" s="169" t="s">
        <v>18811</v>
      </c>
      <c r="G329" s="169">
        <v>7.0</v>
      </c>
      <c r="H329" s="169">
        <v>2516.0</v>
      </c>
      <c r="I329" s="169">
        <v>17612.0</v>
      </c>
      <c r="J329" s="169">
        <v>0.0</v>
      </c>
      <c r="K329" s="169">
        <v>7.0</v>
      </c>
      <c r="L329" s="169">
        <v>0.0</v>
      </c>
    </row>
    <row r="330" ht="14.25" customHeight="1">
      <c r="A330" s="169" t="s">
        <v>18813</v>
      </c>
      <c r="B330" s="169" t="s">
        <v>17920</v>
      </c>
      <c r="C330" s="169" t="s">
        <v>8855</v>
      </c>
      <c r="D330" s="169" t="str">
        <f t="shared" ref="D330:E330" si="222">"6902221341204"</f>
        <v>6902221341204</v>
      </c>
      <c r="E330" s="169" t="str">
        <f t="shared" si="222"/>
        <v>6902221341204</v>
      </c>
      <c r="F330" s="169" t="s">
        <v>18811</v>
      </c>
      <c r="G330" s="169">
        <v>9.0</v>
      </c>
      <c r="H330" s="169">
        <v>2516.0</v>
      </c>
      <c r="I330" s="169">
        <v>22644.0</v>
      </c>
      <c r="J330" s="169">
        <v>0.0</v>
      </c>
      <c r="K330" s="169">
        <v>9.0</v>
      </c>
      <c r="L330" s="169">
        <v>0.0</v>
      </c>
    </row>
    <row r="331" ht="14.25" customHeight="1">
      <c r="A331" s="169" t="s">
        <v>18813</v>
      </c>
      <c r="B331" s="169" t="s">
        <v>17920</v>
      </c>
      <c r="C331" s="169" t="s">
        <v>8856</v>
      </c>
      <c r="D331" s="169" t="str">
        <f t="shared" ref="D331:E331" si="223">"6902221341181"</f>
        <v>6902221341181</v>
      </c>
      <c r="E331" s="169" t="str">
        <f t="shared" si="223"/>
        <v>6902221341181</v>
      </c>
      <c r="F331" s="169" t="s">
        <v>18811</v>
      </c>
      <c r="G331" s="169">
        <v>43.0</v>
      </c>
      <c r="H331" s="169">
        <v>2516.0</v>
      </c>
      <c r="I331" s="169">
        <v>108188.0</v>
      </c>
      <c r="J331" s="169">
        <v>0.0</v>
      </c>
      <c r="K331" s="169">
        <v>43.0</v>
      </c>
      <c r="L331" s="169">
        <v>0.0</v>
      </c>
    </row>
    <row r="332" ht="14.25" customHeight="1">
      <c r="A332" s="169" t="s">
        <v>18813</v>
      </c>
      <c r="B332" s="169" t="s">
        <v>17920</v>
      </c>
      <c r="C332" s="169" t="s">
        <v>8857</v>
      </c>
      <c r="D332" s="169" t="str">
        <f t="shared" ref="D332:E332" si="224">"6902221341167"</f>
        <v>6902221341167</v>
      </c>
      <c r="E332" s="169" t="str">
        <f t="shared" si="224"/>
        <v>6902221341167</v>
      </c>
      <c r="F332" s="169" t="s">
        <v>18811</v>
      </c>
      <c r="G332" s="169">
        <v>4.0</v>
      </c>
      <c r="H332" s="169">
        <v>1887.0</v>
      </c>
      <c r="I332" s="169">
        <v>7548.0</v>
      </c>
      <c r="J332" s="169">
        <v>0.0</v>
      </c>
      <c r="K332" s="169">
        <v>4.0</v>
      </c>
      <c r="L332" s="169">
        <v>0.0</v>
      </c>
    </row>
    <row r="333" ht="14.25" customHeight="1">
      <c r="A333" s="169" t="s">
        <v>18813</v>
      </c>
      <c r="B333" s="169" t="s">
        <v>17920</v>
      </c>
      <c r="C333" s="169" t="s">
        <v>8859</v>
      </c>
      <c r="D333" s="169" t="str">
        <f t="shared" ref="D333:E333" si="225">"6902221342034"</f>
        <v>6902221342034</v>
      </c>
      <c r="E333" s="169" t="str">
        <f t="shared" si="225"/>
        <v>6902221342034</v>
      </c>
      <c r="F333" s="169" t="s">
        <v>18811</v>
      </c>
      <c r="G333" s="169">
        <v>3.0</v>
      </c>
      <c r="H333" s="169">
        <v>2516.0</v>
      </c>
      <c r="I333" s="169">
        <v>7548.0</v>
      </c>
      <c r="J333" s="169">
        <v>0.0</v>
      </c>
      <c r="K333" s="169">
        <v>3.0</v>
      </c>
      <c r="L333" s="169">
        <v>0.0</v>
      </c>
    </row>
    <row r="334" ht="14.25" customHeight="1">
      <c r="A334" s="169" t="s">
        <v>18813</v>
      </c>
      <c r="B334" s="169" t="s">
        <v>17920</v>
      </c>
      <c r="C334" s="169" t="s">
        <v>8860</v>
      </c>
      <c r="D334" s="169" t="str">
        <f t="shared" ref="D334:E334" si="226">"6902221342089"</f>
        <v>6902221342089</v>
      </c>
      <c r="E334" s="169" t="str">
        <f t="shared" si="226"/>
        <v>6902221342089</v>
      </c>
      <c r="F334" s="169" t="s">
        <v>18811</v>
      </c>
      <c r="G334" s="169">
        <v>19.0</v>
      </c>
      <c r="H334" s="169">
        <v>2516.0</v>
      </c>
      <c r="I334" s="169">
        <v>47804.0</v>
      </c>
      <c r="J334" s="169">
        <v>0.0</v>
      </c>
      <c r="K334" s="169">
        <v>19.0</v>
      </c>
      <c r="L334" s="169">
        <v>0.0</v>
      </c>
    </row>
    <row r="335" ht="14.25" customHeight="1">
      <c r="A335" s="169" t="s">
        <v>18813</v>
      </c>
      <c r="B335" s="169" t="s">
        <v>17920</v>
      </c>
      <c r="C335" s="169" t="s">
        <v>8864</v>
      </c>
      <c r="D335" s="169" t="str">
        <f t="shared" ref="D335:E335" si="227">"6902221342614"</f>
        <v>6902221342614</v>
      </c>
      <c r="E335" s="169" t="str">
        <f t="shared" si="227"/>
        <v>6902221342614</v>
      </c>
      <c r="F335" s="169" t="s">
        <v>18811</v>
      </c>
      <c r="G335" s="169">
        <v>11.0</v>
      </c>
      <c r="H335" s="169">
        <v>2516.0</v>
      </c>
      <c r="I335" s="169">
        <v>27676.0</v>
      </c>
      <c r="J335" s="169">
        <v>0.0</v>
      </c>
      <c r="K335" s="169">
        <v>11.0</v>
      </c>
      <c r="L335" s="169">
        <v>0.0</v>
      </c>
    </row>
    <row r="336" ht="14.25" customHeight="1">
      <c r="A336" s="169" t="s">
        <v>18813</v>
      </c>
      <c r="B336" s="169" t="s">
        <v>17920</v>
      </c>
      <c r="C336" s="169" t="s">
        <v>8865</v>
      </c>
      <c r="D336" s="169" t="str">
        <f t="shared" ref="D336:E336" si="228">"6902221341983"</f>
        <v>6902221341983</v>
      </c>
      <c r="E336" s="169" t="str">
        <f t="shared" si="228"/>
        <v>6902221341983</v>
      </c>
      <c r="F336" s="169" t="s">
        <v>18811</v>
      </c>
      <c r="G336" s="169">
        <v>14.0</v>
      </c>
      <c r="H336" s="169">
        <v>2516.0</v>
      </c>
      <c r="I336" s="169">
        <v>35224.0</v>
      </c>
      <c r="J336" s="169">
        <v>0.0</v>
      </c>
      <c r="K336" s="169">
        <v>14.0</v>
      </c>
      <c r="L336" s="169">
        <v>0.0</v>
      </c>
    </row>
    <row r="337" ht="14.25" customHeight="1">
      <c r="A337" s="169" t="s">
        <v>18813</v>
      </c>
      <c r="B337" s="169" t="s">
        <v>17920</v>
      </c>
      <c r="C337" s="169" t="s">
        <v>8866</v>
      </c>
      <c r="D337" s="169" t="str">
        <f t="shared" ref="D337:E337" si="229">"6902221342058"</f>
        <v>6902221342058</v>
      </c>
      <c r="E337" s="169" t="str">
        <f t="shared" si="229"/>
        <v>6902221342058</v>
      </c>
      <c r="F337" s="169" t="s">
        <v>18811</v>
      </c>
      <c r="G337" s="169">
        <v>12.0</v>
      </c>
      <c r="H337" s="169">
        <v>2516.0</v>
      </c>
      <c r="I337" s="169">
        <v>30192.0</v>
      </c>
      <c r="J337" s="169">
        <v>0.0</v>
      </c>
      <c r="K337" s="169">
        <v>12.0</v>
      </c>
      <c r="L337" s="169">
        <v>0.0</v>
      </c>
    </row>
    <row r="338" ht="14.25" customHeight="1">
      <c r="A338" s="169" t="s">
        <v>18813</v>
      </c>
      <c r="B338" s="169" t="s">
        <v>17920</v>
      </c>
      <c r="C338" s="169" t="s">
        <v>8867</v>
      </c>
      <c r="D338" s="169" t="str">
        <f t="shared" ref="D338:E338" si="230">"6902221342027"</f>
        <v>6902221342027</v>
      </c>
      <c r="E338" s="169" t="str">
        <f t="shared" si="230"/>
        <v>6902221342027</v>
      </c>
      <c r="F338" s="169" t="s">
        <v>18811</v>
      </c>
      <c r="G338" s="169">
        <v>9.0</v>
      </c>
      <c r="H338" s="169">
        <v>2516.0</v>
      </c>
      <c r="I338" s="169">
        <v>22644.0</v>
      </c>
      <c r="J338" s="169">
        <v>0.0</v>
      </c>
      <c r="K338" s="169">
        <v>9.0</v>
      </c>
      <c r="L338" s="169">
        <v>0.0</v>
      </c>
    </row>
    <row r="339" ht="14.25" customHeight="1">
      <c r="A339" s="169" t="s">
        <v>18813</v>
      </c>
      <c r="B339" s="169" t="s">
        <v>17920</v>
      </c>
      <c r="C339" s="169" t="s">
        <v>8868</v>
      </c>
      <c r="D339" s="169" t="str">
        <f t="shared" ref="D339:E339" si="231">"6902221342072"</f>
        <v>6902221342072</v>
      </c>
      <c r="E339" s="169" t="str">
        <f t="shared" si="231"/>
        <v>6902221342072</v>
      </c>
      <c r="F339" s="169" t="s">
        <v>18811</v>
      </c>
      <c r="G339" s="169">
        <v>3.0</v>
      </c>
      <c r="H339" s="169">
        <v>2516.0</v>
      </c>
      <c r="I339" s="169">
        <v>7548.0</v>
      </c>
      <c r="J339" s="169">
        <v>0.0</v>
      </c>
      <c r="K339" s="169">
        <v>3.0</v>
      </c>
      <c r="L339" s="169">
        <v>0.0</v>
      </c>
    </row>
    <row r="340" ht="14.25" customHeight="1">
      <c r="A340" s="169" t="s">
        <v>18813</v>
      </c>
      <c r="B340" s="169" t="s">
        <v>17920</v>
      </c>
      <c r="C340" s="169" t="s">
        <v>8869</v>
      </c>
      <c r="D340" s="169" t="str">
        <f t="shared" ref="D340:E340" si="232">"6902221342591"</f>
        <v>6902221342591</v>
      </c>
      <c r="E340" s="169" t="str">
        <f t="shared" si="232"/>
        <v>6902221342591</v>
      </c>
      <c r="F340" s="169" t="s">
        <v>18811</v>
      </c>
      <c r="G340" s="169">
        <v>26.0</v>
      </c>
      <c r="H340" s="169">
        <v>2516.0</v>
      </c>
      <c r="I340" s="169">
        <v>65416.0</v>
      </c>
      <c r="J340" s="169">
        <v>0.0</v>
      </c>
      <c r="K340" s="169">
        <v>26.0</v>
      </c>
      <c r="L340" s="169">
        <v>0.0</v>
      </c>
    </row>
    <row r="341" ht="14.25" customHeight="1">
      <c r="A341" s="169" t="s">
        <v>18813</v>
      </c>
      <c r="B341" s="169" t="s">
        <v>17920</v>
      </c>
      <c r="C341" s="169" t="s">
        <v>8870</v>
      </c>
      <c r="D341" s="169" t="str">
        <f t="shared" ref="D341:E341" si="233">"6902221342621"</f>
        <v>6902221342621</v>
      </c>
      <c r="E341" s="169" t="str">
        <f t="shared" si="233"/>
        <v>6902221342621</v>
      </c>
      <c r="F341" s="169" t="s">
        <v>18811</v>
      </c>
      <c r="G341" s="169">
        <v>14.0</v>
      </c>
      <c r="H341" s="169">
        <v>2516.0</v>
      </c>
      <c r="I341" s="169">
        <v>35224.0</v>
      </c>
      <c r="J341" s="169">
        <v>0.0</v>
      </c>
      <c r="K341" s="169">
        <v>14.0</v>
      </c>
      <c r="L341" s="169">
        <v>0.0</v>
      </c>
    </row>
    <row r="342" ht="14.25" customHeight="1">
      <c r="A342" s="169" t="s">
        <v>18813</v>
      </c>
      <c r="B342" s="169" t="s">
        <v>17920</v>
      </c>
      <c r="C342" s="169" t="s">
        <v>17949</v>
      </c>
      <c r="D342" s="169" t="str">
        <f t="shared" ref="D342:E342" si="234">"6902221342683"</f>
        <v>6902221342683</v>
      </c>
      <c r="E342" s="169" t="str">
        <f t="shared" si="234"/>
        <v>6902221342683</v>
      </c>
      <c r="F342" s="169" t="s">
        <v>18811</v>
      </c>
      <c r="G342" s="169">
        <v>10.0</v>
      </c>
      <c r="H342" s="169">
        <v>2516.0</v>
      </c>
      <c r="I342" s="169">
        <v>25160.0</v>
      </c>
      <c r="J342" s="169">
        <v>0.0</v>
      </c>
      <c r="K342" s="169">
        <v>10.0</v>
      </c>
      <c r="L342" s="169">
        <v>0.0</v>
      </c>
    </row>
    <row r="343" ht="14.25" customHeight="1">
      <c r="A343" s="169" t="s">
        <v>18813</v>
      </c>
      <c r="B343" s="169" t="s">
        <v>17920</v>
      </c>
      <c r="C343" s="169" t="s">
        <v>8872</v>
      </c>
      <c r="D343" s="169" t="str">
        <f t="shared" ref="D343:E343" si="235">"6902221317032"</f>
        <v>6902221317032</v>
      </c>
      <c r="E343" s="169" t="str">
        <f t="shared" si="235"/>
        <v>6902221317032</v>
      </c>
      <c r="F343" s="169" t="s">
        <v>18811</v>
      </c>
      <c r="G343" s="169">
        <v>8.0</v>
      </c>
      <c r="H343" s="169">
        <v>2516.0</v>
      </c>
      <c r="I343" s="169">
        <v>20128.0</v>
      </c>
      <c r="J343" s="169">
        <v>0.0</v>
      </c>
      <c r="K343" s="169">
        <v>8.0</v>
      </c>
      <c r="L343" s="169">
        <v>0.0</v>
      </c>
    </row>
    <row r="344" ht="14.25" customHeight="1">
      <c r="A344" s="169" t="s">
        <v>18813</v>
      </c>
      <c r="B344" s="169" t="s">
        <v>17920</v>
      </c>
      <c r="C344" s="169" t="s">
        <v>8886</v>
      </c>
      <c r="D344" s="169" t="str">
        <f t="shared" ref="D344:E344" si="236">"6902221341235"</f>
        <v>6902221341235</v>
      </c>
      <c r="E344" s="169" t="str">
        <f t="shared" si="236"/>
        <v>6902221341235</v>
      </c>
      <c r="F344" s="169" t="s">
        <v>18811</v>
      </c>
      <c r="G344" s="169">
        <v>5.0</v>
      </c>
      <c r="H344" s="169">
        <v>2516.0</v>
      </c>
      <c r="I344" s="169">
        <v>12580.0</v>
      </c>
      <c r="J344" s="169">
        <v>0.0</v>
      </c>
      <c r="K344" s="169">
        <v>5.0</v>
      </c>
      <c r="L344" s="169">
        <v>0.0</v>
      </c>
    </row>
    <row r="345" ht="14.25" customHeight="1">
      <c r="A345" s="169" t="s">
        <v>18813</v>
      </c>
      <c r="B345" s="169" t="s">
        <v>17920</v>
      </c>
      <c r="C345" s="169" t="s">
        <v>8887</v>
      </c>
      <c r="D345" s="169" t="str">
        <f t="shared" ref="D345:E345" si="237">"6902221341228"</f>
        <v>6902221341228</v>
      </c>
      <c r="E345" s="169" t="str">
        <f t="shared" si="237"/>
        <v>6902221341228</v>
      </c>
      <c r="F345" s="169" t="s">
        <v>18811</v>
      </c>
      <c r="G345" s="169">
        <v>2.0</v>
      </c>
      <c r="H345" s="169">
        <v>2516.0</v>
      </c>
      <c r="I345" s="169">
        <v>5032.0</v>
      </c>
      <c r="J345" s="169">
        <v>0.0</v>
      </c>
      <c r="K345" s="169">
        <v>2.0</v>
      </c>
      <c r="L345" s="169">
        <v>0.0</v>
      </c>
    </row>
    <row r="346" ht="14.25" customHeight="1">
      <c r="A346" s="169" t="s">
        <v>18813</v>
      </c>
      <c r="B346" s="169" t="s">
        <v>17920</v>
      </c>
      <c r="C346" s="169" t="s">
        <v>8888</v>
      </c>
      <c r="D346" s="169" t="str">
        <f t="shared" ref="D346:E346" si="238">"6902221341105"</f>
        <v>6902221341105</v>
      </c>
      <c r="E346" s="169" t="str">
        <f t="shared" si="238"/>
        <v>6902221341105</v>
      </c>
      <c r="F346" s="169" t="s">
        <v>18811</v>
      </c>
      <c r="G346" s="169">
        <v>5.0</v>
      </c>
      <c r="H346" s="169">
        <v>2516.0</v>
      </c>
      <c r="I346" s="169">
        <v>12580.0</v>
      </c>
      <c r="J346" s="169">
        <v>0.0</v>
      </c>
      <c r="K346" s="169">
        <v>5.0</v>
      </c>
      <c r="L346" s="169">
        <v>0.0</v>
      </c>
    </row>
    <row r="347" ht="14.25" customHeight="1">
      <c r="A347" s="169" t="s">
        <v>18813</v>
      </c>
      <c r="B347" s="169" t="s">
        <v>17920</v>
      </c>
      <c r="C347" s="169" t="s">
        <v>8889</v>
      </c>
      <c r="D347" s="169" t="str">
        <f>"1628287262891"</f>
        <v>1628287262891</v>
      </c>
      <c r="E347" s="169" t="str">
        <f>"6902221341198"</f>
        <v>6902221341198</v>
      </c>
      <c r="F347" s="169" t="s">
        <v>18811</v>
      </c>
      <c r="G347" s="169">
        <v>10.0</v>
      </c>
      <c r="H347" s="169">
        <v>2516.0</v>
      </c>
      <c r="I347" s="169">
        <v>25160.0</v>
      </c>
      <c r="J347" s="169">
        <v>0.0</v>
      </c>
      <c r="K347" s="169">
        <v>10.0</v>
      </c>
      <c r="L347" s="169">
        <v>0.0</v>
      </c>
    </row>
    <row r="348" ht="14.25" customHeight="1">
      <c r="A348" s="169" t="s">
        <v>18813</v>
      </c>
      <c r="B348" s="169" t="s">
        <v>17920</v>
      </c>
      <c r="C348" s="169" t="s">
        <v>8890</v>
      </c>
      <c r="D348" s="169" t="str">
        <f t="shared" ref="D348:E348" si="239">"6902221342645"</f>
        <v>6902221342645</v>
      </c>
      <c r="E348" s="169" t="str">
        <f t="shared" si="239"/>
        <v>6902221342645</v>
      </c>
      <c r="F348" s="169" t="s">
        <v>18811</v>
      </c>
      <c r="G348" s="169">
        <v>11.0</v>
      </c>
      <c r="H348" s="169">
        <v>2516.0</v>
      </c>
      <c r="I348" s="169">
        <v>27676.0</v>
      </c>
      <c r="J348" s="169">
        <v>0.0</v>
      </c>
      <c r="K348" s="169">
        <v>11.0</v>
      </c>
      <c r="L348" s="169">
        <v>0.0</v>
      </c>
    </row>
    <row r="349" ht="14.25" customHeight="1">
      <c r="A349" s="169" t="s">
        <v>18813</v>
      </c>
      <c r="B349" s="169" t="s">
        <v>17920</v>
      </c>
      <c r="C349" s="169" t="s">
        <v>17941</v>
      </c>
      <c r="D349" s="169" t="str">
        <f t="shared" ref="D349:E349" si="240">"6902221311054"</f>
        <v>6902221311054</v>
      </c>
      <c r="E349" s="169" t="str">
        <f t="shared" si="240"/>
        <v>6902221311054</v>
      </c>
      <c r="F349" s="169" t="s">
        <v>18811</v>
      </c>
      <c r="G349" s="169">
        <v>1.0</v>
      </c>
      <c r="H349" s="169">
        <v>16381.0</v>
      </c>
      <c r="I349" s="169">
        <v>16381.0</v>
      </c>
      <c r="J349" s="169">
        <v>0.0</v>
      </c>
      <c r="K349" s="169">
        <v>1.0</v>
      </c>
      <c r="L349" s="169">
        <v>0.0</v>
      </c>
    </row>
    <row r="350" ht="14.25" customHeight="1">
      <c r="A350" s="169" t="s">
        <v>18813</v>
      </c>
      <c r="B350" s="169" t="s">
        <v>17920</v>
      </c>
      <c r="C350" s="169" t="s">
        <v>17939</v>
      </c>
      <c r="D350" s="169" t="str">
        <f t="shared" ref="D350:E350" si="241">"6902221356673"</f>
        <v>6902221356673</v>
      </c>
      <c r="E350" s="169" t="str">
        <f t="shared" si="241"/>
        <v>6902221356673</v>
      </c>
      <c r="F350" s="169" t="s">
        <v>18811</v>
      </c>
      <c r="G350" s="169">
        <v>1.0</v>
      </c>
      <c r="H350" s="169">
        <v>27305.0</v>
      </c>
      <c r="I350" s="169">
        <v>27305.0</v>
      </c>
      <c r="J350" s="169">
        <v>0.0</v>
      </c>
      <c r="K350" s="169">
        <v>1.0</v>
      </c>
      <c r="L350" s="169">
        <v>0.0</v>
      </c>
    </row>
    <row r="351" ht="14.25" customHeight="1">
      <c r="A351" s="169" t="s">
        <v>18813</v>
      </c>
      <c r="B351" s="169" t="s">
        <v>17920</v>
      </c>
      <c r="C351" s="169" t="s">
        <v>17937</v>
      </c>
      <c r="D351" s="169" t="str">
        <f t="shared" ref="D351:E351" si="242">"6902221308368"</f>
        <v>6902221308368</v>
      </c>
      <c r="E351" s="169" t="str">
        <f t="shared" si="242"/>
        <v>6902221308368</v>
      </c>
      <c r="F351" s="169" t="s">
        <v>18811</v>
      </c>
      <c r="G351" s="169">
        <v>2.0</v>
      </c>
      <c r="H351" s="169">
        <v>40051.0</v>
      </c>
      <c r="I351" s="169">
        <v>80102.0</v>
      </c>
      <c r="J351" s="169">
        <v>0.0</v>
      </c>
      <c r="K351" s="169">
        <v>2.0</v>
      </c>
      <c r="L351" s="169">
        <v>0.0</v>
      </c>
    </row>
    <row r="352" ht="14.25" customHeight="1">
      <c r="A352" s="169" t="s">
        <v>18813</v>
      </c>
      <c r="B352" s="169" t="s">
        <v>17920</v>
      </c>
      <c r="C352" s="169" t="s">
        <v>17935</v>
      </c>
      <c r="D352" s="169" t="str">
        <f t="shared" ref="D352:E352" si="243">"22130608802"</f>
        <v>22130608802</v>
      </c>
      <c r="E352" s="169" t="str">
        <f t="shared" si="243"/>
        <v>22130608802</v>
      </c>
      <c r="F352" s="169" t="s">
        <v>18811</v>
      </c>
      <c r="G352" s="169">
        <v>1.0</v>
      </c>
      <c r="H352" s="169">
        <v>24574.0</v>
      </c>
      <c r="I352" s="169">
        <v>24574.0</v>
      </c>
      <c r="J352" s="169">
        <v>0.0</v>
      </c>
      <c r="K352" s="169">
        <v>1.0</v>
      </c>
      <c r="L352" s="169">
        <v>0.0</v>
      </c>
    </row>
    <row r="353" ht="14.25" customHeight="1">
      <c r="A353" s="169" t="s">
        <v>18813</v>
      </c>
      <c r="B353" s="169" t="s">
        <v>17920</v>
      </c>
      <c r="C353" s="169" t="s">
        <v>17933</v>
      </c>
      <c r="D353" s="169" t="str">
        <f>"6909921264406"</f>
        <v>6909921264406</v>
      </c>
      <c r="E353" s="169" t="str">
        <f>"99131300325"</f>
        <v>99131300325</v>
      </c>
      <c r="F353" s="169" t="s">
        <v>18811</v>
      </c>
      <c r="G353" s="169">
        <v>3.0</v>
      </c>
      <c r="H353" s="169">
        <v>19112.0</v>
      </c>
      <c r="I353" s="169">
        <v>57336.0</v>
      </c>
      <c r="J353" s="169">
        <v>1.0</v>
      </c>
      <c r="K353" s="169">
        <v>2.0</v>
      </c>
      <c r="L353" s="169">
        <v>0.0</v>
      </c>
    </row>
    <row r="354" ht="14.25" customHeight="1">
      <c r="A354" s="169" t="s">
        <v>18813</v>
      </c>
      <c r="B354" s="169" t="s">
        <v>17920</v>
      </c>
      <c r="C354" s="169" t="s">
        <v>17931</v>
      </c>
      <c r="D354" s="169" t="str">
        <f t="shared" ref="D354:E354" si="244">"6902221355591"</f>
        <v>6902221355591</v>
      </c>
      <c r="E354" s="169" t="str">
        <f t="shared" si="244"/>
        <v>6902221355591</v>
      </c>
      <c r="F354" s="169" t="s">
        <v>18811</v>
      </c>
      <c r="G354" s="169">
        <v>1.0</v>
      </c>
      <c r="H354" s="169">
        <v>16381.0</v>
      </c>
      <c r="I354" s="169">
        <v>16381.0</v>
      </c>
      <c r="J354" s="169">
        <v>0.0</v>
      </c>
      <c r="K354" s="169">
        <v>1.0</v>
      </c>
      <c r="L354" s="169">
        <v>0.0</v>
      </c>
    </row>
    <row r="355" ht="14.25" customHeight="1">
      <c r="A355" s="169" t="s">
        <v>18813</v>
      </c>
      <c r="B355" s="169" t="s">
        <v>17920</v>
      </c>
      <c r="C355" s="169" t="s">
        <v>8630</v>
      </c>
      <c r="D355" s="169" t="str">
        <f>"6902221287151"</f>
        <v>6902221287151</v>
      </c>
      <c r="E355" s="169" t="str">
        <f>"22130608831"</f>
        <v>22130608831</v>
      </c>
      <c r="F355" s="169" t="s">
        <v>18811</v>
      </c>
      <c r="G355" s="169">
        <v>8.0</v>
      </c>
      <c r="H355" s="169">
        <v>20205.0</v>
      </c>
      <c r="I355" s="169">
        <v>161640.0</v>
      </c>
      <c r="J355" s="169">
        <v>0.0</v>
      </c>
      <c r="K355" s="169">
        <v>8.0</v>
      </c>
      <c r="L355" s="169">
        <v>0.0</v>
      </c>
    </row>
    <row r="356" ht="14.25" customHeight="1">
      <c r="A356" s="169" t="s">
        <v>18813</v>
      </c>
      <c r="B356" s="169" t="s">
        <v>17920</v>
      </c>
      <c r="C356" s="169" t="s">
        <v>17928</v>
      </c>
      <c r="D356" s="169" t="str">
        <f t="shared" ref="D356:E356" si="245">"6902221385154"</f>
        <v>6902221385154</v>
      </c>
      <c r="E356" s="169" t="str">
        <f t="shared" si="245"/>
        <v>6902221385154</v>
      </c>
      <c r="F356" s="169" t="s">
        <v>18811</v>
      </c>
      <c r="G356" s="169">
        <v>2.0</v>
      </c>
      <c r="H356" s="169">
        <v>18020.0</v>
      </c>
      <c r="I356" s="169">
        <v>36040.0</v>
      </c>
      <c r="J356" s="169">
        <v>2.0</v>
      </c>
      <c r="K356" s="169">
        <v>0.0</v>
      </c>
      <c r="L356" s="169">
        <v>0.0</v>
      </c>
    </row>
    <row r="357" ht="14.25" customHeight="1">
      <c r="A357" s="169" t="s">
        <v>18813</v>
      </c>
      <c r="B357" s="169" t="s">
        <v>17920</v>
      </c>
      <c r="C357" s="169" t="s">
        <v>17926</v>
      </c>
      <c r="D357" s="169" t="str">
        <f>"1645639979453"</f>
        <v>1645639979453</v>
      </c>
      <c r="E357" s="169" t="str">
        <f>"6902221356734"</f>
        <v>6902221356734</v>
      </c>
      <c r="F357" s="169" t="s">
        <v>18811</v>
      </c>
      <c r="G357" s="169">
        <v>12.0</v>
      </c>
      <c r="H357" s="169">
        <v>13650.0</v>
      </c>
      <c r="I357" s="169">
        <v>163800.0</v>
      </c>
      <c r="J357" s="169">
        <v>0.0</v>
      </c>
      <c r="K357" s="169">
        <v>12.0</v>
      </c>
      <c r="L357" s="169">
        <v>0.0</v>
      </c>
    </row>
    <row r="358" ht="14.25" customHeight="1">
      <c r="A358" s="169" t="s">
        <v>18813</v>
      </c>
      <c r="B358" s="169" t="s">
        <v>17920</v>
      </c>
      <c r="C358" s="169" t="s">
        <v>17924</v>
      </c>
      <c r="D358" s="169" t="str">
        <f>"1645640076327"</f>
        <v>1645640076327</v>
      </c>
      <c r="E358" s="169" t="str">
        <f>"6902221356741"</f>
        <v>6902221356741</v>
      </c>
      <c r="F358" s="169" t="s">
        <v>18811</v>
      </c>
      <c r="G358" s="169">
        <v>9.0</v>
      </c>
      <c r="H358" s="169">
        <v>17064.0</v>
      </c>
      <c r="I358" s="169">
        <v>153576.0</v>
      </c>
      <c r="J358" s="169">
        <v>0.0</v>
      </c>
      <c r="K358" s="169">
        <v>9.0</v>
      </c>
      <c r="L358" s="169">
        <v>0.0</v>
      </c>
    </row>
    <row r="359" ht="14.25" customHeight="1">
      <c r="A359" s="169" t="s">
        <v>18813</v>
      </c>
      <c r="B359" s="169" t="s">
        <v>17920</v>
      </c>
      <c r="C359" s="169" t="s">
        <v>8892</v>
      </c>
      <c r="D359" s="169" t="str">
        <f t="shared" ref="D359:E359" si="246">"6903121324885"</f>
        <v>6903121324885</v>
      </c>
      <c r="E359" s="169" t="str">
        <f t="shared" si="246"/>
        <v>6903121324885</v>
      </c>
      <c r="F359" s="169" t="s">
        <v>18811</v>
      </c>
      <c r="G359" s="169">
        <v>2.0</v>
      </c>
      <c r="H359" s="169">
        <v>6550.0</v>
      </c>
      <c r="I359" s="169">
        <v>13100.0</v>
      </c>
      <c r="J359" s="169">
        <v>0.0</v>
      </c>
      <c r="K359" s="169">
        <v>2.0</v>
      </c>
      <c r="L359" s="169">
        <v>0.0</v>
      </c>
    </row>
    <row r="360" ht="14.25" customHeight="1">
      <c r="A360" s="169" t="s">
        <v>18813</v>
      </c>
      <c r="B360" s="169" t="s">
        <v>17920</v>
      </c>
      <c r="C360" s="169" t="s">
        <v>17921</v>
      </c>
      <c r="D360" s="169" t="str">
        <f t="shared" ref="D360:E360" si="247">"6902221345332"</f>
        <v>6902221345332</v>
      </c>
      <c r="E360" s="169" t="str">
        <f t="shared" si="247"/>
        <v>6902221345332</v>
      </c>
      <c r="F360" s="169" t="s">
        <v>18811</v>
      </c>
      <c r="G360" s="169">
        <v>1.0</v>
      </c>
      <c r="H360" s="169">
        <v>10919.0</v>
      </c>
      <c r="I360" s="169">
        <v>10919.0</v>
      </c>
      <c r="J360" s="169">
        <v>0.0</v>
      </c>
      <c r="K360" s="169">
        <v>1.0</v>
      </c>
      <c r="L360" s="169">
        <v>0.0</v>
      </c>
    </row>
    <row r="361" ht="14.25" customHeight="1">
      <c r="A361" s="169" t="s">
        <v>8908</v>
      </c>
      <c r="B361" s="169" t="s">
        <v>8908</v>
      </c>
      <c r="C361" s="169" t="s">
        <v>8909</v>
      </c>
      <c r="D361" s="169" t="str">
        <f>"6000620343"</f>
        <v>6000620343</v>
      </c>
      <c r="E361" s="169" t="str">
        <f>"CNS720"</f>
        <v>CNS720</v>
      </c>
      <c r="F361" s="169" t="s">
        <v>18811</v>
      </c>
      <c r="G361" s="169">
        <v>39.0</v>
      </c>
      <c r="H361" s="169">
        <v>11340.0</v>
      </c>
      <c r="I361" s="169">
        <v>442260.0</v>
      </c>
      <c r="J361" s="169">
        <v>0.0</v>
      </c>
      <c r="K361" s="169">
        <v>39.0</v>
      </c>
      <c r="L361" s="169">
        <v>0.0</v>
      </c>
    </row>
    <row r="362" ht="14.25" customHeight="1">
      <c r="A362" s="169" t="s">
        <v>8908</v>
      </c>
      <c r="B362" s="169" t="s">
        <v>8908</v>
      </c>
      <c r="C362" s="169" t="s">
        <v>8914</v>
      </c>
      <c r="D362" s="169" t="str">
        <f>"3760073879046"</f>
        <v>3760073879046</v>
      </c>
      <c r="E362" s="169" t="str">
        <f>"CNS450"</f>
        <v>CNS450</v>
      </c>
      <c r="F362" s="169" t="s">
        <v>18811</v>
      </c>
      <c r="G362" s="169">
        <v>19.0</v>
      </c>
      <c r="H362" s="169">
        <v>14282.0</v>
      </c>
      <c r="I362" s="169">
        <v>271358.0</v>
      </c>
      <c r="J362" s="169">
        <v>1.0</v>
      </c>
      <c r="K362" s="169">
        <v>18.0</v>
      </c>
      <c r="L362" s="169">
        <v>0.0</v>
      </c>
    </row>
    <row r="363" ht="14.25" customHeight="1">
      <c r="A363" s="169" t="s">
        <v>8908</v>
      </c>
      <c r="B363" s="169" t="s">
        <v>8908</v>
      </c>
      <c r="C363" s="169" t="s">
        <v>8915</v>
      </c>
      <c r="D363" s="169" t="str">
        <f>"3760073879015"</f>
        <v>3760073879015</v>
      </c>
      <c r="E363" s="169" t="str">
        <f>"CNS150"</f>
        <v>CNS150</v>
      </c>
      <c r="F363" s="169" t="s">
        <v>18811</v>
      </c>
      <c r="G363" s="169">
        <v>185.0</v>
      </c>
      <c r="H363" s="169">
        <v>9660.0</v>
      </c>
      <c r="I363" s="169">
        <v>1787100.0</v>
      </c>
      <c r="J363" s="169">
        <v>0.0</v>
      </c>
      <c r="K363" s="169">
        <v>185.0</v>
      </c>
      <c r="L363" s="169">
        <v>1.0</v>
      </c>
    </row>
    <row r="364" ht="14.25" customHeight="1">
      <c r="A364" s="169" t="s">
        <v>8908</v>
      </c>
      <c r="B364" s="169" t="s">
        <v>8908</v>
      </c>
      <c r="C364" s="169" t="s">
        <v>8917</v>
      </c>
      <c r="D364" s="169" t="str">
        <f>"3760073879053"</f>
        <v>3760073879053</v>
      </c>
      <c r="E364" s="169" t="str">
        <f>"CNS550"</f>
        <v>CNS550</v>
      </c>
      <c r="F364" s="169" t="s">
        <v>18811</v>
      </c>
      <c r="G364" s="169">
        <v>37.0</v>
      </c>
      <c r="H364" s="169">
        <v>12601.0</v>
      </c>
      <c r="I364" s="169">
        <v>466237.0</v>
      </c>
      <c r="J364" s="169">
        <v>0.0</v>
      </c>
      <c r="K364" s="169">
        <v>37.0</v>
      </c>
      <c r="L364" s="169">
        <v>0.0</v>
      </c>
    </row>
    <row r="365" ht="14.25" customHeight="1">
      <c r="A365" s="169" t="s">
        <v>8908</v>
      </c>
      <c r="B365" s="169" t="s">
        <v>8908</v>
      </c>
      <c r="C365" s="169" t="s">
        <v>8941</v>
      </c>
      <c r="D365" s="169" t="str">
        <f>"6000620347"</f>
        <v>6000620347</v>
      </c>
      <c r="E365" s="169" t="str">
        <f>"CNS10150"</f>
        <v>CNS10150</v>
      </c>
      <c r="F365" s="169" t="s">
        <v>18811</v>
      </c>
      <c r="G365" s="169">
        <v>63.0</v>
      </c>
      <c r="H365" s="169">
        <v>6298.0</v>
      </c>
      <c r="I365" s="169">
        <v>396774.0</v>
      </c>
      <c r="J365" s="169">
        <v>0.0</v>
      </c>
      <c r="K365" s="169">
        <v>63.0</v>
      </c>
      <c r="L365" s="169">
        <v>1.0</v>
      </c>
    </row>
    <row r="366" ht="14.25" customHeight="1">
      <c r="A366" s="169" t="s">
        <v>8908</v>
      </c>
      <c r="B366" s="169" t="s">
        <v>8908</v>
      </c>
      <c r="C366" s="169" t="s">
        <v>17807</v>
      </c>
      <c r="D366" s="169" t="str">
        <f>"69947161077825"</f>
        <v>69947161077825</v>
      </c>
      <c r="E366" s="169" t="str">
        <f>"PACKCNS23"</f>
        <v>PACKCNS23</v>
      </c>
      <c r="F366" s="169" t="s">
        <v>18811</v>
      </c>
      <c r="G366" s="169">
        <v>7.0</v>
      </c>
      <c r="H366" s="169">
        <v>46634.0</v>
      </c>
      <c r="I366" s="169">
        <v>326438.0</v>
      </c>
      <c r="J366" s="169">
        <v>0.0</v>
      </c>
      <c r="K366" s="169">
        <v>7.0</v>
      </c>
      <c r="L366" s="169">
        <v>0.0</v>
      </c>
    </row>
    <row r="367" ht="14.25" customHeight="1">
      <c r="A367" s="169" t="s">
        <v>8908</v>
      </c>
      <c r="B367" s="169" t="s">
        <v>8908</v>
      </c>
      <c r="C367" s="169" t="s">
        <v>17806</v>
      </c>
      <c r="D367" s="169" t="str">
        <f>"69947161057821"</f>
        <v>69947161057821</v>
      </c>
      <c r="E367" s="169" t="str">
        <f>"PACKCNS20"</f>
        <v>PACKCNS20</v>
      </c>
      <c r="F367" s="169" t="s">
        <v>18811</v>
      </c>
      <c r="G367" s="169">
        <v>9.0</v>
      </c>
      <c r="H367" s="169">
        <v>39912.0</v>
      </c>
      <c r="I367" s="169">
        <v>359208.0</v>
      </c>
      <c r="J367" s="169">
        <v>0.0</v>
      </c>
      <c r="K367" s="169">
        <v>9.0</v>
      </c>
      <c r="L367" s="169">
        <v>0.0</v>
      </c>
    </row>
    <row r="368" ht="14.25" customHeight="1">
      <c r="A368" s="169" t="s">
        <v>8908</v>
      </c>
      <c r="B368" s="169" t="s">
        <v>8908</v>
      </c>
      <c r="C368" s="169" t="s">
        <v>17805</v>
      </c>
      <c r="D368" s="169" t="str">
        <f>"69947161092820"</f>
        <v>69947161092820</v>
      </c>
      <c r="E368" s="169" t="str">
        <f>"PACKCNS25"</f>
        <v>PACKCNS25</v>
      </c>
      <c r="F368" s="169" t="s">
        <v>18811</v>
      </c>
      <c r="G368" s="169">
        <v>7.0</v>
      </c>
      <c r="H368" s="169">
        <v>22265.0</v>
      </c>
      <c r="I368" s="169">
        <v>155855.0</v>
      </c>
      <c r="J368" s="169">
        <v>0.0</v>
      </c>
      <c r="K368" s="169">
        <v>7.0</v>
      </c>
      <c r="L368" s="169">
        <v>0.0</v>
      </c>
    </row>
    <row r="369" ht="14.25" customHeight="1">
      <c r="A369" s="169" t="s">
        <v>8908</v>
      </c>
      <c r="B369" s="169" t="s">
        <v>8908</v>
      </c>
      <c r="C369" s="169" t="s">
        <v>17804</v>
      </c>
      <c r="D369" s="169" t="str">
        <f>"69947161071937"</f>
        <v>69947161071937</v>
      </c>
      <c r="E369" s="169" t="str">
        <f>"PACKCNS22"</f>
        <v>PACKCNS22</v>
      </c>
      <c r="F369" s="169" t="s">
        <v>18811</v>
      </c>
      <c r="G369" s="169">
        <v>10.0</v>
      </c>
      <c r="H369" s="169">
        <v>38231.0</v>
      </c>
      <c r="I369" s="169">
        <v>382310.0</v>
      </c>
      <c r="J369" s="169">
        <v>0.0</v>
      </c>
      <c r="K369" s="169">
        <v>10.0</v>
      </c>
      <c r="L369" s="169">
        <v>0.0</v>
      </c>
    </row>
    <row r="370" ht="14.25" customHeight="1">
      <c r="A370" s="169" t="s">
        <v>8908</v>
      </c>
      <c r="B370" s="169" t="s">
        <v>8908</v>
      </c>
      <c r="C370" s="169" t="s">
        <v>17803</v>
      </c>
      <c r="D370" s="169" t="str">
        <f>"69947161065798"</f>
        <v>69947161065798</v>
      </c>
      <c r="E370" s="169" t="str">
        <f>"PACKCNS21"</f>
        <v>PACKCNS21</v>
      </c>
      <c r="F370" s="169" t="s">
        <v>18811</v>
      </c>
      <c r="G370" s="169">
        <v>10.0</v>
      </c>
      <c r="H370" s="169">
        <v>36550.0</v>
      </c>
      <c r="I370" s="169">
        <v>365500.0</v>
      </c>
      <c r="J370" s="169">
        <v>0.0</v>
      </c>
      <c r="K370" s="169">
        <v>10.0</v>
      </c>
      <c r="L370" s="169">
        <v>0.0</v>
      </c>
    </row>
    <row r="371" ht="14.25" customHeight="1">
      <c r="A371" s="169" t="s">
        <v>8908</v>
      </c>
      <c r="B371" s="169" t="s">
        <v>8908</v>
      </c>
      <c r="C371" s="169" t="s">
        <v>17802</v>
      </c>
      <c r="D371" s="169" t="str">
        <f>"69947161084355"</f>
        <v>69947161084355</v>
      </c>
      <c r="E371" s="169" t="str">
        <f>"PACKCNS24"</f>
        <v>PACKCNS24</v>
      </c>
      <c r="F371" s="169" t="s">
        <v>18811</v>
      </c>
      <c r="G371" s="169">
        <v>9.0</v>
      </c>
      <c r="H371" s="169">
        <v>35290.0</v>
      </c>
      <c r="I371" s="169">
        <v>317610.0</v>
      </c>
      <c r="J371" s="169">
        <v>0.0</v>
      </c>
      <c r="K371" s="169">
        <v>9.0</v>
      </c>
      <c r="L371" s="169">
        <v>0.0</v>
      </c>
    </row>
    <row r="372" ht="14.25" customHeight="1">
      <c r="A372" s="169" t="s">
        <v>8908</v>
      </c>
      <c r="B372" s="169" t="s">
        <v>8908</v>
      </c>
      <c r="C372" s="169" t="s">
        <v>8951</v>
      </c>
      <c r="D372" s="169" t="str">
        <f>"3760073879060"</f>
        <v>3760073879060</v>
      </c>
      <c r="E372" s="169" t="str">
        <f>"CNS630"</f>
        <v>CNS630</v>
      </c>
      <c r="F372" s="169" t="s">
        <v>18811</v>
      </c>
      <c r="G372" s="169">
        <v>46.0</v>
      </c>
      <c r="H372" s="169">
        <v>13021.0</v>
      </c>
      <c r="I372" s="169">
        <v>598966.0</v>
      </c>
      <c r="J372" s="169">
        <v>0.0</v>
      </c>
      <c r="K372" s="169">
        <v>46.0</v>
      </c>
      <c r="L372" s="169">
        <v>1.0</v>
      </c>
    </row>
    <row r="373" ht="14.25" customHeight="1">
      <c r="A373" s="169" t="s">
        <v>8908</v>
      </c>
      <c r="B373" s="169" t="s">
        <v>8908</v>
      </c>
      <c r="C373" s="169" t="s">
        <v>8940</v>
      </c>
      <c r="D373" s="169" t="str">
        <f>"3760073879084"</f>
        <v>3760073879084</v>
      </c>
      <c r="E373" s="169" t="str">
        <f>"CNS8200"</f>
        <v>CNS8200</v>
      </c>
      <c r="F373" s="169" t="s">
        <v>18811</v>
      </c>
      <c r="G373" s="169">
        <v>65.0</v>
      </c>
      <c r="H373" s="169">
        <v>6298.0</v>
      </c>
      <c r="I373" s="169">
        <v>409370.0</v>
      </c>
      <c r="J373" s="169">
        <v>0.0</v>
      </c>
      <c r="K373" s="169">
        <v>65.0</v>
      </c>
      <c r="L373" s="169">
        <v>2.0</v>
      </c>
    </row>
    <row r="374" ht="14.25" customHeight="1">
      <c r="A374" s="169" t="s">
        <v>8952</v>
      </c>
      <c r="B374" s="169" t="s">
        <v>8952</v>
      </c>
      <c r="C374" s="169" t="s">
        <v>8960</v>
      </c>
      <c r="D374" s="169" t="str">
        <f>"1550239202142"</f>
        <v>1550239202142</v>
      </c>
      <c r="E374" s="169" t="str">
        <f>"3201069000018"</f>
        <v>3201069000018</v>
      </c>
      <c r="F374" s="169" t="s">
        <v>18811</v>
      </c>
      <c r="G374" s="169">
        <v>2.0</v>
      </c>
      <c r="H374" s="169">
        <v>0.0</v>
      </c>
      <c r="I374" s="169">
        <v>0.0</v>
      </c>
      <c r="J374" s="169">
        <v>0.0</v>
      </c>
      <c r="K374" s="169">
        <v>2.0</v>
      </c>
      <c r="L374" s="169">
        <v>0.0</v>
      </c>
    </row>
    <row r="375" ht="14.25" customHeight="1">
      <c r="A375" s="169" t="s">
        <v>8952</v>
      </c>
      <c r="B375" s="169" t="s">
        <v>8952</v>
      </c>
      <c r="C375" s="169" t="s">
        <v>18794</v>
      </c>
      <c r="D375" s="169" t="str">
        <f t="shared" ref="D375:E375" si="248">"3210960000010"</f>
        <v>3210960000010</v>
      </c>
      <c r="E375" s="169" t="str">
        <f t="shared" si="248"/>
        <v>3210960000010</v>
      </c>
      <c r="F375" s="169" t="s">
        <v>18811</v>
      </c>
      <c r="G375" s="169">
        <v>89.0</v>
      </c>
      <c r="H375" s="169">
        <v>0.0</v>
      </c>
      <c r="I375" s="169">
        <v>0.0</v>
      </c>
      <c r="J375" s="169">
        <v>0.0</v>
      </c>
      <c r="K375" s="169">
        <v>89.0</v>
      </c>
      <c r="L375" s="169">
        <v>0.0</v>
      </c>
    </row>
    <row r="376" ht="14.25" customHeight="1">
      <c r="A376" s="169" t="s">
        <v>8952</v>
      </c>
      <c r="B376" s="169" t="s">
        <v>8952</v>
      </c>
      <c r="C376" s="169" t="s">
        <v>18792</v>
      </c>
      <c r="D376" s="169" t="str">
        <f t="shared" ref="D376:E376" si="249">"3211511000022"</f>
        <v>3211511000022</v>
      </c>
      <c r="E376" s="169" t="str">
        <f t="shared" si="249"/>
        <v>3211511000022</v>
      </c>
      <c r="F376" s="169" t="s">
        <v>18811</v>
      </c>
      <c r="G376" s="169">
        <v>1.0</v>
      </c>
      <c r="H376" s="169">
        <v>0.0</v>
      </c>
      <c r="I376" s="169">
        <v>0.0</v>
      </c>
      <c r="J376" s="169">
        <v>0.0</v>
      </c>
      <c r="K376" s="169">
        <v>1.0</v>
      </c>
      <c r="L376" s="169">
        <v>0.0</v>
      </c>
    </row>
    <row r="377" ht="14.25" customHeight="1">
      <c r="A377" s="169" t="s">
        <v>8996</v>
      </c>
      <c r="B377" s="169" t="s">
        <v>8992</v>
      </c>
      <c r="C377" s="169" t="s">
        <v>9031</v>
      </c>
      <c r="D377" s="169" t="str">
        <f>"5425029650657"</f>
        <v>5425029650657</v>
      </c>
      <c r="E377" s="169" t="str">
        <f>"CPQT01BLU"</f>
        <v>CPQT01BLU</v>
      </c>
      <c r="F377" s="169" t="s">
        <v>18811</v>
      </c>
      <c r="G377" s="169">
        <v>1.0</v>
      </c>
      <c r="H377" s="169">
        <v>55990.0</v>
      </c>
      <c r="I377" s="169">
        <v>55990.0</v>
      </c>
      <c r="J377" s="169">
        <v>0.0</v>
      </c>
      <c r="K377" s="169">
        <v>1.0</v>
      </c>
      <c r="L377" s="169">
        <v>0.0</v>
      </c>
    </row>
    <row r="378" ht="14.25" customHeight="1">
      <c r="A378" s="169" t="s">
        <v>8996</v>
      </c>
      <c r="B378" s="169" t="s">
        <v>8992</v>
      </c>
      <c r="C378" s="169" t="s">
        <v>9047</v>
      </c>
      <c r="D378" s="169" t="str">
        <f t="shared" ref="D378:E378" si="250">"CPMX02BLU"</f>
        <v>CPMX02BLU</v>
      </c>
      <c r="E378" s="169" t="str">
        <f t="shared" si="250"/>
        <v>CPMX02BLU</v>
      </c>
      <c r="F378" s="169" t="s">
        <v>18811</v>
      </c>
      <c r="G378" s="169">
        <v>1.0</v>
      </c>
      <c r="H378" s="169">
        <v>59990.0</v>
      </c>
      <c r="I378" s="169">
        <v>59990.0</v>
      </c>
      <c r="J378" s="169">
        <v>0.0</v>
      </c>
      <c r="K378" s="169">
        <v>1.0</v>
      </c>
      <c r="L378" s="169">
        <v>0.0</v>
      </c>
    </row>
    <row r="379" ht="14.25" customHeight="1">
      <c r="A379" s="169" t="s">
        <v>8996</v>
      </c>
      <c r="B379" s="169" t="s">
        <v>8992</v>
      </c>
      <c r="C379" s="169" t="s">
        <v>18656</v>
      </c>
      <c r="D379" s="169" t="str">
        <f t="shared" ref="D379:E379" si="251">"CPMX02LIM"</f>
        <v>CPMX02LIM</v>
      </c>
      <c r="E379" s="169" t="str">
        <f t="shared" si="251"/>
        <v>CPMX02LIM</v>
      </c>
      <c r="F379" s="169" t="s">
        <v>18811</v>
      </c>
      <c r="G379" s="169">
        <v>1.0</v>
      </c>
      <c r="H379" s="169">
        <v>59990.0</v>
      </c>
      <c r="I379" s="169">
        <v>59990.0</v>
      </c>
      <c r="J379" s="169">
        <v>0.0</v>
      </c>
      <c r="K379" s="169">
        <v>1.0</v>
      </c>
      <c r="L379" s="169">
        <v>0.0</v>
      </c>
    </row>
    <row r="380" ht="14.25" customHeight="1">
      <c r="A380" s="169" t="s">
        <v>8996</v>
      </c>
      <c r="B380" s="169" t="s">
        <v>8992</v>
      </c>
      <c r="C380" s="169" t="s">
        <v>9049</v>
      </c>
      <c r="D380" s="169" t="str">
        <f t="shared" ref="D380:E380" si="252">"CPMX02PIN"</f>
        <v>CPMX02PIN</v>
      </c>
      <c r="E380" s="169" t="str">
        <f t="shared" si="252"/>
        <v>CPMX02PIN</v>
      </c>
      <c r="F380" s="169" t="s">
        <v>18811</v>
      </c>
      <c r="G380" s="169">
        <v>3.0</v>
      </c>
      <c r="H380" s="169">
        <v>57990.3</v>
      </c>
      <c r="I380" s="169">
        <v>173971.0</v>
      </c>
      <c r="J380" s="169">
        <v>0.0</v>
      </c>
      <c r="K380" s="169">
        <v>3.0</v>
      </c>
      <c r="L380" s="169">
        <v>0.0</v>
      </c>
    </row>
    <row r="381" ht="14.25" customHeight="1">
      <c r="A381" s="169" t="s">
        <v>9050</v>
      </c>
      <c r="B381" s="169" t="s">
        <v>9050</v>
      </c>
      <c r="C381" s="169" t="s">
        <v>9051</v>
      </c>
      <c r="D381" s="169" t="str">
        <f>"0781159030499"</f>
        <v>0781159030499</v>
      </c>
      <c r="E381" s="169" t="str">
        <f>"Clak003"</f>
        <v>Clak003</v>
      </c>
      <c r="F381" s="169" t="s">
        <v>18811</v>
      </c>
      <c r="G381" s="169">
        <v>8.0</v>
      </c>
      <c r="H381" s="169">
        <v>42852.0</v>
      </c>
      <c r="I381" s="169">
        <v>342816.0</v>
      </c>
      <c r="J381" s="169">
        <v>0.0</v>
      </c>
      <c r="K381" s="169">
        <v>8.0</v>
      </c>
      <c r="L381" s="169">
        <v>0.0</v>
      </c>
    </row>
    <row r="382" ht="14.25" customHeight="1">
      <c r="A382" s="169" t="s">
        <v>9050</v>
      </c>
      <c r="B382" s="169" t="s">
        <v>9050</v>
      </c>
      <c r="C382" s="169" t="s">
        <v>9053</v>
      </c>
      <c r="D382" s="169" t="str">
        <f>"0614143234170"</f>
        <v>0614143234170</v>
      </c>
      <c r="E382" s="169" t="str">
        <f>"Clak001"</f>
        <v>Clak001</v>
      </c>
      <c r="F382" s="169" t="s">
        <v>18811</v>
      </c>
      <c r="G382" s="169">
        <v>26.0</v>
      </c>
      <c r="H382" s="169">
        <v>42852.0</v>
      </c>
      <c r="I382" s="169">
        <v>1114152.0</v>
      </c>
      <c r="J382" s="169">
        <v>0.0</v>
      </c>
      <c r="K382" s="169">
        <v>26.0</v>
      </c>
      <c r="L382" s="169">
        <v>0.0</v>
      </c>
    </row>
    <row r="383" ht="14.25" customHeight="1">
      <c r="A383" s="169" t="s">
        <v>9050</v>
      </c>
      <c r="B383" s="169" t="s">
        <v>9050</v>
      </c>
      <c r="C383" s="169" t="s">
        <v>9055</v>
      </c>
      <c r="D383" s="169" t="str">
        <f>"0781159030505"</f>
        <v>0781159030505</v>
      </c>
      <c r="E383" s="169" t="str">
        <f>"Clak002"</f>
        <v>Clak002</v>
      </c>
      <c r="F383" s="169" t="s">
        <v>18811</v>
      </c>
      <c r="G383" s="169">
        <v>18.0</v>
      </c>
      <c r="H383" s="169">
        <v>42852.0</v>
      </c>
      <c r="I383" s="169">
        <v>771336.0</v>
      </c>
      <c r="J383" s="169">
        <v>0.0</v>
      </c>
      <c r="K383" s="169">
        <v>18.0</v>
      </c>
      <c r="L383" s="169">
        <v>0.0</v>
      </c>
    </row>
    <row r="384" ht="14.25" customHeight="1">
      <c r="A384" s="169" t="s">
        <v>18814</v>
      </c>
      <c r="B384" s="169" t="s">
        <v>18790</v>
      </c>
      <c r="C384" s="170"/>
      <c r="D384" s="169" t="str">
        <f>"1646242569"</f>
        <v>1646242569</v>
      </c>
      <c r="E384" s="169" t="str">
        <f>"dispatch-cost-lp"</f>
        <v>dispatch-cost-lp</v>
      </c>
      <c r="F384" s="169" t="s">
        <v>18811</v>
      </c>
      <c r="G384" s="169">
        <v>999803.0</v>
      </c>
      <c r="H384" s="169">
        <v>0.0</v>
      </c>
      <c r="I384" s="169">
        <v>0.0</v>
      </c>
      <c r="J384" s="169">
        <v>0.0</v>
      </c>
      <c r="K384" s="169">
        <v>999803.0</v>
      </c>
      <c r="L384" s="169">
        <v>0.0</v>
      </c>
    </row>
    <row r="385" ht="14.25" customHeight="1">
      <c r="A385" s="169" t="s">
        <v>18810</v>
      </c>
      <c r="B385" s="169" t="s">
        <v>9056</v>
      </c>
      <c r="C385" s="169" t="s">
        <v>9057</v>
      </c>
      <c r="D385" s="169" t="str">
        <f t="shared" ref="D385:E385" si="253">"3522"</f>
        <v>3522</v>
      </c>
      <c r="E385" s="169" t="str">
        <f t="shared" si="253"/>
        <v>3522</v>
      </c>
      <c r="F385" s="169" t="s">
        <v>18811</v>
      </c>
      <c r="G385" s="169">
        <v>4.0</v>
      </c>
      <c r="H385" s="169">
        <v>9900.0</v>
      </c>
      <c r="I385" s="169">
        <v>39600.0</v>
      </c>
      <c r="J385" s="169">
        <v>0.0</v>
      </c>
      <c r="K385" s="169">
        <v>4.0</v>
      </c>
      <c r="L385" s="169">
        <v>0.0</v>
      </c>
    </row>
    <row r="386" ht="14.25" customHeight="1">
      <c r="A386" s="169" t="s">
        <v>18810</v>
      </c>
      <c r="B386" s="169" t="s">
        <v>9056</v>
      </c>
      <c r="C386" s="169" t="s">
        <v>9058</v>
      </c>
      <c r="D386" s="169" t="str">
        <f t="shared" ref="D386:E386" si="254">"3539"</f>
        <v>3539</v>
      </c>
      <c r="E386" s="169" t="str">
        <f t="shared" si="254"/>
        <v>3539</v>
      </c>
      <c r="F386" s="169" t="s">
        <v>18811</v>
      </c>
      <c r="G386" s="169">
        <v>6.0</v>
      </c>
      <c r="H386" s="169">
        <v>9900.0</v>
      </c>
      <c r="I386" s="169">
        <v>59400.0</v>
      </c>
      <c r="J386" s="169">
        <v>0.0</v>
      </c>
      <c r="K386" s="169">
        <v>6.0</v>
      </c>
      <c r="L386" s="169">
        <v>0.0</v>
      </c>
    </row>
    <row r="387" ht="14.25" customHeight="1">
      <c r="A387" s="169" t="s">
        <v>18810</v>
      </c>
      <c r="B387" s="169" t="s">
        <v>9056</v>
      </c>
      <c r="C387" s="169" t="s">
        <v>9059</v>
      </c>
      <c r="D387" s="169" t="str">
        <f t="shared" ref="D387:E387" si="255">"3492"</f>
        <v>3492</v>
      </c>
      <c r="E387" s="169" t="str">
        <f t="shared" si="255"/>
        <v>3492</v>
      </c>
      <c r="F387" s="169" t="s">
        <v>18811</v>
      </c>
      <c r="G387" s="169">
        <v>6.0</v>
      </c>
      <c r="H387" s="169">
        <v>5950.0</v>
      </c>
      <c r="I387" s="169">
        <v>35700.0</v>
      </c>
      <c r="J387" s="169">
        <v>0.0</v>
      </c>
      <c r="K387" s="169">
        <v>6.0</v>
      </c>
      <c r="L387" s="169">
        <v>0.0</v>
      </c>
    </row>
    <row r="388" ht="14.25" customHeight="1">
      <c r="A388" s="169" t="s">
        <v>18810</v>
      </c>
      <c r="B388" s="169" t="s">
        <v>9056</v>
      </c>
      <c r="C388" s="169" t="s">
        <v>9060</v>
      </c>
      <c r="D388" s="169" t="str">
        <f t="shared" ref="D388:E388" si="256">"3478"</f>
        <v>3478</v>
      </c>
      <c r="E388" s="169" t="str">
        <f t="shared" si="256"/>
        <v>3478</v>
      </c>
      <c r="F388" s="169" t="s">
        <v>18811</v>
      </c>
      <c r="G388" s="169">
        <v>5.0</v>
      </c>
      <c r="H388" s="169">
        <v>3600.0</v>
      </c>
      <c r="I388" s="169">
        <v>18000.0</v>
      </c>
      <c r="J388" s="169">
        <v>0.0</v>
      </c>
      <c r="K388" s="169">
        <v>5.0</v>
      </c>
      <c r="L388" s="169">
        <v>0.0</v>
      </c>
    </row>
    <row r="389" ht="14.25" customHeight="1">
      <c r="A389" s="169" t="s">
        <v>18810</v>
      </c>
      <c r="B389" s="169" t="s">
        <v>9056</v>
      </c>
      <c r="C389" s="169" t="s">
        <v>9061</v>
      </c>
      <c r="D389" s="169" t="str">
        <f t="shared" ref="D389:E389" si="257">"3461"</f>
        <v>3461</v>
      </c>
      <c r="E389" s="169" t="str">
        <f t="shared" si="257"/>
        <v>3461</v>
      </c>
      <c r="F389" s="169" t="s">
        <v>18811</v>
      </c>
      <c r="G389" s="169">
        <v>3.0</v>
      </c>
      <c r="H389" s="169">
        <v>3600.0</v>
      </c>
      <c r="I389" s="169">
        <v>10800.0</v>
      </c>
      <c r="J389" s="169">
        <v>0.0</v>
      </c>
      <c r="K389" s="169">
        <v>3.0</v>
      </c>
      <c r="L389" s="169">
        <v>0.0</v>
      </c>
    </row>
    <row r="390" ht="14.25" customHeight="1">
      <c r="A390" s="169" t="s">
        <v>18810</v>
      </c>
      <c r="B390" s="169" t="s">
        <v>9292</v>
      </c>
      <c r="C390" s="169" t="s">
        <v>18633</v>
      </c>
      <c r="D390" s="169" t="str">
        <f t="shared" ref="D390:E390" si="258">"1061"</f>
        <v>1061</v>
      </c>
      <c r="E390" s="169" t="str">
        <f t="shared" si="258"/>
        <v>1061</v>
      </c>
      <c r="F390" s="169" t="s">
        <v>18811</v>
      </c>
      <c r="G390" s="169">
        <v>6.0</v>
      </c>
      <c r="H390" s="169">
        <v>8250.0</v>
      </c>
      <c r="I390" s="169">
        <v>49500.0</v>
      </c>
      <c r="J390" s="169">
        <v>0.0</v>
      </c>
      <c r="K390" s="169">
        <v>6.0</v>
      </c>
      <c r="L390" s="169">
        <v>0.0</v>
      </c>
    </row>
    <row r="391" ht="14.25" customHeight="1">
      <c r="A391" s="169" t="s">
        <v>18810</v>
      </c>
      <c r="B391" s="169" t="s">
        <v>9292</v>
      </c>
      <c r="C391" s="169" t="s">
        <v>18631</v>
      </c>
      <c r="D391" s="169" t="str">
        <f t="shared" ref="D391:E391" si="259">"1034"</f>
        <v>1034</v>
      </c>
      <c r="E391" s="169" t="str">
        <f t="shared" si="259"/>
        <v>1034</v>
      </c>
      <c r="F391" s="169" t="s">
        <v>18811</v>
      </c>
      <c r="G391" s="169">
        <v>5.0</v>
      </c>
      <c r="H391" s="169">
        <v>12000.0</v>
      </c>
      <c r="I391" s="169">
        <v>60000.0</v>
      </c>
      <c r="J391" s="169">
        <v>0.0</v>
      </c>
      <c r="K391" s="169">
        <v>5.0</v>
      </c>
      <c r="L391" s="169">
        <v>0.0</v>
      </c>
    </row>
    <row r="392" ht="14.25" customHeight="1">
      <c r="A392" s="169" t="s">
        <v>18810</v>
      </c>
      <c r="B392" s="169" t="s">
        <v>9292</v>
      </c>
      <c r="C392" s="169" t="s">
        <v>18629</v>
      </c>
      <c r="D392" s="169" t="str">
        <f t="shared" ref="D392:E392" si="260">"1028"</f>
        <v>1028</v>
      </c>
      <c r="E392" s="169" t="str">
        <f t="shared" si="260"/>
        <v>1028</v>
      </c>
      <c r="F392" s="169" t="s">
        <v>18811</v>
      </c>
      <c r="G392" s="169">
        <v>5.0</v>
      </c>
      <c r="H392" s="169">
        <v>6000.0</v>
      </c>
      <c r="I392" s="169">
        <v>30000.0</v>
      </c>
      <c r="J392" s="169">
        <v>0.0</v>
      </c>
      <c r="K392" s="169">
        <v>5.0</v>
      </c>
      <c r="L392" s="169">
        <v>0.0</v>
      </c>
    </row>
    <row r="393" ht="14.25" customHeight="1">
      <c r="A393" s="169" t="s">
        <v>18810</v>
      </c>
      <c r="B393" s="169" t="s">
        <v>9292</v>
      </c>
      <c r="C393" s="169" t="s">
        <v>18627</v>
      </c>
      <c r="D393" s="169" t="str">
        <f t="shared" ref="D393:E393" si="261">"1035"</f>
        <v>1035</v>
      </c>
      <c r="E393" s="169" t="str">
        <f t="shared" si="261"/>
        <v>1035</v>
      </c>
      <c r="F393" s="169" t="s">
        <v>18811</v>
      </c>
      <c r="G393" s="169">
        <v>4.0</v>
      </c>
      <c r="H393" s="169">
        <v>12000.0</v>
      </c>
      <c r="I393" s="169">
        <v>48000.0</v>
      </c>
      <c r="J393" s="169">
        <v>0.0</v>
      </c>
      <c r="K393" s="169">
        <v>4.0</v>
      </c>
      <c r="L393" s="169">
        <v>0.0</v>
      </c>
    </row>
    <row r="394" ht="14.25" customHeight="1">
      <c r="A394" s="169" t="s">
        <v>18810</v>
      </c>
      <c r="B394" s="169" t="s">
        <v>9292</v>
      </c>
      <c r="C394" s="169" t="s">
        <v>18625</v>
      </c>
      <c r="D394" s="169" t="str">
        <f t="shared" ref="D394:E394" si="262">"1029"</f>
        <v>1029</v>
      </c>
      <c r="E394" s="169" t="str">
        <f t="shared" si="262"/>
        <v>1029</v>
      </c>
      <c r="F394" s="169" t="s">
        <v>18811</v>
      </c>
      <c r="G394" s="169">
        <v>5.0</v>
      </c>
      <c r="H394" s="169">
        <v>6000.0</v>
      </c>
      <c r="I394" s="169">
        <v>30000.0</v>
      </c>
      <c r="J394" s="169">
        <v>0.0</v>
      </c>
      <c r="K394" s="169">
        <v>5.0</v>
      </c>
      <c r="L394" s="169">
        <v>0.0</v>
      </c>
    </row>
    <row r="395" ht="14.25" customHeight="1">
      <c r="A395" s="169" t="s">
        <v>18810</v>
      </c>
      <c r="B395" s="169" t="s">
        <v>9292</v>
      </c>
      <c r="C395" s="169" t="s">
        <v>18623</v>
      </c>
      <c r="D395" s="169" t="str">
        <f t="shared" ref="D395:E395" si="263">"1053"</f>
        <v>1053</v>
      </c>
      <c r="E395" s="169" t="str">
        <f t="shared" si="263"/>
        <v>1053</v>
      </c>
      <c r="F395" s="169" t="s">
        <v>18811</v>
      </c>
      <c r="G395" s="169">
        <v>6.0</v>
      </c>
      <c r="H395" s="169">
        <v>11500.0</v>
      </c>
      <c r="I395" s="169">
        <v>69000.0</v>
      </c>
      <c r="J395" s="169">
        <v>0.0</v>
      </c>
      <c r="K395" s="169">
        <v>6.0</v>
      </c>
      <c r="L395" s="169">
        <v>0.0</v>
      </c>
    </row>
    <row r="396" ht="14.25" customHeight="1">
      <c r="A396" s="169" t="s">
        <v>18810</v>
      </c>
      <c r="B396" s="169" t="s">
        <v>9292</v>
      </c>
      <c r="C396" s="169" t="s">
        <v>18621</v>
      </c>
      <c r="D396" s="169" t="str">
        <f t="shared" ref="D396:E396" si="264">"1052"</f>
        <v>1052</v>
      </c>
      <c r="E396" s="169" t="str">
        <f t="shared" si="264"/>
        <v>1052</v>
      </c>
      <c r="F396" s="169" t="s">
        <v>18811</v>
      </c>
      <c r="G396" s="169">
        <v>6.0</v>
      </c>
      <c r="H396" s="169">
        <v>6000.0</v>
      </c>
      <c r="I396" s="169">
        <v>36000.0</v>
      </c>
      <c r="J396" s="169">
        <v>0.0</v>
      </c>
      <c r="K396" s="169">
        <v>6.0</v>
      </c>
      <c r="L396" s="169">
        <v>0.0</v>
      </c>
    </row>
    <row r="397" ht="14.25" customHeight="1">
      <c r="A397" s="169" t="s">
        <v>18810</v>
      </c>
      <c r="B397" s="169" t="s">
        <v>9292</v>
      </c>
      <c r="C397" s="169" t="s">
        <v>18619</v>
      </c>
      <c r="D397" s="169" t="str">
        <f t="shared" ref="D397:E397" si="265">"1010"</f>
        <v>1010</v>
      </c>
      <c r="E397" s="169" t="str">
        <f t="shared" si="265"/>
        <v>1010</v>
      </c>
      <c r="F397" s="169" t="s">
        <v>18811</v>
      </c>
      <c r="G397" s="169">
        <v>6.0</v>
      </c>
      <c r="H397" s="169">
        <v>10300.0</v>
      </c>
      <c r="I397" s="169">
        <v>61800.0</v>
      </c>
      <c r="J397" s="169">
        <v>0.0</v>
      </c>
      <c r="K397" s="169">
        <v>6.0</v>
      </c>
      <c r="L397" s="169">
        <v>0.0</v>
      </c>
    </row>
    <row r="398" ht="14.25" customHeight="1">
      <c r="A398" s="169" t="s">
        <v>18810</v>
      </c>
      <c r="B398" s="169" t="s">
        <v>9292</v>
      </c>
      <c r="C398" s="169" t="s">
        <v>18617</v>
      </c>
      <c r="D398" s="169" t="str">
        <f t="shared" ref="D398:E398" si="266">"1036"</f>
        <v>1036</v>
      </c>
      <c r="E398" s="169" t="str">
        <f t="shared" si="266"/>
        <v>1036</v>
      </c>
      <c r="F398" s="169" t="s">
        <v>18811</v>
      </c>
      <c r="G398" s="169">
        <v>6.0</v>
      </c>
      <c r="H398" s="169">
        <v>4700.0</v>
      </c>
      <c r="I398" s="169">
        <v>28200.0</v>
      </c>
      <c r="J398" s="169">
        <v>0.0</v>
      </c>
      <c r="K398" s="169">
        <v>6.0</v>
      </c>
      <c r="L398" s="169">
        <v>0.0</v>
      </c>
    </row>
    <row r="399" ht="14.25" customHeight="1">
      <c r="A399" s="169" t="s">
        <v>18810</v>
      </c>
      <c r="B399" s="169" t="s">
        <v>9292</v>
      </c>
      <c r="C399" s="169" t="s">
        <v>18615</v>
      </c>
      <c r="D399" s="169" t="str">
        <f t="shared" ref="D399:E399" si="267">"1015"</f>
        <v>1015</v>
      </c>
      <c r="E399" s="169" t="str">
        <f t="shared" si="267"/>
        <v>1015</v>
      </c>
      <c r="F399" s="169" t="s">
        <v>18811</v>
      </c>
      <c r="G399" s="169">
        <v>6.0</v>
      </c>
      <c r="H399" s="169">
        <v>3300.0</v>
      </c>
      <c r="I399" s="169">
        <v>19800.0</v>
      </c>
      <c r="J399" s="169">
        <v>0.0</v>
      </c>
      <c r="K399" s="169">
        <v>6.0</v>
      </c>
      <c r="L399" s="169">
        <v>0.0</v>
      </c>
    </row>
    <row r="400" ht="14.25" customHeight="1">
      <c r="A400" s="169" t="s">
        <v>9304</v>
      </c>
      <c r="B400" s="169" t="s">
        <v>18768</v>
      </c>
      <c r="C400" s="170"/>
      <c r="D400" s="169" t="str">
        <f>"Despacho-800"</f>
        <v>Despacho-800</v>
      </c>
      <c r="E400" s="169" t="str">
        <f>"1654525085674"</f>
        <v>1654525085674</v>
      </c>
      <c r="F400" s="169" t="s">
        <v>18811</v>
      </c>
      <c r="G400" s="169">
        <v>2.0</v>
      </c>
      <c r="H400" s="169">
        <v>672.0</v>
      </c>
      <c r="I400" s="169">
        <v>1344.0</v>
      </c>
      <c r="J400" s="169">
        <v>0.0</v>
      </c>
      <c r="K400" s="169">
        <v>2.0</v>
      </c>
      <c r="L400" s="169">
        <v>0.0</v>
      </c>
    </row>
    <row r="401" ht="14.25" customHeight="1">
      <c r="A401" s="169" t="s">
        <v>18416</v>
      </c>
      <c r="B401" s="169" t="s">
        <v>18416</v>
      </c>
      <c r="C401" s="169" t="s">
        <v>509</v>
      </c>
      <c r="D401" s="169" t="str">
        <f t="shared" ref="D401:E401" si="268">"70195455304569"</f>
        <v>70195455304569</v>
      </c>
      <c r="E401" s="169" t="str">
        <f t="shared" si="268"/>
        <v>70195455304569</v>
      </c>
      <c r="F401" s="169" t="s">
        <v>18811</v>
      </c>
      <c r="G401" s="169">
        <v>21.0</v>
      </c>
      <c r="H401" s="169">
        <v>2472.0</v>
      </c>
      <c r="I401" s="169">
        <v>51912.0</v>
      </c>
      <c r="J401" s="169">
        <v>0.0</v>
      </c>
      <c r="K401" s="169">
        <v>21.0</v>
      </c>
      <c r="L401" s="169">
        <v>0.0</v>
      </c>
    </row>
    <row r="402" ht="14.25" customHeight="1">
      <c r="A402" s="169" t="s">
        <v>18416</v>
      </c>
      <c r="B402" s="169" t="s">
        <v>18416</v>
      </c>
      <c r="C402" s="169" t="s">
        <v>510</v>
      </c>
      <c r="D402" s="169" t="str">
        <f t="shared" ref="D402:E402" si="269">"70195453061666"</f>
        <v>70195453061666</v>
      </c>
      <c r="E402" s="169" t="str">
        <f t="shared" si="269"/>
        <v>70195453061666</v>
      </c>
      <c r="F402" s="169" t="s">
        <v>18811</v>
      </c>
      <c r="G402" s="169">
        <v>21.0</v>
      </c>
      <c r="H402" s="169">
        <v>2472.0</v>
      </c>
      <c r="I402" s="169">
        <v>51912.0</v>
      </c>
      <c r="J402" s="169">
        <v>0.0</v>
      </c>
      <c r="K402" s="169">
        <v>21.0</v>
      </c>
      <c r="L402" s="169">
        <v>0.0</v>
      </c>
    </row>
    <row r="403" ht="14.25" customHeight="1">
      <c r="A403" s="169" t="s">
        <v>18416</v>
      </c>
      <c r="B403" s="169" t="s">
        <v>18416</v>
      </c>
      <c r="C403" s="169" t="s">
        <v>511</v>
      </c>
      <c r="D403" s="169" t="str">
        <f t="shared" ref="D403:E403" si="270">"70195454617300"</f>
        <v>70195454617300</v>
      </c>
      <c r="E403" s="169" t="str">
        <f t="shared" si="270"/>
        <v>70195454617300</v>
      </c>
      <c r="F403" s="169" t="s">
        <v>18811</v>
      </c>
      <c r="G403" s="169">
        <v>21.0</v>
      </c>
      <c r="H403" s="169">
        <v>2472.0</v>
      </c>
      <c r="I403" s="169">
        <v>51912.0</v>
      </c>
      <c r="J403" s="169">
        <v>0.0</v>
      </c>
      <c r="K403" s="169">
        <v>21.0</v>
      </c>
      <c r="L403" s="169">
        <v>0.0</v>
      </c>
    </row>
    <row r="404" ht="14.25" customHeight="1">
      <c r="A404" s="169" t="s">
        <v>18416</v>
      </c>
      <c r="B404" s="169" t="s">
        <v>18416</v>
      </c>
      <c r="C404" s="169" t="s">
        <v>512</v>
      </c>
      <c r="D404" s="169" t="str">
        <f t="shared" ref="D404:E404" si="271">"70195453981273"</f>
        <v>70195453981273</v>
      </c>
      <c r="E404" s="169" t="str">
        <f t="shared" si="271"/>
        <v>70195453981273</v>
      </c>
      <c r="F404" s="169" t="s">
        <v>18811</v>
      </c>
      <c r="G404" s="169">
        <v>21.0</v>
      </c>
      <c r="H404" s="169">
        <v>2472.0</v>
      </c>
      <c r="I404" s="169">
        <v>51912.0</v>
      </c>
      <c r="J404" s="169">
        <v>0.0</v>
      </c>
      <c r="K404" s="169">
        <v>21.0</v>
      </c>
      <c r="L404" s="169">
        <v>0.0</v>
      </c>
    </row>
    <row r="405" ht="14.25" customHeight="1">
      <c r="A405" s="169" t="s">
        <v>18416</v>
      </c>
      <c r="B405" s="169" t="s">
        <v>18416</v>
      </c>
      <c r="C405" s="169" t="s">
        <v>18423</v>
      </c>
      <c r="D405" s="169" t="str">
        <f t="shared" ref="D405:E405" si="272">"68433275901113"</f>
        <v>68433275901113</v>
      </c>
      <c r="E405" s="169" t="str">
        <f t="shared" si="272"/>
        <v>68433275901113</v>
      </c>
      <c r="F405" s="169" t="s">
        <v>18811</v>
      </c>
      <c r="G405" s="169">
        <v>40.0</v>
      </c>
      <c r="H405" s="169">
        <v>488.0</v>
      </c>
      <c r="I405" s="169">
        <v>19520.0</v>
      </c>
      <c r="J405" s="169">
        <v>0.0</v>
      </c>
      <c r="K405" s="169">
        <v>40.0</v>
      </c>
      <c r="L405" s="169">
        <v>0.0</v>
      </c>
    </row>
    <row r="406" ht="14.25" customHeight="1">
      <c r="A406" s="169" t="s">
        <v>18416</v>
      </c>
      <c r="B406" s="169" t="s">
        <v>18416</v>
      </c>
      <c r="C406" s="169" t="s">
        <v>18421</v>
      </c>
      <c r="D406" s="169" t="str">
        <f t="shared" ref="D406:E406" si="273">"68433278516107"</f>
        <v>68433278516107</v>
      </c>
      <c r="E406" s="169" t="str">
        <f t="shared" si="273"/>
        <v>68433278516107</v>
      </c>
      <c r="F406" s="169" t="s">
        <v>18811</v>
      </c>
      <c r="G406" s="169">
        <v>40.0</v>
      </c>
      <c r="H406" s="169">
        <v>488.0</v>
      </c>
      <c r="I406" s="169">
        <v>19520.0</v>
      </c>
      <c r="J406" s="169">
        <v>0.0</v>
      </c>
      <c r="K406" s="169">
        <v>40.0</v>
      </c>
      <c r="L406" s="169">
        <v>0.0</v>
      </c>
    </row>
    <row r="407" ht="14.25" customHeight="1">
      <c r="A407" s="169" t="s">
        <v>18416</v>
      </c>
      <c r="B407" s="169" t="s">
        <v>18416</v>
      </c>
      <c r="C407" s="169" t="s">
        <v>18419</v>
      </c>
      <c r="D407" s="169" t="str">
        <f t="shared" ref="D407:E407" si="274">"68433276883711"</f>
        <v>68433276883711</v>
      </c>
      <c r="E407" s="169" t="str">
        <f t="shared" si="274"/>
        <v>68433276883711</v>
      </c>
      <c r="F407" s="169" t="s">
        <v>18811</v>
      </c>
      <c r="G407" s="169">
        <v>40.0</v>
      </c>
      <c r="H407" s="169">
        <v>488.0</v>
      </c>
      <c r="I407" s="169">
        <v>19520.0</v>
      </c>
      <c r="J407" s="169">
        <v>0.0</v>
      </c>
      <c r="K407" s="169">
        <v>40.0</v>
      </c>
      <c r="L407" s="169">
        <v>0.0</v>
      </c>
    </row>
    <row r="408" ht="14.25" customHeight="1">
      <c r="A408" s="169" t="s">
        <v>18416</v>
      </c>
      <c r="B408" s="169" t="s">
        <v>18416</v>
      </c>
      <c r="C408" s="169" t="s">
        <v>18417</v>
      </c>
      <c r="D408" s="169" t="str">
        <f t="shared" ref="D408:E408" si="275">"68433280161720"</f>
        <v>68433280161720</v>
      </c>
      <c r="E408" s="169" t="str">
        <f t="shared" si="275"/>
        <v>68433280161720</v>
      </c>
      <c r="F408" s="169" t="s">
        <v>18811</v>
      </c>
      <c r="G408" s="169">
        <v>40.0</v>
      </c>
      <c r="H408" s="169">
        <v>488.0</v>
      </c>
      <c r="I408" s="169">
        <v>19520.0</v>
      </c>
      <c r="J408" s="169">
        <v>0.0</v>
      </c>
      <c r="K408" s="169">
        <v>40.0</v>
      </c>
      <c r="L408" s="169">
        <v>0.0</v>
      </c>
    </row>
    <row r="409" ht="14.25" customHeight="1">
      <c r="A409" s="169" t="s">
        <v>18714</v>
      </c>
      <c r="B409" s="169" t="s">
        <v>18752</v>
      </c>
      <c r="C409" s="170"/>
      <c r="D409" s="169" t="str">
        <f t="shared" ref="D409:E409" si="276">"66782888263789"</f>
        <v>66782888263789</v>
      </c>
      <c r="E409" s="169" t="str">
        <f t="shared" si="276"/>
        <v>66782888263789</v>
      </c>
      <c r="F409" s="169" t="s">
        <v>18811</v>
      </c>
      <c r="G409" s="169">
        <v>1.0</v>
      </c>
      <c r="H409" s="169">
        <v>5186.0</v>
      </c>
      <c r="I409" s="169">
        <v>5186.0</v>
      </c>
      <c r="J409" s="169">
        <v>0.0</v>
      </c>
      <c r="K409" s="169">
        <v>1.0</v>
      </c>
      <c r="L409" s="169">
        <v>0.0</v>
      </c>
    </row>
    <row r="410" ht="14.25" customHeight="1">
      <c r="A410" s="169" t="s">
        <v>18815</v>
      </c>
      <c r="B410" s="169" t="s">
        <v>9330</v>
      </c>
      <c r="C410" s="169" t="s">
        <v>17012</v>
      </c>
      <c r="D410" s="169" t="str">
        <f>"1657541006995"</f>
        <v>1657541006995</v>
      </c>
      <c r="E410" s="169" t="str">
        <f>"10080050430002"</f>
        <v>10080050430002</v>
      </c>
      <c r="F410" s="169" t="s">
        <v>18811</v>
      </c>
      <c r="G410" s="169">
        <v>8.0</v>
      </c>
      <c r="H410" s="169">
        <v>52935.0</v>
      </c>
      <c r="I410" s="169">
        <v>423480.0</v>
      </c>
      <c r="J410" s="169">
        <v>0.0</v>
      </c>
      <c r="K410" s="169">
        <v>8.0</v>
      </c>
      <c r="L410" s="169">
        <v>0.0</v>
      </c>
    </row>
    <row r="411" ht="14.25" customHeight="1">
      <c r="A411" s="169" t="s">
        <v>18815</v>
      </c>
      <c r="B411" s="169" t="s">
        <v>9330</v>
      </c>
      <c r="C411" s="169" t="s">
        <v>17010</v>
      </c>
      <c r="D411" s="169" t="str">
        <f>"7628744580164"</f>
        <v>7628744580164</v>
      </c>
      <c r="E411" s="169" t="str">
        <f>"10080100230101"</f>
        <v>10080100230101</v>
      </c>
      <c r="F411" s="169" t="s">
        <v>18811</v>
      </c>
      <c r="G411" s="169">
        <v>16.0</v>
      </c>
      <c r="H411" s="169">
        <v>52935.0</v>
      </c>
      <c r="I411" s="169">
        <v>846960.0</v>
      </c>
      <c r="J411" s="169">
        <v>0.0</v>
      </c>
      <c r="K411" s="169">
        <v>16.0</v>
      </c>
      <c r="L411" s="169">
        <v>0.0</v>
      </c>
    </row>
    <row r="412" ht="14.25" customHeight="1">
      <c r="A412" s="169" t="s">
        <v>18815</v>
      </c>
      <c r="B412" s="169" t="s">
        <v>9330</v>
      </c>
      <c r="C412" s="169" t="s">
        <v>9333</v>
      </c>
      <c r="D412" s="169" t="str">
        <f>"7628744580171"</f>
        <v>7628744580171</v>
      </c>
      <c r="E412" s="169" t="str">
        <f>"10080100230102"</f>
        <v>10080100230102</v>
      </c>
      <c r="F412" s="169" t="s">
        <v>18811</v>
      </c>
      <c r="G412" s="169">
        <v>7.0</v>
      </c>
      <c r="H412" s="169">
        <v>52935.0</v>
      </c>
      <c r="I412" s="169">
        <v>370545.0</v>
      </c>
      <c r="J412" s="169">
        <v>0.0</v>
      </c>
      <c r="K412" s="169">
        <v>7.0</v>
      </c>
      <c r="L412" s="169">
        <v>0.0</v>
      </c>
    </row>
    <row r="413" ht="14.25" customHeight="1">
      <c r="A413" s="169" t="s">
        <v>18815</v>
      </c>
      <c r="B413" s="169" t="s">
        <v>9330</v>
      </c>
      <c r="C413" s="169" t="s">
        <v>9334</v>
      </c>
      <c r="D413" s="169" t="str">
        <f>"7628744580188"</f>
        <v>7628744580188</v>
      </c>
      <c r="E413" s="169" t="str">
        <f>"10080100230103"</f>
        <v>10080100230103</v>
      </c>
      <c r="F413" s="169" t="s">
        <v>18811</v>
      </c>
      <c r="G413" s="169">
        <v>4.0</v>
      </c>
      <c r="H413" s="169">
        <v>52935.0</v>
      </c>
      <c r="I413" s="169">
        <v>211740.0</v>
      </c>
      <c r="J413" s="169">
        <v>0.0</v>
      </c>
      <c r="K413" s="169">
        <v>4.0</v>
      </c>
      <c r="L413" s="169">
        <v>1.0</v>
      </c>
    </row>
    <row r="414" ht="14.25" customHeight="1">
      <c r="A414" s="169" t="s">
        <v>18815</v>
      </c>
      <c r="B414" s="169" t="s">
        <v>9330</v>
      </c>
      <c r="C414" s="169" t="s">
        <v>17006</v>
      </c>
      <c r="D414" s="169" t="str">
        <f>"7628744580201"</f>
        <v>7628744580201</v>
      </c>
      <c r="E414" s="169" t="str">
        <f>"10080100220107"</f>
        <v>10080100220107</v>
      </c>
      <c r="F414" s="169" t="s">
        <v>18811</v>
      </c>
      <c r="G414" s="169">
        <v>7.0</v>
      </c>
      <c r="H414" s="169">
        <v>110078.0</v>
      </c>
      <c r="I414" s="169">
        <v>770546.0</v>
      </c>
      <c r="J414" s="169">
        <v>0.0</v>
      </c>
      <c r="K414" s="169">
        <v>7.0</v>
      </c>
      <c r="L414" s="169">
        <v>0.0</v>
      </c>
    </row>
    <row r="415" ht="14.25" customHeight="1">
      <c r="A415" s="169" t="s">
        <v>18815</v>
      </c>
      <c r="B415" s="169" t="s">
        <v>9330</v>
      </c>
      <c r="C415" s="169" t="s">
        <v>17004</v>
      </c>
      <c r="D415" s="169" t="str">
        <f>"7628744580195"</f>
        <v>7628744580195</v>
      </c>
      <c r="E415" s="169" t="str">
        <f>"10080100220101"</f>
        <v>10080100220101</v>
      </c>
      <c r="F415" s="169" t="s">
        <v>18811</v>
      </c>
      <c r="G415" s="169">
        <v>6.0</v>
      </c>
      <c r="H415" s="169">
        <v>99994.0</v>
      </c>
      <c r="I415" s="169">
        <v>599964.0</v>
      </c>
      <c r="J415" s="169">
        <v>0.0</v>
      </c>
      <c r="K415" s="169">
        <v>6.0</v>
      </c>
      <c r="L415" s="169">
        <v>0.0</v>
      </c>
    </row>
    <row r="416" ht="14.25" customHeight="1">
      <c r="A416" s="169" t="s">
        <v>18815</v>
      </c>
      <c r="B416" s="169" t="s">
        <v>9330</v>
      </c>
      <c r="C416" s="169" t="s">
        <v>17002</v>
      </c>
      <c r="D416" s="169" t="str">
        <f>"7628744580218"</f>
        <v>7628744580218</v>
      </c>
      <c r="E416" s="169" t="str">
        <f>"10080100220103"</f>
        <v>10080100220103</v>
      </c>
      <c r="F416" s="169" t="s">
        <v>18811</v>
      </c>
      <c r="G416" s="169">
        <v>6.0</v>
      </c>
      <c r="H416" s="169">
        <v>94112.0</v>
      </c>
      <c r="I416" s="169">
        <v>564672.0</v>
      </c>
      <c r="J416" s="169">
        <v>0.0</v>
      </c>
      <c r="K416" s="169">
        <v>6.0</v>
      </c>
      <c r="L416" s="169">
        <v>0.0</v>
      </c>
    </row>
    <row r="417" ht="14.25" customHeight="1">
      <c r="A417" s="169" t="s">
        <v>18815</v>
      </c>
      <c r="B417" s="169" t="s">
        <v>9330</v>
      </c>
      <c r="C417" s="169" t="s">
        <v>9344</v>
      </c>
      <c r="D417" s="169" t="str">
        <f>"7628744580249"</f>
        <v>7628744580249</v>
      </c>
      <c r="E417" s="169" t="str">
        <f>"10080110250140"</f>
        <v>10080110250140</v>
      </c>
      <c r="F417" s="169" t="s">
        <v>18811</v>
      </c>
      <c r="G417" s="169">
        <v>1.0</v>
      </c>
      <c r="H417" s="169">
        <v>76465.0</v>
      </c>
      <c r="I417" s="169">
        <v>76465.0</v>
      </c>
      <c r="J417" s="169">
        <v>0.0</v>
      </c>
      <c r="K417" s="169">
        <v>1.0</v>
      </c>
      <c r="L417" s="169">
        <v>0.0</v>
      </c>
    </row>
    <row r="418" ht="14.25" customHeight="1">
      <c r="A418" s="169" t="s">
        <v>18815</v>
      </c>
      <c r="B418" s="169" t="s">
        <v>9330</v>
      </c>
      <c r="C418" s="169" t="s">
        <v>16999</v>
      </c>
      <c r="D418" s="169" t="str">
        <f t="shared" ref="D418:E418" si="277">"10030030120102"</f>
        <v>10030030120102</v>
      </c>
      <c r="E418" s="169" t="str">
        <f t="shared" si="277"/>
        <v>10030030120102</v>
      </c>
      <c r="F418" s="169" t="s">
        <v>18811</v>
      </c>
      <c r="G418" s="169">
        <v>3.0</v>
      </c>
      <c r="H418" s="169">
        <v>105876.0</v>
      </c>
      <c r="I418" s="169">
        <v>317628.0</v>
      </c>
      <c r="J418" s="169">
        <v>0.0</v>
      </c>
      <c r="K418" s="169">
        <v>3.0</v>
      </c>
      <c r="L418" s="169">
        <v>0.0</v>
      </c>
    </row>
    <row r="419" ht="14.25" customHeight="1">
      <c r="A419" s="169" t="s">
        <v>18815</v>
      </c>
      <c r="B419" s="169" t="s">
        <v>9330</v>
      </c>
      <c r="C419" s="169" t="s">
        <v>16997</v>
      </c>
      <c r="D419" s="169" t="str">
        <f>"7628744580430"</f>
        <v>7628744580430</v>
      </c>
      <c r="E419" s="169" t="str">
        <f>"10080050240002"</f>
        <v>10080050240002</v>
      </c>
      <c r="F419" s="169" t="s">
        <v>18811</v>
      </c>
      <c r="G419" s="169">
        <v>5.0</v>
      </c>
      <c r="H419" s="169">
        <v>64700.0</v>
      </c>
      <c r="I419" s="169">
        <v>323500.0</v>
      </c>
      <c r="J419" s="169">
        <v>0.0</v>
      </c>
      <c r="K419" s="169">
        <v>5.0</v>
      </c>
      <c r="L419" s="169">
        <v>0.0</v>
      </c>
    </row>
    <row r="420" ht="14.25" customHeight="1">
      <c r="A420" s="169" t="s">
        <v>18815</v>
      </c>
      <c r="B420" s="169" t="s">
        <v>9330</v>
      </c>
      <c r="C420" s="169" t="s">
        <v>16995</v>
      </c>
      <c r="D420" s="169" t="str">
        <f>"7628744580423"</f>
        <v>7628744580423</v>
      </c>
      <c r="E420" s="169" t="str">
        <f>"10080050230002"</f>
        <v>10080050230002</v>
      </c>
      <c r="F420" s="169" t="s">
        <v>18811</v>
      </c>
      <c r="G420" s="169">
        <v>23.0</v>
      </c>
      <c r="H420" s="169">
        <v>35288.0</v>
      </c>
      <c r="I420" s="169">
        <v>811624.0</v>
      </c>
      <c r="J420" s="169">
        <v>0.0</v>
      </c>
      <c r="K420" s="169">
        <v>23.0</v>
      </c>
      <c r="L420" s="169">
        <v>0.0</v>
      </c>
    </row>
    <row r="421" ht="14.25" customHeight="1">
      <c r="A421" s="169" t="s">
        <v>18815</v>
      </c>
      <c r="B421" s="169" t="s">
        <v>9330</v>
      </c>
      <c r="C421" s="169" t="s">
        <v>16993</v>
      </c>
      <c r="D421" s="169" t="str">
        <f>"69351444338708"</f>
        <v>69351444338708</v>
      </c>
      <c r="E421" s="169" t="str">
        <f>"10080050260002"</f>
        <v>10080050260002</v>
      </c>
      <c r="F421" s="169" t="s">
        <v>18811</v>
      </c>
      <c r="G421" s="169">
        <v>17.0</v>
      </c>
      <c r="H421" s="169">
        <v>88229.0</v>
      </c>
      <c r="I421" s="169">
        <v>1499893.0</v>
      </c>
      <c r="J421" s="169">
        <v>0.0</v>
      </c>
      <c r="K421" s="169">
        <v>17.0</v>
      </c>
      <c r="L421" s="169">
        <v>0.0</v>
      </c>
    </row>
    <row r="422" ht="14.25" customHeight="1">
      <c r="A422" s="169" t="s">
        <v>18815</v>
      </c>
      <c r="B422" s="169" t="s">
        <v>9330</v>
      </c>
      <c r="C422" s="169" t="s">
        <v>16991</v>
      </c>
      <c r="D422" s="169" t="str">
        <f t="shared" ref="D422:E422" si="278">"10030050150102"</f>
        <v>10030050150102</v>
      </c>
      <c r="E422" s="169" t="str">
        <f t="shared" si="278"/>
        <v>10030050150102</v>
      </c>
      <c r="F422" s="169" t="s">
        <v>18811</v>
      </c>
      <c r="G422" s="169">
        <v>16.0</v>
      </c>
      <c r="H422" s="169">
        <v>82347.0</v>
      </c>
      <c r="I422" s="169">
        <v>1317552.0</v>
      </c>
      <c r="J422" s="169">
        <v>0.0</v>
      </c>
      <c r="K422" s="169">
        <v>16.0</v>
      </c>
      <c r="L422" s="169">
        <v>0.0</v>
      </c>
    </row>
    <row r="423" ht="14.25" customHeight="1">
      <c r="A423" s="169" t="s">
        <v>18815</v>
      </c>
      <c r="B423" s="169" t="s">
        <v>9330</v>
      </c>
      <c r="C423" s="169" t="s">
        <v>16989</v>
      </c>
      <c r="D423" s="169" t="str">
        <f>"7628744580447"</f>
        <v>7628744580447</v>
      </c>
      <c r="E423" s="169" t="str">
        <f>"10080050250002"</f>
        <v>10080050250002</v>
      </c>
      <c r="F423" s="169" t="s">
        <v>18811</v>
      </c>
      <c r="G423" s="169">
        <v>7.0</v>
      </c>
      <c r="H423" s="169">
        <v>76465.0</v>
      </c>
      <c r="I423" s="169">
        <v>535255.0</v>
      </c>
      <c r="J423" s="169">
        <v>0.0</v>
      </c>
      <c r="K423" s="169">
        <v>7.0</v>
      </c>
      <c r="L423" s="169">
        <v>0.0</v>
      </c>
    </row>
    <row r="424" ht="14.25" customHeight="1">
      <c r="A424" s="169" t="s">
        <v>18815</v>
      </c>
      <c r="B424" s="169" t="s">
        <v>9330</v>
      </c>
      <c r="C424" s="169" t="s">
        <v>16987</v>
      </c>
      <c r="D424" s="169" t="str">
        <f>"1649798736612"</f>
        <v>1649798736612</v>
      </c>
      <c r="E424" s="169" t="str">
        <f>"10080120420040"</f>
        <v>10080120420040</v>
      </c>
      <c r="F424" s="169" t="s">
        <v>18811</v>
      </c>
      <c r="G424" s="169">
        <v>3.0</v>
      </c>
      <c r="H424" s="169">
        <v>55792.6</v>
      </c>
      <c r="I424" s="169">
        <v>167378.0</v>
      </c>
      <c r="J424" s="169">
        <v>0.0</v>
      </c>
      <c r="K424" s="169">
        <v>3.0</v>
      </c>
      <c r="L424" s="169">
        <v>0.0</v>
      </c>
    </row>
    <row r="425" ht="14.25" customHeight="1">
      <c r="A425" s="169" t="s">
        <v>18815</v>
      </c>
      <c r="B425" s="169" t="s">
        <v>9330</v>
      </c>
      <c r="C425" s="169" t="s">
        <v>16985</v>
      </c>
      <c r="D425" s="169" t="str">
        <f>"7628744580348"</f>
        <v>7628744580348</v>
      </c>
      <c r="E425" s="169" t="str">
        <f>"10080150490001"</f>
        <v>10080150490001</v>
      </c>
      <c r="F425" s="169" t="s">
        <v>18811</v>
      </c>
      <c r="G425" s="169">
        <v>43.0</v>
      </c>
      <c r="H425" s="169">
        <v>12552.0</v>
      </c>
      <c r="I425" s="169">
        <v>539736.0</v>
      </c>
      <c r="J425" s="169">
        <v>0.0</v>
      </c>
      <c r="K425" s="169">
        <v>43.0</v>
      </c>
      <c r="L425" s="169">
        <v>1.0</v>
      </c>
    </row>
    <row r="426" ht="14.25" customHeight="1">
      <c r="A426" s="169" t="s">
        <v>18815</v>
      </c>
      <c r="B426" s="169" t="s">
        <v>9330</v>
      </c>
      <c r="C426" s="169" t="s">
        <v>16983</v>
      </c>
      <c r="D426" s="169" t="str">
        <f>"7628744580331"</f>
        <v>7628744580331</v>
      </c>
      <c r="E426" s="169" t="str">
        <f>"10080150490002"</f>
        <v>10080150490002</v>
      </c>
      <c r="F426" s="169" t="s">
        <v>18811</v>
      </c>
      <c r="G426" s="169">
        <v>66.0</v>
      </c>
      <c r="H426" s="169">
        <v>12935.0</v>
      </c>
      <c r="I426" s="169">
        <v>853710.0</v>
      </c>
      <c r="J426" s="169">
        <v>0.0</v>
      </c>
      <c r="K426" s="169">
        <v>66.0</v>
      </c>
      <c r="L426" s="169">
        <v>0.0</v>
      </c>
    </row>
    <row r="427" ht="14.25" customHeight="1">
      <c r="A427" s="169" t="s">
        <v>18815</v>
      </c>
      <c r="B427" s="169" t="s">
        <v>9330</v>
      </c>
      <c r="C427" s="169" t="s">
        <v>16981</v>
      </c>
      <c r="D427" s="169" t="str">
        <f>"69299006511365"</f>
        <v>69299006511365</v>
      </c>
      <c r="E427" s="169" t="str">
        <f>"10100150210007"</f>
        <v>10100150210007</v>
      </c>
      <c r="F427" s="169" t="s">
        <v>18811</v>
      </c>
      <c r="G427" s="169">
        <v>12.0</v>
      </c>
      <c r="H427" s="169">
        <v>23524.0</v>
      </c>
      <c r="I427" s="169">
        <v>282288.0</v>
      </c>
      <c r="J427" s="169">
        <v>0.0</v>
      </c>
      <c r="K427" s="169">
        <v>12.0</v>
      </c>
      <c r="L427" s="169">
        <v>0.0</v>
      </c>
    </row>
    <row r="428" ht="14.25" customHeight="1">
      <c r="A428" s="169" t="s">
        <v>18815</v>
      </c>
      <c r="B428" s="169" t="s">
        <v>9330</v>
      </c>
      <c r="C428" s="169" t="s">
        <v>16979</v>
      </c>
      <c r="D428" s="169" t="str">
        <f>"7628744580515"</f>
        <v>7628744580515</v>
      </c>
      <c r="E428" s="169" t="str">
        <f>"10080050320007"</f>
        <v>10080050320007</v>
      </c>
      <c r="F428" s="169" t="s">
        <v>18811</v>
      </c>
      <c r="G428" s="169">
        <v>3.0</v>
      </c>
      <c r="H428" s="169">
        <v>26465.0</v>
      </c>
      <c r="I428" s="169">
        <v>79395.0</v>
      </c>
      <c r="J428" s="169">
        <v>0.0</v>
      </c>
      <c r="K428" s="169">
        <v>3.0</v>
      </c>
      <c r="L428" s="169">
        <v>0.0</v>
      </c>
    </row>
    <row r="429" ht="14.25" customHeight="1">
      <c r="A429" s="169" t="s">
        <v>18815</v>
      </c>
      <c r="B429" s="169" t="s">
        <v>9330</v>
      </c>
      <c r="C429" s="169" t="s">
        <v>16977</v>
      </c>
      <c r="D429" s="169" t="str">
        <f>"7628744580522"</f>
        <v>7628744580522</v>
      </c>
      <c r="E429" s="169" t="str">
        <f>"10080050330007"</f>
        <v>10080050330007</v>
      </c>
      <c r="F429" s="169" t="s">
        <v>18811</v>
      </c>
      <c r="G429" s="169">
        <v>4.0</v>
      </c>
      <c r="H429" s="169">
        <v>47053.0</v>
      </c>
      <c r="I429" s="169">
        <v>188212.0</v>
      </c>
      <c r="J429" s="169">
        <v>0.0</v>
      </c>
      <c r="K429" s="169">
        <v>4.0</v>
      </c>
      <c r="L429" s="169">
        <v>0.0</v>
      </c>
    </row>
    <row r="430" ht="14.25" customHeight="1">
      <c r="A430" s="169" t="s">
        <v>18815</v>
      </c>
      <c r="B430" s="169" t="s">
        <v>9330</v>
      </c>
      <c r="C430" s="169" t="s">
        <v>16975</v>
      </c>
      <c r="D430" s="169" t="str">
        <f>"7628744580539"</f>
        <v>7628744580539</v>
      </c>
      <c r="E430" s="169" t="str">
        <f>"10080050340007"</f>
        <v>10080050340007</v>
      </c>
      <c r="F430" s="169" t="s">
        <v>18811</v>
      </c>
      <c r="G430" s="169">
        <v>5.0</v>
      </c>
      <c r="H430" s="169">
        <v>70582.0</v>
      </c>
      <c r="I430" s="169">
        <v>352910.0</v>
      </c>
      <c r="J430" s="169">
        <v>0.0</v>
      </c>
      <c r="K430" s="169">
        <v>5.0</v>
      </c>
      <c r="L430" s="169">
        <v>0.0</v>
      </c>
    </row>
    <row r="431" ht="14.25" customHeight="1">
      <c r="A431" s="169" t="s">
        <v>18815</v>
      </c>
      <c r="B431" s="169" t="s">
        <v>9330</v>
      </c>
      <c r="C431" s="169" t="s">
        <v>16973</v>
      </c>
      <c r="D431" s="169" t="str">
        <f t="shared" ref="D431:E431" si="279">"10070050170103"</f>
        <v>10070050170103</v>
      </c>
      <c r="E431" s="169" t="str">
        <f t="shared" si="279"/>
        <v>10070050170103</v>
      </c>
      <c r="F431" s="169" t="s">
        <v>18811</v>
      </c>
      <c r="G431" s="169">
        <v>8.0</v>
      </c>
      <c r="H431" s="169">
        <v>72052.8</v>
      </c>
      <c r="I431" s="169">
        <v>576422.0</v>
      </c>
      <c r="J431" s="169">
        <v>0.0</v>
      </c>
      <c r="K431" s="169">
        <v>8.0</v>
      </c>
      <c r="L431" s="169">
        <v>0.0</v>
      </c>
    </row>
    <row r="432" ht="14.25" customHeight="1">
      <c r="A432" s="169" t="s">
        <v>18815</v>
      </c>
      <c r="B432" s="169" t="s">
        <v>9330</v>
      </c>
      <c r="C432" s="169" t="s">
        <v>16971</v>
      </c>
      <c r="D432" s="169" t="str">
        <f>"1653683168850"</f>
        <v>1653683168850</v>
      </c>
      <c r="E432" s="169" t="str">
        <f>"10040010400101"</f>
        <v>10040010400101</v>
      </c>
      <c r="F432" s="169" t="s">
        <v>18811</v>
      </c>
      <c r="G432" s="169">
        <v>2.0</v>
      </c>
      <c r="H432" s="169">
        <v>588229.0</v>
      </c>
      <c r="I432" s="169">
        <v>1176458.0</v>
      </c>
      <c r="J432" s="169">
        <v>0.0</v>
      </c>
      <c r="K432" s="169">
        <v>2.0</v>
      </c>
      <c r="L432" s="169">
        <v>0.0</v>
      </c>
    </row>
    <row r="433" ht="14.25" customHeight="1">
      <c r="A433" s="169" t="s">
        <v>18815</v>
      </c>
      <c r="B433" s="169" t="s">
        <v>9330</v>
      </c>
      <c r="C433" s="169" t="s">
        <v>16969</v>
      </c>
      <c r="D433" s="169" t="str">
        <f t="shared" ref="D433:E433" si="280">"10030030110102"</f>
        <v>10030030110102</v>
      </c>
      <c r="E433" s="169" t="str">
        <f t="shared" si="280"/>
        <v>10030030110102</v>
      </c>
      <c r="F433" s="169" t="s">
        <v>18811</v>
      </c>
      <c r="G433" s="169">
        <v>4.0</v>
      </c>
      <c r="H433" s="169">
        <v>29406.0</v>
      </c>
      <c r="I433" s="169">
        <v>117624.0</v>
      </c>
      <c r="J433" s="169">
        <v>0.0</v>
      </c>
      <c r="K433" s="169">
        <v>4.0</v>
      </c>
      <c r="L433" s="169">
        <v>0.0</v>
      </c>
    </row>
    <row r="434" ht="14.25" customHeight="1">
      <c r="A434" s="169" t="s">
        <v>18815</v>
      </c>
      <c r="B434" s="169" t="s">
        <v>9330</v>
      </c>
      <c r="C434" s="169" t="s">
        <v>16967</v>
      </c>
      <c r="D434" s="169" t="str">
        <f t="shared" ref="D434:E434" si="281">"10020020060102"</f>
        <v>10020020060102</v>
      </c>
      <c r="E434" s="169" t="str">
        <f t="shared" si="281"/>
        <v>10020020060102</v>
      </c>
      <c r="F434" s="169" t="s">
        <v>18811</v>
      </c>
      <c r="G434" s="169">
        <v>1.0</v>
      </c>
      <c r="H434" s="169">
        <v>52935.0</v>
      </c>
      <c r="I434" s="169">
        <v>52935.0</v>
      </c>
      <c r="J434" s="169">
        <v>0.0</v>
      </c>
      <c r="K434" s="169">
        <v>1.0</v>
      </c>
      <c r="L434" s="169">
        <v>0.0</v>
      </c>
    </row>
    <row r="435" ht="14.25" customHeight="1">
      <c r="A435" s="169" t="s">
        <v>18815</v>
      </c>
      <c r="B435" s="169" t="s">
        <v>9330</v>
      </c>
      <c r="C435" s="169" t="s">
        <v>16965</v>
      </c>
      <c r="D435" s="169" t="str">
        <f t="shared" ref="D435:E435" si="282">"10020020040103"</f>
        <v>10020020040103</v>
      </c>
      <c r="E435" s="169" t="str">
        <f t="shared" si="282"/>
        <v>10020020040103</v>
      </c>
      <c r="F435" s="169" t="s">
        <v>18811</v>
      </c>
      <c r="G435" s="169">
        <v>9.0</v>
      </c>
      <c r="H435" s="169">
        <v>35141.7</v>
      </c>
      <c r="I435" s="169">
        <v>316275.0</v>
      </c>
      <c r="J435" s="169">
        <v>0.0</v>
      </c>
      <c r="K435" s="169">
        <v>9.0</v>
      </c>
      <c r="L435" s="169">
        <v>0.0</v>
      </c>
    </row>
    <row r="436" ht="14.25" customHeight="1">
      <c r="A436" s="169" t="s">
        <v>18815</v>
      </c>
      <c r="B436" s="169" t="s">
        <v>9330</v>
      </c>
      <c r="C436" s="169" t="s">
        <v>16963</v>
      </c>
      <c r="D436" s="169" t="str">
        <f t="shared" ref="D436:E436" si="283">"10020020080107"</f>
        <v>10020020080107</v>
      </c>
      <c r="E436" s="169" t="str">
        <f t="shared" si="283"/>
        <v>10020020080107</v>
      </c>
      <c r="F436" s="169" t="s">
        <v>18811</v>
      </c>
      <c r="G436" s="169">
        <v>1.0</v>
      </c>
      <c r="H436" s="169">
        <v>64700.0</v>
      </c>
      <c r="I436" s="169">
        <v>64700.0</v>
      </c>
      <c r="J436" s="169">
        <v>0.0</v>
      </c>
      <c r="K436" s="169">
        <v>1.0</v>
      </c>
      <c r="L436" s="169">
        <v>0.0</v>
      </c>
    </row>
    <row r="437" ht="14.25" customHeight="1">
      <c r="A437" s="169" t="s">
        <v>18815</v>
      </c>
      <c r="B437" s="169" t="s">
        <v>9330</v>
      </c>
      <c r="C437" s="169" t="s">
        <v>16961</v>
      </c>
      <c r="D437" s="169" t="str">
        <f>"7628744580553"</f>
        <v>7628744580553</v>
      </c>
      <c r="E437" s="169" t="str">
        <f>"10100130360002"</f>
        <v>10100130360002</v>
      </c>
      <c r="F437" s="169" t="s">
        <v>18811</v>
      </c>
      <c r="G437" s="169">
        <v>2.0</v>
      </c>
      <c r="H437" s="169">
        <v>23524.0</v>
      </c>
      <c r="I437" s="169">
        <v>47048.0</v>
      </c>
      <c r="J437" s="169">
        <v>0.0</v>
      </c>
      <c r="K437" s="169">
        <v>2.0</v>
      </c>
      <c r="L437" s="169">
        <v>0.0</v>
      </c>
    </row>
    <row r="438" ht="14.25" customHeight="1">
      <c r="A438" s="169" t="s">
        <v>18815</v>
      </c>
      <c r="B438" s="169" t="s">
        <v>9330</v>
      </c>
      <c r="C438" s="169" t="s">
        <v>16959</v>
      </c>
      <c r="D438" s="169" t="str">
        <f>"7628744580416"</f>
        <v>7628744580416</v>
      </c>
      <c r="E438" s="169" t="str">
        <f>"10080130220002"</f>
        <v>10080130220002</v>
      </c>
      <c r="F438" s="169" t="s">
        <v>18811</v>
      </c>
      <c r="G438" s="169">
        <v>7.0</v>
      </c>
      <c r="H438" s="169">
        <v>32347.0</v>
      </c>
      <c r="I438" s="169">
        <v>226429.0</v>
      </c>
      <c r="J438" s="169">
        <v>0.0</v>
      </c>
      <c r="K438" s="169">
        <v>7.0</v>
      </c>
      <c r="L438" s="169">
        <v>0.0</v>
      </c>
    </row>
    <row r="439" ht="14.25" customHeight="1">
      <c r="A439" s="169" t="s">
        <v>18815</v>
      </c>
      <c r="B439" s="169" t="s">
        <v>9330</v>
      </c>
      <c r="C439" s="169" t="s">
        <v>9368</v>
      </c>
      <c r="D439" s="169" t="str">
        <f>"7628744580294"</f>
        <v>7628744580294</v>
      </c>
      <c r="E439" s="169" t="str">
        <f>"10090050450000"</f>
        <v>10090050450000</v>
      </c>
      <c r="F439" s="169" t="s">
        <v>18811</v>
      </c>
      <c r="G439" s="169">
        <v>5.0</v>
      </c>
      <c r="H439" s="169">
        <v>88229.0</v>
      </c>
      <c r="I439" s="169">
        <v>441145.0</v>
      </c>
      <c r="J439" s="169">
        <v>0.0</v>
      </c>
      <c r="K439" s="169">
        <v>5.0</v>
      </c>
      <c r="L439" s="169">
        <v>0.0</v>
      </c>
    </row>
    <row r="440" ht="14.25" customHeight="1">
      <c r="A440" s="169" t="s">
        <v>18815</v>
      </c>
      <c r="B440" s="169" t="s">
        <v>9330</v>
      </c>
      <c r="C440" s="169" t="s">
        <v>9415</v>
      </c>
      <c r="D440" s="169" t="str">
        <f>"1657540969276"</f>
        <v>1657540969276</v>
      </c>
      <c r="E440" s="169" t="str">
        <f>"10090130460000"</f>
        <v>10090130460000</v>
      </c>
      <c r="F440" s="169" t="s">
        <v>18811</v>
      </c>
      <c r="G440" s="169">
        <v>11.0</v>
      </c>
      <c r="H440" s="169">
        <v>75206.7</v>
      </c>
      <c r="I440" s="169">
        <v>827274.0</v>
      </c>
      <c r="J440" s="169">
        <v>0.0</v>
      </c>
      <c r="K440" s="169">
        <v>11.0</v>
      </c>
      <c r="L440" s="169">
        <v>0.0</v>
      </c>
    </row>
    <row r="441" ht="14.25" customHeight="1">
      <c r="A441" s="169" t="s">
        <v>18815</v>
      </c>
      <c r="B441" s="169" t="s">
        <v>9330</v>
      </c>
      <c r="C441" s="169" t="s">
        <v>16955</v>
      </c>
      <c r="D441" s="169" t="str">
        <f t="shared" ref="D441:E441" si="284">"10040010010201"</f>
        <v>10040010010201</v>
      </c>
      <c r="E441" s="169" t="str">
        <f t="shared" si="284"/>
        <v>10040010010201</v>
      </c>
      <c r="F441" s="169" t="s">
        <v>18811</v>
      </c>
      <c r="G441" s="169">
        <v>3.0</v>
      </c>
      <c r="H441" s="169">
        <v>367641.0</v>
      </c>
      <c r="I441" s="169">
        <v>1102923.0</v>
      </c>
      <c r="J441" s="169">
        <v>0.0</v>
      </c>
      <c r="K441" s="169">
        <v>3.0</v>
      </c>
      <c r="L441" s="169">
        <v>0.0</v>
      </c>
    </row>
    <row r="442" ht="14.25" customHeight="1">
      <c r="A442" s="169" t="s">
        <v>18815</v>
      </c>
      <c r="B442" s="169" t="s">
        <v>9330</v>
      </c>
      <c r="C442" s="169" t="s">
        <v>16953</v>
      </c>
      <c r="D442" s="169" t="str">
        <f t="shared" ref="D442:E442" si="285">"10040010030101"</f>
        <v>10040010030101</v>
      </c>
      <c r="E442" s="169" t="str">
        <f t="shared" si="285"/>
        <v>10040010030101</v>
      </c>
      <c r="F442" s="169" t="s">
        <v>18811</v>
      </c>
      <c r="G442" s="169">
        <v>4.0</v>
      </c>
      <c r="H442" s="169">
        <v>164700.0</v>
      </c>
      <c r="I442" s="169">
        <v>658800.0</v>
      </c>
      <c r="J442" s="169">
        <v>0.0</v>
      </c>
      <c r="K442" s="169">
        <v>4.0</v>
      </c>
      <c r="L442" s="169">
        <v>0.0</v>
      </c>
    </row>
    <row r="443" ht="14.25" customHeight="1">
      <c r="A443" s="169" t="s">
        <v>18815</v>
      </c>
      <c r="B443" s="169" t="s">
        <v>9330</v>
      </c>
      <c r="C443" s="169" t="s">
        <v>16951</v>
      </c>
      <c r="D443" s="169" t="str">
        <f t="shared" ref="D443:E443" si="286">"10040010020401"</f>
        <v>10040010020401</v>
      </c>
      <c r="E443" s="169" t="str">
        <f t="shared" si="286"/>
        <v>10040010020401</v>
      </c>
      <c r="F443" s="169" t="s">
        <v>18811</v>
      </c>
      <c r="G443" s="169">
        <v>1.0</v>
      </c>
      <c r="H443" s="169">
        <v>205876.0</v>
      </c>
      <c r="I443" s="169">
        <v>205876.0</v>
      </c>
      <c r="J443" s="169">
        <v>0.0</v>
      </c>
      <c r="K443" s="169">
        <v>1.0</v>
      </c>
      <c r="L443" s="169">
        <v>0.0</v>
      </c>
    </row>
    <row r="444" ht="14.25" customHeight="1">
      <c r="A444" s="169" t="s">
        <v>18815</v>
      </c>
      <c r="B444" s="169" t="s">
        <v>9330</v>
      </c>
      <c r="C444" s="169" t="s">
        <v>16949</v>
      </c>
      <c r="D444" s="169" t="str">
        <f t="shared" ref="D444:E444" si="287">"10080100240107"</f>
        <v>10080100240107</v>
      </c>
      <c r="E444" s="169" t="str">
        <f t="shared" si="287"/>
        <v>10080100240107</v>
      </c>
      <c r="F444" s="169" t="s">
        <v>18811</v>
      </c>
      <c r="G444" s="169">
        <v>5.0</v>
      </c>
      <c r="H444" s="169">
        <v>70582.0</v>
      </c>
      <c r="I444" s="169">
        <v>352910.0</v>
      </c>
      <c r="J444" s="169">
        <v>0.0</v>
      </c>
      <c r="K444" s="169">
        <v>5.0</v>
      </c>
      <c r="L444" s="169">
        <v>0.0</v>
      </c>
    </row>
    <row r="445" ht="14.25" customHeight="1">
      <c r="A445" s="169" t="s">
        <v>7023</v>
      </c>
      <c r="B445" s="169" t="s">
        <v>9423</v>
      </c>
      <c r="C445" s="169" t="s">
        <v>18701</v>
      </c>
      <c r="D445" s="169" t="str">
        <f>"3770013084362"</f>
        <v>3770013084362</v>
      </c>
      <c r="E445" s="169" t="str">
        <f>"BB1000UL"</f>
        <v>BB1000UL</v>
      </c>
      <c r="F445" s="169" t="s">
        <v>18811</v>
      </c>
      <c r="G445" s="169">
        <v>1.0</v>
      </c>
      <c r="H445" s="169">
        <v>4911.0</v>
      </c>
      <c r="I445" s="169">
        <v>4911.0</v>
      </c>
      <c r="J445" s="169">
        <v>0.0</v>
      </c>
      <c r="K445" s="169">
        <v>1.0</v>
      </c>
      <c r="L445" s="169">
        <v>0.0</v>
      </c>
    </row>
    <row r="446" ht="14.25" customHeight="1">
      <c r="A446" s="169" t="s">
        <v>7023</v>
      </c>
      <c r="B446" s="169" t="s">
        <v>9423</v>
      </c>
      <c r="C446" s="169" t="s">
        <v>9425</v>
      </c>
      <c r="D446" s="169" t="str">
        <f>"3770013084355"</f>
        <v>3770013084355</v>
      </c>
      <c r="E446" s="169" t="str">
        <f>"BB1000UM"</f>
        <v>BB1000UM</v>
      </c>
      <c r="F446" s="169" t="s">
        <v>18811</v>
      </c>
      <c r="G446" s="169">
        <v>1.0</v>
      </c>
      <c r="H446" s="169">
        <v>4911.0</v>
      </c>
      <c r="I446" s="169">
        <v>4911.0</v>
      </c>
      <c r="J446" s="169">
        <v>0.0</v>
      </c>
      <c r="K446" s="169">
        <v>1.0</v>
      </c>
      <c r="L446" s="169">
        <v>0.0</v>
      </c>
    </row>
    <row r="447" ht="14.25" customHeight="1">
      <c r="A447" s="169" t="s">
        <v>7023</v>
      </c>
      <c r="B447" s="169" t="s">
        <v>9423</v>
      </c>
      <c r="C447" s="169" t="s">
        <v>9429</v>
      </c>
      <c r="D447" s="169" t="str">
        <f>"3770013084126"</f>
        <v>3770013084126</v>
      </c>
      <c r="E447" s="169" t="str">
        <f>"BB15005P"</f>
        <v>BB15005P</v>
      </c>
      <c r="F447" s="169" t="s">
        <v>18811</v>
      </c>
      <c r="G447" s="169">
        <v>1.0</v>
      </c>
      <c r="H447" s="169">
        <v>18566.0</v>
      </c>
      <c r="I447" s="169">
        <v>18566.0</v>
      </c>
      <c r="J447" s="169">
        <v>0.0</v>
      </c>
      <c r="K447" s="169">
        <v>1.0</v>
      </c>
      <c r="L447" s="169">
        <v>0.0</v>
      </c>
    </row>
    <row r="448" ht="14.25" customHeight="1">
      <c r="A448" s="169" t="s">
        <v>7023</v>
      </c>
      <c r="B448" s="169" t="s">
        <v>9423</v>
      </c>
      <c r="C448" s="169" t="s">
        <v>9438</v>
      </c>
      <c r="D448" s="169" t="str">
        <f>"3770013084218"</f>
        <v>3770013084218</v>
      </c>
      <c r="E448" s="169" t="str">
        <f>"BB24009P"</f>
        <v>BB24009P</v>
      </c>
      <c r="F448" s="169" t="s">
        <v>18811</v>
      </c>
      <c r="G448" s="169">
        <v>1.0</v>
      </c>
      <c r="H448" s="169">
        <v>20751.0</v>
      </c>
      <c r="I448" s="169">
        <v>20751.0</v>
      </c>
      <c r="J448" s="169">
        <v>0.0</v>
      </c>
      <c r="K448" s="169">
        <v>1.0</v>
      </c>
      <c r="L448" s="169">
        <v>0.0</v>
      </c>
    </row>
    <row r="449" ht="14.25" customHeight="1">
      <c r="A449" s="169" t="s">
        <v>7023</v>
      </c>
      <c r="B449" s="169" t="s">
        <v>9423</v>
      </c>
      <c r="C449" s="169" t="s">
        <v>9444</v>
      </c>
      <c r="D449" s="169" t="str">
        <f>"3770013084102"</f>
        <v>3770013084102</v>
      </c>
      <c r="E449" s="169" t="str">
        <f>"BB24004P"</f>
        <v>BB24004P</v>
      </c>
      <c r="F449" s="169" t="s">
        <v>18811</v>
      </c>
      <c r="G449" s="169">
        <v>1.0</v>
      </c>
      <c r="H449" s="169">
        <v>20751.0</v>
      </c>
      <c r="I449" s="169">
        <v>20751.0</v>
      </c>
      <c r="J449" s="169">
        <v>0.0</v>
      </c>
      <c r="K449" s="169">
        <v>1.0</v>
      </c>
      <c r="L449" s="169">
        <v>0.0</v>
      </c>
    </row>
    <row r="450" ht="14.25" customHeight="1">
      <c r="A450" s="169" t="s">
        <v>7023</v>
      </c>
      <c r="B450" s="169" t="s">
        <v>9423</v>
      </c>
      <c r="C450" s="169" t="s">
        <v>9446</v>
      </c>
      <c r="D450" s="169" t="str">
        <f>"3770013084300"</f>
        <v>3770013084300</v>
      </c>
      <c r="E450" s="169" t="str">
        <f>"BB33006P"</f>
        <v>BB33006P</v>
      </c>
      <c r="F450" s="169" t="s">
        <v>18811</v>
      </c>
      <c r="G450" s="169">
        <v>1.0</v>
      </c>
      <c r="H450" s="169">
        <v>21843.0</v>
      </c>
      <c r="I450" s="169">
        <v>21843.0</v>
      </c>
      <c r="J450" s="169">
        <v>0.0</v>
      </c>
      <c r="K450" s="169">
        <v>1.0</v>
      </c>
      <c r="L450" s="169">
        <v>0.0</v>
      </c>
    </row>
    <row r="451" ht="14.25" customHeight="1">
      <c r="A451" s="169" t="s">
        <v>7023</v>
      </c>
      <c r="B451" s="169" t="s">
        <v>9423</v>
      </c>
      <c r="C451" s="169" t="s">
        <v>9448</v>
      </c>
      <c r="D451" s="169" t="str">
        <f>"3770013084317"</f>
        <v>3770013084317</v>
      </c>
      <c r="E451" s="169" t="str">
        <f>"BB33007P"</f>
        <v>BB33007P</v>
      </c>
      <c r="F451" s="169" t="s">
        <v>18811</v>
      </c>
      <c r="G451" s="169">
        <v>1.0</v>
      </c>
      <c r="H451" s="169">
        <v>21843.0</v>
      </c>
      <c r="I451" s="169">
        <v>21843.0</v>
      </c>
      <c r="J451" s="169">
        <v>0.0</v>
      </c>
      <c r="K451" s="169">
        <v>1.0</v>
      </c>
      <c r="L451" s="169">
        <v>0.0</v>
      </c>
    </row>
    <row r="452" ht="14.25" customHeight="1">
      <c r="A452" s="169" t="s">
        <v>7023</v>
      </c>
      <c r="B452" s="169" t="s">
        <v>9423</v>
      </c>
      <c r="C452" s="169" t="s">
        <v>9453</v>
      </c>
      <c r="D452" s="169" t="str">
        <f>"3770013084287"</f>
        <v>3770013084287</v>
      </c>
      <c r="E452" s="169" t="str">
        <f>"BB33004P"</f>
        <v>BB33004P</v>
      </c>
      <c r="F452" s="169" t="s">
        <v>18811</v>
      </c>
      <c r="G452" s="169">
        <v>1.0</v>
      </c>
      <c r="H452" s="169">
        <v>21843.0</v>
      </c>
      <c r="I452" s="169">
        <v>21843.0</v>
      </c>
      <c r="J452" s="169">
        <v>0.0</v>
      </c>
      <c r="K452" s="169">
        <v>1.0</v>
      </c>
      <c r="L452" s="169">
        <v>0.0</v>
      </c>
    </row>
    <row r="453" ht="14.25" customHeight="1">
      <c r="A453" s="169" t="s">
        <v>9304</v>
      </c>
      <c r="B453" s="169" t="s">
        <v>18440</v>
      </c>
      <c r="C453" s="169" t="s">
        <v>18496</v>
      </c>
      <c r="D453" s="169" t="str">
        <f t="shared" ref="D453:E453" si="288">"1603405506338"</f>
        <v>1603405506338</v>
      </c>
      <c r="E453" s="169" t="str">
        <f t="shared" si="288"/>
        <v>1603405506338</v>
      </c>
      <c r="F453" s="169" t="s">
        <v>18811</v>
      </c>
      <c r="G453" s="169">
        <v>1.0</v>
      </c>
      <c r="H453" s="169">
        <v>2400.0</v>
      </c>
      <c r="I453" s="169">
        <v>2400.0</v>
      </c>
      <c r="J453" s="169">
        <v>0.0</v>
      </c>
      <c r="K453" s="169">
        <v>1.0</v>
      </c>
      <c r="L453" s="169">
        <v>0.0</v>
      </c>
    </row>
    <row r="454" ht="14.25" customHeight="1">
      <c r="A454" s="169" t="s">
        <v>9304</v>
      </c>
      <c r="B454" s="169" t="s">
        <v>18440</v>
      </c>
      <c r="C454" s="169" t="s">
        <v>18494</v>
      </c>
      <c r="D454" s="169" t="str">
        <f t="shared" ref="D454:E454" si="289">"1586302094788"</f>
        <v>1586302094788</v>
      </c>
      <c r="E454" s="169" t="str">
        <f t="shared" si="289"/>
        <v>1586302094788</v>
      </c>
      <c r="F454" s="169" t="s">
        <v>18811</v>
      </c>
      <c r="G454" s="169">
        <v>5.0</v>
      </c>
      <c r="H454" s="169">
        <v>4370.0</v>
      </c>
      <c r="I454" s="169">
        <v>21850.0</v>
      </c>
      <c r="J454" s="169">
        <v>0.0</v>
      </c>
      <c r="K454" s="169">
        <v>5.0</v>
      </c>
      <c r="L454" s="169">
        <v>0.0</v>
      </c>
    </row>
    <row r="455" ht="14.25" customHeight="1">
      <c r="A455" s="169" t="s">
        <v>9304</v>
      </c>
      <c r="B455" s="169" t="s">
        <v>18440</v>
      </c>
      <c r="C455" s="169" t="s">
        <v>18492</v>
      </c>
      <c r="D455" s="169" t="str">
        <f t="shared" ref="D455:E455" si="290">"1539012894968"</f>
        <v>1539012894968</v>
      </c>
      <c r="E455" s="169" t="str">
        <f t="shared" si="290"/>
        <v>1539012894968</v>
      </c>
      <c r="F455" s="169" t="s">
        <v>18811</v>
      </c>
      <c r="G455" s="169">
        <v>2.0</v>
      </c>
      <c r="H455" s="169">
        <v>3184.0</v>
      </c>
      <c r="I455" s="169">
        <v>6368.0</v>
      </c>
      <c r="J455" s="169">
        <v>0.0</v>
      </c>
      <c r="K455" s="169">
        <v>2.0</v>
      </c>
      <c r="L455" s="169">
        <v>0.0</v>
      </c>
    </row>
    <row r="456" ht="14.25" customHeight="1">
      <c r="A456" s="169" t="s">
        <v>9304</v>
      </c>
      <c r="B456" s="169" t="s">
        <v>18440</v>
      </c>
      <c r="C456" s="169" t="s">
        <v>18490</v>
      </c>
      <c r="D456" s="169" t="str">
        <f t="shared" ref="D456:E456" si="291">"1539012372839"</f>
        <v>1539012372839</v>
      </c>
      <c r="E456" s="169" t="str">
        <f t="shared" si="291"/>
        <v>1539012372839</v>
      </c>
      <c r="F456" s="169" t="s">
        <v>18811</v>
      </c>
      <c r="G456" s="169">
        <v>10.0</v>
      </c>
      <c r="H456" s="169">
        <v>4109.0</v>
      </c>
      <c r="I456" s="169">
        <v>41090.0</v>
      </c>
      <c r="J456" s="169">
        <v>0.0</v>
      </c>
      <c r="K456" s="169">
        <v>10.0</v>
      </c>
      <c r="L456" s="169">
        <v>0.0</v>
      </c>
    </row>
    <row r="457" ht="14.25" customHeight="1">
      <c r="A457" s="169" t="s">
        <v>9304</v>
      </c>
      <c r="B457" s="169" t="s">
        <v>18440</v>
      </c>
      <c r="C457" s="169" t="s">
        <v>18488</v>
      </c>
      <c r="D457" s="169" t="str">
        <f t="shared" ref="D457:E457" si="292">"1539013581573"</f>
        <v>1539013581573</v>
      </c>
      <c r="E457" s="169" t="str">
        <f t="shared" si="292"/>
        <v>1539013581573</v>
      </c>
      <c r="F457" s="169" t="s">
        <v>18811</v>
      </c>
      <c r="G457" s="169">
        <v>1.0</v>
      </c>
      <c r="H457" s="169">
        <v>5033.0</v>
      </c>
      <c r="I457" s="169">
        <v>5033.0</v>
      </c>
      <c r="J457" s="169">
        <v>0.0</v>
      </c>
      <c r="K457" s="169">
        <v>1.0</v>
      </c>
      <c r="L457" s="169">
        <v>0.0</v>
      </c>
    </row>
    <row r="458" ht="14.25" customHeight="1">
      <c r="A458" s="169" t="s">
        <v>9304</v>
      </c>
      <c r="B458" s="169" t="s">
        <v>18440</v>
      </c>
      <c r="C458" s="169" t="s">
        <v>18486</v>
      </c>
      <c r="D458" s="169" t="str">
        <f t="shared" ref="D458:E458" si="293">"1606828108812"</f>
        <v>1606828108812</v>
      </c>
      <c r="E458" s="169" t="str">
        <f t="shared" si="293"/>
        <v>1606828108812</v>
      </c>
      <c r="F458" s="169" t="s">
        <v>18811</v>
      </c>
      <c r="G458" s="169">
        <v>11.0</v>
      </c>
      <c r="H458" s="169">
        <v>3361.0</v>
      </c>
      <c r="I458" s="169">
        <v>36971.0</v>
      </c>
      <c r="J458" s="169">
        <v>0.0</v>
      </c>
      <c r="K458" s="169">
        <v>11.0</v>
      </c>
      <c r="L458" s="169">
        <v>0.0</v>
      </c>
    </row>
    <row r="459" ht="14.25" customHeight="1">
      <c r="A459" s="169" t="s">
        <v>9304</v>
      </c>
      <c r="B459" s="169" t="s">
        <v>18440</v>
      </c>
      <c r="C459" s="169" t="s">
        <v>18484</v>
      </c>
      <c r="D459" s="169" t="str">
        <f>"Envío-Melollevo-8730"</f>
        <v>Envío-Melollevo-8730</v>
      </c>
      <c r="E459" s="169" t="str">
        <f>"1628613560123"</f>
        <v>1628613560123</v>
      </c>
      <c r="F459" s="169" t="s">
        <v>18811</v>
      </c>
      <c r="G459" s="169">
        <v>3.0</v>
      </c>
      <c r="H459" s="169">
        <v>7336.1</v>
      </c>
      <c r="I459" s="169">
        <v>22008.0</v>
      </c>
      <c r="J459" s="169">
        <v>0.0</v>
      </c>
      <c r="K459" s="169">
        <v>3.0</v>
      </c>
      <c r="L459" s="169">
        <v>0.0</v>
      </c>
    </row>
    <row r="460" ht="14.25" customHeight="1">
      <c r="A460" s="169" t="s">
        <v>9304</v>
      </c>
      <c r="B460" s="169" t="s">
        <v>18440</v>
      </c>
      <c r="C460" s="169" t="s">
        <v>18482</v>
      </c>
      <c r="D460" s="169" t="str">
        <f t="shared" ref="D460:E460" si="294">"1631131721055"</f>
        <v>1631131721055</v>
      </c>
      <c r="E460" s="169" t="str">
        <f t="shared" si="294"/>
        <v>1631131721055</v>
      </c>
      <c r="F460" s="169" t="s">
        <v>18811</v>
      </c>
      <c r="G460" s="169">
        <v>1.0</v>
      </c>
      <c r="H460" s="169">
        <v>450000.0</v>
      </c>
      <c r="I460" s="169">
        <v>450000.0</v>
      </c>
      <c r="J460" s="169">
        <v>0.0</v>
      </c>
      <c r="K460" s="169">
        <v>1.0</v>
      </c>
      <c r="L460" s="169">
        <v>0.0</v>
      </c>
    </row>
    <row r="461" ht="14.25" customHeight="1">
      <c r="A461" s="169" t="s">
        <v>18814</v>
      </c>
      <c r="B461" s="169" t="s">
        <v>18766</v>
      </c>
      <c r="C461" s="170"/>
      <c r="D461" s="169" t="str">
        <f t="shared" ref="D461:E461" si="295">"1649957953156"</f>
        <v>1649957953156</v>
      </c>
      <c r="E461" s="169" t="str">
        <f t="shared" si="295"/>
        <v>1649957953156</v>
      </c>
      <c r="F461" s="169" t="s">
        <v>18811</v>
      </c>
      <c r="G461" s="169">
        <v>1.0</v>
      </c>
      <c r="H461" s="169">
        <v>3277.0</v>
      </c>
      <c r="I461" s="169">
        <v>3277.0</v>
      </c>
      <c r="J461" s="169">
        <v>0.0</v>
      </c>
      <c r="K461" s="169">
        <v>1.0</v>
      </c>
      <c r="L461" s="169">
        <v>0.0</v>
      </c>
    </row>
    <row r="462" ht="14.25" customHeight="1">
      <c r="A462" s="169" t="s">
        <v>18814</v>
      </c>
      <c r="B462" s="169" t="s">
        <v>18756</v>
      </c>
      <c r="C462" s="170"/>
      <c r="D462" s="169" t="str">
        <f t="shared" ref="D462:E462" si="296">"1649958004602"</f>
        <v>1649958004602</v>
      </c>
      <c r="E462" s="169" t="str">
        <f t="shared" si="296"/>
        <v>1649958004602</v>
      </c>
      <c r="F462" s="169" t="s">
        <v>18811</v>
      </c>
      <c r="G462" s="169">
        <v>1.0</v>
      </c>
      <c r="H462" s="169">
        <v>4874.0</v>
      </c>
      <c r="I462" s="169">
        <v>4874.0</v>
      </c>
      <c r="J462" s="169">
        <v>0.0</v>
      </c>
      <c r="K462" s="169">
        <v>1.0</v>
      </c>
      <c r="L462" s="169">
        <v>0.0</v>
      </c>
    </row>
    <row r="463" ht="14.25" customHeight="1">
      <c r="A463" s="169" t="s">
        <v>9304</v>
      </c>
      <c r="B463" s="169" t="s">
        <v>18440</v>
      </c>
      <c r="C463" s="169" t="s">
        <v>18480</v>
      </c>
      <c r="D463" s="169" t="str">
        <f t="shared" ref="D463:E463" si="297">"1646829132229"</f>
        <v>1646829132229</v>
      </c>
      <c r="E463" s="169" t="str">
        <f t="shared" si="297"/>
        <v>1646829132229</v>
      </c>
      <c r="F463" s="169" t="s">
        <v>18811</v>
      </c>
      <c r="G463" s="169">
        <v>9.0</v>
      </c>
      <c r="H463" s="169">
        <v>9832.0</v>
      </c>
      <c r="I463" s="169">
        <v>88488.0</v>
      </c>
      <c r="J463" s="169">
        <v>0.0</v>
      </c>
      <c r="K463" s="169">
        <v>9.0</v>
      </c>
      <c r="L463" s="169">
        <v>0.0</v>
      </c>
    </row>
    <row r="464" ht="14.25" customHeight="1">
      <c r="A464" s="169" t="s">
        <v>9304</v>
      </c>
      <c r="B464" s="169" t="s">
        <v>18440</v>
      </c>
      <c r="C464" s="169" t="s">
        <v>18478</v>
      </c>
      <c r="D464" s="169" t="str">
        <f t="shared" ref="D464:E464" si="298">"1646051785879"</f>
        <v>1646051785879</v>
      </c>
      <c r="E464" s="169" t="str">
        <f t="shared" si="298"/>
        <v>1646051785879</v>
      </c>
      <c r="F464" s="169" t="s">
        <v>18811</v>
      </c>
      <c r="G464" s="169">
        <v>4.0</v>
      </c>
      <c r="H464" s="169">
        <v>13025.0</v>
      </c>
      <c r="I464" s="169">
        <v>52100.0</v>
      </c>
      <c r="J464" s="169">
        <v>0.0</v>
      </c>
      <c r="K464" s="169">
        <v>4.0</v>
      </c>
      <c r="L464" s="169">
        <v>0.0</v>
      </c>
    </row>
    <row r="465" ht="14.25" customHeight="1">
      <c r="A465" s="169" t="s">
        <v>9304</v>
      </c>
      <c r="B465" s="169" t="s">
        <v>18440</v>
      </c>
      <c r="C465" s="169" t="s">
        <v>18476</v>
      </c>
      <c r="D465" s="169" t="str">
        <f t="shared" ref="D465:E465" si="299">"1637093095553"</f>
        <v>1637093095553</v>
      </c>
      <c r="E465" s="169" t="str">
        <f t="shared" si="299"/>
        <v>1637093095553</v>
      </c>
      <c r="F465" s="169" t="s">
        <v>18811</v>
      </c>
      <c r="G465" s="169">
        <v>1.0</v>
      </c>
      <c r="H465" s="169">
        <v>2521.0</v>
      </c>
      <c r="I465" s="169">
        <v>2521.0</v>
      </c>
      <c r="J465" s="169">
        <v>0.0</v>
      </c>
      <c r="K465" s="169">
        <v>1.0</v>
      </c>
      <c r="L465" s="169">
        <v>0.0</v>
      </c>
    </row>
    <row r="466" ht="14.25" customHeight="1">
      <c r="A466" s="169" t="s">
        <v>9304</v>
      </c>
      <c r="B466" s="169" t="s">
        <v>18440</v>
      </c>
      <c r="C466" s="169" t="s">
        <v>18474</v>
      </c>
      <c r="D466" s="169" t="str">
        <f t="shared" ref="D466:E466" si="300">"1622572886815"</f>
        <v>1622572886815</v>
      </c>
      <c r="E466" s="169" t="str">
        <f t="shared" si="300"/>
        <v>1622572886815</v>
      </c>
      <c r="F466" s="169" t="s">
        <v>18811</v>
      </c>
      <c r="G466" s="169">
        <v>1.0</v>
      </c>
      <c r="H466" s="169">
        <v>3268.0</v>
      </c>
      <c r="I466" s="169">
        <v>3268.0</v>
      </c>
      <c r="J466" s="169">
        <v>0.0</v>
      </c>
      <c r="K466" s="169">
        <v>1.0</v>
      </c>
      <c r="L466" s="169">
        <v>0.0</v>
      </c>
    </row>
    <row r="467" ht="14.25" customHeight="1">
      <c r="A467" s="169" t="s">
        <v>9304</v>
      </c>
      <c r="B467" s="169" t="s">
        <v>18440</v>
      </c>
      <c r="C467" s="169" t="s">
        <v>18472</v>
      </c>
      <c r="D467" s="169" t="str">
        <f t="shared" ref="D467:E467" si="301">"1506348801649"</f>
        <v>1506348801649</v>
      </c>
      <c r="E467" s="169" t="str">
        <f t="shared" si="301"/>
        <v>1506348801649</v>
      </c>
      <c r="F467" s="169" t="s">
        <v>18811</v>
      </c>
      <c r="G467" s="169">
        <v>1.0</v>
      </c>
      <c r="H467" s="169">
        <v>3950.0</v>
      </c>
      <c r="I467" s="169">
        <v>3950.0</v>
      </c>
      <c r="J467" s="169">
        <v>0.0</v>
      </c>
      <c r="K467" s="169">
        <v>1.0</v>
      </c>
      <c r="L467" s="169">
        <v>0.0</v>
      </c>
    </row>
    <row r="468" ht="14.25" customHeight="1">
      <c r="A468" s="169" t="s">
        <v>9304</v>
      </c>
      <c r="B468" s="169" t="s">
        <v>18440</v>
      </c>
      <c r="C468" s="169" t="s">
        <v>18470</v>
      </c>
      <c r="D468" s="169" t="str">
        <f t="shared" ref="D468:E468" si="302">"1608640749291"</f>
        <v>1608640749291</v>
      </c>
      <c r="E468" s="169" t="str">
        <f t="shared" si="302"/>
        <v>1608640749291</v>
      </c>
      <c r="F468" s="169" t="s">
        <v>18811</v>
      </c>
      <c r="G468" s="169">
        <v>8.0</v>
      </c>
      <c r="H468" s="169">
        <v>3991.0</v>
      </c>
      <c r="I468" s="169">
        <v>31928.0</v>
      </c>
      <c r="J468" s="169">
        <v>0.0</v>
      </c>
      <c r="K468" s="169">
        <v>8.0</v>
      </c>
      <c r="L468" s="169">
        <v>0.0</v>
      </c>
    </row>
    <row r="469" ht="14.25" customHeight="1">
      <c r="A469" s="169" t="s">
        <v>9304</v>
      </c>
      <c r="B469" s="169" t="s">
        <v>18440</v>
      </c>
      <c r="C469" s="169" t="s">
        <v>18468</v>
      </c>
      <c r="D469" s="169" t="str">
        <f t="shared" ref="D469:E469" si="303">"1507221552117"</f>
        <v>1507221552117</v>
      </c>
      <c r="E469" s="169" t="str">
        <f t="shared" si="303"/>
        <v>1507221552117</v>
      </c>
      <c r="F469" s="169" t="s">
        <v>18811</v>
      </c>
      <c r="G469" s="169">
        <v>1.0</v>
      </c>
      <c r="H469" s="169">
        <v>4033.0</v>
      </c>
      <c r="I469" s="169">
        <v>4033.0</v>
      </c>
      <c r="J469" s="169">
        <v>0.0</v>
      </c>
      <c r="K469" s="169">
        <v>1.0</v>
      </c>
      <c r="L469" s="169">
        <v>0.0</v>
      </c>
    </row>
    <row r="470" ht="14.25" customHeight="1">
      <c r="A470" s="169" t="s">
        <v>9304</v>
      </c>
      <c r="B470" s="169" t="s">
        <v>18440</v>
      </c>
      <c r="C470" s="169" t="s">
        <v>18466</v>
      </c>
      <c r="D470" s="169" t="str">
        <f t="shared" ref="D470:E470" si="304">"1647261052879"</f>
        <v>1647261052879</v>
      </c>
      <c r="E470" s="169" t="str">
        <f t="shared" si="304"/>
        <v>1647261052879</v>
      </c>
      <c r="F470" s="169" t="s">
        <v>18811</v>
      </c>
      <c r="G470" s="169">
        <v>8.0</v>
      </c>
      <c r="H470" s="169">
        <v>4042.0</v>
      </c>
      <c r="I470" s="169">
        <v>32336.0</v>
      </c>
      <c r="J470" s="169">
        <v>0.0</v>
      </c>
      <c r="K470" s="169">
        <v>8.0</v>
      </c>
      <c r="L470" s="169">
        <v>0.0</v>
      </c>
    </row>
    <row r="471" ht="14.25" customHeight="1">
      <c r="A471" s="169" t="s">
        <v>9304</v>
      </c>
      <c r="B471" s="169" t="s">
        <v>18440</v>
      </c>
      <c r="C471" s="169" t="s">
        <v>18464</v>
      </c>
      <c r="D471" s="169" t="str">
        <f t="shared" ref="D471:E471" si="305">"1507899371813"</f>
        <v>1507899371813</v>
      </c>
      <c r="E471" s="169" t="str">
        <f t="shared" si="305"/>
        <v>1507899371813</v>
      </c>
      <c r="F471" s="169" t="s">
        <v>18811</v>
      </c>
      <c r="G471" s="169">
        <v>4.0</v>
      </c>
      <c r="H471" s="169">
        <v>4117.0</v>
      </c>
      <c r="I471" s="169">
        <v>16468.0</v>
      </c>
      <c r="J471" s="169">
        <v>0.0</v>
      </c>
      <c r="K471" s="169">
        <v>4.0</v>
      </c>
      <c r="L471" s="169">
        <v>0.0</v>
      </c>
    </row>
    <row r="472" ht="14.25" customHeight="1">
      <c r="A472" s="169" t="s">
        <v>9304</v>
      </c>
      <c r="B472" s="169" t="s">
        <v>18440</v>
      </c>
      <c r="C472" s="169" t="s">
        <v>18462</v>
      </c>
      <c r="D472" s="169" t="str">
        <f t="shared" ref="D472:E472" si="306">"1515074831738"</f>
        <v>1515074831738</v>
      </c>
      <c r="E472" s="169" t="str">
        <f t="shared" si="306"/>
        <v>1515074831738</v>
      </c>
      <c r="F472" s="169" t="s">
        <v>18811</v>
      </c>
      <c r="G472" s="169">
        <v>2.0</v>
      </c>
      <c r="H472" s="169">
        <v>4369.0</v>
      </c>
      <c r="I472" s="169">
        <v>8738.0</v>
      </c>
      <c r="J472" s="169">
        <v>0.0</v>
      </c>
      <c r="K472" s="169">
        <v>2.0</v>
      </c>
      <c r="L472" s="169">
        <v>0.0</v>
      </c>
    </row>
    <row r="473" ht="14.25" customHeight="1">
      <c r="A473" s="169" t="s">
        <v>9304</v>
      </c>
      <c r="B473" s="169" t="s">
        <v>18440</v>
      </c>
      <c r="C473" s="169" t="s">
        <v>18460</v>
      </c>
      <c r="D473" s="169" t="str">
        <f t="shared" ref="D473:E473" si="307">"1654533959255"</f>
        <v>1654533959255</v>
      </c>
      <c r="E473" s="169" t="str">
        <f t="shared" si="307"/>
        <v>1654533959255</v>
      </c>
      <c r="F473" s="169" t="s">
        <v>18811</v>
      </c>
      <c r="G473" s="169">
        <v>1.0</v>
      </c>
      <c r="H473" s="169">
        <v>5345.0</v>
      </c>
      <c r="I473" s="169">
        <v>5345.0</v>
      </c>
      <c r="J473" s="169">
        <v>0.0</v>
      </c>
      <c r="K473" s="169">
        <v>1.0</v>
      </c>
      <c r="L473" s="169">
        <v>0.0</v>
      </c>
    </row>
    <row r="474" ht="14.25" customHeight="1">
      <c r="A474" s="169" t="s">
        <v>9304</v>
      </c>
      <c r="B474" s="169" t="s">
        <v>18440</v>
      </c>
      <c r="C474" s="169" t="s">
        <v>18458</v>
      </c>
      <c r="D474" s="169" t="str">
        <f t="shared" ref="D474:E474" si="308">"melienvio"</f>
        <v>melienvio</v>
      </c>
      <c r="E474" s="169" t="str">
        <f t="shared" si="308"/>
        <v>melienvio</v>
      </c>
      <c r="F474" s="169" t="s">
        <v>18811</v>
      </c>
      <c r="G474" s="169">
        <v>1.0</v>
      </c>
      <c r="H474" s="169">
        <v>2941.1</v>
      </c>
      <c r="I474" s="169">
        <v>2941.0</v>
      </c>
      <c r="J474" s="169">
        <v>0.0</v>
      </c>
      <c r="K474" s="169">
        <v>1.0</v>
      </c>
      <c r="L474" s="169">
        <v>0.0</v>
      </c>
    </row>
    <row r="475" ht="14.25" customHeight="1">
      <c r="A475" s="169" t="s">
        <v>9304</v>
      </c>
      <c r="B475" s="169" t="s">
        <v>18440</v>
      </c>
      <c r="C475" s="169" t="s">
        <v>18456</v>
      </c>
      <c r="D475" s="169" t="str">
        <f t="shared" ref="D475:E475" si="309">"1624574158975"</f>
        <v>1624574158975</v>
      </c>
      <c r="E475" s="169" t="str">
        <f t="shared" si="309"/>
        <v>1624574158975</v>
      </c>
      <c r="F475" s="169" t="s">
        <v>18811</v>
      </c>
      <c r="G475" s="169">
        <v>1.0</v>
      </c>
      <c r="H475" s="169">
        <v>17286.0</v>
      </c>
      <c r="I475" s="169">
        <v>17286.0</v>
      </c>
      <c r="J475" s="169">
        <v>0.0</v>
      </c>
      <c r="K475" s="169">
        <v>1.0</v>
      </c>
      <c r="L475" s="169">
        <v>0.0</v>
      </c>
    </row>
    <row r="476" ht="14.25" customHeight="1">
      <c r="A476" s="169" t="s">
        <v>9304</v>
      </c>
      <c r="B476" s="169" t="s">
        <v>18440</v>
      </c>
      <c r="C476" s="169" t="s">
        <v>18453</v>
      </c>
      <c r="D476" s="169" t="str">
        <f>"1510238738748"</f>
        <v>1510238738748</v>
      </c>
      <c r="E476" s="169" t="str">
        <f>"1510238738747"</f>
        <v>1510238738747</v>
      </c>
      <c r="F476" s="169" t="s">
        <v>18811</v>
      </c>
      <c r="G476" s="169">
        <v>1.0</v>
      </c>
      <c r="H476" s="169">
        <v>3353.0</v>
      </c>
      <c r="I476" s="169">
        <v>3353.0</v>
      </c>
      <c r="J476" s="169">
        <v>0.0</v>
      </c>
      <c r="K476" s="169">
        <v>1.0</v>
      </c>
      <c r="L476" s="169">
        <v>0.0</v>
      </c>
    </row>
    <row r="477" ht="14.25" customHeight="1">
      <c r="A477" s="169" t="s">
        <v>9304</v>
      </c>
      <c r="B477" s="169" t="s">
        <v>18440</v>
      </c>
      <c r="C477" s="169" t="s">
        <v>18453</v>
      </c>
      <c r="D477" s="169" t="str">
        <f t="shared" ref="D477:E477" si="310">"1495046879600"</f>
        <v>1495046879600</v>
      </c>
      <c r="E477" s="169" t="str">
        <f t="shared" si="310"/>
        <v>1495046879600</v>
      </c>
      <c r="F477" s="169" t="s">
        <v>18811</v>
      </c>
      <c r="G477" s="169">
        <v>2.0</v>
      </c>
      <c r="H477" s="169">
        <v>3352.0</v>
      </c>
      <c r="I477" s="169">
        <v>6704.0</v>
      </c>
      <c r="J477" s="169">
        <v>0.0</v>
      </c>
      <c r="K477" s="169">
        <v>2.0</v>
      </c>
      <c r="L477" s="169">
        <v>0.0</v>
      </c>
    </row>
    <row r="478" ht="14.25" customHeight="1">
      <c r="A478" s="169" t="s">
        <v>9304</v>
      </c>
      <c r="B478" s="169" t="s">
        <v>18440</v>
      </c>
      <c r="C478" s="169" t="s">
        <v>18451</v>
      </c>
      <c r="D478" s="169" t="str">
        <f t="shared" ref="D478:E478" si="311">"1585176819303"</f>
        <v>1585176819303</v>
      </c>
      <c r="E478" s="169" t="str">
        <f t="shared" si="311"/>
        <v>1585176819303</v>
      </c>
      <c r="F478" s="169" t="s">
        <v>18811</v>
      </c>
      <c r="G478" s="169">
        <v>1.0</v>
      </c>
      <c r="H478" s="169">
        <v>3596.0</v>
      </c>
      <c r="I478" s="169">
        <v>3596.0</v>
      </c>
      <c r="J478" s="169">
        <v>0.0</v>
      </c>
      <c r="K478" s="169">
        <v>1.0</v>
      </c>
      <c r="L478" s="169">
        <v>0.0</v>
      </c>
    </row>
    <row r="479" ht="14.25" customHeight="1">
      <c r="A479" s="169" t="s">
        <v>9304</v>
      </c>
      <c r="B479" s="169" t="s">
        <v>18440</v>
      </c>
      <c r="C479" s="169" t="s">
        <v>18449</v>
      </c>
      <c r="D479" s="169" t="str">
        <f t="shared" ref="D479:E479" si="312">"1510246651759"</f>
        <v>1510246651759</v>
      </c>
      <c r="E479" s="169" t="str">
        <f t="shared" si="312"/>
        <v>1510246651759</v>
      </c>
      <c r="F479" s="169" t="s">
        <v>18811</v>
      </c>
      <c r="G479" s="169">
        <v>4.0</v>
      </c>
      <c r="H479" s="169">
        <v>4193.0</v>
      </c>
      <c r="I479" s="169">
        <v>16772.0</v>
      </c>
      <c r="J479" s="169">
        <v>0.0</v>
      </c>
      <c r="K479" s="169">
        <v>4.0</v>
      </c>
      <c r="L479" s="169">
        <v>0.0</v>
      </c>
    </row>
    <row r="480" ht="14.25" customHeight="1">
      <c r="A480" s="169" t="s">
        <v>9304</v>
      </c>
      <c r="B480" s="169" t="s">
        <v>18440</v>
      </c>
      <c r="C480" s="169" t="s">
        <v>18447</v>
      </c>
      <c r="D480" s="169" t="str">
        <f t="shared" ref="D480:E480" si="313">"1496757823954"</f>
        <v>1496757823954</v>
      </c>
      <c r="E480" s="169" t="str">
        <f t="shared" si="313"/>
        <v>1496757823954</v>
      </c>
      <c r="F480" s="169" t="s">
        <v>18811</v>
      </c>
      <c r="G480" s="169">
        <v>10.0</v>
      </c>
      <c r="H480" s="169">
        <v>4614.0</v>
      </c>
      <c r="I480" s="169">
        <v>46140.0</v>
      </c>
      <c r="J480" s="169">
        <v>0.0</v>
      </c>
      <c r="K480" s="169">
        <v>10.0</v>
      </c>
      <c r="L480" s="169">
        <v>0.0</v>
      </c>
    </row>
    <row r="481" ht="14.25" customHeight="1">
      <c r="A481" s="169" t="s">
        <v>9304</v>
      </c>
      <c r="B481" s="169" t="s">
        <v>18440</v>
      </c>
      <c r="C481" s="169" t="s">
        <v>18445</v>
      </c>
      <c r="D481" s="169" t="str">
        <f t="shared" ref="D481:E481" si="314">"1624371900115"</f>
        <v>1624371900115</v>
      </c>
      <c r="E481" s="169" t="str">
        <f t="shared" si="314"/>
        <v>1624371900115</v>
      </c>
      <c r="F481" s="169" t="s">
        <v>18811</v>
      </c>
      <c r="G481" s="169">
        <v>2.0</v>
      </c>
      <c r="H481" s="169">
        <v>5848.0</v>
      </c>
      <c r="I481" s="169">
        <v>11696.0</v>
      </c>
      <c r="J481" s="169">
        <v>0.0</v>
      </c>
      <c r="K481" s="169">
        <v>2.0</v>
      </c>
      <c r="L481" s="169">
        <v>0.0</v>
      </c>
    </row>
    <row r="482" ht="14.25" customHeight="1">
      <c r="A482" s="169" t="s">
        <v>9304</v>
      </c>
      <c r="B482" s="169" t="s">
        <v>18440</v>
      </c>
      <c r="C482" s="169" t="s">
        <v>18443</v>
      </c>
      <c r="D482" s="169" t="str">
        <f t="shared" ref="D482:E482" si="315">"1633617078580"</f>
        <v>1633617078580</v>
      </c>
      <c r="E482" s="169" t="str">
        <f t="shared" si="315"/>
        <v>1633617078580</v>
      </c>
      <c r="F482" s="169" t="s">
        <v>18811</v>
      </c>
      <c r="G482" s="169">
        <v>1.0</v>
      </c>
      <c r="H482" s="169">
        <v>6252.0</v>
      </c>
      <c r="I482" s="169">
        <v>6252.0</v>
      </c>
      <c r="J482" s="169">
        <v>0.0</v>
      </c>
      <c r="K482" s="169">
        <v>1.0</v>
      </c>
      <c r="L482" s="169">
        <v>0.0</v>
      </c>
    </row>
    <row r="483" ht="14.25" customHeight="1">
      <c r="A483" s="169" t="s">
        <v>9304</v>
      </c>
      <c r="B483" s="169" t="s">
        <v>18440</v>
      </c>
      <c r="C483" s="169" t="s">
        <v>18441</v>
      </c>
      <c r="D483" s="169" t="str">
        <f t="shared" ref="D483:E483" si="316">"1507305775154"</f>
        <v>1507305775154</v>
      </c>
      <c r="E483" s="169" t="str">
        <f t="shared" si="316"/>
        <v>1507305775154</v>
      </c>
      <c r="F483" s="169" t="s">
        <v>18811</v>
      </c>
      <c r="G483" s="169">
        <v>1.0</v>
      </c>
      <c r="H483" s="169">
        <v>6714.0</v>
      </c>
      <c r="I483" s="169">
        <v>6714.0</v>
      </c>
      <c r="J483" s="169">
        <v>0.0</v>
      </c>
      <c r="K483" s="169">
        <v>1.0</v>
      </c>
      <c r="L483" s="169">
        <v>0.0</v>
      </c>
    </row>
    <row r="484" ht="14.25" customHeight="1">
      <c r="A484" s="169" t="s">
        <v>9304</v>
      </c>
      <c r="B484" s="169" t="s">
        <v>18770</v>
      </c>
      <c r="C484" s="170"/>
      <c r="D484" s="169" t="str">
        <f>"Envío-800"</f>
        <v>Envío-800</v>
      </c>
      <c r="E484" s="169" t="str">
        <f>"1654524654674"</f>
        <v>1654524654674</v>
      </c>
      <c r="F484" s="169" t="s">
        <v>18811</v>
      </c>
      <c r="G484" s="169">
        <v>1.0</v>
      </c>
      <c r="H484" s="169">
        <v>672.0</v>
      </c>
      <c r="I484" s="169">
        <v>672.0</v>
      </c>
      <c r="J484" s="169">
        <v>0.0</v>
      </c>
      <c r="K484" s="169">
        <v>1.0</v>
      </c>
      <c r="L484" s="169">
        <v>0.0</v>
      </c>
    </row>
    <row r="485" ht="14.25" customHeight="1">
      <c r="A485" s="169" t="s">
        <v>17845</v>
      </c>
      <c r="B485" s="169" t="s">
        <v>17845</v>
      </c>
      <c r="C485" s="169" t="s">
        <v>17880</v>
      </c>
      <c r="D485" s="169" t="str">
        <f t="shared" ref="D485:E485" si="317">"70907194567594"</f>
        <v>70907194567594</v>
      </c>
      <c r="E485" s="169" t="str">
        <f t="shared" si="317"/>
        <v>70907194567594</v>
      </c>
      <c r="F485" s="169" t="s">
        <v>18811</v>
      </c>
      <c r="G485" s="169">
        <v>1.0</v>
      </c>
      <c r="H485" s="169">
        <v>3161.0</v>
      </c>
      <c r="I485" s="169">
        <v>3161.0</v>
      </c>
      <c r="J485" s="169">
        <v>0.0</v>
      </c>
      <c r="K485" s="169">
        <v>1.0</v>
      </c>
      <c r="L485" s="169">
        <v>0.0</v>
      </c>
    </row>
    <row r="486" ht="14.25" customHeight="1">
      <c r="A486" s="169" t="s">
        <v>17845</v>
      </c>
      <c r="B486" s="169" t="s">
        <v>17845</v>
      </c>
      <c r="C486" s="169" t="s">
        <v>17878</v>
      </c>
      <c r="D486" s="169" t="str">
        <f t="shared" ref="D486:E486" si="318">"70907196536306"</f>
        <v>70907196536306</v>
      </c>
      <c r="E486" s="169" t="str">
        <f t="shared" si="318"/>
        <v>70907196536306</v>
      </c>
      <c r="F486" s="169" t="s">
        <v>18811</v>
      </c>
      <c r="G486" s="169">
        <v>1.0</v>
      </c>
      <c r="H486" s="169">
        <v>3161.0</v>
      </c>
      <c r="I486" s="169">
        <v>3161.0</v>
      </c>
      <c r="J486" s="169">
        <v>0.0</v>
      </c>
      <c r="K486" s="169">
        <v>1.0</v>
      </c>
      <c r="L486" s="169">
        <v>0.0</v>
      </c>
    </row>
    <row r="487" ht="14.25" customHeight="1">
      <c r="A487" s="169" t="s">
        <v>17845</v>
      </c>
      <c r="B487" s="169" t="s">
        <v>17845</v>
      </c>
      <c r="C487" s="169" t="s">
        <v>17876</v>
      </c>
      <c r="D487" s="169" t="str">
        <f t="shared" ref="D487:E487" si="319">"70907200116752"</f>
        <v>70907200116752</v>
      </c>
      <c r="E487" s="169" t="str">
        <f t="shared" si="319"/>
        <v>70907200116752</v>
      </c>
      <c r="F487" s="169" t="s">
        <v>18811</v>
      </c>
      <c r="G487" s="169">
        <v>1.0</v>
      </c>
      <c r="H487" s="169">
        <v>3655.0</v>
      </c>
      <c r="I487" s="169">
        <v>3655.0</v>
      </c>
      <c r="J487" s="169">
        <v>0.0</v>
      </c>
      <c r="K487" s="169">
        <v>1.0</v>
      </c>
      <c r="L487" s="169">
        <v>0.0</v>
      </c>
    </row>
    <row r="488" ht="14.25" customHeight="1">
      <c r="A488" s="169" t="s">
        <v>17845</v>
      </c>
      <c r="B488" s="169" t="s">
        <v>17845</v>
      </c>
      <c r="C488" s="169" t="s">
        <v>17874</v>
      </c>
      <c r="D488" s="169" t="str">
        <f t="shared" ref="D488:E488" si="320">"70907201771012"</f>
        <v>70907201771012</v>
      </c>
      <c r="E488" s="169" t="str">
        <f t="shared" si="320"/>
        <v>70907201771012</v>
      </c>
      <c r="F488" s="169" t="s">
        <v>18811</v>
      </c>
      <c r="G488" s="169">
        <v>1.0</v>
      </c>
      <c r="H488" s="169">
        <v>1976.0</v>
      </c>
      <c r="I488" s="169">
        <v>1976.0</v>
      </c>
      <c r="J488" s="169">
        <v>0.0</v>
      </c>
      <c r="K488" s="169">
        <v>1.0</v>
      </c>
      <c r="L488" s="169">
        <v>0.0</v>
      </c>
    </row>
    <row r="489" ht="14.25" customHeight="1">
      <c r="A489" s="169" t="s">
        <v>17845</v>
      </c>
      <c r="B489" s="169" t="s">
        <v>17845</v>
      </c>
      <c r="C489" s="169" t="s">
        <v>17872</v>
      </c>
      <c r="D489" s="169" t="str">
        <f t="shared" ref="D489:E489" si="321">"70907203461725"</f>
        <v>70907203461725</v>
      </c>
      <c r="E489" s="169" t="str">
        <f t="shared" si="321"/>
        <v>70907203461725</v>
      </c>
      <c r="F489" s="169" t="s">
        <v>18811</v>
      </c>
      <c r="G489" s="169">
        <v>1.0</v>
      </c>
      <c r="H489" s="169">
        <v>3457.0</v>
      </c>
      <c r="I489" s="169">
        <v>3457.0</v>
      </c>
      <c r="J489" s="169">
        <v>0.0</v>
      </c>
      <c r="K489" s="169">
        <v>1.0</v>
      </c>
      <c r="L489" s="169">
        <v>0.0</v>
      </c>
    </row>
    <row r="490" ht="14.25" customHeight="1">
      <c r="A490" s="169" t="s">
        <v>17845</v>
      </c>
      <c r="B490" s="169" t="s">
        <v>17845</v>
      </c>
      <c r="C490" s="169" t="s">
        <v>17870</v>
      </c>
      <c r="D490" s="169" t="str">
        <f t="shared" ref="D490:E490" si="322">"70907205129301"</f>
        <v>70907205129301</v>
      </c>
      <c r="E490" s="169" t="str">
        <f t="shared" si="322"/>
        <v>70907205129301</v>
      </c>
      <c r="F490" s="169" t="s">
        <v>18811</v>
      </c>
      <c r="G490" s="169">
        <v>1.0</v>
      </c>
      <c r="H490" s="169">
        <v>1679.0</v>
      </c>
      <c r="I490" s="169">
        <v>1679.0</v>
      </c>
      <c r="J490" s="169">
        <v>0.0</v>
      </c>
      <c r="K490" s="169">
        <v>1.0</v>
      </c>
      <c r="L490" s="169">
        <v>0.0</v>
      </c>
    </row>
    <row r="491" ht="14.25" customHeight="1">
      <c r="A491" s="169" t="s">
        <v>17845</v>
      </c>
      <c r="B491" s="169" t="s">
        <v>17845</v>
      </c>
      <c r="C491" s="169" t="s">
        <v>17868</v>
      </c>
      <c r="D491" s="169" t="str">
        <f t="shared" ref="D491:E491" si="323">"70907207087415"</f>
        <v>70907207087415</v>
      </c>
      <c r="E491" s="169" t="str">
        <f t="shared" si="323"/>
        <v>70907207087415</v>
      </c>
      <c r="F491" s="169" t="s">
        <v>18811</v>
      </c>
      <c r="G491" s="169">
        <v>1.0</v>
      </c>
      <c r="H491" s="169">
        <v>1976.0</v>
      </c>
      <c r="I491" s="169">
        <v>1976.0</v>
      </c>
      <c r="J491" s="169">
        <v>0.0</v>
      </c>
      <c r="K491" s="169">
        <v>1.0</v>
      </c>
      <c r="L491" s="169">
        <v>0.0</v>
      </c>
    </row>
    <row r="492" ht="14.25" customHeight="1">
      <c r="A492" s="169" t="s">
        <v>17845</v>
      </c>
      <c r="B492" s="169" t="s">
        <v>17845</v>
      </c>
      <c r="C492" s="169" t="s">
        <v>17866</v>
      </c>
      <c r="D492" s="169" t="str">
        <f t="shared" ref="D492:E492" si="324">"70907211091358"</f>
        <v>70907211091358</v>
      </c>
      <c r="E492" s="169" t="str">
        <f t="shared" si="324"/>
        <v>70907211091358</v>
      </c>
      <c r="F492" s="169" t="s">
        <v>18811</v>
      </c>
      <c r="G492" s="169">
        <v>1.0</v>
      </c>
      <c r="H492" s="169">
        <v>1877.0</v>
      </c>
      <c r="I492" s="169">
        <v>1877.0</v>
      </c>
      <c r="J492" s="169">
        <v>0.0</v>
      </c>
      <c r="K492" s="169">
        <v>1.0</v>
      </c>
      <c r="L492" s="169">
        <v>0.0</v>
      </c>
    </row>
    <row r="493" ht="14.25" customHeight="1">
      <c r="A493" s="169" t="s">
        <v>17845</v>
      </c>
      <c r="B493" s="169" t="s">
        <v>17845</v>
      </c>
      <c r="C493" s="169" t="s">
        <v>17864</v>
      </c>
      <c r="D493" s="169" t="str">
        <f t="shared" ref="D493:E493" si="325">"70907212944338"</f>
        <v>70907212944338</v>
      </c>
      <c r="E493" s="169" t="str">
        <f t="shared" si="325"/>
        <v>70907212944338</v>
      </c>
      <c r="F493" s="169" t="s">
        <v>18811</v>
      </c>
      <c r="G493" s="169">
        <v>1.0</v>
      </c>
      <c r="H493" s="169">
        <v>1284.0</v>
      </c>
      <c r="I493" s="169">
        <v>1284.0</v>
      </c>
      <c r="J493" s="169">
        <v>0.0</v>
      </c>
      <c r="K493" s="169">
        <v>1.0</v>
      </c>
      <c r="L493" s="169">
        <v>0.0</v>
      </c>
    </row>
    <row r="494" ht="14.25" customHeight="1">
      <c r="A494" s="169" t="s">
        <v>17845</v>
      </c>
      <c r="B494" s="169" t="s">
        <v>17845</v>
      </c>
      <c r="C494" s="169" t="s">
        <v>17862</v>
      </c>
      <c r="D494" s="169" t="str">
        <f t="shared" ref="D494:E494" si="326">"70907209276689"</f>
        <v>70907209276689</v>
      </c>
      <c r="E494" s="169" t="str">
        <f t="shared" si="326"/>
        <v>70907209276689</v>
      </c>
      <c r="F494" s="169" t="s">
        <v>18811</v>
      </c>
      <c r="G494" s="169">
        <v>1.0</v>
      </c>
      <c r="H494" s="169">
        <v>1482.0</v>
      </c>
      <c r="I494" s="169">
        <v>1482.0</v>
      </c>
      <c r="J494" s="169">
        <v>0.0</v>
      </c>
      <c r="K494" s="169">
        <v>1.0</v>
      </c>
      <c r="L494" s="169">
        <v>0.0</v>
      </c>
    </row>
    <row r="495" ht="14.25" customHeight="1">
      <c r="A495" s="169" t="s">
        <v>17845</v>
      </c>
      <c r="B495" s="169" t="s">
        <v>17845</v>
      </c>
      <c r="C495" s="169" t="s">
        <v>17860</v>
      </c>
      <c r="D495" s="169" t="str">
        <f t="shared" ref="D495:E495" si="327">"70782661369782"</f>
        <v>70782661369782</v>
      </c>
      <c r="E495" s="169" t="str">
        <f t="shared" si="327"/>
        <v>70782661369782</v>
      </c>
      <c r="F495" s="169" t="s">
        <v>18811</v>
      </c>
      <c r="G495" s="169">
        <v>1.0</v>
      </c>
      <c r="H495" s="169">
        <v>4255.0</v>
      </c>
      <c r="I495" s="169">
        <v>4255.0</v>
      </c>
      <c r="J495" s="169">
        <v>0.0</v>
      </c>
      <c r="K495" s="169">
        <v>1.0</v>
      </c>
      <c r="L495" s="169">
        <v>0.0</v>
      </c>
    </row>
    <row r="496" ht="14.25" customHeight="1">
      <c r="A496" s="169" t="s">
        <v>17845</v>
      </c>
      <c r="B496" s="169" t="s">
        <v>17845</v>
      </c>
      <c r="C496" s="169" t="s">
        <v>17858</v>
      </c>
      <c r="D496" s="169" t="str">
        <f t="shared" ref="D496:E496" si="328">"70197502690522"</f>
        <v>70197502690522</v>
      </c>
      <c r="E496" s="169" t="str">
        <f t="shared" si="328"/>
        <v>70197502690522</v>
      </c>
      <c r="F496" s="169" t="s">
        <v>18811</v>
      </c>
      <c r="G496" s="169">
        <v>2.0</v>
      </c>
      <c r="H496" s="169">
        <v>17936.0</v>
      </c>
      <c r="I496" s="169">
        <v>35872.0</v>
      </c>
      <c r="J496" s="169">
        <v>0.0</v>
      </c>
      <c r="K496" s="169">
        <v>2.0</v>
      </c>
      <c r="L496" s="169">
        <v>0.0</v>
      </c>
    </row>
    <row r="497" ht="14.25" customHeight="1">
      <c r="A497" s="169" t="s">
        <v>17845</v>
      </c>
      <c r="B497" s="169" t="s">
        <v>17845</v>
      </c>
      <c r="C497" s="169" t="s">
        <v>17856</v>
      </c>
      <c r="D497" s="169" t="str">
        <f t="shared" ref="D497:E497" si="329">"70068917703813"</f>
        <v>70068917703813</v>
      </c>
      <c r="E497" s="169" t="str">
        <f t="shared" si="329"/>
        <v>70068917703813</v>
      </c>
      <c r="F497" s="169" t="s">
        <v>18811</v>
      </c>
      <c r="G497" s="169">
        <v>99.0</v>
      </c>
      <c r="H497" s="169">
        <v>26466.0</v>
      </c>
      <c r="I497" s="169">
        <v>2620134.0</v>
      </c>
      <c r="J497" s="169">
        <v>0.0</v>
      </c>
      <c r="K497" s="169">
        <v>99.0</v>
      </c>
      <c r="L497" s="169">
        <v>0.0</v>
      </c>
    </row>
    <row r="498" ht="14.25" customHeight="1">
      <c r="A498" s="169" t="s">
        <v>17845</v>
      </c>
      <c r="B498" s="169" t="s">
        <v>17845</v>
      </c>
      <c r="C498" s="169" t="s">
        <v>17854</v>
      </c>
      <c r="D498" s="169" t="str">
        <f t="shared" ref="D498:E498" si="330">"70197510577926"</f>
        <v>70197510577926</v>
      </c>
      <c r="E498" s="169" t="str">
        <f t="shared" si="330"/>
        <v>70197510577926</v>
      </c>
      <c r="F498" s="169" t="s">
        <v>18811</v>
      </c>
      <c r="G498" s="169">
        <v>1.0</v>
      </c>
      <c r="H498" s="169">
        <v>30506.0</v>
      </c>
      <c r="I498" s="169">
        <v>30506.0</v>
      </c>
      <c r="J498" s="169">
        <v>0.0</v>
      </c>
      <c r="K498" s="169">
        <v>1.0</v>
      </c>
      <c r="L498" s="169">
        <v>0.0</v>
      </c>
    </row>
    <row r="499" ht="14.25" customHeight="1">
      <c r="A499" s="169" t="s">
        <v>17845</v>
      </c>
      <c r="B499" s="169" t="s">
        <v>17845</v>
      </c>
      <c r="C499" s="169" t="s">
        <v>17852</v>
      </c>
      <c r="D499" s="169" t="str">
        <f t="shared" ref="D499:E499" si="331">"70907198089005"</f>
        <v>70907198089005</v>
      </c>
      <c r="E499" s="169" t="str">
        <f t="shared" si="331"/>
        <v>70907198089005</v>
      </c>
      <c r="F499" s="169" t="s">
        <v>18811</v>
      </c>
      <c r="G499" s="169">
        <v>1.0</v>
      </c>
      <c r="H499" s="169">
        <v>3457.0</v>
      </c>
      <c r="I499" s="169">
        <v>3457.0</v>
      </c>
      <c r="J499" s="169">
        <v>0.0</v>
      </c>
      <c r="K499" s="169">
        <v>1.0</v>
      </c>
      <c r="L499" s="169">
        <v>0.0</v>
      </c>
    </row>
    <row r="500" ht="14.25" customHeight="1">
      <c r="A500" s="169" t="s">
        <v>17845</v>
      </c>
      <c r="B500" s="169" t="s">
        <v>17845</v>
      </c>
      <c r="C500" s="169" t="s">
        <v>17850</v>
      </c>
      <c r="D500" s="169" t="str">
        <f t="shared" ref="D500:E500" si="332">"70907190854055"</f>
        <v>70907190854055</v>
      </c>
      <c r="E500" s="169" t="str">
        <f t="shared" si="332"/>
        <v>70907190854055</v>
      </c>
      <c r="F500" s="169" t="s">
        <v>18811</v>
      </c>
      <c r="G500" s="169">
        <v>1.0</v>
      </c>
      <c r="H500" s="169">
        <v>3161.0</v>
      </c>
      <c r="I500" s="169">
        <v>3161.0</v>
      </c>
      <c r="J500" s="169">
        <v>0.0</v>
      </c>
      <c r="K500" s="169">
        <v>1.0</v>
      </c>
      <c r="L500" s="169">
        <v>0.0</v>
      </c>
    </row>
    <row r="501" ht="14.25" customHeight="1">
      <c r="A501" s="169" t="s">
        <v>17845</v>
      </c>
      <c r="B501" s="169" t="s">
        <v>17845</v>
      </c>
      <c r="C501" s="169" t="s">
        <v>17848</v>
      </c>
      <c r="D501" s="169" t="str">
        <f t="shared" ref="D501:E501" si="333">"70907192757761"</f>
        <v>70907192757761</v>
      </c>
      <c r="E501" s="169" t="str">
        <f t="shared" si="333"/>
        <v>70907192757761</v>
      </c>
      <c r="F501" s="169" t="s">
        <v>18811</v>
      </c>
      <c r="G501" s="169">
        <v>1.0</v>
      </c>
      <c r="H501" s="169">
        <v>3161.0</v>
      </c>
      <c r="I501" s="169">
        <v>3161.0</v>
      </c>
      <c r="J501" s="169">
        <v>0.0</v>
      </c>
      <c r="K501" s="169">
        <v>1.0</v>
      </c>
      <c r="L501" s="169">
        <v>0.0</v>
      </c>
    </row>
    <row r="502" ht="14.25" customHeight="1">
      <c r="A502" s="169" t="s">
        <v>17845</v>
      </c>
      <c r="B502" s="169" t="s">
        <v>17845</v>
      </c>
      <c r="C502" s="169" t="s">
        <v>17846</v>
      </c>
      <c r="D502" s="169" t="str">
        <f t="shared" ref="D502:E502" si="334">"70447869307288"</f>
        <v>70447869307288</v>
      </c>
      <c r="E502" s="169" t="str">
        <f t="shared" si="334"/>
        <v>70447869307288</v>
      </c>
      <c r="F502" s="169" t="s">
        <v>18811</v>
      </c>
      <c r="G502" s="169">
        <v>1.0</v>
      </c>
      <c r="H502" s="169">
        <v>6679.0</v>
      </c>
      <c r="I502" s="169">
        <v>6679.0</v>
      </c>
      <c r="J502" s="169">
        <v>0.0</v>
      </c>
      <c r="K502" s="169">
        <v>1.0</v>
      </c>
      <c r="L502" s="169">
        <v>0.0</v>
      </c>
    </row>
    <row r="503" ht="14.25" customHeight="1">
      <c r="A503" s="169" t="s">
        <v>9070</v>
      </c>
      <c r="B503" s="169" t="s">
        <v>9462</v>
      </c>
      <c r="C503" s="169" t="s">
        <v>9467</v>
      </c>
      <c r="D503" s="169" t="str">
        <f t="shared" ref="D503:E503" si="335">"A320"</f>
        <v>A320</v>
      </c>
      <c r="E503" s="169" t="str">
        <f t="shared" si="335"/>
        <v>A320</v>
      </c>
      <c r="F503" s="169" t="s">
        <v>18811</v>
      </c>
      <c r="G503" s="169">
        <v>1.0</v>
      </c>
      <c r="H503" s="169">
        <v>3141.0</v>
      </c>
      <c r="I503" s="169">
        <v>3141.0</v>
      </c>
      <c r="J503" s="169">
        <v>0.0</v>
      </c>
      <c r="K503" s="169">
        <v>1.0</v>
      </c>
      <c r="L503" s="169">
        <v>0.0</v>
      </c>
    </row>
    <row r="504" ht="14.25" customHeight="1">
      <c r="A504" s="169" t="s">
        <v>9070</v>
      </c>
      <c r="B504" s="169" t="s">
        <v>9462</v>
      </c>
      <c r="C504" s="169" t="s">
        <v>9515</v>
      </c>
      <c r="D504" s="169" t="str">
        <f t="shared" ref="D504:E504" si="336">"J523"</f>
        <v>J523</v>
      </c>
      <c r="E504" s="169" t="str">
        <f t="shared" si="336"/>
        <v>J523</v>
      </c>
      <c r="F504" s="169" t="s">
        <v>18811</v>
      </c>
      <c r="G504" s="169">
        <v>1.0</v>
      </c>
      <c r="H504" s="169">
        <v>17010.0</v>
      </c>
      <c r="I504" s="169">
        <v>17010.0</v>
      </c>
      <c r="J504" s="169">
        <v>0.0</v>
      </c>
      <c r="K504" s="169">
        <v>1.0</v>
      </c>
      <c r="L504" s="169">
        <v>0.0</v>
      </c>
    </row>
    <row r="505" ht="14.25" customHeight="1">
      <c r="A505" s="169" t="s">
        <v>9070</v>
      </c>
      <c r="B505" s="169" t="s">
        <v>9462</v>
      </c>
      <c r="C505" s="169" t="s">
        <v>9495</v>
      </c>
      <c r="D505" s="169" t="str">
        <f t="shared" ref="D505:E505" si="337">"T626"</f>
        <v>T626</v>
      </c>
      <c r="E505" s="169" t="str">
        <f t="shared" si="337"/>
        <v>T626</v>
      </c>
      <c r="F505" s="169" t="s">
        <v>18811</v>
      </c>
      <c r="G505" s="169">
        <v>1.0</v>
      </c>
      <c r="H505" s="169">
        <v>22026.0</v>
      </c>
      <c r="I505" s="169">
        <v>22026.0</v>
      </c>
      <c r="J505" s="169">
        <v>0.0</v>
      </c>
      <c r="K505" s="169">
        <v>1.0</v>
      </c>
      <c r="L505" s="169">
        <v>0.0</v>
      </c>
    </row>
    <row r="506" ht="14.25" customHeight="1">
      <c r="A506" s="169" t="s">
        <v>7023</v>
      </c>
      <c r="B506" s="169" t="s">
        <v>9524</v>
      </c>
      <c r="C506" s="169" t="s">
        <v>18687</v>
      </c>
      <c r="D506" s="169" t="str">
        <f t="shared" ref="D506:E506" si="338">"PCSSB005"</f>
        <v>PCSSB005</v>
      </c>
      <c r="E506" s="169" t="str">
        <f t="shared" si="338"/>
        <v>PCSSB005</v>
      </c>
      <c r="F506" s="169" t="s">
        <v>18811</v>
      </c>
      <c r="G506" s="169">
        <v>2.0</v>
      </c>
      <c r="H506" s="169">
        <v>9826.0</v>
      </c>
      <c r="I506" s="169">
        <v>19652.0</v>
      </c>
      <c r="J506" s="169">
        <v>0.0</v>
      </c>
      <c r="K506" s="169">
        <v>2.0</v>
      </c>
      <c r="L506" s="169">
        <v>0.0</v>
      </c>
    </row>
    <row r="507" ht="14.25" customHeight="1">
      <c r="A507" s="169" t="s">
        <v>7023</v>
      </c>
      <c r="B507" s="169" t="s">
        <v>9524</v>
      </c>
      <c r="C507" s="169" t="s">
        <v>18686</v>
      </c>
      <c r="D507" s="169" t="str">
        <f>"818156020090"</f>
        <v>818156020090</v>
      </c>
      <c r="E507" s="169" t="str">
        <f>"PCMMB005"</f>
        <v>PCMMB005</v>
      </c>
      <c r="F507" s="169" t="s">
        <v>18811</v>
      </c>
      <c r="G507" s="169">
        <v>1.0</v>
      </c>
      <c r="H507" s="169">
        <v>13104.0</v>
      </c>
      <c r="I507" s="169">
        <v>13104.0</v>
      </c>
      <c r="J507" s="169">
        <v>0.0</v>
      </c>
      <c r="K507" s="169">
        <v>1.0</v>
      </c>
      <c r="L507" s="169">
        <v>0.0</v>
      </c>
    </row>
    <row r="508" ht="14.25" customHeight="1">
      <c r="A508" s="169" t="s">
        <v>7023</v>
      </c>
      <c r="B508" s="169" t="s">
        <v>9524</v>
      </c>
      <c r="C508" s="169" t="s">
        <v>18685</v>
      </c>
      <c r="D508" s="169" t="str">
        <f>"818156022575"</f>
        <v>818156022575</v>
      </c>
      <c r="E508" s="169" t="str">
        <f>"PKMFS001"</f>
        <v>PKMFS001</v>
      </c>
      <c r="F508" s="169" t="s">
        <v>18811</v>
      </c>
      <c r="G508" s="169">
        <v>2.0</v>
      </c>
      <c r="H508" s="169">
        <v>21297.0</v>
      </c>
      <c r="I508" s="169">
        <v>42594.0</v>
      </c>
      <c r="J508" s="169">
        <v>0.0</v>
      </c>
      <c r="K508" s="169">
        <v>2.0</v>
      </c>
      <c r="L508" s="169">
        <v>0.0</v>
      </c>
    </row>
    <row r="509" ht="14.25" customHeight="1">
      <c r="A509" s="169" t="s">
        <v>7023</v>
      </c>
      <c r="B509" s="169" t="s">
        <v>9524</v>
      </c>
      <c r="C509" s="169" t="s">
        <v>18684</v>
      </c>
      <c r="D509" s="169" t="str">
        <f t="shared" ref="D509:E509" si="339">"PCHUP003"</f>
        <v>PCHUP003</v>
      </c>
      <c r="E509" s="169" t="str">
        <f t="shared" si="339"/>
        <v>PCHUP003</v>
      </c>
      <c r="F509" s="169" t="s">
        <v>18811</v>
      </c>
      <c r="G509" s="169">
        <v>2.0</v>
      </c>
      <c r="H509" s="169">
        <v>15289.0</v>
      </c>
      <c r="I509" s="169">
        <v>30578.0</v>
      </c>
      <c r="J509" s="169">
        <v>0.0</v>
      </c>
      <c r="K509" s="169">
        <v>2.0</v>
      </c>
      <c r="L509" s="169">
        <v>0.0</v>
      </c>
    </row>
    <row r="510" ht="14.25" customHeight="1">
      <c r="A510" s="169" t="s">
        <v>7023</v>
      </c>
      <c r="B510" s="169" t="s">
        <v>9524</v>
      </c>
      <c r="C510" s="169" t="s">
        <v>18683</v>
      </c>
      <c r="D510" s="169" t="str">
        <f t="shared" ref="D510:E510" si="340">"PCHUB005"</f>
        <v>PCHUB005</v>
      </c>
      <c r="E510" s="169" t="str">
        <f t="shared" si="340"/>
        <v>PCHUB005</v>
      </c>
      <c r="F510" s="169" t="s">
        <v>18811</v>
      </c>
      <c r="G510" s="169">
        <v>2.0</v>
      </c>
      <c r="H510" s="169">
        <v>15289.0</v>
      </c>
      <c r="I510" s="169">
        <v>30578.0</v>
      </c>
      <c r="J510" s="169">
        <v>0.0</v>
      </c>
      <c r="K510" s="169">
        <v>2.0</v>
      </c>
      <c r="L510" s="169">
        <v>0.0</v>
      </c>
    </row>
    <row r="511" ht="14.25" customHeight="1">
      <c r="A511" s="169" t="s">
        <v>7023</v>
      </c>
      <c r="B511" s="169" t="s">
        <v>9524</v>
      </c>
      <c r="C511" s="169" t="s">
        <v>18682</v>
      </c>
      <c r="D511" s="169" t="str">
        <f t="shared" ref="D511:E511" si="341">"PCHUS001"</f>
        <v>PCHUS001</v>
      </c>
      <c r="E511" s="169" t="str">
        <f t="shared" si="341"/>
        <v>PCHUS001</v>
      </c>
      <c r="F511" s="169" t="s">
        <v>18811</v>
      </c>
      <c r="G511" s="169">
        <v>2.0</v>
      </c>
      <c r="H511" s="169">
        <v>15289.0</v>
      </c>
      <c r="I511" s="169">
        <v>30578.0</v>
      </c>
      <c r="J511" s="169">
        <v>0.0</v>
      </c>
      <c r="K511" s="169">
        <v>2.0</v>
      </c>
      <c r="L511" s="169">
        <v>1.0</v>
      </c>
    </row>
    <row r="512" ht="14.25" customHeight="1">
      <c r="A512" s="169" t="s">
        <v>12390</v>
      </c>
      <c r="B512" s="169" t="s">
        <v>18734</v>
      </c>
      <c r="C512" s="169" t="s">
        <v>10274</v>
      </c>
      <c r="D512" s="169" t="str">
        <f t="shared" ref="D512:E512" si="342">"KF07ES"</f>
        <v>KF07ES</v>
      </c>
      <c r="E512" s="169" t="str">
        <f t="shared" si="342"/>
        <v>KF07ES</v>
      </c>
      <c r="F512" s="169" t="s">
        <v>18811</v>
      </c>
      <c r="G512" s="169">
        <v>10.0</v>
      </c>
      <c r="H512" s="169">
        <v>0.0</v>
      </c>
      <c r="I512" s="169">
        <v>0.0</v>
      </c>
      <c r="J512" s="169">
        <v>0.0</v>
      </c>
      <c r="K512" s="169">
        <v>10.0</v>
      </c>
      <c r="L512" s="169">
        <v>0.0</v>
      </c>
    </row>
    <row r="513" ht="14.25" customHeight="1">
      <c r="A513" s="169" t="s">
        <v>12390</v>
      </c>
      <c r="B513" s="169" t="s">
        <v>18734</v>
      </c>
      <c r="C513" s="169" t="s">
        <v>10276</v>
      </c>
      <c r="D513" s="169" t="str">
        <f t="shared" ref="D513:E513" si="343">"KF05ES"</f>
        <v>KF05ES</v>
      </c>
      <c r="E513" s="169" t="str">
        <f t="shared" si="343"/>
        <v>KF05ES</v>
      </c>
      <c r="F513" s="169" t="s">
        <v>18811</v>
      </c>
      <c r="G513" s="169">
        <v>3.0</v>
      </c>
      <c r="H513" s="169">
        <v>17641.0</v>
      </c>
      <c r="I513" s="169">
        <v>52923.0</v>
      </c>
      <c r="J513" s="169">
        <v>0.0</v>
      </c>
      <c r="K513" s="169">
        <v>3.0</v>
      </c>
      <c r="L513" s="169">
        <v>0.0</v>
      </c>
    </row>
    <row r="514" ht="14.25" customHeight="1">
      <c r="A514" s="169" t="s">
        <v>18810</v>
      </c>
      <c r="B514" s="169" t="s">
        <v>9566</v>
      </c>
      <c r="C514" s="169" t="s">
        <v>18065</v>
      </c>
      <c r="D514" s="169" t="str">
        <f t="shared" ref="D514:E514" si="344">"FA055-1"</f>
        <v>FA055-1</v>
      </c>
      <c r="E514" s="169" t="str">
        <f t="shared" si="344"/>
        <v>FA055-1</v>
      </c>
      <c r="F514" s="169" t="s">
        <v>18811</v>
      </c>
      <c r="G514" s="169">
        <v>3.0</v>
      </c>
      <c r="H514" s="169">
        <v>7957.0</v>
      </c>
      <c r="I514" s="169">
        <v>23871.0</v>
      </c>
      <c r="J514" s="169">
        <v>0.0</v>
      </c>
      <c r="K514" s="169">
        <v>3.0</v>
      </c>
      <c r="L514" s="169">
        <v>0.0</v>
      </c>
    </row>
    <row r="515" ht="14.25" customHeight="1">
      <c r="A515" s="169" t="s">
        <v>18810</v>
      </c>
      <c r="B515" s="169" t="s">
        <v>9566</v>
      </c>
      <c r="C515" s="169" t="s">
        <v>18064</v>
      </c>
      <c r="D515" s="169" t="str">
        <f t="shared" ref="D515:E515" si="345">"FA113-1"</f>
        <v>FA113-1</v>
      </c>
      <c r="E515" s="169" t="str">
        <f t="shared" si="345"/>
        <v>FA113-1</v>
      </c>
      <c r="F515" s="169" t="s">
        <v>18811</v>
      </c>
      <c r="G515" s="169">
        <v>3.0</v>
      </c>
      <c r="H515" s="169">
        <v>10800.0</v>
      </c>
      <c r="I515" s="169">
        <v>32400.0</v>
      </c>
      <c r="J515" s="169">
        <v>0.0</v>
      </c>
      <c r="K515" s="169">
        <v>3.0</v>
      </c>
      <c r="L515" s="169">
        <v>0.0</v>
      </c>
    </row>
    <row r="516" ht="14.25" customHeight="1">
      <c r="A516" s="169" t="s">
        <v>18810</v>
      </c>
      <c r="B516" s="169" t="s">
        <v>9566</v>
      </c>
      <c r="C516" s="169" t="s">
        <v>18063</v>
      </c>
      <c r="D516" s="169" t="str">
        <f t="shared" ref="D516:E516" si="346">"FA209-1"</f>
        <v>FA209-1</v>
      </c>
      <c r="E516" s="169" t="str">
        <f t="shared" si="346"/>
        <v>FA209-1</v>
      </c>
      <c r="F516" s="169" t="s">
        <v>18811</v>
      </c>
      <c r="G516" s="169">
        <v>5.0</v>
      </c>
      <c r="H516" s="169">
        <v>9500.0</v>
      </c>
      <c r="I516" s="169">
        <v>47500.0</v>
      </c>
      <c r="J516" s="169">
        <v>0.0</v>
      </c>
      <c r="K516" s="169">
        <v>5.0</v>
      </c>
      <c r="L516" s="169">
        <v>0.0</v>
      </c>
    </row>
    <row r="517" ht="14.25" customHeight="1">
      <c r="A517" s="169" t="s">
        <v>18810</v>
      </c>
      <c r="B517" s="169" t="s">
        <v>9566</v>
      </c>
      <c r="C517" s="169" t="s">
        <v>18062</v>
      </c>
      <c r="D517" s="169" t="str">
        <f t="shared" ref="D517:E517" si="347">"FA116-1"</f>
        <v>FA116-1</v>
      </c>
      <c r="E517" s="169" t="str">
        <f t="shared" si="347"/>
        <v>FA116-1</v>
      </c>
      <c r="F517" s="169" t="s">
        <v>18811</v>
      </c>
      <c r="G517" s="169">
        <v>4.0</v>
      </c>
      <c r="H517" s="169">
        <v>7000.0</v>
      </c>
      <c r="I517" s="169">
        <v>28000.0</v>
      </c>
      <c r="J517" s="169">
        <v>0.0</v>
      </c>
      <c r="K517" s="169">
        <v>4.0</v>
      </c>
      <c r="L517" s="169">
        <v>0.0</v>
      </c>
    </row>
    <row r="518" ht="14.25" customHeight="1">
      <c r="A518" s="169" t="s">
        <v>18810</v>
      </c>
      <c r="B518" s="169" t="s">
        <v>9566</v>
      </c>
      <c r="C518" s="169" t="s">
        <v>18061</v>
      </c>
      <c r="D518" s="169" t="str">
        <f t="shared" ref="D518:E518" si="348">"FA140-1"</f>
        <v>FA140-1</v>
      </c>
      <c r="E518" s="169" t="str">
        <f t="shared" si="348"/>
        <v>FA140-1</v>
      </c>
      <c r="F518" s="169" t="s">
        <v>18811</v>
      </c>
      <c r="G518" s="169">
        <v>4.0</v>
      </c>
      <c r="H518" s="169">
        <v>10400.0</v>
      </c>
      <c r="I518" s="169">
        <v>41600.0</v>
      </c>
      <c r="J518" s="169">
        <v>0.0</v>
      </c>
      <c r="K518" s="169">
        <v>4.0</v>
      </c>
      <c r="L518" s="169">
        <v>0.0</v>
      </c>
    </row>
    <row r="519" ht="14.25" customHeight="1">
      <c r="A519" s="169" t="s">
        <v>18810</v>
      </c>
      <c r="B519" s="169" t="s">
        <v>9566</v>
      </c>
      <c r="C519" s="169" t="s">
        <v>18060</v>
      </c>
      <c r="D519" s="169" t="str">
        <f t="shared" ref="D519:E519" si="349">"FA346-1"</f>
        <v>FA346-1</v>
      </c>
      <c r="E519" s="169" t="str">
        <f t="shared" si="349"/>
        <v>FA346-1</v>
      </c>
      <c r="F519" s="169" t="s">
        <v>18811</v>
      </c>
      <c r="G519" s="169">
        <v>6.0</v>
      </c>
      <c r="H519" s="169">
        <v>8500.0</v>
      </c>
      <c r="I519" s="169">
        <v>51000.0</v>
      </c>
      <c r="J519" s="169">
        <v>0.0</v>
      </c>
      <c r="K519" s="169">
        <v>6.0</v>
      </c>
      <c r="L519" s="169">
        <v>0.0</v>
      </c>
    </row>
    <row r="520" ht="14.25" customHeight="1">
      <c r="A520" s="169" t="s">
        <v>18810</v>
      </c>
      <c r="B520" s="169" t="s">
        <v>9566</v>
      </c>
      <c r="C520" s="169" t="s">
        <v>18059</v>
      </c>
      <c r="D520" s="169" t="str">
        <f t="shared" ref="D520:E520" si="350">"FA348-1"</f>
        <v>FA348-1</v>
      </c>
      <c r="E520" s="169" t="str">
        <f t="shared" si="350"/>
        <v>FA348-1</v>
      </c>
      <c r="F520" s="169" t="s">
        <v>18811</v>
      </c>
      <c r="G520" s="169">
        <v>2.0</v>
      </c>
      <c r="H520" s="169">
        <v>4900.0</v>
      </c>
      <c r="I520" s="169">
        <v>9800.0</v>
      </c>
      <c r="J520" s="169">
        <v>0.0</v>
      </c>
      <c r="K520" s="169">
        <v>2.0</v>
      </c>
      <c r="L520" s="169">
        <v>0.0</v>
      </c>
    </row>
    <row r="521" ht="14.25" customHeight="1">
      <c r="A521" s="169" t="s">
        <v>18810</v>
      </c>
      <c r="B521" s="169" t="s">
        <v>9566</v>
      </c>
      <c r="C521" s="169" t="s">
        <v>18058</v>
      </c>
      <c r="D521" s="169" t="str">
        <f t="shared" ref="D521:E521" si="351">"FA275-1"</f>
        <v>FA275-1</v>
      </c>
      <c r="E521" s="169" t="str">
        <f t="shared" si="351"/>
        <v>FA275-1</v>
      </c>
      <c r="F521" s="169" t="s">
        <v>18811</v>
      </c>
      <c r="G521" s="169">
        <v>1.0</v>
      </c>
      <c r="H521" s="169">
        <v>7400.0</v>
      </c>
      <c r="I521" s="169">
        <v>7400.0</v>
      </c>
      <c r="J521" s="169">
        <v>0.0</v>
      </c>
      <c r="K521" s="169">
        <v>1.0</v>
      </c>
      <c r="L521" s="169">
        <v>0.0</v>
      </c>
    </row>
    <row r="522" ht="14.25" customHeight="1">
      <c r="A522" s="169" t="s">
        <v>18810</v>
      </c>
      <c r="B522" s="169" t="s">
        <v>9566</v>
      </c>
      <c r="C522" s="169" t="s">
        <v>18057</v>
      </c>
      <c r="D522" s="169" t="str">
        <f t="shared" ref="D522:E522" si="352">"FA208-1"</f>
        <v>FA208-1</v>
      </c>
      <c r="E522" s="169" t="str">
        <f t="shared" si="352"/>
        <v>FA208-1</v>
      </c>
      <c r="F522" s="169" t="s">
        <v>18811</v>
      </c>
      <c r="G522" s="169">
        <v>5.0</v>
      </c>
      <c r="H522" s="169">
        <v>9300.0</v>
      </c>
      <c r="I522" s="169">
        <v>46500.0</v>
      </c>
      <c r="J522" s="169">
        <v>0.0</v>
      </c>
      <c r="K522" s="169">
        <v>5.0</v>
      </c>
      <c r="L522" s="169">
        <v>0.0</v>
      </c>
    </row>
    <row r="523" ht="14.25" customHeight="1">
      <c r="A523" s="169" t="s">
        <v>18810</v>
      </c>
      <c r="B523" s="169" t="s">
        <v>9566</v>
      </c>
      <c r="C523" s="169" t="s">
        <v>18056</v>
      </c>
      <c r="D523" s="169" t="str">
        <f t="shared" ref="D523:E523" si="353">"FA192-1"</f>
        <v>FA192-1</v>
      </c>
      <c r="E523" s="169" t="str">
        <f t="shared" si="353"/>
        <v>FA192-1</v>
      </c>
      <c r="F523" s="169" t="s">
        <v>18811</v>
      </c>
      <c r="G523" s="169">
        <v>6.0</v>
      </c>
      <c r="H523" s="169">
        <v>5950.0</v>
      </c>
      <c r="I523" s="169">
        <v>35700.0</v>
      </c>
      <c r="J523" s="169">
        <v>0.0</v>
      </c>
      <c r="K523" s="169">
        <v>6.0</v>
      </c>
      <c r="L523" s="169">
        <v>0.0</v>
      </c>
    </row>
    <row r="524" ht="14.25" customHeight="1">
      <c r="A524" s="169" t="s">
        <v>18810</v>
      </c>
      <c r="B524" s="169" t="s">
        <v>9566</v>
      </c>
      <c r="C524" s="169" t="s">
        <v>18055</v>
      </c>
      <c r="D524" s="169" t="str">
        <f t="shared" ref="D524:E524" si="354">"FA336-1"</f>
        <v>FA336-1</v>
      </c>
      <c r="E524" s="169" t="str">
        <f t="shared" si="354"/>
        <v>FA336-1</v>
      </c>
      <c r="F524" s="169" t="s">
        <v>18811</v>
      </c>
      <c r="G524" s="169">
        <v>11.0</v>
      </c>
      <c r="H524" s="169">
        <v>12000.0</v>
      </c>
      <c r="I524" s="169">
        <v>132000.0</v>
      </c>
      <c r="J524" s="169">
        <v>0.0</v>
      </c>
      <c r="K524" s="169">
        <v>11.0</v>
      </c>
      <c r="L524" s="169">
        <v>0.0</v>
      </c>
    </row>
    <row r="525" ht="14.25" customHeight="1">
      <c r="A525" s="169" t="s">
        <v>18810</v>
      </c>
      <c r="B525" s="169" t="s">
        <v>9566</v>
      </c>
      <c r="C525" s="169" t="s">
        <v>18054</v>
      </c>
      <c r="D525" s="169" t="str">
        <f t="shared" ref="D525:E525" si="355">"FA335-1"</f>
        <v>FA335-1</v>
      </c>
      <c r="E525" s="169" t="str">
        <f t="shared" si="355"/>
        <v>FA335-1</v>
      </c>
      <c r="F525" s="169" t="s">
        <v>18811</v>
      </c>
      <c r="G525" s="169">
        <v>5.0</v>
      </c>
      <c r="H525" s="169">
        <v>8300.0</v>
      </c>
      <c r="I525" s="169">
        <v>41500.0</v>
      </c>
      <c r="J525" s="169">
        <v>0.0</v>
      </c>
      <c r="K525" s="169">
        <v>5.0</v>
      </c>
      <c r="L525" s="169">
        <v>0.0</v>
      </c>
    </row>
    <row r="526" ht="14.25" customHeight="1">
      <c r="A526" s="169" t="s">
        <v>18810</v>
      </c>
      <c r="B526" s="169" t="s">
        <v>9566</v>
      </c>
      <c r="C526" s="169" t="s">
        <v>18053</v>
      </c>
      <c r="D526" s="169" t="str">
        <f t="shared" ref="D526:E526" si="356">"FA294-1"</f>
        <v>FA294-1</v>
      </c>
      <c r="E526" s="169" t="str">
        <f t="shared" si="356"/>
        <v>FA294-1</v>
      </c>
      <c r="F526" s="169" t="s">
        <v>18811</v>
      </c>
      <c r="G526" s="169">
        <v>5.0</v>
      </c>
      <c r="H526" s="169">
        <v>8300.0</v>
      </c>
      <c r="I526" s="169">
        <v>41500.0</v>
      </c>
      <c r="J526" s="169">
        <v>0.0</v>
      </c>
      <c r="K526" s="169">
        <v>5.0</v>
      </c>
      <c r="L526" s="169">
        <v>0.0</v>
      </c>
    </row>
    <row r="527" ht="14.25" customHeight="1">
      <c r="A527" s="169" t="s">
        <v>18810</v>
      </c>
      <c r="B527" s="169" t="s">
        <v>9566</v>
      </c>
      <c r="C527" s="169" t="s">
        <v>18052</v>
      </c>
      <c r="D527" s="169" t="str">
        <f t="shared" ref="D527:E527" si="357">"FA195-1"</f>
        <v>FA195-1</v>
      </c>
      <c r="E527" s="169" t="str">
        <f t="shared" si="357"/>
        <v>FA195-1</v>
      </c>
      <c r="F527" s="169" t="s">
        <v>18811</v>
      </c>
      <c r="G527" s="169">
        <v>6.0</v>
      </c>
      <c r="H527" s="169">
        <v>9300.0</v>
      </c>
      <c r="I527" s="169">
        <v>55800.0</v>
      </c>
      <c r="J527" s="169">
        <v>0.0</v>
      </c>
      <c r="K527" s="169">
        <v>6.0</v>
      </c>
      <c r="L527" s="169">
        <v>0.0</v>
      </c>
    </row>
    <row r="528" ht="14.25" customHeight="1">
      <c r="A528" s="169" t="s">
        <v>18810</v>
      </c>
      <c r="B528" s="169" t="s">
        <v>9566</v>
      </c>
      <c r="C528" s="169" t="s">
        <v>18051</v>
      </c>
      <c r="D528" s="169" t="str">
        <f t="shared" ref="D528:E528" si="358">"FA304-1"</f>
        <v>FA304-1</v>
      </c>
      <c r="E528" s="169" t="str">
        <f t="shared" si="358"/>
        <v>FA304-1</v>
      </c>
      <c r="F528" s="169" t="s">
        <v>18811</v>
      </c>
      <c r="G528" s="169">
        <v>5.0</v>
      </c>
      <c r="H528" s="169">
        <v>9000.0</v>
      </c>
      <c r="I528" s="169">
        <v>45000.0</v>
      </c>
      <c r="J528" s="169">
        <v>0.0</v>
      </c>
      <c r="K528" s="169">
        <v>5.0</v>
      </c>
      <c r="L528" s="169">
        <v>0.0</v>
      </c>
    </row>
    <row r="529" ht="14.25" customHeight="1">
      <c r="A529" s="169" t="s">
        <v>18810</v>
      </c>
      <c r="B529" s="169" t="s">
        <v>9566</v>
      </c>
      <c r="C529" s="169" t="s">
        <v>18050</v>
      </c>
      <c r="D529" s="169" t="str">
        <f t="shared" ref="D529:E529" si="359">"FA227-1"</f>
        <v>FA227-1</v>
      </c>
      <c r="E529" s="169" t="str">
        <f t="shared" si="359"/>
        <v>FA227-1</v>
      </c>
      <c r="F529" s="169" t="s">
        <v>18811</v>
      </c>
      <c r="G529" s="169">
        <v>5.0</v>
      </c>
      <c r="H529" s="169">
        <v>11150.0</v>
      </c>
      <c r="I529" s="169">
        <v>55750.0</v>
      </c>
      <c r="J529" s="169">
        <v>0.0</v>
      </c>
      <c r="K529" s="169">
        <v>5.0</v>
      </c>
      <c r="L529" s="169">
        <v>0.0</v>
      </c>
    </row>
    <row r="530" ht="14.25" customHeight="1">
      <c r="A530" s="169" t="s">
        <v>18810</v>
      </c>
      <c r="B530" s="169" t="s">
        <v>9566</v>
      </c>
      <c r="C530" s="169" t="s">
        <v>18049</v>
      </c>
      <c r="D530" s="169" t="str">
        <f t="shared" ref="D530:E530" si="360">"FA223-1"</f>
        <v>FA223-1</v>
      </c>
      <c r="E530" s="169" t="str">
        <f t="shared" si="360"/>
        <v>FA223-1</v>
      </c>
      <c r="F530" s="169" t="s">
        <v>18811</v>
      </c>
      <c r="G530" s="169">
        <v>6.0</v>
      </c>
      <c r="H530" s="169">
        <v>9700.0</v>
      </c>
      <c r="I530" s="169">
        <v>58200.0</v>
      </c>
      <c r="J530" s="169">
        <v>0.0</v>
      </c>
      <c r="K530" s="169">
        <v>6.0</v>
      </c>
      <c r="L530" s="169">
        <v>0.0</v>
      </c>
    </row>
    <row r="531" ht="14.25" customHeight="1">
      <c r="A531" s="169" t="s">
        <v>18810</v>
      </c>
      <c r="B531" s="169" t="s">
        <v>9566</v>
      </c>
      <c r="C531" s="169" t="s">
        <v>18048</v>
      </c>
      <c r="D531" s="169" t="str">
        <f t="shared" ref="D531:E531" si="361">"FA038-1"</f>
        <v>FA038-1</v>
      </c>
      <c r="E531" s="169" t="str">
        <f t="shared" si="361"/>
        <v>FA038-1</v>
      </c>
      <c r="F531" s="169" t="s">
        <v>18811</v>
      </c>
      <c r="G531" s="169">
        <v>6.0</v>
      </c>
      <c r="H531" s="169">
        <v>13750.0</v>
      </c>
      <c r="I531" s="169">
        <v>82500.0</v>
      </c>
      <c r="J531" s="169">
        <v>0.0</v>
      </c>
      <c r="K531" s="169">
        <v>6.0</v>
      </c>
      <c r="L531" s="169">
        <v>0.0</v>
      </c>
    </row>
    <row r="532" ht="14.25" customHeight="1">
      <c r="A532" s="169" t="s">
        <v>18810</v>
      </c>
      <c r="B532" s="169" t="s">
        <v>9566</v>
      </c>
      <c r="C532" s="169" t="s">
        <v>18047</v>
      </c>
      <c r="D532" s="169" t="str">
        <f t="shared" ref="D532:E532" si="362">"FA251-1"</f>
        <v>FA251-1</v>
      </c>
      <c r="E532" s="169" t="str">
        <f t="shared" si="362"/>
        <v>FA251-1</v>
      </c>
      <c r="F532" s="169" t="s">
        <v>18811</v>
      </c>
      <c r="G532" s="169">
        <v>1.0</v>
      </c>
      <c r="H532" s="169">
        <v>11592.0</v>
      </c>
      <c r="I532" s="169">
        <v>11592.0</v>
      </c>
      <c r="J532" s="169">
        <v>0.0</v>
      </c>
      <c r="K532" s="169">
        <v>1.0</v>
      </c>
      <c r="L532" s="169">
        <v>0.0</v>
      </c>
    </row>
    <row r="533" ht="14.25" customHeight="1">
      <c r="A533" s="169" t="s">
        <v>18810</v>
      </c>
      <c r="B533" s="169" t="s">
        <v>9566</v>
      </c>
      <c r="C533" s="169" t="s">
        <v>18046</v>
      </c>
      <c r="D533" s="169" t="str">
        <f t="shared" ref="D533:E533" si="363">"FA056-1"</f>
        <v>FA056-1</v>
      </c>
      <c r="E533" s="169" t="str">
        <f t="shared" si="363"/>
        <v>FA056-1</v>
      </c>
      <c r="F533" s="169" t="s">
        <v>18811</v>
      </c>
      <c r="G533" s="169">
        <v>3.0</v>
      </c>
      <c r="H533" s="169">
        <v>7186.0</v>
      </c>
      <c r="I533" s="169">
        <v>21558.0</v>
      </c>
      <c r="J533" s="169">
        <v>0.0</v>
      </c>
      <c r="K533" s="169">
        <v>3.0</v>
      </c>
      <c r="L533" s="169">
        <v>0.0</v>
      </c>
    </row>
    <row r="534" ht="14.25" customHeight="1">
      <c r="A534" s="169" t="s">
        <v>18810</v>
      </c>
      <c r="B534" s="169" t="s">
        <v>9566</v>
      </c>
      <c r="C534" s="169" t="s">
        <v>18045</v>
      </c>
      <c r="D534" s="169" t="str">
        <f t="shared" ref="D534:E534" si="364">"FA200-1"</f>
        <v>FA200-1</v>
      </c>
      <c r="E534" s="169" t="str">
        <f t="shared" si="364"/>
        <v>FA200-1</v>
      </c>
      <c r="F534" s="169" t="s">
        <v>18811</v>
      </c>
      <c r="G534" s="169">
        <v>5.0</v>
      </c>
      <c r="H534" s="169">
        <v>6750.0</v>
      </c>
      <c r="I534" s="169">
        <v>33750.0</v>
      </c>
      <c r="J534" s="169">
        <v>0.0</v>
      </c>
      <c r="K534" s="169">
        <v>5.0</v>
      </c>
      <c r="L534" s="169">
        <v>0.0</v>
      </c>
    </row>
    <row r="535" ht="14.25" customHeight="1">
      <c r="A535" s="169" t="s">
        <v>18810</v>
      </c>
      <c r="B535" s="169" t="s">
        <v>9566</v>
      </c>
      <c r="C535" s="169" t="s">
        <v>18044</v>
      </c>
      <c r="D535" s="169" t="str">
        <f t="shared" ref="D535:E535" si="365">"FA199-3"</f>
        <v>FA199-3</v>
      </c>
      <c r="E535" s="169" t="str">
        <f t="shared" si="365"/>
        <v>FA199-3</v>
      </c>
      <c r="F535" s="169" t="s">
        <v>18811</v>
      </c>
      <c r="G535" s="169">
        <v>3.0</v>
      </c>
      <c r="H535" s="169">
        <v>4350.0</v>
      </c>
      <c r="I535" s="169">
        <v>13050.0</v>
      </c>
      <c r="J535" s="169">
        <v>0.0</v>
      </c>
      <c r="K535" s="169">
        <v>3.0</v>
      </c>
      <c r="L535" s="169">
        <v>0.0</v>
      </c>
    </row>
    <row r="536" ht="14.25" customHeight="1">
      <c r="A536" s="169" t="s">
        <v>18810</v>
      </c>
      <c r="B536" s="169" t="s">
        <v>9566</v>
      </c>
      <c r="C536" s="169" t="s">
        <v>18043</v>
      </c>
      <c r="D536" s="169" t="str">
        <f t="shared" ref="D536:E536" si="366">"FA199-1"</f>
        <v>FA199-1</v>
      </c>
      <c r="E536" s="169" t="str">
        <f t="shared" si="366"/>
        <v>FA199-1</v>
      </c>
      <c r="F536" s="169" t="s">
        <v>18811</v>
      </c>
      <c r="G536" s="169">
        <v>4.0</v>
      </c>
      <c r="H536" s="169">
        <v>4350.0</v>
      </c>
      <c r="I536" s="169">
        <v>17400.0</v>
      </c>
      <c r="J536" s="169">
        <v>0.0</v>
      </c>
      <c r="K536" s="169">
        <v>4.0</v>
      </c>
      <c r="L536" s="169">
        <v>0.0</v>
      </c>
    </row>
    <row r="537" ht="14.25" customHeight="1">
      <c r="A537" s="169" t="s">
        <v>18810</v>
      </c>
      <c r="B537" s="169" t="s">
        <v>9566</v>
      </c>
      <c r="C537" s="169" t="s">
        <v>18042</v>
      </c>
      <c r="D537" s="169" t="str">
        <f t="shared" ref="D537:E537" si="367">"FA199-5"</f>
        <v>FA199-5</v>
      </c>
      <c r="E537" s="169" t="str">
        <f t="shared" si="367"/>
        <v>FA199-5</v>
      </c>
      <c r="F537" s="169" t="s">
        <v>18811</v>
      </c>
      <c r="G537" s="169">
        <v>4.0</v>
      </c>
      <c r="H537" s="169">
        <v>4350.0</v>
      </c>
      <c r="I537" s="169">
        <v>17400.0</v>
      </c>
      <c r="J537" s="169">
        <v>0.0</v>
      </c>
      <c r="K537" s="169">
        <v>4.0</v>
      </c>
      <c r="L537" s="169">
        <v>0.0</v>
      </c>
    </row>
    <row r="538" ht="14.25" customHeight="1">
      <c r="A538" s="169" t="s">
        <v>18810</v>
      </c>
      <c r="B538" s="169" t="s">
        <v>9566</v>
      </c>
      <c r="C538" s="169" t="s">
        <v>18041</v>
      </c>
      <c r="D538" s="169" t="str">
        <f t="shared" ref="D538:E538" si="368">"FA200-2"</f>
        <v>FA200-2</v>
      </c>
      <c r="E538" s="169" t="str">
        <f t="shared" si="368"/>
        <v>FA200-2</v>
      </c>
      <c r="F538" s="169" t="s">
        <v>18811</v>
      </c>
      <c r="G538" s="169">
        <v>5.0</v>
      </c>
      <c r="H538" s="169">
        <v>6750.0</v>
      </c>
      <c r="I538" s="169">
        <v>33750.0</v>
      </c>
      <c r="J538" s="169">
        <v>0.0</v>
      </c>
      <c r="K538" s="169">
        <v>5.0</v>
      </c>
      <c r="L538" s="169">
        <v>0.0</v>
      </c>
    </row>
    <row r="539" ht="14.25" customHeight="1">
      <c r="A539" s="169" t="s">
        <v>18810</v>
      </c>
      <c r="B539" s="169" t="s">
        <v>9566</v>
      </c>
      <c r="C539" s="169" t="s">
        <v>18040</v>
      </c>
      <c r="D539" s="169" t="str">
        <f t="shared" ref="D539:E539" si="369">"FA268-1"</f>
        <v>FA268-1</v>
      </c>
      <c r="E539" s="169" t="str">
        <f t="shared" si="369"/>
        <v>FA268-1</v>
      </c>
      <c r="F539" s="169" t="s">
        <v>18811</v>
      </c>
      <c r="G539" s="169">
        <v>3.0</v>
      </c>
      <c r="H539" s="169">
        <v>15300.0</v>
      </c>
      <c r="I539" s="169">
        <v>45900.0</v>
      </c>
      <c r="J539" s="169">
        <v>0.0</v>
      </c>
      <c r="K539" s="169">
        <v>3.0</v>
      </c>
      <c r="L539" s="169">
        <v>0.0</v>
      </c>
    </row>
    <row r="540" ht="14.25" customHeight="1">
      <c r="A540" s="169" t="s">
        <v>18810</v>
      </c>
      <c r="B540" s="169" t="s">
        <v>9566</v>
      </c>
      <c r="C540" s="169" t="s">
        <v>18039</v>
      </c>
      <c r="D540" s="169" t="str">
        <f t="shared" ref="D540:E540" si="370">"FA316-1"</f>
        <v>FA316-1</v>
      </c>
      <c r="E540" s="169" t="str">
        <f t="shared" si="370"/>
        <v>FA316-1</v>
      </c>
      <c r="F540" s="169" t="s">
        <v>18811</v>
      </c>
      <c r="G540" s="169">
        <v>3.0</v>
      </c>
      <c r="H540" s="169">
        <v>6890.0</v>
      </c>
      <c r="I540" s="169">
        <v>20670.0</v>
      </c>
      <c r="J540" s="169">
        <v>0.0</v>
      </c>
      <c r="K540" s="169">
        <v>3.0</v>
      </c>
      <c r="L540" s="169">
        <v>0.0</v>
      </c>
    </row>
    <row r="541" ht="14.25" customHeight="1">
      <c r="A541" s="169" t="s">
        <v>18810</v>
      </c>
      <c r="B541" s="169" t="s">
        <v>9566</v>
      </c>
      <c r="C541" s="169" t="s">
        <v>18038</v>
      </c>
      <c r="D541" s="169" t="str">
        <f t="shared" ref="D541:E541" si="371">"FA230-1"</f>
        <v>FA230-1</v>
      </c>
      <c r="E541" s="169" t="str">
        <f t="shared" si="371"/>
        <v>FA230-1</v>
      </c>
      <c r="F541" s="169" t="s">
        <v>18811</v>
      </c>
      <c r="G541" s="169">
        <v>6.0</v>
      </c>
      <c r="H541" s="169">
        <v>11050.0</v>
      </c>
      <c r="I541" s="169">
        <v>66300.0</v>
      </c>
      <c r="J541" s="169">
        <v>0.0</v>
      </c>
      <c r="K541" s="169">
        <v>6.0</v>
      </c>
      <c r="L541" s="169">
        <v>0.0</v>
      </c>
    </row>
    <row r="542" ht="14.25" customHeight="1">
      <c r="A542" s="169" t="s">
        <v>18810</v>
      </c>
      <c r="B542" s="169" t="s">
        <v>9566</v>
      </c>
      <c r="C542" s="169" t="s">
        <v>18037</v>
      </c>
      <c r="D542" s="169" t="str">
        <f t="shared" ref="D542:E542" si="372">"FA120-1"</f>
        <v>FA120-1</v>
      </c>
      <c r="E542" s="169" t="str">
        <f t="shared" si="372"/>
        <v>FA120-1</v>
      </c>
      <c r="F542" s="169" t="s">
        <v>18811</v>
      </c>
      <c r="G542" s="169">
        <v>6.0</v>
      </c>
      <c r="H542" s="169">
        <v>7490.0</v>
      </c>
      <c r="I542" s="169">
        <v>44940.0</v>
      </c>
      <c r="J542" s="169">
        <v>0.0</v>
      </c>
      <c r="K542" s="169">
        <v>6.0</v>
      </c>
      <c r="L542" s="169">
        <v>0.0</v>
      </c>
    </row>
    <row r="543" ht="14.25" customHeight="1">
      <c r="A543" s="169" t="s">
        <v>18810</v>
      </c>
      <c r="B543" s="169" t="s">
        <v>9566</v>
      </c>
      <c r="C543" s="169" t="s">
        <v>18036</v>
      </c>
      <c r="D543" s="169" t="str">
        <f t="shared" ref="D543:E543" si="373">"FA093-1"</f>
        <v>FA093-1</v>
      </c>
      <c r="E543" s="169" t="str">
        <f t="shared" si="373"/>
        <v>FA093-1</v>
      </c>
      <c r="F543" s="169" t="s">
        <v>18811</v>
      </c>
      <c r="G543" s="169">
        <v>5.0</v>
      </c>
      <c r="H543" s="169">
        <v>8500.0</v>
      </c>
      <c r="I543" s="169">
        <v>42500.0</v>
      </c>
      <c r="J543" s="169">
        <v>0.0</v>
      </c>
      <c r="K543" s="169">
        <v>5.0</v>
      </c>
      <c r="L543" s="169">
        <v>0.0</v>
      </c>
    </row>
    <row r="544" ht="14.25" customHeight="1">
      <c r="A544" s="169" t="s">
        <v>18810</v>
      </c>
      <c r="B544" s="169" t="s">
        <v>9566</v>
      </c>
      <c r="C544" s="169" t="s">
        <v>18035</v>
      </c>
      <c r="D544" s="169" t="str">
        <f t="shared" ref="D544:E544" si="374">"FA166-1"</f>
        <v>FA166-1</v>
      </c>
      <c r="E544" s="169" t="str">
        <f t="shared" si="374"/>
        <v>FA166-1</v>
      </c>
      <c r="F544" s="169" t="s">
        <v>18811</v>
      </c>
      <c r="G544" s="169">
        <v>6.0</v>
      </c>
      <c r="H544" s="169">
        <v>4750.0</v>
      </c>
      <c r="I544" s="169">
        <v>28500.0</v>
      </c>
      <c r="J544" s="169">
        <v>0.0</v>
      </c>
      <c r="K544" s="169">
        <v>6.0</v>
      </c>
      <c r="L544" s="169">
        <v>0.0</v>
      </c>
    </row>
    <row r="545" ht="14.25" customHeight="1">
      <c r="A545" s="169" t="s">
        <v>18810</v>
      </c>
      <c r="B545" s="169" t="s">
        <v>9566</v>
      </c>
      <c r="C545" s="169" t="s">
        <v>18034</v>
      </c>
      <c r="D545" s="169" t="str">
        <f t="shared" ref="D545:E545" si="375">"FA165-1"</f>
        <v>FA165-1</v>
      </c>
      <c r="E545" s="169" t="str">
        <f t="shared" si="375"/>
        <v>FA165-1</v>
      </c>
      <c r="F545" s="169" t="s">
        <v>18811</v>
      </c>
      <c r="G545" s="169">
        <v>3.0</v>
      </c>
      <c r="H545" s="169">
        <v>4750.0</v>
      </c>
      <c r="I545" s="169">
        <v>14250.0</v>
      </c>
      <c r="J545" s="169">
        <v>0.0</v>
      </c>
      <c r="K545" s="169">
        <v>3.0</v>
      </c>
      <c r="L545" s="169">
        <v>0.0</v>
      </c>
    </row>
    <row r="546" ht="14.25" customHeight="1">
      <c r="A546" s="169" t="s">
        <v>18810</v>
      </c>
      <c r="B546" s="169" t="s">
        <v>9566</v>
      </c>
      <c r="C546" s="169" t="s">
        <v>18033</v>
      </c>
      <c r="D546" s="169" t="str">
        <f t="shared" ref="D546:E546" si="376">"FA089-1"</f>
        <v>FA089-1</v>
      </c>
      <c r="E546" s="169" t="str">
        <f t="shared" si="376"/>
        <v>FA089-1</v>
      </c>
      <c r="F546" s="169" t="s">
        <v>18811</v>
      </c>
      <c r="G546" s="169">
        <v>3.0</v>
      </c>
      <c r="H546" s="169">
        <v>10079.0</v>
      </c>
      <c r="I546" s="169">
        <v>30237.0</v>
      </c>
      <c r="J546" s="169">
        <v>0.0</v>
      </c>
      <c r="K546" s="169">
        <v>3.0</v>
      </c>
      <c r="L546" s="169">
        <v>0.0</v>
      </c>
    </row>
    <row r="547" ht="14.25" customHeight="1">
      <c r="A547" s="169" t="s">
        <v>18810</v>
      </c>
      <c r="B547" s="169" t="s">
        <v>9566</v>
      </c>
      <c r="C547" s="169" t="s">
        <v>18032</v>
      </c>
      <c r="D547" s="169" t="str">
        <f t="shared" ref="D547:E547" si="377">"FA341-1"</f>
        <v>FA341-1</v>
      </c>
      <c r="E547" s="169" t="str">
        <f t="shared" si="377"/>
        <v>FA341-1</v>
      </c>
      <c r="F547" s="169" t="s">
        <v>18811</v>
      </c>
      <c r="G547" s="169">
        <v>4.0</v>
      </c>
      <c r="H547" s="169">
        <v>12000.0</v>
      </c>
      <c r="I547" s="169">
        <v>48000.0</v>
      </c>
      <c r="J547" s="169">
        <v>0.0</v>
      </c>
      <c r="K547" s="169">
        <v>4.0</v>
      </c>
      <c r="L547" s="169">
        <v>0.0</v>
      </c>
    </row>
    <row r="548" ht="14.25" customHeight="1">
      <c r="A548" s="169" t="s">
        <v>18810</v>
      </c>
      <c r="B548" s="169" t="s">
        <v>9566</v>
      </c>
      <c r="C548" s="169" t="s">
        <v>18031</v>
      </c>
      <c r="D548" s="169" t="str">
        <f t="shared" ref="D548:E548" si="378">"FA161-1"</f>
        <v>FA161-1</v>
      </c>
      <c r="E548" s="169" t="str">
        <f t="shared" si="378"/>
        <v>FA161-1</v>
      </c>
      <c r="F548" s="169" t="s">
        <v>18811</v>
      </c>
      <c r="G548" s="169">
        <v>4.0</v>
      </c>
      <c r="H548" s="169">
        <v>7400.0</v>
      </c>
      <c r="I548" s="169">
        <v>29600.0</v>
      </c>
      <c r="J548" s="169">
        <v>0.0</v>
      </c>
      <c r="K548" s="169">
        <v>4.0</v>
      </c>
      <c r="L548" s="169">
        <v>0.0</v>
      </c>
    </row>
    <row r="549" ht="14.25" customHeight="1">
      <c r="A549" s="169" t="s">
        <v>18810</v>
      </c>
      <c r="B549" s="169" t="s">
        <v>9566</v>
      </c>
      <c r="C549" s="169" t="s">
        <v>18030</v>
      </c>
      <c r="D549" s="169" t="str">
        <f t="shared" ref="D549:E549" si="379">"FA334-2"</f>
        <v>FA334-2</v>
      </c>
      <c r="E549" s="169" t="str">
        <f t="shared" si="379"/>
        <v>FA334-2</v>
      </c>
      <c r="F549" s="169" t="s">
        <v>18811</v>
      </c>
      <c r="G549" s="169">
        <v>9.0</v>
      </c>
      <c r="H549" s="169">
        <v>3020.6</v>
      </c>
      <c r="I549" s="169">
        <v>27185.0</v>
      </c>
      <c r="J549" s="169">
        <v>0.0</v>
      </c>
      <c r="K549" s="169">
        <v>9.0</v>
      </c>
      <c r="L549" s="169">
        <v>0.0</v>
      </c>
    </row>
    <row r="550" ht="14.25" customHeight="1">
      <c r="A550" s="169" t="s">
        <v>18810</v>
      </c>
      <c r="B550" s="169" t="s">
        <v>9566</v>
      </c>
      <c r="C550" s="169" t="s">
        <v>18029</v>
      </c>
      <c r="D550" s="169" t="str">
        <f t="shared" ref="D550:E550" si="380">"FA110-1"</f>
        <v>FA110-1</v>
      </c>
      <c r="E550" s="169" t="str">
        <f t="shared" si="380"/>
        <v>FA110-1</v>
      </c>
      <c r="F550" s="169" t="s">
        <v>18811</v>
      </c>
      <c r="G550" s="169">
        <v>12.0</v>
      </c>
      <c r="H550" s="169">
        <v>13200.0</v>
      </c>
      <c r="I550" s="169">
        <v>158400.0</v>
      </c>
      <c r="J550" s="169">
        <v>0.0</v>
      </c>
      <c r="K550" s="169">
        <v>12.0</v>
      </c>
      <c r="L550" s="169">
        <v>0.0</v>
      </c>
    </row>
    <row r="551" ht="14.25" customHeight="1">
      <c r="A551" s="169" t="s">
        <v>18810</v>
      </c>
      <c r="B551" s="169" t="s">
        <v>9566</v>
      </c>
      <c r="C551" s="169" t="s">
        <v>18028</v>
      </c>
      <c r="D551" s="169" t="str">
        <f t="shared" ref="D551:E551" si="381">"FA248-1"</f>
        <v>FA248-1</v>
      </c>
      <c r="E551" s="169" t="str">
        <f t="shared" si="381"/>
        <v>FA248-1</v>
      </c>
      <c r="F551" s="169" t="s">
        <v>18811</v>
      </c>
      <c r="G551" s="169">
        <v>8.0</v>
      </c>
      <c r="H551" s="169">
        <v>12000.0</v>
      </c>
      <c r="I551" s="169">
        <v>96000.0</v>
      </c>
      <c r="J551" s="169">
        <v>0.0</v>
      </c>
      <c r="K551" s="169">
        <v>8.0</v>
      </c>
      <c r="L551" s="169">
        <v>0.0</v>
      </c>
    </row>
    <row r="552" ht="14.25" customHeight="1">
      <c r="A552" s="169" t="s">
        <v>18810</v>
      </c>
      <c r="B552" s="169" t="s">
        <v>9566</v>
      </c>
      <c r="C552" s="169" t="s">
        <v>18027</v>
      </c>
      <c r="D552" s="169" t="str">
        <f t="shared" ref="D552:E552" si="382">"FA318-1"</f>
        <v>FA318-1</v>
      </c>
      <c r="E552" s="169" t="str">
        <f t="shared" si="382"/>
        <v>FA318-1</v>
      </c>
      <c r="F552" s="169" t="s">
        <v>18811</v>
      </c>
      <c r="G552" s="169">
        <v>3.0</v>
      </c>
      <c r="H552" s="169">
        <v>7900.0</v>
      </c>
      <c r="I552" s="169">
        <v>23700.0</v>
      </c>
      <c r="J552" s="169">
        <v>0.0</v>
      </c>
      <c r="K552" s="169">
        <v>3.0</v>
      </c>
      <c r="L552" s="169">
        <v>0.0</v>
      </c>
    </row>
    <row r="553" ht="14.25" customHeight="1">
      <c r="A553" s="169" t="s">
        <v>18810</v>
      </c>
      <c r="B553" s="169" t="s">
        <v>9566</v>
      </c>
      <c r="C553" s="169" t="s">
        <v>18026</v>
      </c>
      <c r="D553" s="169" t="str">
        <f t="shared" ref="D553:E553" si="383">"FA181-1"</f>
        <v>FA181-1</v>
      </c>
      <c r="E553" s="169" t="str">
        <f t="shared" si="383"/>
        <v>FA181-1</v>
      </c>
      <c r="F553" s="169" t="s">
        <v>18811</v>
      </c>
      <c r="G553" s="169">
        <v>4.0</v>
      </c>
      <c r="H553" s="169">
        <v>9400.0</v>
      </c>
      <c r="I553" s="169">
        <v>37600.0</v>
      </c>
      <c r="J553" s="169">
        <v>0.0</v>
      </c>
      <c r="K553" s="169">
        <v>4.0</v>
      </c>
      <c r="L553" s="169">
        <v>0.0</v>
      </c>
    </row>
    <row r="554" ht="14.25" customHeight="1">
      <c r="A554" s="169" t="s">
        <v>18810</v>
      </c>
      <c r="B554" s="169" t="s">
        <v>9566</v>
      </c>
      <c r="C554" s="169" t="s">
        <v>18025</v>
      </c>
      <c r="D554" s="169" t="str">
        <f t="shared" ref="D554:E554" si="384">"FA088-2"</f>
        <v>FA088-2</v>
      </c>
      <c r="E554" s="169" t="str">
        <f t="shared" si="384"/>
        <v>FA088-2</v>
      </c>
      <c r="F554" s="169" t="s">
        <v>18811</v>
      </c>
      <c r="G554" s="169">
        <v>5.0</v>
      </c>
      <c r="H554" s="169">
        <v>21676.0</v>
      </c>
      <c r="I554" s="169">
        <v>108380.0</v>
      </c>
      <c r="J554" s="169">
        <v>0.0</v>
      </c>
      <c r="K554" s="169">
        <v>5.0</v>
      </c>
      <c r="L554" s="169">
        <v>0.0</v>
      </c>
    </row>
    <row r="555" ht="14.25" customHeight="1">
      <c r="A555" s="169" t="s">
        <v>18810</v>
      </c>
      <c r="B555" s="169" t="s">
        <v>9566</v>
      </c>
      <c r="C555" s="169" t="s">
        <v>18024</v>
      </c>
      <c r="D555" s="169" t="str">
        <f t="shared" ref="D555:E555" si="385">"FA088-1"</f>
        <v>FA088-1</v>
      </c>
      <c r="E555" s="169" t="str">
        <f t="shared" si="385"/>
        <v>FA088-1</v>
      </c>
      <c r="F555" s="169" t="s">
        <v>18811</v>
      </c>
      <c r="G555" s="169">
        <v>5.0</v>
      </c>
      <c r="H555" s="169">
        <v>12591.2</v>
      </c>
      <c r="I555" s="169">
        <v>62956.0</v>
      </c>
      <c r="J555" s="169">
        <v>0.0</v>
      </c>
      <c r="K555" s="169">
        <v>5.0</v>
      </c>
      <c r="L555" s="169">
        <v>0.0</v>
      </c>
    </row>
    <row r="556" ht="14.25" customHeight="1">
      <c r="A556" s="169" t="s">
        <v>18810</v>
      </c>
      <c r="B556" s="169" t="s">
        <v>9566</v>
      </c>
      <c r="C556" s="169" t="s">
        <v>18023</v>
      </c>
      <c r="D556" s="169" t="str">
        <f t="shared" ref="D556:E556" si="386">"FA183-1"</f>
        <v>FA183-1</v>
      </c>
      <c r="E556" s="169" t="str">
        <f t="shared" si="386"/>
        <v>FA183-1</v>
      </c>
      <c r="F556" s="169" t="s">
        <v>18811</v>
      </c>
      <c r="G556" s="169">
        <v>3.0</v>
      </c>
      <c r="H556" s="169">
        <v>9000.0</v>
      </c>
      <c r="I556" s="169">
        <v>27000.0</v>
      </c>
      <c r="J556" s="169">
        <v>0.0</v>
      </c>
      <c r="K556" s="169">
        <v>3.0</v>
      </c>
      <c r="L556" s="169">
        <v>0.0</v>
      </c>
    </row>
    <row r="557" ht="14.25" customHeight="1">
      <c r="A557" s="169" t="s">
        <v>18810</v>
      </c>
      <c r="B557" s="169" t="s">
        <v>9566</v>
      </c>
      <c r="C557" s="169" t="s">
        <v>18022</v>
      </c>
      <c r="D557" s="169" t="str">
        <f t="shared" ref="D557:E557" si="387">"FA095-2"</f>
        <v>FA095-2</v>
      </c>
      <c r="E557" s="169" t="str">
        <f t="shared" si="387"/>
        <v>FA095-2</v>
      </c>
      <c r="F557" s="169" t="s">
        <v>18811</v>
      </c>
      <c r="G557" s="169">
        <v>2.0</v>
      </c>
      <c r="H557" s="169">
        <v>17419.0</v>
      </c>
      <c r="I557" s="169">
        <v>34838.0</v>
      </c>
      <c r="J557" s="169">
        <v>0.0</v>
      </c>
      <c r="K557" s="169">
        <v>2.0</v>
      </c>
      <c r="L557" s="169">
        <v>0.0</v>
      </c>
    </row>
    <row r="558" ht="14.25" customHeight="1">
      <c r="A558" s="169" t="s">
        <v>18810</v>
      </c>
      <c r="B558" s="169" t="s">
        <v>9566</v>
      </c>
      <c r="C558" s="169" t="s">
        <v>18021</v>
      </c>
      <c r="D558" s="169" t="str">
        <f t="shared" ref="D558:E558" si="388">"FA270-1"</f>
        <v>FA270-1</v>
      </c>
      <c r="E558" s="169" t="str">
        <f t="shared" si="388"/>
        <v>FA270-1</v>
      </c>
      <c r="F558" s="169" t="s">
        <v>18811</v>
      </c>
      <c r="G558" s="169">
        <v>6.0</v>
      </c>
      <c r="H558" s="169">
        <v>12100.0</v>
      </c>
      <c r="I558" s="169">
        <v>72600.0</v>
      </c>
      <c r="J558" s="169">
        <v>0.0</v>
      </c>
      <c r="K558" s="169">
        <v>6.0</v>
      </c>
      <c r="L558" s="169">
        <v>0.0</v>
      </c>
    </row>
    <row r="559" ht="14.25" customHeight="1">
      <c r="A559" s="169" t="s">
        <v>18810</v>
      </c>
      <c r="B559" s="169" t="s">
        <v>9566</v>
      </c>
      <c r="C559" s="169" t="s">
        <v>18020</v>
      </c>
      <c r="D559" s="169" t="str">
        <f t="shared" ref="D559:E559" si="389">"FA070-1"</f>
        <v>FA070-1</v>
      </c>
      <c r="E559" s="169" t="str">
        <f t="shared" si="389"/>
        <v>FA070-1</v>
      </c>
      <c r="F559" s="169" t="s">
        <v>18811</v>
      </c>
      <c r="G559" s="169">
        <v>7.0</v>
      </c>
      <c r="H559" s="169">
        <v>11550.0</v>
      </c>
      <c r="I559" s="169">
        <v>80850.0</v>
      </c>
      <c r="J559" s="169">
        <v>0.0</v>
      </c>
      <c r="K559" s="169">
        <v>7.0</v>
      </c>
      <c r="L559" s="169">
        <v>0.0</v>
      </c>
    </row>
    <row r="560" ht="14.25" customHeight="1">
      <c r="A560" s="169" t="s">
        <v>18810</v>
      </c>
      <c r="B560" s="169" t="s">
        <v>9566</v>
      </c>
      <c r="C560" s="169" t="s">
        <v>18019</v>
      </c>
      <c r="D560" s="169" t="str">
        <f t="shared" ref="D560:E560" si="390">"FA313-2"</f>
        <v>FA313-2</v>
      </c>
      <c r="E560" s="169" t="str">
        <f t="shared" si="390"/>
        <v>FA313-2</v>
      </c>
      <c r="F560" s="169" t="s">
        <v>18811</v>
      </c>
      <c r="G560" s="169">
        <v>6.0</v>
      </c>
      <c r="H560" s="169">
        <v>12000.0</v>
      </c>
      <c r="I560" s="169">
        <v>72000.0</v>
      </c>
      <c r="J560" s="169">
        <v>0.0</v>
      </c>
      <c r="K560" s="169">
        <v>6.0</v>
      </c>
      <c r="L560" s="169">
        <v>0.0</v>
      </c>
    </row>
    <row r="561" ht="14.25" customHeight="1">
      <c r="A561" s="169" t="s">
        <v>18810</v>
      </c>
      <c r="B561" s="169" t="s">
        <v>9566</v>
      </c>
      <c r="C561" s="169" t="s">
        <v>18018</v>
      </c>
      <c r="D561" s="169" t="str">
        <f t="shared" ref="D561:E561" si="391">"FA362-1"</f>
        <v>FA362-1</v>
      </c>
      <c r="E561" s="169" t="str">
        <f t="shared" si="391"/>
        <v>FA362-1</v>
      </c>
      <c r="F561" s="169" t="s">
        <v>18811</v>
      </c>
      <c r="G561" s="169">
        <v>2.0</v>
      </c>
      <c r="H561" s="169">
        <v>8000.0</v>
      </c>
      <c r="I561" s="169">
        <v>16000.0</v>
      </c>
      <c r="J561" s="169">
        <v>0.0</v>
      </c>
      <c r="K561" s="169">
        <v>2.0</v>
      </c>
      <c r="L561" s="169">
        <v>0.0</v>
      </c>
    </row>
    <row r="562" ht="14.25" customHeight="1">
      <c r="A562" s="169" t="s">
        <v>18810</v>
      </c>
      <c r="B562" s="169" t="s">
        <v>9566</v>
      </c>
      <c r="C562" s="169" t="s">
        <v>18017</v>
      </c>
      <c r="D562" s="169" t="str">
        <f t="shared" ref="D562:E562" si="392">"FA319-1"</f>
        <v>FA319-1</v>
      </c>
      <c r="E562" s="169" t="str">
        <f t="shared" si="392"/>
        <v>FA319-1</v>
      </c>
      <c r="F562" s="169" t="s">
        <v>18811</v>
      </c>
      <c r="G562" s="169">
        <v>6.0</v>
      </c>
      <c r="H562" s="169">
        <v>12800.0</v>
      </c>
      <c r="I562" s="169">
        <v>76800.0</v>
      </c>
      <c r="J562" s="169">
        <v>0.0</v>
      </c>
      <c r="K562" s="169">
        <v>6.0</v>
      </c>
      <c r="L562" s="169">
        <v>0.0</v>
      </c>
    </row>
    <row r="563" ht="14.25" customHeight="1">
      <c r="A563" s="169" t="s">
        <v>18810</v>
      </c>
      <c r="B563" s="169" t="s">
        <v>9566</v>
      </c>
      <c r="C563" s="169" t="s">
        <v>18016</v>
      </c>
      <c r="D563" s="169" t="str">
        <f t="shared" ref="D563:E563" si="393">"FA210-1"</f>
        <v>FA210-1</v>
      </c>
      <c r="E563" s="169" t="str">
        <f t="shared" si="393"/>
        <v>FA210-1</v>
      </c>
      <c r="F563" s="169" t="s">
        <v>18811</v>
      </c>
      <c r="G563" s="169">
        <v>3.0</v>
      </c>
      <c r="H563" s="169">
        <v>10500.0</v>
      </c>
      <c r="I563" s="169">
        <v>31500.0</v>
      </c>
      <c r="J563" s="169">
        <v>0.0</v>
      </c>
      <c r="K563" s="169">
        <v>3.0</v>
      </c>
      <c r="L563" s="169">
        <v>0.0</v>
      </c>
    </row>
    <row r="564" ht="14.25" customHeight="1">
      <c r="A564" s="169" t="s">
        <v>18810</v>
      </c>
      <c r="B564" s="169" t="s">
        <v>9566</v>
      </c>
      <c r="C564" s="169" t="s">
        <v>18015</v>
      </c>
      <c r="D564" s="169" t="str">
        <f t="shared" ref="D564:E564" si="394">"FA136-1"</f>
        <v>FA136-1</v>
      </c>
      <c r="E564" s="169" t="str">
        <f t="shared" si="394"/>
        <v>FA136-1</v>
      </c>
      <c r="F564" s="169" t="s">
        <v>18811</v>
      </c>
      <c r="G564" s="169">
        <v>2.0</v>
      </c>
      <c r="H564" s="169">
        <v>6900.0</v>
      </c>
      <c r="I564" s="169">
        <v>13800.0</v>
      </c>
      <c r="J564" s="169">
        <v>0.0</v>
      </c>
      <c r="K564" s="169">
        <v>2.0</v>
      </c>
      <c r="L564" s="169">
        <v>0.0</v>
      </c>
    </row>
    <row r="565" ht="14.25" customHeight="1">
      <c r="A565" s="169" t="s">
        <v>18810</v>
      </c>
      <c r="B565" s="169" t="s">
        <v>9840</v>
      </c>
      <c r="C565" s="169" t="s">
        <v>18681</v>
      </c>
      <c r="D565" s="169" t="str">
        <f t="shared" ref="D565:E565" si="395">"FF103C"</f>
        <v>FF103C</v>
      </c>
      <c r="E565" s="169" t="str">
        <f t="shared" si="395"/>
        <v>FF103C</v>
      </c>
      <c r="F565" s="169" t="s">
        <v>18811</v>
      </c>
      <c r="G565" s="169">
        <v>2.0</v>
      </c>
      <c r="H565" s="169">
        <v>4300.0</v>
      </c>
      <c r="I565" s="169">
        <v>8600.0</v>
      </c>
      <c r="J565" s="169">
        <v>0.0</v>
      </c>
      <c r="K565" s="169">
        <v>2.0</v>
      </c>
      <c r="L565" s="169">
        <v>0.0</v>
      </c>
    </row>
    <row r="566" ht="14.25" customHeight="1">
      <c r="A566" s="169" t="s">
        <v>18810</v>
      </c>
      <c r="B566" s="169" t="s">
        <v>9840</v>
      </c>
      <c r="C566" s="169" t="s">
        <v>18680</v>
      </c>
      <c r="D566" s="169" t="str">
        <f t="shared" ref="D566:E566" si="396">"FF101C"</f>
        <v>FF101C</v>
      </c>
      <c r="E566" s="169" t="str">
        <f t="shared" si="396"/>
        <v>FF101C</v>
      </c>
      <c r="F566" s="169" t="s">
        <v>18811</v>
      </c>
      <c r="G566" s="169">
        <v>5.0</v>
      </c>
      <c r="H566" s="169">
        <v>4300.0</v>
      </c>
      <c r="I566" s="169">
        <v>21500.0</v>
      </c>
      <c r="J566" s="169">
        <v>0.0</v>
      </c>
      <c r="K566" s="169">
        <v>5.0</v>
      </c>
      <c r="L566" s="169">
        <v>0.0</v>
      </c>
    </row>
    <row r="567" ht="14.25" customHeight="1">
      <c r="A567" s="169" t="s">
        <v>18810</v>
      </c>
      <c r="B567" s="169" t="s">
        <v>9840</v>
      </c>
      <c r="C567" s="169" t="s">
        <v>18679</v>
      </c>
      <c r="D567" s="169" t="str">
        <f t="shared" ref="D567:E567" si="397">"FF102C"</f>
        <v>FF102C</v>
      </c>
      <c r="E567" s="169" t="str">
        <f t="shared" si="397"/>
        <v>FF102C</v>
      </c>
      <c r="F567" s="169" t="s">
        <v>18811</v>
      </c>
      <c r="G567" s="169">
        <v>6.0</v>
      </c>
      <c r="H567" s="169">
        <v>4300.0</v>
      </c>
      <c r="I567" s="169">
        <v>25800.0</v>
      </c>
      <c r="J567" s="169">
        <v>0.0</v>
      </c>
      <c r="K567" s="169">
        <v>6.0</v>
      </c>
      <c r="L567" s="169">
        <v>0.0</v>
      </c>
    </row>
    <row r="568" ht="14.25" customHeight="1">
      <c r="A568" s="169" t="s">
        <v>18810</v>
      </c>
      <c r="B568" s="169" t="s">
        <v>9840</v>
      </c>
      <c r="C568" s="169" t="s">
        <v>18678</v>
      </c>
      <c r="D568" s="169" t="str">
        <f t="shared" ref="D568:E568" si="398">"FF006C"</f>
        <v>FF006C</v>
      </c>
      <c r="E568" s="169" t="str">
        <f t="shared" si="398"/>
        <v>FF006C</v>
      </c>
      <c r="F568" s="169" t="s">
        <v>18811</v>
      </c>
      <c r="G568" s="169">
        <v>6.0</v>
      </c>
      <c r="H568" s="169">
        <v>10500.0</v>
      </c>
      <c r="I568" s="169">
        <v>63000.0</v>
      </c>
      <c r="J568" s="169">
        <v>0.0</v>
      </c>
      <c r="K568" s="169">
        <v>6.0</v>
      </c>
      <c r="L568" s="169">
        <v>0.0</v>
      </c>
    </row>
    <row r="569" ht="14.25" customHeight="1">
      <c r="A569" s="169" t="s">
        <v>18810</v>
      </c>
      <c r="B569" s="169" t="s">
        <v>9840</v>
      </c>
      <c r="C569" s="169" t="s">
        <v>18677</v>
      </c>
      <c r="D569" s="169" t="str">
        <f t="shared" ref="D569:E569" si="399">"FF001C"</f>
        <v>FF001C</v>
      </c>
      <c r="E569" s="169" t="str">
        <f t="shared" si="399"/>
        <v>FF001C</v>
      </c>
      <c r="F569" s="169" t="s">
        <v>18811</v>
      </c>
      <c r="G569" s="169">
        <v>1.0</v>
      </c>
      <c r="H569" s="169">
        <v>10500.0</v>
      </c>
      <c r="I569" s="169">
        <v>10500.0</v>
      </c>
      <c r="J569" s="169">
        <v>0.0</v>
      </c>
      <c r="K569" s="169">
        <v>1.0</v>
      </c>
      <c r="L569" s="169">
        <v>0.0</v>
      </c>
    </row>
    <row r="570" ht="14.25" customHeight="1">
      <c r="A570" s="169" t="s">
        <v>18810</v>
      </c>
      <c r="B570" s="169" t="s">
        <v>9840</v>
      </c>
      <c r="C570" s="169" t="s">
        <v>18676</v>
      </c>
      <c r="D570" s="169" t="str">
        <f t="shared" ref="D570:E570" si="400">"FF002C"</f>
        <v>FF002C</v>
      </c>
      <c r="E570" s="169" t="str">
        <f t="shared" si="400"/>
        <v>FF002C</v>
      </c>
      <c r="F570" s="169" t="s">
        <v>18811</v>
      </c>
      <c r="G570" s="169">
        <v>5.0</v>
      </c>
      <c r="H570" s="169">
        <v>10500.0</v>
      </c>
      <c r="I570" s="169">
        <v>52500.0</v>
      </c>
      <c r="J570" s="169">
        <v>0.0</v>
      </c>
      <c r="K570" s="169">
        <v>5.0</v>
      </c>
      <c r="L570" s="169">
        <v>0.0</v>
      </c>
    </row>
    <row r="571" ht="14.25" customHeight="1">
      <c r="A571" s="169" t="s">
        <v>15710</v>
      </c>
      <c r="B571" s="169" t="s">
        <v>15710</v>
      </c>
      <c r="C571" s="169" t="s">
        <v>13490</v>
      </c>
      <c r="D571" s="169" t="str">
        <f t="shared" ref="D571:E571" si="401">"1629744204202"</f>
        <v>1629744204202</v>
      </c>
      <c r="E571" s="169" t="str">
        <f t="shared" si="401"/>
        <v>1629744204202</v>
      </c>
      <c r="F571" s="169" t="s">
        <v>18811</v>
      </c>
      <c r="G571" s="169">
        <v>9.0</v>
      </c>
      <c r="H571" s="169">
        <v>0.0</v>
      </c>
      <c r="I571" s="169">
        <v>0.0</v>
      </c>
      <c r="J571" s="169">
        <v>0.0</v>
      </c>
      <c r="K571" s="169">
        <v>9.0</v>
      </c>
      <c r="L571" s="169">
        <v>0.0</v>
      </c>
    </row>
    <row r="572" ht="14.25" customHeight="1">
      <c r="A572" s="169" t="s">
        <v>15710</v>
      </c>
      <c r="B572" s="169" t="s">
        <v>15710</v>
      </c>
      <c r="C572" s="169" t="s">
        <v>18787</v>
      </c>
      <c r="D572" s="169" t="str">
        <f t="shared" ref="D572:E572" si="402">"1629744178895"</f>
        <v>1629744178895</v>
      </c>
      <c r="E572" s="169" t="str">
        <f t="shared" si="402"/>
        <v>1629744178895</v>
      </c>
      <c r="F572" s="169" t="s">
        <v>18811</v>
      </c>
      <c r="G572" s="169">
        <v>10.0</v>
      </c>
      <c r="H572" s="169">
        <v>0.0</v>
      </c>
      <c r="I572" s="169">
        <v>0.0</v>
      </c>
      <c r="J572" s="169">
        <v>0.0</v>
      </c>
      <c r="K572" s="169">
        <v>10.0</v>
      </c>
      <c r="L572" s="169">
        <v>0.0</v>
      </c>
    </row>
    <row r="573" ht="14.25" customHeight="1">
      <c r="A573" s="169" t="s">
        <v>15710</v>
      </c>
      <c r="B573" s="169" t="s">
        <v>15710</v>
      </c>
      <c r="C573" s="169" t="s">
        <v>18785</v>
      </c>
      <c r="D573" s="169" t="str">
        <f t="shared" ref="D573:E573" si="403">"1629744222146"</f>
        <v>1629744222146</v>
      </c>
      <c r="E573" s="169" t="str">
        <f t="shared" si="403"/>
        <v>1629744222146</v>
      </c>
      <c r="F573" s="169" t="s">
        <v>18811</v>
      </c>
      <c r="G573" s="169">
        <v>10.0</v>
      </c>
      <c r="H573" s="169">
        <v>0.0</v>
      </c>
      <c r="I573" s="169">
        <v>0.0</v>
      </c>
      <c r="J573" s="169">
        <v>0.0</v>
      </c>
      <c r="K573" s="169">
        <v>10.0</v>
      </c>
      <c r="L573" s="169">
        <v>0.0</v>
      </c>
    </row>
    <row r="574" ht="14.25" customHeight="1">
      <c r="A574" s="169" t="s">
        <v>15710</v>
      </c>
      <c r="B574" s="169" t="s">
        <v>15710</v>
      </c>
      <c r="C574" s="169" t="s">
        <v>18783</v>
      </c>
      <c r="D574" s="169" t="str">
        <f t="shared" ref="D574:E574" si="404">"1629744229865"</f>
        <v>1629744229865</v>
      </c>
      <c r="E574" s="169" t="str">
        <f t="shared" si="404"/>
        <v>1629744229865</v>
      </c>
      <c r="F574" s="169" t="s">
        <v>18811</v>
      </c>
      <c r="G574" s="169">
        <v>10.0</v>
      </c>
      <c r="H574" s="169">
        <v>0.0</v>
      </c>
      <c r="I574" s="169">
        <v>0.0</v>
      </c>
      <c r="J574" s="169">
        <v>0.0</v>
      </c>
      <c r="K574" s="169">
        <v>10.0</v>
      </c>
      <c r="L574" s="169">
        <v>0.0</v>
      </c>
    </row>
    <row r="575" ht="14.25" customHeight="1">
      <c r="A575" s="169" t="s">
        <v>18714</v>
      </c>
      <c r="B575" s="169" t="s">
        <v>18758</v>
      </c>
      <c r="C575" s="170"/>
      <c r="D575" s="169" t="str">
        <f t="shared" ref="D575:E575" si="405">"66782891029049"</f>
        <v>66782891029049</v>
      </c>
      <c r="E575" s="169" t="str">
        <f t="shared" si="405"/>
        <v>66782891029049</v>
      </c>
      <c r="F575" s="169" t="s">
        <v>18811</v>
      </c>
      <c r="G575" s="169">
        <v>1.0</v>
      </c>
      <c r="H575" s="169">
        <v>4725.0</v>
      </c>
      <c r="I575" s="169">
        <v>4725.0</v>
      </c>
      <c r="J575" s="169">
        <v>0.0</v>
      </c>
      <c r="K575" s="169">
        <v>1.0</v>
      </c>
      <c r="L575" s="169">
        <v>0.0</v>
      </c>
    </row>
    <row r="576" ht="14.25" customHeight="1">
      <c r="A576" s="169" t="s">
        <v>18714</v>
      </c>
      <c r="B576" s="169" t="s">
        <v>18750</v>
      </c>
      <c r="C576" s="170"/>
      <c r="D576" s="169" t="str">
        <f t="shared" ref="D576:E576" si="406">"66782893751944"</f>
        <v>66782893751944</v>
      </c>
      <c r="E576" s="169" t="str">
        <f t="shared" si="406"/>
        <v>66782893751944</v>
      </c>
      <c r="F576" s="169" t="s">
        <v>18811</v>
      </c>
      <c r="G576" s="169">
        <v>1.0</v>
      </c>
      <c r="H576" s="169">
        <v>5647.0</v>
      </c>
      <c r="I576" s="169">
        <v>5647.0</v>
      </c>
      <c r="J576" s="169">
        <v>0.0</v>
      </c>
      <c r="K576" s="169">
        <v>1.0</v>
      </c>
      <c r="L576" s="169">
        <v>0.0</v>
      </c>
    </row>
    <row r="577" ht="14.25" customHeight="1">
      <c r="A577" s="169" t="s">
        <v>18714</v>
      </c>
      <c r="B577" s="169" t="s">
        <v>18748</v>
      </c>
      <c r="C577" s="170"/>
      <c r="D577" s="169" t="str">
        <f t="shared" ref="D577:E577" si="407">"66782901793507"</f>
        <v>66782901793507</v>
      </c>
      <c r="E577" s="169" t="str">
        <f t="shared" si="407"/>
        <v>66782901793507</v>
      </c>
      <c r="F577" s="169" t="s">
        <v>18811</v>
      </c>
      <c r="G577" s="169">
        <v>1.0</v>
      </c>
      <c r="H577" s="169">
        <v>5877.0</v>
      </c>
      <c r="I577" s="169">
        <v>5877.0</v>
      </c>
      <c r="J577" s="169">
        <v>0.0</v>
      </c>
      <c r="K577" s="169">
        <v>1.0</v>
      </c>
      <c r="L577" s="169">
        <v>0.0</v>
      </c>
    </row>
    <row r="578" ht="14.25" customHeight="1">
      <c r="A578" s="169" t="s">
        <v>8996</v>
      </c>
      <c r="B578" s="169" t="s">
        <v>9966</v>
      </c>
      <c r="C578" s="169" t="s">
        <v>10120</v>
      </c>
      <c r="D578" s="169" t="str">
        <f t="shared" ref="D578:E578" si="408">"HK-907BL"</f>
        <v>HK-907BL</v>
      </c>
      <c r="E578" s="169" t="str">
        <f t="shared" si="408"/>
        <v>HK-907BL</v>
      </c>
      <c r="F578" s="169" t="s">
        <v>18811</v>
      </c>
      <c r="G578" s="169">
        <v>5.0</v>
      </c>
      <c r="H578" s="169">
        <v>11900.0</v>
      </c>
      <c r="I578" s="169">
        <v>59500.0</v>
      </c>
      <c r="J578" s="169">
        <v>0.0</v>
      </c>
      <c r="K578" s="169">
        <v>5.0</v>
      </c>
      <c r="L578" s="169">
        <v>0.0</v>
      </c>
    </row>
    <row r="579" ht="14.25" customHeight="1">
      <c r="A579" s="169" t="s">
        <v>8996</v>
      </c>
      <c r="B579" s="169" t="s">
        <v>9966</v>
      </c>
      <c r="C579" s="169" t="s">
        <v>10121</v>
      </c>
      <c r="D579" s="169" t="str">
        <f>"606110101752"</f>
        <v>606110101752</v>
      </c>
      <c r="E579" s="169" t="str">
        <f>"HK-907BM"</f>
        <v>HK-907BM</v>
      </c>
      <c r="F579" s="169" t="s">
        <v>18811</v>
      </c>
      <c r="G579" s="169">
        <v>2.0</v>
      </c>
      <c r="H579" s="169">
        <v>11900.0</v>
      </c>
      <c r="I579" s="169">
        <v>23800.0</v>
      </c>
      <c r="J579" s="169">
        <v>0.0</v>
      </c>
      <c r="K579" s="169">
        <v>2.0</v>
      </c>
      <c r="L579" s="169">
        <v>0.0</v>
      </c>
    </row>
    <row r="580" ht="14.25" customHeight="1">
      <c r="A580" s="169" t="s">
        <v>8996</v>
      </c>
      <c r="B580" s="169" t="s">
        <v>9966</v>
      </c>
      <c r="C580" s="169" t="s">
        <v>18439</v>
      </c>
      <c r="D580" s="169" t="str">
        <f t="shared" ref="D580:E580" si="409">"HK-129B PRO-L"</f>
        <v>HK-129B PRO-L</v>
      </c>
      <c r="E580" s="169" t="str">
        <f t="shared" si="409"/>
        <v>HK-129B PRO-L</v>
      </c>
      <c r="F580" s="169" t="s">
        <v>18811</v>
      </c>
      <c r="G580" s="169">
        <v>2.0</v>
      </c>
      <c r="H580" s="169">
        <v>39900.0</v>
      </c>
      <c r="I580" s="169">
        <v>79800.0</v>
      </c>
      <c r="J580" s="169">
        <v>0.0</v>
      </c>
      <c r="K580" s="169">
        <v>2.0</v>
      </c>
      <c r="L580" s="169">
        <v>0.0</v>
      </c>
    </row>
    <row r="581" ht="14.25" customHeight="1">
      <c r="A581" s="169" t="s">
        <v>8996</v>
      </c>
      <c r="B581" s="169" t="s">
        <v>9966</v>
      </c>
      <c r="C581" s="169" t="s">
        <v>18438</v>
      </c>
      <c r="D581" s="169" t="str">
        <f t="shared" ref="D581:E581" si="410">"HK-129B PRO-XL"</f>
        <v>HK-129B PRO-XL</v>
      </c>
      <c r="E581" s="169" t="str">
        <f t="shared" si="410"/>
        <v>HK-129B PRO-XL</v>
      </c>
      <c r="F581" s="169" t="s">
        <v>18811</v>
      </c>
      <c r="G581" s="169">
        <v>5.0</v>
      </c>
      <c r="H581" s="169">
        <v>39900.0</v>
      </c>
      <c r="I581" s="169">
        <v>199500.0</v>
      </c>
      <c r="J581" s="169">
        <v>0.0</v>
      </c>
      <c r="K581" s="169">
        <v>5.0</v>
      </c>
      <c r="L581" s="169">
        <v>0.0</v>
      </c>
    </row>
    <row r="582" ht="14.25" customHeight="1">
      <c r="A582" s="169" t="s">
        <v>8996</v>
      </c>
      <c r="B582" s="169" t="s">
        <v>9966</v>
      </c>
      <c r="C582" s="169" t="s">
        <v>18437</v>
      </c>
      <c r="D582" s="169" t="str">
        <f t="shared" ref="D582:E582" si="411">"HK-129B PRO-M"</f>
        <v>HK-129B PRO-M</v>
      </c>
      <c r="E582" s="169" t="str">
        <f t="shared" si="411"/>
        <v>HK-129B PRO-M</v>
      </c>
      <c r="F582" s="169" t="s">
        <v>18811</v>
      </c>
      <c r="G582" s="169">
        <v>9.0</v>
      </c>
      <c r="H582" s="169">
        <v>39900.0</v>
      </c>
      <c r="I582" s="169">
        <v>359100.0</v>
      </c>
      <c r="J582" s="169">
        <v>0.0</v>
      </c>
      <c r="K582" s="169">
        <v>9.0</v>
      </c>
      <c r="L582" s="169">
        <v>0.0</v>
      </c>
    </row>
    <row r="583" ht="14.25" customHeight="1">
      <c r="A583" s="169" t="s">
        <v>8996</v>
      </c>
      <c r="B583" s="169" t="s">
        <v>9966</v>
      </c>
      <c r="C583" s="169" t="s">
        <v>10051</v>
      </c>
      <c r="D583" s="169" t="str">
        <f>"HK-129B PRO-S"</f>
        <v>HK-129B PRO-S</v>
      </c>
      <c r="E583" s="169" t="str">
        <f>"HK-129BPRO-S"</f>
        <v>HK-129BPRO-S</v>
      </c>
      <c r="F583" s="169" t="s">
        <v>18811</v>
      </c>
      <c r="G583" s="169">
        <v>1.0</v>
      </c>
      <c r="H583" s="169">
        <v>39900.0</v>
      </c>
      <c r="I583" s="169">
        <v>39900.0</v>
      </c>
      <c r="J583" s="169">
        <v>0.0</v>
      </c>
      <c r="K583" s="169">
        <v>1.0</v>
      </c>
      <c r="L583" s="169">
        <v>0.0</v>
      </c>
    </row>
    <row r="584" ht="14.25" customHeight="1">
      <c r="A584" s="169" t="s">
        <v>8996</v>
      </c>
      <c r="B584" s="169" t="s">
        <v>9966</v>
      </c>
      <c r="C584" s="169" t="s">
        <v>10061</v>
      </c>
      <c r="D584" s="169" t="str">
        <f>"606110101271"</f>
        <v>606110101271</v>
      </c>
      <c r="E584" s="169" t="str">
        <f>"HK-126C-BK-XS"</f>
        <v>HK-126C-BK-XS</v>
      </c>
      <c r="F584" s="169" t="s">
        <v>18811</v>
      </c>
      <c r="G584" s="169">
        <v>3.0</v>
      </c>
      <c r="H584" s="169">
        <v>34900.0</v>
      </c>
      <c r="I584" s="169">
        <v>104700.0</v>
      </c>
      <c r="J584" s="169">
        <v>0.0</v>
      </c>
      <c r="K584" s="169">
        <v>3.0</v>
      </c>
      <c r="L584" s="169">
        <v>0.0</v>
      </c>
    </row>
    <row r="585" ht="14.25" customHeight="1">
      <c r="A585" s="169" t="s">
        <v>8996</v>
      </c>
      <c r="B585" s="169" t="s">
        <v>9966</v>
      </c>
      <c r="C585" s="169" t="s">
        <v>10104</v>
      </c>
      <c r="D585" s="169" t="str">
        <f t="shared" ref="D585:E585" si="412">"HK-126C-PP-XS"</f>
        <v>HK-126C-PP-XS</v>
      </c>
      <c r="E585" s="169" t="str">
        <f t="shared" si="412"/>
        <v>HK-126C-PP-XS</v>
      </c>
      <c r="F585" s="169" t="s">
        <v>18811</v>
      </c>
      <c r="G585" s="169">
        <v>3.0</v>
      </c>
      <c r="H585" s="169">
        <v>34900.0</v>
      </c>
      <c r="I585" s="169">
        <v>104700.0</v>
      </c>
      <c r="J585" s="169">
        <v>0.0</v>
      </c>
      <c r="K585" s="169">
        <v>3.0</v>
      </c>
      <c r="L585" s="169">
        <v>0.0</v>
      </c>
    </row>
    <row r="586" ht="14.25" customHeight="1">
      <c r="A586" s="169" t="s">
        <v>8996</v>
      </c>
      <c r="B586" s="169" t="s">
        <v>9966</v>
      </c>
      <c r="C586" s="169" t="s">
        <v>10106</v>
      </c>
      <c r="D586" s="169" t="str">
        <f t="shared" ref="D586:E586" si="413">"HK-126C-BK-S"</f>
        <v>HK-126C-BK-S</v>
      </c>
      <c r="E586" s="169" t="str">
        <f t="shared" si="413"/>
        <v>HK-126C-BK-S</v>
      </c>
      <c r="F586" s="169" t="s">
        <v>18811</v>
      </c>
      <c r="G586" s="169">
        <v>3.0</v>
      </c>
      <c r="H586" s="169">
        <v>34900.0</v>
      </c>
      <c r="I586" s="169">
        <v>104700.0</v>
      </c>
      <c r="J586" s="169">
        <v>0.0</v>
      </c>
      <c r="K586" s="169">
        <v>3.0</v>
      </c>
      <c r="L586" s="169">
        <v>0.0</v>
      </c>
    </row>
    <row r="587" ht="14.25" customHeight="1">
      <c r="A587" s="169" t="s">
        <v>8996</v>
      </c>
      <c r="B587" s="169" t="s">
        <v>9966</v>
      </c>
      <c r="C587" s="169" t="s">
        <v>18435</v>
      </c>
      <c r="D587" s="169" t="str">
        <f t="shared" ref="D587:E587" si="414">"2253002"</f>
        <v>2253002</v>
      </c>
      <c r="E587" s="169" t="str">
        <f t="shared" si="414"/>
        <v>2253002</v>
      </c>
      <c r="F587" s="169" t="s">
        <v>18811</v>
      </c>
      <c r="G587" s="169">
        <v>3.0</v>
      </c>
      <c r="H587" s="169">
        <v>31410.0</v>
      </c>
      <c r="I587" s="169">
        <v>94230.0</v>
      </c>
      <c r="J587" s="169">
        <v>0.0</v>
      </c>
      <c r="K587" s="169">
        <v>3.0</v>
      </c>
      <c r="L587" s="169">
        <v>0.0</v>
      </c>
    </row>
    <row r="588" ht="14.25" customHeight="1">
      <c r="A588" s="169" t="s">
        <v>18815</v>
      </c>
      <c r="B588" s="169" t="s">
        <v>18636</v>
      </c>
      <c r="C588" s="169" t="s">
        <v>18636</v>
      </c>
      <c r="D588" s="169" t="str">
        <f>"7628744580461"</f>
        <v>7628744580461</v>
      </c>
      <c r="E588" s="169" t="str">
        <f>"10080050270007"</f>
        <v>10080050270007</v>
      </c>
      <c r="F588" s="169" t="s">
        <v>18811</v>
      </c>
      <c r="G588" s="169">
        <v>5.0</v>
      </c>
      <c r="H588" s="169">
        <v>82347.0</v>
      </c>
      <c r="I588" s="169">
        <v>411735.0</v>
      </c>
      <c r="J588" s="169">
        <v>0.0</v>
      </c>
      <c r="K588" s="169">
        <v>5.0</v>
      </c>
      <c r="L588" s="169">
        <v>0.0</v>
      </c>
    </row>
    <row r="589" ht="14.25" customHeight="1">
      <c r="A589" s="169" t="s">
        <v>7357</v>
      </c>
      <c r="B589" s="169" t="s">
        <v>18231</v>
      </c>
      <c r="C589" s="169" t="s">
        <v>7482</v>
      </c>
      <c r="D589" s="169" t="str">
        <f>"7804681190042"</f>
        <v>7804681190042</v>
      </c>
      <c r="E589" s="169" t="str">
        <f>"IMA-100"</f>
        <v>IMA-100</v>
      </c>
      <c r="F589" s="169" t="s">
        <v>18811</v>
      </c>
      <c r="G589" s="169">
        <v>24.0</v>
      </c>
      <c r="H589" s="169">
        <v>40331.0</v>
      </c>
      <c r="I589" s="169">
        <v>967944.0</v>
      </c>
      <c r="J589" s="169">
        <v>0.0</v>
      </c>
      <c r="K589" s="169">
        <v>24.0</v>
      </c>
      <c r="L589" s="169">
        <v>0.0</v>
      </c>
    </row>
    <row r="590" ht="14.25" customHeight="1">
      <c r="A590" s="169" t="s">
        <v>7357</v>
      </c>
      <c r="B590" s="169" t="s">
        <v>18231</v>
      </c>
      <c r="C590" s="169" t="s">
        <v>7503</v>
      </c>
      <c r="D590" s="169" t="str">
        <f>"7804681190271"</f>
        <v>7804681190271</v>
      </c>
      <c r="E590" s="169" t="str">
        <f>"IMA-S32"</f>
        <v>IMA-S32</v>
      </c>
      <c r="F590" s="169" t="s">
        <v>18811</v>
      </c>
      <c r="G590" s="169">
        <v>41.0</v>
      </c>
      <c r="H590" s="169">
        <v>12601.0</v>
      </c>
      <c r="I590" s="169">
        <v>516641.0</v>
      </c>
      <c r="J590" s="169">
        <v>0.0</v>
      </c>
      <c r="K590" s="169">
        <v>41.0</v>
      </c>
      <c r="L590" s="169">
        <v>0.0</v>
      </c>
    </row>
    <row r="591" ht="14.25" customHeight="1">
      <c r="A591" s="169" t="s">
        <v>18714</v>
      </c>
      <c r="B591" s="169" t="s">
        <v>10223</v>
      </c>
      <c r="C591" s="169" t="s">
        <v>10247</v>
      </c>
      <c r="D591" s="169" t="str">
        <f t="shared" ref="D591:E591" si="415">"1481123937937"</f>
        <v>1481123937937</v>
      </c>
      <c r="E591" s="169" t="str">
        <f t="shared" si="415"/>
        <v>1481123937937</v>
      </c>
      <c r="F591" s="169" t="s">
        <v>18811</v>
      </c>
      <c r="G591" s="169">
        <v>7.0</v>
      </c>
      <c r="H591" s="169">
        <v>0.0</v>
      </c>
      <c r="I591" s="169">
        <v>0.0</v>
      </c>
      <c r="J591" s="169">
        <v>0.0</v>
      </c>
      <c r="K591" s="169">
        <v>7.0</v>
      </c>
      <c r="L591" s="169">
        <v>0.0</v>
      </c>
    </row>
    <row r="592" ht="14.25" customHeight="1">
      <c r="A592" s="169" t="s">
        <v>18714</v>
      </c>
      <c r="B592" s="169" t="s">
        <v>10223</v>
      </c>
      <c r="C592" s="169" t="s">
        <v>10251</v>
      </c>
      <c r="D592" s="169" t="str">
        <f t="shared" ref="D592:E592" si="416">"1481123752846"</f>
        <v>1481123752846</v>
      </c>
      <c r="E592" s="169" t="str">
        <f t="shared" si="416"/>
        <v>1481123752846</v>
      </c>
      <c r="F592" s="169" t="s">
        <v>18811</v>
      </c>
      <c r="G592" s="169">
        <v>72.0</v>
      </c>
      <c r="H592" s="169">
        <v>6098.0</v>
      </c>
      <c r="I592" s="169">
        <v>439056.0</v>
      </c>
      <c r="J592" s="169">
        <v>0.0</v>
      </c>
      <c r="K592" s="169">
        <v>72.0</v>
      </c>
      <c r="L592" s="169">
        <v>0.0</v>
      </c>
    </row>
    <row r="593" ht="14.25" customHeight="1">
      <c r="A593" s="169" t="s">
        <v>18714</v>
      </c>
      <c r="B593" s="169" t="s">
        <v>10223</v>
      </c>
      <c r="C593" s="169" t="s">
        <v>10252</v>
      </c>
      <c r="D593" s="169" t="str">
        <f t="shared" ref="D593:E593" si="417">"1481123917144"</f>
        <v>1481123917144</v>
      </c>
      <c r="E593" s="169" t="str">
        <f t="shared" si="417"/>
        <v>1481123917144</v>
      </c>
      <c r="F593" s="169" t="s">
        <v>18811</v>
      </c>
      <c r="G593" s="169">
        <v>24.0</v>
      </c>
      <c r="H593" s="169">
        <v>0.0</v>
      </c>
      <c r="I593" s="169">
        <v>0.0</v>
      </c>
      <c r="J593" s="169">
        <v>0.0</v>
      </c>
      <c r="K593" s="169">
        <v>24.0</v>
      </c>
      <c r="L593" s="169">
        <v>0.0</v>
      </c>
    </row>
    <row r="594" ht="14.25" customHeight="1">
      <c r="A594" s="169" t="s">
        <v>18714</v>
      </c>
      <c r="B594" s="169" t="s">
        <v>10223</v>
      </c>
      <c r="C594" s="169" t="s">
        <v>16944</v>
      </c>
      <c r="D594" s="169" t="str">
        <f t="shared" ref="D594:E594" si="418">"1507904554106"</f>
        <v>1507904554106</v>
      </c>
      <c r="E594" s="169" t="str">
        <f t="shared" si="418"/>
        <v>1507904554106</v>
      </c>
      <c r="F594" s="169" t="s">
        <v>18811</v>
      </c>
      <c r="G594" s="169">
        <v>1.0</v>
      </c>
      <c r="H594" s="169">
        <v>1200.0</v>
      </c>
      <c r="I594" s="169">
        <v>1200.0</v>
      </c>
      <c r="J594" s="169">
        <v>0.0</v>
      </c>
      <c r="K594" s="169">
        <v>1.0</v>
      </c>
      <c r="L594" s="169">
        <v>0.0</v>
      </c>
    </row>
    <row r="595" ht="14.25" customHeight="1">
      <c r="A595" s="169" t="s">
        <v>18714</v>
      </c>
      <c r="B595" s="169" t="s">
        <v>10223</v>
      </c>
      <c r="C595" s="169" t="s">
        <v>16942</v>
      </c>
      <c r="D595" s="169" t="str">
        <f t="shared" ref="D595:E595" si="419">"1513615272195"</f>
        <v>1513615272195</v>
      </c>
      <c r="E595" s="169" t="str">
        <f t="shared" si="419"/>
        <v>1513615272195</v>
      </c>
      <c r="F595" s="169" t="s">
        <v>18811</v>
      </c>
      <c r="G595" s="169">
        <v>9.0</v>
      </c>
      <c r="H595" s="169">
        <v>13329.0</v>
      </c>
      <c r="I595" s="169">
        <v>119961.0</v>
      </c>
      <c r="J595" s="169">
        <v>0.0</v>
      </c>
      <c r="K595" s="169">
        <v>9.0</v>
      </c>
      <c r="L595" s="169">
        <v>0.0</v>
      </c>
    </row>
    <row r="596" ht="14.25" customHeight="1">
      <c r="A596" s="169" t="s">
        <v>18714</v>
      </c>
      <c r="B596" s="169" t="s">
        <v>10223</v>
      </c>
      <c r="C596" s="169" t="s">
        <v>16940</v>
      </c>
      <c r="D596" s="169" t="str">
        <f t="shared" ref="D596:E596" si="420">"1659132834108"</f>
        <v>1659132834108</v>
      </c>
      <c r="E596" s="169" t="str">
        <f t="shared" si="420"/>
        <v>1659132834108</v>
      </c>
      <c r="F596" s="169" t="s">
        <v>18811</v>
      </c>
      <c r="G596" s="169">
        <v>10.0</v>
      </c>
      <c r="H596" s="169">
        <v>202403.0</v>
      </c>
      <c r="I596" s="169">
        <v>2024030.0</v>
      </c>
      <c r="J596" s="169">
        <v>0.0</v>
      </c>
      <c r="K596" s="169">
        <v>10.0</v>
      </c>
      <c r="L596" s="169">
        <v>0.0</v>
      </c>
    </row>
    <row r="597" ht="14.25" customHeight="1">
      <c r="A597" s="169" t="s">
        <v>18714</v>
      </c>
      <c r="B597" s="169" t="s">
        <v>10223</v>
      </c>
      <c r="C597" s="169" t="s">
        <v>16938</v>
      </c>
      <c r="D597" s="169" t="str">
        <f t="shared" ref="D597:E597" si="421">"1589209076056"</f>
        <v>1589209076056</v>
      </c>
      <c r="E597" s="169" t="str">
        <f t="shared" si="421"/>
        <v>1589209076056</v>
      </c>
      <c r="F597" s="169" t="s">
        <v>18811</v>
      </c>
      <c r="G597" s="169">
        <v>133.0</v>
      </c>
      <c r="H597" s="169">
        <v>2785.0</v>
      </c>
      <c r="I597" s="169">
        <v>370405.0</v>
      </c>
      <c r="J597" s="169">
        <v>0.0</v>
      </c>
      <c r="K597" s="169">
        <v>133.0</v>
      </c>
      <c r="L597" s="169">
        <v>0.0</v>
      </c>
    </row>
    <row r="598" ht="14.25" customHeight="1">
      <c r="A598" s="169" t="s">
        <v>18714</v>
      </c>
      <c r="B598" s="169" t="s">
        <v>10223</v>
      </c>
      <c r="C598" s="169" t="s">
        <v>16936</v>
      </c>
      <c r="D598" s="169" t="str">
        <f t="shared" ref="D598:E598" si="422">"1617981582842"</f>
        <v>1617981582842</v>
      </c>
      <c r="E598" s="169" t="str">
        <f t="shared" si="422"/>
        <v>1617981582842</v>
      </c>
      <c r="F598" s="169" t="s">
        <v>18811</v>
      </c>
      <c r="G598" s="169">
        <v>500.0</v>
      </c>
      <c r="H598" s="169">
        <v>1210.0</v>
      </c>
      <c r="I598" s="169">
        <v>605000.0</v>
      </c>
      <c r="J598" s="169">
        <v>0.0</v>
      </c>
      <c r="K598" s="169">
        <v>500.0</v>
      </c>
      <c r="L598" s="169">
        <v>0.0</v>
      </c>
    </row>
    <row r="599" ht="14.25" customHeight="1">
      <c r="A599" s="169" t="s">
        <v>18714</v>
      </c>
      <c r="B599" s="169" t="s">
        <v>10223</v>
      </c>
      <c r="C599" s="169" t="s">
        <v>16934</v>
      </c>
      <c r="D599" s="169" t="str">
        <f t="shared" ref="D599:E599" si="423">"1538481335277"</f>
        <v>1538481335277</v>
      </c>
      <c r="E599" s="169" t="str">
        <f t="shared" si="423"/>
        <v>1538481335277</v>
      </c>
      <c r="F599" s="169" t="s">
        <v>18811</v>
      </c>
      <c r="G599" s="169">
        <v>3.0</v>
      </c>
      <c r="H599" s="169">
        <v>6960.8</v>
      </c>
      <c r="I599" s="169">
        <v>20882.0</v>
      </c>
      <c r="J599" s="169">
        <v>0.0</v>
      </c>
      <c r="K599" s="169">
        <v>3.0</v>
      </c>
      <c r="L599" s="169">
        <v>0.0</v>
      </c>
    </row>
    <row r="600" ht="14.25" customHeight="1">
      <c r="A600" s="169" t="s">
        <v>18714</v>
      </c>
      <c r="B600" s="169" t="s">
        <v>10223</v>
      </c>
      <c r="C600" s="169" t="s">
        <v>10308</v>
      </c>
      <c r="D600" s="169" t="str">
        <f>"1634242788759"</f>
        <v>1634242788759</v>
      </c>
      <c r="E600" s="169" t="str">
        <f>"AWS40-MORADA"</f>
        <v>AWS40-MORADA</v>
      </c>
      <c r="F600" s="169" t="s">
        <v>18811</v>
      </c>
      <c r="G600" s="169">
        <v>46.0</v>
      </c>
      <c r="H600" s="169">
        <v>915.0</v>
      </c>
      <c r="I600" s="169">
        <v>42090.0</v>
      </c>
      <c r="J600" s="169">
        <v>0.0</v>
      </c>
      <c r="K600" s="169">
        <v>46.0</v>
      </c>
      <c r="L600" s="169">
        <v>0.0</v>
      </c>
    </row>
    <row r="601" ht="14.25" customHeight="1">
      <c r="A601" s="169" t="s">
        <v>18714</v>
      </c>
      <c r="B601" s="169" t="s">
        <v>10223</v>
      </c>
      <c r="C601" s="169" t="s">
        <v>16933</v>
      </c>
      <c r="D601" s="169" t="str">
        <f>"1612800369806"</f>
        <v>1612800369806</v>
      </c>
      <c r="E601" s="169" t="str">
        <f>"AWS44-BARBIE-PINK"</f>
        <v>AWS44-BARBIE-PINK</v>
      </c>
      <c r="F601" s="169" t="s">
        <v>18811</v>
      </c>
      <c r="G601" s="169">
        <v>1.0</v>
      </c>
      <c r="H601" s="169">
        <v>997.0</v>
      </c>
      <c r="I601" s="169">
        <v>997.0</v>
      </c>
      <c r="J601" s="169">
        <v>0.0</v>
      </c>
      <c r="K601" s="169">
        <v>1.0</v>
      </c>
      <c r="L601" s="169">
        <v>0.0</v>
      </c>
    </row>
    <row r="602" ht="14.25" customHeight="1">
      <c r="A602" s="169" t="s">
        <v>18714</v>
      </c>
      <c r="B602" s="169" t="s">
        <v>10223</v>
      </c>
      <c r="C602" s="169" t="s">
        <v>16931</v>
      </c>
      <c r="D602" s="169" t="str">
        <f t="shared" ref="D602:E602" si="424">"1602163055069"</f>
        <v>1602163055069</v>
      </c>
      <c r="E602" s="169" t="str">
        <f t="shared" si="424"/>
        <v>1602163055069</v>
      </c>
      <c r="F602" s="169" t="s">
        <v>18811</v>
      </c>
      <c r="G602" s="169">
        <v>2.0</v>
      </c>
      <c r="H602" s="169">
        <v>26000.0</v>
      </c>
      <c r="I602" s="169">
        <v>52000.0</v>
      </c>
      <c r="J602" s="169">
        <v>0.0</v>
      </c>
      <c r="K602" s="169">
        <v>2.0</v>
      </c>
      <c r="L602" s="169">
        <v>0.0</v>
      </c>
    </row>
    <row r="603" ht="14.25" customHeight="1">
      <c r="A603" s="169" t="s">
        <v>18714</v>
      </c>
      <c r="B603" s="169" t="s">
        <v>10223</v>
      </c>
      <c r="C603" s="169" t="s">
        <v>16929</v>
      </c>
      <c r="D603" s="169" t="str">
        <f t="shared" ref="D603:E603" si="425">"1591103835523"</f>
        <v>1591103835523</v>
      </c>
      <c r="E603" s="169" t="str">
        <f t="shared" si="425"/>
        <v>1591103835523</v>
      </c>
      <c r="F603" s="169" t="s">
        <v>18811</v>
      </c>
      <c r="G603" s="169">
        <v>1.0</v>
      </c>
      <c r="H603" s="169">
        <v>71800.0</v>
      </c>
      <c r="I603" s="169">
        <v>71800.0</v>
      </c>
      <c r="J603" s="169">
        <v>0.0</v>
      </c>
      <c r="K603" s="169">
        <v>1.0</v>
      </c>
      <c r="L603" s="169">
        <v>0.0</v>
      </c>
    </row>
    <row r="604" ht="14.25" customHeight="1">
      <c r="A604" s="169" t="s">
        <v>18714</v>
      </c>
      <c r="B604" s="169" t="s">
        <v>10223</v>
      </c>
      <c r="C604" s="169" t="s">
        <v>16927</v>
      </c>
      <c r="D604" s="169" t="str">
        <f t="shared" ref="D604:E604" si="426">"1619101669158"</f>
        <v>1619101669158</v>
      </c>
      <c r="E604" s="169" t="str">
        <f t="shared" si="426"/>
        <v>1619101669158</v>
      </c>
      <c r="F604" s="169" t="s">
        <v>18811</v>
      </c>
      <c r="G604" s="169">
        <v>2.0</v>
      </c>
      <c r="H604" s="169">
        <v>26200.0</v>
      </c>
      <c r="I604" s="169">
        <v>52400.0</v>
      </c>
      <c r="J604" s="169">
        <v>0.0</v>
      </c>
      <c r="K604" s="169">
        <v>2.0</v>
      </c>
      <c r="L604" s="169">
        <v>0.0</v>
      </c>
    </row>
    <row r="605" ht="14.25" customHeight="1">
      <c r="A605" s="169" t="s">
        <v>18714</v>
      </c>
      <c r="B605" s="169" t="s">
        <v>10223</v>
      </c>
      <c r="C605" s="169" t="s">
        <v>16925</v>
      </c>
      <c r="D605" s="169" t="str">
        <f t="shared" ref="D605:E605" si="427">"1619101943225"</f>
        <v>1619101943225</v>
      </c>
      <c r="E605" s="169" t="str">
        <f t="shared" si="427"/>
        <v>1619101943225</v>
      </c>
      <c r="F605" s="169" t="s">
        <v>18811</v>
      </c>
      <c r="G605" s="169">
        <v>2.0</v>
      </c>
      <c r="H605" s="169">
        <v>23900.0</v>
      </c>
      <c r="I605" s="169">
        <v>47800.0</v>
      </c>
      <c r="J605" s="169">
        <v>0.0</v>
      </c>
      <c r="K605" s="169">
        <v>2.0</v>
      </c>
      <c r="L605" s="169">
        <v>0.0</v>
      </c>
    </row>
    <row r="606" ht="14.25" customHeight="1">
      <c r="A606" s="169" t="s">
        <v>18714</v>
      </c>
      <c r="B606" s="169" t="s">
        <v>10223</v>
      </c>
      <c r="C606" s="169" t="s">
        <v>16923</v>
      </c>
      <c r="D606" s="169" t="str">
        <f t="shared" ref="D606:E606" si="428">"1548358566329"</f>
        <v>1548358566329</v>
      </c>
      <c r="E606" s="169" t="str">
        <f t="shared" si="428"/>
        <v>1548358566329</v>
      </c>
      <c r="F606" s="169" t="s">
        <v>18811</v>
      </c>
      <c r="G606" s="169">
        <v>52.0</v>
      </c>
      <c r="H606" s="169">
        <v>9566.0</v>
      </c>
      <c r="I606" s="169">
        <v>497430.0</v>
      </c>
      <c r="J606" s="169">
        <v>0.0</v>
      </c>
      <c r="K606" s="169">
        <v>52.0</v>
      </c>
      <c r="L606" s="169">
        <v>0.0</v>
      </c>
    </row>
    <row r="607" ht="14.25" customHeight="1">
      <c r="A607" s="169" t="s">
        <v>18714</v>
      </c>
      <c r="B607" s="169" t="s">
        <v>10223</v>
      </c>
      <c r="C607" s="169" t="s">
        <v>16921</v>
      </c>
      <c r="D607" s="169" t="str">
        <f t="shared" ref="D607:E607" si="429">"1539703126734"</f>
        <v>1539703126734</v>
      </c>
      <c r="E607" s="169" t="str">
        <f t="shared" si="429"/>
        <v>1539703126734</v>
      </c>
      <c r="F607" s="169" t="s">
        <v>18811</v>
      </c>
      <c r="G607" s="169">
        <v>3.0</v>
      </c>
      <c r="H607" s="169">
        <v>8818.0</v>
      </c>
      <c r="I607" s="169">
        <v>26454.0</v>
      </c>
      <c r="J607" s="169">
        <v>0.0</v>
      </c>
      <c r="K607" s="169">
        <v>3.0</v>
      </c>
      <c r="L607" s="169">
        <v>0.0</v>
      </c>
    </row>
    <row r="608" ht="14.25" customHeight="1">
      <c r="A608" s="169" t="s">
        <v>18714</v>
      </c>
      <c r="B608" s="169" t="s">
        <v>10223</v>
      </c>
      <c r="C608" s="169" t="s">
        <v>16919</v>
      </c>
      <c r="D608" s="169" t="str">
        <f t="shared" ref="D608:E608" si="430">"1538141179064"</f>
        <v>1538141179064</v>
      </c>
      <c r="E608" s="169" t="str">
        <f t="shared" si="430"/>
        <v>1538141179064</v>
      </c>
      <c r="F608" s="169" t="s">
        <v>18811</v>
      </c>
      <c r="G608" s="169">
        <v>11.0</v>
      </c>
      <c r="H608" s="169">
        <v>9691.5</v>
      </c>
      <c r="I608" s="169">
        <v>106606.0</v>
      </c>
      <c r="J608" s="169">
        <v>0.0</v>
      </c>
      <c r="K608" s="169">
        <v>11.0</v>
      </c>
      <c r="L608" s="169">
        <v>0.0</v>
      </c>
    </row>
    <row r="609" ht="14.25" customHeight="1">
      <c r="A609" s="169" t="s">
        <v>18714</v>
      </c>
      <c r="B609" s="169" t="s">
        <v>10223</v>
      </c>
      <c r="C609" s="169" t="s">
        <v>16917</v>
      </c>
      <c r="D609" s="169" t="str">
        <f t="shared" ref="D609:E609" si="431">"1539703106378"</f>
        <v>1539703106378</v>
      </c>
      <c r="E609" s="169" t="str">
        <f t="shared" si="431"/>
        <v>1539703106378</v>
      </c>
      <c r="F609" s="169" t="s">
        <v>18811</v>
      </c>
      <c r="G609" s="169">
        <v>76.0</v>
      </c>
      <c r="H609" s="169">
        <v>9509.7</v>
      </c>
      <c r="I609" s="169">
        <v>722734.0</v>
      </c>
      <c r="J609" s="169">
        <v>0.0</v>
      </c>
      <c r="K609" s="169">
        <v>76.0</v>
      </c>
      <c r="L609" s="169">
        <v>0.0</v>
      </c>
    </row>
    <row r="610" ht="14.25" customHeight="1">
      <c r="A610" s="169" t="s">
        <v>18714</v>
      </c>
      <c r="B610" s="169" t="s">
        <v>10223</v>
      </c>
      <c r="C610" s="169" t="s">
        <v>10287</v>
      </c>
      <c r="D610" s="169" t="str">
        <f t="shared" ref="D610:E610" si="432">"1514379781861"</f>
        <v>1514379781861</v>
      </c>
      <c r="E610" s="169" t="str">
        <f t="shared" si="432"/>
        <v>1514379781861</v>
      </c>
      <c r="F610" s="169" t="s">
        <v>18811</v>
      </c>
      <c r="G610" s="169">
        <v>1.0</v>
      </c>
      <c r="H610" s="169">
        <v>3505.0</v>
      </c>
      <c r="I610" s="169">
        <v>3505.0</v>
      </c>
      <c r="J610" s="169">
        <v>0.0</v>
      </c>
      <c r="K610" s="169">
        <v>1.0</v>
      </c>
      <c r="L610" s="169">
        <v>0.0</v>
      </c>
    </row>
    <row r="611" ht="14.25" customHeight="1">
      <c r="A611" s="169" t="s">
        <v>18714</v>
      </c>
      <c r="B611" s="169" t="s">
        <v>10223</v>
      </c>
      <c r="C611" s="169" t="s">
        <v>16914</v>
      </c>
      <c r="D611" s="169" t="str">
        <f t="shared" ref="D611:E611" si="433">"1561394899592"</f>
        <v>1561394899592</v>
      </c>
      <c r="E611" s="169" t="str">
        <f t="shared" si="433"/>
        <v>1561394899592</v>
      </c>
      <c r="F611" s="169" t="s">
        <v>18811</v>
      </c>
      <c r="G611" s="169">
        <v>2.0</v>
      </c>
      <c r="H611" s="169">
        <v>0.0</v>
      </c>
      <c r="I611" s="169">
        <v>0.0</v>
      </c>
      <c r="J611" s="169">
        <v>0.0</v>
      </c>
      <c r="K611" s="169">
        <v>2.0</v>
      </c>
      <c r="L611" s="169">
        <v>0.0</v>
      </c>
    </row>
    <row r="612" ht="14.25" customHeight="1">
      <c r="A612" s="169" t="s">
        <v>18714</v>
      </c>
      <c r="B612" s="169" t="s">
        <v>10223</v>
      </c>
      <c r="C612" s="169" t="s">
        <v>16912</v>
      </c>
      <c r="D612" s="169" t="str">
        <f t="shared" ref="D612:E612" si="434">"1600117183428"</f>
        <v>1600117183428</v>
      </c>
      <c r="E612" s="169" t="str">
        <f t="shared" si="434"/>
        <v>1600117183428</v>
      </c>
      <c r="F612" s="169" t="s">
        <v>18811</v>
      </c>
      <c r="G612" s="169">
        <v>3555.0</v>
      </c>
      <c r="H612" s="169">
        <v>7.8</v>
      </c>
      <c r="I612" s="169">
        <v>27832.0</v>
      </c>
      <c r="J612" s="169">
        <v>0.0</v>
      </c>
      <c r="K612" s="169">
        <v>3555.0</v>
      </c>
      <c r="L612" s="169">
        <v>0.0</v>
      </c>
    </row>
    <row r="613" ht="14.25" customHeight="1">
      <c r="A613" s="169" t="s">
        <v>18714</v>
      </c>
      <c r="B613" s="169" t="s">
        <v>10223</v>
      </c>
      <c r="C613" s="169" t="s">
        <v>16910</v>
      </c>
      <c r="D613" s="169" t="str">
        <f t="shared" ref="D613:E613" si="435">"1565218463197"</f>
        <v>1565218463197</v>
      </c>
      <c r="E613" s="169" t="str">
        <f t="shared" si="435"/>
        <v>1565218463197</v>
      </c>
      <c r="F613" s="169" t="s">
        <v>18811</v>
      </c>
      <c r="G613" s="169">
        <v>2.0</v>
      </c>
      <c r="H613" s="169">
        <v>4055.0</v>
      </c>
      <c r="I613" s="169">
        <v>8110.0</v>
      </c>
      <c r="J613" s="169">
        <v>0.0</v>
      </c>
      <c r="K613" s="169">
        <v>2.0</v>
      </c>
      <c r="L613" s="169">
        <v>0.0</v>
      </c>
    </row>
    <row r="614" ht="14.25" customHeight="1">
      <c r="A614" s="169" t="s">
        <v>18714</v>
      </c>
      <c r="B614" s="169" t="s">
        <v>10223</v>
      </c>
      <c r="C614" s="169" t="s">
        <v>16908</v>
      </c>
      <c r="D614" s="169" t="str">
        <f t="shared" ref="D614:E614" si="436">"1571055493973"</f>
        <v>1571055493973</v>
      </c>
      <c r="E614" s="169" t="str">
        <f t="shared" si="436"/>
        <v>1571055493973</v>
      </c>
      <c r="F614" s="169" t="s">
        <v>18811</v>
      </c>
      <c r="G614" s="169">
        <v>335.0</v>
      </c>
      <c r="H614" s="169">
        <v>21525.3</v>
      </c>
      <c r="I614" s="169">
        <v>7210984.0</v>
      </c>
      <c r="J614" s="169">
        <v>0.0</v>
      </c>
      <c r="K614" s="169">
        <v>335.0</v>
      </c>
      <c r="L614" s="169">
        <v>0.0</v>
      </c>
    </row>
    <row r="615" ht="14.25" customHeight="1">
      <c r="A615" s="169" t="s">
        <v>18714</v>
      </c>
      <c r="B615" s="169" t="s">
        <v>10223</v>
      </c>
      <c r="C615" s="169" t="s">
        <v>16906</v>
      </c>
      <c r="D615" s="169" t="str">
        <f t="shared" ref="D615:E615" si="437">"1585575578419"</f>
        <v>1585575578419</v>
      </c>
      <c r="E615" s="169" t="str">
        <f t="shared" si="437"/>
        <v>1585575578419</v>
      </c>
      <c r="F615" s="169" t="s">
        <v>18811</v>
      </c>
      <c r="G615" s="169">
        <v>18.0</v>
      </c>
      <c r="H615" s="169">
        <v>17493.0</v>
      </c>
      <c r="I615" s="169">
        <v>314874.0</v>
      </c>
      <c r="J615" s="169">
        <v>0.0</v>
      </c>
      <c r="K615" s="169">
        <v>18.0</v>
      </c>
      <c r="L615" s="169">
        <v>0.0</v>
      </c>
    </row>
    <row r="616" ht="14.25" customHeight="1">
      <c r="A616" s="169" t="s">
        <v>18714</v>
      </c>
      <c r="B616" s="169" t="s">
        <v>10223</v>
      </c>
      <c r="C616" s="169" t="s">
        <v>16904</v>
      </c>
      <c r="D616" s="169" t="str">
        <f t="shared" ref="D616:E616" si="438">"1483452520904"</f>
        <v>1483452520904</v>
      </c>
      <c r="E616" s="169" t="str">
        <f t="shared" si="438"/>
        <v>1483452520904</v>
      </c>
      <c r="F616" s="169" t="s">
        <v>18811</v>
      </c>
      <c r="G616" s="169">
        <v>10.0</v>
      </c>
      <c r="H616" s="169">
        <v>0.0</v>
      </c>
      <c r="I616" s="169">
        <v>0.0</v>
      </c>
      <c r="J616" s="169">
        <v>0.0</v>
      </c>
      <c r="K616" s="169">
        <v>10.0</v>
      </c>
      <c r="L616" s="169">
        <v>0.0</v>
      </c>
    </row>
    <row r="617" ht="14.25" customHeight="1">
      <c r="A617" s="169" t="s">
        <v>18714</v>
      </c>
      <c r="B617" s="169" t="s">
        <v>10223</v>
      </c>
      <c r="C617" s="169" t="s">
        <v>16902</v>
      </c>
      <c r="D617" s="169" t="str">
        <f t="shared" ref="D617:E617" si="439">"1541697243401"</f>
        <v>1541697243401</v>
      </c>
      <c r="E617" s="169" t="str">
        <f t="shared" si="439"/>
        <v>1541697243401</v>
      </c>
      <c r="F617" s="169" t="s">
        <v>18811</v>
      </c>
      <c r="G617" s="169">
        <v>9.0</v>
      </c>
      <c r="H617" s="169">
        <v>168494.8</v>
      </c>
      <c r="I617" s="169">
        <v>1516453.0</v>
      </c>
      <c r="J617" s="169">
        <v>0.0</v>
      </c>
      <c r="K617" s="169">
        <v>9.0</v>
      </c>
      <c r="L617" s="169">
        <v>0.0</v>
      </c>
    </row>
    <row r="618" ht="14.25" customHeight="1">
      <c r="A618" s="169" t="s">
        <v>18714</v>
      </c>
      <c r="B618" s="169" t="s">
        <v>10223</v>
      </c>
      <c r="C618" s="169" t="s">
        <v>16900</v>
      </c>
      <c r="D618" s="169" t="str">
        <f t="shared" ref="D618:E618" si="440">"1610396246750"</f>
        <v>1610396246750</v>
      </c>
      <c r="E618" s="169" t="str">
        <f t="shared" si="440"/>
        <v>1610396246750</v>
      </c>
      <c r="F618" s="169" t="s">
        <v>18811</v>
      </c>
      <c r="G618" s="169">
        <v>1.0</v>
      </c>
      <c r="H618" s="169">
        <v>72787.0</v>
      </c>
      <c r="I618" s="169">
        <v>72787.0</v>
      </c>
      <c r="J618" s="169">
        <v>0.0</v>
      </c>
      <c r="K618" s="169">
        <v>1.0</v>
      </c>
      <c r="L618" s="169">
        <v>0.0</v>
      </c>
    </row>
    <row r="619" ht="14.25" customHeight="1">
      <c r="A619" s="169" t="s">
        <v>18714</v>
      </c>
      <c r="B619" s="169" t="s">
        <v>10223</v>
      </c>
      <c r="C619" s="169" t="s">
        <v>16898</v>
      </c>
      <c r="D619" s="169" t="str">
        <f t="shared" ref="D619:E619" si="441">"1513615220412"</f>
        <v>1513615220412</v>
      </c>
      <c r="E619" s="169" t="str">
        <f t="shared" si="441"/>
        <v>1513615220412</v>
      </c>
      <c r="F619" s="169" t="s">
        <v>18811</v>
      </c>
      <c r="G619" s="169">
        <v>36.0</v>
      </c>
      <c r="H619" s="169">
        <v>8987.0</v>
      </c>
      <c r="I619" s="169">
        <v>323532.0</v>
      </c>
      <c r="J619" s="169">
        <v>0.0</v>
      </c>
      <c r="K619" s="169">
        <v>36.0</v>
      </c>
      <c r="L619" s="169">
        <v>0.0</v>
      </c>
    </row>
    <row r="620" ht="14.25" customHeight="1">
      <c r="A620" s="169" t="s">
        <v>18714</v>
      </c>
      <c r="B620" s="169" t="s">
        <v>10223</v>
      </c>
      <c r="C620" s="169" t="s">
        <v>16896</v>
      </c>
      <c r="D620" s="169" t="str">
        <f t="shared" ref="D620:E620" si="442">"1479750635184"</f>
        <v>1479750635184</v>
      </c>
      <c r="E620" s="169" t="str">
        <f t="shared" si="442"/>
        <v>1479750635184</v>
      </c>
      <c r="F620" s="169" t="s">
        <v>18811</v>
      </c>
      <c r="G620" s="169">
        <v>1509.0</v>
      </c>
      <c r="H620" s="169">
        <v>2824.7</v>
      </c>
      <c r="I620" s="169">
        <v>4262409.0</v>
      </c>
      <c r="J620" s="169">
        <v>2.0</v>
      </c>
      <c r="K620" s="169">
        <v>1507.0</v>
      </c>
      <c r="L620" s="169">
        <v>5.0</v>
      </c>
    </row>
    <row r="621" ht="14.25" customHeight="1">
      <c r="A621" s="169" t="s">
        <v>18714</v>
      </c>
      <c r="B621" s="169" t="s">
        <v>10223</v>
      </c>
      <c r="C621" s="169" t="s">
        <v>16894</v>
      </c>
      <c r="D621" s="169" t="str">
        <f t="shared" ref="D621:E621" si="443">"1479823191801"</f>
        <v>1479823191801</v>
      </c>
      <c r="E621" s="169" t="str">
        <f t="shared" si="443"/>
        <v>1479823191801</v>
      </c>
      <c r="F621" s="169" t="s">
        <v>18811</v>
      </c>
      <c r="G621" s="169">
        <v>195.0</v>
      </c>
      <c r="H621" s="169">
        <v>2709.1</v>
      </c>
      <c r="I621" s="169">
        <v>528265.0</v>
      </c>
      <c r="J621" s="169">
        <v>2.0</v>
      </c>
      <c r="K621" s="169">
        <v>193.0</v>
      </c>
      <c r="L621" s="169">
        <v>0.0</v>
      </c>
    </row>
    <row r="622" ht="14.25" customHeight="1">
      <c r="A622" s="169" t="s">
        <v>6751</v>
      </c>
      <c r="B622" s="169" t="s">
        <v>18761</v>
      </c>
      <c r="C622" s="169" t="s">
        <v>18764</v>
      </c>
      <c r="D622" s="169" t="str">
        <f t="shared" ref="D622:E622" si="444">"8809541208652"</f>
        <v>8809541208652</v>
      </c>
      <c r="E622" s="169" t="str">
        <f t="shared" si="444"/>
        <v>8809541208652</v>
      </c>
      <c r="F622" s="169" t="s">
        <v>18811</v>
      </c>
      <c r="G622" s="169">
        <v>2.0</v>
      </c>
      <c r="H622" s="169">
        <v>1255.0</v>
      </c>
      <c r="I622" s="169">
        <v>2510.0</v>
      </c>
      <c r="J622" s="169">
        <v>0.0</v>
      </c>
      <c r="K622" s="169">
        <v>2.0</v>
      </c>
      <c r="L622" s="169">
        <v>0.0</v>
      </c>
    </row>
    <row r="623" ht="14.25" customHeight="1">
      <c r="A623" s="169" t="s">
        <v>6751</v>
      </c>
      <c r="B623" s="169" t="s">
        <v>18761</v>
      </c>
      <c r="C623" s="169" t="s">
        <v>18762</v>
      </c>
      <c r="D623" s="169" t="str">
        <f t="shared" ref="D623:E623" si="445">"8809541209260"</f>
        <v>8809541209260</v>
      </c>
      <c r="E623" s="169" t="str">
        <f t="shared" si="445"/>
        <v>8809541209260</v>
      </c>
      <c r="F623" s="169" t="s">
        <v>18811</v>
      </c>
      <c r="G623" s="169">
        <v>1.0</v>
      </c>
      <c r="H623" s="169">
        <v>1255.0</v>
      </c>
      <c r="I623" s="169">
        <v>1255.0</v>
      </c>
      <c r="J623" s="169">
        <v>0.0</v>
      </c>
      <c r="K623" s="169">
        <v>1.0</v>
      </c>
      <c r="L623" s="169">
        <v>0.0</v>
      </c>
    </row>
    <row r="624" ht="14.25" customHeight="1">
      <c r="A624" s="169" t="s">
        <v>10437</v>
      </c>
      <c r="B624" s="169" t="s">
        <v>10437</v>
      </c>
      <c r="C624" s="169" t="s">
        <v>18368</v>
      </c>
      <c r="D624" s="169" t="str">
        <f>"69222311205058"</f>
        <v>69222311205058</v>
      </c>
      <c r="E624" s="169" t="str">
        <f>"KT12PRO"</f>
        <v>KT12PRO</v>
      </c>
      <c r="F624" s="169" t="s">
        <v>18811</v>
      </c>
      <c r="G624" s="169">
        <v>7.0</v>
      </c>
      <c r="H624" s="169">
        <v>67218.0</v>
      </c>
      <c r="I624" s="169">
        <v>470526.0</v>
      </c>
      <c r="J624" s="169">
        <v>0.0</v>
      </c>
      <c r="K624" s="169">
        <v>7.0</v>
      </c>
      <c r="L624" s="169">
        <v>0.0</v>
      </c>
    </row>
    <row r="625" ht="14.25" customHeight="1">
      <c r="A625" s="169" t="s">
        <v>10437</v>
      </c>
      <c r="B625" s="169" t="s">
        <v>10437</v>
      </c>
      <c r="C625" s="169" t="s">
        <v>18367</v>
      </c>
      <c r="D625" s="169" t="str">
        <f>"2016754331008"</f>
        <v>2016754331008</v>
      </c>
      <c r="E625" s="169" t="str">
        <f>"FACE4L"</f>
        <v>FACE4L</v>
      </c>
      <c r="F625" s="169" t="s">
        <v>18811</v>
      </c>
      <c r="G625" s="169">
        <v>14.0</v>
      </c>
      <c r="H625" s="169">
        <v>31924.0</v>
      </c>
      <c r="I625" s="169">
        <v>446936.0</v>
      </c>
      <c r="J625" s="169">
        <v>0.0</v>
      </c>
      <c r="K625" s="169">
        <v>14.0</v>
      </c>
      <c r="L625" s="169">
        <v>0.0</v>
      </c>
    </row>
    <row r="626" ht="14.25" customHeight="1">
      <c r="A626" s="169" t="s">
        <v>10437</v>
      </c>
      <c r="B626" s="169" t="s">
        <v>10437</v>
      </c>
      <c r="C626" s="169" t="s">
        <v>18366</v>
      </c>
      <c r="D626" s="169" t="str">
        <f>"69138268811673"</f>
        <v>69138268811673</v>
      </c>
      <c r="E626" s="169" t="str">
        <f>"FAME12L"</f>
        <v>FAME12L</v>
      </c>
      <c r="F626" s="169" t="s">
        <v>18811</v>
      </c>
      <c r="G626" s="169">
        <v>5.0</v>
      </c>
      <c r="H626" s="169">
        <v>57134.0</v>
      </c>
      <c r="I626" s="169">
        <v>285670.0</v>
      </c>
      <c r="J626" s="169">
        <v>0.0</v>
      </c>
      <c r="K626" s="169">
        <v>5.0</v>
      </c>
      <c r="L626" s="169">
        <v>0.0</v>
      </c>
    </row>
    <row r="627" ht="14.25" customHeight="1">
      <c r="A627" s="169" t="s">
        <v>10437</v>
      </c>
      <c r="B627" s="169" t="s">
        <v>10437</v>
      </c>
      <c r="C627" s="169" t="s">
        <v>18365</v>
      </c>
      <c r="D627" s="169" t="str">
        <f>"6788003982168"</f>
        <v>6788003982168</v>
      </c>
      <c r="E627" s="169" t="str">
        <f>"FAPE5L"</f>
        <v>FAPE5L</v>
      </c>
      <c r="F627" s="169" t="s">
        <v>18811</v>
      </c>
      <c r="G627" s="169">
        <v>2.0</v>
      </c>
      <c r="H627" s="169">
        <v>42849.0</v>
      </c>
      <c r="I627" s="169">
        <v>85698.0</v>
      </c>
      <c r="J627" s="169">
        <v>0.0</v>
      </c>
      <c r="K627" s="169">
        <v>2.0</v>
      </c>
      <c r="L627" s="169">
        <v>0.0</v>
      </c>
    </row>
    <row r="628" ht="14.25" customHeight="1">
      <c r="A628" s="169" t="s">
        <v>10437</v>
      </c>
      <c r="B628" s="169" t="s">
        <v>10437</v>
      </c>
      <c r="C628" s="169" t="s">
        <v>18364</v>
      </c>
      <c r="D628" s="169" t="str">
        <f>"2016284233001"</f>
        <v>2016284233001</v>
      </c>
      <c r="E628" s="169" t="str">
        <f>"HPBE22"</f>
        <v>HPBE22</v>
      </c>
      <c r="F628" s="169" t="s">
        <v>18811</v>
      </c>
      <c r="G628" s="169">
        <v>1.0</v>
      </c>
      <c r="H628" s="169">
        <v>57975.0</v>
      </c>
      <c r="I628" s="169">
        <v>57975.0</v>
      </c>
      <c r="J628" s="169">
        <v>0.0</v>
      </c>
      <c r="K628" s="169">
        <v>1.0</v>
      </c>
      <c r="L628" s="169">
        <v>0.0</v>
      </c>
    </row>
    <row r="629" ht="14.25" customHeight="1">
      <c r="A629" s="169" t="s">
        <v>6880</v>
      </c>
      <c r="B629" s="169" t="s">
        <v>10484</v>
      </c>
      <c r="C629" s="169" t="s">
        <v>18229</v>
      </c>
      <c r="D629" s="169" t="str">
        <f t="shared" ref="D629:E629" si="446">"KW-1008RED"</f>
        <v>KW-1008RED</v>
      </c>
      <c r="E629" s="169" t="str">
        <f t="shared" si="446"/>
        <v>KW-1008RED</v>
      </c>
      <c r="F629" s="169" t="s">
        <v>18811</v>
      </c>
      <c r="G629" s="169">
        <v>14.0</v>
      </c>
      <c r="H629" s="169">
        <v>44000.0</v>
      </c>
      <c r="I629" s="169">
        <v>616000.0</v>
      </c>
      <c r="J629" s="169">
        <v>0.0</v>
      </c>
      <c r="K629" s="169">
        <v>14.0</v>
      </c>
      <c r="L629" s="169">
        <v>0.0</v>
      </c>
    </row>
    <row r="630" ht="14.25" customHeight="1">
      <c r="A630" s="169" t="s">
        <v>6880</v>
      </c>
      <c r="B630" s="169" t="s">
        <v>10484</v>
      </c>
      <c r="C630" s="169" t="s">
        <v>10558</v>
      </c>
      <c r="D630" s="169" t="str">
        <f t="shared" ref="D630:E630" si="447">"SE-067"</f>
        <v>SE-067</v>
      </c>
      <c r="E630" s="169" t="str">
        <f t="shared" si="447"/>
        <v>SE-067</v>
      </c>
      <c r="F630" s="169" t="s">
        <v>18811</v>
      </c>
      <c r="G630" s="169">
        <v>19.0</v>
      </c>
      <c r="H630" s="169">
        <v>2259.0</v>
      </c>
      <c r="I630" s="169">
        <v>42921.0</v>
      </c>
      <c r="J630" s="169">
        <v>0.0</v>
      </c>
      <c r="K630" s="169">
        <v>19.0</v>
      </c>
      <c r="L630" s="169">
        <v>0.0</v>
      </c>
    </row>
    <row r="631" ht="14.25" customHeight="1">
      <c r="A631" s="169" t="s">
        <v>6880</v>
      </c>
      <c r="B631" s="169" t="s">
        <v>10484</v>
      </c>
      <c r="C631" s="169" t="s">
        <v>10561</v>
      </c>
      <c r="D631" s="169" t="str">
        <f t="shared" ref="D631:E631" si="448">"SE-740"</f>
        <v>SE-740</v>
      </c>
      <c r="E631" s="169" t="str">
        <f t="shared" si="448"/>
        <v>SE-740</v>
      </c>
      <c r="F631" s="169" t="s">
        <v>18811</v>
      </c>
      <c r="G631" s="169">
        <v>6.0</v>
      </c>
      <c r="H631" s="169">
        <v>4797.0</v>
      </c>
      <c r="I631" s="169">
        <v>28782.0</v>
      </c>
      <c r="J631" s="169">
        <v>0.0</v>
      </c>
      <c r="K631" s="169">
        <v>6.0</v>
      </c>
      <c r="L631" s="169">
        <v>0.0</v>
      </c>
    </row>
    <row r="632" ht="14.25" customHeight="1">
      <c r="A632" s="169" t="s">
        <v>6880</v>
      </c>
      <c r="B632" s="169" t="s">
        <v>10484</v>
      </c>
      <c r="C632" s="169" t="s">
        <v>10537</v>
      </c>
      <c r="D632" s="169" t="str">
        <f>"1588623926607"</f>
        <v>1588623926607</v>
      </c>
      <c r="E632" s="169" t="str">
        <f>"BF1224B-CH"</f>
        <v>BF1224B-CH</v>
      </c>
      <c r="F632" s="169" t="s">
        <v>18811</v>
      </c>
      <c r="G632" s="169">
        <v>5.0</v>
      </c>
      <c r="H632" s="169">
        <v>14160.0</v>
      </c>
      <c r="I632" s="169">
        <v>70800.0</v>
      </c>
      <c r="J632" s="169">
        <v>2.0</v>
      </c>
      <c r="K632" s="169">
        <v>3.0</v>
      </c>
      <c r="L632" s="169">
        <v>0.0</v>
      </c>
    </row>
    <row r="633" ht="14.25" customHeight="1">
      <c r="A633" s="169" t="s">
        <v>6880</v>
      </c>
      <c r="B633" s="169" t="s">
        <v>10484</v>
      </c>
      <c r="C633" s="169" t="s">
        <v>10539</v>
      </c>
      <c r="D633" s="169" t="str">
        <f t="shared" ref="D633:E633" si="449">"BF1224B-MI"</f>
        <v>BF1224B-MI</v>
      </c>
      <c r="E633" s="169" t="str">
        <f t="shared" si="449"/>
        <v>BF1224B-MI</v>
      </c>
      <c r="F633" s="169" t="s">
        <v>18811</v>
      </c>
      <c r="G633" s="169">
        <v>5.0</v>
      </c>
      <c r="H633" s="169">
        <v>14160.0</v>
      </c>
      <c r="I633" s="169">
        <v>70800.0</v>
      </c>
      <c r="J633" s="169">
        <v>1.0</v>
      </c>
      <c r="K633" s="169">
        <v>4.0</v>
      </c>
      <c r="L633" s="169">
        <v>0.0</v>
      </c>
    </row>
    <row r="634" ht="14.25" customHeight="1">
      <c r="A634" s="169" t="s">
        <v>6880</v>
      </c>
      <c r="B634" s="169" t="s">
        <v>10484</v>
      </c>
      <c r="C634" s="169" t="s">
        <v>10555</v>
      </c>
      <c r="D634" s="169" t="str">
        <f t="shared" ref="D634:E634" si="450">"T-250"</f>
        <v>T-250</v>
      </c>
      <c r="E634" s="169" t="str">
        <f t="shared" si="450"/>
        <v>T-250</v>
      </c>
      <c r="F634" s="169" t="s">
        <v>18811</v>
      </c>
      <c r="G634" s="169">
        <v>12.0</v>
      </c>
      <c r="H634" s="169">
        <v>1414.0</v>
      </c>
      <c r="I634" s="169">
        <v>16968.0</v>
      </c>
      <c r="J634" s="169">
        <v>0.0</v>
      </c>
      <c r="K634" s="169">
        <v>12.0</v>
      </c>
      <c r="L634" s="169">
        <v>0.0</v>
      </c>
    </row>
    <row r="635" ht="14.25" customHeight="1">
      <c r="A635" s="169" t="s">
        <v>6880</v>
      </c>
      <c r="B635" s="169" t="s">
        <v>10484</v>
      </c>
      <c r="C635" s="169" t="s">
        <v>18228</v>
      </c>
      <c r="D635" s="169" t="str">
        <f t="shared" ref="D635:E635" si="451">"KW-20ROJO"</f>
        <v>KW-20ROJO</v>
      </c>
      <c r="E635" s="169" t="str">
        <f t="shared" si="451"/>
        <v>KW-20ROJO</v>
      </c>
      <c r="F635" s="169" t="s">
        <v>18811</v>
      </c>
      <c r="G635" s="169">
        <v>14.0</v>
      </c>
      <c r="H635" s="169">
        <v>3800.0</v>
      </c>
      <c r="I635" s="169">
        <v>53200.0</v>
      </c>
      <c r="J635" s="169">
        <v>0.0</v>
      </c>
      <c r="K635" s="169">
        <v>14.0</v>
      </c>
      <c r="L635" s="169">
        <v>0.0</v>
      </c>
    </row>
    <row r="636" ht="14.25" customHeight="1">
      <c r="A636" s="169" t="s">
        <v>6880</v>
      </c>
      <c r="B636" s="169" t="s">
        <v>10484</v>
      </c>
      <c r="C636" s="169" t="s">
        <v>10494</v>
      </c>
      <c r="D636" s="169" t="str">
        <f t="shared" ref="D636:E636" si="452">"KW-24CALIPSO"</f>
        <v>KW-24CALIPSO</v>
      </c>
      <c r="E636" s="169" t="str">
        <f t="shared" si="452"/>
        <v>KW-24CALIPSO</v>
      </c>
      <c r="F636" s="169" t="s">
        <v>18811</v>
      </c>
      <c r="G636" s="169">
        <v>15.0</v>
      </c>
      <c r="H636" s="169">
        <v>4520.0</v>
      </c>
      <c r="I636" s="169">
        <v>67800.0</v>
      </c>
      <c r="J636" s="169">
        <v>0.0</v>
      </c>
      <c r="K636" s="169">
        <v>15.0</v>
      </c>
      <c r="L636" s="169">
        <v>0.0</v>
      </c>
    </row>
    <row r="637" ht="14.25" customHeight="1">
      <c r="A637" s="169" t="s">
        <v>6880</v>
      </c>
      <c r="B637" s="169" t="s">
        <v>10484</v>
      </c>
      <c r="C637" s="169" t="s">
        <v>18227</v>
      </c>
      <c r="D637" s="169" t="str">
        <f t="shared" ref="D637:E637" si="453">"KW-28CALIPSO"</f>
        <v>KW-28CALIPSO</v>
      </c>
      <c r="E637" s="169" t="str">
        <f t="shared" si="453"/>
        <v>KW-28CALIPSO</v>
      </c>
      <c r="F637" s="169" t="s">
        <v>18811</v>
      </c>
      <c r="G637" s="169">
        <v>11.0</v>
      </c>
      <c r="H637" s="169">
        <v>5670.0</v>
      </c>
      <c r="I637" s="169">
        <v>62370.0</v>
      </c>
      <c r="J637" s="169">
        <v>0.0</v>
      </c>
      <c r="K637" s="169">
        <v>11.0</v>
      </c>
      <c r="L637" s="169">
        <v>0.0</v>
      </c>
    </row>
    <row r="638" ht="14.25" customHeight="1">
      <c r="A638" s="169" t="s">
        <v>6880</v>
      </c>
      <c r="B638" s="169" t="s">
        <v>10484</v>
      </c>
      <c r="C638" s="169" t="s">
        <v>10496</v>
      </c>
      <c r="D638" s="169" t="str">
        <f t="shared" ref="D638:E638" si="454">"KW-28ROJO"</f>
        <v>KW-28ROJO</v>
      </c>
      <c r="E638" s="169" t="str">
        <f t="shared" si="454"/>
        <v>KW-28ROJO</v>
      </c>
      <c r="F638" s="169" t="s">
        <v>18811</v>
      </c>
      <c r="G638" s="169">
        <v>16.0</v>
      </c>
      <c r="H638" s="169">
        <v>5670.0</v>
      </c>
      <c r="I638" s="169">
        <v>90720.0</v>
      </c>
      <c r="J638" s="169">
        <v>0.0</v>
      </c>
      <c r="K638" s="169">
        <v>16.0</v>
      </c>
      <c r="L638" s="169">
        <v>0.0</v>
      </c>
    </row>
    <row r="639" ht="14.25" customHeight="1">
      <c r="A639" s="169" t="s">
        <v>6880</v>
      </c>
      <c r="B639" s="169" t="s">
        <v>10484</v>
      </c>
      <c r="C639" s="169" t="s">
        <v>18226</v>
      </c>
      <c r="D639" s="169" t="str">
        <f t="shared" ref="D639:E639" si="455">"BF2424B-CH"</f>
        <v>BF2424B-CH</v>
      </c>
      <c r="E639" s="169" t="str">
        <f t="shared" si="455"/>
        <v>BF2424B-CH</v>
      </c>
      <c r="F639" s="169" t="s">
        <v>18811</v>
      </c>
      <c r="G639" s="169">
        <v>2.0</v>
      </c>
      <c r="H639" s="169">
        <v>6040.0</v>
      </c>
      <c r="I639" s="169">
        <v>12080.0</v>
      </c>
      <c r="J639" s="169">
        <v>1.0</v>
      </c>
      <c r="K639" s="169">
        <v>1.0</v>
      </c>
      <c r="L639" s="169">
        <v>0.0</v>
      </c>
    </row>
    <row r="640" ht="14.25" customHeight="1">
      <c r="A640" s="169" t="s">
        <v>6880</v>
      </c>
      <c r="B640" s="169" t="s">
        <v>10484</v>
      </c>
      <c r="C640" s="169" t="s">
        <v>18225</v>
      </c>
      <c r="D640" s="169" t="str">
        <f>"1588623936698"</f>
        <v>1588623936698</v>
      </c>
      <c r="E640" s="169" t="str">
        <f>"BF2428B-CH"</f>
        <v>BF2428B-CH</v>
      </c>
      <c r="F640" s="169" t="s">
        <v>18811</v>
      </c>
      <c r="G640" s="169">
        <v>9.0</v>
      </c>
      <c r="H640" s="169">
        <v>7240.0</v>
      </c>
      <c r="I640" s="169">
        <v>65160.0</v>
      </c>
      <c r="J640" s="169">
        <v>0.0</v>
      </c>
      <c r="K640" s="169">
        <v>9.0</v>
      </c>
      <c r="L640" s="169">
        <v>0.0</v>
      </c>
    </row>
    <row r="641" ht="14.25" customHeight="1">
      <c r="A641" s="169" t="s">
        <v>6880</v>
      </c>
      <c r="B641" s="169" t="s">
        <v>10484</v>
      </c>
      <c r="C641" s="169" t="s">
        <v>18224</v>
      </c>
      <c r="D641" s="169" t="str">
        <f t="shared" ref="D641:E641" si="456">"BF2428B-MI"</f>
        <v>BF2428B-MI</v>
      </c>
      <c r="E641" s="169" t="str">
        <f t="shared" si="456"/>
        <v>BF2428B-MI</v>
      </c>
      <c r="F641" s="169" t="s">
        <v>18811</v>
      </c>
      <c r="G641" s="169">
        <v>8.0</v>
      </c>
      <c r="H641" s="169">
        <v>7240.0</v>
      </c>
      <c r="I641" s="169">
        <v>57920.0</v>
      </c>
      <c r="J641" s="169">
        <v>0.0</v>
      </c>
      <c r="K641" s="169">
        <v>8.0</v>
      </c>
      <c r="L641" s="169">
        <v>0.0</v>
      </c>
    </row>
    <row r="642" ht="14.25" customHeight="1">
      <c r="A642" s="169" t="s">
        <v>6880</v>
      </c>
      <c r="B642" s="169" t="s">
        <v>10484</v>
      </c>
      <c r="C642" s="169" t="s">
        <v>18223</v>
      </c>
      <c r="D642" s="169" t="str">
        <f t="shared" ref="D642:E642" si="457">"CER-2228CHERRY"</f>
        <v>CER-2228CHERRY</v>
      </c>
      <c r="E642" s="169" t="str">
        <f t="shared" si="457"/>
        <v>CER-2228CHERRY</v>
      </c>
      <c r="F642" s="169" t="s">
        <v>18811</v>
      </c>
      <c r="G642" s="169">
        <v>3.0</v>
      </c>
      <c r="H642" s="169">
        <v>9130.0</v>
      </c>
      <c r="I642" s="169">
        <v>27390.0</v>
      </c>
      <c r="J642" s="169">
        <v>0.0</v>
      </c>
      <c r="K642" s="169">
        <v>3.0</v>
      </c>
      <c r="L642" s="169">
        <v>0.0</v>
      </c>
    </row>
    <row r="643" ht="14.25" customHeight="1">
      <c r="A643" s="169" t="s">
        <v>6880</v>
      </c>
      <c r="B643" s="169" t="s">
        <v>10484</v>
      </c>
      <c r="C643" s="169" t="s">
        <v>18222</v>
      </c>
      <c r="D643" s="169" t="str">
        <f t="shared" ref="D643:E643" si="458">"CER-2220CHERRY"</f>
        <v>CER-2220CHERRY</v>
      </c>
      <c r="E643" s="169" t="str">
        <f t="shared" si="458"/>
        <v>CER-2220CHERRY</v>
      </c>
      <c r="F643" s="169" t="s">
        <v>18811</v>
      </c>
      <c r="G643" s="169">
        <v>14.0</v>
      </c>
      <c r="H643" s="169">
        <v>6060.0</v>
      </c>
      <c r="I643" s="169">
        <v>84840.0</v>
      </c>
      <c r="J643" s="169">
        <v>0.0</v>
      </c>
      <c r="K643" s="169">
        <v>14.0</v>
      </c>
      <c r="L643" s="169">
        <v>0.0</v>
      </c>
    </row>
    <row r="644" ht="14.25" customHeight="1">
      <c r="A644" s="169" t="s">
        <v>6880</v>
      </c>
      <c r="B644" s="169" t="s">
        <v>10484</v>
      </c>
      <c r="C644" s="169" t="s">
        <v>18221</v>
      </c>
      <c r="D644" s="169" t="str">
        <f t="shared" ref="D644:E644" si="459">"CER-2224CHERRY"</f>
        <v>CER-2224CHERRY</v>
      </c>
      <c r="E644" s="169" t="str">
        <f t="shared" si="459"/>
        <v>CER-2224CHERRY</v>
      </c>
      <c r="F644" s="169" t="s">
        <v>18811</v>
      </c>
      <c r="G644" s="169">
        <v>8.0</v>
      </c>
      <c r="H644" s="169">
        <v>7460.0</v>
      </c>
      <c r="I644" s="169">
        <v>59680.0</v>
      </c>
      <c r="J644" s="169">
        <v>1.0</v>
      </c>
      <c r="K644" s="169">
        <v>7.0</v>
      </c>
      <c r="L644" s="169">
        <v>0.0</v>
      </c>
    </row>
    <row r="645" ht="14.25" customHeight="1">
      <c r="A645" s="169" t="s">
        <v>6880</v>
      </c>
      <c r="B645" s="169" t="s">
        <v>10484</v>
      </c>
      <c r="C645" s="169" t="s">
        <v>10552</v>
      </c>
      <c r="D645" s="169" t="str">
        <f t="shared" ref="D645:E645" si="460">"BF5228B-CH"</f>
        <v>BF5228B-CH</v>
      </c>
      <c r="E645" s="169" t="str">
        <f t="shared" si="460"/>
        <v>BF5228B-CH</v>
      </c>
      <c r="F645" s="169" t="s">
        <v>18811</v>
      </c>
      <c r="G645" s="169">
        <v>15.0</v>
      </c>
      <c r="H645" s="169">
        <v>8450.0</v>
      </c>
      <c r="I645" s="169">
        <v>126750.0</v>
      </c>
      <c r="J645" s="169">
        <v>0.0</v>
      </c>
      <c r="K645" s="169">
        <v>15.0</v>
      </c>
      <c r="L645" s="169">
        <v>0.0</v>
      </c>
    </row>
    <row r="646" ht="14.25" customHeight="1">
      <c r="A646" s="169" t="s">
        <v>18736</v>
      </c>
      <c r="B646" s="169" t="s">
        <v>18736</v>
      </c>
      <c r="C646" s="169" t="s">
        <v>18737</v>
      </c>
      <c r="D646" s="169" t="str">
        <f t="shared" ref="D646:E646" si="461">"68433354409679"</f>
        <v>68433354409679</v>
      </c>
      <c r="E646" s="169" t="str">
        <f t="shared" si="461"/>
        <v>68433354409679</v>
      </c>
      <c r="F646" s="169" t="s">
        <v>18811</v>
      </c>
      <c r="G646" s="169">
        <v>1.0</v>
      </c>
      <c r="H646" s="169">
        <v>19745.0</v>
      </c>
      <c r="I646" s="169">
        <v>19745.0</v>
      </c>
      <c r="J646" s="169">
        <v>0.0</v>
      </c>
      <c r="K646" s="169">
        <v>1.0</v>
      </c>
      <c r="L646" s="169">
        <v>0.0</v>
      </c>
    </row>
    <row r="647" ht="14.25" customHeight="1">
      <c r="A647" s="169" t="s">
        <v>130</v>
      </c>
      <c r="B647" s="169" t="s">
        <v>130</v>
      </c>
      <c r="C647" s="169" t="s">
        <v>17178</v>
      </c>
      <c r="D647" s="169" t="str">
        <f>"0788070733201"</f>
        <v>0788070733201</v>
      </c>
      <c r="E647" s="169" t="str">
        <f>"67114508251225"</f>
        <v>67114508251225</v>
      </c>
      <c r="F647" s="169" t="s">
        <v>18811</v>
      </c>
      <c r="G647" s="169">
        <v>276.0</v>
      </c>
      <c r="H647" s="169">
        <v>6081.9</v>
      </c>
      <c r="I647" s="169">
        <v>1678614.0</v>
      </c>
      <c r="J647" s="169">
        <v>0.0</v>
      </c>
      <c r="K647" s="169">
        <v>276.0</v>
      </c>
      <c r="L647" s="169">
        <v>0.0</v>
      </c>
    </row>
    <row r="648" ht="14.25" customHeight="1">
      <c r="A648" s="169" t="s">
        <v>130</v>
      </c>
      <c r="B648" s="169" t="s">
        <v>130</v>
      </c>
      <c r="C648" s="169" t="s">
        <v>17176</v>
      </c>
      <c r="D648" s="169" t="str">
        <f>"0788070733195"</f>
        <v>0788070733195</v>
      </c>
      <c r="E648" s="169" t="str">
        <f>"67114507143511"</f>
        <v>67114507143511</v>
      </c>
      <c r="F648" s="169" t="s">
        <v>18811</v>
      </c>
      <c r="G648" s="169">
        <v>663.0</v>
      </c>
      <c r="H648" s="169">
        <v>6071.1</v>
      </c>
      <c r="I648" s="169">
        <v>4025124.0</v>
      </c>
      <c r="J648" s="169">
        <v>0.0</v>
      </c>
      <c r="K648" s="169">
        <v>663.0</v>
      </c>
      <c r="L648" s="169">
        <v>0.0</v>
      </c>
    </row>
    <row r="649" ht="14.25" customHeight="1">
      <c r="A649" s="169" t="s">
        <v>130</v>
      </c>
      <c r="B649" s="169" t="s">
        <v>130</v>
      </c>
      <c r="C649" s="169" t="s">
        <v>17174</v>
      </c>
      <c r="D649" s="169" t="str">
        <f>"0788070733218"</f>
        <v>0788070733218</v>
      </c>
      <c r="E649" s="169" t="str">
        <f>"67114509855998"</f>
        <v>67114509855998</v>
      </c>
      <c r="F649" s="169" t="s">
        <v>18811</v>
      </c>
      <c r="G649" s="169">
        <v>278.0</v>
      </c>
      <c r="H649" s="169">
        <v>5982.5</v>
      </c>
      <c r="I649" s="169">
        <v>1663139.0</v>
      </c>
      <c r="J649" s="169">
        <v>0.0</v>
      </c>
      <c r="K649" s="169">
        <v>278.0</v>
      </c>
      <c r="L649" s="169">
        <v>1.0</v>
      </c>
    </row>
    <row r="650" ht="14.25" customHeight="1">
      <c r="A650" s="169" t="s">
        <v>130</v>
      </c>
      <c r="B650" s="169" t="s">
        <v>130</v>
      </c>
      <c r="C650" s="169" t="s">
        <v>17172</v>
      </c>
      <c r="D650" s="169" t="str">
        <f>"0788070733188"</f>
        <v>0788070733188</v>
      </c>
      <c r="E650" s="169" t="str">
        <f>"67114505814137"</f>
        <v>67114505814137</v>
      </c>
      <c r="F650" s="169" t="s">
        <v>18811</v>
      </c>
      <c r="G650" s="169">
        <v>561.0</v>
      </c>
      <c r="H650" s="169">
        <v>5904.9</v>
      </c>
      <c r="I650" s="169">
        <v>3312646.0</v>
      </c>
      <c r="J650" s="169">
        <v>0.0</v>
      </c>
      <c r="K650" s="169">
        <v>561.0</v>
      </c>
      <c r="L650" s="169">
        <v>3.0</v>
      </c>
    </row>
    <row r="651" ht="14.25" customHeight="1">
      <c r="A651" s="169" t="s">
        <v>10583</v>
      </c>
      <c r="B651" s="169" t="s">
        <v>10583</v>
      </c>
      <c r="C651" s="169" t="s">
        <v>18712</v>
      </c>
      <c r="D651" s="169" t="str">
        <f t="shared" ref="D651:E651" si="462">"C1PICCC005"</f>
        <v>C1PICCC005</v>
      </c>
      <c r="E651" s="169" t="str">
        <f t="shared" si="462"/>
        <v>C1PICCC005</v>
      </c>
      <c r="F651" s="169" t="s">
        <v>18811</v>
      </c>
      <c r="G651" s="169">
        <v>9.0</v>
      </c>
      <c r="H651" s="169">
        <v>10913.4</v>
      </c>
      <c r="I651" s="169">
        <v>98221.0</v>
      </c>
      <c r="J651" s="169">
        <v>0.0</v>
      </c>
      <c r="K651" s="169">
        <v>9.0</v>
      </c>
      <c r="L651" s="169">
        <v>0.0</v>
      </c>
    </row>
    <row r="652" ht="14.25" customHeight="1">
      <c r="A652" s="169" t="s">
        <v>10583</v>
      </c>
      <c r="B652" s="169" t="s">
        <v>10583</v>
      </c>
      <c r="C652" s="169" t="s">
        <v>18711</v>
      </c>
      <c r="D652" s="169" t="str">
        <f t="shared" ref="D652:E652" si="463">"C1PICGG013"</f>
        <v>C1PICGG013</v>
      </c>
      <c r="E652" s="169" t="str">
        <f t="shared" si="463"/>
        <v>C1PICGG013</v>
      </c>
      <c r="F652" s="169" t="s">
        <v>18811</v>
      </c>
      <c r="G652" s="169">
        <v>1.0</v>
      </c>
      <c r="H652" s="169">
        <v>16381.1</v>
      </c>
      <c r="I652" s="169">
        <v>16381.0</v>
      </c>
      <c r="J652" s="169">
        <v>0.0</v>
      </c>
      <c r="K652" s="169">
        <v>1.0</v>
      </c>
      <c r="L652" s="169">
        <v>0.0</v>
      </c>
    </row>
    <row r="653" ht="14.25" customHeight="1">
      <c r="A653" s="169" t="s">
        <v>6594</v>
      </c>
      <c r="B653" s="169" t="s">
        <v>6594</v>
      </c>
      <c r="C653" s="169" t="s">
        <v>10630</v>
      </c>
      <c r="D653" s="169" t="str">
        <f>"1617979985443"</f>
        <v>1617979985443</v>
      </c>
      <c r="E653" s="169" t="str">
        <f>"AMPDIAMANTEHUMO"</f>
        <v>AMPDIAMANTEHUMO</v>
      </c>
      <c r="F653" s="169" t="s">
        <v>18811</v>
      </c>
      <c r="G653" s="169">
        <v>1.0</v>
      </c>
      <c r="H653" s="169">
        <v>0.0</v>
      </c>
      <c r="I653" s="169">
        <v>0.0</v>
      </c>
      <c r="J653" s="169">
        <v>0.0</v>
      </c>
      <c r="K653" s="169">
        <v>1.0</v>
      </c>
      <c r="L653" s="169">
        <v>0.0</v>
      </c>
    </row>
    <row r="654" ht="14.25" customHeight="1">
      <c r="A654" s="169" t="s">
        <v>6594</v>
      </c>
      <c r="B654" s="169" t="s">
        <v>6594</v>
      </c>
      <c r="C654" s="169" t="s">
        <v>18704</v>
      </c>
      <c r="D654" s="169" t="str">
        <f>"G-LZ-8026"</f>
        <v>G-LZ-8026</v>
      </c>
      <c r="E654" s="169" t="str">
        <f>"GUIRCOLORTRANS"</f>
        <v>GUIRCOLORTRANS</v>
      </c>
      <c r="F654" s="169" t="s">
        <v>18811</v>
      </c>
      <c r="G654" s="169">
        <v>1.0</v>
      </c>
      <c r="H654" s="169">
        <v>2718.0</v>
      </c>
      <c r="I654" s="169">
        <v>2718.0</v>
      </c>
      <c r="J654" s="169">
        <v>0.0</v>
      </c>
      <c r="K654" s="169">
        <v>1.0</v>
      </c>
      <c r="L654" s="169">
        <v>0.0</v>
      </c>
    </row>
    <row r="655" ht="14.25" customHeight="1">
      <c r="A655" s="169" t="s">
        <v>6594</v>
      </c>
      <c r="B655" s="169" t="s">
        <v>6594</v>
      </c>
      <c r="C655" s="169" t="s">
        <v>18703</v>
      </c>
      <c r="D655" s="169" t="str">
        <f>"NC181023V"</f>
        <v>NC181023V</v>
      </c>
      <c r="E655" s="169" t="str">
        <f>"GUIR220VESTRELLA"</f>
        <v>GUIR220VESTRELLA</v>
      </c>
      <c r="F655" s="169" t="s">
        <v>18811</v>
      </c>
      <c r="G655" s="169">
        <v>2.0</v>
      </c>
      <c r="H655" s="169">
        <v>0.0</v>
      </c>
      <c r="I655" s="169">
        <v>0.0</v>
      </c>
      <c r="J655" s="169">
        <v>0.0</v>
      </c>
      <c r="K655" s="169">
        <v>2.0</v>
      </c>
      <c r="L655" s="169">
        <v>0.0</v>
      </c>
    </row>
    <row r="656" ht="14.25" customHeight="1">
      <c r="A656" s="169" t="s">
        <v>6594</v>
      </c>
      <c r="B656" s="169" t="s">
        <v>6594</v>
      </c>
      <c r="C656" s="169" t="s">
        <v>18702</v>
      </c>
      <c r="D656" s="169" t="str">
        <f>"15888899088634"</f>
        <v>15888899088634</v>
      </c>
      <c r="E656" s="169" t="str">
        <f>"GUIRDECOTUCAN"</f>
        <v>GUIRDECOTUCAN</v>
      </c>
      <c r="F656" s="169" t="s">
        <v>18811</v>
      </c>
      <c r="G656" s="169">
        <v>37.0</v>
      </c>
      <c r="H656" s="169">
        <v>3478.6</v>
      </c>
      <c r="I656" s="169">
        <v>128707.0</v>
      </c>
      <c r="J656" s="169">
        <v>0.0</v>
      </c>
      <c r="K656" s="169">
        <v>37.0</v>
      </c>
      <c r="L656" s="169">
        <v>0.0</v>
      </c>
    </row>
    <row r="657" ht="14.25" customHeight="1">
      <c r="A657" s="169" t="s">
        <v>18714</v>
      </c>
      <c r="B657" s="169" t="s">
        <v>139</v>
      </c>
      <c r="C657" s="169" t="s">
        <v>242</v>
      </c>
      <c r="D657" s="169" t="str">
        <f>"0788070732006"</f>
        <v>0788070732006</v>
      </c>
      <c r="E657" s="169" t="str">
        <f>"1652825027456"</f>
        <v>1652825027456</v>
      </c>
      <c r="F657" s="169" t="s">
        <v>18811</v>
      </c>
      <c r="G657" s="169">
        <v>252.0</v>
      </c>
      <c r="H657" s="169">
        <v>6690.9</v>
      </c>
      <c r="I657" s="169">
        <v>1686100.0</v>
      </c>
      <c r="J657" s="169">
        <v>14.0</v>
      </c>
      <c r="K657" s="169">
        <v>238.0</v>
      </c>
      <c r="L657" s="169">
        <v>0.0</v>
      </c>
    </row>
    <row r="658" ht="14.25" customHeight="1">
      <c r="A658" s="169" t="s">
        <v>18714</v>
      </c>
      <c r="B658" s="169" t="s">
        <v>139</v>
      </c>
      <c r="C658" s="169" t="s">
        <v>201</v>
      </c>
      <c r="D658" s="169" t="str">
        <f>"0788070732372"</f>
        <v>0788070732372</v>
      </c>
      <c r="E658" s="169" t="str">
        <f>"1659989621591"</f>
        <v>1659989621591</v>
      </c>
      <c r="F658" s="169" t="s">
        <v>18811</v>
      </c>
      <c r="G658" s="169">
        <v>222.0</v>
      </c>
      <c r="H658" s="169">
        <v>15232.8</v>
      </c>
      <c r="I658" s="169">
        <v>3381671.0</v>
      </c>
      <c r="J658" s="169">
        <v>1.0</v>
      </c>
      <c r="K658" s="169">
        <v>221.0</v>
      </c>
      <c r="L658" s="169">
        <v>2.0</v>
      </c>
    </row>
    <row r="659" ht="14.25" customHeight="1">
      <c r="A659" s="169" t="s">
        <v>18714</v>
      </c>
      <c r="B659" s="169" t="s">
        <v>139</v>
      </c>
      <c r="C659" s="169" t="s">
        <v>244</v>
      </c>
      <c r="D659" s="169" t="str">
        <f t="shared" ref="D659:E659" si="464">"67327559384453"</f>
        <v>67327559384453</v>
      </c>
      <c r="E659" s="169" t="str">
        <f t="shared" si="464"/>
        <v>67327559384453</v>
      </c>
      <c r="F659" s="169" t="s">
        <v>18811</v>
      </c>
      <c r="G659" s="169">
        <v>163.0</v>
      </c>
      <c r="H659" s="169">
        <v>13739.2</v>
      </c>
      <c r="I659" s="169">
        <v>2239488.0</v>
      </c>
      <c r="J659" s="169">
        <v>3.0</v>
      </c>
      <c r="K659" s="169">
        <v>160.0</v>
      </c>
      <c r="L659" s="169">
        <v>1.0</v>
      </c>
    </row>
    <row r="660" ht="14.25" customHeight="1">
      <c r="A660" s="169" t="s">
        <v>18714</v>
      </c>
      <c r="B660" s="169" t="s">
        <v>139</v>
      </c>
      <c r="C660" s="169" t="s">
        <v>212</v>
      </c>
      <c r="D660" s="169" t="str">
        <f>"0788070732334"</f>
        <v>0788070732334</v>
      </c>
      <c r="E660" s="169" t="str">
        <f>"1659990807310"</f>
        <v>1659990807310</v>
      </c>
      <c r="F660" s="169" t="s">
        <v>18811</v>
      </c>
      <c r="G660" s="169">
        <v>196.0</v>
      </c>
      <c r="H660" s="169">
        <v>8841.4</v>
      </c>
      <c r="I660" s="169">
        <v>1732920.0</v>
      </c>
      <c r="J660" s="169">
        <v>1.0</v>
      </c>
      <c r="K660" s="169">
        <v>195.0</v>
      </c>
      <c r="L660" s="169">
        <v>0.0</v>
      </c>
    </row>
    <row r="661" ht="14.25" customHeight="1">
      <c r="A661" s="169" t="s">
        <v>18714</v>
      </c>
      <c r="B661" s="169" t="s">
        <v>139</v>
      </c>
      <c r="C661" s="169" t="s">
        <v>245</v>
      </c>
      <c r="D661" s="169" t="str">
        <f>"1479755086689"</f>
        <v>1479755086689</v>
      </c>
      <c r="E661" s="169" t="str">
        <f>"1748316345017"</f>
        <v>1748316345017</v>
      </c>
      <c r="F661" s="169" t="s">
        <v>18811</v>
      </c>
      <c r="G661" s="169">
        <v>131.0</v>
      </c>
      <c r="H661" s="169">
        <v>28138.4</v>
      </c>
      <c r="I661" s="169">
        <v>3686135.0</v>
      </c>
      <c r="J661" s="169">
        <v>2.0</v>
      </c>
      <c r="K661" s="169">
        <v>129.0</v>
      </c>
      <c r="L661" s="169">
        <v>1.0</v>
      </c>
    </row>
    <row r="662" ht="14.25" customHeight="1">
      <c r="A662" s="169" t="s">
        <v>18714</v>
      </c>
      <c r="B662" s="169" t="s">
        <v>139</v>
      </c>
      <c r="C662" s="169" t="s">
        <v>16877</v>
      </c>
      <c r="D662" s="169" t="str">
        <f>"0736372918802"</f>
        <v>0736372918802</v>
      </c>
      <c r="E662" s="169" t="str">
        <f>"LVFUEX-GR"</f>
        <v>LVFUEX-GR</v>
      </c>
      <c r="F662" s="169" t="s">
        <v>18811</v>
      </c>
      <c r="G662" s="169">
        <v>2.0</v>
      </c>
      <c r="H662" s="169">
        <v>4354.0</v>
      </c>
      <c r="I662" s="169">
        <v>8708.0</v>
      </c>
      <c r="J662" s="169">
        <v>0.0</v>
      </c>
      <c r="K662" s="169">
        <v>2.0</v>
      </c>
      <c r="L662" s="169">
        <v>0.0</v>
      </c>
    </row>
    <row r="663" ht="14.25" customHeight="1">
      <c r="A663" s="169" t="s">
        <v>18714</v>
      </c>
      <c r="B663" s="169" t="s">
        <v>139</v>
      </c>
      <c r="C663" s="169" t="s">
        <v>16876</v>
      </c>
      <c r="D663" s="169" t="str">
        <f>"0736372918796"</f>
        <v>0736372918796</v>
      </c>
      <c r="E663" s="169" t="str">
        <f>"LVFUEX-BK"</f>
        <v>LVFUEX-BK</v>
      </c>
      <c r="F663" s="169" t="s">
        <v>18811</v>
      </c>
      <c r="G663" s="169">
        <v>1.0</v>
      </c>
      <c r="H663" s="169">
        <v>4354.0</v>
      </c>
      <c r="I663" s="169">
        <v>4354.0</v>
      </c>
      <c r="J663" s="169">
        <v>0.0</v>
      </c>
      <c r="K663" s="169">
        <v>1.0</v>
      </c>
      <c r="L663" s="169">
        <v>0.0</v>
      </c>
    </row>
    <row r="664" ht="14.25" customHeight="1">
      <c r="A664" s="169" t="s">
        <v>18714</v>
      </c>
      <c r="B664" s="169" t="s">
        <v>139</v>
      </c>
      <c r="C664" s="169" t="s">
        <v>213</v>
      </c>
      <c r="D664" s="169" t="str">
        <f>"0788070732341"</f>
        <v>0788070732341</v>
      </c>
      <c r="E664" s="169" t="str">
        <f>"1659990828178"</f>
        <v>1659990828178</v>
      </c>
      <c r="F664" s="169" t="s">
        <v>18811</v>
      </c>
      <c r="G664" s="169">
        <v>204.0</v>
      </c>
      <c r="H664" s="169">
        <v>8179.1</v>
      </c>
      <c r="I664" s="169">
        <v>1668538.0</v>
      </c>
      <c r="J664" s="169">
        <v>1.0</v>
      </c>
      <c r="K664" s="169">
        <v>203.0</v>
      </c>
      <c r="L664" s="169">
        <v>0.0</v>
      </c>
    </row>
    <row r="665" ht="14.25" customHeight="1">
      <c r="A665" s="169" t="s">
        <v>18714</v>
      </c>
      <c r="B665" s="169" t="s">
        <v>139</v>
      </c>
      <c r="C665" s="169" t="s">
        <v>214</v>
      </c>
      <c r="D665" s="169" t="str">
        <f>"0788070733089"</f>
        <v>0788070733089</v>
      </c>
      <c r="E665" s="169" t="str">
        <f>"66436804863605"</f>
        <v>66436804863605</v>
      </c>
      <c r="F665" s="169" t="s">
        <v>18811</v>
      </c>
      <c r="G665" s="169">
        <v>227.0</v>
      </c>
      <c r="H665" s="169">
        <v>8544.9</v>
      </c>
      <c r="I665" s="169">
        <v>1939689.0</v>
      </c>
      <c r="J665" s="169">
        <v>0.0</v>
      </c>
      <c r="K665" s="169">
        <v>227.0</v>
      </c>
      <c r="L665" s="169">
        <v>0.0</v>
      </c>
    </row>
    <row r="666" ht="14.25" customHeight="1">
      <c r="A666" s="169" t="s">
        <v>18714</v>
      </c>
      <c r="B666" s="169" t="s">
        <v>139</v>
      </c>
      <c r="C666" s="169" t="s">
        <v>225</v>
      </c>
      <c r="D666" s="169" t="str">
        <f t="shared" ref="D666:E666" si="465">"1627418329116"</f>
        <v>1627418329116</v>
      </c>
      <c r="E666" s="169" t="str">
        <f t="shared" si="465"/>
        <v>1627418329116</v>
      </c>
      <c r="F666" s="169" t="s">
        <v>18811</v>
      </c>
      <c r="G666" s="169">
        <v>714.0</v>
      </c>
      <c r="H666" s="169">
        <v>6374.2</v>
      </c>
      <c r="I666" s="169">
        <v>4551147.0</v>
      </c>
      <c r="J666" s="169">
        <v>0.0</v>
      </c>
      <c r="K666" s="169">
        <v>714.0</v>
      </c>
      <c r="L666" s="169">
        <v>0.0</v>
      </c>
    </row>
    <row r="667" ht="14.25" customHeight="1">
      <c r="A667" s="169" t="s">
        <v>18714</v>
      </c>
      <c r="B667" s="169" t="s">
        <v>139</v>
      </c>
      <c r="C667" s="169" t="s">
        <v>16870</v>
      </c>
      <c r="D667" s="169" t="str">
        <f t="shared" ref="D667:E667" si="466">"67414809824183"</f>
        <v>67414809824183</v>
      </c>
      <c r="E667" s="169" t="str">
        <f t="shared" si="466"/>
        <v>67414809824183</v>
      </c>
      <c r="F667" s="169" t="s">
        <v>18811</v>
      </c>
      <c r="G667" s="169">
        <v>1.0</v>
      </c>
      <c r="H667" s="169">
        <v>13208.0</v>
      </c>
      <c r="I667" s="169">
        <v>13208.0</v>
      </c>
      <c r="J667" s="169">
        <v>0.0</v>
      </c>
      <c r="K667" s="169">
        <v>1.0</v>
      </c>
      <c r="L667" s="169">
        <v>0.0</v>
      </c>
    </row>
    <row r="668" ht="14.25" customHeight="1">
      <c r="A668" s="169" t="s">
        <v>18714</v>
      </c>
      <c r="B668" s="169" t="s">
        <v>139</v>
      </c>
      <c r="C668" s="169" t="s">
        <v>16868</v>
      </c>
      <c r="D668" s="169" t="str">
        <f t="shared" ref="D668:E668" si="467">"68433336255939"</f>
        <v>68433336255939</v>
      </c>
      <c r="E668" s="169" t="str">
        <f t="shared" si="467"/>
        <v>68433336255939</v>
      </c>
      <c r="F668" s="169" t="s">
        <v>18811</v>
      </c>
      <c r="G668" s="169">
        <v>1.0</v>
      </c>
      <c r="H668" s="169">
        <v>42300.0</v>
      </c>
      <c r="I668" s="169">
        <v>42300.0</v>
      </c>
      <c r="J668" s="169">
        <v>0.0</v>
      </c>
      <c r="K668" s="169">
        <v>1.0</v>
      </c>
      <c r="L668" s="169">
        <v>0.0</v>
      </c>
    </row>
    <row r="669" ht="14.25" customHeight="1">
      <c r="A669" s="169" t="s">
        <v>18714</v>
      </c>
      <c r="B669" s="169" t="s">
        <v>139</v>
      </c>
      <c r="C669" s="169" t="s">
        <v>16865</v>
      </c>
      <c r="D669" s="169" t="str">
        <f t="shared" ref="D669:E669" si="468">"68433337529096"</f>
        <v>68433337529096</v>
      </c>
      <c r="E669" s="169" t="str">
        <f t="shared" si="468"/>
        <v>68433337529096</v>
      </c>
      <c r="F669" s="169" t="s">
        <v>18811</v>
      </c>
      <c r="G669" s="169">
        <v>1.0</v>
      </c>
      <c r="H669" s="169">
        <v>52813.0</v>
      </c>
      <c r="I669" s="169">
        <v>52813.0</v>
      </c>
      <c r="J669" s="169">
        <v>0.0</v>
      </c>
      <c r="K669" s="169">
        <v>1.0</v>
      </c>
      <c r="L669" s="169">
        <v>0.0</v>
      </c>
    </row>
    <row r="670" ht="14.25" customHeight="1">
      <c r="A670" s="169" t="s">
        <v>18714</v>
      </c>
      <c r="B670" s="169" t="s">
        <v>139</v>
      </c>
      <c r="C670" s="169" t="s">
        <v>16863</v>
      </c>
      <c r="D670" s="169" t="str">
        <f>"0788070732532"</f>
        <v>0788070732532</v>
      </c>
      <c r="E670" s="169" t="str">
        <f>"1659999392257"</f>
        <v>1659999392257</v>
      </c>
      <c r="F670" s="169" t="s">
        <v>18811</v>
      </c>
      <c r="G670" s="169">
        <v>219.0</v>
      </c>
      <c r="H670" s="169">
        <v>3330.8</v>
      </c>
      <c r="I670" s="169">
        <v>729443.0</v>
      </c>
      <c r="J670" s="169">
        <v>2.0</v>
      </c>
      <c r="K670" s="169">
        <v>217.0</v>
      </c>
      <c r="L670" s="169">
        <v>0.0</v>
      </c>
    </row>
    <row r="671" ht="14.25" customHeight="1">
      <c r="A671" s="169" t="s">
        <v>18714</v>
      </c>
      <c r="B671" s="169" t="s">
        <v>139</v>
      </c>
      <c r="C671" s="169" t="s">
        <v>16861</v>
      </c>
      <c r="D671" s="169" t="str">
        <f>"0788070732549"</f>
        <v>0788070732549</v>
      </c>
      <c r="E671" s="169" t="str">
        <f>"1659999410637"</f>
        <v>1659999410637</v>
      </c>
      <c r="F671" s="169" t="s">
        <v>18811</v>
      </c>
      <c r="G671" s="169">
        <v>1030.0</v>
      </c>
      <c r="H671" s="169">
        <v>3559.5</v>
      </c>
      <c r="I671" s="169">
        <v>3666267.0</v>
      </c>
      <c r="J671" s="169">
        <v>1.0</v>
      </c>
      <c r="K671" s="169">
        <v>1029.0</v>
      </c>
      <c r="L671" s="169">
        <v>0.0</v>
      </c>
    </row>
    <row r="672" ht="14.25" customHeight="1">
      <c r="A672" s="169" t="s">
        <v>18714</v>
      </c>
      <c r="B672" s="169" t="s">
        <v>139</v>
      </c>
      <c r="C672" s="169" t="s">
        <v>181</v>
      </c>
      <c r="D672" s="169" t="str">
        <f>"0736372918772"</f>
        <v>0736372918772</v>
      </c>
      <c r="E672" s="169" t="str">
        <f>"LVMOMA-GR"</f>
        <v>LVMOMA-GR</v>
      </c>
      <c r="F672" s="169" t="s">
        <v>18811</v>
      </c>
      <c r="G672" s="169">
        <v>38.0</v>
      </c>
      <c r="H672" s="169">
        <v>7256.0</v>
      </c>
      <c r="I672" s="169">
        <v>275728.0</v>
      </c>
      <c r="J672" s="169">
        <v>1.0</v>
      </c>
      <c r="K672" s="169">
        <v>37.0</v>
      </c>
      <c r="L672" s="169">
        <v>0.0</v>
      </c>
    </row>
    <row r="673" ht="14.25" customHeight="1">
      <c r="A673" s="169" t="s">
        <v>18714</v>
      </c>
      <c r="B673" s="169" t="s">
        <v>139</v>
      </c>
      <c r="C673" s="169" t="s">
        <v>183</v>
      </c>
      <c r="D673" s="169" t="str">
        <f>"0736372918765"</f>
        <v>0736372918765</v>
      </c>
      <c r="E673" s="169" t="str">
        <f>"LVMOMA-BK"</f>
        <v>LVMOMA-BK</v>
      </c>
      <c r="F673" s="169" t="s">
        <v>18811</v>
      </c>
      <c r="G673" s="169">
        <v>44.0</v>
      </c>
      <c r="H673" s="169">
        <v>7256.0</v>
      </c>
      <c r="I673" s="169">
        <v>319264.0</v>
      </c>
      <c r="J673" s="169">
        <v>0.0</v>
      </c>
      <c r="K673" s="169">
        <v>44.0</v>
      </c>
      <c r="L673" s="169">
        <v>0.0</v>
      </c>
    </row>
    <row r="674" ht="14.25" customHeight="1">
      <c r="A674" s="169" t="s">
        <v>18714</v>
      </c>
      <c r="B674" s="169" t="s">
        <v>139</v>
      </c>
      <c r="C674" s="169" t="s">
        <v>185</v>
      </c>
      <c r="D674" s="169" t="str">
        <f>"0736372918789"</f>
        <v>0736372918789</v>
      </c>
      <c r="E674" s="169" t="str">
        <f>"LVMOWO-BK"</f>
        <v>LVMOWO-BK</v>
      </c>
      <c r="F674" s="169" t="s">
        <v>18811</v>
      </c>
      <c r="G674" s="169">
        <v>51.0</v>
      </c>
      <c r="H674" s="169">
        <v>7438.0</v>
      </c>
      <c r="I674" s="169">
        <v>379338.0</v>
      </c>
      <c r="J674" s="169">
        <v>0.0</v>
      </c>
      <c r="K674" s="169">
        <v>51.0</v>
      </c>
      <c r="L674" s="169">
        <v>0.0</v>
      </c>
    </row>
    <row r="675" ht="14.25" customHeight="1">
      <c r="A675" s="169" t="s">
        <v>18714</v>
      </c>
      <c r="B675" s="169" t="s">
        <v>139</v>
      </c>
      <c r="C675" s="169" t="s">
        <v>204</v>
      </c>
      <c r="D675" s="169" t="str">
        <f>"0788070732365"</f>
        <v>0788070732365</v>
      </c>
      <c r="E675" s="169" t="str">
        <f>"1659971347046"</f>
        <v>1659971347046</v>
      </c>
      <c r="F675" s="169" t="s">
        <v>18811</v>
      </c>
      <c r="G675" s="169">
        <v>939.0</v>
      </c>
      <c r="H675" s="169">
        <v>2801.9</v>
      </c>
      <c r="I675" s="169">
        <v>2630962.0</v>
      </c>
      <c r="J675" s="169">
        <v>0.0</v>
      </c>
      <c r="K675" s="169">
        <v>939.0</v>
      </c>
      <c r="L675" s="169">
        <v>0.0</v>
      </c>
    </row>
    <row r="676" ht="14.25" customHeight="1">
      <c r="A676" s="169" t="s">
        <v>18714</v>
      </c>
      <c r="B676" s="169" t="s">
        <v>139</v>
      </c>
      <c r="C676" s="169" t="s">
        <v>255</v>
      </c>
      <c r="D676" s="169" t="str">
        <f t="shared" ref="D676:E676" si="469">"1543406075297"</f>
        <v>1543406075297</v>
      </c>
      <c r="E676" s="169" t="str">
        <f t="shared" si="469"/>
        <v>1543406075297</v>
      </c>
      <c r="F676" s="169" t="s">
        <v>18811</v>
      </c>
      <c r="G676" s="169">
        <v>841.0</v>
      </c>
      <c r="H676" s="169">
        <v>3641.1</v>
      </c>
      <c r="I676" s="169">
        <v>3062126.0</v>
      </c>
      <c r="J676" s="169">
        <v>0.0</v>
      </c>
      <c r="K676" s="169">
        <v>841.0</v>
      </c>
      <c r="L676" s="169">
        <v>0.0</v>
      </c>
    </row>
    <row r="677" ht="14.25" customHeight="1">
      <c r="A677" s="169" t="s">
        <v>18714</v>
      </c>
      <c r="B677" s="169" t="s">
        <v>139</v>
      </c>
      <c r="C677" s="169" t="s">
        <v>256</v>
      </c>
      <c r="D677" s="169" t="str">
        <f t="shared" ref="D677:E677" si="470">"1538141129434"</f>
        <v>1538141129434</v>
      </c>
      <c r="E677" s="169" t="str">
        <f t="shared" si="470"/>
        <v>1538141129434</v>
      </c>
      <c r="F677" s="169" t="s">
        <v>18811</v>
      </c>
      <c r="G677" s="169">
        <v>833.0</v>
      </c>
      <c r="H677" s="169">
        <v>3648.9</v>
      </c>
      <c r="I677" s="169">
        <v>3039560.0</v>
      </c>
      <c r="J677" s="169">
        <v>0.0</v>
      </c>
      <c r="K677" s="169">
        <v>833.0</v>
      </c>
      <c r="L677" s="169">
        <v>0.0</v>
      </c>
    </row>
    <row r="678" ht="14.25" customHeight="1">
      <c r="A678" s="169" t="s">
        <v>18714</v>
      </c>
      <c r="B678" s="169" t="s">
        <v>139</v>
      </c>
      <c r="C678" s="169" t="s">
        <v>215</v>
      </c>
      <c r="D678" s="169" t="str">
        <f>"0736372920133"</f>
        <v>0736372920133</v>
      </c>
      <c r="E678" s="169" t="str">
        <f>"LVCONSW-BK"</f>
        <v>LVCONSW-BK</v>
      </c>
      <c r="F678" s="169" t="s">
        <v>18811</v>
      </c>
      <c r="G678" s="169">
        <v>95.0</v>
      </c>
      <c r="H678" s="169">
        <v>11381.0</v>
      </c>
      <c r="I678" s="169">
        <v>1081195.0</v>
      </c>
      <c r="J678" s="169">
        <v>0.0</v>
      </c>
      <c r="K678" s="169">
        <v>95.0</v>
      </c>
      <c r="L678" s="169">
        <v>0.0</v>
      </c>
    </row>
    <row r="679" ht="14.25" customHeight="1">
      <c r="A679" s="169" t="s">
        <v>18714</v>
      </c>
      <c r="B679" s="169" t="s">
        <v>139</v>
      </c>
      <c r="C679" s="169" t="s">
        <v>217</v>
      </c>
      <c r="D679" s="169" t="str">
        <f>"0788070732327"</f>
        <v>0788070732327</v>
      </c>
      <c r="E679" s="169" t="str">
        <f>"1659990788079"</f>
        <v>1659990788079</v>
      </c>
      <c r="F679" s="169" t="s">
        <v>18811</v>
      </c>
      <c r="G679" s="169">
        <v>258.0</v>
      </c>
      <c r="H679" s="169">
        <v>10434.0</v>
      </c>
      <c r="I679" s="169">
        <v>2691966.0</v>
      </c>
      <c r="J679" s="169">
        <v>1.0</v>
      </c>
      <c r="K679" s="169">
        <v>257.0</v>
      </c>
      <c r="L679" s="169">
        <v>0.0</v>
      </c>
    </row>
    <row r="680" ht="14.25" customHeight="1">
      <c r="A680" s="169" t="s">
        <v>18714</v>
      </c>
      <c r="B680" s="169" t="s">
        <v>139</v>
      </c>
      <c r="C680" s="169" t="s">
        <v>16855</v>
      </c>
      <c r="D680" s="169" t="str">
        <f>"0788070729327"</f>
        <v>0788070729327</v>
      </c>
      <c r="E680" s="169" t="str">
        <f>"1634567034010"</f>
        <v>1634567034010</v>
      </c>
      <c r="F680" s="169" t="s">
        <v>18811</v>
      </c>
      <c r="G680" s="169">
        <v>693.0</v>
      </c>
      <c r="H680" s="169">
        <v>59714.6</v>
      </c>
      <c r="I680" s="169">
        <v>4.1382225E7</v>
      </c>
      <c r="J680" s="169">
        <v>2.0</v>
      </c>
      <c r="K680" s="169">
        <v>691.0</v>
      </c>
      <c r="L680" s="169">
        <v>0.0</v>
      </c>
    </row>
    <row r="681" ht="14.25" customHeight="1">
      <c r="A681" s="169" t="s">
        <v>18714</v>
      </c>
      <c r="B681" s="169" t="s">
        <v>139</v>
      </c>
      <c r="C681" s="169" t="s">
        <v>268</v>
      </c>
      <c r="D681" s="169" t="str">
        <f>"0788070732266"</f>
        <v>0788070732266</v>
      </c>
      <c r="E681" s="169" t="str">
        <f>"1658330420825"</f>
        <v>1658330420825</v>
      </c>
      <c r="F681" s="169" t="s">
        <v>18811</v>
      </c>
      <c r="G681" s="169">
        <v>43.0</v>
      </c>
      <c r="H681" s="169">
        <v>57708.4</v>
      </c>
      <c r="I681" s="169">
        <v>2481462.0</v>
      </c>
      <c r="J681" s="169">
        <v>0.0</v>
      </c>
      <c r="K681" s="169">
        <v>43.0</v>
      </c>
      <c r="L681" s="169">
        <v>0.0</v>
      </c>
    </row>
    <row r="682" ht="14.25" customHeight="1">
      <c r="A682" s="169" t="s">
        <v>18714</v>
      </c>
      <c r="B682" s="169" t="s">
        <v>139</v>
      </c>
      <c r="C682" s="169" t="s">
        <v>16852</v>
      </c>
      <c r="D682" s="169" t="str">
        <f>"0788070729204"</f>
        <v>0788070729204</v>
      </c>
      <c r="E682" s="169" t="str">
        <f>"1630370852776"</f>
        <v>1630370852776</v>
      </c>
      <c r="F682" s="169" t="s">
        <v>18811</v>
      </c>
      <c r="G682" s="169">
        <v>188.0</v>
      </c>
      <c r="H682" s="169">
        <v>38595.0</v>
      </c>
      <c r="I682" s="169">
        <v>7255853.0</v>
      </c>
      <c r="J682" s="169">
        <v>3.0</v>
      </c>
      <c r="K682" s="169">
        <v>185.0</v>
      </c>
      <c r="L682" s="169">
        <v>0.0</v>
      </c>
    </row>
    <row r="683" ht="14.25" customHeight="1">
      <c r="A683" s="169" t="s">
        <v>18714</v>
      </c>
      <c r="B683" s="169" t="s">
        <v>139</v>
      </c>
      <c r="C683" s="169" t="s">
        <v>16849</v>
      </c>
      <c r="D683" s="169" t="str">
        <f>"0788070732310"</f>
        <v>0788070732310</v>
      </c>
      <c r="E683" s="169" t="str">
        <f>"1658330471799"</f>
        <v>1658330471799</v>
      </c>
      <c r="F683" s="169" t="s">
        <v>18811</v>
      </c>
      <c r="G683" s="169">
        <v>349.0</v>
      </c>
      <c r="H683" s="169">
        <v>100498.7</v>
      </c>
      <c r="I683" s="169">
        <v>3.5074058E7</v>
      </c>
      <c r="J683" s="169">
        <v>2.0</v>
      </c>
      <c r="K683" s="169">
        <v>347.0</v>
      </c>
      <c r="L683" s="169">
        <v>0.0</v>
      </c>
    </row>
    <row r="684" ht="14.25" customHeight="1">
      <c r="A684" s="169" t="s">
        <v>18714</v>
      </c>
      <c r="B684" s="169" t="s">
        <v>139</v>
      </c>
      <c r="C684" s="169" t="s">
        <v>226</v>
      </c>
      <c r="D684" s="169" t="str">
        <f>"0788070733423"</f>
        <v>0788070733423</v>
      </c>
      <c r="E684" s="169" t="str">
        <f>"67898087132855"</f>
        <v>67898087132855</v>
      </c>
      <c r="F684" s="169" t="s">
        <v>18811</v>
      </c>
      <c r="G684" s="169">
        <v>439.0</v>
      </c>
      <c r="H684" s="169">
        <v>36071.6</v>
      </c>
      <c r="I684" s="169">
        <v>1.5835413E7</v>
      </c>
      <c r="J684" s="169">
        <v>0.0</v>
      </c>
      <c r="K684" s="169">
        <v>439.0</v>
      </c>
      <c r="L684" s="169">
        <v>0.0</v>
      </c>
    </row>
    <row r="685" ht="14.25" customHeight="1">
      <c r="A685" s="169" t="s">
        <v>18714</v>
      </c>
      <c r="B685" s="169" t="s">
        <v>139</v>
      </c>
      <c r="C685" s="169" t="s">
        <v>229</v>
      </c>
      <c r="D685" s="169" t="str">
        <f>"0788070729211"</f>
        <v>0788070729211</v>
      </c>
      <c r="E685" s="169" t="str">
        <f>"1630370579400"</f>
        <v>1630370579400</v>
      </c>
      <c r="F685" s="169" t="s">
        <v>18811</v>
      </c>
      <c r="G685" s="169">
        <v>4.0</v>
      </c>
      <c r="H685" s="169">
        <v>48846.5</v>
      </c>
      <c r="I685" s="169">
        <v>195386.0</v>
      </c>
      <c r="J685" s="169">
        <v>0.0</v>
      </c>
      <c r="K685" s="169">
        <v>4.0</v>
      </c>
      <c r="L685" s="169">
        <v>0.0</v>
      </c>
    </row>
    <row r="686" ht="14.25" customHeight="1">
      <c r="A686" s="169" t="s">
        <v>18714</v>
      </c>
      <c r="B686" s="169" t="s">
        <v>139</v>
      </c>
      <c r="C686" s="169" t="s">
        <v>149</v>
      </c>
      <c r="D686" s="169" t="str">
        <f>"0788070731702"</f>
        <v>0788070731702</v>
      </c>
      <c r="E686" s="169" t="str">
        <f>"1650299083874"</f>
        <v>1650299083874</v>
      </c>
      <c r="F686" s="169" t="s">
        <v>18811</v>
      </c>
      <c r="G686" s="169">
        <v>320.0</v>
      </c>
      <c r="H686" s="169">
        <v>5772.8</v>
      </c>
      <c r="I686" s="169">
        <v>1847297.0</v>
      </c>
      <c r="J686" s="169">
        <v>0.0</v>
      </c>
      <c r="K686" s="169">
        <v>320.0</v>
      </c>
      <c r="L686" s="169">
        <v>0.0</v>
      </c>
    </row>
    <row r="687" ht="14.25" customHeight="1">
      <c r="A687" s="169" t="s">
        <v>18714</v>
      </c>
      <c r="B687" s="169" t="s">
        <v>139</v>
      </c>
      <c r="C687" s="169" t="s">
        <v>150</v>
      </c>
      <c r="D687" s="169" t="str">
        <f>"0788070731719"</f>
        <v>0788070731719</v>
      </c>
      <c r="E687" s="169" t="str">
        <f>"1652825203439"</f>
        <v>1652825203439</v>
      </c>
      <c r="F687" s="169" t="s">
        <v>18811</v>
      </c>
      <c r="G687" s="169">
        <v>391.0</v>
      </c>
      <c r="H687" s="169">
        <v>5979.9</v>
      </c>
      <c r="I687" s="169">
        <v>2338128.0</v>
      </c>
      <c r="J687" s="169">
        <v>1.0</v>
      </c>
      <c r="K687" s="169">
        <v>390.0</v>
      </c>
      <c r="L687" s="169">
        <v>0.0</v>
      </c>
    </row>
    <row r="688" ht="14.25" customHeight="1">
      <c r="A688" s="169" t="s">
        <v>18714</v>
      </c>
      <c r="B688" s="169" t="s">
        <v>139</v>
      </c>
      <c r="C688" s="169" t="s">
        <v>209</v>
      </c>
      <c r="D688" s="169" t="str">
        <f>"0788070732419"</f>
        <v>0788070732419</v>
      </c>
      <c r="E688" s="169" t="str">
        <f>"1659990725288"</f>
        <v>1659990725288</v>
      </c>
      <c r="F688" s="169" t="s">
        <v>18811</v>
      </c>
      <c r="G688" s="169">
        <v>394.0</v>
      </c>
      <c r="H688" s="169">
        <v>9787.2</v>
      </c>
      <c r="I688" s="169">
        <v>3856169.0</v>
      </c>
      <c r="J688" s="169">
        <v>0.0</v>
      </c>
      <c r="K688" s="169">
        <v>394.0</v>
      </c>
      <c r="L688" s="169">
        <v>0.0</v>
      </c>
    </row>
    <row r="689" ht="14.25" customHeight="1">
      <c r="A689" s="169" t="s">
        <v>18714</v>
      </c>
      <c r="B689" s="169" t="s">
        <v>139</v>
      </c>
      <c r="C689" s="169" t="s">
        <v>285</v>
      </c>
      <c r="D689" s="169" t="str">
        <f>"0788070732495"</f>
        <v>0788070732495</v>
      </c>
      <c r="E689" s="169" t="str">
        <f>"1659991971809"</f>
        <v>1659991971809</v>
      </c>
      <c r="F689" s="169" t="s">
        <v>18811</v>
      </c>
      <c r="G689" s="169">
        <v>860.0</v>
      </c>
      <c r="H689" s="169">
        <v>25010.5</v>
      </c>
      <c r="I689" s="169">
        <v>2.1509025E7</v>
      </c>
      <c r="J689" s="169">
        <v>4.0</v>
      </c>
      <c r="K689" s="169">
        <v>856.0</v>
      </c>
      <c r="L689" s="169">
        <v>0.0</v>
      </c>
    </row>
    <row r="690" ht="14.25" customHeight="1">
      <c r="A690" s="169" t="s">
        <v>18714</v>
      </c>
      <c r="B690" s="169" t="s">
        <v>139</v>
      </c>
      <c r="C690" s="169" t="s">
        <v>288</v>
      </c>
      <c r="D690" s="169" t="str">
        <f>"0788070732501"</f>
        <v>0788070732501</v>
      </c>
      <c r="E690" s="169" t="str">
        <f>"1659991999728"</f>
        <v>1659991999728</v>
      </c>
      <c r="F690" s="169" t="s">
        <v>18811</v>
      </c>
      <c r="G690" s="169">
        <v>518.0</v>
      </c>
      <c r="H690" s="169">
        <v>13760.0</v>
      </c>
      <c r="I690" s="169">
        <v>7127661.0</v>
      </c>
      <c r="J690" s="169">
        <v>0.0</v>
      </c>
      <c r="K690" s="169">
        <v>518.0</v>
      </c>
      <c r="L690" s="169">
        <v>0.0</v>
      </c>
    </row>
    <row r="691" ht="14.25" customHeight="1">
      <c r="A691" s="169" t="s">
        <v>18714</v>
      </c>
      <c r="B691" s="169" t="s">
        <v>139</v>
      </c>
      <c r="C691" s="169" t="s">
        <v>291</v>
      </c>
      <c r="D691" s="169" t="str">
        <f>"0736372918826"</f>
        <v>0736372918826</v>
      </c>
      <c r="E691" s="169" t="str">
        <f>"LVTEL-80"</f>
        <v>LVTEL-80</v>
      </c>
      <c r="F691" s="169" t="s">
        <v>18811</v>
      </c>
      <c r="G691" s="169">
        <v>250.0</v>
      </c>
      <c r="H691" s="169">
        <v>21238.0</v>
      </c>
      <c r="I691" s="169">
        <v>5309497.0</v>
      </c>
      <c r="J691" s="169">
        <v>3.0</v>
      </c>
      <c r="K691" s="169">
        <v>247.0</v>
      </c>
      <c r="L691" s="169">
        <v>0.0</v>
      </c>
    </row>
    <row r="692" ht="14.25" customHeight="1">
      <c r="A692" s="169" t="s">
        <v>18714</v>
      </c>
      <c r="B692" s="169" t="s">
        <v>139</v>
      </c>
      <c r="C692" s="169" t="s">
        <v>211</v>
      </c>
      <c r="D692" s="169" t="str">
        <f>"0788070732440"</f>
        <v>0788070732440</v>
      </c>
      <c r="E692" s="169" t="str">
        <f>"1658329968514"</f>
        <v>1658329968514</v>
      </c>
      <c r="F692" s="169" t="s">
        <v>18811</v>
      </c>
      <c r="G692" s="169">
        <v>402.0</v>
      </c>
      <c r="H692" s="169">
        <v>6512.2</v>
      </c>
      <c r="I692" s="169">
        <v>2617888.0</v>
      </c>
      <c r="J692" s="169">
        <v>0.0</v>
      </c>
      <c r="K692" s="169">
        <v>402.0</v>
      </c>
      <c r="L692" s="169">
        <v>2.0</v>
      </c>
    </row>
    <row r="693" ht="14.25" customHeight="1">
      <c r="A693" s="169" t="s">
        <v>18714</v>
      </c>
      <c r="B693" s="169" t="s">
        <v>139</v>
      </c>
      <c r="C693" s="169" t="s">
        <v>11712</v>
      </c>
      <c r="D693" s="169" t="str">
        <f t="shared" ref="D693:E693" si="471">"1598650124917"</f>
        <v>1598650124917</v>
      </c>
      <c r="E693" s="169" t="str">
        <f t="shared" si="471"/>
        <v>1598650124917</v>
      </c>
      <c r="F693" s="169" t="s">
        <v>18811</v>
      </c>
      <c r="G693" s="169">
        <v>5.0</v>
      </c>
      <c r="H693" s="169">
        <v>11078.1</v>
      </c>
      <c r="I693" s="169">
        <v>55390.0</v>
      </c>
      <c r="J693" s="169">
        <v>0.0</v>
      </c>
      <c r="K693" s="169">
        <v>5.0</v>
      </c>
      <c r="L693" s="169">
        <v>0.0</v>
      </c>
    </row>
    <row r="694" ht="14.25" customHeight="1">
      <c r="A694" s="169" t="s">
        <v>18714</v>
      </c>
      <c r="B694" s="169" t="s">
        <v>11471</v>
      </c>
      <c r="C694" s="169" t="s">
        <v>16733</v>
      </c>
      <c r="D694" s="169" t="str">
        <f>"1630371207741"</f>
        <v>1630371207741</v>
      </c>
      <c r="E694" s="169" t="str">
        <f>"1630371207740"</f>
        <v>1630371207740</v>
      </c>
      <c r="F694" s="169" t="s">
        <v>18811</v>
      </c>
      <c r="G694" s="169">
        <v>1.0</v>
      </c>
      <c r="H694" s="169">
        <v>226604.0</v>
      </c>
      <c r="I694" s="169">
        <v>226604.0</v>
      </c>
      <c r="J694" s="169">
        <v>0.0</v>
      </c>
      <c r="K694" s="169">
        <v>1.0</v>
      </c>
      <c r="L694" s="169">
        <v>0.0</v>
      </c>
    </row>
    <row r="695" ht="14.25" customHeight="1">
      <c r="A695" s="169" t="s">
        <v>18714</v>
      </c>
      <c r="B695" s="169" t="s">
        <v>11471</v>
      </c>
      <c r="C695" s="169" t="s">
        <v>16731</v>
      </c>
      <c r="D695" s="169" t="str">
        <f t="shared" ref="D695:E695" si="472">"1628801818864"</f>
        <v>1628801818864</v>
      </c>
      <c r="E695" s="169" t="str">
        <f t="shared" si="472"/>
        <v>1628801818864</v>
      </c>
      <c r="F695" s="169" t="s">
        <v>18811</v>
      </c>
      <c r="G695" s="169">
        <v>2.0</v>
      </c>
      <c r="H695" s="169">
        <v>4000.0</v>
      </c>
      <c r="I695" s="169">
        <v>8000.0</v>
      </c>
      <c r="J695" s="169">
        <v>0.0</v>
      </c>
      <c r="K695" s="169">
        <v>2.0</v>
      </c>
      <c r="L695" s="169">
        <v>0.0</v>
      </c>
    </row>
    <row r="696" ht="14.25" customHeight="1">
      <c r="A696" s="169" t="s">
        <v>18714</v>
      </c>
      <c r="B696" s="169" t="s">
        <v>11471</v>
      </c>
      <c r="C696" s="169" t="s">
        <v>16729</v>
      </c>
      <c r="D696" s="169" t="str">
        <f>"1621436109438"</f>
        <v>1621436109438</v>
      </c>
      <c r="E696" s="169" t="str">
        <f>"1621436109437"</f>
        <v>1621436109437</v>
      </c>
      <c r="F696" s="169" t="s">
        <v>18811</v>
      </c>
      <c r="G696" s="169">
        <v>3.0</v>
      </c>
      <c r="H696" s="169">
        <v>8560.0</v>
      </c>
      <c r="I696" s="169">
        <v>25680.0</v>
      </c>
      <c r="J696" s="169">
        <v>0.0</v>
      </c>
      <c r="K696" s="169">
        <v>3.0</v>
      </c>
      <c r="L696" s="169">
        <v>0.0</v>
      </c>
    </row>
    <row r="697" ht="14.25" customHeight="1">
      <c r="A697" s="169" t="s">
        <v>18714</v>
      </c>
      <c r="B697" s="169" t="s">
        <v>11471</v>
      </c>
      <c r="C697" s="169" t="s">
        <v>16727</v>
      </c>
      <c r="D697" s="169" t="str">
        <f t="shared" ref="D697:E697" si="473">"1650478034510"</f>
        <v>1650478034510</v>
      </c>
      <c r="E697" s="169" t="str">
        <f t="shared" si="473"/>
        <v>1650478034510</v>
      </c>
      <c r="F697" s="169" t="s">
        <v>18811</v>
      </c>
      <c r="G697" s="169">
        <v>1.0</v>
      </c>
      <c r="H697" s="169">
        <v>5824.0</v>
      </c>
      <c r="I697" s="169">
        <v>5824.0</v>
      </c>
      <c r="J697" s="169">
        <v>0.0</v>
      </c>
      <c r="K697" s="169">
        <v>1.0</v>
      </c>
      <c r="L697" s="169">
        <v>0.0</v>
      </c>
    </row>
    <row r="698" ht="14.25" customHeight="1">
      <c r="A698" s="169" t="s">
        <v>18714</v>
      </c>
      <c r="B698" s="169" t="s">
        <v>11471</v>
      </c>
      <c r="C698" s="169" t="s">
        <v>16725</v>
      </c>
      <c r="D698" s="169" t="str">
        <f t="shared" ref="D698:E698" si="474">"1650478008436"</f>
        <v>1650478008436</v>
      </c>
      <c r="E698" s="169" t="str">
        <f t="shared" si="474"/>
        <v>1650478008436</v>
      </c>
      <c r="F698" s="169" t="s">
        <v>18811</v>
      </c>
      <c r="G698" s="169">
        <v>1.0</v>
      </c>
      <c r="H698" s="169">
        <v>6035.0</v>
      </c>
      <c r="I698" s="169">
        <v>6035.0</v>
      </c>
      <c r="J698" s="169">
        <v>0.0</v>
      </c>
      <c r="K698" s="169">
        <v>1.0</v>
      </c>
      <c r="L698" s="169">
        <v>0.0</v>
      </c>
    </row>
    <row r="699" ht="14.25" customHeight="1">
      <c r="A699" s="169" t="s">
        <v>18714</v>
      </c>
      <c r="B699" s="169" t="s">
        <v>11471</v>
      </c>
      <c r="C699" s="169" t="s">
        <v>16723</v>
      </c>
      <c r="D699" s="169" t="str">
        <f t="shared" ref="D699:E699" si="475">"1650478021227"</f>
        <v>1650478021227</v>
      </c>
      <c r="E699" s="169" t="str">
        <f t="shared" si="475"/>
        <v>1650478021227</v>
      </c>
      <c r="F699" s="169" t="s">
        <v>18811</v>
      </c>
      <c r="G699" s="169">
        <v>1.0</v>
      </c>
      <c r="H699" s="169">
        <v>27107.0</v>
      </c>
      <c r="I699" s="169">
        <v>27107.0</v>
      </c>
      <c r="J699" s="169">
        <v>0.0</v>
      </c>
      <c r="K699" s="169">
        <v>1.0</v>
      </c>
      <c r="L699" s="169">
        <v>0.0</v>
      </c>
    </row>
    <row r="700" ht="14.25" customHeight="1">
      <c r="A700" s="169" t="s">
        <v>18714</v>
      </c>
      <c r="B700" s="169" t="s">
        <v>11471</v>
      </c>
      <c r="C700" s="169" t="s">
        <v>458</v>
      </c>
      <c r="D700" s="169" t="str">
        <f t="shared" ref="D700:E700" si="476">"1564150627423"</f>
        <v>1564150627423</v>
      </c>
      <c r="E700" s="169" t="str">
        <f t="shared" si="476"/>
        <v>1564150627423</v>
      </c>
      <c r="F700" s="169" t="s">
        <v>18811</v>
      </c>
      <c r="G700" s="169">
        <v>7199.0</v>
      </c>
      <c r="H700" s="169">
        <v>3214.1</v>
      </c>
      <c r="I700" s="169">
        <v>2.3138097E7</v>
      </c>
      <c r="J700" s="169">
        <v>0.0</v>
      </c>
      <c r="K700" s="169">
        <v>7199.0</v>
      </c>
      <c r="L700" s="169">
        <v>0.0</v>
      </c>
    </row>
    <row r="701" ht="14.25" customHeight="1">
      <c r="A701" s="169" t="s">
        <v>18714</v>
      </c>
      <c r="B701" s="169" t="s">
        <v>11471</v>
      </c>
      <c r="C701" s="169" t="s">
        <v>459</v>
      </c>
      <c r="D701" s="169" t="str">
        <f t="shared" ref="D701:E701" si="477">"1566335721736"</f>
        <v>1566335721736</v>
      </c>
      <c r="E701" s="169" t="str">
        <f t="shared" si="477"/>
        <v>1566335721736</v>
      </c>
      <c r="F701" s="169" t="s">
        <v>18811</v>
      </c>
      <c r="G701" s="169">
        <v>5329.0</v>
      </c>
      <c r="H701" s="169">
        <v>2919.7</v>
      </c>
      <c r="I701" s="169">
        <v>1.5559248E7</v>
      </c>
      <c r="J701" s="169">
        <v>1.0</v>
      </c>
      <c r="K701" s="169">
        <v>5328.0</v>
      </c>
      <c r="L701" s="169">
        <v>0.0</v>
      </c>
    </row>
    <row r="702" ht="14.25" customHeight="1">
      <c r="A702" s="169" t="s">
        <v>18714</v>
      </c>
      <c r="B702" s="169" t="s">
        <v>11471</v>
      </c>
      <c r="C702" s="169" t="s">
        <v>460</v>
      </c>
      <c r="D702" s="169" t="str">
        <f t="shared" ref="D702:E702" si="478">"1564150661249"</f>
        <v>1564150661249</v>
      </c>
      <c r="E702" s="169" t="str">
        <f t="shared" si="478"/>
        <v>1564150661249</v>
      </c>
      <c r="F702" s="169" t="s">
        <v>18811</v>
      </c>
      <c r="G702" s="169">
        <v>11443.0</v>
      </c>
      <c r="H702" s="169">
        <v>3054.2</v>
      </c>
      <c r="I702" s="169">
        <v>3.4948666E7</v>
      </c>
      <c r="J702" s="169">
        <v>0.0</v>
      </c>
      <c r="K702" s="169">
        <v>11443.0</v>
      </c>
      <c r="L702" s="169">
        <v>0.0</v>
      </c>
    </row>
    <row r="703" ht="14.25" customHeight="1">
      <c r="A703" s="169" t="s">
        <v>18714</v>
      </c>
      <c r="B703" s="169" t="s">
        <v>11471</v>
      </c>
      <c r="C703" s="169" t="s">
        <v>461</v>
      </c>
      <c r="D703" s="169" t="str">
        <f t="shared" ref="D703:E703" si="479">"1592492799236"</f>
        <v>1592492799236</v>
      </c>
      <c r="E703" s="169" t="str">
        <f t="shared" si="479"/>
        <v>1592492799236</v>
      </c>
      <c r="F703" s="169" t="s">
        <v>18811</v>
      </c>
      <c r="G703" s="169">
        <v>4971.0</v>
      </c>
      <c r="H703" s="169">
        <v>3001.1</v>
      </c>
      <c r="I703" s="169">
        <v>1.4918317E7</v>
      </c>
      <c r="J703" s="169">
        <v>0.0</v>
      </c>
      <c r="K703" s="169">
        <v>4971.0</v>
      </c>
      <c r="L703" s="169">
        <v>0.0</v>
      </c>
    </row>
    <row r="704" ht="14.25" customHeight="1">
      <c r="A704" s="169" t="s">
        <v>18714</v>
      </c>
      <c r="B704" s="169" t="s">
        <v>11471</v>
      </c>
      <c r="C704" s="169" t="s">
        <v>462</v>
      </c>
      <c r="D704" s="169" t="str">
        <f t="shared" ref="D704:E704" si="480">"1597086499840"</f>
        <v>1597086499840</v>
      </c>
      <c r="E704" s="169" t="str">
        <f t="shared" si="480"/>
        <v>1597086499840</v>
      </c>
      <c r="F704" s="169" t="s">
        <v>18811</v>
      </c>
      <c r="G704" s="169">
        <v>1539.0</v>
      </c>
      <c r="H704" s="169">
        <v>5529.7</v>
      </c>
      <c r="I704" s="169">
        <v>8510225.0</v>
      </c>
      <c r="J704" s="169">
        <v>5.0</v>
      </c>
      <c r="K704" s="169">
        <v>1534.0</v>
      </c>
      <c r="L704" s="169">
        <v>0.0</v>
      </c>
    </row>
    <row r="705" ht="14.25" customHeight="1">
      <c r="A705" s="169" t="s">
        <v>18714</v>
      </c>
      <c r="B705" s="169" t="s">
        <v>11471</v>
      </c>
      <c r="C705" s="169" t="s">
        <v>463</v>
      </c>
      <c r="D705" s="169" t="str">
        <f t="shared" ref="D705:E705" si="481">"1597098592591"</f>
        <v>1597098592591</v>
      </c>
      <c r="E705" s="169" t="str">
        <f t="shared" si="481"/>
        <v>1597098592591</v>
      </c>
      <c r="F705" s="169" t="s">
        <v>18811</v>
      </c>
      <c r="G705" s="169">
        <v>1368.0</v>
      </c>
      <c r="H705" s="169">
        <v>6248.4</v>
      </c>
      <c r="I705" s="169">
        <v>8547854.0</v>
      </c>
      <c r="J705" s="169">
        <v>2.0</v>
      </c>
      <c r="K705" s="169">
        <v>1366.0</v>
      </c>
      <c r="L705" s="169">
        <v>0.0</v>
      </c>
    </row>
    <row r="706" ht="14.25" customHeight="1">
      <c r="A706" s="169" t="s">
        <v>18714</v>
      </c>
      <c r="B706" s="169" t="s">
        <v>11471</v>
      </c>
      <c r="C706" s="169" t="s">
        <v>16715</v>
      </c>
      <c r="D706" s="169" t="str">
        <f>"0788070733461"</f>
        <v>0788070733461</v>
      </c>
      <c r="E706" s="169" t="str">
        <f>"67898499812968"</f>
        <v>67898499812968</v>
      </c>
      <c r="F706" s="169" t="s">
        <v>18811</v>
      </c>
      <c r="G706" s="169">
        <v>2.0</v>
      </c>
      <c r="H706" s="169">
        <v>4096.0</v>
      </c>
      <c r="I706" s="169">
        <v>8192.0</v>
      </c>
      <c r="J706" s="169">
        <v>0.0</v>
      </c>
      <c r="K706" s="169">
        <v>2.0</v>
      </c>
      <c r="L706" s="169">
        <v>0.0</v>
      </c>
    </row>
    <row r="707" ht="14.25" customHeight="1">
      <c r="A707" s="169" t="s">
        <v>18714</v>
      </c>
      <c r="B707" s="169" t="s">
        <v>11471</v>
      </c>
      <c r="C707" s="169" t="s">
        <v>464</v>
      </c>
      <c r="D707" s="169" t="str">
        <f t="shared" ref="D707:E707" si="482">"1537889368850"</f>
        <v>1537889368850</v>
      </c>
      <c r="E707" s="169" t="str">
        <f t="shared" si="482"/>
        <v>1537889368850</v>
      </c>
      <c r="F707" s="169" t="s">
        <v>18811</v>
      </c>
      <c r="G707" s="169">
        <v>390.0</v>
      </c>
      <c r="H707" s="169">
        <v>4354.8</v>
      </c>
      <c r="I707" s="169">
        <v>1698389.0</v>
      </c>
      <c r="J707" s="169">
        <v>2.0</v>
      </c>
      <c r="K707" s="169">
        <v>388.0</v>
      </c>
      <c r="L707" s="169">
        <v>0.0</v>
      </c>
    </row>
    <row r="708" ht="14.25" customHeight="1">
      <c r="A708" s="169" t="s">
        <v>18714</v>
      </c>
      <c r="B708" s="169" t="s">
        <v>11471</v>
      </c>
      <c r="C708" s="169" t="s">
        <v>16712</v>
      </c>
      <c r="D708" s="169" t="str">
        <f t="shared" ref="D708:E708" si="483">"1637682789024"</f>
        <v>1637682789024</v>
      </c>
      <c r="E708" s="169" t="str">
        <f t="shared" si="483"/>
        <v>1637682789024</v>
      </c>
      <c r="F708" s="169" t="s">
        <v>18811</v>
      </c>
      <c r="G708" s="169">
        <v>1.0</v>
      </c>
      <c r="H708" s="169">
        <v>4577.0</v>
      </c>
      <c r="I708" s="169">
        <v>4577.0</v>
      </c>
      <c r="J708" s="169">
        <v>0.0</v>
      </c>
      <c r="K708" s="169">
        <v>1.0</v>
      </c>
      <c r="L708" s="169">
        <v>0.0</v>
      </c>
    </row>
    <row r="709" ht="14.25" customHeight="1">
      <c r="A709" s="169" t="s">
        <v>18714</v>
      </c>
      <c r="B709" s="169" t="s">
        <v>11471</v>
      </c>
      <c r="C709" s="169" t="s">
        <v>16710</v>
      </c>
      <c r="D709" s="169" t="str">
        <f>"1650478333612"</f>
        <v>1650478333612</v>
      </c>
      <c r="E709" s="169" t="str">
        <f>"1650478333611"</f>
        <v>1650478333611</v>
      </c>
      <c r="F709" s="169" t="s">
        <v>18811</v>
      </c>
      <c r="G709" s="169">
        <v>1.0</v>
      </c>
      <c r="H709" s="169">
        <v>5824.0</v>
      </c>
      <c r="I709" s="169">
        <v>5824.0</v>
      </c>
      <c r="J709" s="169">
        <v>0.0</v>
      </c>
      <c r="K709" s="169">
        <v>1.0</v>
      </c>
      <c r="L709" s="169">
        <v>0.0</v>
      </c>
    </row>
    <row r="710" ht="14.25" customHeight="1">
      <c r="A710" s="169" t="s">
        <v>18714</v>
      </c>
      <c r="B710" s="169" t="s">
        <v>11471</v>
      </c>
      <c r="C710" s="169" t="s">
        <v>467</v>
      </c>
      <c r="D710" s="169" t="str">
        <f>"0736372918628"</f>
        <v>0736372918628</v>
      </c>
      <c r="E710" s="169" t="str">
        <f>"68658868763602"</f>
        <v>68658868763602</v>
      </c>
      <c r="F710" s="169" t="s">
        <v>18811</v>
      </c>
      <c r="G710" s="169">
        <v>2290.0</v>
      </c>
      <c r="H710" s="169">
        <v>5686.7</v>
      </c>
      <c r="I710" s="169">
        <v>1.302249E7</v>
      </c>
      <c r="J710" s="169">
        <v>1.0</v>
      </c>
      <c r="K710" s="169">
        <v>2289.0</v>
      </c>
      <c r="L710" s="169">
        <v>0.0</v>
      </c>
    </row>
    <row r="711" ht="14.25" customHeight="1">
      <c r="A711" s="169" t="s">
        <v>18714</v>
      </c>
      <c r="B711" s="169" t="s">
        <v>11471</v>
      </c>
      <c r="C711" s="169" t="s">
        <v>468</v>
      </c>
      <c r="D711" s="169" t="str">
        <f>"0736372918611"</f>
        <v>0736372918611</v>
      </c>
      <c r="E711" s="169" t="str">
        <f>"68658866289861"</f>
        <v>68658866289861</v>
      </c>
      <c r="F711" s="169" t="s">
        <v>18811</v>
      </c>
      <c r="G711" s="169">
        <v>2190.0</v>
      </c>
      <c r="H711" s="169">
        <v>5705.2</v>
      </c>
      <c r="I711" s="169">
        <v>1.249439E7</v>
      </c>
      <c r="J711" s="169">
        <v>1.0</v>
      </c>
      <c r="K711" s="169">
        <v>2189.0</v>
      </c>
      <c r="L711" s="169">
        <v>0.0</v>
      </c>
    </row>
    <row r="712" ht="14.25" customHeight="1">
      <c r="A712" s="169" t="s">
        <v>18714</v>
      </c>
      <c r="B712" s="169" t="s">
        <v>11471</v>
      </c>
      <c r="C712" s="169" t="s">
        <v>534</v>
      </c>
      <c r="D712" s="169" t="str">
        <f t="shared" ref="D712:E712" si="484">"1623703942966"</f>
        <v>1623703942966</v>
      </c>
      <c r="E712" s="169" t="str">
        <f t="shared" si="484"/>
        <v>1623703942966</v>
      </c>
      <c r="F712" s="169" t="s">
        <v>18811</v>
      </c>
      <c r="G712" s="169">
        <v>95.0</v>
      </c>
      <c r="H712" s="169">
        <v>2248.4</v>
      </c>
      <c r="I712" s="169">
        <v>213600.0</v>
      </c>
      <c r="J712" s="169">
        <v>0.0</v>
      </c>
      <c r="K712" s="169">
        <v>95.0</v>
      </c>
      <c r="L712" s="169">
        <v>0.0</v>
      </c>
    </row>
    <row r="713" ht="14.25" customHeight="1">
      <c r="A713" s="169" t="s">
        <v>18714</v>
      </c>
      <c r="B713" s="169" t="s">
        <v>11471</v>
      </c>
      <c r="C713" s="169" t="s">
        <v>16704</v>
      </c>
      <c r="D713" s="169" t="str">
        <f t="shared" ref="D713:E713" si="485">"1650478301588"</f>
        <v>1650478301588</v>
      </c>
      <c r="E713" s="169" t="str">
        <f t="shared" si="485"/>
        <v>1650478301588</v>
      </c>
      <c r="F713" s="169" t="s">
        <v>18811</v>
      </c>
      <c r="G713" s="169">
        <v>1.0</v>
      </c>
      <c r="H713" s="169">
        <v>5294.0</v>
      </c>
      <c r="I713" s="169">
        <v>5294.0</v>
      </c>
      <c r="J713" s="169">
        <v>0.0</v>
      </c>
      <c r="K713" s="169">
        <v>1.0</v>
      </c>
      <c r="L713" s="169">
        <v>0.0</v>
      </c>
    </row>
    <row r="714" ht="14.25" customHeight="1">
      <c r="A714" s="169" t="s">
        <v>18714</v>
      </c>
      <c r="B714" s="169" t="s">
        <v>11471</v>
      </c>
      <c r="C714" s="169" t="s">
        <v>16702</v>
      </c>
      <c r="D714" s="169" t="str">
        <f t="shared" ref="D714:E714" si="486">"1650478249084"</f>
        <v>1650478249084</v>
      </c>
      <c r="E714" s="169" t="str">
        <f t="shared" si="486"/>
        <v>1650478249084</v>
      </c>
      <c r="F714" s="169" t="s">
        <v>18811</v>
      </c>
      <c r="G714" s="169">
        <v>1.0</v>
      </c>
      <c r="H714" s="169">
        <v>36357.0</v>
      </c>
      <c r="I714" s="169">
        <v>36357.0</v>
      </c>
      <c r="J714" s="169">
        <v>0.0</v>
      </c>
      <c r="K714" s="169">
        <v>1.0</v>
      </c>
      <c r="L714" s="169">
        <v>0.0</v>
      </c>
    </row>
    <row r="715" ht="14.25" customHeight="1">
      <c r="A715" s="169" t="s">
        <v>18714</v>
      </c>
      <c r="B715" s="169" t="s">
        <v>11471</v>
      </c>
      <c r="C715" s="169" t="s">
        <v>16700</v>
      </c>
      <c r="D715" s="169" t="str">
        <f>"0788070729235"</f>
        <v>0788070729235</v>
      </c>
      <c r="E715" s="169" t="str">
        <f>"1638799019582"</f>
        <v>1638799019582</v>
      </c>
      <c r="F715" s="169" t="s">
        <v>18811</v>
      </c>
      <c r="G715" s="169">
        <v>3.0</v>
      </c>
      <c r="H715" s="169">
        <v>65912.0</v>
      </c>
      <c r="I715" s="169">
        <v>197736.0</v>
      </c>
      <c r="J715" s="169">
        <v>0.0</v>
      </c>
      <c r="K715" s="169">
        <v>3.0</v>
      </c>
      <c r="L715" s="169">
        <v>0.0</v>
      </c>
    </row>
    <row r="716" ht="14.25" customHeight="1">
      <c r="A716" s="169" t="s">
        <v>18714</v>
      </c>
      <c r="B716" s="169" t="s">
        <v>11471</v>
      </c>
      <c r="C716" s="169" t="s">
        <v>602</v>
      </c>
      <c r="D716" s="169" t="str">
        <f>"0736372919281"</f>
        <v>0736372919281</v>
      </c>
      <c r="E716" s="169" t="str">
        <f>"LHBIGMU-BL"</f>
        <v>LHBIGMU-BL</v>
      </c>
      <c r="F716" s="169" t="s">
        <v>18811</v>
      </c>
      <c r="G716" s="169">
        <v>93.0</v>
      </c>
      <c r="H716" s="169">
        <v>4073.0</v>
      </c>
      <c r="I716" s="169">
        <v>378789.0</v>
      </c>
      <c r="J716" s="169">
        <v>0.0</v>
      </c>
      <c r="K716" s="169">
        <v>93.0</v>
      </c>
      <c r="L716" s="169">
        <v>0.0</v>
      </c>
    </row>
    <row r="717" ht="14.25" customHeight="1">
      <c r="A717" s="169" t="s">
        <v>18714</v>
      </c>
      <c r="B717" s="169" t="s">
        <v>11471</v>
      </c>
      <c r="C717" s="169" t="s">
        <v>610</v>
      </c>
      <c r="D717" s="169" t="str">
        <f>"0736372919274"</f>
        <v>0736372919274</v>
      </c>
      <c r="E717" s="169" t="str">
        <f>"LHBIGMU-BK"</f>
        <v>LHBIGMU-BK</v>
      </c>
      <c r="F717" s="169" t="s">
        <v>18811</v>
      </c>
      <c r="G717" s="169">
        <v>92.0</v>
      </c>
      <c r="H717" s="169">
        <v>4073.0</v>
      </c>
      <c r="I717" s="169">
        <v>374716.0</v>
      </c>
      <c r="J717" s="169">
        <v>0.0</v>
      </c>
      <c r="K717" s="169">
        <v>92.0</v>
      </c>
      <c r="L717" s="169">
        <v>0.0</v>
      </c>
    </row>
    <row r="718" ht="14.25" customHeight="1">
      <c r="A718" s="169" t="s">
        <v>18714</v>
      </c>
      <c r="B718" s="169" t="s">
        <v>11471</v>
      </c>
      <c r="C718" s="169" t="s">
        <v>16699</v>
      </c>
      <c r="D718" s="169" t="str">
        <f>"0736372919298"</f>
        <v>0736372919298</v>
      </c>
      <c r="E718" s="169" t="str">
        <f>"LHBIGMU-PK"</f>
        <v>LHBIGMU-PK</v>
      </c>
      <c r="F718" s="169" t="s">
        <v>18811</v>
      </c>
      <c r="G718" s="169">
        <v>87.0</v>
      </c>
      <c r="H718" s="169">
        <v>4073.0</v>
      </c>
      <c r="I718" s="169">
        <v>354351.0</v>
      </c>
      <c r="J718" s="169">
        <v>0.0</v>
      </c>
      <c r="K718" s="169">
        <v>87.0</v>
      </c>
      <c r="L718" s="169">
        <v>0.0</v>
      </c>
    </row>
    <row r="719" ht="14.25" customHeight="1">
      <c r="A719" s="169" t="s">
        <v>18714</v>
      </c>
      <c r="B719" s="169" t="s">
        <v>11471</v>
      </c>
      <c r="C719" s="169" t="s">
        <v>16698</v>
      </c>
      <c r="D719" s="169" t="str">
        <f>"0736372919304"</f>
        <v>0736372919304</v>
      </c>
      <c r="E719" s="169" t="str">
        <f>"LHBIGMU-GR"</f>
        <v>LHBIGMU-GR</v>
      </c>
      <c r="F719" s="169" t="s">
        <v>18811</v>
      </c>
      <c r="G719" s="169">
        <v>87.0</v>
      </c>
      <c r="H719" s="169">
        <v>4073.0</v>
      </c>
      <c r="I719" s="169">
        <v>354351.0</v>
      </c>
      <c r="J719" s="169">
        <v>0.0</v>
      </c>
      <c r="K719" s="169">
        <v>87.0</v>
      </c>
      <c r="L719" s="169">
        <v>0.0</v>
      </c>
    </row>
    <row r="720" ht="14.25" customHeight="1">
      <c r="A720" s="169" t="s">
        <v>18714</v>
      </c>
      <c r="B720" s="169" t="s">
        <v>11471</v>
      </c>
      <c r="C720" s="169" t="s">
        <v>600</v>
      </c>
      <c r="D720" s="169" t="str">
        <f>"0736372919267"</f>
        <v>0736372919267</v>
      </c>
      <c r="E720" s="169" t="str">
        <f>"LHBIGMU-CR"</f>
        <v>LHBIGMU-CR</v>
      </c>
      <c r="F720" s="169" t="s">
        <v>18811</v>
      </c>
      <c r="G720" s="169">
        <v>85.0</v>
      </c>
      <c r="H720" s="169">
        <v>4073.0</v>
      </c>
      <c r="I720" s="169">
        <v>346205.0</v>
      </c>
      <c r="J720" s="169">
        <v>0.0</v>
      </c>
      <c r="K720" s="169">
        <v>85.0</v>
      </c>
      <c r="L720" s="169">
        <v>0.0</v>
      </c>
    </row>
    <row r="721" ht="14.25" customHeight="1">
      <c r="A721" s="169" t="s">
        <v>18714</v>
      </c>
      <c r="B721" s="169" t="s">
        <v>11471</v>
      </c>
      <c r="C721" s="169" t="s">
        <v>16696</v>
      </c>
      <c r="D721" s="169" t="str">
        <f t="shared" ref="D721:E721" si="487">"1621436042191"</f>
        <v>1621436042191</v>
      </c>
      <c r="E721" s="169" t="str">
        <f t="shared" si="487"/>
        <v>1621436042191</v>
      </c>
      <c r="F721" s="169" t="s">
        <v>18811</v>
      </c>
      <c r="G721" s="169">
        <v>1.0</v>
      </c>
      <c r="H721" s="169">
        <v>74049.0</v>
      </c>
      <c r="I721" s="169">
        <v>74049.0</v>
      </c>
      <c r="J721" s="169">
        <v>0.0</v>
      </c>
      <c r="K721" s="169">
        <v>1.0</v>
      </c>
      <c r="L721" s="169">
        <v>0.0</v>
      </c>
    </row>
    <row r="722" ht="14.25" customHeight="1">
      <c r="A722" s="169" t="s">
        <v>18714</v>
      </c>
      <c r="B722" s="169" t="s">
        <v>11471</v>
      </c>
      <c r="C722" s="169" t="s">
        <v>538</v>
      </c>
      <c r="D722" s="169" t="str">
        <f t="shared" ref="D722:E722" si="488">"1623703861303"</f>
        <v>1623703861303</v>
      </c>
      <c r="E722" s="169" t="str">
        <f t="shared" si="488"/>
        <v>1623703861303</v>
      </c>
      <c r="F722" s="169" t="s">
        <v>18811</v>
      </c>
      <c r="G722" s="169">
        <v>663.0</v>
      </c>
      <c r="H722" s="169">
        <v>9129.6</v>
      </c>
      <c r="I722" s="169">
        <v>6052932.0</v>
      </c>
      <c r="J722" s="169">
        <v>3.0</v>
      </c>
      <c r="K722" s="169">
        <v>660.0</v>
      </c>
      <c r="L722" s="169">
        <v>0.0</v>
      </c>
    </row>
    <row r="723" ht="14.25" customHeight="1">
      <c r="A723" s="169" t="s">
        <v>18714</v>
      </c>
      <c r="B723" s="169" t="s">
        <v>11471</v>
      </c>
      <c r="C723" s="169" t="s">
        <v>551</v>
      </c>
      <c r="D723" s="169" t="str">
        <f>"0788070732402"</f>
        <v>0788070732402</v>
      </c>
      <c r="E723" s="169" t="str">
        <f>"1656603823688"</f>
        <v>1656603823688</v>
      </c>
      <c r="F723" s="169" t="s">
        <v>18811</v>
      </c>
      <c r="G723" s="169">
        <v>49.0</v>
      </c>
      <c r="H723" s="169">
        <v>23649.0</v>
      </c>
      <c r="I723" s="169">
        <v>1158801.0</v>
      </c>
      <c r="J723" s="169">
        <v>0.0</v>
      </c>
      <c r="K723" s="169">
        <v>49.0</v>
      </c>
      <c r="L723" s="169">
        <v>0.0</v>
      </c>
    </row>
    <row r="724" ht="14.25" customHeight="1">
      <c r="A724" s="169" t="s">
        <v>18714</v>
      </c>
      <c r="B724" s="169" t="s">
        <v>11471</v>
      </c>
      <c r="C724" s="169" t="s">
        <v>552</v>
      </c>
      <c r="D724" s="169" t="str">
        <f>"0788070732396"</f>
        <v>0788070732396</v>
      </c>
      <c r="E724" s="169" t="str">
        <f>"1656603804695"</f>
        <v>1656603804695</v>
      </c>
      <c r="F724" s="169" t="s">
        <v>18811</v>
      </c>
      <c r="G724" s="169">
        <v>11.0</v>
      </c>
      <c r="H724" s="169">
        <v>23649.0</v>
      </c>
      <c r="I724" s="169">
        <v>260139.0</v>
      </c>
      <c r="J724" s="169">
        <v>0.0</v>
      </c>
      <c r="K724" s="169">
        <v>11.0</v>
      </c>
      <c r="L724" s="169">
        <v>0.0</v>
      </c>
    </row>
    <row r="725" ht="14.25" customHeight="1">
      <c r="A725" s="169" t="s">
        <v>18714</v>
      </c>
      <c r="B725" s="169" t="s">
        <v>11471</v>
      </c>
      <c r="C725" s="169" t="s">
        <v>612</v>
      </c>
      <c r="D725" s="169" t="str">
        <f>"0788070732525"</f>
        <v>0788070732525</v>
      </c>
      <c r="E725" s="169" t="str">
        <f>"1659992503614"</f>
        <v>1659992503614</v>
      </c>
      <c r="F725" s="169" t="s">
        <v>18811</v>
      </c>
      <c r="G725" s="169">
        <v>116.0</v>
      </c>
      <c r="H725" s="169">
        <v>3637.7</v>
      </c>
      <c r="I725" s="169">
        <v>421974.0</v>
      </c>
      <c r="J725" s="169">
        <v>0.0</v>
      </c>
      <c r="K725" s="169">
        <v>116.0</v>
      </c>
      <c r="L725" s="169">
        <v>0.0</v>
      </c>
    </row>
    <row r="726" ht="14.25" customHeight="1">
      <c r="A726" s="169" t="s">
        <v>18714</v>
      </c>
      <c r="B726" s="169" t="s">
        <v>11471</v>
      </c>
      <c r="C726" s="169" t="s">
        <v>613</v>
      </c>
      <c r="D726" s="169" t="str">
        <f>"0788070732518"</f>
        <v>0788070732518</v>
      </c>
      <c r="E726" s="169" t="str">
        <f>"1659992478281"</f>
        <v>1659992478281</v>
      </c>
      <c r="F726" s="169" t="s">
        <v>18811</v>
      </c>
      <c r="G726" s="169">
        <v>164.0</v>
      </c>
      <c r="H726" s="169">
        <v>3670.0</v>
      </c>
      <c r="I726" s="169">
        <v>601880.0</v>
      </c>
      <c r="J726" s="169">
        <v>0.0</v>
      </c>
      <c r="K726" s="169">
        <v>164.0</v>
      </c>
      <c r="L726" s="169">
        <v>0.0</v>
      </c>
    </row>
    <row r="727" ht="14.25" customHeight="1">
      <c r="A727" s="169" t="s">
        <v>18714</v>
      </c>
      <c r="B727" s="169" t="s">
        <v>11471</v>
      </c>
      <c r="C727" s="169" t="s">
        <v>614</v>
      </c>
      <c r="D727" s="169" t="str">
        <f>"0736372918451"</f>
        <v>0736372918451</v>
      </c>
      <c r="E727" s="169" t="str">
        <f>"68313284342161"</f>
        <v>68313284342161</v>
      </c>
      <c r="F727" s="169" t="s">
        <v>18811</v>
      </c>
      <c r="G727" s="169">
        <v>39.0</v>
      </c>
      <c r="H727" s="169">
        <v>3550.0</v>
      </c>
      <c r="I727" s="169">
        <v>138450.0</v>
      </c>
      <c r="J727" s="169">
        <v>0.0</v>
      </c>
      <c r="K727" s="169">
        <v>39.0</v>
      </c>
      <c r="L727" s="169">
        <v>0.0</v>
      </c>
    </row>
    <row r="728" ht="14.25" customHeight="1">
      <c r="A728" s="169" t="s">
        <v>18714</v>
      </c>
      <c r="B728" s="169" t="s">
        <v>11471</v>
      </c>
      <c r="C728" s="169" t="s">
        <v>615</v>
      </c>
      <c r="D728" s="169" t="str">
        <f>"0736372918468"</f>
        <v>0736372918468</v>
      </c>
      <c r="E728" s="169" t="str">
        <f>"68321385498620"</f>
        <v>68321385498620</v>
      </c>
      <c r="F728" s="169" t="s">
        <v>18811</v>
      </c>
      <c r="G728" s="169">
        <v>102.0</v>
      </c>
      <c r="H728" s="169">
        <v>3550.0</v>
      </c>
      <c r="I728" s="169">
        <v>362100.0</v>
      </c>
      <c r="J728" s="169">
        <v>0.0</v>
      </c>
      <c r="K728" s="169">
        <v>102.0</v>
      </c>
      <c r="L728" s="169">
        <v>1.0</v>
      </c>
    </row>
    <row r="729" ht="14.25" customHeight="1">
      <c r="A729" s="169" t="s">
        <v>18714</v>
      </c>
      <c r="B729" s="169" t="s">
        <v>11471</v>
      </c>
      <c r="C729" s="169" t="s">
        <v>616</v>
      </c>
      <c r="D729" s="169" t="str">
        <f>"0736372918987"</f>
        <v>0736372918987</v>
      </c>
      <c r="E729" s="169" t="str">
        <f>"LHBOHY36-CEL"</f>
        <v>LHBOHY36-CEL</v>
      </c>
      <c r="F729" s="169" t="s">
        <v>18811</v>
      </c>
      <c r="G729" s="169">
        <v>191.0</v>
      </c>
      <c r="H729" s="169">
        <v>3861.0</v>
      </c>
      <c r="I729" s="169">
        <v>737451.0</v>
      </c>
      <c r="J729" s="169">
        <v>0.0</v>
      </c>
      <c r="K729" s="169">
        <v>191.0</v>
      </c>
      <c r="L729" s="169">
        <v>0.0</v>
      </c>
    </row>
    <row r="730" ht="14.25" customHeight="1">
      <c r="A730" s="169" t="s">
        <v>18714</v>
      </c>
      <c r="B730" s="169" t="s">
        <v>11471</v>
      </c>
      <c r="C730" s="169" t="s">
        <v>618</v>
      </c>
      <c r="D730" s="169" t="str">
        <f>"0736372919021"</f>
        <v>0736372919021</v>
      </c>
      <c r="E730" s="169" t="str">
        <f>"LHBOHY36-GR"</f>
        <v>LHBOHY36-GR</v>
      </c>
      <c r="F730" s="169" t="s">
        <v>18811</v>
      </c>
      <c r="G730" s="169">
        <v>194.0</v>
      </c>
      <c r="H730" s="169">
        <v>3861.0</v>
      </c>
      <c r="I730" s="169">
        <v>749034.0</v>
      </c>
      <c r="J730" s="169">
        <v>0.0</v>
      </c>
      <c r="K730" s="169">
        <v>194.0</v>
      </c>
      <c r="L730" s="169">
        <v>0.0</v>
      </c>
    </row>
    <row r="731" ht="14.25" customHeight="1">
      <c r="A731" s="169" t="s">
        <v>18714</v>
      </c>
      <c r="B731" s="169" t="s">
        <v>11471</v>
      </c>
      <c r="C731" s="169" t="s">
        <v>620</v>
      </c>
      <c r="D731" s="169" t="str">
        <f>"0736372919014"</f>
        <v>0736372919014</v>
      </c>
      <c r="E731" s="169" t="str">
        <f>"LHBOHY36-LY"</f>
        <v>LHBOHY36-LY</v>
      </c>
      <c r="F731" s="169" t="s">
        <v>18811</v>
      </c>
      <c r="G731" s="169">
        <v>189.0</v>
      </c>
      <c r="H731" s="169">
        <v>3861.0</v>
      </c>
      <c r="I731" s="169">
        <v>729729.0</v>
      </c>
      <c r="J731" s="169">
        <v>0.0</v>
      </c>
      <c r="K731" s="169">
        <v>189.0</v>
      </c>
      <c r="L731" s="169">
        <v>0.0</v>
      </c>
    </row>
    <row r="732" ht="14.25" customHeight="1">
      <c r="A732" s="169" t="s">
        <v>18714</v>
      </c>
      <c r="B732" s="169" t="s">
        <v>11471</v>
      </c>
      <c r="C732" s="169" t="s">
        <v>622</v>
      </c>
      <c r="D732" s="169" t="str">
        <f>"0736372918994"</f>
        <v>0736372918994</v>
      </c>
      <c r="E732" s="169" t="str">
        <f>"LHBOHY36-BK"</f>
        <v>LHBOHY36-BK</v>
      </c>
      <c r="F732" s="169" t="s">
        <v>18811</v>
      </c>
      <c r="G732" s="169">
        <v>191.0</v>
      </c>
      <c r="H732" s="169">
        <v>3861.0</v>
      </c>
      <c r="I732" s="169">
        <v>737451.0</v>
      </c>
      <c r="J732" s="169">
        <v>0.0</v>
      </c>
      <c r="K732" s="169">
        <v>191.0</v>
      </c>
      <c r="L732" s="169">
        <v>0.0</v>
      </c>
    </row>
    <row r="733" ht="14.25" customHeight="1">
      <c r="A733" s="169" t="s">
        <v>18714</v>
      </c>
      <c r="B733" s="169" t="s">
        <v>11471</v>
      </c>
      <c r="C733" s="169" t="s">
        <v>624</v>
      </c>
      <c r="D733" s="169" t="str">
        <f>"0736372919007"</f>
        <v>0736372919007</v>
      </c>
      <c r="E733" s="169" t="str">
        <f>"LHBOHY36-PK"</f>
        <v>LHBOHY36-PK</v>
      </c>
      <c r="F733" s="169" t="s">
        <v>18811</v>
      </c>
      <c r="G733" s="169">
        <v>194.0</v>
      </c>
      <c r="H733" s="169">
        <v>3861.0</v>
      </c>
      <c r="I733" s="169">
        <v>749034.0</v>
      </c>
      <c r="J733" s="169">
        <v>0.0</v>
      </c>
      <c r="K733" s="169">
        <v>194.0</v>
      </c>
      <c r="L733" s="169">
        <v>0.0</v>
      </c>
    </row>
    <row r="734" ht="14.25" customHeight="1">
      <c r="A734" s="169" t="s">
        <v>18714</v>
      </c>
      <c r="B734" s="169" t="s">
        <v>11471</v>
      </c>
      <c r="C734" s="169" t="s">
        <v>626</v>
      </c>
      <c r="D734" s="169" t="str">
        <f>"0736372918932"</f>
        <v>0736372918932</v>
      </c>
      <c r="E734" s="169" t="str">
        <f>"LHBOHY95-CEL"</f>
        <v>LHBOHY95-CEL</v>
      </c>
      <c r="F734" s="169" t="s">
        <v>18811</v>
      </c>
      <c r="G734" s="169">
        <v>194.0</v>
      </c>
      <c r="H734" s="169">
        <v>4356.0</v>
      </c>
      <c r="I734" s="169">
        <v>845064.0</v>
      </c>
      <c r="J734" s="169">
        <v>0.0</v>
      </c>
      <c r="K734" s="169">
        <v>194.0</v>
      </c>
      <c r="L734" s="169">
        <v>0.0</v>
      </c>
    </row>
    <row r="735" ht="14.25" customHeight="1">
      <c r="A735" s="169" t="s">
        <v>18714</v>
      </c>
      <c r="B735" s="169" t="s">
        <v>11471</v>
      </c>
      <c r="C735" s="169" t="s">
        <v>628</v>
      </c>
      <c r="D735" s="169" t="str">
        <f>"0736372918963"</f>
        <v>0736372918963</v>
      </c>
      <c r="E735" s="169" t="str">
        <f>"LHBOHY95-LY"</f>
        <v>LHBOHY95-LY</v>
      </c>
      <c r="F735" s="169" t="s">
        <v>18811</v>
      </c>
      <c r="G735" s="169">
        <v>185.0</v>
      </c>
      <c r="H735" s="169">
        <v>4356.0</v>
      </c>
      <c r="I735" s="169">
        <v>805860.0</v>
      </c>
      <c r="J735" s="169">
        <v>0.0</v>
      </c>
      <c r="K735" s="169">
        <v>185.0</v>
      </c>
      <c r="L735" s="169">
        <v>0.0</v>
      </c>
    </row>
    <row r="736" ht="14.25" customHeight="1">
      <c r="A736" s="169" t="s">
        <v>18714</v>
      </c>
      <c r="B736" s="169" t="s">
        <v>11471</v>
      </c>
      <c r="C736" s="169" t="s">
        <v>630</v>
      </c>
      <c r="D736" s="169" t="str">
        <f>"0736372918949"</f>
        <v>0736372918949</v>
      </c>
      <c r="E736" s="169" t="str">
        <f>"LHBOHY95-BK"</f>
        <v>LHBOHY95-BK</v>
      </c>
      <c r="F736" s="169" t="s">
        <v>18811</v>
      </c>
      <c r="G736" s="169">
        <v>185.0</v>
      </c>
      <c r="H736" s="169">
        <v>4356.0</v>
      </c>
      <c r="I736" s="169">
        <v>805860.0</v>
      </c>
      <c r="J736" s="169">
        <v>0.0</v>
      </c>
      <c r="K736" s="169">
        <v>185.0</v>
      </c>
      <c r="L736" s="169">
        <v>0.0</v>
      </c>
    </row>
    <row r="737" ht="14.25" customHeight="1">
      <c r="A737" s="169" t="s">
        <v>18714</v>
      </c>
      <c r="B737" s="169" t="s">
        <v>11471</v>
      </c>
      <c r="C737" s="169" t="s">
        <v>632</v>
      </c>
      <c r="D737" s="169" t="str">
        <f>"0736372918956"</f>
        <v>0736372918956</v>
      </c>
      <c r="E737" s="169" t="str">
        <f>"LHBOHY95-PK"</f>
        <v>LHBOHY95-PK</v>
      </c>
      <c r="F737" s="169" t="s">
        <v>18811</v>
      </c>
      <c r="G737" s="169">
        <v>191.0</v>
      </c>
      <c r="H737" s="169">
        <v>4356.0</v>
      </c>
      <c r="I737" s="169">
        <v>831996.0</v>
      </c>
      <c r="J737" s="169">
        <v>0.0</v>
      </c>
      <c r="K737" s="169">
        <v>191.0</v>
      </c>
      <c r="L737" s="169">
        <v>0.0</v>
      </c>
    </row>
    <row r="738" ht="14.25" customHeight="1">
      <c r="A738" s="169" t="s">
        <v>18714</v>
      </c>
      <c r="B738" s="169" t="s">
        <v>11471</v>
      </c>
      <c r="C738" s="169" t="s">
        <v>634</v>
      </c>
      <c r="D738" s="169" t="str">
        <f>"0736372918970"</f>
        <v>0736372918970</v>
      </c>
      <c r="E738" s="169" t="str">
        <f>"LHBOHY95-GR"</f>
        <v>LHBOHY95-GR</v>
      </c>
      <c r="F738" s="169" t="s">
        <v>18811</v>
      </c>
      <c r="G738" s="169">
        <v>192.0</v>
      </c>
      <c r="H738" s="169">
        <v>4356.0</v>
      </c>
      <c r="I738" s="169">
        <v>836352.0</v>
      </c>
      <c r="J738" s="169">
        <v>0.0</v>
      </c>
      <c r="K738" s="169">
        <v>192.0</v>
      </c>
      <c r="L738" s="169">
        <v>0.0</v>
      </c>
    </row>
    <row r="739" ht="14.25" customHeight="1">
      <c r="A739" s="169" t="s">
        <v>18714</v>
      </c>
      <c r="B739" s="169" t="s">
        <v>11471</v>
      </c>
      <c r="C739" s="169" t="s">
        <v>652</v>
      </c>
      <c r="D739" s="169" t="str">
        <f>"0736372919106"</f>
        <v>0736372919106</v>
      </c>
      <c r="E739" s="169" t="str">
        <f>"LHBOADV-BL"</f>
        <v>LHBOADV-BL</v>
      </c>
      <c r="F739" s="169" t="s">
        <v>18811</v>
      </c>
      <c r="G739" s="169">
        <v>97.0</v>
      </c>
      <c r="H739" s="169">
        <v>2684.0</v>
      </c>
      <c r="I739" s="169">
        <v>260348.0</v>
      </c>
      <c r="J739" s="169">
        <v>0.0</v>
      </c>
      <c r="K739" s="169">
        <v>97.0</v>
      </c>
      <c r="L739" s="169">
        <v>0.0</v>
      </c>
    </row>
    <row r="740" ht="14.25" customHeight="1">
      <c r="A740" s="169" t="s">
        <v>18714</v>
      </c>
      <c r="B740" s="169" t="s">
        <v>11471</v>
      </c>
      <c r="C740" s="169" t="s">
        <v>654</v>
      </c>
      <c r="D740" s="169" t="str">
        <f>"0736372919083"</f>
        <v>0736372919083</v>
      </c>
      <c r="E740" s="169" t="str">
        <f>"LHBOADV-WH"</f>
        <v>LHBOADV-WH</v>
      </c>
      <c r="F740" s="169" t="s">
        <v>18811</v>
      </c>
      <c r="G740" s="169">
        <v>96.0</v>
      </c>
      <c r="H740" s="169">
        <v>2684.0</v>
      </c>
      <c r="I740" s="169">
        <v>257664.0</v>
      </c>
      <c r="J740" s="169">
        <v>0.0</v>
      </c>
      <c r="K740" s="169">
        <v>96.0</v>
      </c>
      <c r="L740" s="169">
        <v>0.0</v>
      </c>
    </row>
    <row r="741" ht="14.25" customHeight="1">
      <c r="A741" s="169" t="s">
        <v>18714</v>
      </c>
      <c r="B741" s="169" t="s">
        <v>11471</v>
      </c>
      <c r="C741" s="169" t="s">
        <v>656</v>
      </c>
      <c r="D741" s="169" t="str">
        <f>"0736372919090"</f>
        <v>0736372919090</v>
      </c>
      <c r="E741" s="169" t="str">
        <f>"LHBOADV-BK"</f>
        <v>LHBOADV-BK</v>
      </c>
      <c r="F741" s="169" t="s">
        <v>18811</v>
      </c>
      <c r="G741" s="169">
        <v>96.0</v>
      </c>
      <c r="H741" s="169">
        <v>2684.0</v>
      </c>
      <c r="I741" s="169">
        <v>257664.0</v>
      </c>
      <c r="J741" s="169">
        <v>0.0</v>
      </c>
      <c r="K741" s="169">
        <v>96.0</v>
      </c>
      <c r="L741" s="169">
        <v>0.0</v>
      </c>
    </row>
    <row r="742" ht="14.25" customHeight="1">
      <c r="A742" s="169" t="s">
        <v>18714</v>
      </c>
      <c r="B742" s="169" t="s">
        <v>11471</v>
      </c>
      <c r="C742" s="169" t="s">
        <v>658</v>
      </c>
      <c r="D742" s="169" t="str">
        <f>"0736372919113"</f>
        <v>0736372919113</v>
      </c>
      <c r="E742" s="169" t="str">
        <f>"LHBOADV-PK"</f>
        <v>LHBOADV-PK</v>
      </c>
      <c r="F742" s="169" t="s">
        <v>18811</v>
      </c>
      <c r="G742" s="169">
        <v>95.0</v>
      </c>
      <c r="H742" s="169">
        <v>2684.1</v>
      </c>
      <c r="I742" s="169">
        <v>254990.0</v>
      </c>
      <c r="J742" s="169">
        <v>0.0</v>
      </c>
      <c r="K742" s="169">
        <v>95.0</v>
      </c>
      <c r="L742" s="169">
        <v>0.0</v>
      </c>
    </row>
    <row r="743" ht="14.25" customHeight="1">
      <c r="A743" s="169" t="s">
        <v>18714</v>
      </c>
      <c r="B743" s="169" t="s">
        <v>11471</v>
      </c>
      <c r="C743" s="169" t="s">
        <v>16687</v>
      </c>
      <c r="D743" s="169" t="str">
        <f t="shared" ref="D743:E743" si="489">"1644259088244"</f>
        <v>1644259088244</v>
      </c>
      <c r="E743" s="169" t="str">
        <f t="shared" si="489"/>
        <v>1644259088244</v>
      </c>
      <c r="F743" s="169" t="s">
        <v>18811</v>
      </c>
      <c r="G743" s="169">
        <v>1.0</v>
      </c>
      <c r="H743" s="169">
        <v>2785.0</v>
      </c>
      <c r="I743" s="169">
        <v>2785.0</v>
      </c>
      <c r="J743" s="169">
        <v>0.0</v>
      </c>
      <c r="K743" s="169">
        <v>1.0</v>
      </c>
      <c r="L743" s="169">
        <v>0.0</v>
      </c>
    </row>
    <row r="744" ht="14.25" customHeight="1">
      <c r="A744" s="169" t="s">
        <v>18714</v>
      </c>
      <c r="B744" s="169" t="s">
        <v>11471</v>
      </c>
      <c r="C744" s="169" t="s">
        <v>16685</v>
      </c>
      <c r="D744" s="169" t="str">
        <f t="shared" ref="D744:E744" si="490">"1644259102328"</f>
        <v>1644259102328</v>
      </c>
      <c r="E744" s="169" t="str">
        <f t="shared" si="490"/>
        <v>1644259102328</v>
      </c>
      <c r="F744" s="169" t="s">
        <v>18811</v>
      </c>
      <c r="G744" s="169">
        <v>1.0</v>
      </c>
      <c r="H744" s="169">
        <v>5460.0</v>
      </c>
      <c r="I744" s="169">
        <v>5460.0</v>
      </c>
      <c r="J744" s="169">
        <v>0.0</v>
      </c>
      <c r="K744" s="169">
        <v>1.0</v>
      </c>
      <c r="L744" s="169">
        <v>0.0</v>
      </c>
    </row>
    <row r="745" ht="14.25" customHeight="1">
      <c r="A745" s="169" t="s">
        <v>18714</v>
      </c>
      <c r="B745" s="169" t="s">
        <v>11471</v>
      </c>
      <c r="C745" s="169" t="s">
        <v>16683</v>
      </c>
      <c r="D745" s="169" t="str">
        <f t="shared" ref="D745:E745" si="491">"1644258822428"</f>
        <v>1644258822428</v>
      </c>
      <c r="E745" s="169" t="str">
        <f t="shared" si="491"/>
        <v>1644258822428</v>
      </c>
      <c r="F745" s="169" t="s">
        <v>18811</v>
      </c>
      <c r="G745" s="169">
        <v>1.0</v>
      </c>
      <c r="H745" s="169">
        <v>3527.0</v>
      </c>
      <c r="I745" s="169">
        <v>3527.0</v>
      </c>
      <c r="J745" s="169">
        <v>0.0</v>
      </c>
      <c r="K745" s="169">
        <v>1.0</v>
      </c>
      <c r="L745" s="169">
        <v>0.0</v>
      </c>
    </row>
    <row r="746" ht="14.25" customHeight="1">
      <c r="A746" s="169" t="s">
        <v>18714</v>
      </c>
      <c r="B746" s="169" t="s">
        <v>11471</v>
      </c>
      <c r="C746" s="169" t="s">
        <v>16681</v>
      </c>
      <c r="D746" s="169" t="str">
        <f t="shared" ref="D746:E746" si="492">"1644258839009"</f>
        <v>1644258839009</v>
      </c>
      <c r="E746" s="169" t="str">
        <f t="shared" si="492"/>
        <v>1644258839009</v>
      </c>
      <c r="F746" s="169" t="s">
        <v>18811</v>
      </c>
      <c r="G746" s="169">
        <v>1.0</v>
      </c>
      <c r="H746" s="169">
        <v>7263.0</v>
      </c>
      <c r="I746" s="169">
        <v>7263.0</v>
      </c>
      <c r="J746" s="169">
        <v>0.0</v>
      </c>
      <c r="K746" s="169">
        <v>1.0</v>
      </c>
      <c r="L746" s="169">
        <v>0.0</v>
      </c>
    </row>
    <row r="747" ht="14.25" customHeight="1">
      <c r="A747" s="169" t="s">
        <v>18714</v>
      </c>
      <c r="B747" s="169" t="s">
        <v>11471</v>
      </c>
      <c r="C747" s="169" t="s">
        <v>11344</v>
      </c>
      <c r="D747" s="169" t="str">
        <f t="shared" ref="D747:E747" si="493">"1596549586882"</f>
        <v>1596549586882</v>
      </c>
      <c r="E747" s="169" t="str">
        <f t="shared" si="493"/>
        <v>1596549586882</v>
      </c>
      <c r="F747" s="169" t="s">
        <v>18811</v>
      </c>
      <c r="G747" s="169">
        <v>1.0</v>
      </c>
      <c r="H747" s="169">
        <v>0.0</v>
      </c>
      <c r="I747" s="169">
        <v>0.0</v>
      </c>
      <c r="J747" s="169">
        <v>0.0</v>
      </c>
      <c r="K747" s="169">
        <v>1.0</v>
      </c>
      <c r="L747" s="169">
        <v>0.0</v>
      </c>
    </row>
    <row r="748" ht="14.25" customHeight="1">
      <c r="A748" s="169" t="s">
        <v>18714</v>
      </c>
      <c r="B748" s="169" t="s">
        <v>11471</v>
      </c>
      <c r="C748" s="169" t="s">
        <v>16678</v>
      </c>
      <c r="D748" s="169" t="str">
        <f t="shared" ref="D748:E748" si="494">"1641933886673"</f>
        <v>1641933886673</v>
      </c>
      <c r="E748" s="169" t="str">
        <f t="shared" si="494"/>
        <v>1641933886673</v>
      </c>
      <c r="F748" s="169" t="s">
        <v>18811</v>
      </c>
      <c r="G748" s="169">
        <v>1.0</v>
      </c>
      <c r="H748" s="169">
        <v>15000.0</v>
      </c>
      <c r="I748" s="169">
        <v>15000.0</v>
      </c>
      <c r="J748" s="169">
        <v>0.0</v>
      </c>
      <c r="K748" s="169">
        <v>1.0</v>
      </c>
      <c r="L748" s="169">
        <v>0.0</v>
      </c>
    </row>
    <row r="749" ht="14.25" customHeight="1">
      <c r="A749" s="169" t="s">
        <v>18714</v>
      </c>
      <c r="B749" s="169" t="s">
        <v>11471</v>
      </c>
      <c r="C749" s="169" t="s">
        <v>1170</v>
      </c>
      <c r="D749" s="169" t="str">
        <f>"0788070731450"</f>
        <v>0788070731450</v>
      </c>
      <c r="E749" s="169" t="str">
        <f>"1640091153797"</f>
        <v>1640091153797</v>
      </c>
      <c r="F749" s="169" t="s">
        <v>18811</v>
      </c>
      <c r="G749" s="169">
        <v>80.0</v>
      </c>
      <c r="H749" s="169">
        <v>33581.9</v>
      </c>
      <c r="I749" s="169">
        <v>2686555.0</v>
      </c>
      <c r="J749" s="169">
        <v>0.0</v>
      </c>
      <c r="K749" s="169">
        <v>80.0</v>
      </c>
      <c r="L749" s="169">
        <v>0.0</v>
      </c>
    </row>
    <row r="750" ht="14.25" customHeight="1">
      <c r="A750" s="169" t="s">
        <v>18714</v>
      </c>
      <c r="B750" s="169" t="s">
        <v>11471</v>
      </c>
      <c r="C750" s="169" t="s">
        <v>1171</v>
      </c>
      <c r="D750" s="169" t="str">
        <f t="shared" ref="D750:E750" si="495">"1496183099853"</f>
        <v>1496183099853</v>
      </c>
      <c r="E750" s="169" t="str">
        <f t="shared" si="495"/>
        <v>1496183099853</v>
      </c>
      <c r="F750" s="169" t="s">
        <v>18811</v>
      </c>
      <c r="G750" s="169">
        <v>129.0</v>
      </c>
      <c r="H750" s="169">
        <v>17422.4</v>
      </c>
      <c r="I750" s="169">
        <v>2247496.0</v>
      </c>
      <c r="J750" s="169">
        <v>1.0</v>
      </c>
      <c r="K750" s="169">
        <v>128.0</v>
      </c>
      <c r="L750" s="169">
        <v>0.0</v>
      </c>
    </row>
    <row r="751" ht="14.25" customHeight="1">
      <c r="A751" s="169" t="s">
        <v>18714</v>
      </c>
      <c r="B751" s="169" t="s">
        <v>11471</v>
      </c>
      <c r="C751" s="169" t="s">
        <v>16674</v>
      </c>
      <c r="D751" s="169" t="str">
        <f t="shared" ref="D751:E751" si="496">"1630371162211"</f>
        <v>1630371162211</v>
      </c>
      <c r="E751" s="169" t="str">
        <f t="shared" si="496"/>
        <v>1630371162211</v>
      </c>
      <c r="F751" s="169" t="s">
        <v>18811</v>
      </c>
      <c r="G751" s="169">
        <v>1.0</v>
      </c>
      <c r="H751" s="169">
        <v>24200.0</v>
      </c>
      <c r="I751" s="169">
        <v>24200.0</v>
      </c>
      <c r="J751" s="169">
        <v>0.0</v>
      </c>
      <c r="K751" s="169">
        <v>1.0</v>
      </c>
      <c r="L751" s="169">
        <v>0.0</v>
      </c>
    </row>
    <row r="752" ht="14.25" customHeight="1">
      <c r="A752" s="169" t="s">
        <v>18714</v>
      </c>
      <c r="B752" s="169" t="s">
        <v>11471</v>
      </c>
      <c r="C752" s="169" t="s">
        <v>12033</v>
      </c>
      <c r="D752" s="169" t="str">
        <f t="shared" ref="D752:E752" si="497">"1601323542043"</f>
        <v>1601323542043</v>
      </c>
      <c r="E752" s="169" t="str">
        <f t="shared" si="497"/>
        <v>1601323542043</v>
      </c>
      <c r="F752" s="169" t="s">
        <v>18811</v>
      </c>
      <c r="G752" s="169">
        <v>8.0</v>
      </c>
      <c r="H752" s="169">
        <v>314.5</v>
      </c>
      <c r="I752" s="169">
        <v>2516.0</v>
      </c>
      <c r="J752" s="169">
        <v>0.0</v>
      </c>
      <c r="K752" s="169">
        <v>8.0</v>
      </c>
      <c r="L752" s="169">
        <v>0.0</v>
      </c>
    </row>
    <row r="753" ht="14.25" customHeight="1">
      <c r="A753" s="169" t="s">
        <v>18714</v>
      </c>
      <c r="B753" s="169" t="s">
        <v>11471</v>
      </c>
      <c r="C753" s="169" t="s">
        <v>12034</v>
      </c>
      <c r="D753" s="169" t="str">
        <f t="shared" ref="D753:E753" si="498">"1612801611908"</f>
        <v>1612801611908</v>
      </c>
      <c r="E753" s="169" t="str">
        <f t="shared" si="498"/>
        <v>1612801611908</v>
      </c>
      <c r="F753" s="169" t="s">
        <v>18811</v>
      </c>
      <c r="G753" s="169">
        <v>12.0</v>
      </c>
      <c r="H753" s="169">
        <v>1013.0</v>
      </c>
      <c r="I753" s="169">
        <v>12156.0</v>
      </c>
      <c r="J753" s="169">
        <v>0.0</v>
      </c>
      <c r="K753" s="169">
        <v>12.0</v>
      </c>
      <c r="L753" s="169">
        <v>0.0</v>
      </c>
    </row>
    <row r="754" ht="14.25" customHeight="1">
      <c r="A754" s="169" t="s">
        <v>18714</v>
      </c>
      <c r="B754" s="169" t="s">
        <v>11471</v>
      </c>
      <c r="C754" s="169" t="s">
        <v>12036</v>
      </c>
      <c r="D754" s="169" t="str">
        <f t="shared" ref="D754:E754" si="499">"1605820909877"</f>
        <v>1605820909877</v>
      </c>
      <c r="E754" s="169" t="str">
        <f t="shared" si="499"/>
        <v>1605820909877</v>
      </c>
      <c r="F754" s="169" t="s">
        <v>18811</v>
      </c>
      <c r="G754" s="169">
        <v>1.0</v>
      </c>
      <c r="H754" s="169">
        <v>2.6</v>
      </c>
      <c r="I754" s="169">
        <v>3.0</v>
      </c>
      <c r="J754" s="169">
        <v>0.0</v>
      </c>
      <c r="K754" s="169">
        <v>1.0</v>
      </c>
      <c r="L754" s="169">
        <v>0.0</v>
      </c>
    </row>
    <row r="755" ht="14.25" customHeight="1">
      <c r="A755" s="169" t="s">
        <v>18714</v>
      </c>
      <c r="B755" s="169" t="s">
        <v>11471</v>
      </c>
      <c r="C755" s="169" t="s">
        <v>16669</v>
      </c>
      <c r="D755" s="169" t="str">
        <f t="shared" ref="D755:E755" si="500">"1549546168927"</f>
        <v>1549546168927</v>
      </c>
      <c r="E755" s="169" t="str">
        <f t="shared" si="500"/>
        <v>1549546168927</v>
      </c>
      <c r="F755" s="169" t="s">
        <v>18811</v>
      </c>
      <c r="G755" s="169">
        <v>26.0</v>
      </c>
      <c r="H755" s="169">
        <v>1015.0</v>
      </c>
      <c r="I755" s="169">
        <v>26390.0</v>
      </c>
      <c r="J755" s="169">
        <v>0.0</v>
      </c>
      <c r="K755" s="169">
        <v>26.0</v>
      </c>
      <c r="L755" s="169">
        <v>0.0</v>
      </c>
    </row>
    <row r="756" ht="14.25" customHeight="1">
      <c r="A756" s="169" t="s">
        <v>18714</v>
      </c>
      <c r="B756" s="169" t="s">
        <v>11471</v>
      </c>
      <c r="C756" s="169" t="s">
        <v>16667</v>
      </c>
      <c r="D756" s="169" t="str">
        <f t="shared" ref="D756:E756" si="501">"1644259071820"</f>
        <v>1644259071820</v>
      </c>
      <c r="E756" s="169" t="str">
        <f t="shared" si="501"/>
        <v>1644259071820</v>
      </c>
      <c r="F756" s="169" t="s">
        <v>18811</v>
      </c>
      <c r="G756" s="169">
        <v>1.0</v>
      </c>
      <c r="H756" s="169">
        <v>9746.0</v>
      </c>
      <c r="I756" s="169">
        <v>9746.0</v>
      </c>
      <c r="J756" s="169">
        <v>0.0</v>
      </c>
      <c r="K756" s="169">
        <v>1.0</v>
      </c>
      <c r="L756" s="169">
        <v>0.0</v>
      </c>
    </row>
    <row r="757" ht="14.25" customHeight="1">
      <c r="A757" s="169" t="s">
        <v>18714</v>
      </c>
      <c r="B757" s="169" t="s">
        <v>11471</v>
      </c>
      <c r="C757" s="169" t="s">
        <v>16665</v>
      </c>
      <c r="D757" s="169" t="str">
        <f t="shared" ref="D757:E757" si="502">"1644259122271"</f>
        <v>1644259122271</v>
      </c>
      <c r="E757" s="169" t="str">
        <f t="shared" si="502"/>
        <v>1644259122271</v>
      </c>
      <c r="F757" s="169" t="s">
        <v>18811</v>
      </c>
      <c r="G757" s="169">
        <v>1.0</v>
      </c>
      <c r="H757" s="169">
        <v>6033.0</v>
      </c>
      <c r="I757" s="169">
        <v>6033.0</v>
      </c>
      <c r="J757" s="169">
        <v>0.0</v>
      </c>
      <c r="K757" s="169">
        <v>1.0</v>
      </c>
      <c r="L757" s="169">
        <v>0.0</v>
      </c>
    </row>
    <row r="758" ht="14.25" customHeight="1">
      <c r="A758" s="169" t="s">
        <v>18714</v>
      </c>
      <c r="B758" s="169" t="s">
        <v>11471</v>
      </c>
      <c r="C758" s="169" t="s">
        <v>16663</v>
      </c>
      <c r="D758" s="169" t="str">
        <f t="shared" ref="D758:E758" si="503">"1644258923159"</f>
        <v>1644258923159</v>
      </c>
      <c r="E758" s="169" t="str">
        <f t="shared" si="503"/>
        <v>1644258923159</v>
      </c>
      <c r="F758" s="169" t="s">
        <v>18811</v>
      </c>
      <c r="G758" s="169">
        <v>1.0</v>
      </c>
      <c r="H758" s="169">
        <v>3713.0</v>
      </c>
      <c r="I758" s="169">
        <v>3713.0</v>
      </c>
      <c r="J758" s="169">
        <v>0.0</v>
      </c>
      <c r="K758" s="169">
        <v>1.0</v>
      </c>
      <c r="L758" s="169">
        <v>0.0</v>
      </c>
    </row>
    <row r="759" ht="14.25" customHeight="1">
      <c r="A759" s="169" t="s">
        <v>18714</v>
      </c>
      <c r="B759" s="169" t="s">
        <v>11471</v>
      </c>
      <c r="C759" s="169" t="s">
        <v>16661</v>
      </c>
      <c r="D759" s="169" t="str">
        <f t="shared" ref="D759:E759" si="504">"1650478111691"</f>
        <v>1650478111691</v>
      </c>
      <c r="E759" s="169" t="str">
        <f t="shared" si="504"/>
        <v>1650478111691</v>
      </c>
      <c r="F759" s="169" t="s">
        <v>18811</v>
      </c>
      <c r="G759" s="169">
        <v>1.0</v>
      </c>
      <c r="H759" s="169">
        <v>9212.0</v>
      </c>
      <c r="I759" s="169">
        <v>9212.0</v>
      </c>
      <c r="J759" s="169">
        <v>0.0</v>
      </c>
      <c r="K759" s="169">
        <v>1.0</v>
      </c>
      <c r="L759" s="169">
        <v>0.0</v>
      </c>
    </row>
    <row r="760" ht="14.25" customHeight="1">
      <c r="A760" s="169" t="s">
        <v>18714</v>
      </c>
      <c r="B760" s="169" t="s">
        <v>11471</v>
      </c>
      <c r="C760" s="169" t="s">
        <v>16658</v>
      </c>
      <c r="D760" s="169" t="str">
        <f t="shared" ref="D760:E760" si="505">"1650478100917"</f>
        <v>1650478100917</v>
      </c>
      <c r="E760" s="169" t="str">
        <f t="shared" si="505"/>
        <v>1650478100917</v>
      </c>
      <c r="F760" s="169" t="s">
        <v>18811</v>
      </c>
      <c r="G760" s="169">
        <v>1.0</v>
      </c>
      <c r="H760" s="169">
        <v>12177.0</v>
      </c>
      <c r="I760" s="169">
        <v>12177.0</v>
      </c>
      <c r="J760" s="169">
        <v>0.0</v>
      </c>
      <c r="K760" s="169">
        <v>1.0</v>
      </c>
      <c r="L760" s="169">
        <v>0.0</v>
      </c>
    </row>
    <row r="761" ht="14.25" customHeight="1">
      <c r="A761" s="169" t="s">
        <v>18714</v>
      </c>
      <c r="B761" s="169" t="s">
        <v>11471</v>
      </c>
      <c r="C761" s="169" t="s">
        <v>16656</v>
      </c>
      <c r="D761" s="169" t="str">
        <f t="shared" ref="D761:E761" si="506">"1650478089929"</f>
        <v>1650478089929</v>
      </c>
      <c r="E761" s="169" t="str">
        <f t="shared" si="506"/>
        <v>1650478089929</v>
      </c>
      <c r="F761" s="169" t="s">
        <v>18811</v>
      </c>
      <c r="G761" s="169">
        <v>1.0</v>
      </c>
      <c r="H761" s="169">
        <v>9318.0</v>
      </c>
      <c r="I761" s="169">
        <v>9318.0</v>
      </c>
      <c r="J761" s="169">
        <v>0.0</v>
      </c>
      <c r="K761" s="169">
        <v>1.0</v>
      </c>
      <c r="L761" s="169">
        <v>0.0</v>
      </c>
    </row>
    <row r="762" ht="14.25" customHeight="1">
      <c r="A762" s="169" t="s">
        <v>18714</v>
      </c>
      <c r="B762" s="169" t="s">
        <v>11471</v>
      </c>
      <c r="C762" s="169" t="s">
        <v>12050</v>
      </c>
      <c r="D762" s="169" t="str">
        <f t="shared" ref="D762:E762" si="507">"1595434263015"</f>
        <v>1595434263015</v>
      </c>
      <c r="E762" s="169" t="str">
        <f t="shared" si="507"/>
        <v>1595434263015</v>
      </c>
      <c r="F762" s="169" t="s">
        <v>18811</v>
      </c>
      <c r="G762" s="169">
        <v>1.0</v>
      </c>
      <c r="H762" s="169">
        <v>1868.0</v>
      </c>
      <c r="I762" s="169">
        <v>1868.0</v>
      </c>
      <c r="J762" s="169">
        <v>0.0</v>
      </c>
      <c r="K762" s="169">
        <v>1.0</v>
      </c>
      <c r="L762" s="169">
        <v>0.0</v>
      </c>
    </row>
    <row r="763" ht="14.25" customHeight="1">
      <c r="A763" s="169" t="s">
        <v>18714</v>
      </c>
      <c r="B763" s="169" t="s">
        <v>11471</v>
      </c>
      <c r="C763" s="169" t="s">
        <v>16653</v>
      </c>
      <c r="D763" s="169" t="str">
        <f t="shared" ref="D763:E763" si="508">"1614194024408"</f>
        <v>1614194024408</v>
      </c>
      <c r="E763" s="169" t="str">
        <f t="shared" si="508"/>
        <v>1614194024408</v>
      </c>
      <c r="F763" s="169" t="s">
        <v>18811</v>
      </c>
      <c r="G763" s="169">
        <v>3.0</v>
      </c>
      <c r="H763" s="169">
        <v>686.0</v>
      </c>
      <c r="I763" s="169">
        <v>2058.0</v>
      </c>
      <c r="J763" s="169">
        <v>0.0</v>
      </c>
      <c r="K763" s="169">
        <v>3.0</v>
      </c>
      <c r="L763" s="169">
        <v>0.0</v>
      </c>
    </row>
    <row r="764" ht="14.25" customHeight="1">
      <c r="A764" s="169" t="s">
        <v>18714</v>
      </c>
      <c r="B764" s="169" t="s">
        <v>11471</v>
      </c>
      <c r="C764" s="169" t="s">
        <v>16651</v>
      </c>
      <c r="D764" s="169" t="str">
        <f t="shared" ref="D764:E764" si="509">"1564147623145"</f>
        <v>1564147623145</v>
      </c>
      <c r="E764" s="169" t="str">
        <f t="shared" si="509"/>
        <v>1564147623145</v>
      </c>
      <c r="F764" s="169" t="s">
        <v>18811</v>
      </c>
      <c r="G764" s="169">
        <v>27.0</v>
      </c>
      <c r="H764" s="169">
        <v>1382.0</v>
      </c>
      <c r="I764" s="169">
        <v>37314.0</v>
      </c>
      <c r="J764" s="169">
        <v>0.0</v>
      </c>
      <c r="K764" s="169">
        <v>27.0</v>
      </c>
      <c r="L764" s="169">
        <v>0.0</v>
      </c>
    </row>
    <row r="765" ht="14.25" customHeight="1">
      <c r="A765" s="169" t="s">
        <v>18714</v>
      </c>
      <c r="B765" s="169" t="s">
        <v>11471</v>
      </c>
      <c r="C765" s="169" t="s">
        <v>16649</v>
      </c>
      <c r="D765" s="169" t="str">
        <f t="shared" ref="D765:E765" si="510">"1542051526349"</f>
        <v>1542051526349</v>
      </c>
      <c r="E765" s="169" t="str">
        <f t="shared" si="510"/>
        <v>1542051526349</v>
      </c>
      <c r="F765" s="169" t="s">
        <v>18811</v>
      </c>
      <c r="G765" s="169">
        <v>674.0</v>
      </c>
      <c r="H765" s="169">
        <v>835.0</v>
      </c>
      <c r="I765" s="169">
        <v>562790.0</v>
      </c>
      <c r="J765" s="169">
        <v>0.0</v>
      </c>
      <c r="K765" s="169">
        <v>674.0</v>
      </c>
      <c r="L765" s="169">
        <v>0.0</v>
      </c>
    </row>
    <row r="766" ht="14.25" customHeight="1">
      <c r="A766" s="169" t="s">
        <v>18714</v>
      </c>
      <c r="B766" s="169" t="s">
        <v>11471</v>
      </c>
      <c r="C766" s="169" t="s">
        <v>16646</v>
      </c>
      <c r="D766" s="169" t="str">
        <f t="shared" ref="D766:E766" si="511">"1610816087324"</f>
        <v>1610816087324</v>
      </c>
      <c r="E766" s="169" t="str">
        <f t="shared" si="511"/>
        <v>1610816087324</v>
      </c>
      <c r="F766" s="169" t="s">
        <v>18811</v>
      </c>
      <c r="G766" s="169">
        <v>211.0</v>
      </c>
      <c r="H766" s="169">
        <v>800.0</v>
      </c>
      <c r="I766" s="169">
        <v>168800.0</v>
      </c>
      <c r="J766" s="169">
        <v>0.0</v>
      </c>
      <c r="K766" s="169">
        <v>211.0</v>
      </c>
      <c r="L766" s="169">
        <v>0.0</v>
      </c>
    </row>
    <row r="767" ht="14.25" customHeight="1">
      <c r="A767" s="169" t="s">
        <v>18714</v>
      </c>
      <c r="B767" s="169" t="s">
        <v>11471</v>
      </c>
      <c r="C767" s="169" t="s">
        <v>16644</v>
      </c>
      <c r="D767" s="169" t="str">
        <f t="shared" ref="D767:E767" si="512">"1565277372026"</f>
        <v>1565277372026</v>
      </c>
      <c r="E767" s="169" t="str">
        <f t="shared" si="512"/>
        <v>1565277372026</v>
      </c>
      <c r="F767" s="169" t="s">
        <v>18811</v>
      </c>
      <c r="G767" s="169">
        <v>382.0</v>
      </c>
      <c r="H767" s="169">
        <v>734.0</v>
      </c>
      <c r="I767" s="169">
        <v>280388.0</v>
      </c>
      <c r="J767" s="169">
        <v>0.0</v>
      </c>
      <c r="K767" s="169">
        <v>382.0</v>
      </c>
      <c r="L767" s="169">
        <v>0.0</v>
      </c>
    </row>
    <row r="768" ht="14.25" customHeight="1">
      <c r="A768" s="169" t="s">
        <v>18714</v>
      </c>
      <c r="B768" s="169" t="s">
        <v>11471</v>
      </c>
      <c r="C768" s="169" t="s">
        <v>16642</v>
      </c>
      <c r="D768" s="169" t="str">
        <f t="shared" ref="D768:E768" si="513">"1542051822796"</f>
        <v>1542051822796</v>
      </c>
      <c r="E768" s="169" t="str">
        <f t="shared" si="513"/>
        <v>1542051822796</v>
      </c>
      <c r="F768" s="169" t="s">
        <v>18811</v>
      </c>
      <c r="G768" s="169">
        <v>4.0</v>
      </c>
      <c r="H768" s="169">
        <v>1127.0</v>
      </c>
      <c r="I768" s="169">
        <v>4508.0</v>
      </c>
      <c r="J768" s="169">
        <v>0.0</v>
      </c>
      <c r="K768" s="169">
        <v>4.0</v>
      </c>
      <c r="L768" s="169">
        <v>0.0</v>
      </c>
    </row>
    <row r="769" ht="14.25" customHeight="1">
      <c r="A769" s="169" t="s">
        <v>18714</v>
      </c>
      <c r="B769" s="169" t="s">
        <v>11471</v>
      </c>
      <c r="C769" s="169" t="s">
        <v>16640</v>
      </c>
      <c r="D769" s="169" t="str">
        <f t="shared" ref="D769:E769" si="514">"1610816377646"</f>
        <v>1610816377646</v>
      </c>
      <c r="E769" s="169" t="str">
        <f t="shared" si="514"/>
        <v>1610816377646</v>
      </c>
      <c r="F769" s="169" t="s">
        <v>18811</v>
      </c>
      <c r="G769" s="169">
        <v>381.0</v>
      </c>
      <c r="H769" s="169">
        <v>900.0</v>
      </c>
      <c r="I769" s="169">
        <v>342900.0</v>
      </c>
      <c r="J769" s="169">
        <v>0.0</v>
      </c>
      <c r="K769" s="169">
        <v>381.0</v>
      </c>
      <c r="L769" s="169">
        <v>0.0</v>
      </c>
    </row>
    <row r="770" ht="14.25" customHeight="1">
      <c r="A770" s="169" t="s">
        <v>18714</v>
      </c>
      <c r="B770" s="169" t="s">
        <v>11471</v>
      </c>
      <c r="C770" s="169" t="s">
        <v>16638</v>
      </c>
      <c r="D770" s="169" t="str">
        <f t="shared" ref="D770:E770" si="515">"1629291104067"</f>
        <v>1629291104067</v>
      </c>
      <c r="E770" s="169" t="str">
        <f t="shared" si="515"/>
        <v>1629291104067</v>
      </c>
      <c r="F770" s="169" t="s">
        <v>18811</v>
      </c>
      <c r="G770" s="169">
        <v>35.0</v>
      </c>
      <c r="H770" s="169">
        <v>1127.0</v>
      </c>
      <c r="I770" s="169">
        <v>39445.0</v>
      </c>
      <c r="J770" s="169">
        <v>0.0</v>
      </c>
      <c r="K770" s="169">
        <v>35.0</v>
      </c>
      <c r="L770" s="169">
        <v>0.0</v>
      </c>
    </row>
    <row r="771" ht="14.25" customHeight="1">
      <c r="A771" s="169" t="s">
        <v>18714</v>
      </c>
      <c r="B771" s="169" t="s">
        <v>11471</v>
      </c>
      <c r="C771" s="169" t="s">
        <v>515</v>
      </c>
      <c r="D771" s="169" t="str">
        <f t="shared" ref="D771:E771" si="516">"1542823095263"</f>
        <v>1542823095263</v>
      </c>
      <c r="E771" s="169" t="str">
        <f t="shared" si="516"/>
        <v>1542823095263</v>
      </c>
      <c r="F771" s="169" t="s">
        <v>18811</v>
      </c>
      <c r="G771" s="169">
        <v>268.0</v>
      </c>
      <c r="H771" s="169">
        <v>1976.0</v>
      </c>
      <c r="I771" s="169">
        <v>529579.0</v>
      </c>
      <c r="J771" s="169">
        <v>1.0</v>
      </c>
      <c r="K771" s="169">
        <v>267.0</v>
      </c>
      <c r="L771" s="169">
        <v>0.0</v>
      </c>
    </row>
    <row r="772" ht="14.25" customHeight="1">
      <c r="A772" s="169" t="s">
        <v>18714</v>
      </c>
      <c r="B772" s="169" t="s">
        <v>11471</v>
      </c>
      <c r="C772" s="169" t="s">
        <v>16635</v>
      </c>
      <c r="D772" s="169" t="str">
        <f>"1644258868017"</f>
        <v>1644258868017</v>
      </c>
      <c r="E772" s="169" t="str">
        <f>"1644258868016"</f>
        <v>1644258868016</v>
      </c>
      <c r="F772" s="169" t="s">
        <v>18811</v>
      </c>
      <c r="G772" s="169">
        <v>1.0</v>
      </c>
      <c r="H772" s="169">
        <v>5105.0</v>
      </c>
      <c r="I772" s="169">
        <v>5105.0</v>
      </c>
      <c r="J772" s="169">
        <v>0.0</v>
      </c>
      <c r="K772" s="169">
        <v>1.0</v>
      </c>
      <c r="L772" s="169">
        <v>0.0</v>
      </c>
    </row>
    <row r="773" ht="14.25" customHeight="1">
      <c r="A773" s="169" t="s">
        <v>18714</v>
      </c>
      <c r="B773" s="169" t="s">
        <v>11471</v>
      </c>
      <c r="C773" s="169" t="s">
        <v>16633</v>
      </c>
      <c r="D773" s="169" t="str">
        <f t="shared" ref="D773:E773" si="517">"1644258770920"</f>
        <v>1644258770920</v>
      </c>
      <c r="E773" s="169" t="str">
        <f t="shared" si="517"/>
        <v>1644258770920</v>
      </c>
      <c r="F773" s="169" t="s">
        <v>18811</v>
      </c>
      <c r="G773" s="169">
        <v>1.0</v>
      </c>
      <c r="H773" s="169">
        <v>51050.0</v>
      </c>
      <c r="I773" s="169">
        <v>51050.0</v>
      </c>
      <c r="J773" s="169">
        <v>0.0</v>
      </c>
      <c r="K773" s="169">
        <v>1.0</v>
      </c>
      <c r="L773" s="169">
        <v>0.0</v>
      </c>
    </row>
    <row r="774" ht="14.25" customHeight="1">
      <c r="A774" s="169" t="s">
        <v>18714</v>
      </c>
      <c r="B774" s="169" t="s">
        <v>11471</v>
      </c>
      <c r="C774" s="169" t="s">
        <v>16631</v>
      </c>
      <c r="D774" s="169" t="str">
        <f t="shared" ref="D774:E774" si="518">"1513100019184"</f>
        <v>1513100019184</v>
      </c>
      <c r="E774" s="169" t="str">
        <f t="shared" si="518"/>
        <v>1513100019184</v>
      </c>
      <c r="F774" s="169" t="s">
        <v>18811</v>
      </c>
      <c r="G774" s="169">
        <v>3.0</v>
      </c>
      <c r="H774" s="169">
        <v>6665.0</v>
      </c>
      <c r="I774" s="169">
        <v>19995.0</v>
      </c>
      <c r="J774" s="169">
        <v>0.0</v>
      </c>
      <c r="K774" s="169">
        <v>3.0</v>
      </c>
      <c r="L774" s="169">
        <v>0.0</v>
      </c>
    </row>
    <row r="775" ht="14.25" customHeight="1">
      <c r="A775" s="169" t="s">
        <v>18714</v>
      </c>
      <c r="B775" s="169" t="s">
        <v>11471</v>
      </c>
      <c r="C775" s="169" t="s">
        <v>16629</v>
      </c>
      <c r="D775" s="169" t="str">
        <f t="shared" ref="D775:E775" si="519">"1639422799417"</f>
        <v>1639422799417</v>
      </c>
      <c r="E775" s="169" t="str">
        <f t="shared" si="519"/>
        <v>1639422799417</v>
      </c>
      <c r="F775" s="169" t="s">
        <v>18811</v>
      </c>
      <c r="G775" s="169">
        <v>2.0</v>
      </c>
      <c r="H775" s="169">
        <v>18891.0</v>
      </c>
      <c r="I775" s="169">
        <v>37782.0</v>
      </c>
      <c r="J775" s="169">
        <v>0.0</v>
      </c>
      <c r="K775" s="169">
        <v>2.0</v>
      </c>
      <c r="L775" s="169">
        <v>0.0</v>
      </c>
    </row>
    <row r="776" ht="14.25" customHeight="1">
      <c r="A776" s="169" t="s">
        <v>18714</v>
      </c>
      <c r="B776" s="169" t="s">
        <v>11471</v>
      </c>
      <c r="C776" s="169" t="s">
        <v>16627</v>
      </c>
      <c r="D776" s="169" t="str">
        <f t="shared" ref="D776:E776" si="520">"1644259048756"</f>
        <v>1644259048756</v>
      </c>
      <c r="E776" s="169" t="str">
        <f t="shared" si="520"/>
        <v>1644259048756</v>
      </c>
      <c r="F776" s="169" t="s">
        <v>18811</v>
      </c>
      <c r="G776" s="169">
        <v>1.0</v>
      </c>
      <c r="H776" s="169">
        <v>43624.0</v>
      </c>
      <c r="I776" s="169">
        <v>43624.0</v>
      </c>
      <c r="J776" s="169">
        <v>0.0</v>
      </c>
      <c r="K776" s="169">
        <v>1.0</v>
      </c>
      <c r="L776" s="169">
        <v>0.0</v>
      </c>
    </row>
    <row r="777" ht="14.25" customHeight="1">
      <c r="A777" s="169" t="s">
        <v>18714</v>
      </c>
      <c r="B777" s="169" t="s">
        <v>11471</v>
      </c>
      <c r="C777" s="169" t="s">
        <v>16625</v>
      </c>
      <c r="D777" s="169" t="str">
        <f t="shared" ref="D777:E777" si="521">"1644259059993"</f>
        <v>1644259059993</v>
      </c>
      <c r="E777" s="169" t="str">
        <f t="shared" si="521"/>
        <v>1644259059993</v>
      </c>
      <c r="F777" s="169" t="s">
        <v>18811</v>
      </c>
      <c r="G777" s="169">
        <v>1.0</v>
      </c>
      <c r="H777" s="169">
        <v>9282.0</v>
      </c>
      <c r="I777" s="169">
        <v>9282.0</v>
      </c>
      <c r="J777" s="169">
        <v>0.0</v>
      </c>
      <c r="K777" s="169">
        <v>1.0</v>
      </c>
      <c r="L777" s="169">
        <v>0.0</v>
      </c>
    </row>
    <row r="778" ht="14.25" customHeight="1">
      <c r="A778" s="169" t="s">
        <v>18714</v>
      </c>
      <c r="B778" s="169" t="s">
        <v>11471</v>
      </c>
      <c r="C778" s="169" t="s">
        <v>16623</v>
      </c>
      <c r="D778" s="169" t="str">
        <f t="shared" ref="D778:E778" si="522">"1658434052995"</f>
        <v>1658434052995</v>
      </c>
      <c r="E778" s="169" t="str">
        <f t="shared" si="522"/>
        <v>1658434052995</v>
      </c>
      <c r="F778" s="169" t="s">
        <v>18811</v>
      </c>
      <c r="G778" s="169">
        <v>1.0</v>
      </c>
      <c r="H778" s="169">
        <v>44227.0</v>
      </c>
      <c r="I778" s="169">
        <v>44227.0</v>
      </c>
      <c r="J778" s="169">
        <v>0.0</v>
      </c>
      <c r="K778" s="169">
        <v>1.0</v>
      </c>
      <c r="L778" s="169">
        <v>0.0</v>
      </c>
    </row>
    <row r="779" ht="14.25" customHeight="1">
      <c r="A779" s="169" t="s">
        <v>18714</v>
      </c>
      <c r="B779" s="169" t="s">
        <v>11471</v>
      </c>
      <c r="C779" s="169" t="s">
        <v>16621</v>
      </c>
      <c r="D779" s="169" t="str">
        <f t="shared" ref="D779:E779" si="523">"1658434022703"</f>
        <v>1658434022703</v>
      </c>
      <c r="E779" s="169" t="str">
        <f t="shared" si="523"/>
        <v>1658434022703</v>
      </c>
      <c r="F779" s="169" t="s">
        <v>18811</v>
      </c>
      <c r="G779" s="169">
        <v>8.0</v>
      </c>
      <c r="H779" s="169">
        <v>29546.0</v>
      </c>
      <c r="I779" s="169">
        <v>236368.0</v>
      </c>
      <c r="J779" s="169">
        <v>0.0</v>
      </c>
      <c r="K779" s="169">
        <v>8.0</v>
      </c>
      <c r="L779" s="169">
        <v>0.0</v>
      </c>
    </row>
    <row r="780" ht="14.25" customHeight="1">
      <c r="A780" s="169" t="s">
        <v>18714</v>
      </c>
      <c r="B780" s="169" t="s">
        <v>11471</v>
      </c>
      <c r="C780" s="169" t="s">
        <v>16619</v>
      </c>
      <c r="D780" s="169" t="str">
        <f t="shared" ref="D780:E780" si="524">"1628778300463"</f>
        <v>1628778300463</v>
      </c>
      <c r="E780" s="169" t="str">
        <f t="shared" si="524"/>
        <v>1628778300463</v>
      </c>
      <c r="F780" s="169" t="s">
        <v>18811</v>
      </c>
      <c r="G780" s="169">
        <v>1.0</v>
      </c>
      <c r="H780" s="169">
        <v>9814.0</v>
      </c>
      <c r="I780" s="169">
        <v>9814.0</v>
      </c>
      <c r="J780" s="169">
        <v>0.0</v>
      </c>
      <c r="K780" s="169">
        <v>1.0</v>
      </c>
      <c r="L780" s="169">
        <v>0.0</v>
      </c>
    </row>
    <row r="781" ht="14.25" customHeight="1">
      <c r="A781" s="169" t="s">
        <v>18714</v>
      </c>
      <c r="B781" s="169" t="s">
        <v>11471</v>
      </c>
      <c r="C781" s="169" t="s">
        <v>16617</v>
      </c>
      <c r="D781" s="169" t="str">
        <f t="shared" ref="D781:E781" si="525">"1661877072053"</f>
        <v>1661877072053</v>
      </c>
      <c r="E781" s="169" t="str">
        <f t="shared" si="525"/>
        <v>1661877072053</v>
      </c>
      <c r="F781" s="169" t="s">
        <v>18811</v>
      </c>
      <c r="G781" s="169">
        <v>2.0</v>
      </c>
      <c r="H781" s="169">
        <v>270567.0</v>
      </c>
      <c r="I781" s="169">
        <v>541134.0</v>
      </c>
      <c r="J781" s="169">
        <v>0.0</v>
      </c>
      <c r="K781" s="169">
        <v>2.0</v>
      </c>
      <c r="L781" s="169">
        <v>0.0</v>
      </c>
    </row>
    <row r="782" ht="14.25" customHeight="1">
      <c r="A782" s="169" t="s">
        <v>18714</v>
      </c>
      <c r="B782" s="169" t="s">
        <v>11471</v>
      </c>
      <c r="C782" s="169" t="s">
        <v>516</v>
      </c>
      <c r="D782" s="169" t="str">
        <f t="shared" ref="D782:E782" si="526">"1523536647880"</f>
        <v>1523536647880</v>
      </c>
      <c r="E782" s="169" t="str">
        <f t="shared" si="526"/>
        <v>1523536647880</v>
      </c>
      <c r="F782" s="169" t="s">
        <v>18811</v>
      </c>
      <c r="G782" s="169">
        <v>131.0</v>
      </c>
      <c r="H782" s="169">
        <v>11473.7</v>
      </c>
      <c r="I782" s="169">
        <v>1503050.0</v>
      </c>
      <c r="J782" s="169">
        <v>0.0</v>
      </c>
      <c r="K782" s="169">
        <v>131.0</v>
      </c>
      <c r="L782" s="169">
        <v>0.0</v>
      </c>
    </row>
    <row r="783" ht="14.25" customHeight="1">
      <c r="A783" s="169" t="s">
        <v>18714</v>
      </c>
      <c r="B783" s="169" t="s">
        <v>11471</v>
      </c>
      <c r="C783" s="169" t="s">
        <v>16614</v>
      </c>
      <c r="D783" s="169" t="str">
        <f t="shared" ref="D783:E783" si="527">"1632938525133"</f>
        <v>1632938525133</v>
      </c>
      <c r="E783" s="169" t="str">
        <f t="shared" si="527"/>
        <v>1632938525133</v>
      </c>
      <c r="F783" s="169" t="s">
        <v>18811</v>
      </c>
      <c r="G783" s="169">
        <v>1.0</v>
      </c>
      <c r="H783" s="169">
        <v>26475.0</v>
      </c>
      <c r="I783" s="169">
        <v>26475.0</v>
      </c>
      <c r="J783" s="169">
        <v>0.0</v>
      </c>
      <c r="K783" s="169">
        <v>1.0</v>
      </c>
      <c r="L783" s="169">
        <v>0.0</v>
      </c>
    </row>
    <row r="784" ht="14.25" customHeight="1">
      <c r="A784" s="169" t="s">
        <v>18714</v>
      </c>
      <c r="B784" s="169" t="s">
        <v>11471</v>
      </c>
      <c r="C784" s="169" t="s">
        <v>660</v>
      </c>
      <c r="D784" s="169" t="str">
        <f>"0736372918840"</f>
        <v>0736372918840</v>
      </c>
      <c r="E784" s="169" t="str">
        <f>"LHTRMU-WH"</f>
        <v>LHTRMU-WH</v>
      </c>
      <c r="F784" s="169" t="s">
        <v>18811</v>
      </c>
      <c r="G784" s="169">
        <v>44.0</v>
      </c>
      <c r="H784" s="169">
        <v>2788.0</v>
      </c>
      <c r="I784" s="169">
        <v>122672.0</v>
      </c>
      <c r="J784" s="169">
        <v>0.0</v>
      </c>
      <c r="K784" s="169">
        <v>44.0</v>
      </c>
      <c r="L784" s="169">
        <v>0.0</v>
      </c>
    </row>
    <row r="785" ht="14.25" customHeight="1">
      <c r="A785" s="169" t="s">
        <v>18714</v>
      </c>
      <c r="B785" s="169" t="s">
        <v>11471</v>
      </c>
      <c r="C785" s="169" t="s">
        <v>662</v>
      </c>
      <c r="D785" s="169" t="str">
        <f>"0736372918864"</f>
        <v>0736372918864</v>
      </c>
      <c r="E785" s="169" t="str">
        <f>"LHTRMU-BL"</f>
        <v>LHTRMU-BL</v>
      </c>
      <c r="F785" s="169" t="s">
        <v>18811</v>
      </c>
      <c r="G785" s="169">
        <v>45.0</v>
      </c>
      <c r="H785" s="169">
        <v>2788.0</v>
      </c>
      <c r="I785" s="169">
        <v>125460.0</v>
      </c>
      <c r="J785" s="169">
        <v>0.0</v>
      </c>
      <c r="K785" s="169">
        <v>45.0</v>
      </c>
      <c r="L785" s="169">
        <v>0.0</v>
      </c>
    </row>
    <row r="786" ht="14.25" customHeight="1">
      <c r="A786" s="169" t="s">
        <v>18714</v>
      </c>
      <c r="B786" s="169" t="s">
        <v>11471</v>
      </c>
      <c r="C786" s="169" t="s">
        <v>664</v>
      </c>
      <c r="D786" s="169" t="str">
        <f>"0736372918833"</f>
        <v>0736372918833</v>
      </c>
      <c r="E786" s="169" t="str">
        <f>"LHTRMU-BK"</f>
        <v>LHTRMU-BK</v>
      </c>
      <c r="F786" s="169" t="s">
        <v>18811</v>
      </c>
      <c r="G786" s="169">
        <v>30.0</v>
      </c>
      <c r="H786" s="169">
        <v>2788.0</v>
      </c>
      <c r="I786" s="169">
        <v>83640.0</v>
      </c>
      <c r="J786" s="169">
        <v>0.0</v>
      </c>
      <c r="K786" s="169">
        <v>30.0</v>
      </c>
      <c r="L786" s="169">
        <v>0.0</v>
      </c>
    </row>
    <row r="787" ht="14.25" customHeight="1">
      <c r="A787" s="169" t="s">
        <v>18714</v>
      </c>
      <c r="B787" s="169" t="s">
        <v>11471</v>
      </c>
      <c r="C787" s="169" t="s">
        <v>666</v>
      </c>
      <c r="D787" s="169" t="str">
        <f>"0736372918857"</f>
        <v>0736372918857</v>
      </c>
      <c r="E787" s="169" t="str">
        <f>"LHTRMU-PK"</f>
        <v>LHTRMU-PK</v>
      </c>
      <c r="F787" s="169" t="s">
        <v>18811</v>
      </c>
      <c r="G787" s="169">
        <v>40.0</v>
      </c>
      <c r="H787" s="169">
        <v>2788.0</v>
      </c>
      <c r="I787" s="169">
        <v>111520.0</v>
      </c>
      <c r="J787" s="169">
        <v>0.0</v>
      </c>
      <c r="K787" s="169">
        <v>40.0</v>
      </c>
      <c r="L787" s="169">
        <v>0.0</v>
      </c>
    </row>
    <row r="788" ht="14.25" customHeight="1">
      <c r="A788" s="169" t="s">
        <v>18714</v>
      </c>
      <c r="B788" s="169" t="s">
        <v>11471</v>
      </c>
      <c r="C788" s="169" t="s">
        <v>668</v>
      </c>
      <c r="D788" s="169" t="str">
        <f>"0736372918871"</f>
        <v>0736372918871</v>
      </c>
      <c r="E788" s="169" t="str">
        <f>"LHTRMU-GR"</f>
        <v>LHTRMU-GR</v>
      </c>
      <c r="F788" s="169" t="s">
        <v>18811</v>
      </c>
      <c r="G788" s="169">
        <v>39.0</v>
      </c>
      <c r="H788" s="169">
        <v>2788.0</v>
      </c>
      <c r="I788" s="169">
        <v>108732.0</v>
      </c>
      <c r="J788" s="169">
        <v>0.0</v>
      </c>
      <c r="K788" s="169">
        <v>39.0</v>
      </c>
      <c r="L788" s="169">
        <v>0.0</v>
      </c>
    </row>
    <row r="789" ht="14.25" customHeight="1">
      <c r="A789" s="169" t="s">
        <v>18714</v>
      </c>
      <c r="B789" s="169" t="s">
        <v>11471</v>
      </c>
      <c r="C789" s="169" t="s">
        <v>16612</v>
      </c>
      <c r="D789" s="169" t="str">
        <f t="shared" ref="D789:E789" si="528">"1628778335600"</f>
        <v>1628778335600</v>
      </c>
      <c r="E789" s="169" t="str">
        <f t="shared" si="528"/>
        <v>1628778335600</v>
      </c>
      <c r="F789" s="169" t="s">
        <v>18811</v>
      </c>
      <c r="G789" s="169">
        <v>1.0</v>
      </c>
      <c r="H789" s="169">
        <v>15757.0</v>
      </c>
      <c r="I789" s="169">
        <v>15757.0</v>
      </c>
      <c r="J789" s="169">
        <v>0.0</v>
      </c>
      <c r="K789" s="169">
        <v>1.0</v>
      </c>
      <c r="L789" s="169">
        <v>0.0</v>
      </c>
    </row>
    <row r="790" ht="14.25" customHeight="1">
      <c r="A790" s="169" t="s">
        <v>18714</v>
      </c>
      <c r="B790" s="169" t="s">
        <v>11471</v>
      </c>
      <c r="C790" s="169" t="s">
        <v>16610</v>
      </c>
      <c r="D790" s="169" t="str">
        <f t="shared" ref="D790:E790" si="529">"1644258895286"</f>
        <v>1644258895286</v>
      </c>
      <c r="E790" s="169" t="str">
        <f t="shared" si="529"/>
        <v>1644258895286</v>
      </c>
      <c r="F790" s="169" t="s">
        <v>18811</v>
      </c>
      <c r="G790" s="169">
        <v>1.0</v>
      </c>
      <c r="H790" s="169">
        <v>3713.0</v>
      </c>
      <c r="I790" s="169">
        <v>3713.0</v>
      </c>
      <c r="J790" s="169">
        <v>0.0</v>
      </c>
      <c r="K790" s="169">
        <v>1.0</v>
      </c>
      <c r="L790" s="169">
        <v>0.0</v>
      </c>
    </row>
    <row r="791" ht="14.25" customHeight="1">
      <c r="A791" s="169" t="s">
        <v>18714</v>
      </c>
      <c r="B791" s="169" t="s">
        <v>11471</v>
      </c>
      <c r="C791" s="169" t="s">
        <v>517</v>
      </c>
      <c r="D791" s="169" t="str">
        <f t="shared" ref="D791:E791" si="530">"1513614057219"</f>
        <v>1513614057219</v>
      </c>
      <c r="E791" s="169" t="str">
        <f t="shared" si="530"/>
        <v>1513614057219</v>
      </c>
      <c r="F791" s="169" t="s">
        <v>18811</v>
      </c>
      <c r="G791" s="169">
        <v>271.0</v>
      </c>
      <c r="H791" s="169">
        <v>3378.8</v>
      </c>
      <c r="I791" s="169">
        <v>915665.0</v>
      </c>
      <c r="J791" s="169">
        <v>0.0</v>
      </c>
      <c r="K791" s="169">
        <v>271.0</v>
      </c>
      <c r="L791" s="169">
        <v>0.0</v>
      </c>
    </row>
    <row r="792" ht="14.25" customHeight="1">
      <c r="A792" s="169" t="s">
        <v>18714</v>
      </c>
      <c r="B792" s="169" t="s">
        <v>11471</v>
      </c>
      <c r="C792" s="169" t="s">
        <v>16607</v>
      </c>
      <c r="D792" s="169" t="str">
        <f>"1644258852972"</f>
        <v>1644258852972</v>
      </c>
      <c r="E792" s="169" t="str">
        <f>"1644258852971"</f>
        <v>1644258852971</v>
      </c>
      <c r="F792" s="169" t="s">
        <v>18811</v>
      </c>
      <c r="G792" s="169">
        <v>1.0</v>
      </c>
      <c r="H792" s="169">
        <v>15779.0</v>
      </c>
      <c r="I792" s="169">
        <v>15779.0</v>
      </c>
      <c r="J792" s="169">
        <v>0.0</v>
      </c>
      <c r="K792" s="169">
        <v>1.0</v>
      </c>
      <c r="L792" s="169">
        <v>0.0</v>
      </c>
    </row>
    <row r="793" ht="14.25" customHeight="1">
      <c r="A793" s="169" t="s">
        <v>18714</v>
      </c>
      <c r="B793" s="169" t="s">
        <v>11471</v>
      </c>
      <c r="C793" s="169" t="s">
        <v>16605</v>
      </c>
      <c r="D793" s="169" t="str">
        <f>"0788070729228"</f>
        <v>0788070729228</v>
      </c>
      <c r="E793" s="169" t="str">
        <f>"1630370351313"</f>
        <v>1630370351313</v>
      </c>
      <c r="F793" s="169" t="s">
        <v>18811</v>
      </c>
      <c r="G793" s="169">
        <v>3.0</v>
      </c>
      <c r="H793" s="169">
        <v>146573.0</v>
      </c>
      <c r="I793" s="169">
        <v>439719.0</v>
      </c>
      <c r="J793" s="169">
        <v>0.0</v>
      </c>
      <c r="K793" s="169">
        <v>3.0</v>
      </c>
      <c r="L793" s="169">
        <v>0.0</v>
      </c>
    </row>
    <row r="794" ht="14.25" customHeight="1">
      <c r="A794" s="169" t="s">
        <v>18714</v>
      </c>
      <c r="B794" s="169" t="s">
        <v>11471</v>
      </c>
      <c r="C794" s="169" t="s">
        <v>705</v>
      </c>
      <c r="D794" s="169" t="str">
        <f>"0736372919120"</f>
        <v>0736372919120</v>
      </c>
      <c r="E794" s="169" t="str">
        <f>"LHMAMU-WH"</f>
        <v>LHMAMU-WH</v>
      </c>
      <c r="F794" s="169" t="s">
        <v>18811</v>
      </c>
      <c r="G794" s="169">
        <v>95.0</v>
      </c>
      <c r="H794" s="169">
        <v>2402.0</v>
      </c>
      <c r="I794" s="169">
        <v>228190.0</v>
      </c>
      <c r="J794" s="169">
        <v>0.0</v>
      </c>
      <c r="K794" s="169">
        <v>95.0</v>
      </c>
      <c r="L794" s="169">
        <v>0.0</v>
      </c>
    </row>
    <row r="795" ht="14.25" customHeight="1">
      <c r="A795" s="169" t="s">
        <v>18714</v>
      </c>
      <c r="B795" s="169" t="s">
        <v>11471</v>
      </c>
      <c r="C795" s="169" t="s">
        <v>707</v>
      </c>
      <c r="D795" s="169" t="str">
        <f>"0736372919144"</f>
        <v>0736372919144</v>
      </c>
      <c r="E795" s="169" t="str">
        <f>"LHMAMU-BK"</f>
        <v>LHMAMU-BK</v>
      </c>
      <c r="F795" s="169" t="s">
        <v>18811</v>
      </c>
      <c r="G795" s="169">
        <v>95.0</v>
      </c>
      <c r="H795" s="169">
        <v>2402.0</v>
      </c>
      <c r="I795" s="169">
        <v>228190.0</v>
      </c>
      <c r="J795" s="169">
        <v>0.0</v>
      </c>
      <c r="K795" s="169">
        <v>95.0</v>
      </c>
      <c r="L795" s="169">
        <v>0.0</v>
      </c>
    </row>
    <row r="796" ht="14.25" customHeight="1">
      <c r="A796" s="169" t="s">
        <v>18714</v>
      </c>
      <c r="B796" s="169" t="s">
        <v>11471</v>
      </c>
      <c r="C796" s="169" t="s">
        <v>709</v>
      </c>
      <c r="D796" s="169" t="str">
        <f>"0736372919168"</f>
        <v>0736372919168</v>
      </c>
      <c r="E796" s="169" t="str">
        <f>"LHMAMU-RD"</f>
        <v>LHMAMU-RD</v>
      </c>
      <c r="F796" s="169" t="s">
        <v>18811</v>
      </c>
      <c r="G796" s="169">
        <v>94.0</v>
      </c>
      <c r="H796" s="169">
        <v>2402.0</v>
      </c>
      <c r="I796" s="169">
        <v>225788.0</v>
      </c>
      <c r="J796" s="169">
        <v>0.0</v>
      </c>
      <c r="K796" s="169">
        <v>94.0</v>
      </c>
      <c r="L796" s="169">
        <v>0.0</v>
      </c>
    </row>
    <row r="797" ht="14.25" customHeight="1">
      <c r="A797" s="169" t="s">
        <v>18714</v>
      </c>
      <c r="B797" s="169" t="s">
        <v>11471</v>
      </c>
      <c r="C797" s="169" t="s">
        <v>711</v>
      </c>
      <c r="D797" s="169" t="str">
        <f>"0736372919151"</f>
        <v>0736372919151</v>
      </c>
      <c r="E797" s="169" t="str">
        <f>"LHMAMU-PK"</f>
        <v>LHMAMU-PK</v>
      </c>
      <c r="F797" s="169" t="s">
        <v>18811</v>
      </c>
      <c r="G797" s="169">
        <v>97.0</v>
      </c>
      <c r="H797" s="169">
        <v>2402.0</v>
      </c>
      <c r="I797" s="169">
        <v>232994.0</v>
      </c>
      <c r="J797" s="169">
        <v>0.0</v>
      </c>
      <c r="K797" s="169">
        <v>97.0</v>
      </c>
      <c r="L797" s="169">
        <v>0.0</v>
      </c>
    </row>
    <row r="798" ht="14.25" customHeight="1">
      <c r="A798" s="169" t="s">
        <v>18714</v>
      </c>
      <c r="B798" s="169" t="s">
        <v>11471</v>
      </c>
      <c r="C798" s="169" t="s">
        <v>715</v>
      </c>
      <c r="D798" s="169" t="str">
        <f>"0736372919137"</f>
        <v>0736372919137</v>
      </c>
      <c r="E798" s="169" t="str">
        <f>"LHMAMU-GR"</f>
        <v>LHMAMU-GR</v>
      </c>
      <c r="F798" s="169" t="s">
        <v>18811</v>
      </c>
      <c r="G798" s="169">
        <v>94.0</v>
      </c>
      <c r="H798" s="169">
        <v>2402.0</v>
      </c>
      <c r="I798" s="169">
        <v>225788.0</v>
      </c>
      <c r="J798" s="169">
        <v>0.0</v>
      </c>
      <c r="K798" s="169">
        <v>94.0</v>
      </c>
      <c r="L798" s="169">
        <v>0.0</v>
      </c>
    </row>
    <row r="799" ht="14.25" customHeight="1">
      <c r="A799" s="169" t="s">
        <v>18714</v>
      </c>
      <c r="B799" s="169" t="s">
        <v>11471</v>
      </c>
      <c r="C799" s="169" t="s">
        <v>16603</v>
      </c>
      <c r="D799" s="169" t="str">
        <f t="shared" ref="D799:E799" si="531">"1566849947902"</f>
        <v>1566849947902</v>
      </c>
      <c r="E799" s="169" t="str">
        <f t="shared" si="531"/>
        <v>1566849947902</v>
      </c>
      <c r="F799" s="169" t="s">
        <v>18811</v>
      </c>
      <c r="G799" s="169">
        <v>22.0</v>
      </c>
      <c r="H799" s="169">
        <v>9578.5</v>
      </c>
      <c r="I799" s="169">
        <v>210727.0</v>
      </c>
      <c r="J799" s="169">
        <v>1.0</v>
      </c>
      <c r="K799" s="169">
        <v>21.0</v>
      </c>
      <c r="L799" s="169">
        <v>0.0</v>
      </c>
    </row>
    <row r="800" ht="14.25" customHeight="1">
      <c r="A800" s="169" t="s">
        <v>18714</v>
      </c>
      <c r="B800" s="169" t="s">
        <v>11471</v>
      </c>
      <c r="C800" s="169" t="s">
        <v>16601</v>
      </c>
      <c r="D800" s="169" t="str">
        <f t="shared" ref="D800:E800" si="532">"1650478169323"</f>
        <v>1650478169323</v>
      </c>
      <c r="E800" s="169" t="str">
        <f t="shared" si="532"/>
        <v>1650478169323</v>
      </c>
      <c r="F800" s="169" t="s">
        <v>18811</v>
      </c>
      <c r="G800" s="169">
        <v>1.0</v>
      </c>
      <c r="H800" s="169">
        <v>8471.0</v>
      </c>
      <c r="I800" s="169">
        <v>8471.0</v>
      </c>
      <c r="J800" s="169">
        <v>0.0</v>
      </c>
      <c r="K800" s="169">
        <v>1.0</v>
      </c>
      <c r="L800" s="169">
        <v>0.0</v>
      </c>
    </row>
    <row r="801" ht="14.25" customHeight="1">
      <c r="A801" s="169" t="s">
        <v>18714</v>
      </c>
      <c r="B801" s="169" t="s">
        <v>11471</v>
      </c>
      <c r="C801" s="169" t="s">
        <v>567</v>
      </c>
      <c r="D801" s="169" t="str">
        <f>"0736372918758"</f>
        <v>0736372918758</v>
      </c>
      <c r="E801" s="169" t="str">
        <f>"LHMOBI001-BL"</f>
        <v>LHMOBI001-BL</v>
      </c>
      <c r="F801" s="169" t="s">
        <v>18811</v>
      </c>
      <c r="G801" s="169">
        <v>66.0</v>
      </c>
      <c r="H801" s="169">
        <v>8272.0</v>
      </c>
      <c r="I801" s="169">
        <v>545952.0</v>
      </c>
      <c r="J801" s="169">
        <v>0.0</v>
      </c>
      <c r="K801" s="169">
        <v>66.0</v>
      </c>
      <c r="L801" s="169">
        <v>0.0</v>
      </c>
    </row>
    <row r="802" ht="14.25" customHeight="1">
      <c r="A802" s="169" t="s">
        <v>18714</v>
      </c>
      <c r="B802" s="169" t="s">
        <v>11471</v>
      </c>
      <c r="C802" s="169" t="s">
        <v>569</v>
      </c>
      <c r="D802" s="169" t="str">
        <f>"0736372918741"</f>
        <v>0736372918741</v>
      </c>
      <c r="E802" s="169" t="str">
        <f>"LHMOBI001-GR"</f>
        <v>LHMOBI001-GR</v>
      </c>
      <c r="F802" s="169" t="s">
        <v>18811</v>
      </c>
      <c r="G802" s="169">
        <v>28.0</v>
      </c>
      <c r="H802" s="169">
        <v>8272.0</v>
      </c>
      <c r="I802" s="169">
        <v>231616.0</v>
      </c>
      <c r="J802" s="169">
        <v>0.0</v>
      </c>
      <c r="K802" s="169">
        <v>28.0</v>
      </c>
      <c r="L802" s="169">
        <v>0.0</v>
      </c>
    </row>
    <row r="803" ht="14.25" customHeight="1">
      <c r="A803" s="169" t="s">
        <v>18714</v>
      </c>
      <c r="B803" s="169" t="s">
        <v>11471</v>
      </c>
      <c r="C803" s="169" t="s">
        <v>571</v>
      </c>
      <c r="D803" s="169" t="str">
        <f>"0736372918734"</f>
        <v>0736372918734</v>
      </c>
      <c r="E803" s="169" t="str">
        <f>"LHMOBI001-BK"</f>
        <v>LHMOBI001-BK</v>
      </c>
      <c r="F803" s="169" t="s">
        <v>18811</v>
      </c>
      <c r="G803" s="169">
        <v>145.0</v>
      </c>
      <c r="H803" s="169">
        <v>8272.0</v>
      </c>
      <c r="I803" s="169">
        <v>1199440.0</v>
      </c>
      <c r="J803" s="169">
        <v>0.0</v>
      </c>
      <c r="K803" s="169">
        <v>145.0</v>
      </c>
      <c r="L803" s="169">
        <v>0.0</v>
      </c>
    </row>
    <row r="804" ht="14.25" customHeight="1">
      <c r="A804" s="169" t="s">
        <v>18714</v>
      </c>
      <c r="B804" s="169" t="s">
        <v>11471</v>
      </c>
      <c r="C804" s="169" t="s">
        <v>577</v>
      </c>
      <c r="D804" s="169" t="str">
        <f t="shared" ref="D804:E804" si="533">"1623703728452"</f>
        <v>1623703728452</v>
      </c>
      <c r="E804" s="169" t="str">
        <f t="shared" si="533"/>
        <v>1623703728452</v>
      </c>
      <c r="F804" s="169" t="s">
        <v>18811</v>
      </c>
      <c r="G804" s="169">
        <v>198.0</v>
      </c>
      <c r="H804" s="169">
        <v>8697.4</v>
      </c>
      <c r="I804" s="169">
        <v>1722078.0</v>
      </c>
      <c r="J804" s="169">
        <v>0.0</v>
      </c>
      <c r="K804" s="169">
        <v>198.0</v>
      </c>
      <c r="L804" s="169">
        <v>0.0</v>
      </c>
    </row>
    <row r="805" ht="14.25" customHeight="1">
      <c r="A805" s="169" t="s">
        <v>18714</v>
      </c>
      <c r="B805" s="169" t="s">
        <v>11471</v>
      </c>
      <c r="C805" s="169" t="s">
        <v>578</v>
      </c>
      <c r="D805" s="169" t="str">
        <f t="shared" ref="D805:E805" si="534">"1623703690011"</f>
        <v>1623703690011</v>
      </c>
      <c r="E805" s="169" t="str">
        <f t="shared" si="534"/>
        <v>1623703690011</v>
      </c>
      <c r="F805" s="169" t="s">
        <v>18811</v>
      </c>
      <c r="G805" s="169">
        <v>444.0</v>
      </c>
      <c r="H805" s="169">
        <v>8514.8</v>
      </c>
      <c r="I805" s="169">
        <v>3780554.0</v>
      </c>
      <c r="J805" s="169">
        <v>1.0</v>
      </c>
      <c r="K805" s="169">
        <v>443.0</v>
      </c>
      <c r="L805" s="169">
        <v>0.0</v>
      </c>
    </row>
    <row r="806" ht="14.25" customHeight="1">
      <c r="A806" s="169" t="s">
        <v>18714</v>
      </c>
      <c r="B806" s="169" t="s">
        <v>11471</v>
      </c>
      <c r="C806" s="169" t="s">
        <v>583</v>
      </c>
      <c r="D806" s="169" t="str">
        <f>"0788070732662"</f>
        <v>0788070732662</v>
      </c>
      <c r="E806" s="169" t="str">
        <f>"1661873760641"</f>
        <v>1661873760641</v>
      </c>
      <c r="F806" s="169" t="s">
        <v>18811</v>
      </c>
      <c r="G806" s="169">
        <v>35.0</v>
      </c>
      <c r="H806" s="169">
        <v>8271.7</v>
      </c>
      <c r="I806" s="169">
        <v>289510.0</v>
      </c>
      <c r="J806" s="169">
        <v>1.0</v>
      </c>
      <c r="K806" s="169">
        <v>34.0</v>
      </c>
      <c r="L806" s="169">
        <v>0.0</v>
      </c>
    </row>
    <row r="807" ht="14.25" customHeight="1">
      <c r="A807" s="169" t="s">
        <v>18714</v>
      </c>
      <c r="B807" s="169" t="s">
        <v>11471</v>
      </c>
      <c r="C807" s="169" t="s">
        <v>584</v>
      </c>
      <c r="D807" s="169" t="str">
        <f>"0788070732679"</f>
        <v>0788070732679</v>
      </c>
      <c r="E807" s="169" t="str">
        <f>"1661873779510"</f>
        <v>1661873779510</v>
      </c>
      <c r="F807" s="169" t="s">
        <v>18811</v>
      </c>
      <c r="G807" s="169">
        <v>3.0</v>
      </c>
      <c r="H807" s="169">
        <v>8380.0</v>
      </c>
      <c r="I807" s="169">
        <v>25140.0</v>
      </c>
      <c r="J807" s="169">
        <v>0.0</v>
      </c>
      <c r="K807" s="169">
        <v>3.0</v>
      </c>
      <c r="L807" s="169">
        <v>0.0</v>
      </c>
    </row>
    <row r="808" ht="14.25" customHeight="1">
      <c r="A808" s="169" t="s">
        <v>18714</v>
      </c>
      <c r="B808" s="169" t="s">
        <v>11471</v>
      </c>
      <c r="C808" s="169" t="s">
        <v>16595</v>
      </c>
      <c r="D808" s="169" t="str">
        <f t="shared" ref="D808:E808" si="535">"1650478206093"</f>
        <v>1650478206093</v>
      </c>
      <c r="E808" s="169" t="str">
        <f t="shared" si="535"/>
        <v>1650478206093</v>
      </c>
      <c r="F808" s="169" t="s">
        <v>18811</v>
      </c>
      <c r="G808" s="169">
        <v>1.0</v>
      </c>
      <c r="H808" s="169">
        <v>10377.0</v>
      </c>
      <c r="I808" s="169">
        <v>10377.0</v>
      </c>
      <c r="J808" s="169">
        <v>0.0</v>
      </c>
      <c r="K808" s="169">
        <v>1.0</v>
      </c>
      <c r="L808" s="169">
        <v>0.0</v>
      </c>
    </row>
    <row r="809" ht="14.25" customHeight="1">
      <c r="A809" s="169" t="s">
        <v>18714</v>
      </c>
      <c r="B809" s="169" t="s">
        <v>11471</v>
      </c>
      <c r="C809" s="169" t="s">
        <v>16593</v>
      </c>
      <c r="D809" s="169" t="str">
        <f t="shared" ref="D809:E809" si="536">"1650478157760"</f>
        <v>1650478157760</v>
      </c>
      <c r="E809" s="169" t="str">
        <f t="shared" si="536"/>
        <v>1650478157760</v>
      </c>
      <c r="F809" s="169" t="s">
        <v>18811</v>
      </c>
      <c r="G809" s="169">
        <v>1.0</v>
      </c>
      <c r="H809" s="169">
        <v>33883.0</v>
      </c>
      <c r="I809" s="169">
        <v>33883.0</v>
      </c>
      <c r="J809" s="169">
        <v>0.0</v>
      </c>
      <c r="K809" s="169">
        <v>1.0</v>
      </c>
      <c r="L809" s="169">
        <v>0.0</v>
      </c>
    </row>
    <row r="810" ht="14.25" customHeight="1">
      <c r="A810" s="169" t="s">
        <v>18714</v>
      </c>
      <c r="B810" s="169" t="s">
        <v>11471</v>
      </c>
      <c r="C810" s="169" t="s">
        <v>589</v>
      </c>
      <c r="D810" s="169" t="str">
        <f>"0788070732686"</f>
        <v>0788070732686</v>
      </c>
      <c r="E810" s="169" t="str">
        <f>"1661873799978"</f>
        <v>1661873799978</v>
      </c>
      <c r="F810" s="169" t="s">
        <v>18811</v>
      </c>
      <c r="G810" s="169">
        <v>156.0</v>
      </c>
      <c r="H810" s="169">
        <v>9254.6</v>
      </c>
      <c r="I810" s="169">
        <v>1443723.0</v>
      </c>
      <c r="J810" s="169">
        <v>1.0</v>
      </c>
      <c r="K810" s="169">
        <v>155.0</v>
      </c>
      <c r="L810" s="169">
        <v>0.0</v>
      </c>
    </row>
    <row r="811" ht="14.25" customHeight="1">
      <c r="A811" s="169" t="s">
        <v>18714</v>
      </c>
      <c r="B811" s="169" t="s">
        <v>11471</v>
      </c>
      <c r="C811" s="169" t="s">
        <v>590</v>
      </c>
      <c r="D811" s="169" t="str">
        <f>"0788070732693"</f>
        <v>0788070732693</v>
      </c>
      <c r="E811" s="169" t="str">
        <f>"1661873818029"</f>
        <v>1661873818029</v>
      </c>
      <c r="F811" s="169" t="s">
        <v>18811</v>
      </c>
      <c r="G811" s="169">
        <v>115.0</v>
      </c>
      <c r="H811" s="169">
        <v>9466.5</v>
      </c>
      <c r="I811" s="169">
        <v>1088648.0</v>
      </c>
      <c r="J811" s="169">
        <v>0.0</v>
      </c>
      <c r="K811" s="169">
        <v>115.0</v>
      </c>
      <c r="L811" s="169">
        <v>0.0</v>
      </c>
    </row>
    <row r="812" ht="14.25" customHeight="1">
      <c r="A812" s="169" t="s">
        <v>18714</v>
      </c>
      <c r="B812" s="169" t="s">
        <v>11471</v>
      </c>
      <c r="C812" s="169" t="s">
        <v>16589</v>
      </c>
      <c r="D812" s="169" t="str">
        <f t="shared" ref="D812:E812" si="537">"1644258884424"</f>
        <v>1644258884424</v>
      </c>
      <c r="E812" s="169" t="str">
        <f t="shared" si="537"/>
        <v>1644258884424</v>
      </c>
      <c r="F812" s="169" t="s">
        <v>18811</v>
      </c>
      <c r="G812" s="169">
        <v>1.0</v>
      </c>
      <c r="H812" s="169">
        <v>6497.0</v>
      </c>
      <c r="I812" s="169">
        <v>6497.0</v>
      </c>
      <c r="J812" s="169">
        <v>0.0</v>
      </c>
      <c r="K812" s="169">
        <v>1.0</v>
      </c>
      <c r="L812" s="169">
        <v>0.0</v>
      </c>
    </row>
    <row r="813" ht="14.25" customHeight="1">
      <c r="A813" s="169" t="s">
        <v>18714</v>
      </c>
      <c r="B813" s="169" t="s">
        <v>11471</v>
      </c>
      <c r="C813" s="169" t="s">
        <v>16587</v>
      </c>
      <c r="D813" s="169" t="str">
        <f t="shared" ref="D813:E813" si="538">"1650478074858"</f>
        <v>1650478074858</v>
      </c>
      <c r="E813" s="169" t="str">
        <f t="shared" si="538"/>
        <v>1650478074858</v>
      </c>
      <c r="F813" s="169" t="s">
        <v>18811</v>
      </c>
      <c r="G813" s="169">
        <v>1.0</v>
      </c>
      <c r="H813" s="169">
        <v>3388.0</v>
      </c>
      <c r="I813" s="169">
        <v>3388.0</v>
      </c>
      <c r="J813" s="169">
        <v>0.0</v>
      </c>
      <c r="K813" s="169">
        <v>1.0</v>
      </c>
      <c r="L813" s="169">
        <v>0.0</v>
      </c>
    </row>
    <row r="814" ht="14.25" customHeight="1">
      <c r="A814" s="169" t="s">
        <v>18714</v>
      </c>
      <c r="B814" s="169" t="s">
        <v>11471</v>
      </c>
      <c r="C814" s="169" t="s">
        <v>16585</v>
      </c>
      <c r="D814" s="169" t="str">
        <f t="shared" ref="D814:E814" si="539">"1650478062964"</f>
        <v>1650478062964</v>
      </c>
      <c r="E814" s="169" t="str">
        <f t="shared" si="539"/>
        <v>1650478062964</v>
      </c>
      <c r="F814" s="169" t="s">
        <v>18811</v>
      </c>
      <c r="G814" s="169">
        <v>1.0</v>
      </c>
      <c r="H814" s="169">
        <v>2753.0</v>
      </c>
      <c r="I814" s="169">
        <v>2753.0</v>
      </c>
      <c r="J814" s="169">
        <v>0.0</v>
      </c>
      <c r="K814" s="169">
        <v>1.0</v>
      </c>
      <c r="L814" s="169">
        <v>0.0</v>
      </c>
    </row>
    <row r="815" ht="14.25" customHeight="1">
      <c r="A815" s="169" t="s">
        <v>18714</v>
      </c>
      <c r="B815" s="169" t="s">
        <v>11471</v>
      </c>
      <c r="C815" s="169" t="s">
        <v>16583</v>
      </c>
      <c r="D815" s="169" t="str">
        <f t="shared" ref="D815:E815" si="540">"1653404660401"</f>
        <v>1653404660401</v>
      </c>
      <c r="E815" s="169" t="str">
        <f t="shared" si="540"/>
        <v>1653404660401</v>
      </c>
      <c r="F815" s="169" t="s">
        <v>18811</v>
      </c>
      <c r="G815" s="169">
        <v>1.0</v>
      </c>
      <c r="H815" s="169">
        <v>4491.0</v>
      </c>
      <c r="I815" s="169">
        <v>4491.0</v>
      </c>
      <c r="J815" s="169">
        <v>0.0</v>
      </c>
      <c r="K815" s="169">
        <v>1.0</v>
      </c>
      <c r="L815" s="169">
        <v>0.0</v>
      </c>
    </row>
    <row r="816" ht="14.25" customHeight="1">
      <c r="A816" s="169" t="s">
        <v>18714</v>
      </c>
      <c r="B816" s="169" t="s">
        <v>11471</v>
      </c>
      <c r="C816" s="169" t="s">
        <v>16581</v>
      </c>
      <c r="D816" s="169" t="str">
        <f t="shared" ref="D816:E816" si="541">"67414792729571"</f>
        <v>67414792729571</v>
      </c>
      <c r="E816" s="169" t="str">
        <f t="shared" si="541"/>
        <v>67414792729571</v>
      </c>
      <c r="F816" s="169" t="s">
        <v>18811</v>
      </c>
      <c r="G816" s="169">
        <v>1.0</v>
      </c>
      <c r="H816" s="169">
        <v>8771.0</v>
      </c>
      <c r="I816" s="169">
        <v>8771.0</v>
      </c>
      <c r="J816" s="169">
        <v>0.0</v>
      </c>
      <c r="K816" s="169">
        <v>1.0</v>
      </c>
      <c r="L816" s="169">
        <v>0.0</v>
      </c>
    </row>
    <row r="817" ht="14.25" customHeight="1">
      <c r="A817" s="169" t="s">
        <v>18714</v>
      </c>
      <c r="B817" s="169" t="s">
        <v>11471</v>
      </c>
      <c r="C817" s="169" t="s">
        <v>16579</v>
      </c>
      <c r="D817" s="169" t="str">
        <f t="shared" ref="D817:E817" si="542">"1653404613464"</f>
        <v>1653404613464</v>
      </c>
      <c r="E817" s="169" t="str">
        <f t="shared" si="542"/>
        <v>1653404613464</v>
      </c>
      <c r="F817" s="169" t="s">
        <v>18811</v>
      </c>
      <c r="G817" s="169">
        <v>1.0</v>
      </c>
      <c r="H817" s="169">
        <v>12913.0</v>
      </c>
      <c r="I817" s="169">
        <v>12913.0</v>
      </c>
      <c r="J817" s="169">
        <v>0.0</v>
      </c>
      <c r="K817" s="169">
        <v>1.0</v>
      </c>
      <c r="L817" s="169">
        <v>0.0</v>
      </c>
    </row>
    <row r="818" ht="14.25" customHeight="1">
      <c r="A818" s="169" t="s">
        <v>18714</v>
      </c>
      <c r="B818" s="169" t="s">
        <v>11471</v>
      </c>
      <c r="C818" s="169" t="s">
        <v>16577</v>
      </c>
      <c r="D818" s="169" t="str">
        <f t="shared" ref="D818:E818" si="543">"1653404709747"</f>
        <v>1653404709747</v>
      </c>
      <c r="E818" s="169" t="str">
        <f t="shared" si="543"/>
        <v>1653404709747</v>
      </c>
      <c r="F818" s="169" t="s">
        <v>18811</v>
      </c>
      <c r="G818" s="169">
        <v>1.0</v>
      </c>
      <c r="H818" s="169">
        <v>3790.0</v>
      </c>
      <c r="I818" s="169">
        <v>3790.0</v>
      </c>
      <c r="J818" s="169">
        <v>0.0</v>
      </c>
      <c r="K818" s="169">
        <v>1.0</v>
      </c>
      <c r="L818" s="169">
        <v>0.0</v>
      </c>
    </row>
    <row r="819" ht="14.25" customHeight="1">
      <c r="A819" s="169" t="s">
        <v>18714</v>
      </c>
      <c r="B819" s="169" t="s">
        <v>11471</v>
      </c>
      <c r="C819" s="169" t="s">
        <v>16575</v>
      </c>
      <c r="D819" s="169" t="str">
        <f t="shared" ref="D819:E819" si="544">"1653404720633"</f>
        <v>1653404720633</v>
      </c>
      <c r="E819" s="169" t="str">
        <f t="shared" si="544"/>
        <v>1653404720633</v>
      </c>
      <c r="F819" s="169" t="s">
        <v>18811</v>
      </c>
      <c r="G819" s="169">
        <v>1.0</v>
      </c>
      <c r="H819" s="169">
        <v>7158.0</v>
      </c>
      <c r="I819" s="169">
        <v>7158.0</v>
      </c>
      <c r="J819" s="169">
        <v>0.0</v>
      </c>
      <c r="K819" s="169">
        <v>1.0</v>
      </c>
      <c r="L819" s="169">
        <v>0.0</v>
      </c>
    </row>
    <row r="820" ht="14.25" customHeight="1">
      <c r="A820" s="169" t="s">
        <v>18714</v>
      </c>
      <c r="B820" s="169" t="s">
        <v>11471</v>
      </c>
      <c r="C820" s="169" t="s">
        <v>16573</v>
      </c>
      <c r="D820" s="169" t="str">
        <f t="shared" ref="D820:E820" si="545">"1653404731061"</f>
        <v>1653404731061</v>
      </c>
      <c r="E820" s="169" t="str">
        <f t="shared" si="545"/>
        <v>1653404731061</v>
      </c>
      <c r="F820" s="169" t="s">
        <v>18811</v>
      </c>
      <c r="G820" s="169">
        <v>1.0</v>
      </c>
      <c r="H820" s="169">
        <v>3790.0</v>
      </c>
      <c r="I820" s="169">
        <v>3790.0</v>
      </c>
      <c r="J820" s="169">
        <v>0.0</v>
      </c>
      <c r="K820" s="169">
        <v>1.0</v>
      </c>
      <c r="L820" s="169">
        <v>0.0</v>
      </c>
    </row>
    <row r="821" ht="14.25" customHeight="1">
      <c r="A821" s="169" t="s">
        <v>18714</v>
      </c>
      <c r="B821" s="169" t="s">
        <v>11471</v>
      </c>
      <c r="C821" s="169" t="s">
        <v>16571</v>
      </c>
      <c r="D821" s="169" t="str">
        <f t="shared" ref="D821:E821" si="546">"1653404741817"</f>
        <v>1653404741817</v>
      </c>
      <c r="E821" s="169" t="str">
        <f t="shared" si="546"/>
        <v>1653404741817</v>
      </c>
      <c r="F821" s="169" t="s">
        <v>18811</v>
      </c>
      <c r="G821" s="169">
        <v>1.0</v>
      </c>
      <c r="H821" s="169">
        <v>3088.0</v>
      </c>
      <c r="I821" s="169">
        <v>3088.0</v>
      </c>
      <c r="J821" s="169">
        <v>0.0</v>
      </c>
      <c r="K821" s="169">
        <v>1.0</v>
      </c>
      <c r="L821" s="169">
        <v>0.0</v>
      </c>
    </row>
    <row r="822" ht="14.25" customHeight="1">
      <c r="A822" s="169" t="s">
        <v>18714</v>
      </c>
      <c r="B822" s="169" t="s">
        <v>11471</v>
      </c>
      <c r="C822" s="169" t="s">
        <v>16569</v>
      </c>
      <c r="D822" s="169" t="str">
        <f t="shared" ref="D822:E822" si="547">"1653404698359"</f>
        <v>1653404698359</v>
      </c>
      <c r="E822" s="169" t="str">
        <f t="shared" si="547"/>
        <v>1653404698359</v>
      </c>
      <c r="F822" s="169" t="s">
        <v>18811</v>
      </c>
      <c r="G822" s="169">
        <v>1.0</v>
      </c>
      <c r="H822" s="169">
        <v>6597.0</v>
      </c>
      <c r="I822" s="169">
        <v>6597.0</v>
      </c>
      <c r="J822" s="169">
        <v>0.0</v>
      </c>
      <c r="K822" s="169">
        <v>1.0</v>
      </c>
      <c r="L822" s="169">
        <v>0.0</v>
      </c>
    </row>
    <row r="823" ht="14.25" customHeight="1">
      <c r="A823" s="169" t="s">
        <v>18714</v>
      </c>
      <c r="B823" s="169" t="s">
        <v>11471</v>
      </c>
      <c r="C823" s="169" t="s">
        <v>16567</v>
      </c>
      <c r="D823" s="169" t="str">
        <f t="shared" ref="D823:E823" si="548">"1653404672596"</f>
        <v>1653404672596</v>
      </c>
      <c r="E823" s="169" t="str">
        <f t="shared" si="548"/>
        <v>1653404672596</v>
      </c>
      <c r="F823" s="169" t="s">
        <v>18811</v>
      </c>
      <c r="G823" s="169">
        <v>1.0</v>
      </c>
      <c r="H823" s="169">
        <v>9544.0</v>
      </c>
      <c r="I823" s="169">
        <v>9544.0</v>
      </c>
      <c r="J823" s="169">
        <v>0.0</v>
      </c>
      <c r="K823" s="169">
        <v>1.0</v>
      </c>
      <c r="L823" s="169">
        <v>0.0</v>
      </c>
    </row>
    <row r="824" ht="14.25" customHeight="1">
      <c r="A824" s="169" t="s">
        <v>18714</v>
      </c>
      <c r="B824" s="169" t="s">
        <v>11471</v>
      </c>
      <c r="C824" s="169" t="s">
        <v>16565</v>
      </c>
      <c r="D824" s="169" t="str">
        <f t="shared" ref="D824:E824" si="549">"1653404687721"</f>
        <v>1653404687721</v>
      </c>
      <c r="E824" s="169" t="str">
        <f t="shared" si="549"/>
        <v>1653404687721</v>
      </c>
      <c r="F824" s="169" t="s">
        <v>18811</v>
      </c>
      <c r="G824" s="169">
        <v>1.0</v>
      </c>
      <c r="H824" s="169">
        <v>6878.0</v>
      </c>
      <c r="I824" s="169">
        <v>6878.0</v>
      </c>
      <c r="J824" s="169">
        <v>0.0</v>
      </c>
      <c r="K824" s="169">
        <v>1.0</v>
      </c>
      <c r="L824" s="169">
        <v>0.0</v>
      </c>
    </row>
    <row r="825" ht="14.25" customHeight="1">
      <c r="A825" s="169" t="s">
        <v>18714</v>
      </c>
      <c r="B825" s="169" t="s">
        <v>11471</v>
      </c>
      <c r="C825" s="169" t="s">
        <v>16563</v>
      </c>
      <c r="D825" s="169" t="str">
        <f t="shared" ref="D825:E825" si="550">"1653404584202"</f>
        <v>1653404584202</v>
      </c>
      <c r="E825" s="169" t="str">
        <f t="shared" si="550"/>
        <v>1653404584202</v>
      </c>
      <c r="F825" s="169" t="s">
        <v>18811</v>
      </c>
      <c r="G825" s="169">
        <v>1.0</v>
      </c>
      <c r="H825" s="169">
        <v>17264.0</v>
      </c>
      <c r="I825" s="169">
        <v>17264.0</v>
      </c>
      <c r="J825" s="169">
        <v>0.0</v>
      </c>
      <c r="K825" s="169">
        <v>1.0</v>
      </c>
      <c r="L825" s="169">
        <v>0.0</v>
      </c>
    </row>
    <row r="826" ht="14.25" customHeight="1">
      <c r="A826" s="169" t="s">
        <v>18714</v>
      </c>
      <c r="B826" s="169" t="s">
        <v>11471</v>
      </c>
      <c r="C826" s="169" t="s">
        <v>16561</v>
      </c>
      <c r="D826" s="169" t="str">
        <f t="shared" ref="D826:E826" si="551">"1653404596846"</f>
        <v>1653404596846</v>
      </c>
      <c r="E826" s="169" t="str">
        <f t="shared" si="551"/>
        <v>1653404596846</v>
      </c>
      <c r="F826" s="169" t="s">
        <v>18811</v>
      </c>
      <c r="G826" s="169">
        <v>1.0</v>
      </c>
      <c r="H826" s="169">
        <v>15439.0</v>
      </c>
      <c r="I826" s="169">
        <v>15439.0</v>
      </c>
      <c r="J826" s="169">
        <v>0.0</v>
      </c>
      <c r="K826" s="169">
        <v>1.0</v>
      </c>
      <c r="L826" s="169">
        <v>0.0</v>
      </c>
    </row>
    <row r="827" ht="14.25" customHeight="1">
      <c r="A827" s="169" t="s">
        <v>18714</v>
      </c>
      <c r="B827" s="169" t="s">
        <v>11471</v>
      </c>
      <c r="C827" s="169" t="s">
        <v>16559</v>
      </c>
      <c r="D827" s="169" t="str">
        <f t="shared" ref="D827:E827" si="552">"67414791217036"</f>
        <v>67414791217036</v>
      </c>
      <c r="E827" s="169" t="str">
        <f t="shared" si="552"/>
        <v>67414791217036</v>
      </c>
      <c r="F827" s="169" t="s">
        <v>18811</v>
      </c>
      <c r="G827" s="169">
        <v>1.0</v>
      </c>
      <c r="H827" s="169">
        <v>4378.0</v>
      </c>
      <c r="I827" s="169">
        <v>4378.0</v>
      </c>
      <c r="J827" s="169">
        <v>0.0</v>
      </c>
      <c r="K827" s="169">
        <v>1.0</v>
      </c>
      <c r="L827" s="169">
        <v>0.0</v>
      </c>
    </row>
    <row r="828" ht="14.25" customHeight="1">
      <c r="A828" s="169" t="s">
        <v>18714</v>
      </c>
      <c r="B828" s="169" t="s">
        <v>11471</v>
      </c>
      <c r="C828" s="169" t="s">
        <v>16557</v>
      </c>
      <c r="D828" s="169" t="str">
        <f t="shared" ref="D828:E828" si="553">"1656617557771"</f>
        <v>1656617557771</v>
      </c>
      <c r="E828" s="169" t="str">
        <f t="shared" si="553"/>
        <v>1656617557771</v>
      </c>
      <c r="F828" s="169" t="s">
        <v>18811</v>
      </c>
      <c r="G828" s="169">
        <v>1.0</v>
      </c>
      <c r="H828" s="169">
        <v>7379.0</v>
      </c>
      <c r="I828" s="169">
        <v>7379.0</v>
      </c>
      <c r="J828" s="169">
        <v>0.0</v>
      </c>
      <c r="K828" s="169">
        <v>1.0</v>
      </c>
      <c r="L828" s="169">
        <v>0.0</v>
      </c>
    </row>
    <row r="829" ht="14.25" customHeight="1">
      <c r="A829" s="169" t="s">
        <v>18714</v>
      </c>
      <c r="B829" s="169" t="s">
        <v>11471</v>
      </c>
      <c r="C829" s="169" t="s">
        <v>16555</v>
      </c>
      <c r="D829" s="169" t="str">
        <f t="shared" ref="D829:E829" si="554">"1656617655162"</f>
        <v>1656617655162</v>
      </c>
      <c r="E829" s="169" t="str">
        <f t="shared" si="554"/>
        <v>1656617655162</v>
      </c>
      <c r="F829" s="169" t="s">
        <v>18811</v>
      </c>
      <c r="G829" s="169">
        <v>1.0</v>
      </c>
      <c r="H829" s="169">
        <v>6037.0</v>
      </c>
      <c r="I829" s="169">
        <v>6037.0</v>
      </c>
      <c r="J829" s="169">
        <v>0.0</v>
      </c>
      <c r="K829" s="169">
        <v>1.0</v>
      </c>
      <c r="L829" s="169">
        <v>0.0</v>
      </c>
    </row>
    <row r="830" ht="14.25" customHeight="1">
      <c r="A830" s="169" t="s">
        <v>18714</v>
      </c>
      <c r="B830" s="169" t="s">
        <v>11471</v>
      </c>
      <c r="C830" s="169" t="s">
        <v>16553</v>
      </c>
      <c r="D830" s="169" t="str">
        <f t="shared" ref="D830:E830" si="555">"1656617666249"</f>
        <v>1656617666249</v>
      </c>
      <c r="E830" s="169" t="str">
        <f t="shared" si="555"/>
        <v>1656617666249</v>
      </c>
      <c r="F830" s="169" t="s">
        <v>18811</v>
      </c>
      <c r="G830" s="169">
        <v>1.0</v>
      </c>
      <c r="H830" s="169">
        <v>5232.0</v>
      </c>
      <c r="I830" s="169">
        <v>5232.0</v>
      </c>
      <c r="J830" s="169">
        <v>0.0</v>
      </c>
      <c r="K830" s="169">
        <v>1.0</v>
      </c>
      <c r="L830" s="169">
        <v>0.0</v>
      </c>
    </row>
    <row r="831" ht="14.25" customHeight="1">
      <c r="A831" s="169" t="s">
        <v>18714</v>
      </c>
      <c r="B831" s="169" t="s">
        <v>11471</v>
      </c>
      <c r="C831" s="169" t="s">
        <v>16551</v>
      </c>
      <c r="D831" s="169" t="str">
        <f t="shared" ref="D831:E831" si="556">"67414791952688"</f>
        <v>67414791952688</v>
      </c>
      <c r="E831" s="169" t="str">
        <f t="shared" si="556"/>
        <v>67414791952688</v>
      </c>
      <c r="F831" s="169" t="s">
        <v>18811</v>
      </c>
      <c r="G831" s="169">
        <v>1.0</v>
      </c>
      <c r="H831" s="169">
        <v>6707.0</v>
      </c>
      <c r="I831" s="169">
        <v>6707.0</v>
      </c>
      <c r="J831" s="169">
        <v>0.0</v>
      </c>
      <c r="K831" s="169">
        <v>1.0</v>
      </c>
      <c r="L831" s="169">
        <v>0.0</v>
      </c>
    </row>
    <row r="832" ht="14.25" customHeight="1">
      <c r="A832" s="169" t="s">
        <v>18714</v>
      </c>
      <c r="B832" s="169" t="s">
        <v>11471</v>
      </c>
      <c r="C832" s="169" t="s">
        <v>16549</v>
      </c>
      <c r="D832" s="169" t="str">
        <f t="shared" ref="D832:E832" si="557">"1650477967885"</f>
        <v>1650477967885</v>
      </c>
      <c r="E832" s="169" t="str">
        <f t="shared" si="557"/>
        <v>1650477967885</v>
      </c>
      <c r="F832" s="169" t="s">
        <v>18811</v>
      </c>
      <c r="G832" s="169">
        <v>1.0</v>
      </c>
      <c r="H832" s="169">
        <v>38595.0</v>
      </c>
      <c r="I832" s="169">
        <v>38595.0</v>
      </c>
      <c r="J832" s="169">
        <v>0.0</v>
      </c>
      <c r="K832" s="169">
        <v>1.0</v>
      </c>
      <c r="L832" s="169">
        <v>0.0</v>
      </c>
    </row>
    <row r="833" ht="14.25" customHeight="1">
      <c r="A833" s="169" t="s">
        <v>18714</v>
      </c>
      <c r="B833" s="169" t="s">
        <v>11471</v>
      </c>
      <c r="C833" s="169" t="s">
        <v>16547</v>
      </c>
      <c r="D833" s="169" t="str">
        <f t="shared" ref="D833:E833" si="558">"1656617537266"</f>
        <v>1656617537266</v>
      </c>
      <c r="E833" s="169" t="str">
        <f t="shared" si="558"/>
        <v>1656617537266</v>
      </c>
      <c r="F833" s="169" t="s">
        <v>18811</v>
      </c>
      <c r="G833" s="169">
        <v>1.0</v>
      </c>
      <c r="H833" s="169">
        <v>5769.0</v>
      </c>
      <c r="I833" s="169">
        <v>5769.0</v>
      </c>
      <c r="J833" s="169">
        <v>0.0</v>
      </c>
      <c r="K833" s="169">
        <v>1.0</v>
      </c>
      <c r="L833" s="169">
        <v>0.0</v>
      </c>
    </row>
    <row r="834" ht="14.25" customHeight="1">
      <c r="A834" s="169" t="s">
        <v>18714</v>
      </c>
      <c r="B834" s="169" t="s">
        <v>11471</v>
      </c>
      <c r="C834" s="169" t="s">
        <v>16545</v>
      </c>
      <c r="D834" s="169" t="str">
        <f t="shared" ref="D834:E834" si="559">"66559853294178"</f>
        <v>66559853294178</v>
      </c>
      <c r="E834" s="169" t="str">
        <f t="shared" si="559"/>
        <v>66559853294178</v>
      </c>
      <c r="F834" s="169" t="s">
        <v>18811</v>
      </c>
      <c r="G834" s="169">
        <v>1.0</v>
      </c>
      <c r="H834" s="169">
        <v>26402.0</v>
      </c>
      <c r="I834" s="169">
        <v>26402.0</v>
      </c>
      <c r="J834" s="169">
        <v>0.0</v>
      </c>
      <c r="K834" s="169">
        <v>1.0</v>
      </c>
      <c r="L834" s="169">
        <v>0.0</v>
      </c>
    </row>
    <row r="835" ht="14.25" customHeight="1">
      <c r="A835" s="169" t="s">
        <v>18714</v>
      </c>
      <c r="B835" s="169" t="s">
        <v>11471</v>
      </c>
      <c r="C835" s="169" t="s">
        <v>16543</v>
      </c>
      <c r="D835" s="169" t="str">
        <f t="shared" ref="D835:E835" si="560">"66559856061451"</f>
        <v>66559856061451</v>
      </c>
      <c r="E835" s="169" t="str">
        <f t="shared" si="560"/>
        <v>66559856061451</v>
      </c>
      <c r="F835" s="169" t="s">
        <v>18811</v>
      </c>
      <c r="G835" s="169">
        <v>1.0</v>
      </c>
      <c r="H835" s="169">
        <v>26402.0</v>
      </c>
      <c r="I835" s="169">
        <v>26402.0</v>
      </c>
      <c r="J835" s="169">
        <v>0.0</v>
      </c>
      <c r="K835" s="169">
        <v>1.0</v>
      </c>
      <c r="L835" s="169">
        <v>0.0</v>
      </c>
    </row>
    <row r="836" ht="14.25" customHeight="1">
      <c r="A836" s="169" t="s">
        <v>18714</v>
      </c>
      <c r="B836" s="169" t="s">
        <v>11471</v>
      </c>
      <c r="C836" s="169" t="s">
        <v>16541</v>
      </c>
      <c r="D836" s="169" t="str">
        <f t="shared" ref="D836:E836" si="561">"66559859669124"</f>
        <v>66559859669124</v>
      </c>
      <c r="E836" s="169" t="str">
        <f t="shared" si="561"/>
        <v>66559859669124</v>
      </c>
      <c r="F836" s="169" t="s">
        <v>18811</v>
      </c>
      <c r="G836" s="169">
        <v>1.0</v>
      </c>
      <c r="H836" s="169">
        <v>72002.0</v>
      </c>
      <c r="I836" s="169">
        <v>72002.0</v>
      </c>
      <c r="J836" s="169">
        <v>0.0</v>
      </c>
      <c r="K836" s="169">
        <v>1.0</v>
      </c>
      <c r="L836" s="169">
        <v>0.0</v>
      </c>
    </row>
    <row r="837" ht="14.25" customHeight="1">
      <c r="A837" s="169" t="s">
        <v>18714</v>
      </c>
      <c r="B837" s="169" t="s">
        <v>11471</v>
      </c>
      <c r="C837" s="169" t="s">
        <v>16539</v>
      </c>
      <c r="D837" s="169" t="str">
        <f t="shared" ref="D837:E837" si="562">"1653404646981"</f>
        <v>1653404646981</v>
      </c>
      <c r="E837" s="169" t="str">
        <f t="shared" si="562"/>
        <v>1653404646981</v>
      </c>
      <c r="F837" s="169" t="s">
        <v>18811</v>
      </c>
      <c r="G837" s="169">
        <v>1.0</v>
      </c>
      <c r="H837" s="169">
        <v>120849.0</v>
      </c>
      <c r="I837" s="169">
        <v>120849.0</v>
      </c>
      <c r="J837" s="169">
        <v>0.0</v>
      </c>
      <c r="K837" s="169">
        <v>1.0</v>
      </c>
      <c r="L837" s="169">
        <v>0.0</v>
      </c>
    </row>
    <row r="838" ht="14.25" customHeight="1">
      <c r="A838" s="169" t="s">
        <v>18714</v>
      </c>
      <c r="B838" s="169" t="s">
        <v>11471</v>
      </c>
      <c r="C838" s="169" t="s">
        <v>16537</v>
      </c>
      <c r="D838" s="169" t="str">
        <f t="shared" ref="D838:E838" si="563">"67414793517640"</f>
        <v>67414793517640</v>
      </c>
      <c r="E838" s="169" t="str">
        <f t="shared" si="563"/>
        <v>67414793517640</v>
      </c>
      <c r="F838" s="169" t="s">
        <v>18811</v>
      </c>
      <c r="G838" s="169">
        <v>1.0</v>
      </c>
      <c r="H838" s="169">
        <v>34052.0</v>
      </c>
      <c r="I838" s="169">
        <v>34052.0</v>
      </c>
      <c r="J838" s="169">
        <v>0.0</v>
      </c>
      <c r="K838" s="169">
        <v>1.0</v>
      </c>
      <c r="L838" s="169">
        <v>0.0</v>
      </c>
    </row>
    <row r="839" ht="14.25" customHeight="1">
      <c r="A839" s="169" t="s">
        <v>18714</v>
      </c>
      <c r="B839" s="169" t="s">
        <v>11471</v>
      </c>
      <c r="C839" s="169" t="s">
        <v>16535</v>
      </c>
      <c r="D839" s="169" t="str">
        <f t="shared" ref="D839:E839" si="564">"1653404633176"</f>
        <v>1653404633176</v>
      </c>
      <c r="E839" s="169" t="str">
        <f t="shared" si="564"/>
        <v>1653404633176</v>
      </c>
      <c r="F839" s="169" t="s">
        <v>18811</v>
      </c>
      <c r="G839" s="169">
        <v>1.0</v>
      </c>
      <c r="H839" s="169">
        <v>18527.0</v>
      </c>
      <c r="I839" s="169">
        <v>18527.0</v>
      </c>
      <c r="J839" s="169">
        <v>0.0</v>
      </c>
      <c r="K839" s="169">
        <v>1.0</v>
      </c>
      <c r="L839" s="169">
        <v>0.0</v>
      </c>
    </row>
    <row r="840" ht="14.25" customHeight="1">
      <c r="A840" s="169" t="s">
        <v>18714</v>
      </c>
      <c r="B840" s="169" t="s">
        <v>11471</v>
      </c>
      <c r="C840" s="169" t="s">
        <v>16533</v>
      </c>
      <c r="D840" s="169" t="str">
        <f t="shared" ref="D840:E840" si="565">"1644258989378"</f>
        <v>1644258989378</v>
      </c>
      <c r="E840" s="169" t="str">
        <f t="shared" si="565"/>
        <v>1644258989378</v>
      </c>
      <c r="F840" s="169" t="s">
        <v>18811</v>
      </c>
      <c r="G840" s="169">
        <v>1.0</v>
      </c>
      <c r="H840" s="169">
        <v>32486.0</v>
      </c>
      <c r="I840" s="169">
        <v>32486.0</v>
      </c>
      <c r="J840" s="169">
        <v>0.0</v>
      </c>
      <c r="K840" s="169">
        <v>1.0</v>
      </c>
      <c r="L840" s="169">
        <v>0.0</v>
      </c>
    </row>
    <row r="841" ht="14.25" customHeight="1">
      <c r="A841" s="169" t="s">
        <v>18714</v>
      </c>
      <c r="B841" s="169" t="s">
        <v>11471</v>
      </c>
      <c r="C841" s="169" t="s">
        <v>16531</v>
      </c>
      <c r="D841" s="169" t="str">
        <f>"1621435991487"</f>
        <v>1621435991487</v>
      </c>
      <c r="E841" s="169" t="str">
        <f>"1621435991486"</f>
        <v>1621435991486</v>
      </c>
      <c r="F841" s="169" t="s">
        <v>18811</v>
      </c>
      <c r="G841" s="169">
        <v>1.0</v>
      </c>
      <c r="H841" s="169">
        <v>221431.0</v>
      </c>
      <c r="I841" s="169">
        <v>221431.0</v>
      </c>
      <c r="J841" s="169">
        <v>0.0</v>
      </c>
      <c r="K841" s="169">
        <v>1.0</v>
      </c>
      <c r="L841" s="169">
        <v>0.0</v>
      </c>
    </row>
    <row r="842" ht="14.25" customHeight="1">
      <c r="A842" s="169" t="s">
        <v>18714</v>
      </c>
      <c r="B842" s="169" t="s">
        <v>11471</v>
      </c>
      <c r="C842" s="169" t="s">
        <v>16529</v>
      </c>
      <c r="D842" s="169" t="str">
        <f t="shared" ref="D842:E842" si="566">"1644258777141"</f>
        <v>1644258777141</v>
      </c>
      <c r="E842" s="169" t="str">
        <f t="shared" si="566"/>
        <v>1644258777141</v>
      </c>
      <c r="F842" s="169" t="s">
        <v>18811</v>
      </c>
      <c r="G842" s="169">
        <v>1.0</v>
      </c>
      <c r="H842" s="169">
        <v>51050.0</v>
      </c>
      <c r="I842" s="169">
        <v>51050.0</v>
      </c>
      <c r="J842" s="169">
        <v>0.0</v>
      </c>
      <c r="K842" s="169">
        <v>1.0</v>
      </c>
      <c r="L842" s="169">
        <v>0.0</v>
      </c>
    </row>
    <row r="843" ht="14.25" customHeight="1">
      <c r="A843" s="169" t="s">
        <v>18714</v>
      </c>
      <c r="B843" s="169" t="s">
        <v>11471</v>
      </c>
      <c r="C843" s="169" t="s">
        <v>16527</v>
      </c>
      <c r="D843" s="169" t="str">
        <f t="shared" ref="D843:E843" si="567">"1644259023303"</f>
        <v>1644259023303</v>
      </c>
      <c r="E843" s="169" t="str">
        <f t="shared" si="567"/>
        <v>1644259023303</v>
      </c>
      <c r="F843" s="169" t="s">
        <v>18811</v>
      </c>
      <c r="G843" s="169">
        <v>1.0</v>
      </c>
      <c r="H843" s="169">
        <v>3713.0</v>
      </c>
      <c r="I843" s="169">
        <v>3713.0</v>
      </c>
      <c r="J843" s="169">
        <v>0.0</v>
      </c>
      <c r="K843" s="169">
        <v>1.0</v>
      </c>
      <c r="L843" s="169">
        <v>0.0</v>
      </c>
    </row>
    <row r="844" ht="14.25" customHeight="1">
      <c r="A844" s="169" t="s">
        <v>18714</v>
      </c>
      <c r="B844" s="169" t="s">
        <v>11471</v>
      </c>
      <c r="C844" s="169" t="s">
        <v>16525</v>
      </c>
      <c r="D844" s="169" t="str">
        <f t="shared" ref="D844:E844" si="568">"1606847480521"</f>
        <v>1606847480521</v>
      </c>
      <c r="E844" s="169" t="str">
        <f t="shared" si="568"/>
        <v>1606847480521</v>
      </c>
      <c r="F844" s="169" t="s">
        <v>18811</v>
      </c>
      <c r="G844" s="169">
        <v>7.0</v>
      </c>
      <c r="H844" s="169">
        <v>10101.0</v>
      </c>
      <c r="I844" s="169">
        <v>70707.0</v>
      </c>
      <c r="J844" s="169">
        <v>0.0</v>
      </c>
      <c r="K844" s="169">
        <v>7.0</v>
      </c>
      <c r="L844" s="169">
        <v>0.0</v>
      </c>
    </row>
    <row r="845" ht="14.25" customHeight="1">
      <c r="A845" s="169" t="s">
        <v>18714</v>
      </c>
      <c r="B845" s="169" t="s">
        <v>11471</v>
      </c>
      <c r="C845" s="169" t="s">
        <v>485</v>
      </c>
      <c r="D845" s="169" t="str">
        <f>"0788070733386"</f>
        <v>0788070733386</v>
      </c>
      <c r="E845" s="169" t="str">
        <f>"67898461965813"</f>
        <v>67898461965813</v>
      </c>
      <c r="F845" s="169" t="s">
        <v>18811</v>
      </c>
      <c r="G845" s="169">
        <v>492.0</v>
      </c>
      <c r="H845" s="169">
        <v>4716.5</v>
      </c>
      <c r="I845" s="169">
        <v>2320518.0</v>
      </c>
      <c r="J845" s="169">
        <v>1.0</v>
      </c>
      <c r="K845" s="169">
        <v>491.0</v>
      </c>
      <c r="L845" s="169">
        <v>0.0</v>
      </c>
    </row>
    <row r="846" ht="14.25" customHeight="1">
      <c r="A846" s="169" t="s">
        <v>18714</v>
      </c>
      <c r="B846" s="169" t="s">
        <v>11471</v>
      </c>
      <c r="C846" s="169" t="s">
        <v>486</v>
      </c>
      <c r="D846" s="169" t="str">
        <f>"0788070733409"</f>
        <v>0788070733409</v>
      </c>
      <c r="E846" s="169" t="str">
        <f>"67898465380537"</f>
        <v>67898465380537</v>
      </c>
      <c r="F846" s="169" t="s">
        <v>18811</v>
      </c>
      <c r="G846" s="169">
        <v>349.0</v>
      </c>
      <c r="H846" s="169">
        <v>4710.0</v>
      </c>
      <c r="I846" s="169">
        <v>1643790.0</v>
      </c>
      <c r="J846" s="169">
        <v>0.0</v>
      </c>
      <c r="K846" s="169">
        <v>349.0</v>
      </c>
      <c r="L846" s="169">
        <v>0.0</v>
      </c>
    </row>
    <row r="847" ht="14.25" customHeight="1">
      <c r="A847" s="169" t="s">
        <v>18714</v>
      </c>
      <c r="B847" s="169" t="s">
        <v>11471</v>
      </c>
      <c r="C847" s="169" t="s">
        <v>487</v>
      </c>
      <c r="D847" s="169" t="str">
        <f>"0788070733416"</f>
        <v>0788070733416</v>
      </c>
      <c r="E847" s="169" t="str">
        <f>"67898466886403"</f>
        <v>67898466886403</v>
      </c>
      <c r="F847" s="169" t="s">
        <v>18811</v>
      </c>
      <c r="G847" s="169">
        <v>140.0</v>
      </c>
      <c r="H847" s="169">
        <v>4599.0</v>
      </c>
      <c r="I847" s="169">
        <v>643860.0</v>
      </c>
      <c r="J847" s="169">
        <v>0.0</v>
      </c>
      <c r="K847" s="169">
        <v>140.0</v>
      </c>
      <c r="L847" s="169">
        <v>1.0</v>
      </c>
    </row>
    <row r="848" ht="14.25" customHeight="1">
      <c r="A848" s="169" t="s">
        <v>18714</v>
      </c>
      <c r="B848" s="169" t="s">
        <v>11471</v>
      </c>
      <c r="C848" s="169" t="s">
        <v>488</v>
      </c>
      <c r="D848" s="169" t="str">
        <f>"0788070733393"</f>
        <v>0788070733393</v>
      </c>
      <c r="E848" s="169" t="str">
        <f>"67898463643999"</f>
        <v>67898463643999</v>
      </c>
      <c r="F848" s="169" t="s">
        <v>18811</v>
      </c>
      <c r="G848" s="169">
        <v>124.0</v>
      </c>
      <c r="H848" s="169">
        <v>4490.1</v>
      </c>
      <c r="I848" s="169">
        <v>556776.0</v>
      </c>
      <c r="J848" s="169">
        <v>2.0</v>
      </c>
      <c r="K848" s="169">
        <v>122.0</v>
      </c>
      <c r="L848" s="169">
        <v>0.0</v>
      </c>
    </row>
    <row r="849" ht="14.25" customHeight="1">
      <c r="A849" s="169" t="s">
        <v>18714</v>
      </c>
      <c r="B849" s="169" t="s">
        <v>11471</v>
      </c>
      <c r="C849" s="169" t="s">
        <v>16519</v>
      </c>
      <c r="D849" s="169" t="str">
        <f>"0788070733904"</f>
        <v>0788070733904</v>
      </c>
      <c r="E849" s="169" t="str">
        <f>"67933835121467"</f>
        <v>67933835121467</v>
      </c>
      <c r="F849" s="169" t="s">
        <v>18811</v>
      </c>
      <c r="G849" s="169">
        <v>1920.0</v>
      </c>
      <c r="H849" s="169">
        <v>4817.4</v>
      </c>
      <c r="I849" s="169">
        <v>9249385.0</v>
      </c>
      <c r="J849" s="169">
        <v>0.0</v>
      </c>
      <c r="K849" s="169">
        <v>1920.0</v>
      </c>
      <c r="L849" s="169">
        <v>0.0</v>
      </c>
    </row>
    <row r="850" ht="14.25" customHeight="1">
      <c r="A850" s="169" t="s">
        <v>18714</v>
      </c>
      <c r="B850" s="169" t="s">
        <v>11471</v>
      </c>
      <c r="C850" s="169" t="s">
        <v>16517</v>
      </c>
      <c r="D850" s="169" t="str">
        <f>"0788070733881"</f>
        <v>0788070733881</v>
      </c>
      <c r="E850" s="169" t="str">
        <f>"67933831843970"</f>
        <v>67933831843970</v>
      </c>
      <c r="F850" s="169" t="s">
        <v>18811</v>
      </c>
      <c r="G850" s="169">
        <v>1282.0</v>
      </c>
      <c r="H850" s="169">
        <v>4870.8</v>
      </c>
      <c r="I850" s="169">
        <v>6244417.0</v>
      </c>
      <c r="J850" s="169">
        <v>0.0</v>
      </c>
      <c r="K850" s="169">
        <v>1282.0</v>
      </c>
      <c r="L850" s="169">
        <v>0.0</v>
      </c>
    </row>
    <row r="851" ht="14.25" customHeight="1">
      <c r="A851" s="169" t="s">
        <v>18714</v>
      </c>
      <c r="B851" s="169" t="s">
        <v>11471</v>
      </c>
      <c r="C851" s="169" t="s">
        <v>16515</v>
      </c>
      <c r="D851" s="169" t="str">
        <f>"0788070733898"</f>
        <v>0788070733898</v>
      </c>
      <c r="E851" s="169" t="str">
        <f>"67933833934278"</f>
        <v>67933833934278</v>
      </c>
      <c r="F851" s="169" t="s">
        <v>18811</v>
      </c>
      <c r="G851" s="169">
        <v>1473.0</v>
      </c>
      <c r="H851" s="169">
        <v>4876.8</v>
      </c>
      <c r="I851" s="169">
        <v>7183564.0</v>
      </c>
      <c r="J851" s="169">
        <v>0.0</v>
      </c>
      <c r="K851" s="169">
        <v>1473.0</v>
      </c>
      <c r="L851" s="169">
        <v>0.0</v>
      </c>
    </row>
    <row r="852" ht="14.25" customHeight="1">
      <c r="A852" s="169" t="s">
        <v>18714</v>
      </c>
      <c r="B852" s="169" t="s">
        <v>11471</v>
      </c>
      <c r="C852" s="169" t="s">
        <v>16513</v>
      </c>
      <c r="D852" s="169" t="str">
        <f>"0788070733911"</f>
        <v>0788070733911</v>
      </c>
      <c r="E852" s="169" t="str">
        <f>"67933835988925"</f>
        <v>67933835988925</v>
      </c>
      <c r="F852" s="169" t="s">
        <v>18811</v>
      </c>
      <c r="G852" s="169">
        <v>1833.0</v>
      </c>
      <c r="H852" s="169">
        <v>4803.0</v>
      </c>
      <c r="I852" s="169">
        <v>8803981.0</v>
      </c>
      <c r="J852" s="169">
        <v>0.0</v>
      </c>
      <c r="K852" s="169">
        <v>1833.0</v>
      </c>
      <c r="L852" s="169">
        <v>0.0</v>
      </c>
    </row>
    <row r="853" ht="14.25" customHeight="1">
      <c r="A853" s="169" t="s">
        <v>18714</v>
      </c>
      <c r="B853" s="169" t="s">
        <v>11471</v>
      </c>
      <c r="C853" s="169" t="s">
        <v>522</v>
      </c>
      <c r="D853" s="169" t="str">
        <f t="shared" ref="D853:E853" si="569">"1615383366170"</f>
        <v>1615383366170</v>
      </c>
      <c r="E853" s="169" t="str">
        <f t="shared" si="569"/>
        <v>1615383366170</v>
      </c>
      <c r="F853" s="169" t="s">
        <v>18811</v>
      </c>
      <c r="G853" s="169">
        <v>45.0</v>
      </c>
      <c r="H853" s="169">
        <v>31219.5</v>
      </c>
      <c r="I853" s="169">
        <v>1404876.0</v>
      </c>
      <c r="J853" s="169">
        <v>0.0</v>
      </c>
      <c r="K853" s="169">
        <v>45.0</v>
      </c>
      <c r="L853" s="169">
        <v>0.0</v>
      </c>
    </row>
    <row r="854" ht="14.25" customHeight="1">
      <c r="A854" s="169" t="s">
        <v>18714</v>
      </c>
      <c r="B854" s="169" t="s">
        <v>11471</v>
      </c>
      <c r="C854" s="169" t="s">
        <v>16510</v>
      </c>
      <c r="D854" s="169" t="str">
        <f t="shared" ref="D854:E854" si="570">"1658436173706"</f>
        <v>1658436173706</v>
      </c>
      <c r="E854" s="169" t="str">
        <f t="shared" si="570"/>
        <v>1658436173706</v>
      </c>
      <c r="F854" s="169" t="s">
        <v>18811</v>
      </c>
      <c r="G854" s="169">
        <v>1.0</v>
      </c>
      <c r="H854" s="169">
        <v>68399.0</v>
      </c>
      <c r="I854" s="169">
        <v>68399.0</v>
      </c>
      <c r="J854" s="169">
        <v>0.0</v>
      </c>
      <c r="K854" s="169">
        <v>1.0</v>
      </c>
      <c r="L854" s="169">
        <v>0.0</v>
      </c>
    </row>
    <row r="855" ht="14.25" customHeight="1">
      <c r="A855" s="169" t="s">
        <v>18714</v>
      </c>
      <c r="B855" s="169" t="s">
        <v>11471</v>
      </c>
      <c r="C855" s="169" t="s">
        <v>16508</v>
      </c>
      <c r="D855" s="169" t="str">
        <f t="shared" ref="D855:E855" si="571">"1658436211628"</f>
        <v>1658436211628</v>
      </c>
      <c r="E855" s="169" t="str">
        <f t="shared" si="571"/>
        <v>1658436211628</v>
      </c>
      <c r="F855" s="169" t="s">
        <v>18811</v>
      </c>
      <c r="G855" s="169">
        <v>1.0</v>
      </c>
      <c r="H855" s="169">
        <v>45585.0</v>
      </c>
      <c r="I855" s="169">
        <v>45585.0</v>
      </c>
      <c r="J855" s="169">
        <v>0.0</v>
      </c>
      <c r="K855" s="169">
        <v>1.0</v>
      </c>
      <c r="L855" s="169">
        <v>0.0</v>
      </c>
    </row>
    <row r="856" ht="14.25" customHeight="1">
      <c r="A856" s="169" t="s">
        <v>18714</v>
      </c>
      <c r="B856" s="169" t="s">
        <v>11471</v>
      </c>
      <c r="C856" s="169" t="s">
        <v>16506</v>
      </c>
      <c r="D856" s="169" t="str">
        <f t="shared" ref="D856:E856" si="572">"1602623210379"</f>
        <v>1602623210379</v>
      </c>
      <c r="E856" s="169" t="str">
        <f t="shared" si="572"/>
        <v>1602623210379</v>
      </c>
      <c r="F856" s="169" t="s">
        <v>18811</v>
      </c>
      <c r="G856" s="169">
        <v>6.0</v>
      </c>
      <c r="H856" s="169">
        <v>3760.0</v>
      </c>
      <c r="I856" s="169">
        <v>22560.0</v>
      </c>
      <c r="J856" s="169">
        <v>0.0</v>
      </c>
      <c r="K856" s="169">
        <v>6.0</v>
      </c>
      <c r="L856" s="169">
        <v>0.0</v>
      </c>
    </row>
    <row r="857" ht="14.25" customHeight="1">
      <c r="A857" s="169" t="s">
        <v>18714</v>
      </c>
      <c r="B857" s="169" t="s">
        <v>11471</v>
      </c>
      <c r="C857" s="169" t="s">
        <v>765</v>
      </c>
      <c r="D857" s="169" t="str">
        <f t="shared" ref="D857:E857" si="573">"1616009024556"</f>
        <v>1616009024556</v>
      </c>
      <c r="E857" s="169" t="str">
        <f t="shared" si="573"/>
        <v>1616009024556</v>
      </c>
      <c r="F857" s="169" t="s">
        <v>18811</v>
      </c>
      <c r="G857" s="169">
        <v>153.0</v>
      </c>
      <c r="H857" s="169">
        <v>14452.0</v>
      </c>
      <c r="I857" s="169">
        <v>2211156.0</v>
      </c>
      <c r="J857" s="169">
        <v>0.0</v>
      </c>
      <c r="K857" s="169">
        <v>153.0</v>
      </c>
      <c r="L857" s="169">
        <v>0.0</v>
      </c>
    </row>
    <row r="858" ht="14.25" customHeight="1">
      <c r="A858" s="169" t="s">
        <v>18714</v>
      </c>
      <c r="B858" s="169" t="s">
        <v>11471</v>
      </c>
      <c r="C858" s="169" t="s">
        <v>16503</v>
      </c>
      <c r="D858" s="169" t="str">
        <f t="shared" ref="D858:E858" si="574">"1650478277346"</f>
        <v>1650478277346</v>
      </c>
      <c r="E858" s="169" t="str">
        <f t="shared" si="574"/>
        <v>1650478277346</v>
      </c>
      <c r="F858" s="169" t="s">
        <v>18811</v>
      </c>
      <c r="G858" s="169">
        <v>1.0</v>
      </c>
      <c r="H858" s="169">
        <v>6777.0</v>
      </c>
      <c r="I858" s="169">
        <v>6777.0</v>
      </c>
      <c r="J858" s="169">
        <v>0.0</v>
      </c>
      <c r="K858" s="169">
        <v>1.0</v>
      </c>
      <c r="L858" s="169">
        <v>0.0</v>
      </c>
    </row>
    <row r="859" ht="14.25" customHeight="1">
      <c r="A859" s="169" t="s">
        <v>18714</v>
      </c>
      <c r="B859" s="169" t="s">
        <v>11471</v>
      </c>
      <c r="C859" s="169" t="s">
        <v>16501</v>
      </c>
      <c r="D859" s="169" t="str">
        <f t="shared" ref="D859:E859" si="575">"1650478146139"</f>
        <v>1650478146139</v>
      </c>
      <c r="E859" s="169" t="str">
        <f t="shared" si="575"/>
        <v>1650478146139</v>
      </c>
      <c r="F859" s="169" t="s">
        <v>18811</v>
      </c>
      <c r="G859" s="169">
        <v>1.0</v>
      </c>
      <c r="H859" s="169">
        <v>6671.0</v>
      </c>
      <c r="I859" s="169">
        <v>6671.0</v>
      </c>
      <c r="J859" s="169">
        <v>0.0</v>
      </c>
      <c r="K859" s="169">
        <v>1.0</v>
      </c>
      <c r="L859" s="169">
        <v>0.0</v>
      </c>
    </row>
    <row r="860" ht="14.25" customHeight="1">
      <c r="A860" s="169" t="s">
        <v>18714</v>
      </c>
      <c r="B860" s="169" t="s">
        <v>11471</v>
      </c>
      <c r="C860" s="169" t="s">
        <v>16498</v>
      </c>
      <c r="D860" s="169" t="str">
        <f t="shared" ref="D860:E860" si="576">"1630369235283"</f>
        <v>1630369235283</v>
      </c>
      <c r="E860" s="169" t="str">
        <f t="shared" si="576"/>
        <v>1630369235283</v>
      </c>
      <c r="F860" s="169" t="s">
        <v>18811</v>
      </c>
      <c r="G860" s="169">
        <v>8.0</v>
      </c>
      <c r="H860" s="169">
        <v>6850.0</v>
      </c>
      <c r="I860" s="169">
        <v>54800.0</v>
      </c>
      <c r="J860" s="169">
        <v>0.0</v>
      </c>
      <c r="K860" s="169">
        <v>8.0</v>
      </c>
      <c r="L860" s="169">
        <v>0.0</v>
      </c>
    </row>
    <row r="861" ht="14.25" customHeight="1">
      <c r="A861" s="169" t="s">
        <v>18714</v>
      </c>
      <c r="B861" s="169" t="s">
        <v>11471</v>
      </c>
      <c r="C861" s="169" t="s">
        <v>525</v>
      </c>
      <c r="D861" s="169" t="str">
        <f t="shared" ref="D861:E861" si="577">"1627416841030"</f>
        <v>1627416841030</v>
      </c>
      <c r="E861" s="169" t="str">
        <f t="shared" si="577"/>
        <v>1627416841030</v>
      </c>
      <c r="F861" s="169" t="s">
        <v>18811</v>
      </c>
      <c r="G861" s="169">
        <v>1103.0</v>
      </c>
      <c r="H861" s="169">
        <v>5216.1</v>
      </c>
      <c r="I861" s="169">
        <v>5753336.0</v>
      </c>
      <c r="J861" s="169">
        <v>1.0</v>
      </c>
      <c r="K861" s="169">
        <v>1102.0</v>
      </c>
      <c r="L861" s="169">
        <v>0.0</v>
      </c>
    </row>
    <row r="862" ht="14.25" customHeight="1">
      <c r="A862" s="169" t="s">
        <v>18714</v>
      </c>
      <c r="B862" s="169" t="s">
        <v>11471</v>
      </c>
      <c r="C862" s="169" t="s">
        <v>16495</v>
      </c>
      <c r="D862" s="169" t="str">
        <f t="shared" ref="D862:E862" si="578">"1608208175202"</f>
        <v>1608208175202</v>
      </c>
      <c r="E862" s="169" t="str">
        <f t="shared" si="578"/>
        <v>1608208175202</v>
      </c>
      <c r="F862" s="169" t="s">
        <v>18811</v>
      </c>
      <c r="G862" s="169">
        <v>2.0</v>
      </c>
      <c r="H862" s="169">
        <v>20057.8</v>
      </c>
      <c r="I862" s="169">
        <v>40116.0</v>
      </c>
      <c r="J862" s="169">
        <v>0.0</v>
      </c>
      <c r="K862" s="169">
        <v>2.0</v>
      </c>
      <c r="L862" s="169">
        <v>0.0</v>
      </c>
    </row>
    <row r="863" ht="14.25" customHeight="1">
      <c r="A863" s="169" t="s">
        <v>18714</v>
      </c>
      <c r="B863" s="169" t="s">
        <v>11471</v>
      </c>
      <c r="C863" s="169" t="s">
        <v>756</v>
      </c>
      <c r="D863" s="169" t="str">
        <f>"0788070731825"</f>
        <v>0788070731825</v>
      </c>
      <c r="E863" s="169" t="str">
        <f>"1652824769553"</f>
        <v>1652824769553</v>
      </c>
      <c r="F863" s="169" t="s">
        <v>18811</v>
      </c>
      <c r="G863" s="169">
        <v>35.0</v>
      </c>
      <c r="H863" s="169">
        <v>11839.1</v>
      </c>
      <c r="I863" s="169">
        <v>414370.0</v>
      </c>
      <c r="J863" s="169">
        <v>0.0</v>
      </c>
      <c r="K863" s="169">
        <v>35.0</v>
      </c>
      <c r="L863" s="169">
        <v>0.0</v>
      </c>
    </row>
    <row r="864" ht="14.25" customHeight="1">
      <c r="A864" s="169" t="s">
        <v>18714</v>
      </c>
      <c r="B864" s="169" t="s">
        <v>11471</v>
      </c>
      <c r="C864" s="169" t="s">
        <v>757</v>
      </c>
      <c r="D864" s="169" t="str">
        <f>"0788070731849"</f>
        <v>0788070731849</v>
      </c>
      <c r="E864" s="169" t="str">
        <f>"1652824796337"</f>
        <v>1652824796337</v>
      </c>
      <c r="F864" s="169" t="s">
        <v>18811</v>
      </c>
      <c r="G864" s="169">
        <v>1435.0</v>
      </c>
      <c r="H864" s="169">
        <v>11664.6</v>
      </c>
      <c r="I864" s="169">
        <v>1.6738756E7</v>
      </c>
      <c r="J864" s="169">
        <v>0.0</v>
      </c>
      <c r="K864" s="169">
        <v>1435.0</v>
      </c>
      <c r="L864" s="169">
        <v>0.0</v>
      </c>
    </row>
    <row r="865" ht="14.25" customHeight="1">
      <c r="A865" s="169" t="s">
        <v>18714</v>
      </c>
      <c r="B865" s="169" t="s">
        <v>11471</v>
      </c>
      <c r="C865" s="169" t="s">
        <v>758</v>
      </c>
      <c r="D865" s="169" t="str">
        <f>"0788070731832"</f>
        <v>0788070731832</v>
      </c>
      <c r="E865" s="169" t="str">
        <f>"1652824782363"</f>
        <v>1652824782363</v>
      </c>
      <c r="F865" s="169" t="s">
        <v>18811</v>
      </c>
      <c r="G865" s="169">
        <v>1048.0</v>
      </c>
      <c r="H865" s="169">
        <v>11663.8</v>
      </c>
      <c r="I865" s="169">
        <v>1.2223669E7</v>
      </c>
      <c r="J865" s="169">
        <v>0.0</v>
      </c>
      <c r="K865" s="169">
        <v>1048.0</v>
      </c>
      <c r="L865" s="169">
        <v>0.0</v>
      </c>
    </row>
    <row r="866" ht="14.25" customHeight="1">
      <c r="A866" s="169" t="s">
        <v>18714</v>
      </c>
      <c r="B866" s="169" t="s">
        <v>11471</v>
      </c>
      <c r="C866" s="169" t="s">
        <v>16490</v>
      </c>
      <c r="D866" s="169" t="str">
        <f t="shared" ref="D866:E866" si="579">"1660825229924"</f>
        <v>1660825229924</v>
      </c>
      <c r="E866" s="169" t="str">
        <f t="shared" si="579"/>
        <v>1660825229924</v>
      </c>
      <c r="F866" s="169" t="s">
        <v>18811</v>
      </c>
      <c r="G866" s="169">
        <v>1.0</v>
      </c>
      <c r="H866" s="169">
        <v>2788.0</v>
      </c>
      <c r="I866" s="169">
        <v>2788.0</v>
      </c>
      <c r="J866" s="169">
        <v>0.0</v>
      </c>
      <c r="K866" s="169">
        <v>1.0</v>
      </c>
      <c r="L866" s="169">
        <v>0.0</v>
      </c>
    </row>
    <row r="867" ht="14.25" customHeight="1">
      <c r="A867" s="169" t="s">
        <v>18714</v>
      </c>
      <c r="B867" s="169" t="s">
        <v>11471</v>
      </c>
      <c r="C867" s="169" t="s">
        <v>760</v>
      </c>
      <c r="D867" s="169" t="str">
        <f>"0788070729150"</f>
        <v>0788070729150</v>
      </c>
      <c r="E867" s="169" t="str">
        <f>"1639085799549"</f>
        <v>1639085799549</v>
      </c>
      <c r="F867" s="169" t="s">
        <v>18811</v>
      </c>
      <c r="G867" s="169">
        <v>185.0</v>
      </c>
      <c r="H867" s="169">
        <v>15751.0</v>
      </c>
      <c r="I867" s="169">
        <v>2913935.0</v>
      </c>
      <c r="J867" s="169">
        <v>0.0</v>
      </c>
      <c r="K867" s="169">
        <v>185.0</v>
      </c>
      <c r="L867" s="169">
        <v>0.0</v>
      </c>
    </row>
    <row r="868" ht="14.25" customHeight="1">
      <c r="A868" s="169" t="s">
        <v>18714</v>
      </c>
      <c r="B868" s="169" t="s">
        <v>11471</v>
      </c>
      <c r="C868" s="169" t="s">
        <v>761</v>
      </c>
      <c r="D868" s="169" t="str">
        <f>"0788070733317"</f>
        <v>0788070733317</v>
      </c>
      <c r="E868" s="169" t="str">
        <f>"67898303200803"</f>
        <v>67898303200803</v>
      </c>
      <c r="F868" s="169" t="s">
        <v>18811</v>
      </c>
      <c r="G868" s="169">
        <v>23.0</v>
      </c>
      <c r="H868" s="169">
        <v>15549.0</v>
      </c>
      <c r="I868" s="169">
        <v>357627.0</v>
      </c>
      <c r="J868" s="169">
        <v>0.0</v>
      </c>
      <c r="K868" s="169">
        <v>23.0</v>
      </c>
      <c r="L868" s="169">
        <v>0.0</v>
      </c>
    </row>
    <row r="869" ht="14.25" customHeight="1">
      <c r="A869" s="169" t="s">
        <v>18714</v>
      </c>
      <c r="B869" s="169" t="s">
        <v>11471</v>
      </c>
      <c r="C869" s="169" t="s">
        <v>763</v>
      </c>
      <c r="D869" s="169" t="str">
        <f>"0788070733300"</f>
        <v>0788070733300</v>
      </c>
      <c r="E869" s="169" t="str">
        <f>"67898307709665"</f>
        <v>67898307709665</v>
      </c>
      <c r="F869" s="169" t="s">
        <v>18811</v>
      </c>
      <c r="G869" s="169">
        <v>71.0</v>
      </c>
      <c r="H869" s="169">
        <v>15494.7</v>
      </c>
      <c r="I869" s="169">
        <v>1100124.0</v>
      </c>
      <c r="J869" s="169">
        <v>0.0</v>
      </c>
      <c r="K869" s="169">
        <v>71.0</v>
      </c>
      <c r="L869" s="169">
        <v>0.0</v>
      </c>
    </row>
    <row r="870" ht="14.25" customHeight="1">
      <c r="A870" s="169" t="s">
        <v>18714</v>
      </c>
      <c r="B870" s="169" t="s">
        <v>11471</v>
      </c>
      <c r="C870" s="169" t="s">
        <v>764</v>
      </c>
      <c r="D870" s="169" t="str">
        <f>"0788070729167"</f>
        <v>0788070729167</v>
      </c>
      <c r="E870" s="169" t="str">
        <f>"1639085807876"</f>
        <v>1639085807876</v>
      </c>
      <c r="F870" s="169" t="s">
        <v>18811</v>
      </c>
      <c r="G870" s="169">
        <v>31.0</v>
      </c>
      <c r="H870" s="169">
        <v>13194.0</v>
      </c>
      <c r="I870" s="169">
        <v>409014.0</v>
      </c>
      <c r="J870" s="169">
        <v>0.0</v>
      </c>
      <c r="K870" s="169">
        <v>31.0</v>
      </c>
      <c r="L870" s="169">
        <v>0.0</v>
      </c>
    </row>
    <row r="871" ht="14.25" customHeight="1">
      <c r="A871" s="169" t="s">
        <v>18714</v>
      </c>
      <c r="B871" s="169" t="s">
        <v>11471</v>
      </c>
      <c r="C871" s="169" t="s">
        <v>766</v>
      </c>
      <c r="D871" s="169" t="str">
        <f>"0736372919601"</f>
        <v>0736372919601</v>
      </c>
      <c r="E871" s="169" t="str">
        <f>"LHCONS03BK"</f>
        <v>LHCONS03BK</v>
      </c>
      <c r="F871" s="169" t="s">
        <v>18811</v>
      </c>
      <c r="G871" s="169">
        <v>101.0</v>
      </c>
      <c r="H871" s="169">
        <v>27160.0</v>
      </c>
      <c r="I871" s="169">
        <v>2743160.0</v>
      </c>
      <c r="J871" s="169">
        <v>0.0</v>
      </c>
      <c r="K871" s="169">
        <v>101.0</v>
      </c>
      <c r="L871" s="169">
        <v>0.0</v>
      </c>
    </row>
    <row r="872" ht="14.25" customHeight="1">
      <c r="A872" s="169" t="s">
        <v>18714</v>
      </c>
      <c r="B872" s="169" t="s">
        <v>11471</v>
      </c>
      <c r="C872" s="169" t="s">
        <v>768</v>
      </c>
      <c r="D872" s="169" t="str">
        <f>"0736372919618"</f>
        <v>0736372919618</v>
      </c>
      <c r="E872" s="169" t="str">
        <f>"LHCONS03BL"</f>
        <v>LHCONS03BL</v>
      </c>
      <c r="F872" s="169" t="s">
        <v>18811</v>
      </c>
      <c r="G872" s="169">
        <v>31.0</v>
      </c>
      <c r="H872" s="169">
        <v>27160.0</v>
      </c>
      <c r="I872" s="169">
        <v>841960.0</v>
      </c>
      <c r="J872" s="169">
        <v>0.0</v>
      </c>
      <c r="K872" s="169">
        <v>31.0</v>
      </c>
      <c r="L872" s="169">
        <v>0.0</v>
      </c>
    </row>
    <row r="873" ht="14.25" customHeight="1">
      <c r="A873" s="169" t="s">
        <v>18714</v>
      </c>
      <c r="B873" s="169" t="s">
        <v>11471</v>
      </c>
      <c r="C873" s="169" t="s">
        <v>770</v>
      </c>
      <c r="D873" s="169" t="str">
        <f>"0736372919625"</f>
        <v>0736372919625</v>
      </c>
      <c r="E873" s="169" t="str">
        <f>"LHCONS03PK"</f>
        <v>LHCONS03PK</v>
      </c>
      <c r="F873" s="169" t="s">
        <v>18811</v>
      </c>
      <c r="G873" s="169">
        <v>92.0</v>
      </c>
      <c r="H873" s="169">
        <v>27160.0</v>
      </c>
      <c r="I873" s="169">
        <v>2498720.0</v>
      </c>
      <c r="J873" s="169">
        <v>0.0</v>
      </c>
      <c r="K873" s="169">
        <v>92.0</v>
      </c>
      <c r="L873" s="169">
        <v>0.0</v>
      </c>
    </row>
    <row r="874" ht="14.25" customHeight="1">
      <c r="A874" s="169" t="s">
        <v>18714</v>
      </c>
      <c r="B874" s="169" t="s">
        <v>11471</v>
      </c>
      <c r="C874" s="169" t="s">
        <v>776</v>
      </c>
      <c r="D874" s="169" t="str">
        <f>"0788070729099"</f>
        <v>0788070729099</v>
      </c>
      <c r="E874" s="169" t="str">
        <f>"1639085772390"</f>
        <v>1639085772390</v>
      </c>
      <c r="F874" s="169" t="s">
        <v>18811</v>
      </c>
      <c r="G874" s="169">
        <v>592.0</v>
      </c>
      <c r="H874" s="169">
        <v>18810.0</v>
      </c>
      <c r="I874" s="169">
        <v>1.113552E7</v>
      </c>
      <c r="J874" s="169">
        <v>0.0</v>
      </c>
      <c r="K874" s="169">
        <v>592.0</v>
      </c>
      <c r="L874" s="169">
        <v>0.0</v>
      </c>
    </row>
    <row r="875" ht="14.25" customHeight="1">
      <c r="A875" s="169" t="s">
        <v>18714</v>
      </c>
      <c r="B875" s="169" t="s">
        <v>11471</v>
      </c>
      <c r="C875" s="169" t="s">
        <v>777</v>
      </c>
      <c r="D875" s="169" t="str">
        <f>"0788070729112"</f>
        <v>0788070729112</v>
      </c>
      <c r="E875" s="169" t="str">
        <f>"1639085790351"</f>
        <v>1639085790351</v>
      </c>
      <c r="F875" s="169" t="s">
        <v>18811</v>
      </c>
      <c r="G875" s="169">
        <v>1.0</v>
      </c>
      <c r="H875" s="169">
        <v>21735.1</v>
      </c>
      <c r="I875" s="169">
        <v>21735.0</v>
      </c>
      <c r="J875" s="169">
        <v>0.0</v>
      </c>
      <c r="K875" s="169">
        <v>1.0</v>
      </c>
      <c r="L875" s="169">
        <v>0.0</v>
      </c>
    </row>
    <row r="876" ht="14.25" customHeight="1">
      <c r="A876" s="169" t="s">
        <v>18714</v>
      </c>
      <c r="B876" s="169" t="s">
        <v>11471</v>
      </c>
      <c r="C876" s="169" t="s">
        <v>778</v>
      </c>
      <c r="D876" s="169" t="str">
        <f>"0788070729105"</f>
        <v>0788070729105</v>
      </c>
      <c r="E876" s="169" t="str">
        <f>"1639085780345"</f>
        <v>1639085780345</v>
      </c>
      <c r="F876" s="169" t="s">
        <v>18811</v>
      </c>
      <c r="G876" s="169">
        <v>82.0</v>
      </c>
      <c r="H876" s="169">
        <v>21962.2</v>
      </c>
      <c r="I876" s="169">
        <v>1800904.0</v>
      </c>
      <c r="J876" s="169">
        <v>0.0</v>
      </c>
      <c r="K876" s="169">
        <v>82.0</v>
      </c>
      <c r="L876" s="169">
        <v>0.0</v>
      </c>
    </row>
    <row r="877" ht="14.25" customHeight="1">
      <c r="A877" s="169" t="s">
        <v>18714</v>
      </c>
      <c r="B877" s="169" t="s">
        <v>11471</v>
      </c>
      <c r="C877" s="169" t="s">
        <v>779</v>
      </c>
      <c r="D877" s="169" t="str">
        <f>"0788070731870"</f>
        <v>0788070731870</v>
      </c>
      <c r="E877" s="169" t="str">
        <f>"1652824942453"</f>
        <v>1652824942453</v>
      </c>
      <c r="F877" s="169" t="s">
        <v>18811</v>
      </c>
      <c r="G877" s="169">
        <v>869.0</v>
      </c>
      <c r="H877" s="169">
        <v>20256.3</v>
      </c>
      <c r="I877" s="169">
        <v>1.7602693E7</v>
      </c>
      <c r="J877" s="169">
        <v>0.0</v>
      </c>
      <c r="K877" s="169">
        <v>869.0</v>
      </c>
      <c r="L877" s="169">
        <v>0.0</v>
      </c>
    </row>
    <row r="878" ht="14.25" customHeight="1">
      <c r="A878" s="169" t="s">
        <v>18714</v>
      </c>
      <c r="B878" s="169" t="s">
        <v>11471</v>
      </c>
      <c r="C878" s="169" t="s">
        <v>780</v>
      </c>
      <c r="D878" s="169" t="str">
        <f>"0788070731887"</f>
        <v>0788070731887</v>
      </c>
      <c r="E878" s="169" t="str">
        <f>"1652824957424"</f>
        <v>1652824957424</v>
      </c>
      <c r="F878" s="169" t="s">
        <v>18811</v>
      </c>
      <c r="G878" s="169">
        <v>424.0</v>
      </c>
      <c r="H878" s="169">
        <v>20646.9</v>
      </c>
      <c r="I878" s="169">
        <v>8754281.0</v>
      </c>
      <c r="J878" s="169">
        <v>0.0</v>
      </c>
      <c r="K878" s="169">
        <v>424.0</v>
      </c>
      <c r="L878" s="169">
        <v>0.0</v>
      </c>
    </row>
    <row r="879" ht="14.25" customHeight="1">
      <c r="A879" s="169" t="s">
        <v>18714</v>
      </c>
      <c r="B879" s="169" t="s">
        <v>11471</v>
      </c>
      <c r="C879" s="169" t="s">
        <v>781</v>
      </c>
      <c r="D879" s="169" t="str">
        <f>"0788070731863"</f>
        <v>0788070731863</v>
      </c>
      <c r="E879" s="169" t="str">
        <f>"1652824924113"</f>
        <v>1652824924113</v>
      </c>
      <c r="F879" s="169" t="s">
        <v>18811</v>
      </c>
      <c r="G879" s="169">
        <v>41.0</v>
      </c>
      <c r="H879" s="169">
        <v>20635.0</v>
      </c>
      <c r="I879" s="169">
        <v>846035.0</v>
      </c>
      <c r="J879" s="169">
        <v>0.0</v>
      </c>
      <c r="K879" s="169">
        <v>41.0</v>
      </c>
      <c r="L879" s="169">
        <v>0.0</v>
      </c>
    </row>
    <row r="880" ht="14.25" customHeight="1">
      <c r="A880" s="169" t="s">
        <v>18714</v>
      </c>
      <c r="B880" s="169" t="s">
        <v>11471</v>
      </c>
      <c r="C880" s="169" t="s">
        <v>782</v>
      </c>
      <c r="D880" s="169" t="str">
        <f>"0788070731856"</f>
        <v>0788070731856</v>
      </c>
      <c r="E880" s="169" t="str">
        <f>"1652824902758"</f>
        <v>1652824902758</v>
      </c>
      <c r="F880" s="169" t="s">
        <v>18811</v>
      </c>
      <c r="G880" s="169">
        <v>2.0</v>
      </c>
      <c r="H880" s="169">
        <v>18668.0</v>
      </c>
      <c r="I880" s="169">
        <v>37336.0</v>
      </c>
      <c r="J880" s="169">
        <v>0.0</v>
      </c>
      <c r="K880" s="169">
        <v>2.0</v>
      </c>
      <c r="L880" s="169">
        <v>0.0</v>
      </c>
    </row>
    <row r="881" ht="14.25" customHeight="1">
      <c r="A881" s="169" t="s">
        <v>18714</v>
      </c>
      <c r="B881" s="169" t="s">
        <v>11471</v>
      </c>
      <c r="C881" s="169" t="s">
        <v>16476</v>
      </c>
      <c r="D881" s="169" t="str">
        <f t="shared" ref="D881:E881" si="580">"1660825216719"</f>
        <v>1660825216719</v>
      </c>
      <c r="E881" s="169" t="str">
        <f t="shared" si="580"/>
        <v>1660825216719</v>
      </c>
      <c r="F881" s="169" t="s">
        <v>18811</v>
      </c>
      <c r="G881" s="169">
        <v>1.0</v>
      </c>
      <c r="H881" s="169">
        <v>3917.0</v>
      </c>
      <c r="I881" s="169">
        <v>3917.0</v>
      </c>
      <c r="J881" s="169">
        <v>0.0</v>
      </c>
      <c r="K881" s="169">
        <v>1.0</v>
      </c>
      <c r="L881" s="169">
        <v>0.0</v>
      </c>
    </row>
    <row r="882" ht="14.25" customHeight="1">
      <c r="A882" s="169" t="s">
        <v>18714</v>
      </c>
      <c r="B882" s="169" t="s">
        <v>11471</v>
      </c>
      <c r="C882" s="169" t="s">
        <v>12238</v>
      </c>
      <c r="D882" s="169" t="str">
        <f t="shared" ref="D882:E882" si="581">"1579117587919"</f>
        <v>1579117587919</v>
      </c>
      <c r="E882" s="169" t="str">
        <f t="shared" si="581"/>
        <v>1579117587919</v>
      </c>
      <c r="F882" s="169" t="s">
        <v>18811</v>
      </c>
      <c r="G882" s="169">
        <v>11.0</v>
      </c>
      <c r="H882" s="169">
        <v>14143.0</v>
      </c>
      <c r="I882" s="169">
        <v>155573.0</v>
      </c>
      <c r="J882" s="169">
        <v>0.0</v>
      </c>
      <c r="K882" s="169">
        <v>11.0</v>
      </c>
      <c r="L882" s="169">
        <v>0.0</v>
      </c>
    </row>
    <row r="883" ht="14.25" customHeight="1">
      <c r="A883" s="169" t="s">
        <v>18714</v>
      </c>
      <c r="B883" s="169" t="s">
        <v>11471</v>
      </c>
      <c r="C883" s="169" t="s">
        <v>12239</v>
      </c>
      <c r="D883" s="169" t="str">
        <f t="shared" ref="D883:E883" si="582">"1605624727428"</f>
        <v>1605624727428</v>
      </c>
      <c r="E883" s="169" t="str">
        <f t="shared" si="582"/>
        <v>1605624727428</v>
      </c>
      <c r="F883" s="169" t="s">
        <v>18811</v>
      </c>
      <c r="G883" s="169">
        <v>2.0</v>
      </c>
      <c r="H883" s="169">
        <v>16835.0</v>
      </c>
      <c r="I883" s="169">
        <v>33670.0</v>
      </c>
      <c r="J883" s="169">
        <v>0.0</v>
      </c>
      <c r="K883" s="169">
        <v>2.0</v>
      </c>
      <c r="L883" s="169">
        <v>0.0</v>
      </c>
    </row>
    <row r="884" ht="14.25" customHeight="1">
      <c r="A884" s="169" t="s">
        <v>18714</v>
      </c>
      <c r="B884" s="169" t="s">
        <v>11471</v>
      </c>
      <c r="C884" s="169" t="s">
        <v>12240</v>
      </c>
      <c r="D884" s="169" t="str">
        <f t="shared" ref="D884:E884" si="583">"1579117612971"</f>
        <v>1579117612971</v>
      </c>
      <c r="E884" s="169" t="str">
        <f t="shared" si="583"/>
        <v>1579117612971</v>
      </c>
      <c r="F884" s="169" t="s">
        <v>18811</v>
      </c>
      <c r="G884" s="169">
        <v>2.0</v>
      </c>
      <c r="H884" s="169">
        <v>14572.3</v>
      </c>
      <c r="I884" s="169">
        <v>29145.0</v>
      </c>
      <c r="J884" s="169">
        <v>0.0</v>
      </c>
      <c r="K884" s="169">
        <v>2.0</v>
      </c>
      <c r="L884" s="169">
        <v>0.0</v>
      </c>
    </row>
    <row r="885" ht="14.25" customHeight="1">
      <c r="A885" s="169" t="s">
        <v>18714</v>
      </c>
      <c r="B885" s="169" t="s">
        <v>11471</v>
      </c>
      <c r="C885" s="169" t="s">
        <v>12242</v>
      </c>
      <c r="D885" s="169" t="str">
        <f t="shared" ref="D885:E885" si="584">"1605708086872"</f>
        <v>1605708086872</v>
      </c>
      <c r="E885" s="169" t="str">
        <f t="shared" si="584"/>
        <v>1605708086872</v>
      </c>
      <c r="F885" s="169" t="s">
        <v>18811</v>
      </c>
      <c r="G885" s="169">
        <v>2.0</v>
      </c>
      <c r="H885" s="169">
        <v>14860.0</v>
      </c>
      <c r="I885" s="169">
        <v>29720.0</v>
      </c>
      <c r="J885" s="169">
        <v>0.0</v>
      </c>
      <c r="K885" s="169">
        <v>2.0</v>
      </c>
      <c r="L885" s="169">
        <v>0.0</v>
      </c>
    </row>
    <row r="886" ht="14.25" customHeight="1">
      <c r="A886" s="169" t="s">
        <v>18714</v>
      </c>
      <c r="B886" s="169" t="s">
        <v>11471</v>
      </c>
      <c r="C886" s="169" t="s">
        <v>12254</v>
      </c>
      <c r="D886" s="169" t="str">
        <f t="shared" ref="D886:E886" si="585">"1605624656414"</f>
        <v>1605624656414</v>
      </c>
      <c r="E886" s="169" t="str">
        <f t="shared" si="585"/>
        <v>1605624656414</v>
      </c>
      <c r="F886" s="169" t="s">
        <v>18811</v>
      </c>
      <c r="G886" s="169">
        <v>2.0</v>
      </c>
      <c r="H886" s="169">
        <v>14271.0</v>
      </c>
      <c r="I886" s="169">
        <v>28542.0</v>
      </c>
      <c r="J886" s="169">
        <v>0.0</v>
      </c>
      <c r="K886" s="169">
        <v>2.0</v>
      </c>
      <c r="L886" s="169">
        <v>0.0</v>
      </c>
    </row>
    <row r="887" ht="14.25" customHeight="1">
      <c r="A887" s="169" t="s">
        <v>18714</v>
      </c>
      <c r="B887" s="169" t="s">
        <v>11471</v>
      </c>
      <c r="C887" s="169" t="s">
        <v>12258</v>
      </c>
      <c r="D887" s="169" t="str">
        <f t="shared" ref="D887:E887" si="586">"1581963991564"</f>
        <v>1581963991564</v>
      </c>
      <c r="E887" s="169" t="str">
        <f t="shared" si="586"/>
        <v>1581963991564</v>
      </c>
      <c r="F887" s="169" t="s">
        <v>18811</v>
      </c>
      <c r="G887" s="169">
        <v>14.0</v>
      </c>
      <c r="H887" s="169">
        <v>15218.0</v>
      </c>
      <c r="I887" s="169">
        <v>213052.0</v>
      </c>
      <c r="J887" s="169">
        <v>0.0</v>
      </c>
      <c r="K887" s="169">
        <v>14.0</v>
      </c>
      <c r="L887" s="169">
        <v>0.0</v>
      </c>
    </row>
    <row r="888" ht="14.25" customHeight="1">
      <c r="A888" s="169" t="s">
        <v>18714</v>
      </c>
      <c r="B888" s="169" t="s">
        <v>11471</v>
      </c>
      <c r="C888" s="169" t="s">
        <v>16468</v>
      </c>
      <c r="D888" s="169" t="str">
        <f t="shared" ref="D888:E888" si="587">"1574177821495"</f>
        <v>1574177821495</v>
      </c>
      <c r="E888" s="169" t="str">
        <f t="shared" si="587"/>
        <v>1574177821495</v>
      </c>
      <c r="F888" s="169" t="s">
        <v>18811</v>
      </c>
      <c r="G888" s="169">
        <v>1.0</v>
      </c>
      <c r="H888" s="169">
        <v>26245.0</v>
      </c>
      <c r="I888" s="169">
        <v>26245.0</v>
      </c>
      <c r="J888" s="169">
        <v>0.0</v>
      </c>
      <c r="K888" s="169">
        <v>1.0</v>
      </c>
      <c r="L888" s="169">
        <v>0.0</v>
      </c>
    </row>
    <row r="889" ht="14.25" customHeight="1">
      <c r="A889" s="169" t="s">
        <v>18714</v>
      </c>
      <c r="B889" s="169" t="s">
        <v>11471</v>
      </c>
      <c r="C889" s="169" t="s">
        <v>16466</v>
      </c>
      <c r="D889" s="169" t="str">
        <f t="shared" ref="D889:E889" si="588">"1535566560027"</f>
        <v>1535566560027</v>
      </c>
      <c r="E889" s="169" t="str">
        <f t="shared" si="588"/>
        <v>1535566560027</v>
      </c>
      <c r="F889" s="169" t="s">
        <v>18811</v>
      </c>
      <c r="G889" s="169">
        <v>10.0</v>
      </c>
      <c r="H889" s="169">
        <v>7127.5</v>
      </c>
      <c r="I889" s="169">
        <v>71275.0</v>
      </c>
      <c r="J889" s="169">
        <v>0.0</v>
      </c>
      <c r="K889" s="169">
        <v>10.0</v>
      </c>
      <c r="L889" s="169">
        <v>0.0</v>
      </c>
    </row>
    <row r="890" ht="14.25" customHeight="1">
      <c r="A890" s="169" t="s">
        <v>18714</v>
      </c>
      <c r="B890" s="169" t="s">
        <v>11471</v>
      </c>
      <c r="C890" s="169" t="s">
        <v>12285</v>
      </c>
      <c r="D890" s="169" t="str">
        <f>"0788070729082"</f>
        <v>0788070729082</v>
      </c>
      <c r="E890" s="169" t="str">
        <f>"1639085736261"</f>
        <v>1639085736261</v>
      </c>
      <c r="F890" s="169" t="s">
        <v>18811</v>
      </c>
      <c r="G890" s="169">
        <v>14.0</v>
      </c>
      <c r="H890" s="169">
        <v>21836.8</v>
      </c>
      <c r="I890" s="169">
        <v>305715.0</v>
      </c>
      <c r="J890" s="169">
        <v>1.0</v>
      </c>
      <c r="K890" s="169">
        <v>13.0</v>
      </c>
      <c r="L890" s="169">
        <v>0.0</v>
      </c>
    </row>
    <row r="891" ht="14.25" customHeight="1">
      <c r="A891" s="169" t="s">
        <v>18714</v>
      </c>
      <c r="B891" s="169" t="s">
        <v>11471</v>
      </c>
      <c r="C891" s="169" t="s">
        <v>16463</v>
      </c>
      <c r="D891" s="169" t="str">
        <f>"0788070733058"</f>
        <v>0788070733058</v>
      </c>
      <c r="E891" s="169" t="str">
        <f>"66436950085067"</f>
        <v>66436950085067</v>
      </c>
      <c r="F891" s="169" t="s">
        <v>18811</v>
      </c>
      <c r="G891" s="169">
        <v>26.0</v>
      </c>
      <c r="H891" s="169">
        <v>23977.8</v>
      </c>
      <c r="I891" s="169">
        <v>623424.0</v>
      </c>
      <c r="J891" s="169">
        <v>0.0</v>
      </c>
      <c r="K891" s="169">
        <v>26.0</v>
      </c>
      <c r="L891" s="169">
        <v>0.0</v>
      </c>
    </row>
    <row r="892" ht="14.25" customHeight="1">
      <c r="A892" s="169" t="s">
        <v>18714</v>
      </c>
      <c r="B892" s="169" t="s">
        <v>11471</v>
      </c>
      <c r="C892" s="169" t="s">
        <v>12293</v>
      </c>
      <c r="D892" s="169" t="str">
        <f t="shared" ref="D892:E892" si="589">"1602029190396"</f>
        <v>1602029190396</v>
      </c>
      <c r="E892" s="169" t="str">
        <f t="shared" si="589"/>
        <v>1602029190396</v>
      </c>
      <c r="F892" s="169" t="s">
        <v>18811</v>
      </c>
      <c r="G892" s="169">
        <v>2.0</v>
      </c>
      <c r="H892" s="169">
        <v>28513.0</v>
      </c>
      <c r="I892" s="169">
        <v>57026.0</v>
      </c>
      <c r="J892" s="169">
        <v>0.0</v>
      </c>
      <c r="K892" s="169">
        <v>2.0</v>
      </c>
      <c r="L892" s="169">
        <v>0.0</v>
      </c>
    </row>
    <row r="893" ht="14.25" customHeight="1">
      <c r="A893" s="169" t="s">
        <v>18714</v>
      </c>
      <c r="B893" s="169" t="s">
        <v>11471</v>
      </c>
      <c r="C893" s="169" t="s">
        <v>12301</v>
      </c>
      <c r="D893" s="169" t="str">
        <f t="shared" ref="D893:E893" si="590">"1607526253622"</f>
        <v>1607526253622</v>
      </c>
      <c r="E893" s="169" t="str">
        <f t="shared" si="590"/>
        <v>1607526253622</v>
      </c>
      <c r="F893" s="169" t="s">
        <v>18811</v>
      </c>
      <c r="G893" s="169">
        <v>1.0</v>
      </c>
      <c r="H893" s="169">
        <v>9931.0</v>
      </c>
      <c r="I893" s="169">
        <v>9931.0</v>
      </c>
      <c r="J893" s="169">
        <v>0.0</v>
      </c>
      <c r="K893" s="169">
        <v>1.0</v>
      </c>
      <c r="L893" s="169">
        <v>0.0</v>
      </c>
    </row>
    <row r="894" ht="14.25" customHeight="1">
      <c r="A894" s="169" t="s">
        <v>18714</v>
      </c>
      <c r="B894" s="169" t="s">
        <v>11471</v>
      </c>
      <c r="C894" s="169" t="s">
        <v>12302</v>
      </c>
      <c r="D894" s="169" t="str">
        <f t="shared" ref="D894:E894" si="591">"1605622069868"</f>
        <v>1605622069868</v>
      </c>
      <c r="E894" s="169" t="str">
        <f t="shared" si="591"/>
        <v>1605622069868</v>
      </c>
      <c r="F894" s="169" t="s">
        <v>18811</v>
      </c>
      <c r="G894" s="169">
        <v>1.0</v>
      </c>
      <c r="H894" s="169">
        <v>9869.4</v>
      </c>
      <c r="I894" s="169">
        <v>9869.0</v>
      </c>
      <c r="J894" s="169">
        <v>0.0</v>
      </c>
      <c r="K894" s="169">
        <v>1.0</v>
      </c>
      <c r="L894" s="169">
        <v>0.0</v>
      </c>
    </row>
    <row r="895" ht="14.25" customHeight="1">
      <c r="A895" s="169" t="s">
        <v>18714</v>
      </c>
      <c r="B895" s="169" t="s">
        <v>11471</v>
      </c>
      <c r="C895" s="169" t="s">
        <v>16458</v>
      </c>
      <c r="D895" s="169" t="str">
        <f t="shared" ref="D895:E895" si="592">"1594337749167"</f>
        <v>1594337749167</v>
      </c>
      <c r="E895" s="169" t="str">
        <f t="shared" si="592"/>
        <v>1594337749167</v>
      </c>
      <c r="F895" s="169" t="s">
        <v>18811</v>
      </c>
      <c r="G895" s="169">
        <v>22.0</v>
      </c>
      <c r="H895" s="169">
        <v>11670.0</v>
      </c>
      <c r="I895" s="169">
        <v>256740.0</v>
      </c>
      <c r="J895" s="169">
        <v>0.0</v>
      </c>
      <c r="K895" s="169">
        <v>22.0</v>
      </c>
      <c r="L895" s="169">
        <v>0.0</v>
      </c>
    </row>
    <row r="896" ht="14.25" customHeight="1">
      <c r="A896" s="169" t="s">
        <v>18714</v>
      </c>
      <c r="B896" s="169" t="s">
        <v>11471</v>
      </c>
      <c r="C896" s="169" t="s">
        <v>16456</v>
      </c>
      <c r="D896" s="169" t="str">
        <f t="shared" ref="D896:E896" si="593">"1627069056921"</f>
        <v>1627069056921</v>
      </c>
      <c r="E896" s="169" t="str">
        <f t="shared" si="593"/>
        <v>1627069056921</v>
      </c>
      <c r="F896" s="169" t="s">
        <v>18811</v>
      </c>
      <c r="G896" s="169">
        <v>3.0</v>
      </c>
      <c r="H896" s="169">
        <v>5771.0</v>
      </c>
      <c r="I896" s="169">
        <v>17313.0</v>
      </c>
      <c r="J896" s="169">
        <v>0.0</v>
      </c>
      <c r="K896" s="169">
        <v>3.0</v>
      </c>
      <c r="L896" s="169">
        <v>0.0</v>
      </c>
    </row>
    <row r="897" ht="14.25" customHeight="1">
      <c r="A897" s="169" t="s">
        <v>18714</v>
      </c>
      <c r="B897" s="169" t="s">
        <v>11471</v>
      </c>
      <c r="C897" s="169" t="s">
        <v>16454</v>
      </c>
      <c r="D897" s="169" t="str">
        <f>"1628778373681"</f>
        <v>1628778373681</v>
      </c>
      <c r="E897" s="169" t="str">
        <f>"1628778373680"</f>
        <v>1628778373680</v>
      </c>
      <c r="F897" s="169" t="s">
        <v>18811</v>
      </c>
      <c r="G897" s="169">
        <v>1.0</v>
      </c>
      <c r="H897" s="169">
        <v>32073.0</v>
      </c>
      <c r="I897" s="169">
        <v>32073.0</v>
      </c>
      <c r="J897" s="169">
        <v>0.0</v>
      </c>
      <c r="K897" s="169">
        <v>1.0</v>
      </c>
      <c r="L897" s="169">
        <v>0.0</v>
      </c>
    </row>
    <row r="898" ht="14.25" customHeight="1">
      <c r="A898" s="169" t="s">
        <v>18714</v>
      </c>
      <c r="B898" s="169" t="s">
        <v>11471</v>
      </c>
      <c r="C898" s="169" t="s">
        <v>16452</v>
      </c>
      <c r="D898" s="169" t="str">
        <f t="shared" ref="D898:E898" si="594">"1636122379069"</f>
        <v>1636122379069</v>
      </c>
      <c r="E898" s="169" t="str">
        <f t="shared" si="594"/>
        <v>1636122379069</v>
      </c>
      <c r="F898" s="169" t="s">
        <v>18811</v>
      </c>
      <c r="G898" s="169">
        <v>3.0</v>
      </c>
      <c r="H898" s="169">
        <v>5662.0</v>
      </c>
      <c r="I898" s="169">
        <v>16986.0</v>
      </c>
      <c r="J898" s="169">
        <v>0.0</v>
      </c>
      <c r="K898" s="169">
        <v>3.0</v>
      </c>
      <c r="L898" s="169">
        <v>0.0</v>
      </c>
    </row>
    <row r="899" ht="14.25" customHeight="1">
      <c r="A899" s="169" t="s">
        <v>18714</v>
      </c>
      <c r="B899" s="169" t="s">
        <v>11471</v>
      </c>
      <c r="C899" s="169" t="s">
        <v>16450</v>
      </c>
      <c r="D899" s="169" t="str">
        <f t="shared" ref="D899:E899" si="595">"1628778259856"</f>
        <v>1628778259856</v>
      </c>
      <c r="E899" s="169" t="str">
        <f t="shared" si="595"/>
        <v>1628778259856</v>
      </c>
      <c r="F899" s="169" t="s">
        <v>18811</v>
      </c>
      <c r="G899" s="169">
        <v>1.0</v>
      </c>
      <c r="H899" s="169">
        <v>5687.0</v>
      </c>
      <c r="I899" s="169">
        <v>5687.0</v>
      </c>
      <c r="J899" s="169">
        <v>0.0</v>
      </c>
      <c r="K899" s="169">
        <v>1.0</v>
      </c>
      <c r="L899" s="169">
        <v>0.0</v>
      </c>
    </row>
    <row r="900" ht="14.25" customHeight="1">
      <c r="A900" s="169" t="s">
        <v>18714</v>
      </c>
      <c r="B900" s="169" t="s">
        <v>11471</v>
      </c>
      <c r="C900" s="169" t="s">
        <v>16448</v>
      </c>
      <c r="D900" s="169" t="str">
        <f t="shared" ref="D900:E900" si="596">"1650478290520"</f>
        <v>1650478290520</v>
      </c>
      <c r="E900" s="169" t="str">
        <f t="shared" si="596"/>
        <v>1650478290520</v>
      </c>
      <c r="F900" s="169" t="s">
        <v>18811</v>
      </c>
      <c r="G900" s="169">
        <v>1.0</v>
      </c>
      <c r="H900" s="169">
        <v>3177.0</v>
      </c>
      <c r="I900" s="169">
        <v>3177.0</v>
      </c>
      <c r="J900" s="169">
        <v>0.0</v>
      </c>
      <c r="K900" s="169">
        <v>1.0</v>
      </c>
      <c r="L900" s="169">
        <v>0.0</v>
      </c>
    </row>
    <row r="901" ht="14.25" customHeight="1">
      <c r="A901" s="169" t="s">
        <v>18714</v>
      </c>
      <c r="B901" s="169" t="s">
        <v>11471</v>
      </c>
      <c r="C901" s="169" t="s">
        <v>16447</v>
      </c>
      <c r="D901" s="169" t="str">
        <f>"0736372919793"</f>
        <v>0736372919793</v>
      </c>
      <c r="E901" s="169" t="str">
        <f>"LHTPAD01"</f>
        <v>LHTPAD01</v>
      </c>
      <c r="F901" s="169" t="s">
        <v>18811</v>
      </c>
      <c r="G901" s="169">
        <v>103.0</v>
      </c>
      <c r="H901" s="169">
        <v>799.0</v>
      </c>
      <c r="I901" s="169">
        <v>82297.0</v>
      </c>
      <c r="J901" s="169">
        <v>0.0</v>
      </c>
      <c r="K901" s="169">
        <v>103.0</v>
      </c>
      <c r="L901" s="169">
        <v>0.0</v>
      </c>
    </row>
    <row r="902" ht="14.25" customHeight="1">
      <c r="A902" s="169" t="s">
        <v>18714</v>
      </c>
      <c r="B902" s="169" t="s">
        <v>11471</v>
      </c>
      <c r="C902" s="169" t="s">
        <v>16446</v>
      </c>
      <c r="D902" s="169" t="str">
        <f>"0736372919786"</f>
        <v>0736372919786</v>
      </c>
      <c r="E902" s="169" t="str">
        <f>"LHTPHY01"</f>
        <v>LHTPHY01</v>
      </c>
      <c r="F902" s="169" t="s">
        <v>18811</v>
      </c>
      <c r="G902" s="169">
        <v>104.0</v>
      </c>
      <c r="H902" s="169">
        <v>799.0</v>
      </c>
      <c r="I902" s="169">
        <v>83096.0</v>
      </c>
      <c r="J902" s="169">
        <v>0.0</v>
      </c>
      <c r="K902" s="169">
        <v>104.0</v>
      </c>
      <c r="L902" s="169">
        <v>0.0</v>
      </c>
    </row>
    <row r="903" ht="14.25" customHeight="1">
      <c r="A903" s="169" t="s">
        <v>18714</v>
      </c>
      <c r="B903" s="169" t="s">
        <v>11471</v>
      </c>
      <c r="C903" s="169" t="s">
        <v>717</v>
      </c>
      <c r="D903" s="169" t="str">
        <f>"0736372918895"</f>
        <v>0736372918895</v>
      </c>
      <c r="E903" s="169" t="str">
        <f>"LHCAMU-WH"</f>
        <v>LHCAMU-WH</v>
      </c>
      <c r="F903" s="169" t="s">
        <v>18811</v>
      </c>
      <c r="G903" s="169">
        <v>97.0</v>
      </c>
      <c r="H903" s="169">
        <v>2753.0</v>
      </c>
      <c r="I903" s="169">
        <v>267041.0</v>
      </c>
      <c r="J903" s="169">
        <v>0.0</v>
      </c>
      <c r="K903" s="169">
        <v>97.0</v>
      </c>
      <c r="L903" s="169">
        <v>0.0</v>
      </c>
    </row>
    <row r="904" ht="14.25" customHeight="1">
      <c r="A904" s="169" t="s">
        <v>18714</v>
      </c>
      <c r="B904" s="169" t="s">
        <v>11471</v>
      </c>
      <c r="C904" s="169" t="s">
        <v>719</v>
      </c>
      <c r="D904" s="169" t="str">
        <f>"0736372918901"</f>
        <v>0736372918901</v>
      </c>
      <c r="E904" s="169" t="str">
        <f>"LHCAMU-BL"</f>
        <v>LHCAMU-BL</v>
      </c>
      <c r="F904" s="169" t="s">
        <v>18811</v>
      </c>
      <c r="G904" s="169">
        <v>97.0</v>
      </c>
      <c r="H904" s="169">
        <v>2753.0</v>
      </c>
      <c r="I904" s="169">
        <v>267041.0</v>
      </c>
      <c r="J904" s="169">
        <v>0.0</v>
      </c>
      <c r="K904" s="169">
        <v>97.0</v>
      </c>
      <c r="L904" s="169">
        <v>0.0</v>
      </c>
    </row>
    <row r="905" ht="14.25" customHeight="1">
      <c r="A905" s="169" t="s">
        <v>18714</v>
      </c>
      <c r="B905" s="169" t="s">
        <v>11471</v>
      </c>
      <c r="C905" s="169" t="s">
        <v>721</v>
      </c>
      <c r="D905" s="169" t="str">
        <f>"0736372918888"</f>
        <v>0736372918888</v>
      </c>
      <c r="E905" s="169" t="str">
        <f>"LHCAMU-BK"</f>
        <v>LHCAMU-BK</v>
      </c>
      <c r="F905" s="169" t="s">
        <v>18811</v>
      </c>
      <c r="G905" s="169">
        <v>95.0</v>
      </c>
      <c r="H905" s="169">
        <v>2753.0</v>
      </c>
      <c r="I905" s="169">
        <v>261535.0</v>
      </c>
      <c r="J905" s="169">
        <v>0.0</v>
      </c>
      <c r="K905" s="169">
        <v>95.0</v>
      </c>
      <c r="L905" s="169">
        <v>0.0</v>
      </c>
    </row>
    <row r="906" ht="14.25" customHeight="1">
      <c r="A906" s="169" t="s">
        <v>18714</v>
      </c>
      <c r="B906" s="169" t="s">
        <v>11471</v>
      </c>
      <c r="C906" s="169" t="s">
        <v>723</v>
      </c>
      <c r="D906" s="169" t="str">
        <f>"0736372918918"</f>
        <v>0736372918918</v>
      </c>
      <c r="E906" s="169" t="str">
        <f>"LHCAMU-GR"</f>
        <v>LHCAMU-GR</v>
      </c>
      <c r="F906" s="169" t="s">
        <v>18811</v>
      </c>
      <c r="G906" s="169">
        <v>95.0</v>
      </c>
      <c r="H906" s="169">
        <v>2753.0</v>
      </c>
      <c r="I906" s="169">
        <v>261535.0</v>
      </c>
      <c r="J906" s="169">
        <v>0.0</v>
      </c>
      <c r="K906" s="169">
        <v>95.0</v>
      </c>
      <c r="L906" s="169">
        <v>0.0</v>
      </c>
    </row>
    <row r="907" ht="14.25" customHeight="1">
      <c r="A907" s="169" t="s">
        <v>18714</v>
      </c>
      <c r="B907" s="169" t="s">
        <v>11471</v>
      </c>
      <c r="C907" s="169" t="s">
        <v>16444</v>
      </c>
      <c r="D907" s="169" t="str">
        <f t="shared" ref="D907:E907" si="597">"1650478050242"</f>
        <v>1650478050242</v>
      </c>
      <c r="E907" s="169" t="str">
        <f t="shared" si="597"/>
        <v>1650478050242</v>
      </c>
      <c r="F907" s="169" t="s">
        <v>18811</v>
      </c>
      <c r="G907" s="169">
        <v>1.0</v>
      </c>
      <c r="H907" s="169">
        <v>13765.0</v>
      </c>
      <c r="I907" s="169">
        <v>13765.0</v>
      </c>
      <c r="J907" s="169">
        <v>0.0</v>
      </c>
      <c r="K907" s="169">
        <v>1.0</v>
      </c>
      <c r="L907" s="169">
        <v>0.0</v>
      </c>
    </row>
    <row r="908" ht="14.25" customHeight="1">
      <c r="A908" s="169" t="s">
        <v>18714</v>
      </c>
      <c r="B908" s="169" t="s">
        <v>11471</v>
      </c>
      <c r="C908" s="169" t="s">
        <v>736</v>
      </c>
      <c r="D908" s="169" t="str">
        <f>"0736372919229"</f>
        <v>0736372919229</v>
      </c>
      <c r="E908" s="169" t="str">
        <f>"LHTHCLA-WH"</f>
        <v>LHTHCLA-WH</v>
      </c>
      <c r="F908" s="169" t="s">
        <v>18811</v>
      </c>
      <c r="G908" s="169">
        <v>93.0</v>
      </c>
      <c r="H908" s="169">
        <v>6396.0</v>
      </c>
      <c r="I908" s="169">
        <v>594828.0</v>
      </c>
      <c r="J908" s="169">
        <v>0.0</v>
      </c>
      <c r="K908" s="169">
        <v>93.0</v>
      </c>
      <c r="L908" s="169">
        <v>0.0</v>
      </c>
    </row>
    <row r="909" ht="14.25" customHeight="1">
      <c r="A909" s="169" t="s">
        <v>18714</v>
      </c>
      <c r="B909" s="169" t="s">
        <v>11471</v>
      </c>
      <c r="C909" s="169" t="s">
        <v>738</v>
      </c>
      <c r="D909" s="169" t="str">
        <f>"0736372919236"</f>
        <v>0736372919236</v>
      </c>
      <c r="E909" s="169" t="str">
        <f>"LHTHCLA-BK"</f>
        <v>LHTHCLA-BK</v>
      </c>
      <c r="F909" s="169" t="s">
        <v>18811</v>
      </c>
      <c r="G909" s="169">
        <v>90.0</v>
      </c>
      <c r="H909" s="169">
        <v>6396.0</v>
      </c>
      <c r="I909" s="169">
        <v>575640.0</v>
      </c>
      <c r="J909" s="169">
        <v>0.0</v>
      </c>
      <c r="K909" s="169">
        <v>90.0</v>
      </c>
      <c r="L909" s="169">
        <v>0.0</v>
      </c>
    </row>
    <row r="910" ht="14.25" customHeight="1">
      <c r="A910" s="169" t="s">
        <v>18714</v>
      </c>
      <c r="B910" s="169" t="s">
        <v>11471</v>
      </c>
      <c r="C910" s="169" t="s">
        <v>740</v>
      </c>
      <c r="D910" s="169" t="str">
        <f>"0736372919243"</f>
        <v>0736372919243</v>
      </c>
      <c r="E910" s="169" t="str">
        <f>"LHTHCLA-PK"</f>
        <v>LHTHCLA-PK</v>
      </c>
      <c r="F910" s="169" t="s">
        <v>18811</v>
      </c>
      <c r="G910" s="169">
        <v>95.0</v>
      </c>
      <c r="H910" s="169">
        <v>6396.0</v>
      </c>
      <c r="I910" s="169">
        <v>607620.0</v>
      </c>
      <c r="J910" s="169">
        <v>0.0</v>
      </c>
      <c r="K910" s="169">
        <v>95.0</v>
      </c>
      <c r="L910" s="169">
        <v>0.0</v>
      </c>
    </row>
    <row r="911" ht="14.25" customHeight="1">
      <c r="A911" s="169" t="s">
        <v>18714</v>
      </c>
      <c r="B911" s="169" t="s">
        <v>11471</v>
      </c>
      <c r="C911" s="169" t="s">
        <v>742</v>
      </c>
      <c r="D911" s="169" t="str">
        <f>"0736372919250"</f>
        <v>0736372919250</v>
      </c>
      <c r="E911" s="169" t="str">
        <f>"LHTHCLA-GR"</f>
        <v>LHTHCLA-GR</v>
      </c>
      <c r="F911" s="169" t="s">
        <v>18811</v>
      </c>
      <c r="G911" s="169">
        <v>92.0</v>
      </c>
      <c r="H911" s="169">
        <v>6396.0</v>
      </c>
      <c r="I911" s="169">
        <v>588432.0</v>
      </c>
      <c r="J911" s="169">
        <v>0.0</v>
      </c>
      <c r="K911" s="169">
        <v>92.0</v>
      </c>
      <c r="L911" s="169">
        <v>0.0</v>
      </c>
    </row>
    <row r="912" ht="14.25" customHeight="1">
      <c r="A912" s="169" t="s">
        <v>18714</v>
      </c>
      <c r="B912" s="169" t="s">
        <v>11471</v>
      </c>
      <c r="C912" s="169" t="s">
        <v>746</v>
      </c>
      <c r="D912" s="169" t="str">
        <f t="shared" ref="D912:E912" si="598">"1627424867043"</f>
        <v>1627424867043</v>
      </c>
      <c r="E912" s="169" t="str">
        <f t="shared" si="598"/>
        <v>1627424867043</v>
      </c>
      <c r="F912" s="169" t="s">
        <v>18811</v>
      </c>
      <c r="G912" s="169">
        <v>244.0</v>
      </c>
      <c r="H912" s="169">
        <v>5168.5</v>
      </c>
      <c r="I912" s="169">
        <v>1261117.0</v>
      </c>
      <c r="J912" s="169">
        <v>0.0</v>
      </c>
      <c r="K912" s="169">
        <v>244.0</v>
      </c>
      <c r="L912" s="169">
        <v>0.0</v>
      </c>
    </row>
    <row r="913" ht="14.25" customHeight="1">
      <c r="A913" s="169" t="s">
        <v>18714</v>
      </c>
      <c r="B913" s="169" t="s">
        <v>11471</v>
      </c>
      <c r="C913" s="169" t="s">
        <v>747</v>
      </c>
      <c r="D913" s="169" t="str">
        <f t="shared" ref="D913:E913" si="599">"1627418225537"</f>
        <v>1627418225537</v>
      </c>
      <c r="E913" s="169" t="str">
        <f t="shared" si="599"/>
        <v>1627418225537</v>
      </c>
      <c r="F913" s="169" t="s">
        <v>18811</v>
      </c>
      <c r="G913" s="169">
        <v>259.0</v>
      </c>
      <c r="H913" s="169">
        <v>5244.7</v>
      </c>
      <c r="I913" s="169">
        <v>1358378.0</v>
      </c>
      <c r="J913" s="169">
        <v>0.0</v>
      </c>
      <c r="K913" s="169">
        <v>259.0</v>
      </c>
      <c r="L913" s="169">
        <v>0.0</v>
      </c>
    </row>
    <row r="914" ht="14.25" customHeight="1">
      <c r="A914" s="169" t="s">
        <v>18714</v>
      </c>
      <c r="B914" s="169" t="s">
        <v>11471</v>
      </c>
      <c r="C914" s="169" t="s">
        <v>10270</v>
      </c>
      <c r="D914" s="169" t="str">
        <f t="shared" ref="D914:E914" si="600">"68236222425789"</f>
        <v>68236222425789</v>
      </c>
      <c r="E914" s="169" t="str">
        <f t="shared" si="600"/>
        <v>68236222425789</v>
      </c>
      <c r="F914" s="169" t="s">
        <v>18811</v>
      </c>
      <c r="G914" s="169">
        <v>1.0</v>
      </c>
      <c r="H914" s="169">
        <v>446590.0</v>
      </c>
      <c r="I914" s="169">
        <v>446590.0</v>
      </c>
      <c r="J914" s="169">
        <v>0.0</v>
      </c>
      <c r="K914" s="169">
        <v>1.0</v>
      </c>
      <c r="L914" s="169">
        <v>0.0</v>
      </c>
    </row>
    <row r="915" ht="14.25" customHeight="1">
      <c r="A915" s="169" t="s">
        <v>18714</v>
      </c>
      <c r="B915" s="169" t="s">
        <v>11471</v>
      </c>
      <c r="C915" s="169" t="s">
        <v>16439</v>
      </c>
      <c r="D915" s="169" t="str">
        <f t="shared" ref="D915:E915" si="601">"1629727823148"</f>
        <v>1629727823148</v>
      </c>
      <c r="E915" s="169" t="str">
        <f t="shared" si="601"/>
        <v>1629727823148</v>
      </c>
      <c r="F915" s="169" t="s">
        <v>18811</v>
      </c>
      <c r="G915" s="169">
        <v>1014.0</v>
      </c>
      <c r="H915" s="169">
        <v>546.0</v>
      </c>
      <c r="I915" s="169">
        <v>553644.0</v>
      </c>
      <c r="J915" s="169">
        <v>0.0</v>
      </c>
      <c r="K915" s="169">
        <v>1014.0</v>
      </c>
      <c r="L915" s="169">
        <v>0.0</v>
      </c>
    </row>
    <row r="916" ht="14.25" customHeight="1">
      <c r="A916" s="169" t="s">
        <v>18714</v>
      </c>
      <c r="B916" s="169" t="s">
        <v>11471</v>
      </c>
      <c r="C916" s="169" t="s">
        <v>16437</v>
      </c>
      <c r="D916" s="169" t="str">
        <f t="shared" ref="D916:E916" si="602">"1628778362232"</f>
        <v>1628778362232</v>
      </c>
      <c r="E916" s="169" t="str">
        <f t="shared" si="602"/>
        <v>1628778362232</v>
      </c>
      <c r="F916" s="169" t="s">
        <v>18811</v>
      </c>
      <c r="G916" s="169">
        <v>1.0</v>
      </c>
      <c r="H916" s="169">
        <v>36459.0</v>
      </c>
      <c r="I916" s="169">
        <v>36459.0</v>
      </c>
      <c r="J916" s="169">
        <v>0.0</v>
      </c>
      <c r="K916" s="169">
        <v>1.0</v>
      </c>
      <c r="L916" s="169">
        <v>0.0</v>
      </c>
    </row>
    <row r="917" ht="14.25" customHeight="1">
      <c r="A917" s="169" t="s">
        <v>18714</v>
      </c>
      <c r="B917" s="169" t="s">
        <v>11471</v>
      </c>
      <c r="C917" s="169" t="s">
        <v>16435</v>
      </c>
      <c r="D917" s="169" t="str">
        <f t="shared" ref="D917:E917" si="603">"1629727814806"</f>
        <v>1629727814806</v>
      </c>
      <c r="E917" s="169" t="str">
        <f t="shared" si="603"/>
        <v>1629727814806</v>
      </c>
      <c r="F917" s="169" t="s">
        <v>18811</v>
      </c>
      <c r="G917" s="169">
        <v>1014.0</v>
      </c>
      <c r="H917" s="169">
        <v>498.0</v>
      </c>
      <c r="I917" s="169">
        <v>504972.0</v>
      </c>
      <c r="J917" s="169">
        <v>0.0</v>
      </c>
      <c r="K917" s="169">
        <v>1014.0</v>
      </c>
      <c r="L917" s="169">
        <v>0.0</v>
      </c>
    </row>
    <row r="918" ht="14.25" customHeight="1">
      <c r="A918" s="169" t="s">
        <v>18714</v>
      </c>
      <c r="B918" s="169" t="s">
        <v>11471</v>
      </c>
      <c r="C918" s="169" t="s">
        <v>16433</v>
      </c>
      <c r="D918" s="169" t="str">
        <f t="shared" ref="D918:E918" si="604">"1661877043628"</f>
        <v>1661877043628</v>
      </c>
      <c r="E918" s="169" t="str">
        <f t="shared" si="604"/>
        <v>1661877043628</v>
      </c>
      <c r="F918" s="169" t="s">
        <v>18811</v>
      </c>
      <c r="G918" s="169">
        <v>3.0</v>
      </c>
      <c r="H918" s="169">
        <v>217380.0</v>
      </c>
      <c r="I918" s="169">
        <v>652140.0</v>
      </c>
      <c r="J918" s="169">
        <v>0.0</v>
      </c>
      <c r="K918" s="169">
        <v>3.0</v>
      </c>
      <c r="L918" s="169">
        <v>0.0</v>
      </c>
    </row>
    <row r="919" ht="14.25" customHeight="1">
      <c r="A919" s="169" t="s">
        <v>18714</v>
      </c>
      <c r="B919" s="169" t="s">
        <v>11471</v>
      </c>
      <c r="C919" s="169" t="s">
        <v>16431</v>
      </c>
      <c r="D919" s="169" t="str">
        <f t="shared" ref="D919:E919" si="605">"1616006872824"</f>
        <v>1616006872824</v>
      </c>
      <c r="E919" s="169" t="str">
        <f t="shared" si="605"/>
        <v>1616006872824</v>
      </c>
      <c r="F919" s="169" t="s">
        <v>18811</v>
      </c>
      <c r="G919" s="169">
        <v>1.0</v>
      </c>
      <c r="H919" s="169">
        <v>13108.9</v>
      </c>
      <c r="I919" s="169">
        <v>13109.0</v>
      </c>
      <c r="J919" s="169">
        <v>0.0</v>
      </c>
      <c r="K919" s="169">
        <v>1.0</v>
      </c>
      <c r="L919" s="169">
        <v>0.0</v>
      </c>
    </row>
    <row r="920" ht="14.25" customHeight="1">
      <c r="A920" s="169" t="s">
        <v>18714</v>
      </c>
      <c r="B920" s="169" t="s">
        <v>11471</v>
      </c>
      <c r="C920" s="169" t="s">
        <v>16429</v>
      </c>
      <c r="D920" s="169" t="str">
        <f t="shared" ref="D920:E920" si="606">"1616006958885"</f>
        <v>1616006958885</v>
      </c>
      <c r="E920" s="169" t="str">
        <f t="shared" si="606"/>
        <v>1616006958885</v>
      </c>
      <c r="F920" s="169" t="s">
        <v>18811</v>
      </c>
      <c r="G920" s="169">
        <v>1.0</v>
      </c>
      <c r="H920" s="169">
        <v>12642.5</v>
      </c>
      <c r="I920" s="169">
        <v>12643.0</v>
      </c>
      <c r="J920" s="169">
        <v>0.0</v>
      </c>
      <c r="K920" s="169">
        <v>1.0</v>
      </c>
      <c r="L920" s="169">
        <v>0.0</v>
      </c>
    </row>
    <row r="921" ht="14.25" customHeight="1">
      <c r="A921" s="169" t="s">
        <v>18714</v>
      </c>
      <c r="B921" s="169" t="s">
        <v>11471</v>
      </c>
      <c r="C921" s="169" t="s">
        <v>16427</v>
      </c>
      <c r="D921" s="169" t="str">
        <f t="shared" ref="D921:E921" si="607">"1644258979631"</f>
        <v>1644258979631</v>
      </c>
      <c r="E921" s="169" t="str">
        <f t="shared" si="607"/>
        <v>1644258979631</v>
      </c>
      <c r="F921" s="169" t="s">
        <v>18811</v>
      </c>
      <c r="G921" s="169">
        <v>1.0</v>
      </c>
      <c r="H921" s="169">
        <v>10210.0</v>
      </c>
      <c r="I921" s="169">
        <v>10210.0</v>
      </c>
      <c r="J921" s="169">
        <v>0.0</v>
      </c>
      <c r="K921" s="169">
        <v>1.0</v>
      </c>
      <c r="L921" s="169">
        <v>0.0</v>
      </c>
    </row>
    <row r="922" ht="14.25" customHeight="1">
      <c r="A922" s="169" t="s">
        <v>18714</v>
      </c>
      <c r="B922" s="169" t="s">
        <v>11471</v>
      </c>
      <c r="C922" s="169" t="s">
        <v>16425</v>
      </c>
      <c r="D922" s="169" t="str">
        <f>"0788070729129"</f>
        <v>0788070729129</v>
      </c>
      <c r="E922" s="169" t="str">
        <f>"1639085745522"</f>
        <v>1639085745522</v>
      </c>
      <c r="F922" s="169" t="s">
        <v>18811</v>
      </c>
      <c r="G922" s="169">
        <v>16.0</v>
      </c>
      <c r="H922" s="169">
        <v>32149.3</v>
      </c>
      <c r="I922" s="169">
        <v>514389.0</v>
      </c>
      <c r="J922" s="169">
        <v>2.0</v>
      </c>
      <c r="K922" s="169">
        <v>14.0</v>
      </c>
      <c r="L922" s="169">
        <v>0.0</v>
      </c>
    </row>
    <row r="923" ht="14.25" customHeight="1">
      <c r="A923" s="169" t="s">
        <v>18714</v>
      </c>
      <c r="B923" s="169" t="s">
        <v>11471</v>
      </c>
      <c r="C923" s="169" t="s">
        <v>16423</v>
      </c>
      <c r="D923" s="169" t="str">
        <f>"0788070729136"</f>
        <v>0788070729136</v>
      </c>
      <c r="E923" s="169" t="str">
        <f>"1639085755244"</f>
        <v>1639085755244</v>
      </c>
      <c r="F923" s="169" t="s">
        <v>18811</v>
      </c>
      <c r="G923" s="169">
        <v>8.0</v>
      </c>
      <c r="H923" s="169">
        <v>32051.0</v>
      </c>
      <c r="I923" s="169">
        <v>256408.0</v>
      </c>
      <c r="J923" s="169">
        <v>0.0</v>
      </c>
      <c r="K923" s="169">
        <v>8.0</v>
      </c>
      <c r="L923" s="169">
        <v>0.0</v>
      </c>
    </row>
    <row r="924" ht="14.25" customHeight="1">
      <c r="A924" s="169" t="s">
        <v>18714</v>
      </c>
      <c r="B924" s="169" t="s">
        <v>11471</v>
      </c>
      <c r="C924" s="169" t="s">
        <v>725</v>
      </c>
      <c r="D924" s="169" t="str">
        <f>"0736372919175"</f>
        <v>0736372919175</v>
      </c>
      <c r="E924" s="169" t="str">
        <f>"LHVACAM-WH"</f>
        <v>LHVACAM-WH</v>
      </c>
      <c r="F924" s="169" t="s">
        <v>18811</v>
      </c>
      <c r="G924" s="169">
        <v>100.0</v>
      </c>
      <c r="H924" s="169">
        <v>2925.0</v>
      </c>
      <c r="I924" s="169">
        <v>292500.0</v>
      </c>
      <c r="J924" s="169">
        <v>0.0</v>
      </c>
      <c r="K924" s="169">
        <v>100.0</v>
      </c>
      <c r="L924" s="169">
        <v>0.0</v>
      </c>
    </row>
    <row r="925" ht="14.25" customHeight="1">
      <c r="A925" s="169" t="s">
        <v>18714</v>
      </c>
      <c r="B925" s="169" t="s">
        <v>11471</v>
      </c>
      <c r="C925" s="169" t="s">
        <v>727</v>
      </c>
      <c r="D925" s="169" t="str">
        <f>"0736372919182"</f>
        <v>0736372919182</v>
      </c>
      <c r="E925" s="169" t="str">
        <f>"LHVACAM-BK"</f>
        <v>LHVACAM-BK</v>
      </c>
      <c r="F925" s="169" t="s">
        <v>18811</v>
      </c>
      <c r="G925" s="169">
        <v>100.0</v>
      </c>
      <c r="H925" s="169">
        <v>2925.0</v>
      </c>
      <c r="I925" s="169">
        <v>292500.0</v>
      </c>
      <c r="J925" s="169">
        <v>0.0</v>
      </c>
      <c r="K925" s="169">
        <v>100.0</v>
      </c>
      <c r="L925" s="169">
        <v>0.0</v>
      </c>
    </row>
    <row r="926" ht="14.25" customHeight="1">
      <c r="A926" s="169" t="s">
        <v>18714</v>
      </c>
      <c r="B926" s="169" t="s">
        <v>11471</v>
      </c>
      <c r="C926" s="169" t="s">
        <v>729</v>
      </c>
      <c r="D926" s="169" t="str">
        <f>"0736372919199"</f>
        <v>0736372919199</v>
      </c>
      <c r="E926" s="169" t="str">
        <f>"LHVACAM-RD"</f>
        <v>LHVACAM-RD</v>
      </c>
      <c r="F926" s="169" t="s">
        <v>18811</v>
      </c>
      <c r="G926" s="169">
        <v>100.0</v>
      </c>
      <c r="H926" s="169">
        <v>2925.0</v>
      </c>
      <c r="I926" s="169">
        <v>292500.0</v>
      </c>
      <c r="J926" s="169">
        <v>0.0</v>
      </c>
      <c r="K926" s="169">
        <v>100.0</v>
      </c>
      <c r="L926" s="169">
        <v>0.0</v>
      </c>
    </row>
    <row r="927" ht="14.25" customHeight="1">
      <c r="A927" s="169" t="s">
        <v>18714</v>
      </c>
      <c r="B927" s="169" t="s">
        <v>11471</v>
      </c>
      <c r="C927" s="169" t="s">
        <v>731</v>
      </c>
      <c r="D927" s="169" t="str">
        <f>"0736372919205"</f>
        <v>0736372919205</v>
      </c>
      <c r="E927" s="169" t="str">
        <f>"LHVACAM-PK"</f>
        <v>LHVACAM-PK</v>
      </c>
      <c r="F927" s="169" t="s">
        <v>18811</v>
      </c>
      <c r="G927" s="169">
        <v>100.0</v>
      </c>
      <c r="H927" s="169">
        <v>2925.0</v>
      </c>
      <c r="I927" s="169">
        <v>292500.0</v>
      </c>
      <c r="J927" s="169">
        <v>0.0</v>
      </c>
      <c r="K927" s="169">
        <v>100.0</v>
      </c>
      <c r="L927" s="169">
        <v>0.0</v>
      </c>
    </row>
    <row r="928" ht="14.25" customHeight="1">
      <c r="A928" s="169" t="s">
        <v>18714</v>
      </c>
      <c r="B928" s="169" t="s">
        <v>11471</v>
      </c>
      <c r="C928" s="169" t="s">
        <v>733</v>
      </c>
      <c r="D928" s="169" t="str">
        <f>"0736372919212"</f>
        <v>0736372919212</v>
      </c>
      <c r="E928" s="169" t="str">
        <f>"LHVACAM-VD"</f>
        <v>LHVACAM-VD</v>
      </c>
      <c r="F928" s="169" t="s">
        <v>18811</v>
      </c>
      <c r="G928" s="169">
        <v>100.0</v>
      </c>
      <c r="H928" s="169">
        <v>2925.0</v>
      </c>
      <c r="I928" s="169">
        <v>292500.0</v>
      </c>
      <c r="J928" s="169">
        <v>0.0</v>
      </c>
      <c r="K928" s="169">
        <v>100.0</v>
      </c>
      <c r="L928" s="169">
        <v>0.0</v>
      </c>
    </row>
    <row r="929" ht="14.25" customHeight="1">
      <c r="A929" s="169" t="s">
        <v>18714</v>
      </c>
      <c r="B929" s="169" t="s">
        <v>11471</v>
      </c>
      <c r="C929" s="169" t="s">
        <v>16421</v>
      </c>
      <c r="D929" s="169" t="str">
        <f t="shared" ref="D929:E929" si="608">"1650478123588"</f>
        <v>1650478123588</v>
      </c>
      <c r="E929" s="169" t="str">
        <f t="shared" si="608"/>
        <v>1650478123588</v>
      </c>
      <c r="F929" s="169" t="s">
        <v>18811</v>
      </c>
      <c r="G929" s="169">
        <v>1.0</v>
      </c>
      <c r="H929" s="169">
        <v>7624.0</v>
      </c>
      <c r="I929" s="169">
        <v>7624.0</v>
      </c>
      <c r="J929" s="169">
        <v>0.0</v>
      </c>
      <c r="K929" s="169">
        <v>1.0</v>
      </c>
      <c r="L929" s="169">
        <v>0.0</v>
      </c>
    </row>
    <row r="930" ht="14.25" customHeight="1">
      <c r="A930" s="169" t="s">
        <v>18714</v>
      </c>
      <c r="B930" s="169" t="s">
        <v>11471</v>
      </c>
      <c r="C930" s="169" t="s">
        <v>16415</v>
      </c>
      <c r="D930" s="169" t="str">
        <f t="shared" ref="D930:E930" si="609">"1628778289266"</f>
        <v>1628778289266</v>
      </c>
      <c r="E930" s="169" t="str">
        <f t="shared" si="609"/>
        <v>1628778289266</v>
      </c>
      <c r="F930" s="169" t="s">
        <v>18811</v>
      </c>
      <c r="G930" s="169">
        <v>1.0</v>
      </c>
      <c r="H930" s="169">
        <v>6915.0</v>
      </c>
      <c r="I930" s="169">
        <v>6915.0</v>
      </c>
      <c r="J930" s="169">
        <v>0.0</v>
      </c>
      <c r="K930" s="169">
        <v>1.0</v>
      </c>
      <c r="L930" s="169">
        <v>0.0</v>
      </c>
    </row>
    <row r="931" ht="14.25" customHeight="1">
      <c r="A931" s="169" t="s">
        <v>6880</v>
      </c>
      <c r="B931" s="169" t="s">
        <v>12341</v>
      </c>
      <c r="C931" s="169" t="s">
        <v>12385</v>
      </c>
      <c r="D931" s="169" t="str">
        <f t="shared" ref="D931:E931" si="610">"1796402"</f>
        <v>1796402</v>
      </c>
      <c r="E931" s="169" t="str">
        <f t="shared" si="610"/>
        <v>1796402</v>
      </c>
      <c r="F931" s="169" t="s">
        <v>18811</v>
      </c>
      <c r="G931" s="169">
        <v>31.0</v>
      </c>
      <c r="H931" s="169">
        <v>11574.0</v>
      </c>
      <c r="I931" s="169">
        <v>358794.0</v>
      </c>
      <c r="J931" s="169">
        <v>0.0</v>
      </c>
      <c r="K931" s="169">
        <v>31.0</v>
      </c>
      <c r="L931" s="169">
        <v>0.0</v>
      </c>
    </row>
    <row r="932" ht="14.25" customHeight="1">
      <c r="A932" s="169" t="s">
        <v>6880</v>
      </c>
      <c r="B932" s="169" t="s">
        <v>12341</v>
      </c>
      <c r="C932" s="169" t="s">
        <v>12361</v>
      </c>
      <c r="D932" s="169" t="str">
        <f t="shared" ref="D932:E932" si="611">"9550134"</f>
        <v>9550134</v>
      </c>
      <c r="E932" s="169" t="str">
        <f t="shared" si="611"/>
        <v>9550134</v>
      </c>
      <c r="F932" s="169" t="s">
        <v>18811</v>
      </c>
      <c r="G932" s="169">
        <v>8.0</v>
      </c>
      <c r="H932" s="169">
        <v>2214.0</v>
      </c>
      <c r="I932" s="169">
        <v>17712.0</v>
      </c>
      <c r="J932" s="169">
        <v>0.0</v>
      </c>
      <c r="K932" s="169">
        <v>8.0</v>
      </c>
      <c r="L932" s="169">
        <v>0.0</v>
      </c>
    </row>
    <row r="933" ht="14.25" customHeight="1">
      <c r="A933" s="169" t="s">
        <v>6880</v>
      </c>
      <c r="B933" s="169" t="s">
        <v>12341</v>
      </c>
      <c r="C933" s="169" t="s">
        <v>12386</v>
      </c>
      <c r="D933" s="169" t="str">
        <f t="shared" ref="D933:E933" si="612">"1700887"</f>
        <v>1700887</v>
      </c>
      <c r="E933" s="169" t="str">
        <f t="shared" si="612"/>
        <v>1700887</v>
      </c>
      <c r="F933" s="169" t="s">
        <v>18811</v>
      </c>
      <c r="G933" s="169">
        <v>6.0</v>
      </c>
      <c r="H933" s="169">
        <v>3456.0</v>
      </c>
      <c r="I933" s="169">
        <v>20736.0</v>
      </c>
      <c r="J933" s="169">
        <v>0.0</v>
      </c>
      <c r="K933" s="169">
        <v>6.0</v>
      </c>
      <c r="L933" s="169">
        <v>0.0</v>
      </c>
    </row>
    <row r="934" ht="14.25" customHeight="1">
      <c r="A934" s="169" t="s">
        <v>6880</v>
      </c>
      <c r="B934" s="169" t="s">
        <v>12341</v>
      </c>
      <c r="C934" s="169" t="s">
        <v>12381</v>
      </c>
      <c r="D934" s="169" t="str">
        <f>"15888899236117"</f>
        <v>15888899236117</v>
      </c>
      <c r="E934" s="169" t="str">
        <f>"1795456"</f>
        <v>1795456</v>
      </c>
      <c r="F934" s="169" t="s">
        <v>18811</v>
      </c>
      <c r="G934" s="169">
        <v>24.0</v>
      </c>
      <c r="H934" s="169">
        <v>5985.0</v>
      </c>
      <c r="I934" s="169">
        <v>143640.0</v>
      </c>
      <c r="J934" s="169">
        <v>0.0</v>
      </c>
      <c r="K934" s="169">
        <v>24.0</v>
      </c>
      <c r="L934" s="169">
        <v>0.0</v>
      </c>
    </row>
    <row r="935" ht="14.25" customHeight="1">
      <c r="A935" s="169" t="s">
        <v>6880</v>
      </c>
      <c r="B935" s="169" t="s">
        <v>12341</v>
      </c>
      <c r="C935" s="169" t="s">
        <v>18186</v>
      </c>
      <c r="D935" s="169" t="str">
        <f t="shared" ref="D935:E935" si="613">"2651002"</f>
        <v>2651002</v>
      </c>
      <c r="E935" s="169" t="str">
        <f t="shared" si="613"/>
        <v>2651002</v>
      </c>
      <c r="F935" s="169" t="s">
        <v>18811</v>
      </c>
      <c r="G935" s="169">
        <v>2.0</v>
      </c>
      <c r="H935" s="169">
        <v>4941.0</v>
      </c>
      <c r="I935" s="169">
        <v>9882.0</v>
      </c>
      <c r="J935" s="169">
        <v>0.0</v>
      </c>
      <c r="K935" s="169">
        <v>2.0</v>
      </c>
      <c r="L935" s="169">
        <v>0.0</v>
      </c>
    </row>
    <row r="936" ht="14.25" customHeight="1">
      <c r="A936" s="169" t="s">
        <v>6880</v>
      </c>
      <c r="B936" s="169" t="s">
        <v>12341</v>
      </c>
      <c r="C936" s="169" t="s">
        <v>18184</v>
      </c>
      <c r="D936" s="169" t="str">
        <f>"15888899244800"</f>
        <v>15888899244800</v>
      </c>
      <c r="E936" s="169" t="str">
        <f>"925173"</f>
        <v>925173</v>
      </c>
      <c r="F936" s="169" t="s">
        <v>18811</v>
      </c>
      <c r="G936" s="169">
        <v>2.0</v>
      </c>
      <c r="H936" s="169">
        <v>5715.0</v>
      </c>
      <c r="I936" s="169">
        <v>11430.0</v>
      </c>
      <c r="J936" s="169">
        <v>0.0</v>
      </c>
      <c r="K936" s="169">
        <v>2.0</v>
      </c>
      <c r="L936" s="169">
        <v>0.0</v>
      </c>
    </row>
    <row r="937" ht="14.25" customHeight="1">
      <c r="A937" s="169" t="s">
        <v>6880</v>
      </c>
      <c r="B937" s="169" t="s">
        <v>12341</v>
      </c>
      <c r="C937" s="169" t="s">
        <v>12366</v>
      </c>
      <c r="D937" s="169" t="str">
        <f>"15888899235586"</f>
        <v>15888899235586</v>
      </c>
      <c r="E937" s="169" t="str">
        <f>"925197"</f>
        <v>925197</v>
      </c>
      <c r="F937" s="169" t="s">
        <v>18811</v>
      </c>
      <c r="G937" s="169">
        <v>2.0</v>
      </c>
      <c r="H937" s="169">
        <v>7056.0</v>
      </c>
      <c r="I937" s="169">
        <v>14112.0</v>
      </c>
      <c r="J937" s="169">
        <v>0.0</v>
      </c>
      <c r="K937" s="169">
        <v>2.0</v>
      </c>
      <c r="L937" s="169">
        <v>0.0</v>
      </c>
    </row>
    <row r="938" ht="14.25" customHeight="1">
      <c r="A938" s="169" t="s">
        <v>6880</v>
      </c>
      <c r="B938" s="169" t="s">
        <v>12341</v>
      </c>
      <c r="C938" s="169" t="s">
        <v>12367</v>
      </c>
      <c r="D938" s="169" t="str">
        <f t="shared" ref="D938:E938" si="614">"925180"</f>
        <v>925180</v>
      </c>
      <c r="E938" s="169" t="str">
        <f t="shared" si="614"/>
        <v>925180</v>
      </c>
      <c r="F938" s="169" t="s">
        <v>18811</v>
      </c>
      <c r="G938" s="169">
        <v>15.0</v>
      </c>
      <c r="H938" s="169">
        <v>5715.0</v>
      </c>
      <c r="I938" s="169">
        <v>85725.0</v>
      </c>
      <c r="J938" s="169">
        <v>0.0</v>
      </c>
      <c r="K938" s="169">
        <v>15.0</v>
      </c>
      <c r="L938" s="169">
        <v>0.0</v>
      </c>
    </row>
    <row r="939" ht="14.25" customHeight="1">
      <c r="A939" s="169" t="s">
        <v>6880</v>
      </c>
      <c r="B939" s="169" t="s">
        <v>12341</v>
      </c>
      <c r="C939" s="169" t="s">
        <v>12368</v>
      </c>
      <c r="D939" s="169" t="str">
        <f>"15888899242328"</f>
        <v>15888899242328</v>
      </c>
      <c r="E939" s="169" t="str">
        <f>"925166"</f>
        <v>925166</v>
      </c>
      <c r="F939" s="169" t="s">
        <v>18811</v>
      </c>
      <c r="G939" s="169">
        <v>6.0</v>
      </c>
      <c r="H939" s="169">
        <v>5715.0</v>
      </c>
      <c r="I939" s="169">
        <v>34290.0</v>
      </c>
      <c r="J939" s="169">
        <v>0.0</v>
      </c>
      <c r="K939" s="169">
        <v>6.0</v>
      </c>
      <c r="L939" s="169">
        <v>0.0</v>
      </c>
    </row>
    <row r="940" ht="14.25" customHeight="1">
      <c r="A940" s="169" t="s">
        <v>6880</v>
      </c>
      <c r="B940" s="169" t="s">
        <v>12341</v>
      </c>
      <c r="C940" s="169" t="s">
        <v>12358</v>
      </c>
      <c r="D940" s="169" t="str">
        <f t="shared" ref="D940:E940" si="615">"89554"</f>
        <v>89554</v>
      </c>
      <c r="E940" s="169" t="str">
        <f t="shared" si="615"/>
        <v>89554</v>
      </c>
      <c r="F940" s="169" t="s">
        <v>18811</v>
      </c>
      <c r="G940" s="169">
        <v>32.0</v>
      </c>
      <c r="H940" s="169">
        <v>9360.0</v>
      </c>
      <c r="I940" s="169">
        <v>299520.0</v>
      </c>
      <c r="J940" s="169">
        <v>0.0</v>
      </c>
      <c r="K940" s="169">
        <v>32.0</v>
      </c>
      <c r="L940" s="169">
        <v>0.0</v>
      </c>
    </row>
    <row r="941" ht="14.25" customHeight="1">
      <c r="A941" s="169" t="s">
        <v>6880</v>
      </c>
      <c r="B941" s="169" t="s">
        <v>12341</v>
      </c>
      <c r="C941" s="169" t="s">
        <v>18178</v>
      </c>
      <c r="D941" s="169" t="str">
        <f>"078917204323 "</f>
        <v>078917204323 </v>
      </c>
      <c r="E941" s="169" t="str">
        <f>"1720432"</f>
        <v>1720432</v>
      </c>
      <c r="F941" s="169" t="s">
        <v>18811</v>
      </c>
      <c r="G941" s="169">
        <v>9.0</v>
      </c>
      <c r="H941" s="169">
        <v>4690.0</v>
      </c>
      <c r="I941" s="169">
        <v>42210.0</v>
      </c>
      <c r="J941" s="169">
        <v>0.0</v>
      </c>
      <c r="K941" s="169">
        <v>9.0</v>
      </c>
      <c r="L941" s="169">
        <v>0.0</v>
      </c>
    </row>
    <row r="942" ht="14.25" customHeight="1">
      <c r="A942" s="169" t="s">
        <v>6880</v>
      </c>
      <c r="B942" s="169" t="s">
        <v>12341</v>
      </c>
      <c r="C942" s="169" t="s">
        <v>18176</v>
      </c>
      <c r="D942" s="169" t="str">
        <f>"078917204330  "</f>
        <v>078917204330  </v>
      </c>
      <c r="E942" s="169" t="str">
        <f>"1720433"</f>
        <v>1720433</v>
      </c>
      <c r="F942" s="169" t="s">
        <v>18811</v>
      </c>
      <c r="G942" s="169">
        <v>8.0</v>
      </c>
      <c r="H942" s="169">
        <v>4690.0</v>
      </c>
      <c r="I942" s="169">
        <v>37520.0</v>
      </c>
      <c r="J942" s="169">
        <v>0.0</v>
      </c>
      <c r="K942" s="169">
        <v>8.0</v>
      </c>
      <c r="L942" s="169">
        <v>0.0</v>
      </c>
    </row>
    <row r="943" ht="14.25" customHeight="1">
      <c r="A943" s="169" t="s">
        <v>6880</v>
      </c>
      <c r="B943" s="169" t="s">
        <v>12341</v>
      </c>
      <c r="C943" s="169" t="s">
        <v>18174</v>
      </c>
      <c r="D943" s="169" t="str">
        <f>"078917206624"</f>
        <v>078917206624</v>
      </c>
      <c r="E943" s="169" t="str">
        <f>"1720662"</f>
        <v>1720662</v>
      </c>
      <c r="F943" s="169" t="s">
        <v>18811</v>
      </c>
      <c r="G943" s="169">
        <v>14.0</v>
      </c>
      <c r="H943" s="169">
        <v>4221.0</v>
      </c>
      <c r="I943" s="169">
        <v>59094.0</v>
      </c>
      <c r="J943" s="169">
        <v>0.0</v>
      </c>
      <c r="K943" s="169">
        <v>14.0</v>
      </c>
      <c r="L943" s="169">
        <v>0.0</v>
      </c>
    </row>
    <row r="944" ht="14.25" customHeight="1">
      <c r="A944" s="169" t="s">
        <v>6880</v>
      </c>
      <c r="B944" s="169" t="s">
        <v>12341</v>
      </c>
      <c r="C944" s="169" t="s">
        <v>12376</v>
      </c>
      <c r="D944" s="169" t="str">
        <f t="shared" ref="D944:E944" si="616">"1661-SET"</f>
        <v>1661-SET</v>
      </c>
      <c r="E944" s="169" t="str">
        <f t="shared" si="616"/>
        <v>1661-SET</v>
      </c>
      <c r="F944" s="169" t="s">
        <v>18811</v>
      </c>
      <c r="G944" s="169">
        <v>11.0</v>
      </c>
      <c r="H944" s="169">
        <v>5329.3</v>
      </c>
      <c r="I944" s="169">
        <v>58622.0</v>
      </c>
      <c r="J944" s="169">
        <v>0.0</v>
      </c>
      <c r="K944" s="169">
        <v>11.0</v>
      </c>
      <c r="L944" s="169">
        <v>0.0</v>
      </c>
    </row>
    <row r="945" ht="14.25" customHeight="1">
      <c r="A945" s="169" t="s">
        <v>6880</v>
      </c>
      <c r="B945" s="169" t="s">
        <v>12341</v>
      </c>
      <c r="C945" s="169" t="s">
        <v>12380</v>
      </c>
      <c r="D945" s="169" t="str">
        <f t="shared" ref="D945:E945" si="617">"1660-SET"</f>
        <v>1660-SET</v>
      </c>
      <c r="E945" s="169" t="str">
        <f t="shared" si="617"/>
        <v>1660-SET</v>
      </c>
      <c r="F945" s="169" t="s">
        <v>18811</v>
      </c>
      <c r="G945" s="169">
        <v>64.0</v>
      </c>
      <c r="H945" s="169">
        <v>5436.0</v>
      </c>
      <c r="I945" s="169">
        <v>347904.0</v>
      </c>
      <c r="J945" s="169">
        <v>0.0</v>
      </c>
      <c r="K945" s="169">
        <v>64.0</v>
      </c>
      <c r="L945" s="169">
        <v>0.0</v>
      </c>
    </row>
    <row r="946" ht="14.25" customHeight="1">
      <c r="A946" s="169" t="s">
        <v>6880</v>
      </c>
      <c r="B946" s="169" t="s">
        <v>12341</v>
      </c>
      <c r="C946" s="169" t="s">
        <v>12343</v>
      </c>
      <c r="D946" s="169" t="str">
        <f t="shared" ref="D946:E946" si="618">"80317"</f>
        <v>80317</v>
      </c>
      <c r="E946" s="169" t="str">
        <f t="shared" si="618"/>
        <v>80317</v>
      </c>
      <c r="F946" s="169" t="s">
        <v>18811</v>
      </c>
      <c r="G946" s="169">
        <v>10.0</v>
      </c>
      <c r="H946" s="169">
        <v>8640.0</v>
      </c>
      <c r="I946" s="169">
        <v>86400.0</v>
      </c>
      <c r="J946" s="169">
        <v>0.0</v>
      </c>
      <c r="K946" s="169">
        <v>10.0</v>
      </c>
      <c r="L946" s="169">
        <v>0.0</v>
      </c>
    </row>
    <row r="947" ht="14.25" customHeight="1">
      <c r="A947" s="169" t="s">
        <v>12405</v>
      </c>
      <c r="B947" s="169" t="s">
        <v>12405</v>
      </c>
      <c r="C947" s="169" t="s">
        <v>18782</v>
      </c>
      <c r="D947" s="169" t="str">
        <f>"9351668000002"</f>
        <v>9351668000002</v>
      </c>
      <c r="E947" s="169" t="str">
        <f>"AUSS"</f>
        <v>AUSS</v>
      </c>
      <c r="F947" s="169" t="s">
        <v>18811</v>
      </c>
      <c r="G947" s="169">
        <v>1.0</v>
      </c>
      <c r="H947" s="169">
        <v>0.0</v>
      </c>
      <c r="I947" s="169">
        <v>0.0</v>
      </c>
      <c r="J947" s="169">
        <v>0.0</v>
      </c>
      <c r="K947" s="169">
        <v>1.0</v>
      </c>
      <c r="L947" s="169">
        <v>0.0</v>
      </c>
    </row>
    <row r="948" ht="14.25" customHeight="1">
      <c r="A948" s="169" t="s">
        <v>12405</v>
      </c>
      <c r="B948" s="169" t="s">
        <v>12405</v>
      </c>
      <c r="C948" s="169" t="s">
        <v>18781</v>
      </c>
      <c r="D948" s="169" t="str">
        <f>"9351668000003"</f>
        <v>9351668000003</v>
      </c>
      <c r="E948" s="169" t="str">
        <f>"WTAUSS"</f>
        <v>WTAUSS</v>
      </c>
      <c r="F948" s="169" t="s">
        <v>18811</v>
      </c>
      <c r="G948" s="169">
        <v>1.0</v>
      </c>
      <c r="H948" s="169">
        <v>0.0</v>
      </c>
      <c r="I948" s="169">
        <v>0.0</v>
      </c>
      <c r="J948" s="169">
        <v>0.0</v>
      </c>
      <c r="K948" s="169">
        <v>1.0</v>
      </c>
      <c r="L948" s="169">
        <v>0.0</v>
      </c>
    </row>
    <row r="949" ht="14.25" customHeight="1">
      <c r="A949" s="169" t="s">
        <v>12405</v>
      </c>
      <c r="B949" s="169" t="s">
        <v>12405</v>
      </c>
      <c r="C949" s="169" t="s">
        <v>18780</v>
      </c>
      <c r="D949" s="169" t="str">
        <f>"9351668000156"</f>
        <v>9351668000156</v>
      </c>
      <c r="E949" s="169" t="str">
        <f>"BRIT"</f>
        <v>BRIT</v>
      </c>
      <c r="F949" s="169" t="s">
        <v>18811</v>
      </c>
      <c r="G949" s="169">
        <v>2.0</v>
      </c>
      <c r="H949" s="169">
        <v>0.0</v>
      </c>
      <c r="I949" s="169">
        <v>0.0</v>
      </c>
      <c r="J949" s="169">
        <v>0.0</v>
      </c>
      <c r="K949" s="169">
        <v>2.0</v>
      </c>
      <c r="L949" s="169">
        <v>0.0</v>
      </c>
    </row>
    <row r="950" ht="14.25" customHeight="1">
      <c r="A950" s="169" t="s">
        <v>12405</v>
      </c>
      <c r="B950" s="169" t="s">
        <v>12405</v>
      </c>
      <c r="C950" s="169" t="s">
        <v>18779</v>
      </c>
      <c r="D950" s="169" t="str">
        <f>"9351668000026"</f>
        <v>9351668000026</v>
      </c>
      <c r="E950" s="169" t="str">
        <f>"SPAN"</f>
        <v>SPAN</v>
      </c>
      <c r="F950" s="169" t="s">
        <v>18811</v>
      </c>
      <c r="G950" s="169">
        <v>3.0</v>
      </c>
      <c r="H950" s="169">
        <v>0.0</v>
      </c>
      <c r="I950" s="169">
        <v>0.0</v>
      </c>
      <c r="J950" s="169">
        <v>0.0</v>
      </c>
      <c r="K950" s="169">
        <v>3.0</v>
      </c>
      <c r="L950" s="169">
        <v>0.0</v>
      </c>
    </row>
    <row r="951" ht="14.25" customHeight="1">
      <c r="A951" s="169" t="s">
        <v>12405</v>
      </c>
      <c r="B951" s="169" t="s">
        <v>12405</v>
      </c>
      <c r="C951" s="169" t="s">
        <v>18778</v>
      </c>
      <c r="D951" s="169" t="str">
        <f>"9351668000057"</f>
        <v>9351668000057</v>
      </c>
      <c r="E951" s="169" t="str">
        <f>"IT"</f>
        <v>IT</v>
      </c>
      <c r="F951" s="169" t="s">
        <v>18811</v>
      </c>
      <c r="G951" s="169">
        <v>2.0</v>
      </c>
      <c r="H951" s="169">
        <v>0.0</v>
      </c>
      <c r="I951" s="169">
        <v>0.0</v>
      </c>
      <c r="J951" s="169">
        <v>0.0</v>
      </c>
      <c r="K951" s="169">
        <v>2.0</v>
      </c>
      <c r="L951" s="169">
        <v>0.0</v>
      </c>
    </row>
    <row r="952" ht="14.25" customHeight="1">
      <c r="A952" s="169" t="s">
        <v>12405</v>
      </c>
      <c r="B952" s="169" t="s">
        <v>12405</v>
      </c>
      <c r="C952" s="169" t="s">
        <v>18777</v>
      </c>
      <c r="D952" s="169" t="str">
        <f>"9351668000132"</f>
        <v>9351668000132</v>
      </c>
      <c r="E952" s="169" t="str">
        <f>"MAND"</f>
        <v>MAND</v>
      </c>
      <c r="F952" s="169" t="s">
        <v>18811</v>
      </c>
      <c r="G952" s="169">
        <v>2.0</v>
      </c>
      <c r="H952" s="169">
        <v>0.0</v>
      </c>
      <c r="I952" s="169">
        <v>0.0</v>
      </c>
      <c r="J952" s="169">
        <v>0.0</v>
      </c>
      <c r="K952" s="169">
        <v>2.0</v>
      </c>
      <c r="L952" s="169">
        <v>0.0</v>
      </c>
    </row>
    <row r="953" ht="14.25" customHeight="1">
      <c r="A953" s="169" t="s">
        <v>12405</v>
      </c>
      <c r="B953" s="169" t="s">
        <v>12405</v>
      </c>
      <c r="C953" s="169" t="s">
        <v>18776</v>
      </c>
      <c r="D953" s="169" t="str">
        <f>"9351668000133"</f>
        <v>9351668000133</v>
      </c>
      <c r="E953" s="169" t="str">
        <f>"WTMAND"</f>
        <v>WTMAND</v>
      </c>
      <c r="F953" s="169" t="s">
        <v>18811</v>
      </c>
      <c r="G953" s="169">
        <v>1.0</v>
      </c>
      <c r="H953" s="169">
        <v>0.0</v>
      </c>
      <c r="I953" s="169">
        <v>0.0</v>
      </c>
      <c r="J953" s="169">
        <v>0.0</v>
      </c>
      <c r="K953" s="169">
        <v>1.0</v>
      </c>
      <c r="L953" s="169">
        <v>0.0</v>
      </c>
    </row>
    <row r="954" ht="14.25" customHeight="1">
      <c r="A954" s="169" t="s">
        <v>12439</v>
      </c>
      <c r="B954" s="169" t="s">
        <v>12439</v>
      </c>
      <c r="C954" s="169" t="s">
        <v>17171</v>
      </c>
      <c r="D954" s="169" t="str">
        <f>"67664752592314"</f>
        <v>67664752592314</v>
      </c>
      <c r="E954" s="169" t="str">
        <f>"MCO154"</f>
        <v>MCO154</v>
      </c>
      <c r="F954" s="169" t="s">
        <v>18811</v>
      </c>
      <c r="G954" s="169">
        <v>10.0</v>
      </c>
      <c r="H954" s="169">
        <v>7558.0</v>
      </c>
      <c r="I954" s="169">
        <v>75580.0</v>
      </c>
      <c r="J954" s="169">
        <v>0.0</v>
      </c>
      <c r="K954" s="169">
        <v>10.0</v>
      </c>
      <c r="L954" s="169">
        <v>0.0</v>
      </c>
    </row>
    <row r="955" ht="14.25" customHeight="1">
      <c r="A955" s="169" t="s">
        <v>12439</v>
      </c>
      <c r="B955" s="169" t="s">
        <v>12439</v>
      </c>
      <c r="C955" s="169" t="s">
        <v>17170</v>
      </c>
      <c r="D955" s="169" t="str">
        <f>"67664748957651"</f>
        <v>67664748957651</v>
      </c>
      <c r="E955" s="169" t="str">
        <f>"MCO152"</f>
        <v>MCO152</v>
      </c>
      <c r="F955" s="169" t="s">
        <v>18811</v>
      </c>
      <c r="G955" s="169">
        <v>20.0</v>
      </c>
      <c r="H955" s="169">
        <v>7558.0</v>
      </c>
      <c r="I955" s="169">
        <v>151160.0</v>
      </c>
      <c r="J955" s="169">
        <v>0.0</v>
      </c>
      <c r="K955" s="169">
        <v>20.0</v>
      </c>
      <c r="L955" s="169">
        <v>0.0</v>
      </c>
    </row>
    <row r="956" ht="14.25" customHeight="1">
      <c r="A956" s="169" t="s">
        <v>12439</v>
      </c>
      <c r="B956" s="169" t="s">
        <v>12439</v>
      </c>
      <c r="C956" s="169" t="s">
        <v>17169</v>
      </c>
      <c r="D956" s="169" t="str">
        <f>"67664746965810"</f>
        <v>67664746965810</v>
      </c>
      <c r="E956" s="169" t="str">
        <f>"MCO151"</f>
        <v>MCO151</v>
      </c>
      <c r="F956" s="169" t="s">
        <v>18811</v>
      </c>
      <c r="G956" s="169">
        <v>17.0</v>
      </c>
      <c r="H956" s="169">
        <v>7558.0</v>
      </c>
      <c r="I956" s="169">
        <v>128486.0</v>
      </c>
      <c r="J956" s="169">
        <v>0.0</v>
      </c>
      <c r="K956" s="169">
        <v>17.0</v>
      </c>
      <c r="L956" s="169">
        <v>1.0</v>
      </c>
    </row>
    <row r="957" ht="14.25" customHeight="1">
      <c r="A957" s="169" t="s">
        <v>12439</v>
      </c>
      <c r="B957" s="169" t="s">
        <v>12439</v>
      </c>
      <c r="C957" s="169" t="s">
        <v>17168</v>
      </c>
      <c r="D957" s="169" t="str">
        <f>"67664764931449"</f>
        <v>67664764931449</v>
      </c>
      <c r="E957" s="169" t="str">
        <f>"MCO157"</f>
        <v>MCO157</v>
      </c>
      <c r="F957" s="169" t="s">
        <v>18811</v>
      </c>
      <c r="G957" s="169">
        <v>4.0</v>
      </c>
      <c r="H957" s="169">
        <v>7558.0</v>
      </c>
      <c r="I957" s="169">
        <v>30232.0</v>
      </c>
      <c r="J957" s="169">
        <v>0.0</v>
      </c>
      <c r="K957" s="169">
        <v>4.0</v>
      </c>
      <c r="L957" s="169">
        <v>0.0</v>
      </c>
    </row>
    <row r="958" ht="14.25" customHeight="1">
      <c r="A958" s="169" t="s">
        <v>12439</v>
      </c>
      <c r="B958" s="169" t="s">
        <v>12439</v>
      </c>
      <c r="C958" s="169" t="s">
        <v>17167</v>
      </c>
      <c r="D958" s="169" t="str">
        <f>"67664759856790"</f>
        <v>67664759856790</v>
      </c>
      <c r="E958" s="169" t="str">
        <f>"MCO155"</f>
        <v>MCO155</v>
      </c>
      <c r="F958" s="169" t="s">
        <v>18811</v>
      </c>
      <c r="G958" s="169">
        <v>6.0</v>
      </c>
      <c r="H958" s="169">
        <v>7558.0</v>
      </c>
      <c r="I958" s="169">
        <v>45348.0</v>
      </c>
      <c r="J958" s="169">
        <v>0.0</v>
      </c>
      <c r="K958" s="169">
        <v>6.0</v>
      </c>
      <c r="L958" s="169">
        <v>0.0</v>
      </c>
    </row>
    <row r="959" ht="14.25" customHeight="1">
      <c r="A959" s="169" t="s">
        <v>12439</v>
      </c>
      <c r="B959" s="169" t="s">
        <v>12439</v>
      </c>
      <c r="C959" s="169" t="s">
        <v>17165</v>
      </c>
      <c r="D959" s="169" t="str">
        <f>"66854012811662"</f>
        <v>66854012811662</v>
      </c>
      <c r="E959" s="169" t="str">
        <f>"MCO125-2"</f>
        <v>MCO125-2</v>
      </c>
      <c r="F959" s="169" t="s">
        <v>18811</v>
      </c>
      <c r="G959" s="169">
        <v>3.0</v>
      </c>
      <c r="H959" s="169">
        <v>9071.0</v>
      </c>
      <c r="I959" s="169">
        <v>27213.0</v>
      </c>
      <c r="J959" s="169">
        <v>0.0</v>
      </c>
      <c r="K959" s="169">
        <v>3.0</v>
      </c>
      <c r="L959" s="169">
        <v>1.0</v>
      </c>
    </row>
    <row r="960" ht="14.25" customHeight="1">
      <c r="A960" s="169" t="s">
        <v>12439</v>
      </c>
      <c r="B960" s="169" t="s">
        <v>12439</v>
      </c>
      <c r="C960" s="169" t="s">
        <v>17166</v>
      </c>
      <c r="D960" s="169" t="str">
        <f>"66854011867873"</f>
        <v>66854011867873</v>
      </c>
      <c r="E960" s="169" t="str">
        <f>"MCO125-1"</f>
        <v>MCO125-1</v>
      </c>
      <c r="F960" s="169" t="s">
        <v>18811</v>
      </c>
      <c r="G960" s="169">
        <v>8.0</v>
      </c>
      <c r="H960" s="169">
        <v>9070.6</v>
      </c>
      <c r="I960" s="169">
        <v>72565.0</v>
      </c>
      <c r="J960" s="169">
        <v>0.0</v>
      </c>
      <c r="K960" s="169">
        <v>8.0</v>
      </c>
      <c r="L960" s="169">
        <v>0.0</v>
      </c>
    </row>
    <row r="961" ht="14.25" customHeight="1">
      <c r="A961" s="169" t="s">
        <v>12439</v>
      </c>
      <c r="B961" s="169" t="s">
        <v>12439</v>
      </c>
      <c r="C961" s="169" t="s">
        <v>17164</v>
      </c>
      <c r="D961" s="169" t="str">
        <f>"66854010566732"</f>
        <v>66854010566732</v>
      </c>
      <c r="E961" s="169" t="str">
        <f>"MCO125"</f>
        <v>MCO125</v>
      </c>
      <c r="F961" s="169" t="s">
        <v>18811</v>
      </c>
      <c r="G961" s="169">
        <v>6.0</v>
      </c>
      <c r="H961" s="169">
        <v>9071.0</v>
      </c>
      <c r="I961" s="169">
        <v>54426.0</v>
      </c>
      <c r="J961" s="169">
        <v>0.0</v>
      </c>
      <c r="K961" s="169">
        <v>6.0</v>
      </c>
      <c r="L961" s="169">
        <v>0.0</v>
      </c>
    </row>
    <row r="962" ht="14.25" customHeight="1">
      <c r="A962" s="169" t="s">
        <v>12439</v>
      </c>
      <c r="B962" s="169" t="s">
        <v>12439</v>
      </c>
      <c r="C962" s="169" t="s">
        <v>17162</v>
      </c>
      <c r="D962" s="169" t="str">
        <f>"66853958306575"</f>
        <v>66853958306575</v>
      </c>
      <c r="E962" s="169" t="str">
        <f>"MCO121-2"</f>
        <v>MCO121-2</v>
      </c>
      <c r="F962" s="169" t="s">
        <v>18811</v>
      </c>
      <c r="G962" s="169">
        <v>2.0</v>
      </c>
      <c r="H962" s="169">
        <v>9071.0</v>
      </c>
      <c r="I962" s="169">
        <v>18142.0</v>
      </c>
      <c r="J962" s="169">
        <v>0.0</v>
      </c>
      <c r="K962" s="169">
        <v>2.0</v>
      </c>
      <c r="L962" s="169">
        <v>0.0</v>
      </c>
    </row>
    <row r="963" ht="14.25" customHeight="1">
      <c r="A963" s="169" t="s">
        <v>12439</v>
      </c>
      <c r="B963" s="169" t="s">
        <v>12439</v>
      </c>
      <c r="C963" s="169" t="s">
        <v>17163</v>
      </c>
      <c r="D963" s="169" t="str">
        <f>"66853957172936"</f>
        <v>66853957172936</v>
      </c>
      <c r="E963" s="169" t="str">
        <f>"MCO121-1"</f>
        <v>MCO121-1</v>
      </c>
      <c r="F963" s="169" t="s">
        <v>18811</v>
      </c>
      <c r="G963" s="169">
        <v>1.0</v>
      </c>
      <c r="H963" s="169">
        <v>9070.5</v>
      </c>
      <c r="I963" s="169">
        <v>9071.0</v>
      </c>
      <c r="J963" s="169">
        <v>0.0</v>
      </c>
      <c r="K963" s="169">
        <v>1.0</v>
      </c>
      <c r="L963" s="169">
        <v>0.0</v>
      </c>
    </row>
    <row r="964" ht="14.25" customHeight="1">
      <c r="A964" s="169" t="s">
        <v>12439</v>
      </c>
      <c r="B964" s="169" t="s">
        <v>12439</v>
      </c>
      <c r="C964" s="169" t="s">
        <v>17161</v>
      </c>
      <c r="D964" s="169" t="str">
        <f>"66853954721806"</f>
        <v>66853954721806</v>
      </c>
      <c r="E964" s="169" t="str">
        <f>"MCO121"</f>
        <v>MCO121</v>
      </c>
      <c r="F964" s="169" t="s">
        <v>18811</v>
      </c>
      <c r="G964" s="169">
        <v>2.0</v>
      </c>
      <c r="H964" s="169">
        <v>9071.0</v>
      </c>
      <c r="I964" s="169">
        <v>18142.0</v>
      </c>
      <c r="J964" s="169">
        <v>0.0</v>
      </c>
      <c r="K964" s="169">
        <v>2.0</v>
      </c>
      <c r="L964" s="169">
        <v>0.0</v>
      </c>
    </row>
    <row r="965" ht="14.25" customHeight="1">
      <c r="A965" s="169" t="s">
        <v>12439</v>
      </c>
      <c r="B965" s="169" t="s">
        <v>12439</v>
      </c>
      <c r="C965" s="169" t="s">
        <v>17159</v>
      </c>
      <c r="D965" s="169" t="str">
        <f>"66853975117655"</f>
        <v>66853975117655</v>
      </c>
      <c r="E965" s="169" t="str">
        <f>"MCO122-2"</f>
        <v>MCO122-2</v>
      </c>
      <c r="F965" s="169" t="s">
        <v>18811</v>
      </c>
      <c r="G965" s="169">
        <v>3.0</v>
      </c>
      <c r="H965" s="169">
        <v>9071.0</v>
      </c>
      <c r="I965" s="169">
        <v>27213.0</v>
      </c>
      <c r="J965" s="169">
        <v>0.0</v>
      </c>
      <c r="K965" s="169">
        <v>3.0</v>
      </c>
      <c r="L965" s="169">
        <v>0.0</v>
      </c>
    </row>
    <row r="966" ht="14.25" customHeight="1">
      <c r="A966" s="169" t="s">
        <v>12439</v>
      </c>
      <c r="B966" s="169" t="s">
        <v>12439</v>
      </c>
      <c r="C966" s="169" t="s">
        <v>17160</v>
      </c>
      <c r="D966" s="169" t="str">
        <f>"66853974026323"</f>
        <v>66853974026323</v>
      </c>
      <c r="E966" s="169" t="str">
        <f>"MCO122-1"</f>
        <v>MCO122-1</v>
      </c>
      <c r="F966" s="169" t="s">
        <v>18811</v>
      </c>
      <c r="G966" s="169">
        <v>6.0</v>
      </c>
      <c r="H966" s="169">
        <v>9071.0</v>
      </c>
      <c r="I966" s="169">
        <v>54426.0</v>
      </c>
      <c r="J966" s="169">
        <v>0.0</v>
      </c>
      <c r="K966" s="169">
        <v>6.0</v>
      </c>
      <c r="L966" s="169">
        <v>0.0</v>
      </c>
    </row>
    <row r="967" ht="14.25" customHeight="1">
      <c r="A967" s="169" t="s">
        <v>12439</v>
      </c>
      <c r="B967" s="169" t="s">
        <v>12439</v>
      </c>
      <c r="C967" s="169" t="s">
        <v>17158</v>
      </c>
      <c r="D967" s="169" t="str">
        <f>"66853969896837"</f>
        <v>66853969896837</v>
      </c>
      <c r="E967" s="169" t="str">
        <f>"MCO122"</f>
        <v>MCO122</v>
      </c>
      <c r="F967" s="169" t="s">
        <v>18811</v>
      </c>
      <c r="G967" s="169">
        <v>3.0</v>
      </c>
      <c r="H967" s="169">
        <v>9071.0</v>
      </c>
      <c r="I967" s="169">
        <v>27213.0</v>
      </c>
      <c r="J967" s="169">
        <v>0.0</v>
      </c>
      <c r="K967" s="169">
        <v>3.0</v>
      </c>
      <c r="L967" s="169">
        <v>0.0</v>
      </c>
    </row>
    <row r="968" ht="14.25" customHeight="1">
      <c r="A968" s="169" t="s">
        <v>12439</v>
      </c>
      <c r="B968" s="169" t="s">
        <v>12439</v>
      </c>
      <c r="C968" s="169" t="s">
        <v>17157</v>
      </c>
      <c r="D968" s="169" t="str">
        <f>"66853944415843"</f>
        <v>66853944415843</v>
      </c>
      <c r="E968" s="169" t="str">
        <f>"MCO120-1"</f>
        <v>MCO120-1</v>
      </c>
      <c r="F968" s="169" t="s">
        <v>18811</v>
      </c>
      <c r="G968" s="169">
        <v>6.0</v>
      </c>
      <c r="H968" s="169">
        <v>9071.0</v>
      </c>
      <c r="I968" s="169">
        <v>54426.0</v>
      </c>
      <c r="J968" s="169">
        <v>0.0</v>
      </c>
      <c r="K968" s="169">
        <v>6.0</v>
      </c>
      <c r="L968" s="169">
        <v>0.0</v>
      </c>
    </row>
    <row r="969" ht="14.25" customHeight="1">
      <c r="A969" s="169" t="s">
        <v>12439</v>
      </c>
      <c r="B969" s="169" t="s">
        <v>12439</v>
      </c>
      <c r="C969" s="169" t="s">
        <v>17156</v>
      </c>
      <c r="D969" s="169" t="str">
        <f>"66853945822829"</f>
        <v>66853945822829</v>
      </c>
      <c r="E969" s="169" t="str">
        <f>"MCO120-2"</f>
        <v>MCO120-2</v>
      </c>
      <c r="F969" s="169" t="s">
        <v>18811</v>
      </c>
      <c r="G969" s="169">
        <v>8.0</v>
      </c>
      <c r="H969" s="169">
        <v>9071.0</v>
      </c>
      <c r="I969" s="169">
        <v>72568.0</v>
      </c>
      <c r="J969" s="169">
        <v>0.0</v>
      </c>
      <c r="K969" s="169">
        <v>8.0</v>
      </c>
      <c r="L969" s="169">
        <v>0.0</v>
      </c>
    </row>
    <row r="970" ht="14.25" customHeight="1">
      <c r="A970" s="169" t="s">
        <v>12439</v>
      </c>
      <c r="B970" s="169" t="s">
        <v>12439</v>
      </c>
      <c r="C970" s="169" t="s">
        <v>17155</v>
      </c>
      <c r="D970" s="169" t="str">
        <f>"66853942994527"</f>
        <v>66853942994527</v>
      </c>
      <c r="E970" s="169" t="str">
        <f>"MCO120"</f>
        <v>MCO120</v>
      </c>
      <c r="F970" s="169" t="s">
        <v>18811</v>
      </c>
      <c r="G970" s="169">
        <v>9.0</v>
      </c>
      <c r="H970" s="169">
        <v>9071.0</v>
      </c>
      <c r="I970" s="169">
        <v>81639.0</v>
      </c>
      <c r="J970" s="169">
        <v>1.0</v>
      </c>
      <c r="K970" s="169">
        <v>8.0</v>
      </c>
      <c r="L970" s="169">
        <v>0.0</v>
      </c>
    </row>
    <row r="971" ht="14.25" customHeight="1">
      <c r="A971" s="169" t="s">
        <v>12439</v>
      </c>
      <c r="B971" s="169" t="s">
        <v>12439</v>
      </c>
      <c r="C971" s="169" t="s">
        <v>17153</v>
      </c>
      <c r="D971" s="169" t="str">
        <f>"66853983853435"</f>
        <v>66853983853435</v>
      </c>
      <c r="E971" s="169" t="str">
        <f>"MCO123-2"</f>
        <v>MCO123-2</v>
      </c>
      <c r="F971" s="169" t="s">
        <v>18811</v>
      </c>
      <c r="G971" s="169">
        <v>6.0</v>
      </c>
      <c r="H971" s="169">
        <v>9071.0</v>
      </c>
      <c r="I971" s="169">
        <v>54426.0</v>
      </c>
      <c r="J971" s="169">
        <v>0.0</v>
      </c>
      <c r="K971" s="169">
        <v>6.0</v>
      </c>
      <c r="L971" s="169">
        <v>0.0</v>
      </c>
    </row>
    <row r="972" ht="14.25" customHeight="1">
      <c r="A972" s="169" t="s">
        <v>12439</v>
      </c>
      <c r="B972" s="169" t="s">
        <v>12439</v>
      </c>
      <c r="C972" s="169" t="s">
        <v>17154</v>
      </c>
      <c r="D972" s="169" t="str">
        <f>"66853982294418"</f>
        <v>66853982294418</v>
      </c>
      <c r="E972" s="169" t="str">
        <f>"MCO123-1"</f>
        <v>MCO123-1</v>
      </c>
      <c r="F972" s="169" t="s">
        <v>18811</v>
      </c>
      <c r="G972" s="169">
        <v>7.0</v>
      </c>
      <c r="H972" s="169">
        <v>9071.0</v>
      </c>
      <c r="I972" s="169">
        <v>63497.0</v>
      </c>
      <c r="J972" s="169">
        <v>0.0</v>
      </c>
      <c r="K972" s="169">
        <v>7.0</v>
      </c>
      <c r="L972" s="169">
        <v>0.0</v>
      </c>
    </row>
    <row r="973" ht="14.25" customHeight="1">
      <c r="A973" s="169" t="s">
        <v>12439</v>
      </c>
      <c r="B973" s="169" t="s">
        <v>12439</v>
      </c>
      <c r="C973" s="169" t="s">
        <v>17152</v>
      </c>
      <c r="D973" s="169" t="str">
        <f>"66853980664328"</f>
        <v>66853980664328</v>
      </c>
      <c r="E973" s="169" t="str">
        <f>"MCO123"</f>
        <v>MCO123</v>
      </c>
      <c r="F973" s="169" t="s">
        <v>18811</v>
      </c>
      <c r="G973" s="169">
        <v>6.0</v>
      </c>
      <c r="H973" s="169">
        <v>9071.0</v>
      </c>
      <c r="I973" s="169">
        <v>54426.0</v>
      </c>
      <c r="J973" s="169">
        <v>0.0</v>
      </c>
      <c r="K973" s="169">
        <v>6.0</v>
      </c>
      <c r="L973" s="169">
        <v>0.0</v>
      </c>
    </row>
    <row r="974" ht="14.25" customHeight="1">
      <c r="A974" s="169" t="s">
        <v>12439</v>
      </c>
      <c r="B974" s="169" t="s">
        <v>12439</v>
      </c>
      <c r="C974" s="169" t="s">
        <v>17150</v>
      </c>
      <c r="D974" s="169" t="str">
        <f>"66854003217122"</f>
        <v>66854003217122</v>
      </c>
      <c r="E974" s="169" t="str">
        <f>"MCO124-2"</f>
        <v>MCO124-2</v>
      </c>
      <c r="F974" s="169" t="s">
        <v>18811</v>
      </c>
      <c r="G974" s="169">
        <v>3.0</v>
      </c>
      <c r="H974" s="169">
        <v>9071.0</v>
      </c>
      <c r="I974" s="169">
        <v>27213.0</v>
      </c>
      <c r="J974" s="169">
        <v>0.0</v>
      </c>
      <c r="K974" s="169">
        <v>3.0</v>
      </c>
      <c r="L974" s="169">
        <v>0.0</v>
      </c>
    </row>
    <row r="975" ht="14.25" customHeight="1">
      <c r="A975" s="169" t="s">
        <v>12439</v>
      </c>
      <c r="B975" s="169" t="s">
        <v>12439</v>
      </c>
      <c r="C975" s="169" t="s">
        <v>17151</v>
      </c>
      <c r="D975" s="169" t="str">
        <f>"66853998222259"</f>
        <v>66853998222259</v>
      </c>
      <c r="E975" s="169" t="str">
        <f>"MCO124-1"</f>
        <v>MCO124-1</v>
      </c>
      <c r="F975" s="169" t="s">
        <v>18811</v>
      </c>
      <c r="G975" s="169">
        <v>9.0</v>
      </c>
      <c r="H975" s="169">
        <v>9071.0</v>
      </c>
      <c r="I975" s="169">
        <v>81639.0</v>
      </c>
      <c r="J975" s="169">
        <v>0.0</v>
      </c>
      <c r="K975" s="169">
        <v>9.0</v>
      </c>
      <c r="L975" s="169">
        <v>1.0</v>
      </c>
    </row>
    <row r="976" ht="14.25" customHeight="1">
      <c r="A976" s="169" t="s">
        <v>12439</v>
      </c>
      <c r="B976" s="169" t="s">
        <v>12439</v>
      </c>
      <c r="C976" s="169" t="s">
        <v>17149</v>
      </c>
      <c r="D976" s="169" t="str">
        <f>"66853990037040"</f>
        <v>66853990037040</v>
      </c>
      <c r="E976" s="169" t="str">
        <f>"MCO124"</f>
        <v>MCO124</v>
      </c>
      <c r="F976" s="169" t="s">
        <v>18811</v>
      </c>
      <c r="G976" s="169">
        <v>5.0</v>
      </c>
      <c r="H976" s="169">
        <v>9071.0</v>
      </c>
      <c r="I976" s="169">
        <v>45355.0</v>
      </c>
      <c r="J976" s="169">
        <v>0.0</v>
      </c>
      <c r="K976" s="169">
        <v>5.0</v>
      </c>
      <c r="L976" s="169">
        <v>0.0</v>
      </c>
    </row>
    <row r="977" ht="14.25" customHeight="1">
      <c r="A977" s="169" t="s">
        <v>12439</v>
      </c>
      <c r="B977" s="169" t="s">
        <v>12439</v>
      </c>
      <c r="C977" s="169" t="s">
        <v>17147</v>
      </c>
      <c r="D977" s="169" t="str">
        <f>"66854025168472"</f>
        <v>66854025168472</v>
      </c>
      <c r="E977" s="169" t="str">
        <f>"MCO126-2"</f>
        <v>MCO126-2</v>
      </c>
      <c r="F977" s="169" t="s">
        <v>18811</v>
      </c>
      <c r="G977" s="169">
        <v>3.0</v>
      </c>
      <c r="H977" s="169">
        <v>9071.0</v>
      </c>
      <c r="I977" s="169">
        <v>27213.0</v>
      </c>
      <c r="J977" s="169">
        <v>0.0</v>
      </c>
      <c r="K977" s="169">
        <v>3.0</v>
      </c>
      <c r="L977" s="169">
        <v>0.0</v>
      </c>
    </row>
    <row r="978" ht="14.25" customHeight="1">
      <c r="A978" s="169" t="s">
        <v>12439</v>
      </c>
      <c r="B978" s="169" t="s">
        <v>12439</v>
      </c>
      <c r="C978" s="169" t="s">
        <v>17148</v>
      </c>
      <c r="D978" s="169" t="str">
        <f>"66854024081032"</f>
        <v>66854024081032</v>
      </c>
      <c r="E978" s="169" t="str">
        <f>"MCO126-1"</f>
        <v>MCO126-1</v>
      </c>
      <c r="F978" s="169" t="s">
        <v>18811</v>
      </c>
      <c r="G978" s="169">
        <v>2.0</v>
      </c>
      <c r="H978" s="169">
        <v>9071.0</v>
      </c>
      <c r="I978" s="169">
        <v>18142.0</v>
      </c>
      <c r="J978" s="169">
        <v>0.0</v>
      </c>
      <c r="K978" s="169">
        <v>2.0</v>
      </c>
      <c r="L978" s="169">
        <v>0.0</v>
      </c>
    </row>
    <row r="979" ht="14.25" customHeight="1">
      <c r="A979" s="169" t="s">
        <v>12439</v>
      </c>
      <c r="B979" s="169" t="s">
        <v>12439</v>
      </c>
      <c r="C979" s="169" t="s">
        <v>17146</v>
      </c>
      <c r="D979" s="169" t="str">
        <f t="shared" ref="D979:E979" si="619">"MCO016"</f>
        <v>MCO016</v>
      </c>
      <c r="E979" s="169" t="str">
        <f t="shared" si="619"/>
        <v>MCO016</v>
      </c>
      <c r="F979" s="169" t="s">
        <v>18811</v>
      </c>
      <c r="G979" s="169">
        <v>2.0</v>
      </c>
      <c r="H979" s="169">
        <v>3524.0</v>
      </c>
      <c r="I979" s="169">
        <v>7048.0</v>
      </c>
      <c r="J979" s="169">
        <v>0.0</v>
      </c>
      <c r="K979" s="169">
        <v>2.0</v>
      </c>
      <c r="L979" s="169">
        <v>0.0</v>
      </c>
    </row>
    <row r="980" ht="14.25" customHeight="1">
      <c r="A980" s="169" t="s">
        <v>12439</v>
      </c>
      <c r="B980" s="169" t="s">
        <v>12439</v>
      </c>
      <c r="C980" s="169" t="s">
        <v>17145</v>
      </c>
      <c r="D980" s="169" t="str">
        <f t="shared" ref="D980:E980" si="620">"MCO014"</f>
        <v>MCO014</v>
      </c>
      <c r="E980" s="169" t="str">
        <f t="shared" si="620"/>
        <v>MCO014</v>
      </c>
      <c r="F980" s="169" t="s">
        <v>18811</v>
      </c>
      <c r="G980" s="169">
        <v>29.0</v>
      </c>
      <c r="H980" s="169">
        <v>3524.0</v>
      </c>
      <c r="I980" s="169">
        <v>102196.0</v>
      </c>
      <c r="J980" s="169">
        <v>0.0</v>
      </c>
      <c r="K980" s="169">
        <v>29.0</v>
      </c>
      <c r="L980" s="169">
        <v>0.0</v>
      </c>
    </row>
    <row r="981" ht="14.25" customHeight="1">
      <c r="A981" s="169" t="s">
        <v>12439</v>
      </c>
      <c r="B981" s="169" t="s">
        <v>12439</v>
      </c>
      <c r="C981" s="169" t="s">
        <v>17144</v>
      </c>
      <c r="D981" s="169" t="str">
        <f t="shared" ref="D981:E981" si="621">"MCO017"</f>
        <v>MCO017</v>
      </c>
      <c r="E981" s="169" t="str">
        <f t="shared" si="621"/>
        <v>MCO017</v>
      </c>
      <c r="F981" s="169" t="s">
        <v>18811</v>
      </c>
      <c r="G981" s="169">
        <v>10.0</v>
      </c>
      <c r="H981" s="169">
        <v>3524.0</v>
      </c>
      <c r="I981" s="169">
        <v>35240.0</v>
      </c>
      <c r="J981" s="169">
        <v>0.0</v>
      </c>
      <c r="K981" s="169">
        <v>10.0</v>
      </c>
      <c r="L981" s="169">
        <v>0.0</v>
      </c>
    </row>
    <row r="982" ht="14.25" customHeight="1">
      <c r="A982" s="169" t="s">
        <v>12439</v>
      </c>
      <c r="B982" s="169" t="s">
        <v>12439</v>
      </c>
      <c r="C982" s="169" t="s">
        <v>17143</v>
      </c>
      <c r="D982" s="169" t="str">
        <f t="shared" ref="D982:E982" si="622">"MCO015"</f>
        <v>MCO015</v>
      </c>
      <c r="E982" s="169" t="str">
        <f t="shared" si="622"/>
        <v>MCO015</v>
      </c>
      <c r="F982" s="169" t="s">
        <v>18811</v>
      </c>
      <c r="G982" s="169">
        <v>4.0</v>
      </c>
      <c r="H982" s="169">
        <v>3524.0</v>
      </c>
      <c r="I982" s="169">
        <v>14096.0</v>
      </c>
      <c r="J982" s="169">
        <v>0.0</v>
      </c>
      <c r="K982" s="169">
        <v>4.0</v>
      </c>
      <c r="L982" s="169">
        <v>1.0</v>
      </c>
    </row>
    <row r="983" ht="14.25" customHeight="1">
      <c r="A983" s="169" t="s">
        <v>12439</v>
      </c>
      <c r="B983" s="169" t="s">
        <v>12439</v>
      </c>
      <c r="C983" s="169" t="s">
        <v>17142</v>
      </c>
      <c r="D983" s="169" t="str">
        <f>"63053486223085"</f>
        <v>63053486223085</v>
      </c>
      <c r="E983" s="169" t="str">
        <f>"MCO038-2"</f>
        <v>MCO038-2</v>
      </c>
      <c r="F983" s="169" t="s">
        <v>18811</v>
      </c>
      <c r="G983" s="169">
        <v>1.0</v>
      </c>
      <c r="H983" s="169">
        <v>10499.0</v>
      </c>
      <c r="I983" s="169">
        <v>10499.0</v>
      </c>
      <c r="J983" s="169">
        <v>0.0</v>
      </c>
      <c r="K983" s="169">
        <v>1.0</v>
      </c>
      <c r="L983" s="169">
        <v>0.0</v>
      </c>
    </row>
    <row r="984" ht="14.25" customHeight="1">
      <c r="A984" s="169" t="s">
        <v>12439</v>
      </c>
      <c r="B984" s="169" t="s">
        <v>12439</v>
      </c>
      <c r="C984" s="169" t="s">
        <v>17141</v>
      </c>
      <c r="D984" s="169" t="str">
        <f>"63053486217206"</f>
        <v>63053486217206</v>
      </c>
      <c r="E984" s="169" t="str">
        <f>"MCO038-1"</f>
        <v>MCO038-1</v>
      </c>
      <c r="F984" s="169" t="s">
        <v>18811</v>
      </c>
      <c r="G984" s="169">
        <v>12.0</v>
      </c>
      <c r="H984" s="169">
        <v>10499.0</v>
      </c>
      <c r="I984" s="169">
        <v>125988.0</v>
      </c>
      <c r="J984" s="169">
        <v>0.0</v>
      </c>
      <c r="K984" s="169">
        <v>12.0</v>
      </c>
      <c r="L984" s="169">
        <v>0.0</v>
      </c>
    </row>
    <row r="985" ht="14.25" customHeight="1">
      <c r="A985" s="169" t="s">
        <v>12439</v>
      </c>
      <c r="B985" s="169" t="s">
        <v>12439</v>
      </c>
      <c r="C985" s="169" t="s">
        <v>17140</v>
      </c>
      <c r="D985" s="169" t="str">
        <f>"63053486210161"</f>
        <v>63053486210161</v>
      </c>
      <c r="E985" s="169" t="str">
        <f>"MCO038"</f>
        <v>MCO038</v>
      </c>
      <c r="F985" s="169" t="s">
        <v>18811</v>
      </c>
      <c r="G985" s="169">
        <v>12.0</v>
      </c>
      <c r="H985" s="169">
        <v>10499.0</v>
      </c>
      <c r="I985" s="169">
        <v>125988.0</v>
      </c>
      <c r="J985" s="169">
        <v>0.0</v>
      </c>
      <c r="K985" s="169">
        <v>12.0</v>
      </c>
      <c r="L985" s="169">
        <v>1.0</v>
      </c>
    </row>
    <row r="986" ht="14.25" customHeight="1">
      <c r="A986" s="169" t="s">
        <v>12439</v>
      </c>
      <c r="B986" s="169" t="s">
        <v>12439</v>
      </c>
      <c r="C986" s="169" t="s">
        <v>17139</v>
      </c>
      <c r="D986" s="169" t="str">
        <f>"63053486178192"</f>
        <v>63053486178192</v>
      </c>
      <c r="E986" s="169" t="str">
        <f>"MCO036-1"</f>
        <v>MCO036-1</v>
      </c>
      <c r="F986" s="169" t="s">
        <v>18811</v>
      </c>
      <c r="G986" s="169">
        <v>9.0</v>
      </c>
      <c r="H986" s="169">
        <v>10499.0</v>
      </c>
      <c r="I986" s="169">
        <v>94491.0</v>
      </c>
      <c r="J986" s="169">
        <v>0.0</v>
      </c>
      <c r="K986" s="169">
        <v>9.0</v>
      </c>
      <c r="L986" s="169">
        <v>2.0</v>
      </c>
    </row>
    <row r="987" ht="14.25" customHeight="1">
      <c r="A987" s="169" t="s">
        <v>12439</v>
      </c>
      <c r="B987" s="169" t="s">
        <v>12439</v>
      </c>
      <c r="C987" s="169" t="s">
        <v>17138</v>
      </c>
      <c r="D987" s="169" t="str">
        <f>"63053486172827"</f>
        <v>63053486172827</v>
      </c>
      <c r="E987" s="169" t="str">
        <f>"MCO036"</f>
        <v>MCO036</v>
      </c>
      <c r="F987" s="169" t="s">
        <v>18811</v>
      </c>
      <c r="G987" s="169">
        <v>18.0</v>
      </c>
      <c r="H987" s="169">
        <v>10499.0</v>
      </c>
      <c r="I987" s="169">
        <v>188982.0</v>
      </c>
      <c r="J987" s="169">
        <v>0.0</v>
      </c>
      <c r="K987" s="169">
        <v>18.0</v>
      </c>
      <c r="L987" s="169">
        <v>0.0</v>
      </c>
    </row>
    <row r="988" ht="14.25" customHeight="1">
      <c r="A988" s="169" t="s">
        <v>12439</v>
      </c>
      <c r="B988" s="169" t="s">
        <v>12439</v>
      </c>
      <c r="C988" s="169" t="s">
        <v>17137</v>
      </c>
      <c r="D988" s="169" t="str">
        <f>"63053486190233"</f>
        <v>63053486190233</v>
      </c>
      <c r="E988" s="169" t="str">
        <f>"MCO035-2"</f>
        <v>MCO035-2</v>
      </c>
      <c r="F988" s="169" t="s">
        <v>18811</v>
      </c>
      <c r="G988" s="169">
        <v>4.0</v>
      </c>
      <c r="H988" s="169">
        <v>10499.0</v>
      </c>
      <c r="I988" s="169">
        <v>41996.0</v>
      </c>
      <c r="J988" s="169">
        <v>0.0</v>
      </c>
      <c r="K988" s="169">
        <v>4.0</v>
      </c>
      <c r="L988" s="169">
        <v>1.0</v>
      </c>
    </row>
    <row r="989" ht="14.25" customHeight="1">
      <c r="A989" s="169" t="s">
        <v>12439</v>
      </c>
      <c r="B989" s="169" t="s">
        <v>12439</v>
      </c>
      <c r="C989" s="169" t="s">
        <v>17136</v>
      </c>
      <c r="D989" s="169" t="str">
        <f>"63053486179378"</f>
        <v>63053486179378</v>
      </c>
      <c r="E989" s="169" t="str">
        <f>"MCO035-1"</f>
        <v>MCO035-1</v>
      </c>
      <c r="F989" s="169" t="s">
        <v>18811</v>
      </c>
      <c r="G989" s="169">
        <v>6.0</v>
      </c>
      <c r="H989" s="169">
        <v>10499.0</v>
      </c>
      <c r="I989" s="169">
        <v>62994.0</v>
      </c>
      <c r="J989" s="169">
        <v>0.0</v>
      </c>
      <c r="K989" s="169">
        <v>6.0</v>
      </c>
      <c r="L989" s="169">
        <v>1.0</v>
      </c>
    </row>
    <row r="990" ht="14.25" customHeight="1">
      <c r="A990" s="169" t="s">
        <v>12439</v>
      </c>
      <c r="B990" s="169" t="s">
        <v>12439</v>
      </c>
      <c r="C990" s="169" t="s">
        <v>17135</v>
      </c>
      <c r="D990" s="169" t="str">
        <f>"63053486170774"</f>
        <v>63053486170774</v>
      </c>
      <c r="E990" s="169" t="str">
        <f>"MCO035"</f>
        <v>MCO035</v>
      </c>
      <c r="F990" s="169" t="s">
        <v>18811</v>
      </c>
      <c r="G990" s="169">
        <v>1.0</v>
      </c>
      <c r="H990" s="169">
        <v>10499.0</v>
      </c>
      <c r="I990" s="169">
        <v>10499.0</v>
      </c>
      <c r="J990" s="169">
        <v>0.0</v>
      </c>
      <c r="K990" s="169">
        <v>1.0</v>
      </c>
      <c r="L990" s="169">
        <v>0.0</v>
      </c>
    </row>
    <row r="991" ht="14.25" customHeight="1">
      <c r="A991" s="169" t="s">
        <v>12439</v>
      </c>
      <c r="B991" s="169" t="s">
        <v>12439</v>
      </c>
      <c r="C991" s="169" t="s">
        <v>17134</v>
      </c>
      <c r="D991" s="169" t="str">
        <f>"66603665443160"</f>
        <v>66603665443160</v>
      </c>
      <c r="E991" s="169" t="str">
        <f>"MCO095-2"</f>
        <v>MCO095-2</v>
      </c>
      <c r="F991" s="169" t="s">
        <v>18811</v>
      </c>
      <c r="G991" s="169">
        <v>8.0</v>
      </c>
      <c r="H991" s="169">
        <v>10499.0</v>
      </c>
      <c r="I991" s="169">
        <v>83992.0</v>
      </c>
      <c r="J991" s="169">
        <v>0.0</v>
      </c>
      <c r="K991" s="169">
        <v>8.0</v>
      </c>
      <c r="L991" s="169">
        <v>0.0</v>
      </c>
    </row>
    <row r="992" ht="14.25" customHeight="1">
      <c r="A992" s="169" t="s">
        <v>12439</v>
      </c>
      <c r="B992" s="169" t="s">
        <v>12439</v>
      </c>
      <c r="C992" s="169" t="s">
        <v>17133</v>
      </c>
      <c r="D992" s="169" t="str">
        <f>"66603672752419"</f>
        <v>66603672752419</v>
      </c>
      <c r="E992" s="169" t="str">
        <f>"MCO095-1"</f>
        <v>MCO095-1</v>
      </c>
      <c r="F992" s="169" t="s">
        <v>18811</v>
      </c>
      <c r="G992" s="169">
        <v>2.0</v>
      </c>
      <c r="H992" s="169">
        <v>10499.0</v>
      </c>
      <c r="I992" s="169">
        <v>20998.0</v>
      </c>
      <c r="J992" s="169">
        <v>0.0</v>
      </c>
      <c r="K992" s="169">
        <v>2.0</v>
      </c>
      <c r="L992" s="169">
        <v>0.0</v>
      </c>
    </row>
    <row r="993" ht="14.25" customHeight="1">
      <c r="A993" s="169" t="s">
        <v>12439</v>
      </c>
      <c r="B993" s="169" t="s">
        <v>12439</v>
      </c>
      <c r="C993" s="169" t="s">
        <v>17132</v>
      </c>
      <c r="D993" s="169" t="str">
        <f>"66603662874443"</f>
        <v>66603662874443</v>
      </c>
      <c r="E993" s="169" t="str">
        <f>"MCO095"</f>
        <v>MCO095</v>
      </c>
      <c r="F993" s="169" t="s">
        <v>18811</v>
      </c>
      <c r="G993" s="169">
        <v>13.0</v>
      </c>
      <c r="H993" s="169">
        <v>10499.0</v>
      </c>
      <c r="I993" s="169">
        <v>136487.0</v>
      </c>
      <c r="J993" s="169">
        <v>0.0</v>
      </c>
      <c r="K993" s="169">
        <v>13.0</v>
      </c>
      <c r="L993" s="169">
        <v>1.0</v>
      </c>
    </row>
    <row r="994" ht="14.25" customHeight="1">
      <c r="A994" s="169" t="s">
        <v>12439</v>
      </c>
      <c r="B994" s="169" t="s">
        <v>12439</v>
      </c>
      <c r="C994" s="169" t="s">
        <v>17131</v>
      </c>
      <c r="D994" s="169" t="str">
        <f>"63053486206216"</f>
        <v>63053486206216</v>
      </c>
      <c r="E994" s="169" t="str">
        <f>"MCO037-2"</f>
        <v>MCO037-2</v>
      </c>
      <c r="F994" s="169" t="s">
        <v>18811</v>
      </c>
      <c r="G994" s="169">
        <v>8.0</v>
      </c>
      <c r="H994" s="169">
        <v>10499.0</v>
      </c>
      <c r="I994" s="169">
        <v>83992.0</v>
      </c>
      <c r="J994" s="169">
        <v>0.0</v>
      </c>
      <c r="K994" s="169">
        <v>8.0</v>
      </c>
      <c r="L994" s="169">
        <v>0.0</v>
      </c>
    </row>
    <row r="995" ht="14.25" customHeight="1">
      <c r="A995" s="169" t="s">
        <v>12439</v>
      </c>
      <c r="B995" s="169" t="s">
        <v>12439</v>
      </c>
      <c r="C995" s="169" t="s">
        <v>17130</v>
      </c>
      <c r="D995" s="169" t="str">
        <f>"63053486195745"</f>
        <v>63053486195745</v>
      </c>
      <c r="E995" s="169" t="str">
        <f>"MCO037-1"</f>
        <v>MCO037-1</v>
      </c>
      <c r="F995" s="169" t="s">
        <v>18811</v>
      </c>
      <c r="G995" s="169">
        <v>8.0</v>
      </c>
      <c r="H995" s="169">
        <v>10499.0</v>
      </c>
      <c r="I995" s="169">
        <v>83992.0</v>
      </c>
      <c r="J995" s="169">
        <v>0.0</v>
      </c>
      <c r="K995" s="169">
        <v>8.0</v>
      </c>
      <c r="L995" s="169">
        <v>0.0</v>
      </c>
    </row>
    <row r="996" ht="14.25" customHeight="1">
      <c r="A996" s="169" t="s">
        <v>12439</v>
      </c>
      <c r="B996" s="169" t="s">
        <v>12439</v>
      </c>
      <c r="C996" s="169" t="s">
        <v>17129</v>
      </c>
      <c r="D996" s="169" t="str">
        <f>"63053486190601"</f>
        <v>63053486190601</v>
      </c>
      <c r="E996" s="169" t="str">
        <f>"MCO037"</f>
        <v>MCO037</v>
      </c>
      <c r="F996" s="169" t="s">
        <v>18811</v>
      </c>
      <c r="G996" s="169">
        <v>8.0</v>
      </c>
      <c r="H996" s="169">
        <v>10499.0</v>
      </c>
      <c r="I996" s="169">
        <v>83992.0</v>
      </c>
      <c r="J996" s="169">
        <v>0.0</v>
      </c>
      <c r="K996" s="169">
        <v>8.0</v>
      </c>
      <c r="L996" s="169">
        <v>0.0</v>
      </c>
    </row>
    <row r="997" ht="14.25" customHeight="1">
      <c r="A997" s="169" t="s">
        <v>12439</v>
      </c>
      <c r="B997" s="169" t="s">
        <v>12439</v>
      </c>
      <c r="C997" s="169" t="s">
        <v>17128</v>
      </c>
      <c r="D997" s="169" t="str">
        <f>"1646672239775"</f>
        <v>1646672239775</v>
      </c>
      <c r="E997" s="169" t="str">
        <f>"MCO164-2"</f>
        <v>MCO164-2</v>
      </c>
      <c r="F997" s="169" t="s">
        <v>18811</v>
      </c>
      <c r="G997" s="169">
        <v>12.0</v>
      </c>
      <c r="H997" s="169">
        <v>10499.0</v>
      </c>
      <c r="I997" s="169">
        <v>125988.0</v>
      </c>
      <c r="J997" s="169">
        <v>0.0</v>
      </c>
      <c r="K997" s="169">
        <v>12.0</v>
      </c>
      <c r="L997" s="169">
        <v>0.0</v>
      </c>
    </row>
    <row r="998" ht="14.25" customHeight="1">
      <c r="A998" s="169" t="s">
        <v>12439</v>
      </c>
      <c r="B998" s="169" t="s">
        <v>12439</v>
      </c>
      <c r="C998" s="169" t="s">
        <v>17127</v>
      </c>
      <c r="D998" s="169" t="str">
        <f>"1646672192935"</f>
        <v>1646672192935</v>
      </c>
      <c r="E998" s="169" t="str">
        <f>"MCO164"</f>
        <v>MCO164</v>
      </c>
      <c r="F998" s="169" t="s">
        <v>18811</v>
      </c>
      <c r="G998" s="169">
        <v>17.0</v>
      </c>
      <c r="H998" s="169">
        <v>10499.0</v>
      </c>
      <c r="I998" s="169">
        <v>178483.0</v>
      </c>
      <c r="J998" s="169">
        <v>0.0</v>
      </c>
      <c r="K998" s="169">
        <v>17.0</v>
      </c>
      <c r="L998" s="169">
        <v>0.0</v>
      </c>
    </row>
    <row r="999" ht="14.25" customHeight="1">
      <c r="A999" s="169" t="s">
        <v>12439</v>
      </c>
      <c r="B999" s="169" t="s">
        <v>12439</v>
      </c>
      <c r="C999" s="169" t="s">
        <v>17126</v>
      </c>
      <c r="D999" s="169" t="str">
        <f>"63053486264955"</f>
        <v>63053486264955</v>
      </c>
      <c r="E999" s="169" t="str">
        <f>"MCO022"</f>
        <v>MCO022</v>
      </c>
      <c r="F999" s="169" t="s">
        <v>18811</v>
      </c>
      <c r="G999" s="169">
        <v>2.0</v>
      </c>
      <c r="H999" s="169">
        <v>13104.0</v>
      </c>
      <c r="I999" s="169">
        <v>26208.0</v>
      </c>
      <c r="J999" s="169">
        <v>0.0</v>
      </c>
      <c r="K999" s="169">
        <v>2.0</v>
      </c>
      <c r="L999" s="169">
        <v>0.0</v>
      </c>
    </row>
    <row r="1000" ht="14.25" customHeight="1">
      <c r="A1000" s="169" t="s">
        <v>12439</v>
      </c>
      <c r="B1000" s="169" t="s">
        <v>12439</v>
      </c>
      <c r="C1000" s="169" t="s">
        <v>17125</v>
      </c>
      <c r="D1000" s="169" t="str">
        <f>"63053486269743"</f>
        <v>63053486269743</v>
      </c>
      <c r="E1000" s="169" t="str">
        <f>"MCO022-1"</f>
        <v>MCO022-1</v>
      </c>
      <c r="F1000" s="169" t="s">
        <v>18811</v>
      </c>
      <c r="G1000" s="169">
        <v>18.0</v>
      </c>
      <c r="H1000" s="169">
        <v>13104.0</v>
      </c>
      <c r="I1000" s="169">
        <v>235872.0</v>
      </c>
      <c r="J1000" s="169">
        <v>0.0</v>
      </c>
      <c r="K1000" s="169">
        <v>18.0</v>
      </c>
      <c r="L1000" s="169">
        <v>0.0</v>
      </c>
    </row>
    <row r="1001" ht="14.25" customHeight="1">
      <c r="A1001" s="169" t="s">
        <v>12439</v>
      </c>
      <c r="B1001" s="169" t="s">
        <v>12439</v>
      </c>
      <c r="C1001" s="169" t="s">
        <v>17124</v>
      </c>
      <c r="D1001" s="169" t="str">
        <f>"63053486251528"</f>
        <v>63053486251528</v>
      </c>
      <c r="E1001" s="169" t="str">
        <f>"MCO020"</f>
        <v>MCO020</v>
      </c>
      <c r="F1001" s="169" t="s">
        <v>18811</v>
      </c>
      <c r="G1001" s="169">
        <v>15.0</v>
      </c>
      <c r="H1001" s="169">
        <v>13104.0</v>
      </c>
      <c r="I1001" s="169">
        <v>196560.0</v>
      </c>
      <c r="J1001" s="169">
        <v>0.0</v>
      </c>
      <c r="K1001" s="169">
        <v>15.0</v>
      </c>
      <c r="L1001" s="169">
        <v>0.0</v>
      </c>
    </row>
    <row r="1002" ht="14.25" customHeight="1">
      <c r="A1002" s="169" t="s">
        <v>12439</v>
      </c>
      <c r="B1002" s="169" t="s">
        <v>12439</v>
      </c>
      <c r="C1002" s="169" t="s">
        <v>17123</v>
      </c>
      <c r="D1002" s="169" t="str">
        <f>"63053486262653"</f>
        <v>63053486262653</v>
      </c>
      <c r="E1002" s="169" t="str">
        <f>"MCO020-1"</f>
        <v>MCO020-1</v>
      </c>
      <c r="F1002" s="169" t="s">
        <v>18811</v>
      </c>
      <c r="G1002" s="169">
        <v>17.0</v>
      </c>
      <c r="H1002" s="169">
        <v>13104.0</v>
      </c>
      <c r="I1002" s="169">
        <v>222768.0</v>
      </c>
      <c r="J1002" s="169">
        <v>0.0</v>
      </c>
      <c r="K1002" s="169">
        <v>17.0</v>
      </c>
      <c r="L1002" s="169">
        <v>0.0</v>
      </c>
    </row>
    <row r="1003" ht="14.25" customHeight="1">
      <c r="A1003" s="169" t="s">
        <v>12439</v>
      </c>
      <c r="B1003" s="169" t="s">
        <v>12439</v>
      </c>
      <c r="C1003" s="169" t="s">
        <v>17122</v>
      </c>
      <c r="D1003" s="169" t="str">
        <f>"63053486227553"</f>
        <v>63053486227553</v>
      </c>
      <c r="E1003" s="169" t="str">
        <f>"MCO019"</f>
        <v>MCO019</v>
      </c>
      <c r="F1003" s="169" t="s">
        <v>18811</v>
      </c>
      <c r="G1003" s="169">
        <v>15.0</v>
      </c>
      <c r="H1003" s="169">
        <v>13104.0</v>
      </c>
      <c r="I1003" s="169">
        <v>196560.0</v>
      </c>
      <c r="J1003" s="169">
        <v>0.0</v>
      </c>
      <c r="K1003" s="169">
        <v>15.0</v>
      </c>
      <c r="L1003" s="169">
        <v>0.0</v>
      </c>
    </row>
    <row r="1004" ht="14.25" customHeight="1">
      <c r="A1004" s="169" t="s">
        <v>12439</v>
      </c>
      <c r="B1004" s="169" t="s">
        <v>12439</v>
      </c>
      <c r="C1004" s="169" t="s">
        <v>17121</v>
      </c>
      <c r="D1004" s="169" t="str">
        <f>"63053486241742"</f>
        <v>63053486241742</v>
      </c>
      <c r="E1004" s="169" t="str">
        <f>"MCO019-2"</f>
        <v>MCO019-2</v>
      </c>
      <c r="F1004" s="169" t="s">
        <v>18811</v>
      </c>
      <c r="G1004" s="169">
        <v>4.0</v>
      </c>
      <c r="H1004" s="169">
        <v>13104.0</v>
      </c>
      <c r="I1004" s="169">
        <v>52416.0</v>
      </c>
      <c r="J1004" s="169">
        <v>0.0</v>
      </c>
      <c r="K1004" s="169">
        <v>4.0</v>
      </c>
      <c r="L1004" s="169">
        <v>0.0</v>
      </c>
    </row>
    <row r="1005" ht="14.25" customHeight="1">
      <c r="A1005" s="169" t="s">
        <v>12439</v>
      </c>
      <c r="B1005" s="169" t="s">
        <v>12439</v>
      </c>
      <c r="C1005" s="169" t="s">
        <v>17120</v>
      </c>
      <c r="D1005" s="169" t="str">
        <f>"63053486236025"</f>
        <v>63053486236025</v>
      </c>
      <c r="E1005" s="169" t="str">
        <f>"MCO019-1"</f>
        <v>MCO019-1</v>
      </c>
      <c r="F1005" s="169" t="s">
        <v>18811</v>
      </c>
      <c r="G1005" s="169">
        <v>3.0</v>
      </c>
      <c r="H1005" s="169">
        <v>13104.0</v>
      </c>
      <c r="I1005" s="169">
        <v>39312.0</v>
      </c>
      <c r="J1005" s="169">
        <v>0.0</v>
      </c>
      <c r="K1005" s="169">
        <v>3.0</v>
      </c>
      <c r="L1005" s="169">
        <v>0.0</v>
      </c>
    </row>
    <row r="1006" ht="14.25" customHeight="1">
      <c r="A1006" s="169" t="s">
        <v>12439</v>
      </c>
      <c r="B1006" s="169" t="s">
        <v>12439</v>
      </c>
      <c r="C1006" s="169" t="s">
        <v>17119</v>
      </c>
      <c r="D1006" s="169" t="str">
        <f>"66603801461098"</f>
        <v>66603801461098</v>
      </c>
      <c r="E1006" s="169" t="str">
        <f>"MCO096"</f>
        <v>MCO096</v>
      </c>
      <c r="F1006" s="169" t="s">
        <v>18811</v>
      </c>
      <c r="G1006" s="169">
        <v>5.0</v>
      </c>
      <c r="H1006" s="169">
        <v>13104.0</v>
      </c>
      <c r="I1006" s="169">
        <v>65520.0</v>
      </c>
      <c r="J1006" s="169">
        <v>0.0</v>
      </c>
      <c r="K1006" s="169">
        <v>5.0</v>
      </c>
      <c r="L1006" s="169">
        <v>0.0</v>
      </c>
    </row>
    <row r="1007" ht="14.25" customHeight="1">
      <c r="A1007" s="169" t="s">
        <v>12439</v>
      </c>
      <c r="B1007" s="169" t="s">
        <v>12439</v>
      </c>
      <c r="C1007" s="169" t="s">
        <v>17118</v>
      </c>
      <c r="D1007" s="169" t="str">
        <f>"66603796129350"</f>
        <v>66603796129350</v>
      </c>
      <c r="E1007" s="169" t="str">
        <f>"MCO096-1"</f>
        <v>MCO096-1</v>
      </c>
      <c r="F1007" s="169" t="s">
        <v>18811</v>
      </c>
      <c r="G1007" s="169">
        <v>2.0</v>
      </c>
      <c r="H1007" s="169">
        <v>13104.0</v>
      </c>
      <c r="I1007" s="169">
        <v>26208.0</v>
      </c>
      <c r="J1007" s="169">
        <v>0.0</v>
      </c>
      <c r="K1007" s="169">
        <v>2.0</v>
      </c>
      <c r="L1007" s="169">
        <v>0.0</v>
      </c>
    </row>
    <row r="1008" ht="14.25" customHeight="1">
      <c r="A1008" s="169" t="s">
        <v>12439</v>
      </c>
      <c r="B1008" s="169" t="s">
        <v>12439</v>
      </c>
      <c r="C1008" s="169" t="s">
        <v>17117</v>
      </c>
      <c r="D1008" s="169" t="str">
        <f>"63053486254402"</f>
        <v>63053486254402</v>
      </c>
      <c r="E1008" s="169" t="str">
        <f>"MCO021"</f>
        <v>MCO021</v>
      </c>
      <c r="F1008" s="169" t="s">
        <v>18811</v>
      </c>
      <c r="G1008" s="169">
        <v>16.0</v>
      </c>
      <c r="H1008" s="169">
        <v>13104.0</v>
      </c>
      <c r="I1008" s="169">
        <v>209664.0</v>
      </c>
      <c r="J1008" s="169">
        <v>0.0</v>
      </c>
      <c r="K1008" s="169">
        <v>16.0</v>
      </c>
      <c r="L1008" s="169">
        <v>0.0</v>
      </c>
    </row>
    <row r="1009" ht="14.25" customHeight="1">
      <c r="A1009" s="169" t="s">
        <v>12439</v>
      </c>
      <c r="B1009" s="169" t="s">
        <v>12439</v>
      </c>
      <c r="C1009" s="169" t="s">
        <v>17116</v>
      </c>
      <c r="D1009" s="169" t="str">
        <f>"63053486265558"</f>
        <v>63053486265558</v>
      </c>
      <c r="E1009" s="169" t="str">
        <f>"MCO021-2"</f>
        <v>MCO021-2</v>
      </c>
      <c r="F1009" s="169" t="s">
        <v>18811</v>
      </c>
      <c r="G1009" s="169">
        <v>8.0</v>
      </c>
      <c r="H1009" s="169">
        <v>13104.0</v>
      </c>
      <c r="I1009" s="169">
        <v>104832.0</v>
      </c>
      <c r="J1009" s="169">
        <v>0.0</v>
      </c>
      <c r="K1009" s="169">
        <v>8.0</v>
      </c>
      <c r="L1009" s="169">
        <v>0.0</v>
      </c>
    </row>
    <row r="1010" ht="14.25" customHeight="1">
      <c r="A1010" s="169" t="s">
        <v>12439</v>
      </c>
      <c r="B1010" s="169" t="s">
        <v>12439</v>
      </c>
      <c r="C1010" s="169" t="s">
        <v>17115</v>
      </c>
      <c r="D1010" s="169" t="str">
        <f>"63053486259643"</f>
        <v>63053486259643</v>
      </c>
      <c r="E1010" s="169" t="str">
        <f>"MCO021-1"</f>
        <v>MCO021-1</v>
      </c>
      <c r="F1010" s="169" t="s">
        <v>18811</v>
      </c>
      <c r="G1010" s="169">
        <v>16.0</v>
      </c>
      <c r="H1010" s="169">
        <v>13104.0</v>
      </c>
      <c r="I1010" s="169">
        <v>209664.0</v>
      </c>
      <c r="J1010" s="169">
        <v>0.0</v>
      </c>
      <c r="K1010" s="169">
        <v>16.0</v>
      </c>
      <c r="L1010" s="169">
        <v>0.0</v>
      </c>
    </row>
    <row r="1011" ht="14.25" customHeight="1">
      <c r="A1011" s="169" t="s">
        <v>12439</v>
      </c>
      <c r="B1011" s="169" t="s">
        <v>12439</v>
      </c>
      <c r="C1011" s="169" t="s">
        <v>17114</v>
      </c>
      <c r="D1011" s="169" t="str">
        <f>"1644937838045"</f>
        <v>1644937838045</v>
      </c>
      <c r="E1011" s="169" t="str">
        <f>"MCO163-1"</f>
        <v>MCO163-1</v>
      </c>
      <c r="F1011" s="169" t="s">
        <v>18811</v>
      </c>
      <c r="G1011" s="169">
        <v>9.0</v>
      </c>
      <c r="H1011" s="169">
        <v>13104.0</v>
      </c>
      <c r="I1011" s="169">
        <v>117936.0</v>
      </c>
      <c r="J1011" s="169">
        <v>0.0</v>
      </c>
      <c r="K1011" s="169">
        <v>9.0</v>
      </c>
      <c r="L1011" s="169">
        <v>0.0</v>
      </c>
    </row>
    <row r="1012" ht="14.25" customHeight="1">
      <c r="A1012" s="169" t="s">
        <v>12439</v>
      </c>
      <c r="B1012" s="169" t="s">
        <v>12439</v>
      </c>
      <c r="C1012" s="169" t="s">
        <v>17113</v>
      </c>
      <c r="D1012" s="169" t="str">
        <f>"1644937858822"</f>
        <v>1644937858822</v>
      </c>
      <c r="E1012" s="169" t="str">
        <f>"MCO163-2"</f>
        <v>MCO163-2</v>
      </c>
      <c r="F1012" s="169" t="s">
        <v>18811</v>
      </c>
      <c r="G1012" s="169">
        <v>18.0</v>
      </c>
      <c r="H1012" s="169">
        <v>13104.0</v>
      </c>
      <c r="I1012" s="169">
        <v>235872.0</v>
      </c>
      <c r="J1012" s="169">
        <v>0.0</v>
      </c>
      <c r="K1012" s="169">
        <v>18.0</v>
      </c>
      <c r="L1012" s="169">
        <v>0.0</v>
      </c>
    </row>
    <row r="1013" ht="14.25" customHeight="1">
      <c r="A1013" s="169" t="s">
        <v>12439</v>
      </c>
      <c r="B1013" s="169" t="s">
        <v>12439</v>
      </c>
      <c r="C1013" s="169" t="s">
        <v>17112</v>
      </c>
      <c r="D1013" s="169" t="str">
        <f>"1644937814661"</f>
        <v>1644937814661</v>
      </c>
      <c r="E1013" s="169" t="str">
        <f>"MCO163"</f>
        <v>MCO163</v>
      </c>
      <c r="F1013" s="169" t="s">
        <v>18811</v>
      </c>
      <c r="G1013" s="169">
        <v>15.0</v>
      </c>
      <c r="H1013" s="169">
        <v>13104.0</v>
      </c>
      <c r="I1013" s="169">
        <v>196560.0</v>
      </c>
      <c r="J1013" s="169">
        <v>0.0</v>
      </c>
      <c r="K1013" s="169">
        <v>15.0</v>
      </c>
      <c r="L1013" s="169">
        <v>0.0</v>
      </c>
    </row>
    <row r="1014" ht="14.25" customHeight="1">
      <c r="A1014" s="169" t="s">
        <v>12439</v>
      </c>
      <c r="B1014" s="169" t="s">
        <v>12439</v>
      </c>
      <c r="C1014" s="169" t="s">
        <v>17111</v>
      </c>
      <c r="D1014" s="169" t="str">
        <f>"67664679787753"</f>
        <v>67664679787753</v>
      </c>
      <c r="E1014" s="169" t="str">
        <f>"MCO150"</f>
        <v>MCO150</v>
      </c>
      <c r="F1014" s="169" t="s">
        <v>18811</v>
      </c>
      <c r="G1014" s="169">
        <v>9.0</v>
      </c>
      <c r="H1014" s="169">
        <v>35289.0</v>
      </c>
      <c r="I1014" s="169">
        <v>317601.0</v>
      </c>
      <c r="J1014" s="169">
        <v>0.0</v>
      </c>
      <c r="K1014" s="169">
        <v>9.0</v>
      </c>
      <c r="L1014" s="169">
        <v>0.0</v>
      </c>
    </row>
    <row r="1015" ht="14.25" customHeight="1">
      <c r="A1015" s="169" t="s">
        <v>12439</v>
      </c>
      <c r="B1015" s="169" t="s">
        <v>12439</v>
      </c>
      <c r="C1015" s="169" t="s">
        <v>17110</v>
      </c>
      <c r="D1015" s="169" t="str">
        <f>"67664683111211"</f>
        <v>67664683111211</v>
      </c>
      <c r="E1015" s="169" t="str">
        <f>"MCO150-2"</f>
        <v>MCO150-2</v>
      </c>
      <c r="F1015" s="169" t="s">
        <v>18811</v>
      </c>
      <c r="G1015" s="169">
        <v>5.0</v>
      </c>
      <c r="H1015" s="169">
        <v>35289.0</v>
      </c>
      <c r="I1015" s="169">
        <v>176445.0</v>
      </c>
      <c r="J1015" s="169">
        <v>0.0</v>
      </c>
      <c r="K1015" s="169">
        <v>5.0</v>
      </c>
      <c r="L1015" s="169">
        <v>0.0</v>
      </c>
    </row>
    <row r="1016" ht="14.25" customHeight="1">
      <c r="A1016" s="169" t="s">
        <v>12439</v>
      </c>
      <c r="B1016" s="169" t="s">
        <v>12439</v>
      </c>
      <c r="C1016" s="169" t="s">
        <v>17109</v>
      </c>
      <c r="D1016" s="169" t="str">
        <f>"67664681738748"</f>
        <v>67664681738748</v>
      </c>
      <c r="E1016" s="169" t="str">
        <f>"MCO150-1"</f>
        <v>MCO150-1</v>
      </c>
      <c r="F1016" s="169" t="s">
        <v>18811</v>
      </c>
      <c r="G1016" s="169">
        <v>8.0</v>
      </c>
      <c r="H1016" s="169">
        <v>35289.0</v>
      </c>
      <c r="I1016" s="169">
        <v>282312.0</v>
      </c>
      <c r="J1016" s="169">
        <v>0.0</v>
      </c>
      <c r="K1016" s="169">
        <v>8.0</v>
      </c>
      <c r="L1016" s="169">
        <v>0.0</v>
      </c>
    </row>
    <row r="1017" ht="14.25" customHeight="1">
      <c r="A1017" s="169" t="s">
        <v>12439</v>
      </c>
      <c r="B1017" s="169" t="s">
        <v>12439</v>
      </c>
      <c r="C1017" s="169" t="s">
        <v>17108</v>
      </c>
      <c r="D1017" s="169" t="str">
        <f>"0470000099074"</f>
        <v>0470000099074</v>
      </c>
      <c r="E1017" s="169" t="str">
        <f>"MCO068"</f>
        <v>MCO068</v>
      </c>
      <c r="F1017" s="169" t="s">
        <v>18811</v>
      </c>
      <c r="G1017" s="169">
        <v>2.0</v>
      </c>
      <c r="H1017" s="169">
        <v>3524.0</v>
      </c>
      <c r="I1017" s="169">
        <v>7048.0</v>
      </c>
      <c r="J1017" s="169">
        <v>0.0</v>
      </c>
      <c r="K1017" s="169">
        <v>2.0</v>
      </c>
      <c r="L1017" s="169">
        <v>0.0</v>
      </c>
    </row>
    <row r="1018" ht="14.25" customHeight="1">
      <c r="A1018" s="169" t="s">
        <v>12439</v>
      </c>
      <c r="B1018" s="169" t="s">
        <v>12439</v>
      </c>
      <c r="C1018" s="169" t="s">
        <v>17107</v>
      </c>
      <c r="D1018" s="169" t="str">
        <f>"0764451239838"</f>
        <v>0764451239838</v>
      </c>
      <c r="E1018" s="169" t="str">
        <f>"MCO424"</f>
        <v>MCO424</v>
      </c>
      <c r="F1018" s="169" t="s">
        <v>18811</v>
      </c>
      <c r="G1018" s="169">
        <v>1.0</v>
      </c>
      <c r="H1018" s="169">
        <v>5874.0</v>
      </c>
      <c r="I1018" s="169">
        <v>5874.0</v>
      </c>
      <c r="J1018" s="169">
        <v>0.0</v>
      </c>
      <c r="K1018" s="169">
        <v>1.0</v>
      </c>
      <c r="L1018" s="169">
        <v>0.0</v>
      </c>
    </row>
    <row r="1019" ht="14.25" customHeight="1">
      <c r="A1019" s="169" t="s">
        <v>12439</v>
      </c>
      <c r="B1019" s="169" t="s">
        <v>12439</v>
      </c>
      <c r="C1019" s="169" t="s">
        <v>17103</v>
      </c>
      <c r="D1019" s="169" t="str">
        <f>"63053486061026"</f>
        <v>63053486061026</v>
      </c>
      <c r="E1019" s="169" t="str">
        <f>"MCO007-1"</f>
        <v>MCO007-1</v>
      </c>
      <c r="F1019" s="169" t="s">
        <v>18811</v>
      </c>
      <c r="G1019" s="169">
        <v>4.0</v>
      </c>
      <c r="H1019" s="169">
        <v>8062.0</v>
      </c>
      <c r="I1019" s="169">
        <v>32248.0</v>
      </c>
      <c r="J1019" s="169">
        <v>0.0</v>
      </c>
      <c r="K1019" s="169">
        <v>4.0</v>
      </c>
      <c r="L1019" s="169">
        <v>1.0</v>
      </c>
    </row>
    <row r="1020" ht="14.25" customHeight="1">
      <c r="A1020" s="169" t="s">
        <v>12439</v>
      </c>
      <c r="B1020" s="169" t="s">
        <v>12439</v>
      </c>
      <c r="C1020" s="169" t="s">
        <v>17102</v>
      </c>
      <c r="D1020" s="169" t="str">
        <f>"63053486071268"</f>
        <v>63053486071268</v>
      </c>
      <c r="E1020" s="169" t="str">
        <f>"MCO007-2"</f>
        <v>MCO007-2</v>
      </c>
      <c r="F1020" s="169" t="s">
        <v>18811</v>
      </c>
      <c r="G1020" s="169">
        <v>5.0</v>
      </c>
      <c r="H1020" s="169">
        <v>8062.0</v>
      </c>
      <c r="I1020" s="169">
        <v>40310.0</v>
      </c>
      <c r="J1020" s="169">
        <v>0.0</v>
      </c>
      <c r="K1020" s="169">
        <v>5.0</v>
      </c>
      <c r="L1020" s="169">
        <v>0.0</v>
      </c>
    </row>
    <row r="1021" ht="14.25" customHeight="1">
      <c r="A1021" s="169" t="s">
        <v>12439</v>
      </c>
      <c r="B1021" s="169" t="s">
        <v>12439</v>
      </c>
      <c r="C1021" s="169" t="s">
        <v>17101</v>
      </c>
      <c r="D1021" s="169" t="str">
        <f>"63053486047285"</f>
        <v>63053486047285</v>
      </c>
      <c r="E1021" s="169" t="str">
        <f>"MCO006-1"</f>
        <v>MCO006-1</v>
      </c>
      <c r="F1021" s="169" t="s">
        <v>18811</v>
      </c>
      <c r="G1021" s="169">
        <v>3.0</v>
      </c>
      <c r="H1021" s="169">
        <v>8062.0</v>
      </c>
      <c r="I1021" s="169">
        <v>24186.0</v>
      </c>
      <c r="J1021" s="169">
        <v>0.0</v>
      </c>
      <c r="K1021" s="169">
        <v>3.0</v>
      </c>
      <c r="L1021" s="169">
        <v>0.0</v>
      </c>
    </row>
    <row r="1022" ht="14.25" customHeight="1">
      <c r="A1022" s="169" t="s">
        <v>12439</v>
      </c>
      <c r="B1022" s="169" t="s">
        <v>12439</v>
      </c>
      <c r="C1022" s="169" t="s">
        <v>17101</v>
      </c>
      <c r="D1022" s="169" t="str">
        <f>"63053486042331"</f>
        <v>63053486042331</v>
      </c>
      <c r="E1022" s="169" t="str">
        <f>"MCO006"</f>
        <v>MCO006</v>
      </c>
      <c r="F1022" s="169" t="s">
        <v>18811</v>
      </c>
      <c r="G1022" s="169">
        <v>6.0</v>
      </c>
      <c r="H1022" s="169">
        <v>8062.0</v>
      </c>
      <c r="I1022" s="169">
        <v>48372.0</v>
      </c>
      <c r="J1022" s="169">
        <v>0.0</v>
      </c>
      <c r="K1022" s="169">
        <v>6.0</v>
      </c>
      <c r="L1022" s="169">
        <v>0.0</v>
      </c>
    </row>
    <row r="1023" ht="14.25" customHeight="1">
      <c r="A1023" s="169" t="s">
        <v>12439</v>
      </c>
      <c r="B1023" s="169" t="s">
        <v>12439</v>
      </c>
      <c r="C1023" s="169" t="s">
        <v>17101</v>
      </c>
      <c r="D1023" s="169" t="str">
        <f>"63053486051764"</f>
        <v>63053486051764</v>
      </c>
      <c r="E1023" s="169" t="str">
        <f>"MCO006-2"</f>
        <v>MCO006-2</v>
      </c>
      <c r="F1023" s="169" t="s">
        <v>18811</v>
      </c>
      <c r="G1023" s="169">
        <v>3.0</v>
      </c>
      <c r="H1023" s="169">
        <v>8062.0</v>
      </c>
      <c r="I1023" s="169">
        <v>24186.0</v>
      </c>
      <c r="J1023" s="169">
        <v>0.0</v>
      </c>
      <c r="K1023" s="169">
        <v>3.0</v>
      </c>
      <c r="L1023" s="169">
        <v>0.0</v>
      </c>
    </row>
    <row r="1024" ht="14.25" customHeight="1">
      <c r="A1024" s="169" t="s">
        <v>12439</v>
      </c>
      <c r="B1024" s="169" t="s">
        <v>12439</v>
      </c>
      <c r="C1024" s="169" t="s">
        <v>17100</v>
      </c>
      <c r="D1024" s="169" t="str">
        <f>"63053486047947"</f>
        <v>63053486047947</v>
      </c>
      <c r="E1024" s="169" t="str">
        <f>"MCO007"</f>
        <v>MCO007</v>
      </c>
      <c r="F1024" s="169" t="s">
        <v>18811</v>
      </c>
      <c r="G1024" s="169">
        <v>5.0</v>
      </c>
      <c r="H1024" s="169">
        <v>8062.0</v>
      </c>
      <c r="I1024" s="169">
        <v>40310.0</v>
      </c>
      <c r="J1024" s="169">
        <v>0.0</v>
      </c>
      <c r="K1024" s="169">
        <v>5.0</v>
      </c>
      <c r="L1024" s="169">
        <v>0.0</v>
      </c>
    </row>
    <row r="1025" ht="14.25" customHeight="1">
      <c r="A1025" s="169" t="s">
        <v>12439</v>
      </c>
      <c r="B1025" s="169" t="s">
        <v>12439</v>
      </c>
      <c r="C1025" s="169" t="s">
        <v>17096</v>
      </c>
      <c r="D1025" s="169" t="str">
        <f>"63053486001802"</f>
        <v>63053486001802</v>
      </c>
      <c r="E1025" s="169" t="str">
        <f>"MCO005-1"</f>
        <v>MCO005-1</v>
      </c>
      <c r="F1025" s="169" t="s">
        <v>18811</v>
      </c>
      <c r="G1025" s="169">
        <v>9.0</v>
      </c>
      <c r="H1025" s="169">
        <v>8062.0</v>
      </c>
      <c r="I1025" s="169">
        <v>72558.0</v>
      </c>
      <c r="J1025" s="169">
        <v>0.0</v>
      </c>
      <c r="K1025" s="169">
        <v>9.0</v>
      </c>
      <c r="L1025" s="169">
        <v>0.0</v>
      </c>
    </row>
    <row r="1026" ht="14.25" customHeight="1">
      <c r="A1026" s="169" t="s">
        <v>12439</v>
      </c>
      <c r="B1026" s="169" t="s">
        <v>12439</v>
      </c>
      <c r="C1026" s="169" t="s">
        <v>17095</v>
      </c>
      <c r="D1026" s="169" t="str">
        <f>"63053486013916"</f>
        <v>63053486013916</v>
      </c>
      <c r="E1026" s="169" t="str">
        <f>"MCO005-2"</f>
        <v>MCO005-2</v>
      </c>
      <c r="F1026" s="169" t="s">
        <v>18811</v>
      </c>
      <c r="G1026" s="169">
        <v>10.0</v>
      </c>
      <c r="H1026" s="169">
        <v>8062.0</v>
      </c>
      <c r="I1026" s="169">
        <v>80620.0</v>
      </c>
      <c r="J1026" s="169">
        <v>0.0</v>
      </c>
      <c r="K1026" s="169">
        <v>10.0</v>
      </c>
      <c r="L1026" s="169">
        <v>0.0</v>
      </c>
    </row>
    <row r="1027" ht="14.25" customHeight="1">
      <c r="A1027" s="169" t="s">
        <v>12439</v>
      </c>
      <c r="B1027" s="169" t="s">
        <v>12439</v>
      </c>
      <c r="C1027" s="169" t="s">
        <v>17106</v>
      </c>
      <c r="D1027" s="169" t="str">
        <f>"63053486110406"</f>
        <v>63053486110406</v>
      </c>
      <c r="E1027" s="169" t="str">
        <f>"MCO071-1"</f>
        <v>MCO071-1</v>
      </c>
      <c r="F1027" s="169" t="s">
        <v>18811</v>
      </c>
      <c r="G1027" s="169">
        <v>3.0</v>
      </c>
      <c r="H1027" s="169">
        <v>8062.0</v>
      </c>
      <c r="I1027" s="169">
        <v>24186.0</v>
      </c>
      <c r="J1027" s="169">
        <v>0.0</v>
      </c>
      <c r="K1027" s="169">
        <v>3.0</v>
      </c>
      <c r="L1027" s="169">
        <v>0.0</v>
      </c>
    </row>
    <row r="1028" ht="14.25" customHeight="1">
      <c r="A1028" s="169" t="s">
        <v>12439</v>
      </c>
      <c r="B1028" s="169" t="s">
        <v>12439</v>
      </c>
      <c r="C1028" s="169" t="s">
        <v>17105</v>
      </c>
      <c r="D1028" s="169" t="str">
        <f>"63053486116986"</f>
        <v>63053486116986</v>
      </c>
      <c r="E1028" s="169" t="str">
        <f>"MCO071-2"</f>
        <v>MCO071-2</v>
      </c>
      <c r="F1028" s="169" t="s">
        <v>18811</v>
      </c>
      <c r="G1028" s="169">
        <v>12.0</v>
      </c>
      <c r="H1028" s="169">
        <v>8062.0</v>
      </c>
      <c r="I1028" s="169">
        <v>96744.0</v>
      </c>
      <c r="J1028" s="169">
        <v>0.0</v>
      </c>
      <c r="K1028" s="169">
        <v>12.0</v>
      </c>
      <c r="L1028" s="169">
        <v>0.0</v>
      </c>
    </row>
    <row r="1029" ht="14.25" customHeight="1">
      <c r="A1029" s="169" t="s">
        <v>12439</v>
      </c>
      <c r="B1029" s="169" t="s">
        <v>12439</v>
      </c>
      <c r="C1029" s="169" t="s">
        <v>17104</v>
      </c>
      <c r="D1029" s="169" t="str">
        <f>"63053486104714"</f>
        <v>63053486104714</v>
      </c>
      <c r="E1029" s="169" t="str">
        <f>"MCO071"</f>
        <v>MCO071</v>
      </c>
      <c r="F1029" s="169" t="s">
        <v>18811</v>
      </c>
      <c r="G1029" s="169">
        <v>4.0</v>
      </c>
      <c r="H1029" s="169">
        <v>8062.0</v>
      </c>
      <c r="I1029" s="169">
        <v>32248.0</v>
      </c>
      <c r="J1029" s="169">
        <v>0.0</v>
      </c>
      <c r="K1029" s="169">
        <v>4.0</v>
      </c>
      <c r="L1029" s="169">
        <v>0.0</v>
      </c>
    </row>
    <row r="1030" ht="14.25" customHeight="1">
      <c r="A1030" s="169" t="s">
        <v>12439</v>
      </c>
      <c r="B1030" s="169" t="s">
        <v>12439</v>
      </c>
      <c r="C1030" s="169" t="s">
        <v>17099</v>
      </c>
      <c r="D1030" s="169" t="str">
        <f>"63053486062466"</f>
        <v>63053486062466</v>
      </c>
      <c r="E1030" s="169" t="str">
        <f>"MCO008-1"</f>
        <v>MCO008-1</v>
      </c>
      <c r="F1030" s="169" t="s">
        <v>18811</v>
      </c>
      <c r="G1030" s="169">
        <v>8.0</v>
      </c>
      <c r="H1030" s="169">
        <v>8062.0</v>
      </c>
      <c r="I1030" s="169">
        <v>64496.0</v>
      </c>
      <c r="J1030" s="169">
        <v>0.0</v>
      </c>
      <c r="K1030" s="169">
        <v>8.0</v>
      </c>
      <c r="L1030" s="169">
        <v>0.0</v>
      </c>
    </row>
    <row r="1031" ht="14.25" customHeight="1">
      <c r="A1031" s="169" t="s">
        <v>12439</v>
      </c>
      <c r="B1031" s="169" t="s">
        <v>12439</v>
      </c>
      <c r="C1031" s="169" t="s">
        <v>17098</v>
      </c>
      <c r="D1031" s="169" t="str">
        <f>"63053486068283"</f>
        <v>63053486068283</v>
      </c>
      <c r="E1031" s="169" t="str">
        <f>"MCO008-2"</f>
        <v>MCO008-2</v>
      </c>
      <c r="F1031" s="169" t="s">
        <v>18811</v>
      </c>
      <c r="G1031" s="169">
        <v>4.0</v>
      </c>
      <c r="H1031" s="169">
        <v>8062.0</v>
      </c>
      <c r="I1031" s="169">
        <v>32248.0</v>
      </c>
      <c r="J1031" s="169">
        <v>0.0</v>
      </c>
      <c r="K1031" s="169">
        <v>4.0</v>
      </c>
      <c r="L1031" s="169">
        <v>0.0</v>
      </c>
    </row>
    <row r="1032" ht="14.25" customHeight="1">
      <c r="A1032" s="169" t="s">
        <v>12439</v>
      </c>
      <c r="B1032" s="169" t="s">
        <v>12439</v>
      </c>
      <c r="C1032" s="169" t="s">
        <v>17097</v>
      </c>
      <c r="D1032" s="169" t="str">
        <f>"63053486056950"</f>
        <v>63053486056950</v>
      </c>
      <c r="E1032" s="169" t="str">
        <f>"MCO008"</f>
        <v>MCO008</v>
      </c>
      <c r="F1032" s="169" t="s">
        <v>18811</v>
      </c>
      <c r="G1032" s="169">
        <v>10.0</v>
      </c>
      <c r="H1032" s="169">
        <v>8062.0</v>
      </c>
      <c r="I1032" s="169">
        <v>80620.0</v>
      </c>
      <c r="J1032" s="169">
        <v>0.0</v>
      </c>
      <c r="K1032" s="169">
        <v>10.0</v>
      </c>
      <c r="L1032" s="169">
        <v>0.0</v>
      </c>
    </row>
    <row r="1033" ht="14.25" customHeight="1">
      <c r="A1033" s="169" t="s">
        <v>12439</v>
      </c>
      <c r="B1033" s="169" t="s">
        <v>12439</v>
      </c>
      <c r="C1033" s="169" t="s">
        <v>17094</v>
      </c>
      <c r="D1033" s="169" t="str">
        <f>"63053486070619"</f>
        <v>63053486070619</v>
      </c>
      <c r="E1033" s="169" t="str">
        <f>"MCO070-1"</f>
        <v>MCO070-1</v>
      </c>
      <c r="F1033" s="169" t="s">
        <v>18811</v>
      </c>
      <c r="G1033" s="169">
        <v>10.0</v>
      </c>
      <c r="H1033" s="169">
        <v>8062.0</v>
      </c>
      <c r="I1033" s="169">
        <v>80620.0</v>
      </c>
      <c r="J1033" s="169">
        <v>0.0</v>
      </c>
      <c r="K1033" s="169">
        <v>10.0</v>
      </c>
      <c r="L1033" s="169">
        <v>1.0</v>
      </c>
    </row>
    <row r="1034" ht="14.25" customHeight="1">
      <c r="A1034" s="169" t="s">
        <v>12439</v>
      </c>
      <c r="B1034" s="169" t="s">
        <v>12439</v>
      </c>
      <c r="C1034" s="169" t="s">
        <v>17093</v>
      </c>
      <c r="D1034" s="169" t="str">
        <f>"63053486076849"</f>
        <v>63053486076849</v>
      </c>
      <c r="E1034" s="169" t="str">
        <f>"MCO070-2"</f>
        <v>MCO070-2</v>
      </c>
      <c r="F1034" s="169" t="s">
        <v>18811</v>
      </c>
      <c r="G1034" s="169">
        <v>8.0</v>
      </c>
      <c r="H1034" s="169">
        <v>8062.0</v>
      </c>
      <c r="I1034" s="169">
        <v>64496.0</v>
      </c>
      <c r="J1034" s="169">
        <v>0.0</v>
      </c>
      <c r="K1034" s="169">
        <v>8.0</v>
      </c>
      <c r="L1034" s="169">
        <v>0.0</v>
      </c>
    </row>
    <row r="1035" ht="14.25" customHeight="1">
      <c r="A1035" s="169" t="s">
        <v>12439</v>
      </c>
      <c r="B1035" s="169" t="s">
        <v>12439</v>
      </c>
      <c r="C1035" s="169" t="s">
        <v>17092</v>
      </c>
      <c r="D1035" s="169" t="str">
        <f>"63053486064441"</f>
        <v>63053486064441</v>
      </c>
      <c r="E1035" s="169" t="str">
        <f>"MCO070"</f>
        <v>MCO070</v>
      </c>
      <c r="F1035" s="169" t="s">
        <v>18811</v>
      </c>
      <c r="G1035" s="169">
        <v>2.0</v>
      </c>
      <c r="H1035" s="169">
        <v>8062.0</v>
      </c>
      <c r="I1035" s="169">
        <v>16124.0</v>
      </c>
      <c r="J1035" s="169">
        <v>0.0</v>
      </c>
      <c r="K1035" s="169">
        <v>2.0</v>
      </c>
      <c r="L1035" s="169">
        <v>0.0</v>
      </c>
    </row>
    <row r="1036" ht="14.25" customHeight="1">
      <c r="A1036" s="169" t="s">
        <v>12439</v>
      </c>
      <c r="B1036" s="169" t="s">
        <v>12439</v>
      </c>
      <c r="C1036" s="169" t="s">
        <v>17091</v>
      </c>
      <c r="D1036" s="169" t="str">
        <f>"1643663985397"</f>
        <v>1643663985397</v>
      </c>
      <c r="E1036" s="169" t="str">
        <f>"MCO162-1"</f>
        <v>MCO162-1</v>
      </c>
      <c r="F1036" s="169" t="s">
        <v>18811</v>
      </c>
      <c r="G1036" s="169">
        <v>4.0</v>
      </c>
      <c r="H1036" s="169">
        <v>8062.0</v>
      </c>
      <c r="I1036" s="169">
        <v>32248.0</v>
      </c>
      <c r="J1036" s="169">
        <v>0.0</v>
      </c>
      <c r="K1036" s="169">
        <v>4.0</v>
      </c>
      <c r="L1036" s="169">
        <v>0.0</v>
      </c>
    </row>
    <row r="1037" ht="14.25" customHeight="1">
      <c r="A1037" s="169" t="s">
        <v>12439</v>
      </c>
      <c r="B1037" s="169" t="s">
        <v>12439</v>
      </c>
      <c r="C1037" s="169" t="s">
        <v>17090</v>
      </c>
      <c r="D1037" s="169" t="str">
        <f>"1643664001933"</f>
        <v>1643664001933</v>
      </c>
      <c r="E1037" s="169" t="str">
        <f>"MCO162-2"</f>
        <v>MCO162-2</v>
      </c>
      <c r="F1037" s="169" t="s">
        <v>18811</v>
      </c>
      <c r="G1037" s="169">
        <v>4.0</v>
      </c>
      <c r="H1037" s="169">
        <v>8062.0</v>
      </c>
      <c r="I1037" s="169">
        <v>32248.0</v>
      </c>
      <c r="J1037" s="169">
        <v>1.0</v>
      </c>
      <c r="K1037" s="169">
        <v>3.0</v>
      </c>
      <c r="L1037" s="169">
        <v>0.0</v>
      </c>
    </row>
    <row r="1038" ht="14.25" customHeight="1">
      <c r="A1038" s="169" t="s">
        <v>12439</v>
      </c>
      <c r="B1038" s="169" t="s">
        <v>12439</v>
      </c>
      <c r="C1038" s="169" t="s">
        <v>17089</v>
      </c>
      <c r="D1038" s="169" t="str">
        <f>"1643663959762"</f>
        <v>1643663959762</v>
      </c>
      <c r="E1038" s="169" t="str">
        <f>"MCO162"</f>
        <v>MCO162</v>
      </c>
      <c r="F1038" s="169" t="s">
        <v>18811</v>
      </c>
      <c r="G1038" s="169">
        <v>5.0</v>
      </c>
      <c r="H1038" s="169">
        <v>8062.0</v>
      </c>
      <c r="I1038" s="169">
        <v>40310.0</v>
      </c>
      <c r="J1038" s="169">
        <v>0.0</v>
      </c>
      <c r="K1038" s="169">
        <v>5.0</v>
      </c>
      <c r="L1038" s="169">
        <v>0.0</v>
      </c>
    </row>
    <row r="1039" ht="14.25" customHeight="1">
      <c r="A1039" s="169" t="s">
        <v>12439</v>
      </c>
      <c r="B1039" s="169" t="s">
        <v>12439</v>
      </c>
      <c r="C1039" s="169" t="s">
        <v>17088</v>
      </c>
      <c r="D1039" s="169" t="str">
        <f>"63053486378719"</f>
        <v>63053486378719</v>
      </c>
      <c r="E1039" s="169" t="str">
        <f>"MCO044"</f>
        <v>MCO044</v>
      </c>
      <c r="F1039" s="169" t="s">
        <v>18811</v>
      </c>
      <c r="G1039" s="169">
        <v>6.0</v>
      </c>
      <c r="H1039" s="169">
        <v>5037.0</v>
      </c>
      <c r="I1039" s="169">
        <v>30222.0</v>
      </c>
      <c r="J1039" s="169">
        <v>0.0</v>
      </c>
      <c r="K1039" s="169">
        <v>6.0</v>
      </c>
      <c r="L1039" s="169">
        <v>0.0</v>
      </c>
    </row>
    <row r="1040" ht="14.25" customHeight="1">
      <c r="A1040" s="169" t="s">
        <v>12439</v>
      </c>
      <c r="B1040" s="169" t="s">
        <v>12439</v>
      </c>
      <c r="C1040" s="169" t="s">
        <v>17087</v>
      </c>
      <c r="D1040" s="169" t="str">
        <f>"63053486371660"</f>
        <v>63053486371660</v>
      </c>
      <c r="E1040" s="169" t="str">
        <f>"MCO042"</f>
        <v>MCO042</v>
      </c>
      <c r="F1040" s="169" t="s">
        <v>18811</v>
      </c>
      <c r="G1040" s="169">
        <v>3.0</v>
      </c>
      <c r="H1040" s="169">
        <v>5037.0</v>
      </c>
      <c r="I1040" s="169">
        <v>15111.0</v>
      </c>
      <c r="J1040" s="169">
        <v>0.0</v>
      </c>
      <c r="K1040" s="169">
        <v>3.0</v>
      </c>
      <c r="L1040" s="169">
        <v>1.0</v>
      </c>
    </row>
    <row r="1041" ht="14.25" customHeight="1">
      <c r="A1041" s="169" t="s">
        <v>12439</v>
      </c>
      <c r="B1041" s="169" t="s">
        <v>12439</v>
      </c>
      <c r="C1041" s="169" t="s">
        <v>17086</v>
      </c>
      <c r="D1041" s="169" t="str">
        <f>"63053486303323"</f>
        <v>63053486303323</v>
      </c>
      <c r="E1041" s="169" t="str">
        <f>"MCO039"</f>
        <v>MCO039</v>
      </c>
      <c r="F1041" s="169" t="s">
        <v>18811</v>
      </c>
      <c r="G1041" s="169">
        <v>3.0</v>
      </c>
      <c r="H1041" s="169">
        <v>5037.0</v>
      </c>
      <c r="I1041" s="169">
        <v>15111.0</v>
      </c>
      <c r="J1041" s="169">
        <v>0.0</v>
      </c>
      <c r="K1041" s="169">
        <v>3.0</v>
      </c>
      <c r="L1041" s="169">
        <v>0.0</v>
      </c>
    </row>
    <row r="1042" ht="14.25" customHeight="1">
      <c r="A1042" s="169" t="s">
        <v>12439</v>
      </c>
      <c r="B1042" s="169" t="s">
        <v>12439</v>
      </c>
      <c r="C1042" s="169" t="s">
        <v>17085</v>
      </c>
      <c r="D1042" s="169" t="str">
        <f>"63053486391520"</f>
        <v>63053486391520</v>
      </c>
      <c r="E1042" s="169" t="str">
        <f>"MCO043"</f>
        <v>MCO043</v>
      </c>
      <c r="F1042" s="169" t="s">
        <v>18811</v>
      </c>
      <c r="G1042" s="169">
        <v>6.0</v>
      </c>
      <c r="H1042" s="169">
        <v>5037.0</v>
      </c>
      <c r="I1042" s="169">
        <v>30222.0</v>
      </c>
      <c r="J1042" s="169">
        <v>0.0</v>
      </c>
      <c r="K1042" s="169">
        <v>6.0</v>
      </c>
      <c r="L1042" s="169">
        <v>0.0</v>
      </c>
    </row>
    <row r="1043" ht="14.25" customHeight="1">
      <c r="A1043" s="169" t="s">
        <v>12439</v>
      </c>
      <c r="B1043" s="169" t="s">
        <v>12439</v>
      </c>
      <c r="C1043" s="169" t="s">
        <v>17084</v>
      </c>
      <c r="D1043" s="169" t="str">
        <f>"1642432413766"</f>
        <v>1642432413766</v>
      </c>
      <c r="E1043" s="169" t="str">
        <f>"MCO161"</f>
        <v>MCO161</v>
      </c>
      <c r="F1043" s="169" t="s">
        <v>18811</v>
      </c>
      <c r="G1043" s="169">
        <v>9.0</v>
      </c>
      <c r="H1043" s="169">
        <v>5037.0</v>
      </c>
      <c r="I1043" s="169">
        <v>45333.0</v>
      </c>
      <c r="J1043" s="169">
        <v>0.0</v>
      </c>
      <c r="K1043" s="169">
        <v>9.0</v>
      </c>
      <c r="L1043" s="169">
        <v>0.0</v>
      </c>
    </row>
    <row r="1044" ht="14.25" customHeight="1">
      <c r="A1044" s="169" t="s">
        <v>12439</v>
      </c>
      <c r="B1044" s="169" t="s">
        <v>12439</v>
      </c>
      <c r="C1044" s="169" t="s">
        <v>17083</v>
      </c>
      <c r="D1044" s="169" t="str">
        <f>"63053486687187"</f>
        <v>63053486687187</v>
      </c>
      <c r="E1044" s="169" t="str">
        <f>"MCO074"</f>
        <v>MCO074</v>
      </c>
      <c r="F1044" s="169" t="s">
        <v>18811</v>
      </c>
      <c r="G1044" s="169">
        <v>8.0</v>
      </c>
      <c r="H1044" s="169">
        <v>17138.0</v>
      </c>
      <c r="I1044" s="169">
        <v>137104.0</v>
      </c>
      <c r="J1044" s="169">
        <v>0.0</v>
      </c>
      <c r="K1044" s="169">
        <v>8.0</v>
      </c>
      <c r="L1044" s="169">
        <v>1.0</v>
      </c>
    </row>
    <row r="1045" ht="14.25" customHeight="1">
      <c r="A1045" s="169" t="s">
        <v>12439</v>
      </c>
      <c r="B1045" s="169" t="s">
        <v>12439</v>
      </c>
      <c r="C1045" s="169" t="s">
        <v>17082</v>
      </c>
      <c r="D1045" s="169" t="str">
        <f>"63053486704041"</f>
        <v>63053486704041</v>
      </c>
      <c r="E1045" s="169" t="str">
        <f>"MCO076"</f>
        <v>MCO076</v>
      </c>
      <c r="F1045" s="169" t="s">
        <v>18811</v>
      </c>
      <c r="G1045" s="169">
        <v>9.0</v>
      </c>
      <c r="H1045" s="169">
        <v>17138.0</v>
      </c>
      <c r="I1045" s="169">
        <v>154242.0</v>
      </c>
      <c r="J1045" s="169">
        <v>0.0</v>
      </c>
      <c r="K1045" s="169">
        <v>9.0</v>
      </c>
      <c r="L1045" s="169">
        <v>0.0</v>
      </c>
    </row>
    <row r="1046" ht="14.25" customHeight="1">
      <c r="A1046" s="169" t="s">
        <v>12439</v>
      </c>
      <c r="B1046" s="169" t="s">
        <v>12439</v>
      </c>
      <c r="C1046" s="169" t="s">
        <v>17081</v>
      </c>
      <c r="D1046" s="169" t="str">
        <f>"63053486667159"</f>
        <v>63053486667159</v>
      </c>
      <c r="E1046" s="169" t="str">
        <f>"MCO073"</f>
        <v>MCO073</v>
      </c>
      <c r="F1046" s="169" t="s">
        <v>18811</v>
      </c>
      <c r="G1046" s="169">
        <v>18.0</v>
      </c>
      <c r="H1046" s="169">
        <v>17138.0</v>
      </c>
      <c r="I1046" s="169">
        <v>308484.0</v>
      </c>
      <c r="J1046" s="169">
        <v>0.0</v>
      </c>
      <c r="K1046" s="169">
        <v>18.0</v>
      </c>
      <c r="L1046" s="169">
        <v>0.0</v>
      </c>
    </row>
    <row r="1047" ht="14.25" customHeight="1">
      <c r="A1047" s="169" t="s">
        <v>12439</v>
      </c>
      <c r="B1047" s="169" t="s">
        <v>12439</v>
      </c>
      <c r="C1047" s="169" t="s">
        <v>17080</v>
      </c>
      <c r="D1047" s="169" t="str">
        <f>"63053486464792"</f>
        <v>63053486464792</v>
      </c>
      <c r="E1047" s="169" t="str">
        <f>"MCO009"</f>
        <v>MCO009</v>
      </c>
      <c r="F1047" s="169" t="s">
        <v>18811</v>
      </c>
      <c r="G1047" s="169">
        <v>1.0</v>
      </c>
      <c r="H1047" s="169">
        <v>11592.0</v>
      </c>
      <c r="I1047" s="169">
        <v>11592.0</v>
      </c>
      <c r="J1047" s="169">
        <v>1.0</v>
      </c>
      <c r="K1047" s="169">
        <v>0.0</v>
      </c>
      <c r="L1047" s="169">
        <v>0.0</v>
      </c>
    </row>
    <row r="1048" ht="14.25" customHeight="1">
      <c r="A1048" s="169" t="s">
        <v>12439</v>
      </c>
      <c r="B1048" s="169" t="s">
        <v>12439</v>
      </c>
      <c r="C1048" s="169" t="s">
        <v>17079</v>
      </c>
      <c r="D1048" s="169" t="str">
        <f t="shared" ref="D1048:E1048" si="623">"MCO097"</f>
        <v>MCO097</v>
      </c>
      <c r="E1048" s="169" t="str">
        <f t="shared" si="623"/>
        <v>MCO097</v>
      </c>
      <c r="F1048" s="169" t="s">
        <v>18811</v>
      </c>
      <c r="G1048" s="169">
        <v>10.0</v>
      </c>
      <c r="H1048" s="169">
        <v>17138.0</v>
      </c>
      <c r="I1048" s="169">
        <v>171380.0</v>
      </c>
      <c r="J1048" s="169">
        <v>0.0</v>
      </c>
      <c r="K1048" s="169">
        <v>10.0</v>
      </c>
      <c r="L1048" s="169">
        <v>0.0</v>
      </c>
    </row>
    <row r="1049" ht="14.25" customHeight="1">
      <c r="A1049" s="169" t="s">
        <v>12439</v>
      </c>
      <c r="B1049" s="169" t="s">
        <v>12439</v>
      </c>
      <c r="C1049" s="169" t="s">
        <v>17078</v>
      </c>
      <c r="D1049" s="169" t="str">
        <f>"68330078098231"</f>
        <v>68330078098231</v>
      </c>
      <c r="E1049" s="169" t="str">
        <f>"MCO172"</f>
        <v>MCO172</v>
      </c>
      <c r="F1049" s="169" t="s">
        <v>18811</v>
      </c>
      <c r="G1049" s="169">
        <v>9.0</v>
      </c>
      <c r="H1049" s="169">
        <v>13417.6</v>
      </c>
      <c r="I1049" s="169">
        <v>120758.0</v>
      </c>
      <c r="J1049" s="169">
        <v>0.0</v>
      </c>
      <c r="K1049" s="169">
        <v>9.0</v>
      </c>
      <c r="L1049" s="169">
        <v>0.0</v>
      </c>
    </row>
    <row r="1050" ht="14.25" customHeight="1">
      <c r="A1050" s="169" t="s">
        <v>12439</v>
      </c>
      <c r="B1050" s="169" t="s">
        <v>12439</v>
      </c>
      <c r="C1050" s="169" t="s">
        <v>17077</v>
      </c>
      <c r="D1050" s="169" t="str">
        <f>"68330083248592"</f>
        <v>68330083248592</v>
      </c>
      <c r="E1050" s="169" t="str">
        <f>"MCO175"</f>
        <v>MCO175</v>
      </c>
      <c r="F1050" s="169" t="s">
        <v>18811</v>
      </c>
      <c r="G1050" s="169">
        <v>12.0</v>
      </c>
      <c r="H1050" s="169">
        <v>12096.0</v>
      </c>
      <c r="I1050" s="169">
        <v>145152.0</v>
      </c>
      <c r="J1050" s="169">
        <v>0.0</v>
      </c>
      <c r="K1050" s="169">
        <v>12.0</v>
      </c>
      <c r="L1050" s="169">
        <v>0.0</v>
      </c>
    </row>
    <row r="1051" ht="14.25" customHeight="1">
      <c r="A1051" s="169" t="s">
        <v>12439</v>
      </c>
      <c r="B1051" s="169" t="s">
        <v>12439</v>
      </c>
      <c r="C1051" s="169" t="s">
        <v>17076</v>
      </c>
      <c r="D1051" s="169" t="str">
        <f>"68330076838911"</f>
        <v>68330076838911</v>
      </c>
      <c r="E1051" s="169" t="str">
        <f>"MCO171"</f>
        <v>MCO171</v>
      </c>
      <c r="F1051" s="169" t="s">
        <v>18811</v>
      </c>
      <c r="G1051" s="169">
        <v>9.0</v>
      </c>
      <c r="H1051" s="169">
        <v>12096.0</v>
      </c>
      <c r="I1051" s="169">
        <v>108864.0</v>
      </c>
      <c r="J1051" s="169">
        <v>0.0</v>
      </c>
      <c r="K1051" s="169">
        <v>9.0</v>
      </c>
      <c r="L1051" s="169">
        <v>0.0</v>
      </c>
    </row>
    <row r="1052" ht="14.25" customHeight="1">
      <c r="A1052" s="169" t="s">
        <v>12439</v>
      </c>
      <c r="B1052" s="169" t="s">
        <v>12439</v>
      </c>
      <c r="C1052" s="169" t="s">
        <v>17075</v>
      </c>
      <c r="D1052" s="169" t="str">
        <f>"68330075621520"</f>
        <v>68330075621520</v>
      </c>
      <c r="E1052" s="169" t="str">
        <f>"MCO170"</f>
        <v>MCO170</v>
      </c>
      <c r="F1052" s="169" t="s">
        <v>18811</v>
      </c>
      <c r="G1052" s="169">
        <v>4.0</v>
      </c>
      <c r="H1052" s="169">
        <v>12096.0</v>
      </c>
      <c r="I1052" s="169">
        <v>48384.0</v>
      </c>
      <c r="J1052" s="169">
        <v>0.0</v>
      </c>
      <c r="K1052" s="169">
        <v>4.0</v>
      </c>
      <c r="L1052" s="169">
        <v>0.0</v>
      </c>
    </row>
    <row r="1053" ht="14.25" customHeight="1">
      <c r="A1053" s="169" t="s">
        <v>12439</v>
      </c>
      <c r="B1053" s="169" t="s">
        <v>12439</v>
      </c>
      <c r="C1053" s="169" t="s">
        <v>17074</v>
      </c>
      <c r="D1053" s="169" t="str">
        <f>"68330079660255"</f>
        <v>68330079660255</v>
      </c>
      <c r="E1053" s="169" t="str">
        <f>"MCO173"</f>
        <v>MCO173</v>
      </c>
      <c r="F1053" s="169" t="s">
        <v>18811</v>
      </c>
      <c r="G1053" s="169">
        <v>11.0</v>
      </c>
      <c r="H1053" s="169">
        <v>12366.3</v>
      </c>
      <c r="I1053" s="169">
        <v>136030.0</v>
      </c>
      <c r="J1053" s="169">
        <v>0.0</v>
      </c>
      <c r="K1053" s="169">
        <v>11.0</v>
      </c>
      <c r="L1053" s="169">
        <v>0.0</v>
      </c>
    </row>
    <row r="1054" ht="14.25" customHeight="1">
      <c r="A1054" s="169" t="s">
        <v>12439</v>
      </c>
      <c r="B1054" s="169" t="s">
        <v>12439</v>
      </c>
      <c r="C1054" s="169" t="s">
        <v>17073</v>
      </c>
      <c r="D1054" s="169" t="str">
        <f>"68330084553352"</f>
        <v>68330084553352</v>
      </c>
      <c r="E1054" s="169" t="str">
        <f>"MCO176"</f>
        <v>MCO176</v>
      </c>
      <c r="F1054" s="169" t="s">
        <v>18811</v>
      </c>
      <c r="G1054" s="169">
        <v>5.0</v>
      </c>
      <c r="H1054" s="169">
        <v>12096.0</v>
      </c>
      <c r="I1054" s="169">
        <v>60480.0</v>
      </c>
      <c r="J1054" s="169">
        <v>0.0</v>
      </c>
      <c r="K1054" s="169">
        <v>5.0</v>
      </c>
      <c r="L1054" s="169">
        <v>0.0</v>
      </c>
    </row>
    <row r="1055" ht="14.25" customHeight="1">
      <c r="A1055" s="169" t="s">
        <v>12439</v>
      </c>
      <c r="B1055" s="169" t="s">
        <v>12439</v>
      </c>
      <c r="C1055" s="169" t="s">
        <v>17072</v>
      </c>
      <c r="D1055" s="169" t="str">
        <f>"68330081531544"</f>
        <v>68330081531544</v>
      </c>
      <c r="E1055" s="169" t="str">
        <f>"MCO174"</f>
        <v>MCO174</v>
      </c>
      <c r="F1055" s="169" t="s">
        <v>18811</v>
      </c>
      <c r="G1055" s="169">
        <v>4.0</v>
      </c>
      <c r="H1055" s="169">
        <v>12096.0</v>
      </c>
      <c r="I1055" s="169">
        <v>48384.0</v>
      </c>
      <c r="J1055" s="169">
        <v>0.0</v>
      </c>
      <c r="K1055" s="169">
        <v>4.0</v>
      </c>
      <c r="L1055" s="169">
        <v>0.0</v>
      </c>
    </row>
    <row r="1056" ht="14.25" customHeight="1">
      <c r="A1056" s="169" t="s">
        <v>12439</v>
      </c>
      <c r="B1056" s="169" t="s">
        <v>12439</v>
      </c>
      <c r="C1056" s="169" t="s">
        <v>17071</v>
      </c>
      <c r="D1056" s="169" t="str">
        <f>"63053485990449"</f>
        <v>63053485990449</v>
      </c>
      <c r="E1056" s="169" t="str">
        <f>"MCO051-1"</f>
        <v>MCO051-1</v>
      </c>
      <c r="F1056" s="169" t="s">
        <v>18811</v>
      </c>
      <c r="G1056" s="169">
        <v>9.0</v>
      </c>
      <c r="H1056" s="169">
        <v>9449.0</v>
      </c>
      <c r="I1056" s="169">
        <v>85041.0</v>
      </c>
      <c r="J1056" s="169">
        <v>0.0</v>
      </c>
      <c r="K1056" s="169">
        <v>9.0</v>
      </c>
      <c r="L1056" s="169">
        <v>0.0</v>
      </c>
    </row>
    <row r="1057" ht="14.25" customHeight="1">
      <c r="A1057" s="169" t="s">
        <v>12439</v>
      </c>
      <c r="B1057" s="169" t="s">
        <v>12439</v>
      </c>
      <c r="C1057" s="169" t="s">
        <v>17070</v>
      </c>
      <c r="D1057" s="169" t="str">
        <f>"63053486008541"</f>
        <v>63053486008541</v>
      </c>
      <c r="E1057" s="169" t="str">
        <f>"MCO051-2"</f>
        <v>MCO051-2</v>
      </c>
      <c r="F1057" s="169" t="s">
        <v>18811</v>
      </c>
      <c r="G1057" s="169">
        <v>9.0</v>
      </c>
      <c r="H1057" s="169">
        <v>9449.0</v>
      </c>
      <c r="I1057" s="169">
        <v>85041.0</v>
      </c>
      <c r="J1057" s="169">
        <v>0.0</v>
      </c>
      <c r="K1057" s="169">
        <v>9.0</v>
      </c>
      <c r="L1057" s="169">
        <v>0.0</v>
      </c>
    </row>
    <row r="1058" ht="14.25" customHeight="1">
      <c r="A1058" s="169" t="s">
        <v>12439</v>
      </c>
      <c r="B1058" s="169" t="s">
        <v>12439</v>
      </c>
      <c r="C1058" s="169" t="s">
        <v>17069</v>
      </c>
      <c r="D1058" s="169" t="str">
        <f>"63053485984756"</f>
        <v>63053485984756</v>
      </c>
      <c r="E1058" s="169" t="str">
        <f>"MCO051"</f>
        <v>MCO051</v>
      </c>
      <c r="F1058" s="169" t="s">
        <v>18811</v>
      </c>
      <c r="G1058" s="169">
        <v>9.0</v>
      </c>
      <c r="H1058" s="169">
        <v>9449.0</v>
      </c>
      <c r="I1058" s="169">
        <v>85041.0</v>
      </c>
      <c r="J1058" s="169">
        <v>0.0</v>
      </c>
      <c r="K1058" s="169">
        <v>9.0</v>
      </c>
      <c r="L1058" s="169">
        <v>0.0</v>
      </c>
    </row>
    <row r="1059" ht="14.25" customHeight="1">
      <c r="A1059" s="169" t="s">
        <v>12439</v>
      </c>
      <c r="B1059" s="169" t="s">
        <v>12439</v>
      </c>
      <c r="C1059" s="169" t="s">
        <v>17068</v>
      </c>
      <c r="D1059" s="169" t="str">
        <f>"63053485949652"</f>
        <v>63053485949652</v>
      </c>
      <c r="E1059" s="169" t="str">
        <f>"MCO003-1"</f>
        <v>MCO003-1</v>
      </c>
      <c r="F1059" s="169" t="s">
        <v>18811</v>
      </c>
      <c r="G1059" s="169">
        <v>18.0</v>
      </c>
      <c r="H1059" s="169">
        <v>9449.0</v>
      </c>
      <c r="I1059" s="169">
        <v>170082.0</v>
      </c>
      <c r="J1059" s="169">
        <v>0.0</v>
      </c>
      <c r="K1059" s="169">
        <v>18.0</v>
      </c>
      <c r="L1059" s="169">
        <v>0.0</v>
      </c>
    </row>
    <row r="1060" ht="14.25" customHeight="1">
      <c r="A1060" s="169" t="s">
        <v>12439</v>
      </c>
      <c r="B1060" s="169" t="s">
        <v>12439</v>
      </c>
      <c r="C1060" s="169" t="s">
        <v>17067</v>
      </c>
      <c r="D1060" s="169" t="str">
        <f>"63053485954988"</f>
        <v>63053485954988</v>
      </c>
      <c r="E1060" s="169" t="str">
        <f>"MCO003-2"</f>
        <v>MCO003-2</v>
      </c>
      <c r="F1060" s="169" t="s">
        <v>18811</v>
      </c>
      <c r="G1060" s="169">
        <v>10.0</v>
      </c>
      <c r="H1060" s="169">
        <v>9448.9</v>
      </c>
      <c r="I1060" s="169">
        <v>94489.0</v>
      </c>
      <c r="J1060" s="169">
        <v>0.0</v>
      </c>
      <c r="K1060" s="169">
        <v>10.0</v>
      </c>
      <c r="L1060" s="169">
        <v>0.0</v>
      </c>
    </row>
    <row r="1061" ht="14.25" customHeight="1">
      <c r="A1061" s="169" t="s">
        <v>12439</v>
      </c>
      <c r="B1061" s="169" t="s">
        <v>12439</v>
      </c>
      <c r="C1061" s="169" t="s">
        <v>17066</v>
      </c>
      <c r="D1061" s="169" t="str">
        <f>"63053485933210"</f>
        <v>63053485933210</v>
      </c>
      <c r="E1061" s="169" t="str">
        <f>"MCO003"</f>
        <v>MCO003</v>
      </c>
      <c r="F1061" s="169" t="s">
        <v>18811</v>
      </c>
      <c r="G1061" s="169">
        <v>11.0</v>
      </c>
      <c r="H1061" s="169">
        <v>9449.0</v>
      </c>
      <c r="I1061" s="169">
        <v>103939.0</v>
      </c>
      <c r="J1061" s="169">
        <v>0.0</v>
      </c>
      <c r="K1061" s="169">
        <v>11.0</v>
      </c>
      <c r="L1061" s="169">
        <v>0.0</v>
      </c>
    </row>
    <row r="1062" ht="14.25" customHeight="1">
      <c r="A1062" s="169" t="s">
        <v>12439</v>
      </c>
      <c r="B1062" s="169" t="s">
        <v>12439</v>
      </c>
      <c r="C1062" s="169" t="s">
        <v>17065</v>
      </c>
      <c r="D1062" s="169" t="str">
        <f>"63053485936693"</f>
        <v>63053485936693</v>
      </c>
      <c r="E1062" s="169" t="str">
        <f>"MCO004-1"</f>
        <v>MCO004-1</v>
      </c>
      <c r="F1062" s="169" t="s">
        <v>18811</v>
      </c>
      <c r="G1062" s="169">
        <v>3.0</v>
      </c>
      <c r="H1062" s="169">
        <v>9449.0</v>
      </c>
      <c r="I1062" s="169">
        <v>28347.0</v>
      </c>
      <c r="J1062" s="169">
        <v>0.0</v>
      </c>
      <c r="K1062" s="169">
        <v>3.0</v>
      </c>
      <c r="L1062" s="169">
        <v>0.0</v>
      </c>
    </row>
    <row r="1063" ht="14.25" customHeight="1">
      <c r="A1063" s="169" t="s">
        <v>12439</v>
      </c>
      <c r="B1063" s="169" t="s">
        <v>12439</v>
      </c>
      <c r="C1063" s="169" t="s">
        <v>17064</v>
      </c>
      <c r="D1063" s="169" t="str">
        <f>"63053485945527"</f>
        <v>63053485945527</v>
      </c>
      <c r="E1063" s="169" t="str">
        <f>"MCO004-2"</f>
        <v>MCO004-2</v>
      </c>
      <c r="F1063" s="169" t="s">
        <v>18811</v>
      </c>
      <c r="G1063" s="169">
        <v>8.0</v>
      </c>
      <c r="H1063" s="169">
        <v>9449.0</v>
      </c>
      <c r="I1063" s="169">
        <v>75592.0</v>
      </c>
      <c r="J1063" s="169">
        <v>0.0</v>
      </c>
      <c r="K1063" s="169">
        <v>8.0</v>
      </c>
      <c r="L1063" s="169">
        <v>0.0</v>
      </c>
    </row>
    <row r="1064" ht="14.25" customHeight="1">
      <c r="A1064" s="169" t="s">
        <v>12439</v>
      </c>
      <c r="B1064" s="169" t="s">
        <v>12439</v>
      </c>
      <c r="C1064" s="169" t="s">
        <v>17063</v>
      </c>
      <c r="D1064" s="169" t="str">
        <f>"63053485929143"</f>
        <v>63053485929143</v>
      </c>
      <c r="E1064" s="169" t="str">
        <f>"MCO004"</f>
        <v>MCO004</v>
      </c>
      <c r="F1064" s="169" t="s">
        <v>18811</v>
      </c>
      <c r="G1064" s="169">
        <v>3.0</v>
      </c>
      <c r="H1064" s="169">
        <v>9449.0</v>
      </c>
      <c r="I1064" s="169">
        <v>28347.0</v>
      </c>
      <c r="J1064" s="169">
        <v>0.0</v>
      </c>
      <c r="K1064" s="169">
        <v>3.0</v>
      </c>
      <c r="L1064" s="169">
        <v>0.0</v>
      </c>
    </row>
    <row r="1065" ht="14.25" customHeight="1">
      <c r="A1065" s="169" t="s">
        <v>12439</v>
      </c>
      <c r="B1065" s="169" t="s">
        <v>12439</v>
      </c>
      <c r="C1065" s="169" t="s">
        <v>17062</v>
      </c>
      <c r="D1065" s="169" t="str">
        <f>"63053485892229"</f>
        <v>63053485892229</v>
      </c>
      <c r="E1065" s="169" t="str">
        <f>"MCO001-1"</f>
        <v>MCO001-1</v>
      </c>
      <c r="F1065" s="169" t="s">
        <v>18811</v>
      </c>
      <c r="G1065" s="169">
        <v>8.0</v>
      </c>
      <c r="H1065" s="169">
        <v>9449.0</v>
      </c>
      <c r="I1065" s="169">
        <v>75592.0</v>
      </c>
      <c r="J1065" s="169">
        <v>0.0</v>
      </c>
      <c r="K1065" s="169">
        <v>8.0</v>
      </c>
      <c r="L1065" s="169">
        <v>1.0</v>
      </c>
    </row>
    <row r="1066" ht="14.25" customHeight="1">
      <c r="A1066" s="169" t="s">
        <v>12439</v>
      </c>
      <c r="B1066" s="169" t="s">
        <v>12439</v>
      </c>
      <c r="C1066" s="169" t="s">
        <v>17061</v>
      </c>
      <c r="D1066" s="169" t="str">
        <f>"63053485877429"</f>
        <v>63053485877429</v>
      </c>
      <c r="E1066" s="169" t="str">
        <f>"MCO001"</f>
        <v>MCO001</v>
      </c>
      <c r="F1066" s="169" t="s">
        <v>18811</v>
      </c>
      <c r="G1066" s="169">
        <v>29.0</v>
      </c>
      <c r="H1066" s="169">
        <v>9449.0</v>
      </c>
      <c r="I1066" s="169">
        <v>274021.0</v>
      </c>
      <c r="J1066" s="169">
        <v>0.0</v>
      </c>
      <c r="K1066" s="169">
        <v>29.0</v>
      </c>
      <c r="L1066" s="169">
        <v>0.0</v>
      </c>
    </row>
    <row r="1067" ht="14.25" customHeight="1">
      <c r="A1067" s="169" t="s">
        <v>12439</v>
      </c>
      <c r="B1067" s="169" t="s">
        <v>12439</v>
      </c>
      <c r="C1067" s="169" t="s">
        <v>17060</v>
      </c>
      <c r="D1067" s="169" t="str">
        <f>"63053485892338"</f>
        <v>63053485892338</v>
      </c>
      <c r="E1067" s="169" t="str">
        <f>"MCO002-1"</f>
        <v>MCO002-1</v>
      </c>
      <c r="F1067" s="169" t="s">
        <v>18811</v>
      </c>
      <c r="G1067" s="169">
        <v>9.0</v>
      </c>
      <c r="H1067" s="169">
        <v>9449.0</v>
      </c>
      <c r="I1067" s="169">
        <v>85041.0</v>
      </c>
      <c r="J1067" s="169">
        <v>0.0</v>
      </c>
      <c r="K1067" s="169">
        <v>9.0</v>
      </c>
      <c r="L1067" s="169">
        <v>0.0</v>
      </c>
    </row>
    <row r="1068" ht="14.25" customHeight="1">
      <c r="A1068" s="169" t="s">
        <v>12439</v>
      </c>
      <c r="B1068" s="169" t="s">
        <v>12439</v>
      </c>
      <c r="C1068" s="169" t="s">
        <v>17059</v>
      </c>
      <c r="D1068" s="169" t="str">
        <f>"63053485897451"</f>
        <v>63053485897451</v>
      </c>
      <c r="E1068" s="169" t="str">
        <f>"MCO002-2"</f>
        <v>MCO002-2</v>
      </c>
      <c r="F1068" s="169" t="s">
        <v>18811</v>
      </c>
      <c r="G1068" s="169">
        <v>4.0</v>
      </c>
      <c r="H1068" s="169">
        <v>10865.5</v>
      </c>
      <c r="I1068" s="169">
        <v>43462.0</v>
      </c>
      <c r="J1068" s="169">
        <v>0.0</v>
      </c>
      <c r="K1068" s="169">
        <v>4.0</v>
      </c>
      <c r="L1068" s="169">
        <v>1.0</v>
      </c>
    </row>
    <row r="1069" ht="14.25" customHeight="1">
      <c r="A1069" s="169" t="s">
        <v>12439</v>
      </c>
      <c r="B1069" s="169" t="s">
        <v>12439</v>
      </c>
      <c r="C1069" s="169" t="s">
        <v>17058</v>
      </c>
      <c r="D1069" s="169" t="str">
        <f>"63053485877182"</f>
        <v>63053485877182</v>
      </c>
      <c r="E1069" s="169" t="str">
        <f>"MCO002"</f>
        <v>MCO002</v>
      </c>
      <c r="F1069" s="169" t="s">
        <v>18811</v>
      </c>
      <c r="G1069" s="169">
        <v>1.0</v>
      </c>
      <c r="H1069" s="169">
        <v>9449.0</v>
      </c>
      <c r="I1069" s="169">
        <v>9449.0</v>
      </c>
      <c r="J1069" s="169">
        <v>0.0</v>
      </c>
      <c r="K1069" s="169">
        <v>1.0</v>
      </c>
      <c r="L1069" s="169">
        <v>0.0</v>
      </c>
    </row>
    <row r="1070" ht="14.25" customHeight="1">
      <c r="A1070" s="169" t="s">
        <v>12439</v>
      </c>
      <c r="B1070" s="169" t="s">
        <v>12439</v>
      </c>
      <c r="C1070" s="169" t="s">
        <v>17057</v>
      </c>
      <c r="D1070" s="169" t="str">
        <f>"63053485992325"</f>
        <v>63053485992325</v>
      </c>
      <c r="E1070" s="169" t="str">
        <f>"MCO053-1"</f>
        <v>MCO053-1</v>
      </c>
      <c r="F1070" s="169" t="s">
        <v>18811</v>
      </c>
      <c r="G1070" s="169">
        <v>3.0</v>
      </c>
      <c r="H1070" s="169">
        <v>9449.0</v>
      </c>
      <c r="I1070" s="169">
        <v>28347.0</v>
      </c>
      <c r="J1070" s="169">
        <v>0.0</v>
      </c>
      <c r="K1070" s="169">
        <v>3.0</v>
      </c>
      <c r="L1070" s="169">
        <v>1.0</v>
      </c>
    </row>
    <row r="1071" ht="14.25" customHeight="1">
      <c r="A1071" s="169" t="s">
        <v>12439</v>
      </c>
      <c r="B1071" s="169" t="s">
        <v>12439</v>
      </c>
      <c r="C1071" s="169" t="s">
        <v>17056</v>
      </c>
      <c r="D1071" s="169" t="str">
        <f>"63053485998830"</f>
        <v>63053485998830</v>
      </c>
      <c r="E1071" s="169" t="str">
        <f>"MCO053-2"</f>
        <v>MCO053-2</v>
      </c>
      <c r="F1071" s="169" t="s">
        <v>18811</v>
      </c>
      <c r="G1071" s="169">
        <v>18.0</v>
      </c>
      <c r="H1071" s="169">
        <v>9449.0</v>
      </c>
      <c r="I1071" s="169">
        <v>170082.0</v>
      </c>
      <c r="J1071" s="169">
        <v>0.0</v>
      </c>
      <c r="K1071" s="169">
        <v>18.0</v>
      </c>
      <c r="L1071" s="169">
        <v>2.0</v>
      </c>
    </row>
    <row r="1072" ht="14.25" customHeight="1">
      <c r="A1072" s="169" t="s">
        <v>12439</v>
      </c>
      <c r="B1072" s="169" t="s">
        <v>12439</v>
      </c>
      <c r="C1072" s="169" t="s">
        <v>17055</v>
      </c>
      <c r="D1072" s="169" t="str">
        <f>"63053485984078"</f>
        <v>63053485984078</v>
      </c>
      <c r="E1072" s="169" t="str">
        <f>"MCO053"</f>
        <v>MCO053</v>
      </c>
      <c r="F1072" s="169" t="s">
        <v>18811</v>
      </c>
      <c r="G1072" s="169">
        <v>1.0</v>
      </c>
      <c r="H1072" s="169">
        <v>9449.0</v>
      </c>
      <c r="I1072" s="169">
        <v>9449.0</v>
      </c>
      <c r="J1072" s="169">
        <v>0.0</v>
      </c>
      <c r="K1072" s="169">
        <v>1.0</v>
      </c>
      <c r="L1072" s="169">
        <v>0.0</v>
      </c>
    </row>
    <row r="1073" ht="14.25" customHeight="1">
      <c r="A1073" s="169" t="s">
        <v>12439</v>
      </c>
      <c r="B1073" s="169" t="s">
        <v>12439</v>
      </c>
      <c r="C1073" s="169" t="s">
        <v>17054</v>
      </c>
      <c r="D1073" s="169" t="str">
        <f>"1642431912161"</f>
        <v>1642431912161</v>
      </c>
      <c r="E1073" s="169" t="str">
        <f>"MCO160-1"</f>
        <v>MCO160-1</v>
      </c>
      <c r="F1073" s="169" t="s">
        <v>18811</v>
      </c>
      <c r="G1073" s="169">
        <v>10.0</v>
      </c>
      <c r="H1073" s="169">
        <v>9449.0</v>
      </c>
      <c r="I1073" s="169">
        <v>94490.0</v>
      </c>
      <c r="J1073" s="169">
        <v>0.0</v>
      </c>
      <c r="K1073" s="169">
        <v>10.0</v>
      </c>
      <c r="L1073" s="169">
        <v>0.0</v>
      </c>
    </row>
    <row r="1074" ht="14.25" customHeight="1">
      <c r="A1074" s="169" t="s">
        <v>12439</v>
      </c>
      <c r="B1074" s="169" t="s">
        <v>12439</v>
      </c>
      <c r="C1074" s="169" t="s">
        <v>17053</v>
      </c>
      <c r="D1074" s="169" t="str">
        <f>"1642431880687"</f>
        <v>1642431880687</v>
      </c>
      <c r="E1074" s="169" t="str">
        <f>"MCO160-2"</f>
        <v>MCO160-2</v>
      </c>
      <c r="F1074" s="169" t="s">
        <v>18811</v>
      </c>
      <c r="G1074" s="169">
        <v>6.0</v>
      </c>
      <c r="H1074" s="169">
        <v>9449.0</v>
      </c>
      <c r="I1074" s="169">
        <v>56694.0</v>
      </c>
      <c r="J1074" s="169">
        <v>0.0</v>
      </c>
      <c r="K1074" s="169">
        <v>6.0</v>
      </c>
      <c r="L1074" s="169">
        <v>0.0</v>
      </c>
    </row>
    <row r="1075" ht="14.25" customHeight="1">
      <c r="A1075" s="169" t="s">
        <v>12439</v>
      </c>
      <c r="B1075" s="169" t="s">
        <v>12439</v>
      </c>
      <c r="C1075" s="169" t="s">
        <v>17052</v>
      </c>
      <c r="D1075" s="169" t="str">
        <f>"1642431899110"</f>
        <v>1642431899110</v>
      </c>
      <c r="E1075" s="169" t="str">
        <f>"MCO160"</f>
        <v>MCO160</v>
      </c>
      <c r="F1075" s="169" t="s">
        <v>18811</v>
      </c>
      <c r="G1075" s="169">
        <v>12.0</v>
      </c>
      <c r="H1075" s="169">
        <v>9449.0</v>
      </c>
      <c r="I1075" s="169">
        <v>113388.0</v>
      </c>
      <c r="J1075" s="169">
        <v>0.0</v>
      </c>
      <c r="K1075" s="169">
        <v>12.0</v>
      </c>
      <c r="L1075" s="169">
        <v>0.0</v>
      </c>
    </row>
    <row r="1076" ht="14.25" customHeight="1">
      <c r="A1076" s="169" t="s">
        <v>12439</v>
      </c>
      <c r="B1076" s="169" t="s">
        <v>12439</v>
      </c>
      <c r="C1076" s="169" t="s">
        <v>17051</v>
      </c>
      <c r="D1076" s="169" t="str">
        <f>"0470000099067"</f>
        <v>0470000099067</v>
      </c>
      <c r="E1076" s="169" t="str">
        <f>"MCO050"</f>
        <v>MCO050</v>
      </c>
      <c r="F1076" s="169" t="s">
        <v>18811</v>
      </c>
      <c r="G1076" s="169">
        <v>5.0</v>
      </c>
      <c r="H1076" s="169">
        <v>18146.0</v>
      </c>
      <c r="I1076" s="169">
        <v>90730.0</v>
      </c>
      <c r="J1076" s="169">
        <v>0.0</v>
      </c>
      <c r="K1076" s="169">
        <v>5.0</v>
      </c>
      <c r="L1076" s="169">
        <v>0.0</v>
      </c>
    </row>
    <row r="1077" ht="14.25" customHeight="1">
      <c r="A1077" s="169" t="s">
        <v>12439</v>
      </c>
      <c r="B1077" s="169" t="s">
        <v>12439</v>
      </c>
      <c r="C1077" s="169" t="s">
        <v>12715</v>
      </c>
      <c r="D1077" s="169" t="str">
        <f>"0764451239401"</f>
        <v>0764451239401</v>
      </c>
      <c r="E1077" s="169" t="str">
        <f>"MCO251-1"</f>
        <v>MCO251-1</v>
      </c>
      <c r="F1077" s="169" t="s">
        <v>18811</v>
      </c>
      <c r="G1077" s="169">
        <v>4.0</v>
      </c>
      <c r="H1077" s="169">
        <v>21840.0</v>
      </c>
      <c r="I1077" s="169">
        <v>87360.0</v>
      </c>
      <c r="J1077" s="169">
        <v>0.0</v>
      </c>
      <c r="K1077" s="169">
        <v>4.0</v>
      </c>
      <c r="L1077" s="169">
        <v>0.0</v>
      </c>
    </row>
    <row r="1078" ht="14.25" customHeight="1">
      <c r="A1078" s="169" t="s">
        <v>12439</v>
      </c>
      <c r="B1078" s="169" t="s">
        <v>12439</v>
      </c>
      <c r="C1078" s="169" t="s">
        <v>17050</v>
      </c>
      <c r="D1078" s="169" t="str">
        <f>"66240889886112"</f>
        <v>66240889886112</v>
      </c>
      <c r="E1078" s="169" t="str">
        <f>"MCO251"</f>
        <v>MCO251</v>
      </c>
      <c r="F1078" s="169" t="s">
        <v>18811</v>
      </c>
      <c r="G1078" s="169">
        <v>4.0</v>
      </c>
      <c r="H1078" s="169">
        <v>12095.5</v>
      </c>
      <c r="I1078" s="169">
        <v>48382.0</v>
      </c>
      <c r="J1078" s="169">
        <v>0.0</v>
      </c>
      <c r="K1078" s="169">
        <v>4.0</v>
      </c>
      <c r="L1078" s="169">
        <v>2.0</v>
      </c>
    </row>
    <row r="1079" ht="14.25" customHeight="1">
      <c r="A1079" s="169" t="s">
        <v>12439</v>
      </c>
      <c r="B1079" s="169" t="s">
        <v>12439</v>
      </c>
      <c r="C1079" s="169" t="s">
        <v>17049</v>
      </c>
      <c r="D1079" s="169" t="str">
        <f>"0764451239418"</f>
        <v>0764451239418</v>
      </c>
      <c r="E1079" s="169" t="str">
        <f>"MCO253-1"</f>
        <v>MCO253-1</v>
      </c>
      <c r="F1079" s="169" t="s">
        <v>18811</v>
      </c>
      <c r="G1079" s="169">
        <v>4.0</v>
      </c>
      <c r="H1079" s="169">
        <v>21840.0</v>
      </c>
      <c r="I1079" s="169">
        <v>87360.0</v>
      </c>
      <c r="J1079" s="169">
        <v>0.0</v>
      </c>
      <c r="K1079" s="169">
        <v>4.0</v>
      </c>
      <c r="L1079" s="169">
        <v>0.0</v>
      </c>
    </row>
    <row r="1080" ht="14.25" customHeight="1">
      <c r="A1080" s="169" t="s">
        <v>12439</v>
      </c>
      <c r="B1080" s="169" t="s">
        <v>12439</v>
      </c>
      <c r="C1080" s="169" t="s">
        <v>12719</v>
      </c>
      <c r="D1080" s="169" t="str">
        <f>"0764451239395"</f>
        <v>0764451239395</v>
      </c>
      <c r="E1080" s="169" t="str">
        <f>"MCO250-1"</f>
        <v>MCO250-1</v>
      </c>
      <c r="F1080" s="169" t="s">
        <v>18811</v>
      </c>
      <c r="G1080" s="169">
        <v>6.0</v>
      </c>
      <c r="H1080" s="169">
        <v>14851.2</v>
      </c>
      <c r="I1080" s="169">
        <v>89107.0</v>
      </c>
      <c r="J1080" s="169">
        <v>0.0</v>
      </c>
      <c r="K1080" s="169">
        <v>6.0</v>
      </c>
      <c r="L1080" s="169">
        <v>0.0</v>
      </c>
    </row>
    <row r="1081" ht="14.25" customHeight="1">
      <c r="A1081" s="169" t="s">
        <v>12439</v>
      </c>
      <c r="B1081" s="169" t="s">
        <v>12439</v>
      </c>
      <c r="C1081" s="169" t="s">
        <v>17048</v>
      </c>
      <c r="D1081" s="169" t="str">
        <f>"1655227139744"</f>
        <v>1655227139744</v>
      </c>
      <c r="E1081" s="169" t="str">
        <f>"MCO250"</f>
        <v>MCO250</v>
      </c>
      <c r="F1081" s="169" t="s">
        <v>18811</v>
      </c>
      <c r="G1081" s="169">
        <v>5.0</v>
      </c>
      <c r="H1081" s="169">
        <v>13104.0</v>
      </c>
      <c r="I1081" s="169">
        <v>65520.0</v>
      </c>
      <c r="J1081" s="169">
        <v>0.0</v>
      </c>
      <c r="K1081" s="169">
        <v>5.0</v>
      </c>
      <c r="L1081" s="169">
        <v>0.0</v>
      </c>
    </row>
    <row r="1082" ht="14.25" customHeight="1">
      <c r="A1082" s="169" t="s">
        <v>12439</v>
      </c>
      <c r="B1082" s="169" t="s">
        <v>12439</v>
      </c>
      <c r="C1082" s="169" t="s">
        <v>12721</v>
      </c>
      <c r="D1082" s="169" t="str">
        <f>"0764451239432"</f>
        <v>0764451239432</v>
      </c>
      <c r="E1082" s="169" t="str">
        <f>"MCO251-2"</f>
        <v>MCO251-2</v>
      </c>
      <c r="F1082" s="169" t="s">
        <v>18811</v>
      </c>
      <c r="G1082" s="169">
        <v>1.0</v>
      </c>
      <c r="H1082" s="169">
        <v>21840.0</v>
      </c>
      <c r="I1082" s="169">
        <v>21840.0</v>
      </c>
      <c r="J1082" s="169">
        <v>0.0</v>
      </c>
      <c r="K1082" s="169">
        <v>1.0</v>
      </c>
      <c r="L1082" s="169">
        <v>0.0</v>
      </c>
    </row>
    <row r="1083" ht="14.25" customHeight="1">
      <c r="A1083" s="169" t="s">
        <v>12439</v>
      </c>
      <c r="B1083" s="169" t="s">
        <v>12439</v>
      </c>
      <c r="C1083" s="169" t="s">
        <v>17047</v>
      </c>
      <c r="D1083" s="169" t="str">
        <f>"0764451239449"</f>
        <v>0764451239449</v>
      </c>
      <c r="E1083" s="169" t="str">
        <f>"MCO253-2"</f>
        <v>MCO253-2</v>
      </c>
      <c r="F1083" s="169" t="s">
        <v>18811</v>
      </c>
      <c r="G1083" s="169">
        <v>2.0</v>
      </c>
      <c r="H1083" s="169">
        <v>21840.0</v>
      </c>
      <c r="I1083" s="169">
        <v>43680.0</v>
      </c>
      <c r="J1083" s="169">
        <v>0.0</v>
      </c>
      <c r="K1083" s="169">
        <v>2.0</v>
      </c>
      <c r="L1083" s="169">
        <v>0.0</v>
      </c>
    </row>
    <row r="1084" ht="14.25" customHeight="1">
      <c r="A1084" s="169" t="s">
        <v>12439</v>
      </c>
      <c r="B1084" s="169" t="s">
        <v>12439</v>
      </c>
      <c r="C1084" s="169" t="s">
        <v>17046</v>
      </c>
      <c r="D1084" s="169" t="str">
        <f>"0764451239425"</f>
        <v>0764451239425</v>
      </c>
      <c r="E1084" s="169" t="str">
        <f>"MCO250-2"</f>
        <v>MCO250-2</v>
      </c>
      <c r="F1084" s="169" t="s">
        <v>18811</v>
      </c>
      <c r="G1084" s="169">
        <v>4.0</v>
      </c>
      <c r="H1084" s="169">
        <v>17472.0</v>
      </c>
      <c r="I1084" s="169">
        <v>69888.0</v>
      </c>
      <c r="J1084" s="169">
        <v>0.0</v>
      </c>
      <c r="K1084" s="169">
        <v>4.0</v>
      </c>
      <c r="L1084" s="169">
        <v>0.0</v>
      </c>
    </row>
    <row r="1085" ht="14.25" customHeight="1">
      <c r="A1085" s="169" t="s">
        <v>12439</v>
      </c>
      <c r="B1085" s="169" t="s">
        <v>12439</v>
      </c>
      <c r="C1085" s="169" t="s">
        <v>17045</v>
      </c>
      <c r="D1085" s="169" t="str">
        <f>"0764451239388"</f>
        <v>0764451239388</v>
      </c>
      <c r="E1085" s="169" t="str">
        <f>"MCO253"</f>
        <v>MCO253</v>
      </c>
      <c r="F1085" s="169" t="s">
        <v>18811</v>
      </c>
      <c r="G1085" s="169">
        <v>3.0</v>
      </c>
      <c r="H1085" s="169">
        <v>21840.0</v>
      </c>
      <c r="I1085" s="169">
        <v>65520.0</v>
      </c>
      <c r="J1085" s="169">
        <v>0.0</v>
      </c>
      <c r="K1085" s="169">
        <v>3.0</v>
      </c>
      <c r="L1085" s="169">
        <v>0.0</v>
      </c>
    </row>
    <row r="1086" ht="14.25" customHeight="1">
      <c r="A1086" s="169" t="s">
        <v>12839</v>
      </c>
      <c r="B1086" s="169" t="s">
        <v>12839</v>
      </c>
      <c r="C1086" s="169" t="s">
        <v>17542</v>
      </c>
      <c r="D1086" s="169" t="str">
        <f t="shared" ref="D1086:E1086" si="624">"MF07000061509"</f>
        <v>MF07000061509</v>
      </c>
      <c r="E1086" s="169" t="str">
        <f t="shared" si="624"/>
        <v>MF07000061509</v>
      </c>
      <c r="F1086" s="169" t="s">
        <v>18811</v>
      </c>
      <c r="G1086" s="169">
        <v>3.0</v>
      </c>
      <c r="H1086" s="169">
        <v>2800.0</v>
      </c>
      <c r="I1086" s="169">
        <v>8400.0</v>
      </c>
      <c r="J1086" s="169">
        <v>0.0</v>
      </c>
      <c r="K1086" s="169">
        <v>3.0</v>
      </c>
      <c r="L1086" s="169">
        <v>0.0</v>
      </c>
    </row>
    <row r="1087" ht="14.25" customHeight="1">
      <c r="A1087" s="169" t="s">
        <v>12839</v>
      </c>
      <c r="B1087" s="169" t="s">
        <v>12839</v>
      </c>
      <c r="C1087" s="169" t="s">
        <v>17541</v>
      </c>
      <c r="D1087" s="169" t="str">
        <f t="shared" ref="D1087:E1087" si="625">"MF07000061510"</f>
        <v>MF07000061510</v>
      </c>
      <c r="E1087" s="169" t="str">
        <f t="shared" si="625"/>
        <v>MF07000061510</v>
      </c>
      <c r="F1087" s="169" t="s">
        <v>18811</v>
      </c>
      <c r="G1087" s="169">
        <v>15.0</v>
      </c>
      <c r="H1087" s="169">
        <v>2800.0</v>
      </c>
      <c r="I1087" s="169">
        <v>42000.0</v>
      </c>
      <c r="J1087" s="169">
        <v>0.0</v>
      </c>
      <c r="K1087" s="169">
        <v>15.0</v>
      </c>
      <c r="L1087" s="169">
        <v>0.0</v>
      </c>
    </row>
    <row r="1088" ht="14.25" customHeight="1">
      <c r="A1088" s="169" t="s">
        <v>12839</v>
      </c>
      <c r="B1088" s="169" t="s">
        <v>12839</v>
      </c>
      <c r="C1088" s="169" t="s">
        <v>17540</v>
      </c>
      <c r="D1088" s="169" t="str">
        <f t="shared" ref="D1088:E1088" si="626">"MF07000151519"</f>
        <v>MF07000151519</v>
      </c>
      <c r="E1088" s="169" t="str">
        <f t="shared" si="626"/>
        <v>MF07000151519</v>
      </c>
      <c r="F1088" s="169" t="s">
        <v>18811</v>
      </c>
      <c r="G1088" s="169">
        <v>6.0</v>
      </c>
      <c r="H1088" s="169">
        <v>6100.0</v>
      </c>
      <c r="I1088" s="169">
        <v>36600.0</v>
      </c>
      <c r="J1088" s="169">
        <v>0.0</v>
      </c>
      <c r="K1088" s="169">
        <v>6.0</v>
      </c>
      <c r="L1088" s="169">
        <v>0.0</v>
      </c>
    </row>
    <row r="1089" ht="14.25" customHeight="1">
      <c r="A1089" s="169" t="s">
        <v>12839</v>
      </c>
      <c r="B1089" s="169" t="s">
        <v>12839</v>
      </c>
      <c r="C1089" s="169" t="s">
        <v>17539</v>
      </c>
      <c r="D1089" s="169" t="str">
        <f>"0764451134751"</f>
        <v>0764451134751</v>
      </c>
      <c r="E1089" s="169" t="str">
        <f>"MF07000151510"</f>
        <v>MF07000151510</v>
      </c>
      <c r="F1089" s="169" t="s">
        <v>18811</v>
      </c>
      <c r="G1089" s="169">
        <v>7.0</v>
      </c>
      <c r="H1089" s="169">
        <v>6100.0</v>
      </c>
      <c r="I1089" s="169">
        <v>42700.0</v>
      </c>
      <c r="J1089" s="169">
        <v>0.0</v>
      </c>
      <c r="K1089" s="169">
        <v>7.0</v>
      </c>
      <c r="L1089" s="169">
        <v>0.0</v>
      </c>
    </row>
    <row r="1090" ht="14.25" customHeight="1">
      <c r="A1090" s="169" t="s">
        <v>12839</v>
      </c>
      <c r="B1090" s="169" t="s">
        <v>12839</v>
      </c>
      <c r="C1090" s="169" t="s">
        <v>17537</v>
      </c>
      <c r="D1090" s="169" t="str">
        <f>"020000208084"</f>
        <v>020000208084</v>
      </c>
      <c r="E1090" s="169" t="str">
        <f>"20000208084"</f>
        <v>20000208084</v>
      </c>
      <c r="F1090" s="169" t="s">
        <v>18811</v>
      </c>
      <c r="G1090" s="169">
        <v>3.0</v>
      </c>
      <c r="H1090" s="169">
        <v>3060.0</v>
      </c>
      <c r="I1090" s="169">
        <v>9180.0</v>
      </c>
      <c r="J1090" s="169">
        <v>0.0</v>
      </c>
      <c r="K1090" s="169">
        <v>3.0</v>
      </c>
      <c r="L1090" s="169">
        <v>0.0</v>
      </c>
    </row>
    <row r="1091" ht="14.25" customHeight="1">
      <c r="A1091" s="169" t="s">
        <v>12839</v>
      </c>
      <c r="B1091" s="169" t="s">
        <v>12839</v>
      </c>
      <c r="C1091" s="169" t="s">
        <v>17535</v>
      </c>
      <c r="D1091" s="169" t="str">
        <f>"1591376198001"</f>
        <v>1591376198001</v>
      </c>
      <c r="E1091" s="169" t="str">
        <f>"20000207087"</f>
        <v>20000207087</v>
      </c>
      <c r="F1091" s="169" t="s">
        <v>18811</v>
      </c>
      <c r="G1091" s="169">
        <v>6.0</v>
      </c>
      <c r="H1091" s="169">
        <v>2790.0</v>
      </c>
      <c r="I1091" s="169">
        <v>16740.0</v>
      </c>
      <c r="J1091" s="169">
        <v>0.0</v>
      </c>
      <c r="K1091" s="169">
        <v>6.0</v>
      </c>
      <c r="L1091" s="169">
        <v>0.0</v>
      </c>
    </row>
    <row r="1092" ht="14.25" customHeight="1">
      <c r="A1092" s="169" t="s">
        <v>12839</v>
      </c>
      <c r="B1092" s="169" t="s">
        <v>12839</v>
      </c>
      <c r="C1092" s="169" t="s">
        <v>17533</v>
      </c>
      <c r="D1092" s="169" t="str">
        <f>"TL02000020908"</f>
        <v>TL02000020908</v>
      </c>
      <c r="E1092" s="169" t="str">
        <f>"20000209081"</f>
        <v>20000209081</v>
      </c>
      <c r="F1092" s="169" t="s">
        <v>18811</v>
      </c>
      <c r="G1092" s="169">
        <v>3.0</v>
      </c>
      <c r="H1092" s="169">
        <v>3420.0</v>
      </c>
      <c r="I1092" s="169">
        <v>10260.0</v>
      </c>
      <c r="J1092" s="169">
        <v>0.0</v>
      </c>
      <c r="K1092" s="169">
        <v>3.0</v>
      </c>
      <c r="L1092" s="169">
        <v>0.0</v>
      </c>
    </row>
    <row r="1093" ht="14.25" customHeight="1">
      <c r="A1093" s="169" t="s">
        <v>12839</v>
      </c>
      <c r="B1093" s="169" t="s">
        <v>12839</v>
      </c>
      <c r="C1093" s="169" t="s">
        <v>17531</v>
      </c>
      <c r="D1093" s="169" t="str">
        <f>"020000808024"</f>
        <v>020000808024</v>
      </c>
      <c r="E1093" s="169" t="str">
        <f>"20000808024"</f>
        <v>20000808024</v>
      </c>
      <c r="F1093" s="169" t="s">
        <v>18811</v>
      </c>
      <c r="G1093" s="169">
        <v>3.0</v>
      </c>
      <c r="H1093" s="169">
        <v>6197.5</v>
      </c>
      <c r="I1093" s="169">
        <v>18593.0</v>
      </c>
      <c r="J1093" s="169">
        <v>0.0</v>
      </c>
      <c r="K1093" s="169">
        <v>3.0</v>
      </c>
      <c r="L1093" s="169">
        <v>0.0</v>
      </c>
    </row>
    <row r="1094" ht="14.25" customHeight="1">
      <c r="A1094" s="169" t="s">
        <v>12839</v>
      </c>
      <c r="B1094" s="169" t="s">
        <v>12839</v>
      </c>
      <c r="C1094" s="169" t="s">
        <v>17529</v>
      </c>
      <c r="D1094" s="169" t="str">
        <f>"15902517185438"</f>
        <v>15902517185438</v>
      </c>
      <c r="E1094" s="169" t="str">
        <f>"20000808210"</f>
        <v>20000808210</v>
      </c>
      <c r="F1094" s="169" t="s">
        <v>18811</v>
      </c>
      <c r="G1094" s="169">
        <v>4.0</v>
      </c>
      <c r="H1094" s="169">
        <v>6197.5</v>
      </c>
      <c r="I1094" s="169">
        <v>24790.0</v>
      </c>
      <c r="J1094" s="169">
        <v>0.0</v>
      </c>
      <c r="K1094" s="169">
        <v>4.0</v>
      </c>
      <c r="L1094" s="169">
        <v>0.0</v>
      </c>
    </row>
    <row r="1095" ht="14.25" customHeight="1">
      <c r="A1095" s="169" t="s">
        <v>12839</v>
      </c>
      <c r="B1095" s="169" t="s">
        <v>12839</v>
      </c>
      <c r="C1095" s="169" t="s">
        <v>17527</v>
      </c>
      <c r="D1095" s="169" t="str">
        <f>"020000807210"</f>
        <v>020000807210</v>
      </c>
      <c r="E1095" s="169" t="str">
        <f>"20000807210"</f>
        <v>20000807210</v>
      </c>
      <c r="F1095" s="169" t="s">
        <v>18811</v>
      </c>
      <c r="G1095" s="169">
        <v>5.0</v>
      </c>
      <c r="H1095" s="169">
        <v>5697.2</v>
      </c>
      <c r="I1095" s="169">
        <v>28486.0</v>
      </c>
      <c r="J1095" s="169">
        <v>0.0</v>
      </c>
      <c r="K1095" s="169">
        <v>5.0</v>
      </c>
      <c r="L1095" s="169">
        <v>0.0</v>
      </c>
    </row>
    <row r="1096" ht="14.25" customHeight="1">
      <c r="A1096" s="169" t="s">
        <v>12839</v>
      </c>
      <c r="B1096" s="169" t="s">
        <v>12839</v>
      </c>
      <c r="C1096" s="169" t="s">
        <v>17525</v>
      </c>
      <c r="D1096" s="169" t="str">
        <f>"020000807090"</f>
        <v>020000807090</v>
      </c>
      <c r="E1096" s="169" t="str">
        <f>"20000807090"</f>
        <v>20000807090</v>
      </c>
      <c r="F1096" s="169" t="s">
        <v>18811</v>
      </c>
      <c r="G1096" s="169">
        <v>3.0</v>
      </c>
      <c r="H1096" s="169">
        <v>6200.0</v>
      </c>
      <c r="I1096" s="169">
        <v>18600.0</v>
      </c>
      <c r="J1096" s="169">
        <v>0.0</v>
      </c>
      <c r="K1096" s="169">
        <v>3.0</v>
      </c>
      <c r="L1096" s="169">
        <v>0.0</v>
      </c>
    </row>
    <row r="1097" ht="14.25" customHeight="1">
      <c r="A1097" s="169" t="s">
        <v>12839</v>
      </c>
      <c r="B1097" s="169" t="s">
        <v>12839</v>
      </c>
      <c r="C1097" s="169" t="s">
        <v>17523</v>
      </c>
      <c r="D1097" s="169" t="str">
        <f t="shared" ref="D1097:E1097" si="627">"20000806020"</f>
        <v>20000806020</v>
      </c>
      <c r="E1097" s="169" t="str">
        <f t="shared" si="627"/>
        <v>20000806020</v>
      </c>
      <c r="F1097" s="169" t="s">
        <v>18811</v>
      </c>
      <c r="G1097" s="169">
        <v>4.0</v>
      </c>
      <c r="H1097" s="169">
        <v>4590.0</v>
      </c>
      <c r="I1097" s="169">
        <v>18360.0</v>
      </c>
      <c r="J1097" s="169">
        <v>0.0</v>
      </c>
      <c r="K1097" s="169">
        <v>4.0</v>
      </c>
      <c r="L1097" s="169">
        <v>0.0</v>
      </c>
    </row>
    <row r="1098" ht="14.25" customHeight="1">
      <c r="A1098" s="169" t="s">
        <v>12839</v>
      </c>
      <c r="B1098" s="169" t="s">
        <v>12839</v>
      </c>
      <c r="C1098" s="169" t="s">
        <v>17521</v>
      </c>
      <c r="D1098" s="169" t="str">
        <f>"020000806210"</f>
        <v>020000806210</v>
      </c>
      <c r="E1098" s="169" t="str">
        <f>"20000806210"</f>
        <v>20000806210</v>
      </c>
      <c r="F1098" s="169" t="s">
        <v>18811</v>
      </c>
      <c r="G1098" s="169">
        <v>5.0</v>
      </c>
      <c r="H1098" s="169">
        <v>4590.0</v>
      </c>
      <c r="I1098" s="169">
        <v>22950.0</v>
      </c>
      <c r="J1098" s="169">
        <v>0.0</v>
      </c>
      <c r="K1098" s="169">
        <v>5.0</v>
      </c>
      <c r="L1098" s="169">
        <v>0.0</v>
      </c>
    </row>
    <row r="1099" ht="14.25" customHeight="1">
      <c r="A1099" s="169" t="s">
        <v>12839</v>
      </c>
      <c r="B1099" s="169" t="s">
        <v>12839</v>
      </c>
      <c r="C1099" s="169" t="s">
        <v>17519</v>
      </c>
      <c r="D1099" s="169" t="str">
        <f>"1591376274708"</f>
        <v>1591376274708</v>
      </c>
      <c r="E1099" s="169" t="str">
        <f>"20000806090"</f>
        <v>20000806090</v>
      </c>
      <c r="F1099" s="169" t="s">
        <v>18811</v>
      </c>
      <c r="G1099" s="169">
        <v>6.0</v>
      </c>
      <c r="H1099" s="169">
        <v>4590.0</v>
      </c>
      <c r="I1099" s="169">
        <v>27540.0</v>
      </c>
      <c r="J1099" s="169">
        <v>0.0</v>
      </c>
      <c r="K1099" s="169">
        <v>6.0</v>
      </c>
      <c r="L1099" s="169">
        <v>0.0</v>
      </c>
    </row>
    <row r="1100" ht="14.25" customHeight="1">
      <c r="A1100" s="169" t="s">
        <v>12839</v>
      </c>
      <c r="B1100" s="169" t="s">
        <v>12839</v>
      </c>
      <c r="C1100" s="169" t="s">
        <v>17517</v>
      </c>
      <c r="D1100" s="169" t="str">
        <f t="shared" ref="D1100:E1100" si="628">"20000805020"</f>
        <v>20000805020</v>
      </c>
      <c r="E1100" s="169" t="str">
        <f t="shared" si="628"/>
        <v>20000805020</v>
      </c>
      <c r="F1100" s="169" t="s">
        <v>18811</v>
      </c>
      <c r="G1100" s="169">
        <v>5.0</v>
      </c>
      <c r="H1100" s="169">
        <v>4000.0</v>
      </c>
      <c r="I1100" s="169">
        <v>20000.0</v>
      </c>
      <c r="J1100" s="169">
        <v>0.0</v>
      </c>
      <c r="K1100" s="169">
        <v>5.0</v>
      </c>
      <c r="L1100" s="169">
        <v>0.0</v>
      </c>
    </row>
    <row r="1101" ht="14.25" customHeight="1">
      <c r="A1101" s="169" t="s">
        <v>12839</v>
      </c>
      <c r="B1101" s="169" t="s">
        <v>12839</v>
      </c>
      <c r="C1101" s="169" t="s">
        <v>17515</v>
      </c>
      <c r="D1101" s="169" t="str">
        <f t="shared" ref="D1101:E1101" si="629">"20000805210"</f>
        <v>20000805210</v>
      </c>
      <c r="E1101" s="169" t="str">
        <f t="shared" si="629"/>
        <v>20000805210</v>
      </c>
      <c r="F1101" s="169" t="s">
        <v>18811</v>
      </c>
      <c r="G1101" s="169">
        <v>4.0</v>
      </c>
      <c r="H1101" s="169">
        <v>4000.0</v>
      </c>
      <c r="I1101" s="169">
        <v>16000.0</v>
      </c>
      <c r="J1101" s="169">
        <v>0.0</v>
      </c>
      <c r="K1101" s="169">
        <v>4.0</v>
      </c>
      <c r="L1101" s="169">
        <v>0.0</v>
      </c>
    </row>
    <row r="1102" ht="14.25" customHeight="1">
      <c r="A1102" s="169" t="s">
        <v>12839</v>
      </c>
      <c r="B1102" s="169" t="s">
        <v>12839</v>
      </c>
      <c r="C1102" s="169" t="s">
        <v>17513</v>
      </c>
      <c r="D1102" s="169" t="str">
        <f t="shared" ref="D1102:E1102" si="630">"20000805090"</f>
        <v>20000805090</v>
      </c>
      <c r="E1102" s="169" t="str">
        <f t="shared" si="630"/>
        <v>20000805090</v>
      </c>
      <c r="F1102" s="169" t="s">
        <v>18811</v>
      </c>
      <c r="G1102" s="169">
        <v>2.0</v>
      </c>
      <c r="H1102" s="169">
        <v>4000.0</v>
      </c>
      <c r="I1102" s="169">
        <v>8000.0</v>
      </c>
      <c r="J1102" s="169">
        <v>0.0</v>
      </c>
      <c r="K1102" s="169">
        <v>2.0</v>
      </c>
      <c r="L1102" s="169">
        <v>0.0</v>
      </c>
    </row>
    <row r="1103" ht="14.25" customHeight="1">
      <c r="A1103" s="169" t="s">
        <v>12839</v>
      </c>
      <c r="B1103" s="169" t="s">
        <v>12839</v>
      </c>
      <c r="C1103" s="169" t="s">
        <v>17511</v>
      </c>
      <c r="D1103" s="169" t="str">
        <f t="shared" ref="D1103:E1103" si="631">"2000110821"</f>
        <v>2000110821</v>
      </c>
      <c r="E1103" s="169" t="str">
        <f t="shared" si="631"/>
        <v>2000110821</v>
      </c>
      <c r="F1103" s="169" t="s">
        <v>18811</v>
      </c>
      <c r="G1103" s="169">
        <v>2.0</v>
      </c>
      <c r="H1103" s="169">
        <v>13200.0</v>
      </c>
      <c r="I1103" s="169">
        <v>26400.0</v>
      </c>
      <c r="J1103" s="169">
        <v>0.0</v>
      </c>
      <c r="K1103" s="169">
        <v>2.0</v>
      </c>
      <c r="L1103" s="169">
        <v>0.0</v>
      </c>
    </row>
    <row r="1104" ht="14.25" customHeight="1">
      <c r="A1104" s="169" t="s">
        <v>12839</v>
      </c>
      <c r="B1104" s="169" t="s">
        <v>12839</v>
      </c>
      <c r="C1104" s="169" t="s">
        <v>17509</v>
      </c>
      <c r="D1104" s="169" t="str">
        <f t="shared" ref="D1104:E1104" si="632">"2000110807"</f>
        <v>2000110807</v>
      </c>
      <c r="E1104" s="169" t="str">
        <f t="shared" si="632"/>
        <v>2000110807</v>
      </c>
      <c r="F1104" s="169" t="s">
        <v>18811</v>
      </c>
      <c r="G1104" s="169">
        <v>9.0</v>
      </c>
      <c r="H1104" s="169">
        <v>12960.0</v>
      </c>
      <c r="I1104" s="169">
        <v>116640.0</v>
      </c>
      <c r="J1104" s="169">
        <v>0.0</v>
      </c>
      <c r="K1104" s="169">
        <v>9.0</v>
      </c>
      <c r="L1104" s="169">
        <v>0.0</v>
      </c>
    </row>
    <row r="1105" ht="14.25" customHeight="1">
      <c r="A1105" s="169" t="s">
        <v>12839</v>
      </c>
      <c r="B1105" s="169" t="s">
        <v>12839</v>
      </c>
      <c r="C1105" s="169" t="s">
        <v>17507</v>
      </c>
      <c r="D1105" s="169" t="str">
        <f t="shared" ref="D1105:E1105" si="633">"2000110810"</f>
        <v>2000110810</v>
      </c>
      <c r="E1105" s="169" t="str">
        <f t="shared" si="633"/>
        <v>2000110810</v>
      </c>
      <c r="F1105" s="169" t="s">
        <v>18811</v>
      </c>
      <c r="G1105" s="169">
        <v>1.0</v>
      </c>
      <c r="H1105" s="169">
        <v>13725.0</v>
      </c>
      <c r="I1105" s="169">
        <v>13725.0</v>
      </c>
      <c r="J1105" s="169">
        <v>0.0</v>
      </c>
      <c r="K1105" s="169">
        <v>1.0</v>
      </c>
      <c r="L1105" s="169">
        <v>0.0</v>
      </c>
    </row>
    <row r="1106" ht="14.25" customHeight="1">
      <c r="A1106" s="169" t="s">
        <v>12839</v>
      </c>
      <c r="B1106" s="169" t="s">
        <v>12839</v>
      </c>
      <c r="C1106" s="169" t="s">
        <v>17505</v>
      </c>
      <c r="D1106" s="169" t="str">
        <f t="shared" ref="D1106:E1106" si="634">"2000110721"</f>
        <v>2000110721</v>
      </c>
      <c r="E1106" s="169" t="str">
        <f t="shared" si="634"/>
        <v>2000110721</v>
      </c>
      <c r="F1106" s="169" t="s">
        <v>18811</v>
      </c>
      <c r="G1106" s="169">
        <v>2.0</v>
      </c>
      <c r="H1106" s="169">
        <v>13266.7</v>
      </c>
      <c r="I1106" s="169">
        <v>26533.0</v>
      </c>
      <c r="J1106" s="169">
        <v>0.0</v>
      </c>
      <c r="K1106" s="169">
        <v>2.0</v>
      </c>
      <c r="L1106" s="169">
        <v>0.0</v>
      </c>
    </row>
    <row r="1107" ht="14.25" customHeight="1">
      <c r="A1107" s="169" t="s">
        <v>12839</v>
      </c>
      <c r="B1107" s="169" t="s">
        <v>12839</v>
      </c>
      <c r="C1107" s="169" t="s">
        <v>17503</v>
      </c>
      <c r="D1107" s="169" t="str">
        <f t="shared" ref="D1107:E1107" si="635">"2000110707"</f>
        <v>2000110707</v>
      </c>
      <c r="E1107" s="169" t="str">
        <f t="shared" si="635"/>
        <v>2000110707</v>
      </c>
      <c r="F1107" s="169" t="s">
        <v>18811</v>
      </c>
      <c r="G1107" s="169">
        <v>4.0</v>
      </c>
      <c r="H1107" s="169">
        <v>13800.0</v>
      </c>
      <c r="I1107" s="169">
        <v>55200.0</v>
      </c>
      <c r="J1107" s="169">
        <v>0.0</v>
      </c>
      <c r="K1107" s="169">
        <v>4.0</v>
      </c>
      <c r="L1107" s="169">
        <v>0.0</v>
      </c>
    </row>
    <row r="1108" ht="14.25" customHeight="1">
      <c r="A1108" s="169" t="s">
        <v>12839</v>
      </c>
      <c r="B1108" s="169" t="s">
        <v>12839</v>
      </c>
      <c r="C1108" s="169" t="s">
        <v>17501</v>
      </c>
      <c r="D1108" s="169" t="str">
        <f t="shared" ref="D1108:E1108" si="636">"2000110710"</f>
        <v>2000110710</v>
      </c>
      <c r="E1108" s="169" t="str">
        <f t="shared" si="636"/>
        <v>2000110710</v>
      </c>
      <c r="F1108" s="169" t="s">
        <v>18811</v>
      </c>
      <c r="G1108" s="169">
        <v>2.0</v>
      </c>
      <c r="H1108" s="169">
        <v>13800.0</v>
      </c>
      <c r="I1108" s="169">
        <v>27600.0</v>
      </c>
      <c r="J1108" s="169">
        <v>0.0</v>
      </c>
      <c r="K1108" s="169">
        <v>2.0</v>
      </c>
      <c r="L1108" s="169">
        <v>0.0</v>
      </c>
    </row>
    <row r="1109" ht="14.25" customHeight="1">
      <c r="A1109" s="169" t="s">
        <v>12839</v>
      </c>
      <c r="B1109" s="169" t="s">
        <v>12839</v>
      </c>
      <c r="C1109" s="169" t="s">
        <v>17499</v>
      </c>
      <c r="D1109" s="169" t="str">
        <f t="shared" ref="D1109:E1109" si="637">"2000110621"</f>
        <v>2000110621</v>
      </c>
      <c r="E1109" s="169" t="str">
        <f t="shared" si="637"/>
        <v>2000110621</v>
      </c>
      <c r="F1109" s="169" t="s">
        <v>18811</v>
      </c>
      <c r="G1109" s="169">
        <v>6.0</v>
      </c>
      <c r="H1109" s="169">
        <v>11520.0</v>
      </c>
      <c r="I1109" s="169">
        <v>69120.0</v>
      </c>
      <c r="J1109" s="169">
        <v>0.0</v>
      </c>
      <c r="K1109" s="169">
        <v>6.0</v>
      </c>
      <c r="L1109" s="169">
        <v>0.0</v>
      </c>
    </row>
    <row r="1110" ht="14.25" customHeight="1">
      <c r="A1110" s="169" t="s">
        <v>12839</v>
      </c>
      <c r="B1110" s="169" t="s">
        <v>12839</v>
      </c>
      <c r="C1110" s="169" t="s">
        <v>17497</v>
      </c>
      <c r="D1110" s="169" t="str">
        <f t="shared" ref="D1110:E1110" si="638">"2000110607"</f>
        <v>2000110607</v>
      </c>
      <c r="E1110" s="169" t="str">
        <f t="shared" si="638"/>
        <v>2000110607</v>
      </c>
      <c r="F1110" s="169" t="s">
        <v>18811</v>
      </c>
      <c r="G1110" s="169">
        <v>7.0</v>
      </c>
      <c r="H1110" s="169">
        <v>12800.0</v>
      </c>
      <c r="I1110" s="169">
        <v>89600.0</v>
      </c>
      <c r="J1110" s="169">
        <v>0.0</v>
      </c>
      <c r="K1110" s="169">
        <v>7.0</v>
      </c>
      <c r="L1110" s="169">
        <v>0.0</v>
      </c>
    </row>
    <row r="1111" ht="14.25" customHeight="1">
      <c r="A1111" s="169" t="s">
        <v>12839</v>
      </c>
      <c r="B1111" s="169" t="s">
        <v>12839</v>
      </c>
      <c r="C1111" s="169" t="s">
        <v>17495</v>
      </c>
      <c r="D1111" s="169" t="str">
        <f t="shared" ref="D1111:E1111" si="639">"2000110610"</f>
        <v>2000110610</v>
      </c>
      <c r="E1111" s="169" t="str">
        <f t="shared" si="639"/>
        <v>2000110610</v>
      </c>
      <c r="F1111" s="169" t="s">
        <v>18811</v>
      </c>
      <c r="G1111" s="169">
        <v>17.0</v>
      </c>
      <c r="H1111" s="169">
        <v>12649.4</v>
      </c>
      <c r="I1111" s="169">
        <v>215040.0</v>
      </c>
      <c r="J1111" s="169">
        <v>0.0</v>
      </c>
      <c r="K1111" s="169">
        <v>17.0</v>
      </c>
      <c r="L1111" s="169">
        <v>0.0</v>
      </c>
    </row>
    <row r="1112" ht="14.25" customHeight="1">
      <c r="A1112" s="169" t="s">
        <v>12839</v>
      </c>
      <c r="B1112" s="169" t="s">
        <v>12839</v>
      </c>
      <c r="C1112" s="169" t="s">
        <v>17493</v>
      </c>
      <c r="D1112" s="169" t="str">
        <f t="shared" ref="D1112:E1112" si="640">"2000110921"</f>
        <v>2000110921</v>
      </c>
      <c r="E1112" s="169" t="str">
        <f t="shared" si="640"/>
        <v>2000110921</v>
      </c>
      <c r="F1112" s="169" t="s">
        <v>18811</v>
      </c>
      <c r="G1112" s="169">
        <v>7.0</v>
      </c>
      <c r="H1112" s="169">
        <v>14900.0</v>
      </c>
      <c r="I1112" s="169">
        <v>104300.0</v>
      </c>
      <c r="J1112" s="169">
        <v>0.0</v>
      </c>
      <c r="K1112" s="169">
        <v>7.0</v>
      </c>
      <c r="L1112" s="169">
        <v>0.0</v>
      </c>
    </row>
    <row r="1113" ht="14.25" customHeight="1">
      <c r="A1113" s="169" t="s">
        <v>12839</v>
      </c>
      <c r="B1113" s="169" t="s">
        <v>12839</v>
      </c>
      <c r="C1113" s="169" t="s">
        <v>17491</v>
      </c>
      <c r="D1113" s="169" t="str">
        <f t="shared" ref="D1113:E1113" si="641">"2000110907"</f>
        <v>2000110907</v>
      </c>
      <c r="E1113" s="169" t="str">
        <f t="shared" si="641"/>
        <v>2000110907</v>
      </c>
      <c r="F1113" s="169" t="s">
        <v>18811</v>
      </c>
      <c r="G1113" s="169">
        <v>2.0</v>
      </c>
      <c r="H1113" s="169">
        <v>13410.0</v>
      </c>
      <c r="I1113" s="169">
        <v>26820.0</v>
      </c>
      <c r="J1113" s="169">
        <v>0.0</v>
      </c>
      <c r="K1113" s="169">
        <v>2.0</v>
      </c>
      <c r="L1113" s="169">
        <v>0.0</v>
      </c>
    </row>
    <row r="1114" ht="14.25" customHeight="1">
      <c r="A1114" s="169" t="s">
        <v>12839</v>
      </c>
      <c r="B1114" s="169" t="s">
        <v>12839</v>
      </c>
      <c r="C1114" s="169" t="s">
        <v>17489</v>
      </c>
      <c r="D1114" s="169" t="str">
        <f t="shared" ref="D1114:E1114" si="642">"2000110910"</f>
        <v>2000110910</v>
      </c>
      <c r="E1114" s="169" t="str">
        <f t="shared" si="642"/>
        <v>2000110910</v>
      </c>
      <c r="F1114" s="169" t="s">
        <v>18811</v>
      </c>
      <c r="G1114" s="169">
        <v>3.0</v>
      </c>
      <c r="H1114" s="169">
        <v>14900.0</v>
      </c>
      <c r="I1114" s="169">
        <v>44700.0</v>
      </c>
      <c r="J1114" s="169">
        <v>0.0</v>
      </c>
      <c r="K1114" s="169">
        <v>3.0</v>
      </c>
      <c r="L1114" s="169">
        <v>0.0</v>
      </c>
    </row>
    <row r="1115" ht="14.25" customHeight="1">
      <c r="A1115" s="169" t="s">
        <v>12839</v>
      </c>
      <c r="B1115" s="169" t="s">
        <v>12839</v>
      </c>
      <c r="C1115" s="169" t="s">
        <v>17488</v>
      </c>
      <c r="D1115" s="169" t="str">
        <f t="shared" ref="D1115:E1115" si="643">"TL02000010808"</f>
        <v>TL02000010808</v>
      </c>
      <c r="E1115" s="169" t="str">
        <f t="shared" si="643"/>
        <v>TL02000010808</v>
      </c>
      <c r="F1115" s="169" t="s">
        <v>18811</v>
      </c>
      <c r="G1115" s="169">
        <v>3.0</v>
      </c>
      <c r="H1115" s="169">
        <v>9376.7</v>
      </c>
      <c r="I1115" s="169">
        <v>28130.0</v>
      </c>
      <c r="J1115" s="169">
        <v>0.0</v>
      </c>
      <c r="K1115" s="169">
        <v>3.0</v>
      </c>
      <c r="L1115" s="169">
        <v>0.0</v>
      </c>
    </row>
    <row r="1116" ht="14.25" customHeight="1">
      <c r="A1116" s="169" t="s">
        <v>12839</v>
      </c>
      <c r="B1116" s="169" t="s">
        <v>12839</v>
      </c>
      <c r="C1116" s="169" t="s">
        <v>17487</v>
      </c>
      <c r="D1116" s="169" t="str">
        <f t="shared" ref="D1116:E1116" si="644">"TL02000010708"</f>
        <v>TL02000010708</v>
      </c>
      <c r="E1116" s="169" t="str">
        <f t="shared" si="644"/>
        <v>TL02000010708</v>
      </c>
      <c r="F1116" s="169" t="s">
        <v>18811</v>
      </c>
      <c r="G1116" s="169">
        <v>1.0</v>
      </c>
      <c r="H1116" s="169">
        <v>8500.0</v>
      </c>
      <c r="I1116" s="169">
        <v>8500.0</v>
      </c>
      <c r="J1116" s="169">
        <v>0.0</v>
      </c>
      <c r="K1116" s="169">
        <v>1.0</v>
      </c>
      <c r="L1116" s="169">
        <v>0.0</v>
      </c>
    </row>
    <row r="1117" ht="14.25" customHeight="1">
      <c r="A1117" s="169" t="s">
        <v>12839</v>
      </c>
      <c r="B1117" s="169" t="s">
        <v>12839</v>
      </c>
      <c r="C1117" s="169" t="s">
        <v>17486</v>
      </c>
      <c r="D1117" s="169" t="str">
        <f t="shared" ref="D1117:E1117" si="645">"TL02000010608"</f>
        <v>TL02000010608</v>
      </c>
      <c r="E1117" s="169" t="str">
        <f t="shared" si="645"/>
        <v>TL02000010608</v>
      </c>
      <c r="F1117" s="169" t="s">
        <v>18811</v>
      </c>
      <c r="G1117" s="169">
        <v>3.0</v>
      </c>
      <c r="H1117" s="169">
        <v>7500.0</v>
      </c>
      <c r="I1117" s="169">
        <v>22500.0</v>
      </c>
      <c r="J1117" s="169">
        <v>0.0</v>
      </c>
      <c r="K1117" s="169">
        <v>3.0</v>
      </c>
      <c r="L1117" s="169">
        <v>0.0</v>
      </c>
    </row>
    <row r="1118" ht="14.25" customHeight="1">
      <c r="A1118" s="169" t="s">
        <v>12839</v>
      </c>
      <c r="B1118" s="169" t="s">
        <v>12839</v>
      </c>
      <c r="C1118" s="169" t="s">
        <v>17485</v>
      </c>
      <c r="D1118" s="169" t="str">
        <f t="shared" ref="D1118:E1118" si="646">"TL02000010908"</f>
        <v>TL02000010908</v>
      </c>
      <c r="E1118" s="169" t="str">
        <f t="shared" si="646"/>
        <v>TL02000010908</v>
      </c>
      <c r="F1118" s="169" t="s">
        <v>18811</v>
      </c>
      <c r="G1118" s="169">
        <v>3.0</v>
      </c>
      <c r="H1118" s="169">
        <v>10300.0</v>
      </c>
      <c r="I1118" s="169">
        <v>30900.0</v>
      </c>
      <c r="J1118" s="169">
        <v>0.0</v>
      </c>
      <c r="K1118" s="169">
        <v>3.0</v>
      </c>
      <c r="L1118" s="169">
        <v>0.0</v>
      </c>
    </row>
    <row r="1119" ht="14.25" customHeight="1">
      <c r="A1119" s="169" t="s">
        <v>12839</v>
      </c>
      <c r="B1119" s="169" t="s">
        <v>12839</v>
      </c>
      <c r="C1119" s="169" t="s">
        <v>17484</v>
      </c>
      <c r="D1119" s="169" t="str">
        <f t="shared" ref="D1119:E1119" si="647">"TL02000010508"</f>
        <v>TL02000010508</v>
      </c>
      <c r="E1119" s="169" t="str">
        <f t="shared" si="647"/>
        <v>TL02000010508</v>
      </c>
      <c r="F1119" s="169" t="s">
        <v>18811</v>
      </c>
      <c r="G1119" s="169">
        <v>4.0</v>
      </c>
      <c r="H1119" s="169">
        <v>6200.0</v>
      </c>
      <c r="I1119" s="169">
        <v>24800.0</v>
      </c>
      <c r="J1119" s="169">
        <v>0.0</v>
      </c>
      <c r="K1119" s="169">
        <v>4.0</v>
      </c>
      <c r="L1119" s="169">
        <v>0.0</v>
      </c>
    </row>
    <row r="1120" ht="14.25" customHeight="1">
      <c r="A1120" s="169" t="s">
        <v>12839</v>
      </c>
      <c r="B1120" s="169" t="s">
        <v>12839</v>
      </c>
      <c r="C1120" s="169" t="s">
        <v>17482</v>
      </c>
      <c r="D1120" s="169" t="str">
        <f>"020001010082"</f>
        <v>020001010082</v>
      </c>
      <c r="E1120" s="169" t="str">
        <f>"20001010082"</f>
        <v>20001010082</v>
      </c>
      <c r="F1120" s="169" t="s">
        <v>18811</v>
      </c>
      <c r="G1120" s="169">
        <v>8.0</v>
      </c>
      <c r="H1120" s="169">
        <v>7920.0</v>
      </c>
      <c r="I1120" s="169">
        <v>63360.0</v>
      </c>
      <c r="J1120" s="169">
        <v>0.0</v>
      </c>
      <c r="K1120" s="169">
        <v>8.0</v>
      </c>
      <c r="L1120" s="169">
        <v>0.0</v>
      </c>
    </row>
    <row r="1121" ht="14.25" customHeight="1">
      <c r="A1121" s="169" t="s">
        <v>12839</v>
      </c>
      <c r="B1121" s="169" t="s">
        <v>12839</v>
      </c>
      <c r="C1121" s="169" t="s">
        <v>17480</v>
      </c>
      <c r="D1121" s="169" t="str">
        <f>"020001008089"</f>
        <v>020001008089</v>
      </c>
      <c r="E1121" s="169" t="str">
        <f>"20001008089"</f>
        <v>20001008089</v>
      </c>
      <c r="F1121" s="169" t="s">
        <v>18811</v>
      </c>
      <c r="G1121" s="169">
        <v>3.0</v>
      </c>
      <c r="H1121" s="169">
        <v>6670.0</v>
      </c>
      <c r="I1121" s="169">
        <v>20010.0</v>
      </c>
      <c r="J1121" s="169">
        <v>0.0</v>
      </c>
      <c r="K1121" s="169">
        <v>3.0</v>
      </c>
      <c r="L1121" s="169">
        <v>0.0</v>
      </c>
    </row>
    <row r="1122" ht="14.25" customHeight="1">
      <c r="A1122" s="169" t="s">
        <v>12839</v>
      </c>
      <c r="B1122" s="169" t="s">
        <v>12839</v>
      </c>
      <c r="C1122" s="169" t="s">
        <v>17478</v>
      </c>
      <c r="D1122" s="169" t="str">
        <f t="shared" ref="D1122:E1122" si="648">"20001007081"</f>
        <v>20001007081</v>
      </c>
      <c r="E1122" s="169" t="str">
        <f t="shared" si="648"/>
        <v>20001007081</v>
      </c>
      <c r="F1122" s="169" t="s">
        <v>18811</v>
      </c>
      <c r="G1122" s="169">
        <v>3.0</v>
      </c>
      <c r="H1122" s="169">
        <v>5880.0</v>
      </c>
      <c r="I1122" s="169">
        <v>17640.0</v>
      </c>
      <c r="J1122" s="169">
        <v>0.0</v>
      </c>
      <c r="K1122" s="169">
        <v>3.0</v>
      </c>
      <c r="L1122" s="169">
        <v>0.0</v>
      </c>
    </row>
    <row r="1123" ht="14.25" customHeight="1">
      <c r="A1123" s="169" t="s">
        <v>12839</v>
      </c>
      <c r="B1123" s="169" t="s">
        <v>12839</v>
      </c>
      <c r="C1123" s="169" t="s">
        <v>17476</v>
      </c>
      <c r="D1123" s="169" t="str">
        <f>"020001009086"</f>
        <v>020001009086</v>
      </c>
      <c r="E1123" s="169" t="str">
        <f>"20001009086"</f>
        <v>20001009086</v>
      </c>
      <c r="F1123" s="169" t="s">
        <v>18811</v>
      </c>
      <c r="G1123" s="169">
        <v>3.0</v>
      </c>
      <c r="H1123" s="169">
        <v>7290.0</v>
      </c>
      <c r="I1123" s="169">
        <v>21870.0</v>
      </c>
      <c r="J1123" s="169">
        <v>0.0</v>
      </c>
      <c r="K1123" s="169">
        <v>3.0</v>
      </c>
      <c r="L1123" s="169">
        <v>0.0</v>
      </c>
    </row>
    <row r="1124" ht="14.25" customHeight="1">
      <c r="A1124" s="169" t="s">
        <v>12839</v>
      </c>
      <c r="B1124" s="169" t="s">
        <v>12839</v>
      </c>
      <c r="C1124" s="169" t="s">
        <v>17475</v>
      </c>
      <c r="D1124" s="169" t="str">
        <f t="shared" ref="D1124:E1124" si="649">"TL02500011502"</f>
        <v>TL02500011502</v>
      </c>
      <c r="E1124" s="169" t="str">
        <f t="shared" si="649"/>
        <v>TL02500011502</v>
      </c>
      <c r="F1124" s="169" t="s">
        <v>18811</v>
      </c>
      <c r="G1124" s="169">
        <v>4.0</v>
      </c>
      <c r="H1124" s="169">
        <v>6300.0</v>
      </c>
      <c r="I1124" s="169">
        <v>25200.0</v>
      </c>
      <c r="J1124" s="169">
        <v>0.0</v>
      </c>
      <c r="K1124" s="169">
        <v>4.0</v>
      </c>
      <c r="L1124" s="169">
        <v>0.0</v>
      </c>
    </row>
    <row r="1125" ht="14.25" customHeight="1">
      <c r="A1125" s="169" t="s">
        <v>12839</v>
      </c>
      <c r="B1125" s="169" t="s">
        <v>12839</v>
      </c>
      <c r="C1125" s="169" t="s">
        <v>17474</v>
      </c>
      <c r="D1125" s="169" t="str">
        <f t="shared" ref="D1125:E1125" si="650">"TL02500011521"</f>
        <v>TL02500011521</v>
      </c>
      <c r="E1125" s="169" t="str">
        <f t="shared" si="650"/>
        <v>TL02500011521</v>
      </c>
      <c r="F1125" s="169" t="s">
        <v>18811</v>
      </c>
      <c r="G1125" s="169">
        <v>3.0</v>
      </c>
      <c r="H1125" s="169">
        <v>6166.7</v>
      </c>
      <c r="I1125" s="169">
        <v>18500.0</v>
      </c>
      <c r="J1125" s="169">
        <v>0.0</v>
      </c>
      <c r="K1125" s="169">
        <v>3.0</v>
      </c>
      <c r="L1125" s="169">
        <v>0.0</v>
      </c>
    </row>
    <row r="1126" ht="14.25" customHeight="1">
      <c r="A1126" s="169" t="s">
        <v>12839</v>
      </c>
      <c r="B1126" s="169" t="s">
        <v>12839</v>
      </c>
      <c r="C1126" s="169" t="s">
        <v>17472</v>
      </c>
      <c r="D1126" s="169" t="str">
        <f t="shared" ref="D1126:E1126" si="651">"180000115086"</f>
        <v>180000115086</v>
      </c>
      <c r="E1126" s="169" t="str">
        <f t="shared" si="651"/>
        <v>180000115086</v>
      </c>
      <c r="F1126" s="169" t="s">
        <v>18811</v>
      </c>
      <c r="G1126" s="169">
        <v>2.0</v>
      </c>
      <c r="H1126" s="169">
        <v>15300.0</v>
      </c>
      <c r="I1126" s="169">
        <v>30600.0</v>
      </c>
      <c r="J1126" s="169">
        <v>0.0</v>
      </c>
      <c r="K1126" s="169">
        <v>2.0</v>
      </c>
      <c r="L1126" s="169">
        <v>0.0</v>
      </c>
    </row>
    <row r="1127" ht="14.25" customHeight="1">
      <c r="A1127" s="169" t="s">
        <v>12839</v>
      </c>
      <c r="B1127" s="169" t="s">
        <v>12839</v>
      </c>
      <c r="C1127" s="169" t="s">
        <v>17470</v>
      </c>
      <c r="D1127" s="169" t="str">
        <f t="shared" ref="D1127:E1127" si="652">"9500021503"</f>
        <v>9500021503</v>
      </c>
      <c r="E1127" s="169" t="str">
        <f t="shared" si="652"/>
        <v>9500021503</v>
      </c>
      <c r="F1127" s="169" t="s">
        <v>18811</v>
      </c>
      <c r="G1127" s="169">
        <v>5.0</v>
      </c>
      <c r="H1127" s="169">
        <v>6300.0</v>
      </c>
      <c r="I1127" s="169">
        <v>31500.0</v>
      </c>
      <c r="J1127" s="169">
        <v>0.0</v>
      </c>
      <c r="K1127" s="169">
        <v>5.0</v>
      </c>
      <c r="L1127" s="169">
        <v>0.0</v>
      </c>
    </row>
    <row r="1128" ht="14.25" customHeight="1">
      <c r="A1128" s="169" t="s">
        <v>12839</v>
      </c>
      <c r="B1128" s="169" t="s">
        <v>12839</v>
      </c>
      <c r="C1128" s="169" t="s">
        <v>17469</v>
      </c>
      <c r="D1128" s="169" t="str">
        <f t="shared" ref="D1128:E1128" si="653">"SD00000091502"</f>
        <v>SD00000091502</v>
      </c>
      <c r="E1128" s="169" t="str">
        <f t="shared" si="653"/>
        <v>SD00000091502</v>
      </c>
      <c r="F1128" s="169" t="s">
        <v>18811</v>
      </c>
      <c r="G1128" s="169">
        <v>1.0</v>
      </c>
      <c r="H1128" s="169">
        <v>4100.0</v>
      </c>
      <c r="I1128" s="169">
        <v>4100.0</v>
      </c>
      <c r="J1128" s="169">
        <v>0.0</v>
      </c>
      <c r="K1128" s="169">
        <v>1.0</v>
      </c>
      <c r="L1128" s="169">
        <v>0.0</v>
      </c>
    </row>
    <row r="1129" ht="14.25" customHeight="1">
      <c r="A1129" s="169" t="s">
        <v>12839</v>
      </c>
      <c r="B1129" s="169" t="s">
        <v>12839</v>
      </c>
      <c r="C1129" s="169" t="s">
        <v>17468</v>
      </c>
      <c r="D1129" s="169" t="str">
        <f t="shared" ref="D1129:E1129" si="654">"SD00000091521"</f>
        <v>SD00000091521</v>
      </c>
      <c r="E1129" s="169" t="str">
        <f t="shared" si="654"/>
        <v>SD00000091521</v>
      </c>
      <c r="F1129" s="169" t="s">
        <v>18811</v>
      </c>
      <c r="G1129" s="169">
        <v>2.0</v>
      </c>
      <c r="H1129" s="169">
        <v>4100.0</v>
      </c>
      <c r="I1129" s="169">
        <v>8200.0</v>
      </c>
      <c r="J1129" s="169">
        <v>0.0</v>
      </c>
      <c r="K1129" s="169">
        <v>2.0</v>
      </c>
      <c r="L1129" s="169">
        <v>0.0</v>
      </c>
    </row>
    <row r="1130" ht="14.25" customHeight="1">
      <c r="A1130" s="169" t="s">
        <v>12839</v>
      </c>
      <c r="B1130" s="169" t="s">
        <v>12839</v>
      </c>
      <c r="C1130" s="169" t="s">
        <v>17467</v>
      </c>
      <c r="D1130" s="169" t="str">
        <f t="shared" ref="D1130:E1130" si="655">"SD00000091510"</f>
        <v>SD00000091510</v>
      </c>
      <c r="E1130" s="169" t="str">
        <f t="shared" si="655"/>
        <v>SD00000091510</v>
      </c>
      <c r="F1130" s="169" t="s">
        <v>18811</v>
      </c>
      <c r="G1130" s="169">
        <v>4.0</v>
      </c>
      <c r="H1130" s="169">
        <v>3895.0</v>
      </c>
      <c r="I1130" s="169">
        <v>15580.0</v>
      </c>
      <c r="J1130" s="169">
        <v>0.0</v>
      </c>
      <c r="K1130" s="169">
        <v>4.0</v>
      </c>
      <c r="L1130" s="169">
        <v>0.0</v>
      </c>
    </row>
    <row r="1131" ht="14.25" customHeight="1">
      <c r="A1131" s="169" t="s">
        <v>12839</v>
      </c>
      <c r="B1131" s="169" t="s">
        <v>12839</v>
      </c>
      <c r="C1131" s="169" t="s">
        <v>17466</v>
      </c>
      <c r="D1131" s="169" t="str">
        <f t="shared" ref="D1131:E1131" si="656">"TD10000010808"</f>
        <v>TD10000010808</v>
      </c>
      <c r="E1131" s="169" t="str">
        <f t="shared" si="656"/>
        <v>TD10000010808</v>
      </c>
      <c r="F1131" s="169" t="s">
        <v>18811</v>
      </c>
      <c r="G1131" s="169">
        <v>7.0</v>
      </c>
      <c r="H1131" s="169">
        <v>31140.0</v>
      </c>
      <c r="I1131" s="169">
        <v>217980.0</v>
      </c>
      <c r="J1131" s="169">
        <v>0.0</v>
      </c>
      <c r="K1131" s="169">
        <v>7.0</v>
      </c>
      <c r="L1131" s="169">
        <v>0.0</v>
      </c>
    </row>
    <row r="1132" ht="14.25" customHeight="1">
      <c r="A1132" s="169" t="s">
        <v>12839</v>
      </c>
      <c r="B1132" s="169" t="s">
        <v>12839</v>
      </c>
      <c r="C1132" s="169" t="s">
        <v>17465</v>
      </c>
      <c r="D1132" s="169" t="str">
        <f t="shared" ref="D1132:E1132" si="657">"TD10000010608"</f>
        <v>TD10000010608</v>
      </c>
      <c r="E1132" s="169" t="str">
        <f t="shared" si="657"/>
        <v>TD10000010608</v>
      </c>
      <c r="F1132" s="169" t="s">
        <v>18811</v>
      </c>
      <c r="G1132" s="169">
        <v>8.0</v>
      </c>
      <c r="H1132" s="169">
        <v>19080.0</v>
      </c>
      <c r="I1132" s="169">
        <v>152640.0</v>
      </c>
      <c r="J1132" s="169">
        <v>0.0</v>
      </c>
      <c r="K1132" s="169">
        <v>8.0</v>
      </c>
      <c r="L1132" s="169">
        <v>0.0</v>
      </c>
    </row>
    <row r="1133" ht="14.25" customHeight="1">
      <c r="A1133" s="169" t="s">
        <v>12839</v>
      </c>
      <c r="B1133" s="169" t="s">
        <v>12839</v>
      </c>
      <c r="C1133" s="169" t="s">
        <v>17464</v>
      </c>
      <c r="D1133" s="169" t="str">
        <f t="shared" ref="D1133:E1133" si="658">"TD10000010908"</f>
        <v>TD10000010908</v>
      </c>
      <c r="E1133" s="169" t="str">
        <f t="shared" si="658"/>
        <v>TD10000010908</v>
      </c>
      <c r="F1133" s="169" t="s">
        <v>18811</v>
      </c>
      <c r="G1133" s="169">
        <v>3.0</v>
      </c>
      <c r="H1133" s="169">
        <v>40140.0</v>
      </c>
      <c r="I1133" s="169">
        <v>120420.0</v>
      </c>
      <c r="J1133" s="169">
        <v>0.0</v>
      </c>
      <c r="K1133" s="169">
        <v>3.0</v>
      </c>
      <c r="L1133" s="169">
        <v>0.0</v>
      </c>
    </row>
    <row r="1134" ht="14.25" customHeight="1">
      <c r="A1134" s="169" t="s">
        <v>12839</v>
      </c>
      <c r="B1134" s="169" t="s">
        <v>12839</v>
      </c>
      <c r="C1134" s="169" t="s">
        <v>17462</v>
      </c>
      <c r="D1134" s="169" t="str">
        <f t="shared" ref="D1134:E1134" si="659">"764451134782"</f>
        <v>764451134782</v>
      </c>
      <c r="E1134" s="169" t="str">
        <f t="shared" si="659"/>
        <v>764451134782</v>
      </c>
      <c r="F1134" s="169" t="s">
        <v>18811</v>
      </c>
      <c r="G1134" s="169">
        <v>6.0</v>
      </c>
      <c r="H1134" s="169">
        <v>22000.0</v>
      </c>
      <c r="I1134" s="169">
        <v>132000.0</v>
      </c>
      <c r="J1134" s="169">
        <v>0.0</v>
      </c>
      <c r="K1134" s="169">
        <v>6.0</v>
      </c>
      <c r="L1134" s="169">
        <v>0.0</v>
      </c>
    </row>
    <row r="1135" ht="14.25" customHeight="1">
      <c r="A1135" s="169" t="s">
        <v>12839</v>
      </c>
      <c r="B1135" s="169" t="s">
        <v>12839</v>
      </c>
      <c r="C1135" s="169" t="s">
        <v>17461</v>
      </c>
      <c r="D1135" s="169" t="str">
        <f t="shared" ref="D1135:E1135" si="660">"TD10000020815"</f>
        <v>TD10000020815</v>
      </c>
      <c r="E1135" s="169" t="str">
        <f t="shared" si="660"/>
        <v>TD10000020815</v>
      </c>
      <c r="F1135" s="169" t="s">
        <v>18811</v>
      </c>
      <c r="G1135" s="169">
        <v>4.0</v>
      </c>
      <c r="H1135" s="169">
        <v>32130.0</v>
      </c>
      <c r="I1135" s="169">
        <v>128520.0</v>
      </c>
      <c r="J1135" s="169">
        <v>0.0</v>
      </c>
      <c r="K1135" s="169">
        <v>4.0</v>
      </c>
      <c r="L1135" s="169">
        <v>0.0</v>
      </c>
    </row>
    <row r="1136" ht="14.25" customHeight="1">
      <c r="A1136" s="169" t="s">
        <v>12839</v>
      </c>
      <c r="B1136" s="169" t="s">
        <v>12839</v>
      </c>
      <c r="C1136" s="169" t="s">
        <v>17460</v>
      </c>
      <c r="D1136" s="169" t="str">
        <f>"1559653594730"</f>
        <v>1559653594730</v>
      </c>
      <c r="E1136" s="169" t="str">
        <f>"TD10000020812"</f>
        <v>TD10000020812</v>
      </c>
      <c r="F1136" s="169" t="s">
        <v>18811</v>
      </c>
      <c r="G1136" s="169">
        <v>1.0</v>
      </c>
      <c r="H1136" s="169">
        <v>35700.0</v>
      </c>
      <c r="I1136" s="169">
        <v>35700.0</v>
      </c>
      <c r="J1136" s="169">
        <v>0.0</v>
      </c>
      <c r="K1136" s="169">
        <v>1.0</v>
      </c>
      <c r="L1136" s="169">
        <v>0.0</v>
      </c>
    </row>
    <row r="1137" ht="14.25" customHeight="1">
      <c r="A1137" s="169" t="s">
        <v>12839</v>
      </c>
      <c r="B1137" s="169" t="s">
        <v>12839</v>
      </c>
      <c r="C1137" s="169" t="s">
        <v>17459</v>
      </c>
      <c r="D1137" s="169" t="str">
        <f t="shared" ref="D1137:E1137" si="661">"TD10000020715"</f>
        <v>TD10000020715</v>
      </c>
      <c r="E1137" s="169" t="str">
        <f t="shared" si="661"/>
        <v>TD10000020715</v>
      </c>
      <c r="F1137" s="169" t="s">
        <v>18811</v>
      </c>
      <c r="G1137" s="169">
        <v>7.0</v>
      </c>
      <c r="H1137" s="169">
        <v>24120.0</v>
      </c>
      <c r="I1137" s="169">
        <v>168840.0</v>
      </c>
      <c r="J1137" s="169">
        <v>0.0</v>
      </c>
      <c r="K1137" s="169">
        <v>7.0</v>
      </c>
      <c r="L1137" s="169">
        <v>0.0</v>
      </c>
    </row>
    <row r="1138" ht="14.25" customHeight="1">
      <c r="A1138" s="169" t="s">
        <v>12839</v>
      </c>
      <c r="B1138" s="169" t="s">
        <v>12839</v>
      </c>
      <c r="C1138" s="169" t="s">
        <v>17458</v>
      </c>
      <c r="D1138" s="169" t="str">
        <f t="shared" ref="D1138:E1138" si="662">"TD10000020712"</f>
        <v>TD10000020712</v>
      </c>
      <c r="E1138" s="169" t="str">
        <f t="shared" si="662"/>
        <v>TD10000020712</v>
      </c>
      <c r="F1138" s="169" t="s">
        <v>18811</v>
      </c>
      <c r="G1138" s="169">
        <v>4.0</v>
      </c>
      <c r="H1138" s="169">
        <v>25906.5</v>
      </c>
      <c r="I1138" s="169">
        <v>103626.0</v>
      </c>
      <c r="J1138" s="169">
        <v>0.0</v>
      </c>
      <c r="K1138" s="169">
        <v>4.0</v>
      </c>
      <c r="L1138" s="169">
        <v>0.0</v>
      </c>
    </row>
    <row r="1139" ht="14.25" customHeight="1">
      <c r="A1139" s="169" t="s">
        <v>12839</v>
      </c>
      <c r="B1139" s="169" t="s">
        <v>12839</v>
      </c>
      <c r="C1139" s="169" t="s">
        <v>17457</v>
      </c>
      <c r="D1139" s="169" t="str">
        <f t="shared" ref="D1139:E1139" si="663">"TD10000020615"</f>
        <v>TD10000020615</v>
      </c>
      <c r="E1139" s="169" t="str">
        <f t="shared" si="663"/>
        <v>TD10000020615</v>
      </c>
      <c r="F1139" s="169" t="s">
        <v>18811</v>
      </c>
      <c r="G1139" s="169">
        <v>3.0</v>
      </c>
      <c r="H1139" s="169">
        <v>19620.0</v>
      </c>
      <c r="I1139" s="169">
        <v>58860.0</v>
      </c>
      <c r="J1139" s="169">
        <v>0.0</v>
      </c>
      <c r="K1139" s="169">
        <v>3.0</v>
      </c>
      <c r="L1139" s="169">
        <v>0.0</v>
      </c>
    </row>
    <row r="1140" ht="14.25" customHeight="1">
      <c r="A1140" s="169" t="s">
        <v>12839</v>
      </c>
      <c r="B1140" s="169" t="s">
        <v>12839</v>
      </c>
      <c r="C1140" s="169" t="s">
        <v>17456</v>
      </c>
      <c r="D1140" s="169" t="str">
        <f t="shared" ref="D1140:E1140" si="664">"TD10000020612"</f>
        <v>TD10000020612</v>
      </c>
      <c r="E1140" s="169" t="str">
        <f t="shared" si="664"/>
        <v>TD10000020612</v>
      </c>
      <c r="F1140" s="169" t="s">
        <v>18811</v>
      </c>
      <c r="G1140" s="169">
        <v>6.0</v>
      </c>
      <c r="H1140" s="169">
        <v>19620.0</v>
      </c>
      <c r="I1140" s="169">
        <v>117720.0</v>
      </c>
      <c r="J1140" s="169">
        <v>0.0</v>
      </c>
      <c r="K1140" s="169">
        <v>6.0</v>
      </c>
      <c r="L1140" s="169">
        <v>0.0</v>
      </c>
    </row>
    <row r="1141" ht="14.25" customHeight="1">
      <c r="A1141" s="169" t="s">
        <v>12839</v>
      </c>
      <c r="B1141" s="169" t="s">
        <v>12839</v>
      </c>
      <c r="C1141" s="169" t="s">
        <v>17455</v>
      </c>
      <c r="D1141" s="169" t="str">
        <f t="shared" ref="D1141:E1141" si="665">"TD10000020912"</f>
        <v>TD10000020912</v>
      </c>
      <c r="E1141" s="169" t="str">
        <f t="shared" si="665"/>
        <v>TD10000020912</v>
      </c>
      <c r="F1141" s="169" t="s">
        <v>18811</v>
      </c>
      <c r="G1141" s="169">
        <v>1.0</v>
      </c>
      <c r="H1141" s="169">
        <v>44900.0</v>
      </c>
      <c r="I1141" s="169">
        <v>44900.0</v>
      </c>
      <c r="J1141" s="169">
        <v>0.0</v>
      </c>
      <c r="K1141" s="169">
        <v>1.0</v>
      </c>
      <c r="L1141" s="169">
        <v>0.0</v>
      </c>
    </row>
    <row r="1142" ht="14.25" customHeight="1">
      <c r="A1142" s="169" t="s">
        <v>12839</v>
      </c>
      <c r="B1142" s="169" t="s">
        <v>12839</v>
      </c>
      <c r="C1142" s="169" t="s">
        <v>17454</v>
      </c>
      <c r="D1142" s="169" t="str">
        <f t="shared" ref="D1142:E1142" si="666">"TD10000020915"</f>
        <v>TD10000020915</v>
      </c>
      <c r="E1142" s="169" t="str">
        <f t="shared" si="666"/>
        <v>TD10000020915</v>
      </c>
      <c r="F1142" s="169" t="s">
        <v>18811</v>
      </c>
      <c r="G1142" s="169">
        <v>4.0</v>
      </c>
      <c r="H1142" s="169">
        <v>40410.0</v>
      </c>
      <c r="I1142" s="169">
        <v>161640.0</v>
      </c>
      <c r="J1142" s="169">
        <v>0.0</v>
      </c>
      <c r="K1142" s="169">
        <v>4.0</v>
      </c>
      <c r="L1142" s="169">
        <v>0.0</v>
      </c>
    </row>
    <row r="1143" ht="14.25" customHeight="1">
      <c r="A1143" s="169" t="s">
        <v>12839</v>
      </c>
      <c r="B1143" s="169" t="s">
        <v>12839</v>
      </c>
      <c r="C1143" s="169" t="s">
        <v>17453</v>
      </c>
      <c r="D1143" s="169" t="str">
        <f t="shared" ref="D1143:E1143" si="667">"TL03000161508"</f>
        <v>TL03000161508</v>
      </c>
      <c r="E1143" s="169" t="str">
        <f t="shared" si="667"/>
        <v>TL03000161508</v>
      </c>
      <c r="F1143" s="169" t="s">
        <v>18811</v>
      </c>
      <c r="G1143" s="169">
        <v>22.0</v>
      </c>
      <c r="H1143" s="169">
        <v>2532.7</v>
      </c>
      <c r="I1143" s="169">
        <v>55720.0</v>
      </c>
      <c r="J1143" s="169">
        <v>0.0</v>
      </c>
      <c r="K1143" s="169">
        <v>22.0</v>
      </c>
      <c r="L1143" s="169">
        <v>0.0</v>
      </c>
    </row>
    <row r="1144" ht="14.25" customHeight="1">
      <c r="A1144" s="169" t="s">
        <v>12839</v>
      </c>
      <c r="B1144" s="169" t="s">
        <v>12839</v>
      </c>
      <c r="C1144" s="169" t="s">
        <v>17451</v>
      </c>
      <c r="D1144" s="169" t="str">
        <f t="shared" ref="D1144:E1144" si="668">"2014000021508"</f>
        <v>2014000021508</v>
      </c>
      <c r="E1144" s="169" t="str">
        <f t="shared" si="668"/>
        <v>2014000021508</v>
      </c>
      <c r="F1144" s="169" t="s">
        <v>18811</v>
      </c>
      <c r="G1144" s="169">
        <v>16.0</v>
      </c>
      <c r="H1144" s="169">
        <v>25740.0</v>
      </c>
      <c r="I1144" s="169">
        <v>411840.0</v>
      </c>
      <c r="J1144" s="169">
        <v>0.0</v>
      </c>
      <c r="K1144" s="169">
        <v>16.0</v>
      </c>
      <c r="L1144" s="169">
        <v>0.0</v>
      </c>
    </row>
    <row r="1145" ht="14.25" customHeight="1">
      <c r="A1145" s="169" t="s">
        <v>12839</v>
      </c>
      <c r="B1145" s="169" t="s">
        <v>12839</v>
      </c>
      <c r="C1145" s="169" t="s">
        <v>17449</v>
      </c>
      <c r="D1145" s="169" t="str">
        <f t="shared" ref="D1145:E1145" si="669">"2014000011508"</f>
        <v>2014000011508</v>
      </c>
      <c r="E1145" s="169" t="str">
        <f t="shared" si="669"/>
        <v>2014000011508</v>
      </c>
      <c r="F1145" s="169" t="s">
        <v>18811</v>
      </c>
      <c r="G1145" s="169">
        <v>13.0</v>
      </c>
      <c r="H1145" s="169">
        <v>25500.0</v>
      </c>
      <c r="I1145" s="169">
        <v>331500.0</v>
      </c>
      <c r="J1145" s="169">
        <v>0.0</v>
      </c>
      <c r="K1145" s="169">
        <v>13.0</v>
      </c>
      <c r="L1145" s="169">
        <v>0.0</v>
      </c>
    </row>
    <row r="1146" ht="14.25" customHeight="1">
      <c r="A1146" s="169" t="s">
        <v>12839</v>
      </c>
      <c r="B1146" s="169" t="s">
        <v>12839</v>
      </c>
      <c r="C1146" s="169" t="s">
        <v>17448</v>
      </c>
      <c r="D1146" s="169" t="str">
        <f t="shared" ref="D1146:E1146" si="670">"TL01500031502"</f>
        <v>TL01500031502</v>
      </c>
      <c r="E1146" s="169" t="str">
        <f t="shared" si="670"/>
        <v>TL01500031502</v>
      </c>
      <c r="F1146" s="169" t="s">
        <v>18811</v>
      </c>
      <c r="G1146" s="169">
        <v>4.0</v>
      </c>
      <c r="H1146" s="169">
        <v>1942.5</v>
      </c>
      <c r="I1146" s="169">
        <v>7770.0</v>
      </c>
      <c r="J1146" s="169">
        <v>0.0</v>
      </c>
      <c r="K1146" s="169">
        <v>4.0</v>
      </c>
      <c r="L1146" s="169">
        <v>0.0</v>
      </c>
    </row>
    <row r="1147" ht="14.25" customHeight="1">
      <c r="A1147" s="169" t="s">
        <v>12839</v>
      </c>
      <c r="B1147" s="169" t="s">
        <v>12839</v>
      </c>
      <c r="C1147" s="169" t="s">
        <v>17447</v>
      </c>
      <c r="D1147" s="169" t="str">
        <f t="shared" ref="D1147:E1147" si="671">"TL01500011502"</f>
        <v>TL01500011502</v>
      </c>
      <c r="E1147" s="169" t="str">
        <f t="shared" si="671"/>
        <v>TL01500011502</v>
      </c>
      <c r="F1147" s="169" t="s">
        <v>18811</v>
      </c>
      <c r="G1147" s="169">
        <v>2.0</v>
      </c>
      <c r="H1147" s="169">
        <v>1500.0</v>
      </c>
      <c r="I1147" s="169">
        <v>3000.0</v>
      </c>
      <c r="J1147" s="169">
        <v>0.0</v>
      </c>
      <c r="K1147" s="169">
        <v>2.0</v>
      </c>
      <c r="L1147" s="169">
        <v>0.0</v>
      </c>
    </row>
    <row r="1148" ht="14.25" customHeight="1">
      <c r="A1148" s="169" t="s">
        <v>12839</v>
      </c>
      <c r="B1148" s="169" t="s">
        <v>12839</v>
      </c>
      <c r="C1148" s="169" t="s">
        <v>17446</v>
      </c>
      <c r="D1148" s="169" t="str">
        <f t="shared" ref="D1148:E1148" si="672">"TL01500011509"</f>
        <v>TL01500011509</v>
      </c>
      <c r="E1148" s="169" t="str">
        <f t="shared" si="672"/>
        <v>TL01500011509</v>
      </c>
      <c r="F1148" s="169" t="s">
        <v>18811</v>
      </c>
      <c r="G1148" s="169">
        <v>3.0</v>
      </c>
      <c r="H1148" s="169">
        <v>1500.0</v>
      </c>
      <c r="I1148" s="169">
        <v>4500.0</v>
      </c>
      <c r="J1148" s="169">
        <v>0.0</v>
      </c>
      <c r="K1148" s="169">
        <v>3.0</v>
      </c>
      <c r="L1148" s="169">
        <v>0.0</v>
      </c>
    </row>
    <row r="1149" ht="14.25" customHeight="1">
      <c r="A1149" s="169" t="s">
        <v>12839</v>
      </c>
      <c r="B1149" s="169" t="s">
        <v>12839</v>
      </c>
      <c r="C1149" s="169" t="s">
        <v>17445</v>
      </c>
      <c r="D1149" s="169" t="str">
        <f t="shared" ref="D1149:E1149" si="673">"YB01000111026"</f>
        <v>YB01000111026</v>
      </c>
      <c r="E1149" s="169" t="str">
        <f t="shared" si="673"/>
        <v>YB01000111026</v>
      </c>
      <c r="F1149" s="169" t="s">
        <v>18811</v>
      </c>
      <c r="G1149" s="169">
        <v>1.0</v>
      </c>
      <c r="H1149" s="169">
        <v>7740.0</v>
      </c>
      <c r="I1149" s="169">
        <v>7740.0</v>
      </c>
      <c r="J1149" s="169">
        <v>0.0</v>
      </c>
      <c r="K1149" s="169">
        <v>1.0</v>
      </c>
      <c r="L1149" s="169">
        <v>0.0</v>
      </c>
    </row>
    <row r="1150" ht="14.25" customHeight="1">
      <c r="A1150" s="169" t="s">
        <v>12839</v>
      </c>
      <c r="B1150" s="169" t="s">
        <v>12839</v>
      </c>
      <c r="C1150" s="169" t="s">
        <v>17444</v>
      </c>
      <c r="D1150" s="169" t="str">
        <f t="shared" ref="D1150:E1150" si="674">"YB01000111021"</f>
        <v>YB01000111021</v>
      </c>
      <c r="E1150" s="169" t="str">
        <f t="shared" si="674"/>
        <v>YB01000111021</v>
      </c>
      <c r="F1150" s="169" t="s">
        <v>18811</v>
      </c>
      <c r="G1150" s="169">
        <v>5.0</v>
      </c>
      <c r="H1150" s="169">
        <v>8600.0</v>
      </c>
      <c r="I1150" s="169">
        <v>43000.0</v>
      </c>
      <c r="J1150" s="169">
        <v>0.0</v>
      </c>
      <c r="K1150" s="169">
        <v>5.0</v>
      </c>
      <c r="L1150" s="169">
        <v>0.0</v>
      </c>
    </row>
    <row r="1151" ht="14.25" customHeight="1">
      <c r="A1151" s="169" t="s">
        <v>12839</v>
      </c>
      <c r="B1151" s="169" t="s">
        <v>12839</v>
      </c>
      <c r="C1151" s="169" t="s">
        <v>17443</v>
      </c>
      <c r="D1151" s="169" t="str">
        <f t="shared" ref="D1151:E1151" si="675">"YB01000111009"</f>
        <v>YB01000111009</v>
      </c>
      <c r="E1151" s="169" t="str">
        <f t="shared" si="675"/>
        <v>YB01000111009</v>
      </c>
      <c r="F1151" s="169" t="s">
        <v>18811</v>
      </c>
      <c r="G1151" s="169">
        <v>3.0</v>
      </c>
      <c r="H1151" s="169">
        <v>8600.0</v>
      </c>
      <c r="I1151" s="169">
        <v>25800.0</v>
      </c>
      <c r="J1151" s="169">
        <v>0.0</v>
      </c>
      <c r="K1151" s="169">
        <v>3.0</v>
      </c>
      <c r="L1151" s="169">
        <v>0.0</v>
      </c>
    </row>
    <row r="1152" ht="14.25" customHeight="1">
      <c r="A1152" s="169" t="s">
        <v>12839</v>
      </c>
      <c r="B1152" s="169" t="s">
        <v>12839</v>
      </c>
      <c r="C1152" s="169" t="s">
        <v>17442</v>
      </c>
      <c r="D1152" s="169" t="str">
        <f t="shared" ref="D1152:E1152" si="676">"YB01000111126"</f>
        <v>YB01000111126</v>
      </c>
      <c r="E1152" s="169" t="str">
        <f t="shared" si="676"/>
        <v>YB01000111126</v>
      </c>
      <c r="F1152" s="169" t="s">
        <v>18811</v>
      </c>
      <c r="G1152" s="169">
        <v>2.0</v>
      </c>
      <c r="H1152" s="169">
        <v>9900.0</v>
      </c>
      <c r="I1152" s="169">
        <v>19800.0</v>
      </c>
      <c r="J1152" s="169">
        <v>0.0</v>
      </c>
      <c r="K1152" s="169">
        <v>2.0</v>
      </c>
      <c r="L1152" s="169">
        <v>0.0</v>
      </c>
    </row>
    <row r="1153" ht="14.25" customHeight="1">
      <c r="A1153" s="169" t="s">
        <v>12839</v>
      </c>
      <c r="B1153" s="169" t="s">
        <v>12839</v>
      </c>
      <c r="C1153" s="169" t="s">
        <v>17441</v>
      </c>
      <c r="D1153" s="169" t="str">
        <f t="shared" ref="D1153:E1153" si="677">"YB01000111121"</f>
        <v>YB01000111121</v>
      </c>
      <c r="E1153" s="169" t="str">
        <f t="shared" si="677"/>
        <v>YB01000111121</v>
      </c>
      <c r="F1153" s="169" t="s">
        <v>18811</v>
      </c>
      <c r="G1153" s="169">
        <v>1.0</v>
      </c>
      <c r="H1153" s="169">
        <v>8910.0</v>
      </c>
      <c r="I1153" s="169">
        <v>8910.0</v>
      </c>
      <c r="J1153" s="169">
        <v>0.0</v>
      </c>
      <c r="K1153" s="169">
        <v>1.0</v>
      </c>
      <c r="L1153" s="169">
        <v>0.0</v>
      </c>
    </row>
    <row r="1154" ht="14.25" customHeight="1">
      <c r="A1154" s="169" t="s">
        <v>12839</v>
      </c>
      <c r="B1154" s="169" t="s">
        <v>12839</v>
      </c>
      <c r="C1154" s="169" t="s">
        <v>17440</v>
      </c>
      <c r="D1154" s="169" t="str">
        <f t="shared" ref="D1154:E1154" si="678">"YB01000110926"</f>
        <v>YB01000110926</v>
      </c>
      <c r="E1154" s="169" t="str">
        <f t="shared" si="678"/>
        <v>YB01000110926</v>
      </c>
      <c r="F1154" s="169" t="s">
        <v>18811</v>
      </c>
      <c r="G1154" s="169">
        <v>2.0</v>
      </c>
      <c r="H1154" s="169">
        <v>7700.0</v>
      </c>
      <c r="I1154" s="169">
        <v>15400.0</v>
      </c>
      <c r="J1154" s="169">
        <v>0.0</v>
      </c>
      <c r="K1154" s="169">
        <v>2.0</v>
      </c>
      <c r="L1154" s="169">
        <v>0.0</v>
      </c>
    </row>
    <row r="1155" ht="14.25" customHeight="1">
      <c r="A1155" s="169" t="s">
        <v>12839</v>
      </c>
      <c r="B1155" s="169" t="s">
        <v>12839</v>
      </c>
      <c r="C1155" s="169" t="s">
        <v>17439</v>
      </c>
      <c r="D1155" s="169" t="str">
        <f t="shared" ref="D1155:E1155" si="679">"YB01000110921"</f>
        <v>YB01000110921</v>
      </c>
      <c r="E1155" s="169" t="str">
        <f t="shared" si="679"/>
        <v>YB01000110921</v>
      </c>
      <c r="F1155" s="169" t="s">
        <v>18811</v>
      </c>
      <c r="G1155" s="169">
        <v>3.0</v>
      </c>
      <c r="H1155" s="169">
        <v>7700.0</v>
      </c>
      <c r="I1155" s="169">
        <v>23100.0</v>
      </c>
      <c r="J1155" s="169">
        <v>0.0</v>
      </c>
      <c r="K1155" s="169">
        <v>3.0</v>
      </c>
      <c r="L1155" s="169">
        <v>0.0</v>
      </c>
    </row>
    <row r="1156" ht="14.25" customHeight="1">
      <c r="A1156" s="169" t="s">
        <v>12839</v>
      </c>
      <c r="B1156" s="169" t="s">
        <v>12839</v>
      </c>
      <c r="C1156" s="169" t="s">
        <v>17438</v>
      </c>
      <c r="D1156" s="169" t="str">
        <f t="shared" ref="D1156:E1156" si="680">"YB01000071015"</f>
        <v>YB01000071015</v>
      </c>
      <c r="E1156" s="169" t="str">
        <f t="shared" si="680"/>
        <v>YB01000071015</v>
      </c>
      <c r="F1156" s="169" t="s">
        <v>18811</v>
      </c>
      <c r="G1156" s="169">
        <v>2.0</v>
      </c>
      <c r="H1156" s="169">
        <v>9300.0</v>
      </c>
      <c r="I1156" s="169">
        <v>18600.0</v>
      </c>
      <c r="J1156" s="169">
        <v>0.0</v>
      </c>
      <c r="K1156" s="169">
        <v>2.0</v>
      </c>
      <c r="L1156" s="169">
        <v>0.0</v>
      </c>
    </row>
    <row r="1157" ht="14.25" customHeight="1">
      <c r="A1157" s="169" t="s">
        <v>12839</v>
      </c>
      <c r="B1157" s="169" t="s">
        <v>12839</v>
      </c>
      <c r="C1157" s="169" t="s">
        <v>17437</v>
      </c>
      <c r="D1157" s="169" t="str">
        <f t="shared" ref="D1157:E1157" si="681">"YB01000071008"</f>
        <v>YB01000071008</v>
      </c>
      <c r="E1157" s="169" t="str">
        <f t="shared" si="681"/>
        <v>YB01000071008</v>
      </c>
      <c r="F1157" s="169" t="s">
        <v>18811</v>
      </c>
      <c r="G1157" s="169">
        <v>2.0</v>
      </c>
      <c r="H1157" s="169">
        <v>9300.0</v>
      </c>
      <c r="I1157" s="169">
        <v>18600.0</v>
      </c>
      <c r="J1157" s="169">
        <v>0.0</v>
      </c>
      <c r="K1157" s="169">
        <v>2.0</v>
      </c>
      <c r="L1157" s="169">
        <v>0.0</v>
      </c>
    </row>
    <row r="1158" ht="14.25" customHeight="1">
      <c r="A1158" s="169" t="s">
        <v>12839</v>
      </c>
      <c r="B1158" s="169" t="s">
        <v>12839</v>
      </c>
      <c r="C1158" s="169" t="s">
        <v>17436</v>
      </c>
      <c r="D1158" s="169" t="str">
        <f t="shared" ref="D1158:E1158" si="682">"YB01000071025"</f>
        <v>YB01000071025</v>
      </c>
      <c r="E1158" s="169" t="str">
        <f t="shared" si="682"/>
        <v>YB01000071025</v>
      </c>
      <c r="F1158" s="169" t="s">
        <v>18811</v>
      </c>
      <c r="G1158" s="169">
        <v>1.0</v>
      </c>
      <c r="H1158" s="169">
        <v>9300.0</v>
      </c>
      <c r="I1158" s="169">
        <v>9300.0</v>
      </c>
      <c r="J1158" s="169">
        <v>0.0</v>
      </c>
      <c r="K1158" s="169">
        <v>1.0</v>
      </c>
      <c r="L1158" s="169">
        <v>0.0</v>
      </c>
    </row>
    <row r="1159" ht="14.25" customHeight="1">
      <c r="A1159" s="169" t="s">
        <v>12839</v>
      </c>
      <c r="B1159" s="169" t="s">
        <v>12839</v>
      </c>
      <c r="C1159" s="169" t="s">
        <v>17434</v>
      </c>
      <c r="D1159" s="169" t="str">
        <f t="shared" ref="D1159:E1159" si="683">"1000220802"</f>
        <v>1000220802</v>
      </c>
      <c r="E1159" s="169" t="str">
        <f t="shared" si="683"/>
        <v>1000220802</v>
      </c>
      <c r="F1159" s="169" t="s">
        <v>18811</v>
      </c>
      <c r="G1159" s="169">
        <v>3.0</v>
      </c>
      <c r="H1159" s="169">
        <v>4300.0</v>
      </c>
      <c r="I1159" s="169">
        <v>12900.0</v>
      </c>
      <c r="J1159" s="169">
        <v>0.0</v>
      </c>
      <c r="K1159" s="169">
        <v>3.0</v>
      </c>
      <c r="L1159" s="169">
        <v>0.0</v>
      </c>
    </row>
    <row r="1160" ht="14.25" customHeight="1">
      <c r="A1160" s="169" t="s">
        <v>12839</v>
      </c>
      <c r="B1160" s="169" t="s">
        <v>12839</v>
      </c>
      <c r="C1160" s="169" t="s">
        <v>17432</v>
      </c>
      <c r="D1160" s="169" t="str">
        <f t="shared" ref="D1160:E1160" si="684">"1000220821"</f>
        <v>1000220821</v>
      </c>
      <c r="E1160" s="169" t="str">
        <f t="shared" si="684"/>
        <v>1000220821</v>
      </c>
      <c r="F1160" s="169" t="s">
        <v>18811</v>
      </c>
      <c r="G1160" s="169">
        <v>3.0</v>
      </c>
      <c r="H1160" s="169">
        <v>4200.0</v>
      </c>
      <c r="I1160" s="169">
        <v>12600.0</v>
      </c>
      <c r="J1160" s="169">
        <v>0.0</v>
      </c>
      <c r="K1160" s="169">
        <v>3.0</v>
      </c>
      <c r="L1160" s="169">
        <v>0.0</v>
      </c>
    </row>
    <row r="1161" ht="14.25" customHeight="1">
      <c r="A1161" s="169" t="s">
        <v>12839</v>
      </c>
      <c r="B1161" s="169" t="s">
        <v>12839</v>
      </c>
      <c r="C1161" s="169" t="s">
        <v>17430</v>
      </c>
      <c r="D1161" s="169" t="str">
        <f t="shared" ref="D1161:E1161" si="685">"1000220808"</f>
        <v>1000220808</v>
      </c>
      <c r="E1161" s="169" t="str">
        <f t="shared" si="685"/>
        <v>1000220808</v>
      </c>
      <c r="F1161" s="169" t="s">
        <v>18811</v>
      </c>
      <c r="G1161" s="169">
        <v>3.0</v>
      </c>
      <c r="H1161" s="169">
        <v>4300.0</v>
      </c>
      <c r="I1161" s="169">
        <v>12900.0</v>
      </c>
      <c r="J1161" s="169">
        <v>0.0</v>
      </c>
      <c r="K1161" s="169">
        <v>3.0</v>
      </c>
      <c r="L1161" s="169">
        <v>0.0</v>
      </c>
    </row>
    <row r="1162" ht="14.25" customHeight="1">
      <c r="A1162" s="169" t="s">
        <v>12839</v>
      </c>
      <c r="B1162" s="169" t="s">
        <v>12839</v>
      </c>
      <c r="C1162" s="169" t="s">
        <v>17428</v>
      </c>
      <c r="D1162" s="169" t="str">
        <f t="shared" ref="D1162:E1162" si="686">"1000220702"</f>
        <v>1000220702</v>
      </c>
      <c r="E1162" s="169" t="str">
        <f t="shared" si="686"/>
        <v>1000220702</v>
      </c>
      <c r="F1162" s="169" t="s">
        <v>18811</v>
      </c>
      <c r="G1162" s="169">
        <v>3.0</v>
      </c>
      <c r="H1162" s="169">
        <v>3286.7</v>
      </c>
      <c r="I1162" s="169">
        <v>9860.0</v>
      </c>
      <c r="J1162" s="169">
        <v>0.0</v>
      </c>
      <c r="K1162" s="169">
        <v>3.0</v>
      </c>
      <c r="L1162" s="169">
        <v>0.0</v>
      </c>
    </row>
    <row r="1163" ht="14.25" customHeight="1">
      <c r="A1163" s="169" t="s">
        <v>12839</v>
      </c>
      <c r="B1163" s="169" t="s">
        <v>12839</v>
      </c>
      <c r="C1163" s="169" t="s">
        <v>17426</v>
      </c>
      <c r="D1163" s="169" t="str">
        <f t="shared" ref="D1163:E1163" si="687">"1000220721"</f>
        <v>1000220721</v>
      </c>
      <c r="E1163" s="169" t="str">
        <f t="shared" si="687"/>
        <v>1000220721</v>
      </c>
      <c r="F1163" s="169" t="s">
        <v>18811</v>
      </c>
      <c r="G1163" s="169">
        <v>4.0</v>
      </c>
      <c r="H1163" s="169">
        <v>3400.0</v>
      </c>
      <c r="I1163" s="169">
        <v>13600.0</v>
      </c>
      <c r="J1163" s="169">
        <v>0.0</v>
      </c>
      <c r="K1163" s="169">
        <v>4.0</v>
      </c>
      <c r="L1163" s="169">
        <v>0.0</v>
      </c>
    </row>
    <row r="1164" ht="14.25" customHeight="1">
      <c r="A1164" s="169" t="s">
        <v>12839</v>
      </c>
      <c r="B1164" s="169" t="s">
        <v>12839</v>
      </c>
      <c r="C1164" s="169" t="s">
        <v>17424</v>
      </c>
      <c r="D1164" s="169" t="str">
        <f t="shared" ref="D1164:E1164" si="688">"1000220708"</f>
        <v>1000220708</v>
      </c>
      <c r="E1164" s="169" t="str">
        <f t="shared" si="688"/>
        <v>1000220708</v>
      </c>
      <c r="F1164" s="169" t="s">
        <v>18811</v>
      </c>
      <c r="G1164" s="169">
        <v>3.0</v>
      </c>
      <c r="H1164" s="169">
        <v>3400.0</v>
      </c>
      <c r="I1164" s="169">
        <v>10200.0</v>
      </c>
      <c r="J1164" s="169">
        <v>0.0</v>
      </c>
      <c r="K1164" s="169">
        <v>3.0</v>
      </c>
      <c r="L1164" s="169">
        <v>0.0</v>
      </c>
    </row>
    <row r="1165" ht="14.25" customHeight="1">
      <c r="A1165" s="169" t="s">
        <v>12839</v>
      </c>
      <c r="B1165" s="169" t="s">
        <v>12839</v>
      </c>
      <c r="C1165" s="169" t="s">
        <v>17422</v>
      </c>
      <c r="D1165" s="169" t="str">
        <f t="shared" ref="D1165:E1165" si="689">"1000220602"</f>
        <v>1000220602</v>
      </c>
      <c r="E1165" s="169" t="str">
        <f t="shared" si="689"/>
        <v>1000220602</v>
      </c>
      <c r="F1165" s="169" t="s">
        <v>18811</v>
      </c>
      <c r="G1165" s="169">
        <v>3.0</v>
      </c>
      <c r="H1165" s="169">
        <v>2400.0</v>
      </c>
      <c r="I1165" s="169">
        <v>7200.0</v>
      </c>
      <c r="J1165" s="169">
        <v>0.0</v>
      </c>
      <c r="K1165" s="169">
        <v>3.0</v>
      </c>
      <c r="L1165" s="169">
        <v>0.0</v>
      </c>
    </row>
    <row r="1166" ht="14.25" customHeight="1">
      <c r="A1166" s="169" t="s">
        <v>12839</v>
      </c>
      <c r="B1166" s="169" t="s">
        <v>12839</v>
      </c>
      <c r="C1166" s="169" t="s">
        <v>17420</v>
      </c>
      <c r="D1166" s="169" t="str">
        <f t="shared" ref="D1166:E1166" si="690">"1000220621"</f>
        <v>1000220621</v>
      </c>
      <c r="E1166" s="169" t="str">
        <f t="shared" si="690"/>
        <v>1000220621</v>
      </c>
      <c r="F1166" s="169" t="s">
        <v>18811</v>
      </c>
      <c r="G1166" s="169">
        <v>3.0</v>
      </c>
      <c r="H1166" s="169">
        <v>2400.0</v>
      </c>
      <c r="I1166" s="169">
        <v>7200.0</v>
      </c>
      <c r="J1166" s="169">
        <v>0.0</v>
      </c>
      <c r="K1166" s="169">
        <v>3.0</v>
      </c>
      <c r="L1166" s="169">
        <v>0.0</v>
      </c>
    </row>
    <row r="1167" ht="14.25" customHeight="1">
      <c r="A1167" s="169" t="s">
        <v>12839</v>
      </c>
      <c r="B1167" s="169" t="s">
        <v>12839</v>
      </c>
      <c r="C1167" s="169" t="s">
        <v>17418</v>
      </c>
      <c r="D1167" s="169" t="str">
        <f t="shared" ref="D1167:E1167" si="691">"1000220608"</f>
        <v>1000220608</v>
      </c>
      <c r="E1167" s="169" t="str">
        <f t="shared" si="691"/>
        <v>1000220608</v>
      </c>
      <c r="F1167" s="169" t="s">
        <v>18811</v>
      </c>
      <c r="G1167" s="169">
        <v>1.0</v>
      </c>
      <c r="H1167" s="169">
        <v>2400.0</v>
      </c>
      <c r="I1167" s="169">
        <v>2400.0</v>
      </c>
      <c r="J1167" s="169">
        <v>0.0</v>
      </c>
      <c r="K1167" s="169">
        <v>1.0</v>
      </c>
      <c r="L1167" s="169">
        <v>0.0</v>
      </c>
    </row>
    <row r="1168" ht="14.25" customHeight="1">
      <c r="A1168" s="169" t="s">
        <v>12839</v>
      </c>
      <c r="B1168" s="169" t="s">
        <v>12839</v>
      </c>
      <c r="C1168" s="169" t="s">
        <v>17416</v>
      </c>
      <c r="D1168" s="169" t="str">
        <f t="shared" ref="D1168:E1168" si="692">"1000220502"</f>
        <v>1000220502</v>
      </c>
      <c r="E1168" s="169" t="str">
        <f t="shared" si="692"/>
        <v>1000220502</v>
      </c>
      <c r="F1168" s="169" t="s">
        <v>18811</v>
      </c>
      <c r="G1168" s="169">
        <v>2.0</v>
      </c>
      <c r="H1168" s="169">
        <v>1700.0</v>
      </c>
      <c r="I1168" s="169">
        <v>3400.0</v>
      </c>
      <c r="J1168" s="169">
        <v>0.0</v>
      </c>
      <c r="K1168" s="169">
        <v>2.0</v>
      </c>
      <c r="L1168" s="169">
        <v>0.0</v>
      </c>
    </row>
    <row r="1169" ht="14.25" customHeight="1">
      <c r="A1169" s="169" t="s">
        <v>12839</v>
      </c>
      <c r="B1169" s="169" t="s">
        <v>12839</v>
      </c>
      <c r="C1169" s="169" t="s">
        <v>17414</v>
      </c>
      <c r="D1169" s="169" t="str">
        <f t="shared" ref="D1169:E1169" si="693">"1000220521"</f>
        <v>1000220521</v>
      </c>
      <c r="E1169" s="169" t="str">
        <f t="shared" si="693"/>
        <v>1000220521</v>
      </c>
      <c r="F1169" s="169" t="s">
        <v>18811</v>
      </c>
      <c r="G1169" s="169">
        <v>2.0</v>
      </c>
      <c r="H1169" s="169">
        <v>1700.0</v>
      </c>
      <c r="I1169" s="169">
        <v>3400.0</v>
      </c>
      <c r="J1169" s="169">
        <v>0.0</v>
      </c>
      <c r="K1169" s="169">
        <v>2.0</v>
      </c>
      <c r="L1169" s="169">
        <v>0.0</v>
      </c>
    </row>
    <row r="1170" ht="14.25" customHeight="1">
      <c r="A1170" s="169" t="s">
        <v>12839</v>
      </c>
      <c r="B1170" s="169" t="s">
        <v>12839</v>
      </c>
      <c r="C1170" s="169" t="s">
        <v>17412</v>
      </c>
      <c r="D1170" s="169" t="str">
        <f t="shared" ref="D1170:E1170" si="694">"1000220508"</f>
        <v>1000220508</v>
      </c>
      <c r="E1170" s="169" t="str">
        <f t="shared" si="694"/>
        <v>1000220508</v>
      </c>
      <c r="F1170" s="169" t="s">
        <v>18811</v>
      </c>
      <c r="G1170" s="169">
        <v>3.0</v>
      </c>
      <c r="H1170" s="169">
        <v>1643.3</v>
      </c>
      <c r="I1170" s="169">
        <v>4930.0</v>
      </c>
      <c r="J1170" s="169">
        <v>0.0</v>
      </c>
      <c r="K1170" s="169">
        <v>3.0</v>
      </c>
      <c r="L1170" s="169">
        <v>0.0</v>
      </c>
    </row>
    <row r="1171" ht="14.25" customHeight="1">
      <c r="A1171" s="169" t="s">
        <v>12839</v>
      </c>
      <c r="B1171" s="169" t="s">
        <v>12839</v>
      </c>
      <c r="C1171" s="169" t="s">
        <v>17410</v>
      </c>
      <c r="D1171" s="169" t="str">
        <f t="shared" ref="D1171:E1171" si="695">"1000200819"</f>
        <v>1000200819</v>
      </c>
      <c r="E1171" s="169" t="str">
        <f t="shared" si="695"/>
        <v>1000200819</v>
      </c>
      <c r="F1171" s="169" t="s">
        <v>18811</v>
      </c>
      <c r="G1171" s="169">
        <v>3.0</v>
      </c>
      <c r="H1171" s="169">
        <v>4300.0</v>
      </c>
      <c r="I1171" s="169">
        <v>12900.0</v>
      </c>
      <c r="J1171" s="169">
        <v>0.0</v>
      </c>
      <c r="K1171" s="169">
        <v>3.0</v>
      </c>
      <c r="L1171" s="169">
        <v>0.0</v>
      </c>
    </row>
    <row r="1172" ht="14.25" customHeight="1">
      <c r="A1172" s="169" t="s">
        <v>12839</v>
      </c>
      <c r="B1172" s="169" t="s">
        <v>12839</v>
      </c>
      <c r="C1172" s="169" t="s">
        <v>17408</v>
      </c>
      <c r="D1172" s="169" t="str">
        <f t="shared" ref="D1172:E1172" si="696">"1000200812"</f>
        <v>1000200812</v>
      </c>
      <c r="E1172" s="169" t="str">
        <f t="shared" si="696"/>
        <v>1000200812</v>
      </c>
      <c r="F1172" s="169" t="s">
        <v>18811</v>
      </c>
      <c r="G1172" s="169">
        <v>3.0</v>
      </c>
      <c r="H1172" s="169">
        <v>4300.0</v>
      </c>
      <c r="I1172" s="169">
        <v>12900.0</v>
      </c>
      <c r="J1172" s="169">
        <v>0.0</v>
      </c>
      <c r="K1172" s="169">
        <v>3.0</v>
      </c>
      <c r="L1172" s="169">
        <v>0.0</v>
      </c>
    </row>
    <row r="1173" ht="14.25" customHeight="1">
      <c r="A1173" s="169" t="s">
        <v>12839</v>
      </c>
      <c r="B1173" s="169" t="s">
        <v>12839</v>
      </c>
      <c r="C1173" s="169" t="s">
        <v>17406</v>
      </c>
      <c r="D1173" s="169" t="str">
        <f t="shared" ref="D1173:E1173" si="697">"1000200810"</f>
        <v>1000200810</v>
      </c>
      <c r="E1173" s="169" t="str">
        <f t="shared" si="697"/>
        <v>1000200810</v>
      </c>
      <c r="F1173" s="169" t="s">
        <v>18811</v>
      </c>
      <c r="G1173" s="169">
        <v>3.0</v>
      </c>
      <c r="H1173" s="169">
        <v>4300.0</v>
      </c>
      <c r="I1173" s="169">
        <v>12900.0</v>
      </c>
      <c r="J1173" s="169">
        <v>0.0</v>
      </c>
      <c r="K1173" s="169">
        <v>3.0</v>
      </c>
      <c r="L1173" s="169">
        <v>0.0</v>
      </c>
    </row>
    <row r="1174" ht="14.25" customHeight="1">
      <c r="A1174" s="169" t="s">
        <v>12839</v>
      </c>
      <c r="B1174" s="169" t="s">
        <v>12839</v>
      </c>
      <c r="C1174" s="169" t="s">
        <v>17404</v>
      </c>
      <c r="D1174" s="169" t="str">
        <f t="shared" ref="D1174:E1174" si="698">"1000200719"</f>
        <v>1000200719</v>
      </c>
      <c r="E1174" s="169" t="str">
        <f t="shared" si="698"/>
        <v>1000200719</v>
      </c>
      <c r="F1174" s="169" t="s">
        <v>18811</v>
      </c>
      <c r="G1174" s="169">
        <v>2.0</v>
      </c>
      <c r="H1174" s="169">
        <v>3400.0</v>
      </c>
      <c r="I1174" s="169">
        <v>6800.0</v>
      </c>
      <c r="J1174" s="169">
        <v>0.0</v>
      </c>
      <c r="K1174" s="169">
        <v>2.0</v>
      </c>
      <c r="L1174" s="169">
        <v>0.0</v>
      </c>
    </row>
    <row r="1175" ht="14.25" customHeight="1">
      <c r="A1175" s="169" t="s">
        <v>12839</v>
      </c>
      <c r="B1175" s="169" t="s">
        <v>12839</v>
      </c>
      <c r="C1175" s="169" t="s">
        <v>17402</v>
      </c>
      <c r="D1175" s="169" t="str">
        <f t="shared" ref="D1175:E1175" si="699">"1000200712"</f>
        <v>1000200712</v>
      </c>
      <c r="E1175" s="169" t="str">
        <f t="shared" si="699"/>
        <v>1000200712</v>
      </c>
      <c r="F1175" s="169" t="s">
        <v>18811</v>
      </c>
      <c r="G1175" s="169">
        <v>3.0</v>
      </c>
      <c r="H1175" s="169">
        <v>3400.0</v>
      </c>
      <c r="I1175" s="169">
        <v>10200.0</v>
      </c>
      <c r="J1175" s="169">
        <v>0.0</v>
      </c>
      <c r="K1175" s="169">
        <v>3.0</v>
      </c>
      <c r="L1175" s="169">
        <v>0.0</v>
      </c>
    </row>
    <row r="1176" ht="14.25" customHeight="1">
      <c r="A1176" s="169" t="s">
        <v>12839</v>
      </c>
      <c r="B1176" s="169" t="s">
        <v>12839</v>
      </c>
      <c r="C1176" s="169" t="s">
        <v>17400</v>
      </c>
      <c r="D1176" s="169" t="str">
        <f t="shared" ref="D1176:E1176" si="700">"1000200710"</f>
        <v>1000200710</v>
      </c>
      <c r="E1176" s="169" t="str">
        <f t="shared" si="700"/>
        <v>1000200710</v>
      </c>
      <c r="F1176" s="169" t="s">
        <v>18811</v>
      </c>
      <c r="G1176" s="169">
        <v>2.0</v>
      </c>
      <c r="H1176" s="169">
        <v>3400.0</v>
      </c>
      <c r="I1176" s="169">
        <v>6800.0</v>
      </c>
      <c r="J1176" s="169">
        <v>0.0</v>
      </c>
      <c r="K1176" s="169">
        <v>2.0</v>
      </c>
      <c r="L1176" s="169">
        <v>0.0</v>
      </c>
    </row>
    <row r="1177" ht="14.25" customHeight="1">
      <c r="A1177" s="169" t="s">
        <v>12839</v>
      </c>
      <c r="B1177" s="169" t="s">
        <v>12839</v>
      </c>
      <c r="C1177" s="169" t="s">
        <v>17398</v>
      </c>
      <c r="D1177" s="169" t="str">
        <f t="shared" ref="D1177:E1177" si="701">"1000200619"</f>
        <v>1000200619</v>
      </c>
      <c r="E1177" s="169" t="str">
        <f t="shared" si="701"/>
        <v>1000200619</v>
      </c>
      <c r="F1177" s="169" t="s">
        <v>18811</v>
      </c>
      <c r="G1177" s="169">
        <v>3.0</v>
      </c>
      <c r="H1177" s="169">
        <v>2400.0</v>
      </c>
      <c r="I1177" s="169">
        <v>7200.0</v>
      </c>
      <c r="J1177" s="169">
        <v>0.0</v>
      </c>
      <c r="K1177" s="169">
        <v>3.0</v>
      </c>
      <c r="L1177" s="169">
        <v>0.0</v>
      </c>
    </row>
    <row r="1178" ht="14.25" customHeight="1">
      <c r="A1178" s="169" t="s">
        <v>12839</v>
      </c>
      <c r="B1178" s="169" t="s">
        <v>12839</v>
      </c>
      <c r="C1178" s="169" t="s">
        <v>17396</v>
      </c>
      <c r="D1178" s="169" t="str">
        <f t="shared" ref="D1178:E1178" si="702">"1000200612"</f>
        <v>1000200612</v>
      </c>
      <c r="E1178" s="169" t="str">
        <f t="shared" si="702"/>
        <v>1000200612</v>
      </c>
      <c r="F1178" s="169" t="s">
        <v>18811</v>
      </c>
      <c r="G1178" s="169">
        <v>3.0</v>
      </c>
      <c r="H1178" s="169">
        <v>2400.0</v>
      </c>
      <c r="I1178" s="169">
        <v>7200.0</v>
      </c>
      <c r="J1178" s="169">
        <v>0.0</v>
      </c>
      <c r="K1178" s="169">
        <v>3.0</v>
      </c>
      <c r="L1178" s="169">
        <v>0.0</v>
      </c>
    </row>
    <row r="1179" ht="14.25" customHeight="1">
      <c r="A1179" s="169" t="s">
        <v>12839</v>
      </c>
      <c r="B1179" s="169" t="s">
        <v>12839</v>
      </c>
      <c r="C1179" s="169" t="s">
        <v>17394</v>
      </c>
      <c r="D1179" s="169" t="str">
        <f t="shared" ref="D1179:E1179" si="703">"1000200610"</f>
        <v>1000200610</v>
      </c>
      <c r="E1179" s="169" t="str">
        <f t="shared" si="703"/>
        <v>1000200610</v>
      </c>
      <c r="F1179" s="169" t="s">
        <v>18811</v>
      </c>
      <c r="G1179" s="169">
        <v>3.0</v>
      </c>
      <c r="H1179" s="169">
        <v>2320.0</v>
      </c>
      <c r="I1179" s="169">
        <v>6960.0</v>
      </c>
      <c r="J1179" s="169">
        <v>0.0</v>
      </c>
      <c r="K1179" s="169">
        <v>3.0</v>
      </c>
      <c r="L1179" s="169">
        <v>0.0</v>
      </c>
    </row>
    <row r="1180" ht="14.25" customHeight="1">
      <c r="A1180" s="169" t="s">
        <v>12839</v>
      </c>
      <c r="B1180" s="169" t="s">
        <v>12839</v>
      </c>
      <c r="C1180" s="169" t="s">
        <v>17392</v>
      </c>
      <c r="D1180" s="169" t="str">
        <f t="shared" ref="D1180:E1180" si="704">"1000200519"</f>
        <v>1000200519</v>
      </c>
      <c r="E1180" s="169" t="str">
        <f t="shared" si="704"/>
        <v>1000200519</v>
      </c>
      <c r="F1180" s="169" t="s">
        <v>18811</v>
      </c>
      <c r="G1180" s="169">
        <v>3.0</v>
      </c>
      <c r="H1180" s="169">
        <v>1700.0</v>
      </c>
      <c r="I1180" s="169">
        <v>5100.0</v>
      </c>
      <c r="J1180" s="169">
        <v>0.0</v>
      </c>
      <c r="K1180" s="169">
        <v>3.0</v>
      </c>
      <c r="L1180" s="169">
        <v>0.0</v>
      </c>
    </row>
    <row r="1181" ht="14.25" customHeight="1">
      <c r="A1181" s="169" t="s">
        <v>12839</v>
      </c>
      <c r="B1181" s="169" t="s">
        <v>12839</v>
      </c>
      <c r="C1181" s="169" t="s">
        <v>17390</v>
      </c>
      <c r="D1181" s="169" t="str">
        <f t="shared" ref="D1181:E1181" si="705">"1000200512"</f>
        <v>1000200512</v>
      </c>
      <c r="E1181" s="169" t="str">
        <f t="shared" si="705"/>
        <v>1000200512</v>
      </c>
      <c r="F1181" s="169" t="s">
        <v>18811</v>
      </c>
      <c r="G1181" s="169">
        <v>3.0</v>
      </c>
      <c r="H1181" s="169">
        <v>1700.0</v>
      </c>
      <c r="I1181" s="169">
        <v>5100.0</v>
      </c>
      <c r="J1181" s="169">
        <v>0.0</v>
      </c>
      <c r="K1181" s="169">
        <v>3.0</v>
      </c>
      <c r="L1181" s="169">
        <v>0.0</v>
      </c>
    </row>
    <row r="1182" ht="14.25" customHeight="1">
      <c r="A1182" s="169" t="s">
        <v>12839</v>
      </c>
      <c r="B1182" s="169" t="s">
        <v>12839</v>
      </c>
      <c r="C1182" s="169" t="s">
        <v>17388</v>
      </c>
      <c r="D1182" s="169" t="str">
        <f t="shared" ref="D1182:E1182" si="706">"1000200510"</f>
        <v>1000200510</v>
      </c>
      <c r="E1182" s="169" t="str">
        <f t="shared" si="706"/>
        <v>1000200510</v>
      </c>
      <c r="F1182" s="169" t="s">
        <v>18811</v>
      </c>
      <c r="G1182" s="169">
        <v>3.0</v>
      </c>
      <c r="H1182" s="169">
        <v>1700.0</v>
      </c>
      <c r="I1182" s="169">
        <v>5100.0</v>
      </c>
      <c r="J1182" s="169">
        <v>0.0</v>
      </c>
      <c r="K1182" s="169">
        <v>3.0</v>
      </c>
      <c r="L1182" s="169">
        <v>0.0</v>
      </c>
    </row>
    <row r="1183" ht="14.25" customHeight="1">
      <c r="A1183" s="169" t="s">
        <v>12839</v>
      </c>
      <c r="B1183" s="169" t="s">
        <v>12839</v>
      </c>
      <c r="C1183" s="169" t="s">
        <v>17386</v>
      </c>
      <c r="D1183" s="169" t="str">
        <f t="shared" ref="D1183:E1183" si="707">"1000210801"</f>
        <v>1000210801</v>
      </c>
      <c r="E1183" s="169" t="str">
        <f t="shared" si="707"/>
        <v>1000210801</v>
      </c>
      <c r="F1183" s="169" t="s">
        <v>18811</v>
      </c>
      <c r="G1183" s="169">
        <v>3.0</v>
      </c>
      <c r="H1183" s="169">
        <v>4300.0</v>
      </c>
      <c r="I1183" s="169">
        <v>12900.0</v>
      </c>
      <c r="J1183" s="169">
        <v>0.0</v>
      </c>
      <c r="K1183" s="169">
        <v>3.0</v>
      </c>
      <c r="L1183" s="169">
        <v>0.0</v>
      </c>
    </row>
    <row r="1184" ht="14.25" customHeight="1">
      <c r="A1184" s="169" t="s">
        <v>12839</v>
      </c>
      <c r="B1184" s="169" t="s">
        <v>12839</v>
      </c>
      <c r="C1184" s="169" t="s">
        <v>17384</v>
      </c>
      <c r="D1184" s="169" t="str">
        <f t="shared" ref="D1184:E1184" si="708">"1000210809"</f>
        <v>1000210809</v>
      </c>
      <c r="E1184" s="169" t="str">
        <f t="shared" si="708"/>
        <v>1000210809</v>
      </c>
      <c r="F1184" s="169" t="s">
        <v>18811</v>
      </c>
      <c r="G1184" s="169">
        <v>3.0</v>
      </c>
      <c r="H1184" s="169">
        <v>4156.7</v>
      </c>
      <c r="I1184" s="169">
        <v>12470.0</v>
      </c>
      <c r="J1184" s="169">
        <v>0.0</v>
      </c>
      <c r="K1184" s="169">
        <v>3.0</v>
      </c>
      <c r="L1184" s="169">
        <v>0.0</v>
      </c>
    </row>
    <row r="1185" ht="14.25" customHeight="1">
      <c r="A1185" s="169" t="s">
        <v>12839</v>
      </c>
      <c r="B1185" s="169" t="s">
        <v>12839</v>
      </c>
      <c r="C1185" s="169" t="s">
        <v>17382</v>
      </c>
      <c r="D1185" s="169" t="str">
        <f t="shared" ref="D1185:E1185" si="709">"1000210810"</f>
        <v>1000210810</v>
      </c>
      <c r="E1185" s="169" t="str">
        <f t="shared" si="709"/>
        <v>1000210810</v>
      </c>
      <c r="F1185" s="169" t="s">
        <v>18811</v>
      </c>
      <c r="G1185" s="169">
        <v>3.0</v>
      </c>
      <c r="H1185" s="169">
        <v>4300.0</v>
      </c>
      <c r="I1185" s="169">
        <v>12900.0</v>
      </c>
      <c r="J1185" s="169">
        <v>0.0</v>
      </c>
      <c r="K1185" s="169">
        <v>3.0</v>
      </c>
      <c r="L1185" s="169">
        <v>0.0</v>
      </c>
    </row>
    <row r="1186" ht="14.25" customHeight="1">
      <c r="A1186" s="169" t="s">
        <v>12839</v>
      </c>
      <c r="B1186" s="169" t="s">
        <v>12839</v>
      </c>
      <c r="C1186" s="169" t="s">
        <v>17380</v>
      </c>
      <c r="D1186" s="169" t="str">
        <f t="shared" ref="D1186:E1186" si="710">"1000210701"</f>
        <v>1000210701</v>
      </c>
      <c r="E1186" s="169" t="str">
        <f t="shared" si="710"/>
        <v>1000210701</v>
      </c>
      <c r="F1186" s="169" t="s">
        <v>18811</v>
      </c>
      <c r="G1186" s="169">
        <v>3.0</v>
      </c>
      <c r="H1186" s="169">
        <v>3400.0</v>
      </c>
      <c r="I1186" s="169">
        <v>10200.0</v>
      </c>
      <c r="J1186" s="169">
        <v>0.0</v>
      </c>
      <c r="K1186" s="169">
        <v>3.0</v>
      </c>
      <c r="L1186" s="169">
        <v>0.0</v>
      </c>
    </row>
    <row r="1187" ht="14.25" customHeight="1">
      <c r="A1187" s="169" t="s">
        <v>12839</v>
      </c>
      <c r="B1187" s="169" t="s">
        <v>12839</v>
      </c>
      <c r="C1187" s="169" t="s">
        <v>17378</v>
      </c>
      <c r="D1187" s="169" t="str">
        <f t="shared" ref="D1187:E1187" si="711">"1000210709"</f>
        <v>1000210709</v>
      </c>
      <c r="E1187" s="169" t="str">
        <f t="shared" si="711"/>
        <v>1000210709</v>
      </c>
      <c r="F1187" s="169" t="s">
        <v>18811</v>
      </c>
      <c r="G1187" s="169">
        <v>3.0</v>
      </c>
      <c r="H1187" s="169">
        <v>3400.0</v>
      </c>
      <c r="I1187" s="169">
        <v>10200.0</v>
      </c>
      <c r="J1187" s="169">
        <v>0.0</v>
      </c>
      <c r="K1187" s="169">
        <v>3.0</v>
      </c>
      <c r="L1187" s="169">
        <v>0.0</v>
      </c>
    </row>
    <row r="1188" ht="14.25" customHeight="1">
      <c r="A1188" s="169" t="s">
        <v>12839</v>
      </c>
      <c r="B1188" s="169" t="s">
        <v>12839</v>
      </c>
      <c r="C1188" s="169" t="s">
        <v>17376</v>
      </c>
      <c r="D1188" s="169" t="str">
        <f t="shared" ref="D1188:E1188" si="712">"1000210710"</f>
        <v>1000210710</v>
      </c>
      <c r="E1188" s="169" t="str">
        <f t="shared" si="712"/>
        <v>1000210710</v>
      </c>
      <c r="F1188" s="169" t="s">
        <v>18811</v>
      </c>
      <c r="G1188" s="169">
        <v>3.0</v>
      </c>
      <c r="H1188" s="169">
        <v>3400.0</v>
      </c>
      <c r="I1188" s="169">
        <v>10200.0</v>
      </c>
      <c r="J1188" s="169">
        <v>0.0</v>
      </c>
      <c r="K1188" s="169">
        <v>3.0</v>
      </c>
      <c r="L1188" s="169">
        <v>0.0</v>
      </c>
    </row>
    <row r="1189" ht="14.25" customHeight="1">
      <c r="A1189" s="169" t="s">
        <v>12839</v>
      </c>
      <c r="B1189" s="169" t="s">
        <v>12839</v>
      </c>
      <c r="C1189" s="169" t="s">
        <v>17374</v>
      </c>
      <c r="D1189" s="169" t="str">
        <f t="shared" ref="D1189:E1189" si="713">"1000210601"</f>
        <v>1000210601</v>
      </c>
      <c r="E1189" s="169" t="str">
        <f t="shared" si="713"/>
        <v>1000210601</v>
      </c>
      <c r="F1189" s="169" t="s">
        <v>18811</v>
      </c>
      <c r="G1189" s="169">
        <v>3.0</v>
      </c>
      <c r="H1189" s="169">
        <v>2320.0</v>
      </c>
      <c r="I1189" s="169">
        <v>6960.0</v>
      </c>
      <c r="J1189" s="169">
        <v>0.0</v>
      </c>
      <c r="K1189" s="169">
        <v>3.0</v>
      </c>
      <c r="L1189" s="169">
        <v>0.0</v>
      </c>
    </row>
    <row r="1190" ht="14.25" customHeight="1">
      <c r="A1190" s="169" t="s">
        <v>12839</v>
      </c>
      <c r="B1190" s="169" t="s">
        <v>12839</v>
      </c>
      <c r="C1190" s="169" t="s">
        <v>17372</v>
      </c>
      <c r="D1190" s="169" t="str">
        <f t="shared" ref="D1190:E1190" si="714">"1000210609"</f>
        <v>1000210609</v>
      </c>
      <c r="E1190" s="169" t="str">
        <f t="shared" si="714"/>
        <v>1000210609</v>
      </c>
      <c r="F1190" s="169" t="s">
        <v>18811</v>
      </c>
      <c r="G1190" s="169">
        <v>3.0</v>
      </c>
      <c r="H1190" s="169">
        <v>2400.0</v>
      </c>
      <c r="I1190" s="169">
        <v>7200.0</v>
      </c>
      <c r="J1190" s="169">
        <v>0.0</v>
      </c>
      <c r="K1190" s="169">
        <v>3.0</v>
      </c>
      <c r="L1190" s="169">
        <v>0.0</v>
      </c>
    </row>
    <row r="1191" ht="14.25" customHeight="1">
      <c r="A1191" s="169" t="s">
        <v>12839</v>
      </c>
      <c r="B1191" s="169" t="s">
        <v>12839</v>
      </c>
      <c r="C1191" s="169" t="s">
        <v>17370</v>
      </c>
      <c r="D1191" s="169" t="str">
        <f t="shared" ref="D1191:E1191" si="715">"1000210610"</f>
        <v>1000210610</v>
      </c>
      <c r="E1191" s="169" t="str">
        <f t="shared" si="715"/>
        <v>1000210610</v>
      </c>
      <c r="F1191" s="169" t="s">
        <v>18811</v>
      </c>
      <c r="G1191" s="169">
        <v>5.0</v>
      </c>
      <c r="H1191" s="169">
        <v>2400.0</v>
      </c>
      <c r="I1191" s="169">
        <v>12000.0</v>
      </c>
      <c r="J1191" s="169">
        <v>0.0</v>
      </c>
      <c r="K1191" s="169">
        <v>5.0</v>
      </c>
      <c r="L1191" s="169">
        <v>0.0</v>
      </c>
    </row>
    <row r="1192" ht="14.25" customHeight="1">
      <c r="A1192" s="169" t="s">
        <v>12839</v>
      </c>
      <c r="B1192" s="169" t="s">
        <v>12839</v>
      </c>
      <c r="C1192" s="169" t="s">
        <v>17368</v>
      </c>
      <c r="D1192" s="169" t="str">
        <f t="shared" ref="D1192:E1192" si="716">"1000210501"</f>
        <v>1000210501</v>
      </c>
      <c r="E1192" s="169" t="str">
        <f t="shared" si="716"/>
        <v>1000210501</v>
      </c>
      <c r="F1192" s="169" t="s">
        <v>18811</v>
      </c>
      <c r="G1192" s="169">
        <v>3.0</v>
      </c>
      <c r="H1192" s="169">
        <v>1700.0</v>
      </c>
      <c r="I1192" s="169">
        <v>5100.0</v>
      </c>
      <c r="J1192" s="169">
        <v>0.0</v>
      </c>
      <c r="K1192" s="169">
        <v>3.0</v>
      </c>
      <c r="L1192" s="169">
        <v>0.0</v>
      </c>
    </row>
    <row r="1193" ht="14.25" customHeight="1">
      <c r="A1193" s="169" t="s">
        <v>12839</v>
      </c>
      <c r="B1193" s="169" t="s">
        <v>12839</v>
      </c>
      <c r="C1193" s="169" t="s">
        <v>17366</v>
      </c>
      <c r="D1193" s="169" t="str">
        <f t="shared" ref="D1193:E1193" si="717">"1000210509"</f>
        <v>1000210509</v>
      </c>
      <c r="E1193" s="169" t="str">
        <f t="shared" si="717"/>
        <v>1000210509</v>
      </c>
      <c r="F1193" s="169" t="s">
        <v>18811</v>
      </c>
      <c r="G1193" s="169">
        <v>3.0</v>
      </c>
      <c r="H1193" s="169">
        <v>1643.3</v>
      </c>
      <c r="I1193" s="169">
        <v>4930.0</v>
      </c>
      <c r="J1193" s="169">
        <v>0.0</v>
      </c>
      <c r="K1193" s="169">
        <v>3.0</v>
      </c>
      <c r="L1193" s="169">
        <v>0.0</v>
      </c>
    </row>
    <row r="1194" ht="14.25" customHeight="1">
      <c r="A1194" s="169" t="s">
        <v>12839</v>
      </c>
      <c r="B1194" s="169" t="s">
        <v>12839</v>
      </c>
      <c r="C1194" s="169" t="s">
        <v>17364</v>
      </c>
      <c r="D1194" s="169" t="str">
        <f t="shared" ref="D1194:E1194" si="718">"1000210510"</f>
        <v>1000210510</v>
      </c>
      <c r="E1194" s="169" t="str">
        <f t="shared" si="718"/>
        <v>1000210510</v>
      </c>
      <c r="F1194" s="169" t="s">
        <v>18811</v>
      </c>
      <c r="G1194" s="169">
        <v>2.0</v>
      </c>
      <c r="H1194" s="169">
        <v>1615.0</v>
      </c>
      <c r="I1194" s="169">
        <v>3230.0</v>
      </c>
      <c r="J1194" s="169">
        <v>0.0</v>
      </c>
      <c r="K1194" s="169">
        <v>2.0</v>
      </c>
      <c r="L1194" s="169">
        <v>0.0</v>
      </c>
    </row>
    <row r="1195" ht="14.25" customHeight="1">
      <c r="A1195" s="169" t="s">
        <v>12839</v>
      </c>
      <c r="B1195" s="169" t="s">
        <v>12839</v>
      </c>
      <c r="C1195" s="169" t="s">
        <v>17363</v>
      </c>
      <c r="D1195" s="169" t="str">
        <f t="shared" ref="D1195:E1195" si="719">"TL01500021521"</f>
        <v>TL01500021521</v>
      </c>
      <c r="E1195" s="169" t="str">
        <f t="shared" si="719"/>
        <v>TL01500021521</v>
      </c>
      <c r="F1195" s="169" t="s">
        <v>18811</v>
      </c>
      <c r="G1195" s="169">
        <v>3.0</v>
      </c>
      <c r="H1195" s="169">
        <v>1353.3</v>
      </c>
      <c r="I1195" s="169">
        <v>4060.0</v>
      </c>
      <c r="J1195" s="169">
        <v>0.0</v>
      </c>
      <c r="K1195" s="169">
        <v>3.0</v>
      </c>
      <c r="L1195" s="169">
        <v>0.0</v>
      </c>
    </row>
    <row r="1196" ht="14.25" customHeight="1">
      <c r="A1196" s="169" t="s">
        <v>12839</v>
      </c>
      <c r="B1196" s="169" t="s">
        <v>12839</v>
      </c>
      <c r="C1196" s="169" t="s">
        <v>17362</v>
      </c>
      <c r="D1196" s="169" t="str">
        <f t="shared" ref="D1196:E1196" si="720">"TL01500021509"</f>
        <v>TL01500021509</v>
      </c>
      <c r="E1196" s="169" t="str">
        <f t="shared" si="720"/>
        <v>TL01500021509</v>
      </c>
      <c r="F1196" s="169" t="s">
        <v>18811</v>
      </c>
      <c r="G1196" s="169">
        <v>3.0</v>
      </c>
      <c r="H1196" s="169">
        <v>1400.0</v>
      </c>
      <c r="I1196" s="169">
        <v>4200.0</v>
      </c>
      <c r="J1196" s="169">
        <v>0.0</v>
      </c>
      <c r="K1196" s="169">
        <v>3.0</v>
      </c>
      <c r="L1196" s="169">
        <v>0.0</v>
      </c>
    </row>
    <row r="1197" ht="14.25" customHeight="1">
      <c r="A1197" s="169" t="s">
        <v>12839</v>
      </c>
      <c r="B1197" s="169" t="s">
        <v>12839</v>
      </c>
      <c r="C1197" s="169" t="s">
        <v>17360</v>
      </c>
      <c r="D1197" s="169" t="str">
        <f>"01000190802"</f>
        <v>01000190802</v>
      </c>
      <c r="E1197" s="169" t="str">
        <f>"1000190802"</f>
        <v>1000190802</v>
      </c>
      <c r="F1197" s="169" t="s">
        <v>18811</v>
      </c>
      <c r="G1197" s="169">
        <v>4.0</v>
      </c>
      <c r="H1197" s="169">
        <v>4787.5</v>
      </c>
      <c r="I1197" s="169">
        <v>19150.0</v>
      </c>
      <c r="J1197" s="169">
        <v>0.0</v>
      </c>
      <c r="K1197" s="169">
        <v>4.0</v>
      </c>
      <c r="L1197" s="169">
        <v>0.0</v>
      </c>
    </row>
    <row r="1198" ht="14.25" customHeight="1">
      <c r="A1198" s="169" t="s">
        <v>12839</v>
      </c>
      <c r="B1198" s="169" t="s">
        <v>12839</v>
      </c>
      <c r="C1198" s="169" t="s">
        <v>17358</v>
      </c>
      <c r="D1198" s="169" t="str">
        <f>"01000190702"</f>
        <v>01000190702</v>
      </c>
      <c r="E1198" s="169" t="str">
        <f>"1000190702"</f>
        <v>1000190702</v>
      </c>
      <c r="F1198" s="169" t="s">
        <v>18811</v>
      </c>
      <c r="G1198" s="169">
        <v>2.0</v>
      </c>
      <c r="H1198" s="169">
        <v>3800.0</v>
      </c>
      <c r="I1198" s="169">
        <v>7600.0</v>
      </c>
      <c r="J1198" s="169">
        <v>0.0</v>
      </c>
      <c r="K1198" s="169">
        <v>2.0</v>
      </c>
      <c r="L1198" s="169">
        <v>0.0</v>
      </c>
    </row>
    <row r="1199" ht="14.25" customHeight="1">
      <c r="A1199" s="169" t="s">
        <v>12839</v>
      </c>
      <c r="B1199" s="169" t="s">
        <v>12839</v>
      </c>
      <c r="C1199" s="169" t="s">
        <v>17356</v>
      </c>
      <c r="D1199" s="169" t="str">
        <f t="shared" ref="D1199:E1199" si="721">"1000190602"</f>
        <v>1000190602</v>
      </c>
      <c r="E1199" s="169" t="str">
        <f t="shared" si="721"/>
        <v>1000190602</v>
      </c>
      <c r="F1199" s="169" t="s">
        <v>18811</v>
      </c>
      <c r="G1199" s="169">
        <v>3.0</v>
      </c>
      <c r="H1199" s="169">
        <v>3200.0</v>
      </c>
      <c r="I1199" s="169">
        <v>9600.0</v>
      </c>
      <c r="J1199" s="169">
        <v>0.0</v>
      </c>
      <c r="K1199" s="169">
        <v>3.0</v>
      </c>
      <c r="L1199" s="169">
        <v>0.0</v>
      </c>
    </row>
    <row r="1200" ht="14.25" customHeight="1">
      <c r="A1200" s="169" t="s">
        <v>12839</v>
      </c>
      <c r="B1200" s="169" t="s">
        <v>12839</v>
      </c>
      <c r="C1200" s="169" t="s">
        <v>17354</v>
      </c>
      <c r="D1200" s="169" t="str">
        <f t="shared" ref="D1200:E1200" si="722">"1000190502"</f>
        <v>1000190502</v>
      </c>
      <c r="E1200" s="169" t="str">
        <f t="shared" si="722"/>
        <v>1000190502</v>
      </c>
      <c r="F1200" s="169" t="s">
        <v>18811</v>
      </c>
      <c r="G1200" s="169">
        <v>6.0</v>
      </c>
      <c r="H1200" s="169">
        <v>2800.0</v>
      </c>
      <c r="I1200" s="169">
        <v>16800.0</v>
      </c>
      <c r="J1200" s="169">
        <v>0.0</v>
      </c>
      <c r="K1200" s="169">
        <v>6.0</v>
      </c>
      <c r="L1200" s="169">
        <v>0.0</v>
      </c>
    </row>
    <row r="1201" ht="14.25" customHeight="1">
      <c r="A1201" s="169" t="s">
        <v>12839</v>
      </c>
      <c r="B1201" s="169" t="s">
        <v>12839</v>
      </c>
      <c r="C1201" s="169" t="s">
        <v>17352</v>
      </c>
      <c r="D1201" s="169" t="str">
        <f>"01000190821"</f>
        <v>01000190821</v>
      </c>
      <c r="E1201" s="169" t="str">
        <f>"1000190821"</f>
        <v>1000190821</v>
      </c>
      <c r="F1201" s="169" t="s">
        <v>18811</v>
      </c>
      <c r="G1201" s="169">
        <v>4.0</v>
      </c>
      <c r="H1201" s="169">
        <v>4900.0</v>
      </c>
      <c r="I1201" s="169">
        <v>19600.0</v>
      </c>
      <c r="J1201" s="169">
        <v>0.0</v>
      </c>
      <c r="K1201" s="169">
        <v>4.0</v>
      </c>
      <c r="L1201" s="169">
        <v>0.0</v>
      </c>
    </row>
    <row r="1202" ht="14.25" customHeight="1">
      <c r="A1202" s="169" t="s">
        <v>12839</v>
      </c>
      <c r="B1202" s="169" t="s">
        <v>12839</v>
      </c>
      <c r="C1202" s="169" t="s">
        <v>17350</v>
      </c>
      <c r="D1202" s="169" t="str">
        <f>"01000190721"</f>
        <v>01000190721</v>
      </c>
      <c r="E1202" s="169" t="str">
        <f>"1000190721"</f>
        <v>1000190721</v>
      </c>
      <c r="F1202" s="169" t="s">
        <v>18811</v>
      </c>
      <c r="G1202" s="169">
        <v>3.0</v>
      </c>
      <c r="H1202" s="169">
        <v>3800.0</v>
      </c>
      <c r="I1202" s="169">
        <v>11400.0</v>
      </c>
      <c r="J1202" s="169">
        <v>0.0</v>
      </c>
      <c r="K1202" s="169">
        <v>3.0</v>
      </c>
      <c r="L1202" s="169">
        <v>0.0</v>
      </c>
    </row>
    <row r="1203" ht="14.25" customHeight="1">
      <c r="A1203" s="169" t="s">
        <v>12839</v>
      </c>
      <c r="B1203" s="169" t="s">
        <v>12839</v>
      </c>
      <c r="C1203" s="169" t="s">
        <v>17348</v>
      </c>
      <c r="D1203" s="169" t="str">
        <f t="shared" ref="D1203:E1203" si="723">"1000190621"</f>
        <v>1000190621</v>
      </c>
      <c r="E1203" s="169" t="str">
        <f t="shared" si="723"/>
        <v>1000190621</v>
      </c>
      <c r="F1203" s="169" t="s">
        <v>18811</v>
      </c>
      <c r="G1203" s="169">
        <v>3.0</v>
      </c>
      <c r="H1203" s="169">
        <v>3200.0</v>
      </c>
      <c r="I1203" s="169">
        <v>9600.0</v>
      </c>
      <c r="J1203" s="169">
        <v>0.0</v>
      </c>
      <c r="K1203" s="169">
        <v>3.0</v>
      </c>
      <c r="L1203" s="169">
        <v>0.0</v>
      </c>
    </row>
    <row r="1204" ht="14.25" customHeight="1">
      <c r="A1204" s="169" t="s">
        <v>12839</v>
      </c>
      <c r="B1204" s="169" t="s">
        <v>12839</v>
      </c>
      <c r="C1204" s="169" t="s">
        <v>17346</v>
      </c>
      <c r="D1204" s="169" t="str">
        <f t="shared" ref="D1204:E1204" si="724">"1000190807"</f>
        <v>1000190807</v>
      </c>
      <c r="E1204" s="169" t="str">
        <f t="shared" si="724"/>
        <v>1000190807</v>
      </c>
      <c r="F1204" s="169" t="s">
        <v>18811</v>
      </c>
      <c r="G1204" s="169">
        <v>4.0</v>
      </c>
      <c r="H1204" s="169">
        <v>4900.0</v>
      </c>
      <c r="I1204" s="169">
        <v>19600.0</v>
      </c>
      <c r="J1204" s="169">
        <v>0.0</v>
      </c>
      <c r="K1204" s="169">
        <v>4.0</v>
      </c>
      <c r="L1204" s="169">
        <v>0.0</v>
      </c>
    </row>
    <row r="1205" ht="14.25" customHeight="1">
      <c r="A1205" s="169" t="s">
        <v>12839</v>
      </c>
      <c r="B1205" s="169" t="s">
        <v>12839</v>
      </c>
      <c r="C1205" s="169" t="s">
        <v>17344</v>
      </c>
      <c r="D1205" s="169" t="str">
        <f t="shared" ref="D1205:E1205" si="725">"1000190707"</f>
        <v>1000190707</v>
      </c>
      <c r="E1205" s="169" t="str">
        <f t="shared" si="725"/>
        <v>1000190707</v>
      </c>
      <c r="F1205" s="169" t="s">
        <v>18811</v>
      </c>
      <c r="G1205" s="169">
        <v>4.0</v>
      </c>
      <c r="H1205" s="169">
        <v>3800.0</v>
      </c>
      <c r="I1205" s="169">
        <v>15200.0</v>
      </c>
      <c r="J1205" s="169">
        <v>0.0</v>
      </c>
      <c r="K1205" s="169">
        <v>4.0</v>
      </c>
      <c r="L1205" s="169">
        <v>0.0</v>
      </c>
    </row>
    <row r="1206" ht="14.25" customHeight="1">
      <c r="A1206" s="169" t="s">
        <v>12839</v>
      </c>
      <c r="B1206" s="169" t="s">
        <v>12839</v>
      </c>
      <c r="C1206" s="169" t="s">
        <v>17342</v>
      </c>
      <c r="D1206" s="169" t="str">
        <f t="shared" ref="D1206:E1206" si="726">"1000190607"</f>
        <v>1000190607</v>
      </c>
      <c r="E1206" s="169" t="str">
        <f t="shared" si="726"/>
        <v>1000190607</v>
      </c>
      <c r="F1206" s="169" t="s">
        <v>18811</v>
      </c>
      <c r="G1206" s="169">
        <v>3.0</v>
      </c>
      <c r="H1206" s="169">
        <v>3200.0</v>
      </c>
      <c r="I1206" s="169">
        <v>9600.0</v>
      </c>
      <c r="J1206" s="169">
        <v>0.0</v>
      </c>
      <c r="K1206" s="169">
        <v>3.0</v>
      </c>
      <c r="L1206" s="169">
        <v>0.0</v>
      </c>
    </row>
    <row r="1207" ht="14.25" customHeight="1">
      <c r="A1207" s="169" t="s">
        <v>12839</v>
      </c>
      <c r="B1207" s="169" t="s">
        <v>12839</v>
      </c>
      <c r="C1207" s="169" t="s">
        <v>17340</v>
      </c>
      <c r="D1207" s="169" t="str">
        <f t="shared" ref="D1207:E1207" si="727">"1000190507"</f>
        <v>1000190507</v>
      </c>
      <c r="E1207" s="169" t="str">
        <f t="shared" si="727"/>
        <v>1000190507</v>
      </c>
      <c r="F1207" s="169" t="s">
        <v>18811</v>
      </c>
      <c r="G1207" s="169">
        <v>3.0</v>
      </c>
      <c r="H1207" s="169">
        <v>2800.0</v>
      </c>
      <c r="I1207" s="169">
        <v>8400.0</v>
      </c>
      <c r="J1207" s="169">
        <v>0.0</v>
      </c>
      <c r="K1207" s="169">
        <v>3.0</v>
      </c>
      <c r="L1207" s="169">
        <v>0.0</v>
      </c>
    </row>
    <row r="1208" ht="14.25" customHeight="1">
      <c r="A1208" s="169" t="s">
        <v>12839</v>
      </c>
      <c r="B1208" s="169" t="s">
        <v>12839</v>
      </c>
      <c r="C1208" s="169" t="s">
        <v>17338</v>
      </c>
      <c r="D1208" s="169" t="str">
        <f t="shared" ref="D1208:E1208" si="728">"1000190521"</f>
        <v>1000190521</v>
      </c>
      <c r="E1208" s="169" t="str">
        <f t="shared" si="728"/>
        <v>1000190521</v>
      </c>
      <c r="F1208" s="169" t="s">
        <v>18811</v>
      </c>
      <c r="G1208" s="169">
        <v>3.0</v>
      </c>
      <c r="H1208" s="169">
        <v>2800.0</v>
      </c>
      <c r="I1208" s="169">
        <v>8400.0</v>
      </c>
      <c r="J1208" s="169">
        <v>0.0</v>
      </c>
      <c r="K1208" s="169">
        <v>3.0</v>
      </c>
      <c r="L1208" s="169">
        <v>0.0</v>
      </c>
    </row>
    <row r="1209" ht="14.25" customHeight="1">
      <c r="A1209" s="169" t="s">
        <v>12839</v>
      </c>
      <c r="B1209" s="169" t="s">
        <v>12839</v>
      </c>
      <c r="C1209" s="169" t="s">
        <v>17336</v>
      </c>
      <c r="D1209" s="169" t="str">
        <f t="shared" ref="D1209:E1209" si="729">"3000171508"</f>
        <v>3000171508</v>
      </c>
      <c r="E1209" s="169" t="str">
        <f t="shared" si="729"/>
        <v>3000171508</v>
      </c>
      <c r="F1209" s="169" t="s">
        <v>18811</v>
      </c>
      <c r="G1209" s="169">
        <v>8.0</v>
      </c>
      <c r="H1209" s="169">
        <v>6142.5</v>
      </c>
      <c r="I1209" s="169">
        <v>49140.0</v>
      </c>
      <c r="J1209" s="169">
        <v>0.0</v>
      </c>
      <c r="K1209" s="169">
        <v>8.0</v>
      </c>
      <c r="L1209" s="169">
        <v>0.0</v>
      </c>
    </row>
    <row r="1210" ht="14.25" customHeight="1">
      <c r="A1210" s="169" t="s">
        <v>12839</v>
      </c>
      <c r="B1210" s="169" t="s">
        <v>12839</v>
      </c>
      <c r="C1210" s="169" t="s">
        <v>17334</v>
      </c>
      <c r="D1210" s="169" t="str">
        <f>"15902517187993"</f>
        <v>15902517187993</v>
      </c>
      <c r="E1210" s="169" t="str">
        <f>"3000181508"</f>
        <v>3000181508</v>
      </c>
      <c r="F1210" s="169" t="s">
        <v>18811</v>
      </c>
      <c r="G1210" s="169">
        <v>6.0</v>
      </c>
      <c r="H1210" s="169">
        <v>4700.0</v>
      </c>
      <c r="I1210" s="169">
        <v>28200.0</v>
      </c>
      <c r="J1210" s="169">
        <v>0.0</v>
      </c>
      <c r="K1210" s="169">
        <v>6.0</v>
      </c>
      <c r="L1210" s="169">
        <v>0.0</v>
      </c>
    </row>
    <row r="1211" ht="14.25" customHeight="1">
      <c r="A1211" s="169" t="s">
        <v>12839</v>
      </c>
      <c r="B1211" s="169" t="s">
        <v>12839</v>
      </c>
      <c r="C1211" s="169" t="s">
        <v>17332</v>
      </c>
      <c r="D1211" s="169" t="str">
        <f t="shared" ref="D1211:E1211" si="730">"3000200802"</f>
        <v>3000200802</v>
      </c>
      <c r="E1211" s="169" t="str">
        <f t="shared" si="730"/>
        <v>3000200802</v>
      </c>
      <c r="F1211" s="169" t="s">
        <v>18811</v>
      </c>
      <c r="G1211" s="169">
        <v>2.0</v>
      </c>
      <c r="H1211" s="169">
        <v>8700.0</v>
      </c>
      <c r="I1211" s="169">
        <v>17400.0</v>
      </c>
      <c r="J1211" s="169">
        <v>0.0</v>
      </c>
      <c r="K1211" s="169">
        <v>2.0</v>
      </c>
      <c r="L1211" s="169">
        <v>0.0</v>
      </c>
    </row>
    <row r="1212" ht="14.25" customHeight="1">
      <c r="A1212" s="169" t="s">
        <v>12839</v>
      </c>
      <c r="B1212" s="169" t="s">
        <v>12839</v>
      </c>
      <c r="C1212" s="169" t="s">
        <v>17330</v>
      </c>
      <c r="D1212" s="169" t="str">
        <f t="shared" ref="D1212:E1212" si="731">"3000200821"</f>
        <v>3000200821</v>
      </c>
      <c r="E1212" s="169" t="str">
        <f t="shared" si="731"/>
        <v>3000200821</v>
      </c>
      <c r="F1212" s="169" t="s">
        <v>18811</v>
      </c>
      <c r="G1212" s="169">
        <v>3.0</v>
      </c>
      <c r="H1212" s="169">
        <v>8700.0</v>
      </c>
      <c r="I1212" s="169">
        <v>26100.0</v>
      </c>
      <c r="J1212" s="169">
        <v>0.0</v>
      </c>
      <c r="K1212" s="169">
        <v>3.0</v>
      </c>
      <c r="L1212" s="169">
        <v>0.0</v>
      </c>
    </row>
    <row r="1213" ht="14.25" customHeight="1">
      <c r="A1213" s="169" t="s">
        <v>12839</v>
      </c>
      <c r="B1213" s="169" t="s">
        <v>12839</v>
      </c>
      <c r="C1213" s="169" t="s">
        <v>17328</v>
      </c>
      <c r="D1213" s="169" t="str">
        <f t="shared" ref="D1213:E1213" si="732">"3000200702"</f>
        <v>3000200702</v>
      </c>
      <c r="E1213" s="169" t="str">
        <f t="shared" si="732"/>
        <v>3000200702</v>
      </c>
      <c r="F1213" s="169" t="s">
        <v>18811</v>
      </c>
      <c r="G1213" s="169">
        <v>2.0</v>
      </c>
      <c r="H1213" s="169">
        <v>7000.0</v>
      </c>
      <c r="I1213" s="169">
        <v>14000.0</v>
      </c>
      <c r="J1213" s="169">
        <v>0.0</v>
      </c>
      <c r="K1213" s="169">
        <v>2.0</v>
      </c>
      <c r="L1213" s="169">
        <v>0.0</v>
      </c>
    </row>
    <row r="1214" ht="14.25" customHeight="1">
      <c r="A1214" s="169" t="s">
        <v>12839</v>
      </c>
      <c r="B1214" s="169" t="s">
        <v>12839</v>
      </c>
      <c r="C1214" s="169" t="s">
        <v>17326</v>
      </c>
      <c r="D1214" s="169" t="str">
        <f t="shared" ref="D1214:E1214" si="733">"3000200721"</f>
        <v>3000200721</v>
      </c>
      <c r="E1214" s="169" t="str">
        <f t="shared" si="733"/>
        <v>3000200721</v>
      </c>
      <c r="F1214" s="169" t="s">
        <v>18811</v>
      </c>
      <c r="G1214" s="169">
        <v>4.0</v>
      </c>
      <c r="H1214" s="169">
        <v>6700.0</v>
      </c>
      <c r="I1214" s="169">
        <v>26800.0</v>
      </c>
      <c r="J1214" s="169">
        <v>0.0</v>
      </c>
      <c r="K1214" s="169">
        <v>4.0</v>
      </c>
      <c r="L1214" s="169">
        <v>0.0</v>
      </c>
    </row>
    <row r="1215" ht="14.25" customHeight="1">
      <c r="A1215" s="169" t="s">
        <v>12839</v>
      </c>
      <c r="B1215" s="169" t="s">
        <v>12839</v>
      </c>
      <c r="C1215" s="169" t="s">
        <v>17324</v>
      </c>
      <c r="D1215" s="169" t="str">
        <f t="shared" ref="D1215:E1215" si="734">"30001415080"</f>
        <v>30001415080</v>
      </c>
      <c r="E1215" s="169" t="str">
        <f t="shared" si="734"/>
        <v>30001415080</v>
      </c>
      <c r="F1215" s="169" t="s">
        <v>18811</v>
      </c>
      <c r="G1215" s="169">
        <v>3.0</v>
      </c>
      <c r="H1215" s="169">
        <v>6700.0</v>
      </c>
      <c r="I1215" s="169">
        <v>20100.0</v>
      </c>
      <c r="J1215" s="169">
        <v>0.0</v>
      </c>
      <c r="K1215" s="169">
        <v>3.0</v>
      </c>
      <c r="L1215" s="169">
        <v>0.0</v>
      </c>
    </row>
    <row r="1216" ht="14.25" customHeight="1">
      <c r="A1216" s="169" t="s">
        <v>12839</v>
      </c>
      <c r="B1216" s="169" t="s">
        <v>12839</v>
      </c>
      <c r="C1216" s="169" t="s">
        <v>17322</v>
      </c>
      <c r="D1216" s="169" t="str">
        <f t="shared" ref="D1216:E1216" si="735">"30001415091"</f>
        <v>30001415091</v>
      </c>
      <c r="E1216" s="169" t="str">
        <f t="shared" si="735"/>
        <v>30001415091</v>
      </c>
      <c r="F1216" s="169" t="s">
        <v>18811</v>
      </c>
      <c r="G1216" s="169">
        <v>1.0</v>
      </c>
      <c r="H1216" s="169">
        <v>6700.0</v>
      </c>
      <c r="I1216" s="169">
        <v>6700.0</v>
      </c>
      <c r="J1216" s="169">
        <v>0.0</v>
      </c>
      <c r="K1216" s="169">
        <v>1.0</v>
      </c>
      <c r="L1216" s="169">
        <v>0.0</v>
      </c>
    </row>
    <row r="1217" ht="14.25" customHeight="1">
      <c r="A1217" s="169" t="s">
        <v>12839</v>
      </c>
      <c r="B1217" s="169" t="s">
        <v>12839</v>
      </c>
      <c r="C1217" s="169" t="s">
        <v>17320</v>
      </c>
      <c r="D1217" s="169" t="str">
        <f t="shared" ref="D1217:E1217" si="736">"30001407080"</f>
        <v>30001407080</v>
      </c>
      <c r="E1217" s="169" t="str">
        <f t="shared" si="736"/>
        <v>30001407080</v>
      </c>
      <c r="F1217" s="169" t="s">
        <v>18811</v>
      </c>
      <c r="G1217" s="169">
        <v>11.0</v>
      </c>
      <c r="H1217" s="169">
        <v>5850.0</v>
      </c>
      <c r="I1217" s="169">
        <v>64350.0</v>
      </c>
      <c r="J1217" s="169">
        <v>0.0</v>
      </c>
      <c r="K1217" s="169">
        <v>11.0</v>
      </c>
      <c r="L1217" s="169">
        <v>0.0</v>
      </c>
    </row>
    <row r="1218" ht="14.25" customHeight="1">
      <c r="A1218" s="169" t="s">
        <v>12839</v>
      </c>
      <c r="B1218" s="169" t="s">
        <v>12839</v>
      </c>
      <c r="C1218" s="169" t="s">
        <v>17318</v>
      </c>
      <c r="D1218" s="169" t="str">
        <f t="shared" ref="D1218:E1218" si="737">"30001407091"</f>
        <v>30001407091</v>
      </c>
      <c r="E1218" s="169" t="str">
        <f t="shared" si="737"/>
        <v>30001407091</v>
      </c>
      <c r="F1218" s="169" t="s">
        <v>18811</v>
      </c>
      <c r="G1218" s="169">
        <v>2.0</v>
      </c>
      <c r="H1218" s="169">
        <v>5850.0</v>
      </c>
      <c r="I1218" s="169">
        <v>11700.0</v>
      </c>
      <c r="J1218" s="169">
        <v>0.0</v>
      </c>
      <c r="K1218" s="169">
        <v>2.0</v>
      </c>
      <c r="L1218" s="169">
        <v>0.0</v>
      </c>
    </row>
    <row r="1219" ht="14.25" customHeight="1">
      <c r="A1219" s="169" t="s">
        <v>12839</v>
      </c>
      <c r="B1219" s="169" t="s">
        <v>12839</v>
      </c>
      <c r="C1219" s="169" t="s">
        <v>17317</v>
      </c>
      <c r="D1219" s="169" t="str">
        <f t="shared" ref="D1219:E1219" si="738">"MF07000180713"</f>
        <v>MF07000180713</v>
      </c>
      <c r="E1219" s="169" t="str">
        <f t="shared" si="738"/>
        <v>MF07000180713</v>
      </c>
      <c r="F1219" s="169" t="s">
        <v>18811</v>
      </c>
      <c r="G1219" s="169">
        <v>9.0</v>
      </c>
      <c r="H1219" s="169">
        <v>2970.0</v>
      </c>
      <c r="I1219" s="169">
        <v>26730.0</v>
      </c>
      <c r="J1219" s="169">
        <v>0.0</v>
      </c>
      <c r="K1219" s="169">
        <v>9.0</v>
      </c>
      <c r="L1219" s="169">
        <v>0.0</v>
      </c>
    </row>
    <row r="1220" ht="14.25" customHeight="1">
      <c r="A1220" s="169" t="s">
        <v>12839</v>
      </c>
      <c r="B1220" s="169" t="s">
        <v>12839</v>
      </c>
      <c r="C1220" s="169" t="s">
        <v>17316</v>
      </c>
      <c r="D1220" s="169" t="str">
        <f t="shared" ref="D1220:E1220" si="739">"MF07000180613"</f>
        <v>MF07000180613</v>
      </c>
      <c r="E1220" s="169" t="str">
        <f t="shared" si="739"/>
        <v>MF07000180613</v>
      </c>
      <c r="F1220" s="169" t="s">
        <v>18811</v>
      </c>
      <c r="G1220" s="169">
        <v>1.0</v>
      </c>
      <c r="H1220" s="169">
        <v>2300.0</v>
      </c>
      <c r="I1220" s="169">
        <v>2300.0</v>
      </c>
      <c r="J1220" s="169">
        <v>0.0</v>
      </c>
      <c r="K1220" s="169">
        <v>1.0</v>
      </c>
      <c r="L1220" s="169">
        <v>0.0</v>
      </c>
    </row>
    <row r="1221" ht="14.25" customHeight="1">
      <c r="A1221" s="169" t="s">
        <v>12839</v>
      </c>
      <c r="B1221" s="169" t="s">
        <v>12839</v>
      </c>
      <c r="C1221" s="169" t="s">
        <v>17314</v>
      </c>
      <c r="D1221" s="169" t="str">
        <f t="shared" ref="D1221:E1221" si="740">"764451134775"</f>
        <v>764451134775</v>
      </c>
      <c r="E1221" s="169" t="str">
        <f t="shared" si="740"/>
        <v>764451134775</v>
      </c>
      <c r="F1221" s="169" t="s">
        <v>18811</v>
      </c>
      <c r="G1221" s="169">
        <v>4.0</v>
      </c>
      <c r="H1221" s="169">
        <v>42000.0</v>
      </c>
      <c r="I1221" s="169">
        <v>168000.0</v>
      </c>
      <c r="J1221" s="169">
        <v>0.0</v>
      </c>
      <c r="K1221" s="169">
        <v>4.0</v>
      </c>
      <c r="L1221" s="169">
        <v>0.0</v>
      </c>
    </row>
    <row r="1222" ht="14.25" customHeight="1">
      <c r="A1222" s="169" t="s">
        <v>12839</v>
      </c>
      <c r="B1222" s="169" t="s">
        <v>12839</v>
      </c>
      <c r="C1222" s="169" t="s">
        <v>17313</v>
      </c>
      <c r="D1222" s="169" t="str">
        <f t="shared" ref="D1222:E1222" si="741">"SD00000040721"</f>
        <v>SD00000040721</v>
      </c>
      <c r="E1222" s="169" t="str">
        <f t="shared" si="741"/>
        <v>SD00000040721</v>
      </c>
      <c r="F1222" s="169" t="s">
        <v>18811</v>
      </c>
      <c r="G1222" s="169">
        <v>2.0</v>
      </c>
      <c r="H1222" s="169">
        <v>1300.0</v>
      </c>
      <c r="I1222" s="169">
        <v>2600.0</v>
      </c>
      <c r="J1222" s="169">
        <v>0.0</v>
      </c>
      <c r="K1222" s="169">
        <v>2.0</v>
      </c>
      <c r="L1222" s="169">
        <v>0.0</v>
      </c>
    </row>
    <row r="1223" ht="14.25" customHeight="1">
      <c r="A1223" s="169" t="s">
        <v>12839</v>
      </c>
      <c r="B1223" s="169" t="s">
        <v>12839</v>
      </c>
      <c r="C1223" s="169" t="s">
        <v>17312</v>
      </c>
      <c r="D1223" s="169" t="str">
        <f t="shared" ref="D1223:E1223" si="742">"SD00000040701"</f>
        <v>SD00000040701</v>
      </c>
      <c r="E1223" s="169" t="str">
        <f t="shared" si="742"/>
        <v>SD00000040701</v>
      </c>
      <c r="F1223" s="169" t="s">
        <v>18811</v>
      </c>
      <c r="G1223" s="169">
        <v>3.0</v>
      </c>
      <c r="H1223" s="169">
        <v>1400.0</v>
      </c>
      <c r="I1223" s="169">
        <v>4200.0</v>
      </c>
      <c r="J1223" s="169">
        <v>0.0</v>
      </c>
      <c r="K1223" s="169">
        <v>3.0</v>
      </c>
      <c r="L1223" s="169">
        <v>0.0</v>
      </c>
    </row>
    <row r="1224" ht="14.25" customHeight="1">
      <c r="A1224" s="169" t="s">
        <v>12839</v>
      </c>
      <c r="B1224" s="169" t="s">
        <v>12839</v>
      </c>
      <c r="C1224" s="169" t="s">
        <v>17311</v>
      </c>
      <c r="D1224" s="169" t="str">
        <f t="shared" ref="D1224:E1224" si="743">"SD00000040602"</f>
        <v>SD00000040602</v>
      </c>
      <c r="E1224" s="169" t="str">
        <f t="shared" si="743"/>
        <v>SD00000040602</v>
      </c>
      <c r="F1224" s="169" t="s">
        <v>18811</v>
      </c>
      <c r="G1224" s="169">
        <v>2.0</v>
      </c>
      <c r="H1224" s="169">
        <v>900.0</v>
      </c>
      <c r="I1224" s="169">
        <v>1800.0</v>
      </c>
      <c r="J1224" s="169">
        <v>0.0</v>
      </c>
      <c r="K1224" s="169">
        <v>2.0</v>
      </c>
      <c r="L1224" s="169">
        <v>0.0</v>
      </c>
    </row>
    <row r="1225" ht="14.25" customHeight="1">
      <c r="A1225" s="169" t="s">
        <v>12839</v>
      </c>
      <c r="B1225" s="169" t="s">
        <v>12839</v>
      </c>
      <c r="C1225" s="169" t="s">
        <v>17310</v>
      </c>
      <c r="D1225" s="169" t="str">
        <f t="shared" ref="D1225:E1225" si="744">"SD00000040601"</f>
        <v>SD00000040601</v>
      </c>
      <c r="E1225" s="169" t="str">
        <f t="shared" si="744"/>
        <v>SD00000040601</v>
      </c>
      <c r="F1225" s="169" t="s">
        <v>18811</v>
      </c>
      <c r="G1225" s="169">
        <v>5.0</v>
      </c>
      <c r="H1225" s="169">
        <v>1000.0</v>
      </c>
      <c r="I1225" s="169">
        <v>5000.0</v>
      </c>
      <c r="J1225" s="169">
        <v>0.0</v>
      </c>
      <c r="K1225" s="169">
        <v>5.0</v>
      </c>
      <c r="L1225" s="169">
        <v>0.0</v>
      </c>
    </row>
    <row r="1226" ht="14.25" customHeight="1">
      <c r="A1226" s="169" t="s">
        <v>12839</v>
      </c>
      <c r="B1226" s="169" t="s">
        <v>12839</v>
      </c>
      <c r="C1226" s="169" t="s">
        <v>17308</v>
      </c>
      <c r="D1226" s="169" t="str">
        <f t="shared" ref="D1226:E1226" si="745">"6500071503"</f>
        <v>6500071503</v>
      </c>
      <c r="E1226" s="169" t="str">
        <f t="shared" si="745"/>
        <v>6500071503</v>
      </c>
      <c r="F1226" s="169" t="s">
        <v>18811</v>
      </c>
      <c r="G1226" s="169">
        <v>6.0</v>
      </c>
      <c r="H1226" s="169">
        <v>24196.0</v>
      </c>
      <c r="I1226" s="169">
        <v>145176.0</v>
      </c>
      <c r="J1226" s="169">
        <v>0.0</v>
      </c>
      <c r="K1226" s="169">
        <v>6.0</v>
      </c>
      <c r="L1226" s="169">
        <v>0.0</v>
      </c>
    </row>
    <row r="1227" ht="14.25" customHeight="1">
      <c r="A1227" s="169" t="s">
        <v>12839</v>
      </c>
      <c r="B1227" s="169" t="s">
        <v>12839</v>
      </c>
      <c r="C1227" s="169" t="s">
        <v>17307</v>
      </c>
      <c r="D1227" s="169" t="str">
        <f t="shared" ref="D1227:E1227" si="746">"MF07000020810"</f>
        <v>MF07000020810</v>
      </c>
      <c r="E1227" s="169" t="str">
        <f t="shared" si="746"/>
        <v>MF07000020810</v>
      </c>
      <c r="F1227" s="169" t="s">
        <v>18811</v>
      </c>
      <c r="G1227" s="169">
        <v>11.0</v>
      </c>
      <c r="H1227" s="169">
        <v>3150.0</v>
      </c>
      <c r="I1227" s="169">
        <v>34650.0</v>
      </c>
      <c r="J1227" s="169">
        <v>0.0</v>
      </c>
      <c r="K1227" s="169">
        <v>11.0</v>
      </c>
      <c r="L1227" s="169">
        <v>0.0</v>
      </c>
    </row>
    <row r="1228" ht="14.25" customHeight="1">
      <c r="A1228" s="169" t="s">
        <v>12839</v>
      </c>
      <c r="B1228" s="169" t="s">
        <v>12839</v>
      </c>
      <c r="C1228" s="169" t="s">
        <v>17306</v>
      </c>
      <c r="D1228" s="169" t="str">
        <f t="shared" ref="D1228:E1228" si="747">"MF07000020710"</f>
        <v>MF07000020710</v>
      </c>
      <c r="E1228" s="169" t="str">
        <f t="shared" si="747"/>
        <v>MF07000020710</v>
      </c>
      <c r="F1228" s="169" t="s">
        <v>18811</v>
      </c>
      <c r="G1228" s="169">
        <v>4.0</v>
      </c>
      <c r="H1228" s="169">
        <v>3200.0</v>
      </c>
      <c r="I1228" s="169">
        <v>12800.0</v>
      </c>
      <c r="J1228" s="169">
        <v>0.0</v>
      </c>
      <c r="K1228" s="169">
        <v>4.0</v>
      </c>
      <c r="L1228" s="169">
        <v>0.0</v>
      </c>
    </row>
    <row r="1229" ht="14.25" customHeight="1">
      <c r="A1229" s="169" t="s">
        <v>12839</v>
      </c>
      <c r="B1229" s="169" t="s">
        <v>12839</v>
      </c>
      <c r="C1229" s="169" t="s">
        <v>17305</v>
      </c>
      <c r="D1229" s="169" t="str">
        <f t="shared" ref="D1229:E1229" si="748">"MF07000040810"</f>
        <v>MF07000040810</v>
      </c>
      <c r="E1229" s="169" t="str">
        <f t="shared" si="748"/>
        <v>MF07000040810</v>
      </c>
      <c r="F1229" s="169" t="s">
        <v>18811</v>
      </c>
      <c r="G1229" s="169">
        <v>2.0</v>
      </c>
      <c r="H1229" s="169">
        <v>4000.0</v>
      </c>
      <c r="I1229" s="169">
        <v>8000.0</v>
      </c>
      <c r="J1229" s="169">
        <v>0.0</v>
      </c>
      <c r="K1229" s="169">
        <v>2.0</v>
      </c>
      <c r="L1229" s="169">
        <v>0.0</v>
      </c>
    </row>
    <row r="1230" ht="14.25" customHeight="1">
      <c r="A1230" s="169" t="s">
        <v>12839</v>
      </c>
      <c r="B1230" s="169" t="s">
        <v>12839</v>
      </c>
      <c r="C1230" s="169" t="s">
        <v>17304</v>
      </c>
      <c r="D1230" s="169" t="str">
        <f t="shared" ref="D1230:E1230" si="749">"MF07000040710"</f>
        <v>MF07000040710</v>
      </c>
      <c r="E1230" s="169" t="str">
        <f t="shared" si="749"/>
        <v>MF07000040710</v>
      </c>
      <c r="F1230" s="169" t="s">
        <v>18811</v>
      </c>
      <c r="G1230" s="169">
        <v>4.0</v>
      </c>
      <c r="H1230" s="169">
        <v>2700.0</v>
      </c>
      <c r="I1230" s="169">
        <v>10800.0</v>
      </c>
      <c r="J1230" s="169">
        <v>0.0</v>
      </c>
      <c r="K1230" s="169">
        <v>4.0</v>
      </c>
      <c r="L1230" s="169">
        <v>0.0</v>
      </c>
    </row>
    <row r="1231" ht="14.25" customHeight="1">
      <c r="A1231" s="169" t="s">
        <v>12839</v>
      </c>
      <c r="B1231" s="169" t="s">
        <v>12839</v>
      </c>
      <c r="C1231" s="169" t="s">
        <v>17303</v>
      </c>
      <c r="D1231" s="169" t="str">
        <f>"1610050226820"</f>
        <v>1610050226820</v>
      </c>
      <c r="E1231" s="169" t="str">
        <f>"sc15"</f>
        <v>sc15</v>
      </c>
      <c r="F1231" s="169" t="s">
        <v>18811</v>
      </c>
      <c r="G1231" s="169">
        <v>6.0</v>
      </c>
      <c r="H1231" s="169">
        <v>7200.0</v>
      </c>
      <c r="I1231" s="169">
        <v>43200.0</v>
      </c>
      <c r="J1231" s="169">
        <v>0.0</v>
      </c>
      <c r="K1231" s="169">
        <v>6.0</v>
      </c>
      <c r="L1231" s="169">
        <v>0.0</v>
      </c>
    </row>
    <row r="1232" ht="14.25" customHeight="1">
      <c r="A1232" s="169" t="s">
        <v>12839</v>
      </c>
      <c r="B1232" s="169" t="s">
        <v>12839</v>
      </c>
      <c r="C1232" s="169" t="s">
        <v>17302</v>
      </c>
      <c r="D1232" s="169" t="str">
        <f t="shared" ref="D1232:E1232" si="750">"MF07000011510"</f>
        <v>MF07000011510</v>
      </c>
      <c r="E1232" s="169" t="str">
        <f t="shared" si="750"/>
        <v>MF07000011510</v>
      </c>
      <c r="F1232" s="169" t="s">
        <v>18811</v>
      </c>
      <c r="G1232" s="169">
        <v>5.0</v>
      </c>
      <c r="H1232" s="169">
        <v>9292.0</v>
      </c>
      <c r="I1232" s="169">
        <v>46460.0</v>
      </c>
      <c r="J1232" s="169">
        <v>0.0</v>
      </c>
      <c r="K1232" s="169">
        <v>5.0</v>
      </c>
      <c r="L1232" s="169">
        <v>0.0</v>
      </c>
    </row>
    <row r="1233" ht="14.25" customHeight="1">
      <c r="A1233" s="169" t="s">
        <v>12839</v>
      </c>
      <c r="B1233" s="169" t="s">
        <v>12839</v>
      </c>
      <c r="C1233" s="169" t="s">
        <v>17301</v>
      </c>
      <c r="D1233" s="169" t="str">
        <f t="shared" ref="D1233:E1233" si="751">"MF07000131510"</f>
        <v>MF07000131510</v>
      </c>
      <c r="E1233" s="169" t="str">
        <f t="shared" si="751"/>
        <v>MF07000131510</v>
      </c>
      <c r="F1233" s="169" t="s">
        <v>18811</v>
      </c>
      <c r="G1233" s="169">
        <v>3.0</v>
      </c>
      <c r="H1233" s="169">
        <v>8400.0</v>
      </c>
      <c r="I1233" s="169">
        <v>25200.0</v>
      </c>
      <c r="J1233" s="169">
        <v>0.0</v>
      </c>
      <c r="K1233" s="169">
        <v>3.0</v>
      </c>
      <c r="L1233" s="169">
        <v>0.0</v>
      </c>
    </row>
    <row r="1234" ht="14.25" customHeight="1">
      <c r="A1234" s="169" t="s">
        <v>12839</v>
      </c>
      <c r="B1234" s="169" t="s">
        <v>12839</v>
      </c>
      <c r="C1234" s="169" t="s">
        <v>17299</v>
      </c>
      <c r="D1234" s="169" t="str">
        <f t="shared" ref="D1234:E1234" si="752">"7500030802"</f>
        <v>7500030802</v>
      </c>
      <c r="E1234" s="169" t="str">
        <f t="shared" si="752"/>
        <v>7500030802</v>
      </c>
      <c r="F1234" s="169" t="s">
        <v>18811</v>
      </c>
      <c r="G1234" s="169">
        <v>3.0</v>
      </c>
      <c r="H1234" s="169">
        <v>4700.0</v>
      </c>
      <c r="I1234" s="169">
        <v>14100.0</v>
      </c>
      <c r="J1234" s="169">
        <v>0.0</v>
      </c>
      <c r="K1234" s="169">
        <v>3.0</v>
      </c>
      <c r="L1234" s="169">
        <v>0.0</v>
      </c>
    </row>
    <row r="1235" ht="14.25" customHeight="1">
      <c r="A1235" s="169" t="s">
        <v>12839</v>
      </c>
      <c r="B1235" s="169" t="s">
        <v>12839</v>
      </c>
      <c r="C1235" s="169" t="s">
        <v>17297</v>
      </c>
      <c r="D1235" s="169" t="str">
        <f t="shared" ref="D1235:E1235" si="753">"7500030821"</f>
        <v>7500030821</v>
      </c>
      <c r="E1235" s="169" t="str">
        <f t="shared" si="753"/>
        <v>7500030821</v>
      </c>
      <c r="F1235" s="169" t="s">
        <v>18811</v>
      </c>
      <c r="G1235" s="169">
        <v>3.0</v>
      </c>
      <c r="H1235" s="169">
        <v>4700.0</v>
      </c>
      <c r="I1235" s="169">
        <v>14100.0</v>
      </c>
      <c r="J1235" s="169">
        <v>0.0</v>
      </c>
      <c r="K1235" s="169">
        <v>3.0</v>
      </c>
      <c r="L1235" s="169">
        <v>0.0</v>
      </c>
    </row>
    <row r="1236" ht="14.25" customHeight="1">
      <c r="A1236" s="169" t="s">
        <v>12839</v>
      </c>
      <c r="B1236" s="169" t="s">
        <v>12839</v>
      </c>
      <c r="C1236" s="169" t="s">
        <v>17295</v>
      </c>
      <c r="D1236" s="169" t="str">
        <f t="shared" ref="D1236:E1236" si="754">"7500030702"</f>
        <v>7500030702</v>
      </c>
      <c r="E1236" s="169" t="str">
        <f t="shared" si="754"/>
        <v>7500030702</v>
      </c>
      <c r="F1236" s="169" t="s">
        <v>18811</v>
      </c>
      <c r="G1236" s="169">
        <v>2.0</v>
      </c>
      <c r="H1236" s="169">
        <v>3200.0</v>
      </c>
      <c r="I1236" s="169">
        <v>6400.0</v>
      </c>
      <c r="J1236" s="169">
        <v>0.0</v>
      </c>
      <c r="K1236" s="169">
        <v>2.0</v>
      </c>
      <c r="L1236" s="169">
        <v>0.0</v>
      </c>
    </row>
    <row r="1237" ht="14.25" customHeight="1">
      <c r="A1237" s="169" t="s">
        <v>12839</v>
      </c>
      <c r="B1237" s="169" t="s">
        <v>12839</v>
      </c>
      <c r="C1237" s="169" t="s">
        <v>17293</v>
      </c>
      <c r="D1237" s="169" t="str">
        <f t="shared" ref="D1237:E1237" si="755">"7500030721"</f>
        <v>7500030721</v>
      </c>
      <c r="E1237" s="169" t="str">
        <f t="shared" si="755"/>
        <v>7500030721</v>
      </c>
      <c r="F1237" s="169" t="s">
        <v>18811</v>
      </c>
      <c r="G1237" s="169">
        <v>3.0</v>
      </c>
      <c r="H1237" s="169">
        <v>3200.0</v>
      </c>
      <c r="I1237" s="169">
        <v>9600.0</v>
      </c>
      <c r="J1237" s="169">
        <v>0.0</v>
      </c>
      <c r="K1237" s="169">
        <v>3.0</v>
      </c>
      <c r="L1237" s="169">
        <v>0.0</v>
      </c>
    </row>
    <row r="1238" ht="14.25" customHeight="1">
      <c r="A1238" s="169" t="s">
        <v>12839</v>
      </c>
      <c r="B1238" s="169" t="s">
        <v>12839</v>
      </c>
      <c r="C1238" s="169" t="s">
        <v>17292</v>
      </c>
      <c r="D1238" s="169" t="str">
        <f t="shared" ref="D1238:E1238" si="756">"sc8"</f>
        <v>sc8</v>
      </c>
      <c r="E1238" s="169" t="str">
        <f t="shared" si="756"/>
        <v>sc8</v>
      </c>
      <c r="F1238" s="169" t="s">
        <v>18811</v>
      </c>
      <c r="G1238" s="169">
        <v>3.0</v>
      </c>
      <c r="H1238" s="169">
        <v>20200.0</v>
      </c>
      <c r="I1238" s="169">
        <v>60600.0</v>
      </c>
      <c r="J1238" s="169">
        <v>0.0</v>
      </c>
      <c r="K1238" s="169">
        <v>3.0</v>
      </c>
      <c r="L1238" s="169">
        <v>0.0</v>
      </c>
    </row>
    <row r="1239" ht="14.25" customHeight="1">
      <c r="A1239" s="169" t="s">
        <v>12839</v>
      </c>
      <c r="B1239" s="169" t="s">
        <v>12839</v>
      </c>
      <c r="C1239" s="169" t="s">
        <v>17291</v>
      </c>
      <c r="D1239" s="169" t="str">
        <f t="shared" ref="D1239:E1239" si="757">"sc9"</f>
        <v>sc9</v>
      </c>
      <c r="E1239" s="169" t="str">
        <f t="shared" si="757"/>
        <v>sc9</v>
      </c>
      <c r="F1239" s="169" t="s">
        <v>18811</v>
      </c>
      <c r="G1239" s="169">
        <v>3.0</v>
      </c>
      <c r="H1239" s="169">
        <v>20200.0</v>
      </c>
      <c r="I1239" s="169">
        <v>60600.0</v>
      </c>
      <c r="J1239" s="169">
        <v>0.0</v>
      </c>
      <c r="K1239" s="169">
        <v>3.0</v>
      </c>
      <c r="L1239" s="169">
        <v>0.0</v>
      </c>
    </row>
    <row r="1240" ht="14.25" customHeight="1">
      <c r="A1240" s="169" t="s">
        <v>12839</v>
      </c>
      <c r="B1240" s="169" t="s">
        <v>12839</v>
      </c>
      <c r="C1240" s="169" t="s">
        <v>17290</v>
      </c>
      <c r="D1240" s="169" t="str">
        <f t="shared" ref="D1240:E1240" si="758">"SD09500011503"</f>
        <v>SD09500011503</v>
      </c>
      <c r="E1240" s="169" t="str">
        <f t="shared" si="758"/>
        <v>SD09500011503</v>
      </c>
      <c r="F1240" s="169" t="s">
        <v>18811</v>
      </c>
      <c r="G1240" s="169">
        <v>2.0</v>
      </c>
      <c r="H1240" s="169">
        <v>4100.0</v>
      </c>
      <c r="I1240" s="169">
        <v>8200.0</v>
      </c>
      <c r="J1240" s="169">
        <v>0.0</v>
      </c>
      <c r="K1240" s="169">
        <v>2.0</v>
      </c>
      <c r="L1240" s="169">
        <v>0.0</v>
      </c>
    </row>
    <row r="1241" ht="14.25" customHeight="1">
      <c r="A1241" s="169" t="s">
        <v>12839</v>
      </c>
      <c r="B1241" s="169" t="s">
        <v>12839</v>
      </c>
      <c r="C1241" s="169" t="s">
        <v>17289</v>
      </c>
      <c r="D1241" s="169" t="str">
        <f t="shared" ref="D1241:E1241" si="759">"MF07000110710"</f>
        <v>MF07000110710</v>
      </c>
      <c r="E1241" s="169" t="str">
        <f t="shared" si="759"/>
        <v>MF07000110710</v>
      </c>
      <c r="F1241" s="169" t="s">
        <v>18811</v>
      </c>
      <c r="G1241" s="169">
        <v>5.0</v>
      </c>
      <c r="H1241" s="169">
        <v>2300.0</v>
      </c>
      <c r="I1241" s="169">
        <v>11500.0</v>
      </c>
      <c r="J1241" s="169">
        <v>0.0</v>
      </c>
      <c r="K1241" s="169">
        <v>5.0</v>
      </c>
      <c r="L1241" s="169">
        <v>0.0</v>
      </c>
    </row>
    <row r="1242" ht="14.25" customHeight="1">
      <c r="A1242" s="169" t="s">
        <v>12839</v>
      </c>
      <c r="B1242" s="169" t="s">
        <v>12839</v>
      </c>
      <c r="C1242" s="169" t="s">
        <v>17288</v>
      </c>
      <c r="D1242" s="169" t="str">
        <f t="shared" ref="D1242:E1242" si="760">"MF07000110810"</f>
        <v>MF07000110810</v>
      </c>
      <c r="E1242" s="169" t="str">
        <f t="shared" si="760"/>
        <v>MF07000110810</v>
      </c>
      <c r="F1242" s="169" t="s">
        <v>18811</v>
      </c>
      <c r="G1242" s="169">
        <v>3.0</v>
      </c>
      <c r="H1242" s="169">
        <v>3286.7</v>
      </c>
      <c r="I1242" s="169">
        <v>9860.0</v>
      </c>
      <c r="J1242" s="169">
        <v>0.0</v>
      </c>
      <c r="K1242" s="169">
        <v>3.0</v>
      </c>
      <c r="L1242" s="169">
        <v>0.0</v>
      </c>
    </row>
    <row r="1243" ht="14.25" customHeight="1">
      <c r="A1243" s="169" t="s">
        <v>12839</v>
      </c>
      <c r="B1243" s="169" t="s">
        <v>12839</v>
      </c>
      <c r="C1243" s="169" t="s">
        <v>17287</v>
      </c>
      <c r="D1243" s="169" t="str">
        <f t="shared" ref="D1243:E1243" si="761">"SD06000130843"</f>
        <v>SD06000130843</v>
      </c>
      <c r="E1243" s="169" t="str">
        <f t="shared" si="761"/>
        <v>SD06000130843</v>
      </c>
      <c r="F1243" s="169" t="s">
        <v>18811</v>
      </c>
      <c r="G1243" s="169">
        <v>4.0</v>
      </c>
      <c r="H1243" s="169">
        <v>10070.0</v>
      </c>
      <c r="I1243" s="169">
        <v>40280.0</v>
      </c>
      <c r="J1243" s="169">
        <v>0.0</v>
      </c>
      <c r="K1243" s="169">
        <v>4.0</v>
      </c>
      <c r="L1243" s="169">
        <v>0.0</v>
      </c>
    </row>
    <row r="1244" ht="14.25" customHeight="1">
      <c r="A1244" s="169" t="s">
        <v>12839</v>
      </c>
      <c r="B1244" s="169" t="s">
        <v>12839</v>
      </c>
      <c r="C1244" s="169" t="s">
        <v>17286</v>
      </c>
      <c r="D1244" s="169" t="str">
        <f t="shared" ref="D1244:E1244" si="762">"SD06000130821"</f>
        <v>SD06000130821</v>
      </c>
      <c r="E1244" s="169" t="str">
        <f t="shared" si="762"/>
        <v>SD06000130821</v>
      </c>
      <c r="F1244" s="169" t="s">
        <v>18811</v>
      </c>
      <c r="G1244" s="169">
        <v>12.0</v>
      </c>
      <c r="H1244" s="169">
        <v>9540.0</v>
      </c>
      <c r="I1244" s="169">
        <v>114480.0</v>
      </c>
      <c r="J1244" s="169">
        <v>0.0</v>
      </c>
      <c r="K1244" s="169">
        <v>12.0</v>
      </c>
      <c r="L1244" s="169">
        <v>0.0</v>
      </c>
    </row>
    <row r="1245" ht="14.25" customHeight="1">
      <c r="A1245" s="169" t="s">
        <v>12839</v>
      </c>
      <c r="B1245" s="169" t="s">
        <v>12839</v>
      </c>
      <c r="C1245" s="169" t="s">
        <v>17285</v>
      </c>
      <c r="D1245" s="169" t="str">
        <f t="shared" ref="D1245:E1245" si="763">"SD06000130809"</f>
        <v>SD06000130809</v>
      </c>
      <c r="E1245" s="169" t="str">
        <f t="shared" si="763"/>
        <v>SD06000130809</v>
      </c>
      <c r="F1245" s="169" t="s">
        <v>18811</v>
      </c>
      <c r="G1245" s="169">
        <v>5.0</v>
      </c>
      <c r="H1245" s="169">
        <v>10176.0</v>
      </c>
      <c r="I1245" s="169">
        <v>50880.0</v>
      </c>
      <c r="J1245" s="169">
        <v>0.0</v>
      </c>
      <c r="K1245" s="169">
        <v>5.0</v>
      </c>
      <c r="L1245" s="169">
        <v>0.0</v>
      </c>
    </row>
    <row r="1246" ht="14.25" customHeight="1">
      <c r="A1246" s="169" t="s">
        <v>12839</v>
      </c>
      <c r="B1246" s="169" t="s">
        <v>12839</v>
      </c>
      <c r="C1246" s="169" t="s">
        <v>17284</v>
      </c>
      <c r="D1246" s="169" t="str">
        <f t="shared" ref="D1246:E1246" si="764">"SD06000130743"</f>
        <v>SD06000130743</v>
      </c>
      <c r="E1246" s="169" t="str">
        <f t="shared" si="764"/>
        <v>SD06000130743</v>
      </c>
      <c r="F1246" s="169" t="s">
        <v>18811</v>
      </c>
      <c r="G1246" s="169">
        <v>3.0</v>
      </c>
      <c r="H1246" s="169">
        <v>7700.0</v>
      </c>
      <c r="I1246" s="169">
        <v>23100.0</v>
      </c>
      <c r="J1246" s="169">
        <v>0.0</v>
      </c>
      <c r="K1246" s="169">
        <v>3.0</v>
      </c>
      <c r="L1246" s="169">
        <v>0.0</v>
      </c>
    </row>
    <row r="1247" ht="14.25" customHeight="1">
      <c r="A1247" s="169" t="s">
        <v>12839</v>
      </c>
      <c r="B1247" s="169" t="s">
        <v>12839</v>
      </c>
      <c r="C1247" s="169" t="s">
        <v>17283</v>
      </c>
      <c r="D1247" s="169" t="str">
        <f t="shared" ref="D1247:E1247" si="765">"SD06000130721"</f>
        <v>SD06000130721</v>
      </c>
      <c r="E1247" s="169" t="str">
        <f t="shared" si="765"/>
        <v>SD06000130721</v>
      </c>
      <c r="F1247" s="169" t="s">
        <v>18811</v>
      </c>
      <c r="G1247" s="169">
        <v>2.0</v>
      </c>
      <c r="H1247" s="169">
        <v>7700.0</v>
      </c>
      <c r="I1247" s="169">
        <v>15400.0</v>
      </c>
      <c r="J1247" s="169">
        <v>0.0</v>
      </c>
      <c r="K1247" s="169">
        <v>2.0</v>
      </c>
      <c r="L1247" s="169">
        <v>0.0</v>
      </c>
    </row>
    <row r="1248" ht="14.25" customHeight="1">
      <c r="A1248" s="169" t="s">
        <v>12839</v>
      </c>
      <c r="B1248" s="169" t="s">
        <v>12839</v>
      </c>
      <c r="C1248" s="169" t="s">
        <v>17282</v>
      </c>
      <c r="D1248" s="169" t="str">
        <f t="shared" ref="D1248:E1248" si="766">"SD06000130709"</f>
        <v>SD06000130709</v>
      </c>
      <c r="E1248" s="169" t="str">
        <f t="shared" si="766"/>
        <v>SD06000130709</v>
      </c>
      <c r="F1248" s="169" t="s">
        <v>18811</v>
      </c>
      <c r="G1248" s="169">
        <v>7.0</v>
      </c>
      <c r="H1248" s="169">
        <v>7480.0</v>
      </c>
      <c r="I1248" s="169">
        <v>52360.0</v>
      </c>
      <c r="J1248" s="169">
        <v>0.0</v>
      </c>
      <c r="K1248" s="169">
        <v>7.0</v>
      </c>
      <c r="L1248" s="169">
        <v>0.0</v>
      </c>
    </row>
    <row r="1249" ht="14.25" customHeight="1">
      <c r="A1249" s="169" t="s">
        <v>12839</v>
      </c>
      <c r="B1249" s="169" t="s">
        <v>12839</v>
      </c>
      <c r="C1249" s="169" t="s">
        <v>17281</v>
      </c>
      <c r="D1249" s="169" t="str">
        <f t="shared" ref="D1249:E1249" si="767">"SD06500021508"</f>
        <v>SD06500021508</v>
      </c>
      <c r="E1249" s="169" t="str">
        <f t="shared" si="767"/>
        <v>SD06500021508</v>
      </c>
      <c r="F1249" s="169" t="s">
        <v>18811</v>
      </c>
      <c r="G1249" s="169">
        <v>4.0</v>
      </c>
      <c r="H1249" s="169">
        <v>7500.0</v>
      </c>
      <c r="I1249" s="169">
        <v>30000.0</v>
      </c>
      <c r="J1249" s="169">
        <v>0.0</v>
      </c>
      <c r="K1249" s="169">
        <v>4.0</v>
      </c>
      <c r="L1249" s="169">
        <v>0.0</v>
      </c>
    </row>
    <row r="1250" ht="14.25" customHeight="1">
      <c r="A1250" s="169" t="s">
        <v>12839</v>
      </c>
      <c r="B1250" s="169" t="s">
        <v>12839</v>
      </c>
      <c r="C1250" s="169" t="s">
        <v>17280</v>
      </c>
      <c r="D1250" s="169" t="str">
        <f t="shared" ref="D1250:E1250" si="768">"SD06500021521"</f>
        <v>SD06500021521</v>
      </c>
      <c r="E1250" s="169" t="str">
        <f t="shared" si="768"/>
        <v>SD06500021521</v>
      </c>
      <c r="F1250" s="169" t="s">
        <v>18811</v>
      </c>
      <c r="G1250" s="169">
        <v>3.0</v>
      </c>
      <c r="H1250" s="169">
        <v>7500.0</v>
      </c>
      <c r="I1250" s="169">
        <v>22500.0</v>
      </c>
      <c r="J1250" s="169">
        <v>0.0</v>
      </c>
      <c r="K1250" s="169">
        <v>3.0</v>
      </c>
      <c r="L1250" s="169">
        <v>0.0</v>
      </c>
    </row>
    <row r="1251" ht="14.25" customHeight="1">
      <c r="A1251" s="169" t="s">
        <v>12839</v>
      </c>
      <c r="B1251" s="169" t="s">
        <v>12839</v>
      </c>
      <c r="C1251" s="169" t="s">
        <v>17279</v>
      </c>
      <c r="D1251" s="169" t="str">
        <f t="shared" ref="D1251:E1251" si="769">"SD06500061502"</f>
        <v>SD06500061502</v>
      </c>
      <c r="E1251" s="169" t="str">
        <f t="shared" si="769"/>
        <v>SD06500061502</v>
      </c>
      <c r="F1251" s="169" t="s">
        <v>18811</v>
      </c>
      <c r="G1251" s="169">
        <v>2.0</v>
      </c>
      <c r="H1251" s="169">
        <v>4400.0</v>
      </c>
      <c r="I1251" s="169">
        <v>8800.0</v>
      </c>
      <c r="J1251" s="169">
        <v>0.0</v>
      </c>
      <c r="K1251" s="169">
        <v>2.0</v>
      </c>
      <c r="L1251" s="169">
        <v>0.0</v>
      </c>
    </row>
    <row r="1252" ht="14.25" customHeight="1">
      <c r="A1252" s="169" t="s">
        <v>12839</v>
      </c>
      <c r="B1252" s="169" t="s">
        <v>12839</v>
      </c>
      <c r="C1252" s="169" t="s">
        <v>17278</v>
      </c>
      <c r="D1252" s="169" t="str">
        <f t="shared" ref="D1252:E1252" si="770">"SD06500061525"</f>
        <v>SD06500061525</v>
      </c>
      <c r="E1252" s="169" t="str">
        <f t="shared" si="770"/>
        <v>SD06500061525</v>
      </c>
      <c r="F1252" s="169" t="s">
        <v>18811</v>
      </c>
      <c r="G1252" s="169">
        <v>4.0</v>
      </c>
      <c r="H1252" s="169">
        <v>4400.0</v>
      </c>
      <c r="I1252" s="169">
        <v>17600.0</v>
      </c>
      <c r="J1252" s="169">
        <v>0.0</v>
      </c>
      <c r="K1252" s="169">
        <v>4.0</v>
      </c>
      <c r="L1252" s="169">
        <v>0.0</v>
      </c>
    </row>
    <row r="1253" ht="14.25" customHeight="1">
      <c r="A1253" s="169" t="s">
        <v>12839</v>
      </c>
      <c r="B1253" s="169" t="s">
        <v>12839</v>
      </c>
      <c r="C1253" s="169" t="s">
        <v>17277</v>
      </c>
      <c r="D1253" s="169" t="str">
        <f t="shared" ref="D1253:E1253" si="771">"SD06500011521"</f>
        <v>SD06500011521</v>
      </c>
      <c r="E1253" s="169" t="str">
        <f t="shared" si="771"/>
        <v>SD06500011521</v>
      </c>
      <c r="F1253" s="169" t="s">
        <v>18811</v>
      </c>
      <c r="G1253" s="169">
        <v>2.0</v>
      </c>
      <c r="H1253" s="169">
        <v>3900.0</v>
      </c>
      <c r="I1253" s="169">
        <v>7800.0</v>
      </c>
      <c r="J1253" s="169">
        <v>0.0</v>
      </c>
      <c r="K1253" s="169">
        <v>2.0</v>
      </c>
      <c r="L1253" s="169">
        <v>0.0</v>
      </c>
    </row>
    <row r="1254" ht="14.25" customHeight="1">
      <c r="A1254" s="169" t="s">
        <v>12839</v>
      </c>
      <c r="B1254" s="169" t="s">
        <v>12839</v>
      </c>
      <c r="C1254" s="169" t="s">
        <v>17276</v>
      </c>
      <c r="D1254" s="169" t="str">
        <f t="shared" ref="D1254:E1254" si="772">"SD06500011508"</f>
        <v>SD06500011508</v>
      </c>
      <c r="E1254" s="169" t="str">
        <f t="shared" si="772"/>
        <v>SD06500011508</v>
      </c>
      <c r="F1254" s="169" t="s">
        <v>18811</v>
      </c>
      <c r="G1254" s="169">
        <v>5.0</v>
      </c>
      <c r="H1254" s="169">
        <v>3240.0</v>
      </c>
      <c r="I1254" s="169">
        <v>16200.0</v>
      </c>
      <c r="J1254" s="169">
        <v>0.0</v>
      </c>
      <c r="K1254" s="169">
        <v>5.0</v>
      </c>
      <c r="L1254" s="169">
        <v>0.0</v>
      </c>
    </row>
    <row r="1255" ht="14.25" customHeight="1">
      <c r="A1255" s="169" t="s">
        <v>12839</v>
      </c>
      <c r="B1255" s="169" t="s">
        <v>12839</v>
      </c>
      <c r="C1255" s="169" t="s">
        <v>17275</v>
      </c>
      <c r="D1255" s="169" t="str">
        <f t="shared" ref="D1255:E1255" si="773">"SD06000140803"</f>
        <v>SD06000140803</v>
      </c>
      <c r="E1255" s="169" t="str">
        <f t="shared" si="773"/>
        <v>SD06000140803</v>
      </c>
      <c r="F1255" s="169" t="s">
        <v>18811</v>
      </c>
      <c r="G1255" s="169">
        <v>5.0</v>
      </c>
      <c r="H1255" s="169">
        <v>6600.0</v>
      </c>
      <c r="I1255" s="169">
        <v>33000.0</v>
      </c>
      <c r="J1255" s="169">
        <v>0.0</v>
      </c>
      <c r="K1255" s="169">
        <v>5.0</v>
      </c>
      <c r="L1255" s="169">
        <v>0.0</v>
      </c>
    </row>
    <row r="1256" ht="14.25" customHeight="1">
      <c r="A1256" s="169" t="s">
        <v>12839</v>
      </c>
      <c r="B1256" s="169" t="s">
        <v>12839</v>
      </c>
      <c r="C1256" s="169" t="s">
        <v>17274</v>
      </c>
      <c r="D1256" s="169" t="str">
        <f t="shared" ref="D1256:E1256" si="774">"SD06000140819"</f>
        <v>SD06000140819</v>
      </c>
      <c r="E1256" s="169" t="str">
        <f t="shared" si="774"/>
        <v>SD06000140819</v>
      </c>
      <c r="F1256" s="169" t="s">
        <v>18811</v>
      </c>
      <c r="G1256" s="169">
        <v>1.0</v>
      </c>
      <c r="H1256" s="169">
        <v>6600.0</v>
      </c>
      <c r="I1256" s="169">
        <v>6600.0</v>
      </c>
      <c r="J1256" s="169">
        <v>0.0</v>
      </c>
      <c r="K1256" s="169">
        <v>1.0</v>
      </c>
      <c r="L1256" s="169">
        <v>0.0</v>
      </c>
    </row>
    <row r="1257" ht="14.25" customHeight="1">
      <c r="A1257" s="169" t="s">
        <v>12839</v>
      </c>
      <c r="B1257" s="169" t="s">
        <v>12839</v>
      </c>
      <c r="C1257" s="169" t="s">
        <v>17273</v>
      </c>
      <c r="D1257" s="169" t="str">
        <f t="shared" ref="D1257:E1257" si="775">"SD06000140825"</f>
        <v>SD06000140825</v>
      </c>
      <c r="E1257" s="169" t="str">
        <f t="shared" si="775"/>
        <v>SD06000140825</v>
      </c>
      <c r="F1257" s="169" t="s">
        <v>18811</v>
      </c>
      <c r="G1257" s="169">
        <v>3.0</v>
      </c>
      <c r="H1257" s="169">
        <v>6600.0</v>
      </c>
      <c r="I1257" s="169">
        <v>19800.0</v>
      </c>
      <c r="J1257" s="169">
        <v>0.0</v>
      </c>
      <c r="K1257" s="169">
        <v>3.0</v>
      </c>
      <c r="L1257" s="169">
        <v>0.0</v>
      </c>
    </row>
    <row r="1258" ht="14.25" customHeight="1">
      <c r="A1258" s="169" t="s">
        <v>12839</v>
      </c>
      <c r="B1258" s="169" t="s">
        <v>12839</v>
      </c>
      <c r="C1258" s="169" t="s">
        <v>17272</v>
      </c>
      <c r="D1258" s="169" t="str">
        <f t="shared" ref="D1258:E1258" si="776">"SD06000140703"</f>
        <v>SD06000140703</v>
      </c>
      <c r="E1258" s="169" t="str">
        <f t="shared" si="776"/>
        <v>SD06000140703</v>
      </c>
      <c r="F1258" s="169" t="s">
        <v>18811</v>
      </c>
      <c r="G1258" s="169">
        <v>4.0</v>
      </c>
      <c r="H1258" s="169">
        <v>4275.0</v>
      </c>
      <c r="I1258" s="169">
        <v>17100.0</v>
      </c>
      <c r="J1258" s="169">
        <v>0.0</v>
      </c>
      <c r="K1258" s="169">
        <v>4.0</v>
      </c>
      <c r="L1258" s="169">
        <v>0.0</v>
      </c>
    </row>
    <row r="1259" ht="14.25" customHeight="1">
      <c r="A1259" s="169" t="s">
        <v>12839</v>
      </c>
      <c r="B1259" s="169" t="s">
        <v>12839</v>
      </c>
      <c r="C1259" s="169" t="s">
        <v>17271</v>
      </c>
      <c r="D1259" s="169" t="str">
        <f t="shared" ref="D1259:E1259" si="777">"SD06000140719"</f>
        <v>SD06000140719</v>
      </c>
      <c r="E1259" s="169" t="str">
        <f t="shared" si="777"/>
        <v>SD06000140719</v>
      </c>
      <c r="F1259" s="169" t="s">
        <v>18811</v>
      </c>
      <c r="G1259" s="169">
        <v>3.0</v>
      </c>
      <c r="H1259" s="169">
        <v>4500.0</v>
      </c>
      <c r="I1259" s="169">
        <v>13500.0</v>
      </c>
      <c r="J1259" s="169">
        <v>0.0</v>
      </c>
      <c r="K1259" s="169">
        <v>3.0</v>
      </c>
      <c r="L1259" s="169">
        <v>0.0</v>
      </c>
    </row>
    <row r="1260" ht="14.25" customHeight="1">
      <c r="A1260" s="169" t="s">
        <v>12839</v>
      </c>
      <c r="B1260" s="169" t="s">
        <v>12839</v>
      </c>
      <c r="C1260" s="169" t="s">
        <v>17270</v>
      </c>
      <c r="D1260" s="169" t="str">
        <f t="shared" ref="D1260:E1260" si="778">"SD06000140725"</f>
        <v>SD06000140725</v>
      </c>
      <c r="E1260" s="169" t="str">
        <f t="shared" si="778"/>
        <v>SD06000140725</v>
      </c>
      <c r="F1260" s="169" t="s">
        <v>18811</v>
      </c>
      <c r="G1260" s="169">
        <v>10.0</v>
      </c>
      <c r="H1260" s="169">
        <v>4050.0</v>
      </c>
      <c r="I1260" s="169">
        <v>40500.0</v>
      </c>
      <c r="J1260" s="169">
        <v>0.0</v>
      </c>
      <c r="K1260" s="169">
        <v>10.0</v>
      </c>
      <c r="L1260" s="169">
        <v>0.0</v>
      </c>
    </row>
    <row r="1261" ht="14.25" customHeight="1">
      <c r="A1261" s="169" t="s">
        <v>12839</v>
      </c>
      <c r="B1261" s="169" t="s">
        <v>12839</v>
      </c>
      <c r="C1261" s="169" t="s">
        <v>17269</v>
      </c>
      <c r="D1261" s="169" t="str">
        <f t="shared" ref="D1261:E1261" si="779">"SD06000140603"</f>
        <v>SD06000140603</v>
      </c>
      <c r="E1261" s="169" t="str">
        <f t="shared" si="779"/>
        <v>SD06000140603</v>
      </c>
      <c r="F1261" s="169" t="s">
        <v>18811</v>
      </c>
      <c r="G1261" s="169">
        <v>2.0</v>
      </c>
      <c r="H1261" s="169">
        <v>3300.0</v>
      </c>
      <c r="I1261" s="169">
        <v>6600.0</v>
      </c>
      <c r="J1261" s="169">
        <v>0.0</v>
      </c>
      <c r="K1261" s="169">
        <v>2.0</v>
      </c>
      <c r="L1261" s="169">
        <v>0.0</v>
      </c>
    </row>
    <row r="1262" ht="14.25" customHeight="1">
      <c r="A1262" s="169" t="s">
        <v>12839</v>
      </c>
      <c r="B1262" s="169" t="s">
        <v>12839</v>
      </c>
      <c r="C1262" s="169" t="s">
        <v>17268</v>
      </c>
      <c r="D1262" s="169" t="str">
        <f t="shared" ref="D1262:E1262" si="780">"SD06000140619"</f>
        <v>SD06000140619</v>
      </c>
      <c r="E1262" s="169" t="str">
        <f t="shared" si="780"/>
        <v>SD06000140619</v>
      </c>
      <c r="F1262" s="169" t="s">
        <v>18811</v>
      </c>
      <c r="G1262" s="169">
        <v>2.0</v>
      </c>
      <c r="H1262" s="169">
        <v>3300.0</v>
      </c>
      <c r="I1262" s="169">
        <v>6600.0</v>
      </c>
      <c r="J1262" s="169">
        <v>0.0</v>
      </c>
      <c r="K1262" s="169">
        <v>2.0</v>
      </c>
      <c r="L1262" s="169">
        <v>0.0</v>
      </c>
    </row>
    <row r="1263" ht="14.25" customHeight="1">
      <c r="A1263" s="169" t="s">
        <v>12839</v>
      </c>
      <c r="B1263" s="169" t="s">
        <v>12839</v>
      </c>
      <c r="C1263" s="169" t="s">
        <v>17267</v>
      </c>
      <c r="D1263" s="169" t="str">
        <f t="shared" ref="D1263:E1263" si="781">"SD06000140625"</f>
        <v>SD06000140625</v>
      </c>
      <c r="E1263" s="169" t="str">
        <f t="shared" si="781"/>
        <v>SD06000140625</v>
      </c>
      <c r="F1263" s="169" t="s">
        <v>18811</v>
      </c>
      <c r="G1263" s="169">
        <v>7.0</v>
      </c>
      <c r="H1263" s="169">
        <v>3300.0</v>
      </c>
      <c r="I1263" s="169">
        <v>23100.0</v>
      </c>
      <c r="J1263" s="169">
        <v>0.0</v>
      </c>
      <c r="K1263" s="169">
        <v>7.0</v>
      </c>
      <c r="L1263" s="169">
        <v>0.0</v>
      </c>
    </row>
    <row r="1264" ht="14.25" customHeight="1">
      <c r="A1264" s="169" t="s">
        <v>12839</v>
      </c>
      <c r="B1264" s="169" t="s">
        <v>12839</v>
      </c>
      <c r="C1264" s="169" t="s">
        <v>17266</v>
      </c>
      <c r="D1264" s="169" t="str">
        <f t="shared" ref="D1264:E1264" si="782">"SD06000050807"</f>
        <v>SD06000050807</v>
      </c>
      <c r="E1264" s="169" t="str">
        <f t="shared" si="782"/>
        <v>SD06000050807</v>
      </c>
      <c r="F1264" s="169" t="s">
        <v>18811</v>
      </c>
      <c r="G1264" s="169">
        <v>2.0</v>
      </c>
      <c r="H1264" s="169">
        <v>7800.0</v>
      </c>
      <c r="I1264" s="169">
        <v>15600.0</v>
      </c>
      <c r="J1264" s="169">
        <v>0.0</v>
      </c>
      <c r="K1264" s="169">
        <v>2.0</v>
      </c>
      <c r="L1264" s="169">
        <v>0.0</v>
      </c>
    </row>
    <row r="1265" ht="14.25" customHeight="1">
      <c r="A1265" s="169" t="s">
        <v>12839</v>
      </c>
      <c r="B1265" s="169" t="s">
        <v>12839</v>
      </c>
      <c r="C1265" s="169" t="s">
        <v>17265</v>
      </c>
      <c r="D1265" s="169" t="str">
        <f t="shared" ref="D1265:E1265" si="783">"SD06000050809"</f>
        <v>SD06000050809</v>
      </c>
      <c r="E1265" s="169" t="str">
        <f t="shared" si="783"/>
        <v>SD06000050809</v>
      </c>
      <c r="F1265" s="169" t="s">
        <v>18811</v>
      </c>
      <c r="G1265" s="169">
        <v>3.0</v>
      </c>
      <c r="H1265" s="169">
        <v>7800.0</v>
      </c>
      <c r="I1265" s="169">
        <v>23400.0</v>
      </c>
      <c r="J1265" s="169">
        <v>0.0</v>
      </c>
      <c r="K1265" s="169">
        <v>3.0</v>
      </c>
      <c r="L1265" s="169">
        <v>0.0</v>
      </c>
    </row>
    <row r="1266" ht="14.25" customHeight="1">
      <c r="A1266" s="169" t="s">
        <v>12839</v>
      </c>
      <c r="B1266" s="169" t="s">
        <v>12839</v>
      </c>
      <c r="C1266" s="169" t="s">
        <v>17264</v>
      </c>
      <c r="D1266" s="169" t="str">
        <f t="shared" ref="D1266:E1266" si="784">"SD06000050810"</f>
        <v>SD06000050810</v>
      </c>
      <c r="E1266" s="169" t="str">
        <f t="shared" si="784"/>
        <v>SD06000050810</v>
      </c>
      <c r="F1266" s="169" t="s">
        <v>18811</v>
      </c>
      <c r="G1266" s="169">
        <v>1.0</v>
      </c>
      <c r="H1266" s="169">
        <v>7800.0</v>
      </c>
      <c r="I1266" s="169">
        <v>7800.0</v>
      </c>
      <c r="J1266" s="169">
        <v>0.0</v>
      </c>
      <c r="K1266" s="169">
        <v>1.0</v>
      </c>
      <c r="L1266" s="169">
        <v>0.0</v>
      </c>
    </row>
    <row r="1267" ht="14.25" customHeight="1">
      <c r="A1267" s="169" t="s">
        <v>12839</v>
      </c>
      <c r="B1267" s="169" t="s">
        <v>12839</v>
      </c>
      <c r="C1267" s="169" t="s">
        <v>17263</v>
      </c>
      <c r="D1267" s="169" t="str">
        <f t="shared" ref="D1267:E1267" si="785">"SD06000050707"</f>
        <v>SD06000050707</v>
      </c>
      <c r="E1267" s="169" t="str">
        <f t="shared" si="785"/>
        <v>SD06000050707</v>
      </c>
      <c r="F1267" s="169" t="s">
        <v>18811</v>
      </c>
      <c r="G1267" s="169">
        <v>3.0</v>
      </c>
      <c r="H1267" s="169">
        <v>5100.0</v>
      </c>
      <c r="I1267" s="169">
        <v>15300.0</v>
      </c>
      <c r="J1267" s="169">
        <v>0.0</v>
      </c>
      <c r="K1267" s="169">
        <v>3.0</v>
      </c>
      <c r="L1267" s="169">
        <v>0.0</v>
      </c>
    </row>
    <row r="1268" ht="14.25" customHeight="1">
      <c r="A1268" s="169" t="s">
        <v>12839</v>
      </c>
      <c r="B1268" s="169" t="s">
        <v>12839</v>
      </c>
      <c r="C1268" s="169" t="s">
        <v>17262</v>
      </c>
      <c r="D1268" s="169" t="str">
        <f t="shared" ref="D1268:E1268" si="786">"SD06000050607"</f>
        <v>SD06000050607</v>
      </c>
      <c r="E1268" s="169" t="str">
        <f t="shared" si="786"/>
        <v>SD06000050607</v>
      </c>
      <c r="F1268" s="169" t="s">
        <v>18811</v>
      </c>
      <c r="G1268" s="169">
        <v>3.0</v>
      </c>
      <c r="H1268" s="169">
        <v>3100.0</v>
      </c>
      <c r="I1268" s="169">
        <v>9300.0</v>
      </c>
      <c r="J1268" s="169">
        <v>0.0</v>
      </c>
      <c r="K1268" s="169">
        <v>3.0</v>
      </c>
      <c r="L1268" s="169">
        <v>0.0</v>
      </c>
    </row>
    <row r="1269" ht="14.25" customHeight="1">
      <c r="A1269" s="169" t="s">
        <v>12839</v>
      </c>
      <c r="B1269" s="169" t="s">
        <v>12839</v>
      </c>
      <c r="C1269" s="169" t="s">
        <v>17261</v>
      </c>
      <c r="D1269" s="169" t="str">
        <f t="shared" ref="D1269:E1269" si="787">"SD06000050609"</f>
        <v>SD06000050609</v>
      </c>
      <c r="E1269" s="169" t="str">
        <f t="shared" si="787"/>
        <v>SD06000050609</v>
      </c>
      <c r="F1269" s="169" t="s">
        <v>18811</v>
      </c>
      <c r="G1269" s="169">
        <v>2.0</v>
      </c>
      <c r="H1269" s="169">
        <v>3100.0</v>
      </c>
      <c r="I1269" s="169">
        <v>6200.0</v>
      </c>
      <c r="J1269" s="169">
        <v>0.0</v>
      </c>
      <c r="K1269" s="169">
        <v>2.0</v>
      </c>
      <c r="L1269" s="169">
        <v>0.0</v>
      </c>
    </row>
    <row r="1270" ht="14.25" customHeight="1">
      <c r="A1270" s="169" t="s">
        <v>12839</v>
      </c>
      <c r="B1270" s="169" t="s">
        <v>12839</v>
      </c>
      <c r="C1270" s="169" t="s">
        <v>17260</v>
      </c>
      <c r="D1270" s="169" t="str">
        <f t="shared" ref="D1270:E1270" si="788">"SD06000050907"</f>
        <v>SD06000050907</v>
      </c>
      <c r="E1270" s="169" t="str">
        <f t="shared" si="788"/>
        <v>SD06000050907</v>
      </c>
      <c r="F1270" s="169" t="s">
        <v>18811</v>
      </c>
      <c r="G1270" s="169">
        <v>6.0</v>
      </c>
      <c r="H1270" s="169">
        <v>9706.7</v>
      </c>
      <c r="I1270" s="169">
        <v>58240.0</v>
      </c>
      <c r="J1270" s="169">
        <v>0.0</v>
      </c>
      <c r="K1270" s="169">
        <v>6.0</v>
      </c>
      <c r="L1270" s="169">
        <v>0.0</v>
      </c>
    </row>
    <row r="1271" ht="14.25" customHeight="1">
      <c r="A1271" s="169" t="s">
        <v>12839</v>
      </c>
      <c r="B1271" s="169" t="s">
        <v>12839</v>
      </c>
      <c r="C1271" s="169" t="s">
        <v>17259</v>
      </c>
      <c r="D1271" s="169" t="str">
        <f t="shared" ref="D1271:E1271" si="789">"SD06000050909"</f>
        <v>SD06000050909</v>
      </c>
      <c r="E1271" s="169" t="str">
        <f t="shared" si="789"/>
        <v>SD06000050909</v>
      </c>
      <c r="F1271" s="169" t="s">
        <v>18811</v>
      </c>
      <c r="G1271" s="169">
        <v>17.0</v>
      </c>
      <c r="H1271" s="169">
        <v>9788.2</v>
      </c>
      <c r="I1271" s="169">
        <v>166400.0</v>
      </c>
      <c r="J1271" s="169">
        <v>0.0</v>
      </c>
      <c r="K1271" s="169">
        <v>17.0</v>
      </c>
      <c r="L1271" s="169">
        <v>0.0</v>
      </c>
    </row>
    <row r="1272" ht="14.25" customHeight="1">
      <c r="A1272" s="169" t="s">
        <v>12839</v>
      </c>
      <c r="B1272" s="169" t="s">
        <v>12839</v>
      </c>
      <c r="C1272" s="169" t="s">
        <v>17258</v>
      </c>
      <c r="D1272" s="169" t="str">
        <f t="shared" ref="D1272:E1272" si="790">"SD06000050910"</f>
        <v>SD06000050910</v>
      </c>
      <c r="E1272" s="169" t="str">
        <f t="shared" si="790"/>
        <v>SD06000050910</v>
      </c>
      <c r="F1272" s="169" t="s">
        <v>18811</v>
      </c>
      <c r="G1272" s="169">
        <v>9.0</v>
      </c>
      <c r="H1272" s="169">
        <v>10168.9</v>
      </c>
      <c r="I1272" s="169">
        <v>91520.0</v>
      </c>
      <c r="J1272" s="169">
        <v>0.0</v>
      </c>
      <c r="K1272" s="169">
        <v>9.0</v>
      </c>
      <c r="L1272" s="169">
        <v>0.0</v>
      </c>
    </row>
    <row r="1273" ht="14.25" customHeight="1">
      <c r="A1273" s="169" t="s">
        <v>12839</v>
      </c>
      <c r="B1273" s="169" t="s">
        <v>12839</v>
      </c>
      <c r="C1273" s="169" t="s">
        <v>17257</v>
      </c>
      <c r="D1273" s="169" t="str">
        <f t="shared" ref="D1273:E1273" si="791">"SD06000030702"</f>
        <v>SD06000030702</v>
      </c>
      <c r="E1273" s="169" t="str">
        <f t="shared" si="791"/>
        <v>SD06000030702</v>
      </c>
      <c r="F1273" s="169" t="s">
        <v>18811</v>
      </c>
      <c r="G1273" s="169">
        <v>3.0</v>
      </c>
      <c r="H1273" s="169">
        <v>10000.0</v>
      </c>
      <c r="I1273" s="169">
        <v>30000.0</v>
      </c>
      <c r="J1273" s="169">
        <v>0.0</v>
      </c>
      <c r="K1273" s="169">
        <v>3.0</v>
      </c>
      <c r="L1273" s="169">
        <v>0.0</v>
      </c>
    </row>
    <row r="1274" ht="14.25" customHeight="1">
      <c r="A1274" s="169" t="s">
        <v>12839</v>
      </c>
      <c r="B1274" s="169" t="s">
        <v>12839</v>
      </c>
      <c r="C1274" s="169" t="s">
        <v>17256</v>
      </c>
      <c r="D1274" s="169" t="str">
        <f t="shared" ref="D1274:E1274" si="792">"SD06000030721"</f>
        <v>SD06000030721</v>
      </c>
      <c r="E1274" s="169" t="str">
        <f t="shared" si="792"/>
        <v>SD06000030721</v>
      </c>
      <c r="F1274" s="169" t="s">
        <v>18811</v>
      </c>
      <c r="G1274" s="169">
        <v>3.0</v>
      </c>
      <c r="H1274" s="169">
        <v>10000.0</v>
      </c>
      <c r="I1274" s="169">
        <v>30000.0</v>
      </c>
      <c r="J1274" s="169">
        <v>0.0</v>
      </c>
      <c r="K1274" s="169">
        <v>3.0</v>
      </c>
      <c r="L1274" s="169">
        <v>0.0</v>
      </c>
    </row>
    <row r="1275" ht="14.25" customHeight="1">
      <c r="A1275" s="169" t="s">
        <v>12839</v>
      </c>
      <c r="B1275" s="169" t="s">
        <v>12839</v>
      </c>
      <c r="C1275" s="169" t="s">
        <v>17255</v>
      </c>
      <c r="D1275" s="169" t="str">
        <f t="shared" ref="D1275:E1275" si="793">"SD06000030712"</f>
        <v>SD06000030712</v>
      </c>
      <c r="E1275" s="169" t="str">
        <f t="shared" si="793"/>
        <v>SD06000030712</v>
      </c>
      <c r="F1275" s="169" t="s">
        <v>18811</v>
      </c>
      <c r="G1275" s="169">
        <v>3.0</v>
      </c>
      <c r="H1275" s="169">
        <v>9333.3</v>
      </c>
      <c r="I1275" s="169">
        <v>28000.0</v>
      </c>
      <c r="J1275" s="169">
        <v>0.0</v>
      </c>
      <c r="K1275" s="169">
        <v>3.0</v>
      </c>
      <c r="L1275" s="169">
        <v>0.0</v>
      </c>
    </row>
    <row r="1276" ht="14.25" customHeight="1">
      <c r="A1276" s="169" t="s">
        <v>12839</v>
      </c>
      <c r="B1276" s="169" t="s">
        <v>12839</v>
      </c>
      <c r="C1276" s="169" t="s">
        <v>17254</v>
      </c>
      <c r="D1276" s="169" t="str">
        <f t="shared" ref="D1276:E1276" si="794">"SD06000030708"</f>
        <v>SD06000030708</v>
      </c>
      <c r="E1276" s="169" t="str">
        <f t="shared" si="794"/>
        <v>SD06000030708</v>
      </c>
      <c r="F1276" s="169" t="s">
        <v>18811</v>
      </c>
      <c r="G1276" s="169">
        <v>2.0</v>
      </c>
      <c r="H1276" s="169">
        <v>9000.0</v>
      </c>
      <c r="I1276" s="169">
        <v>18000.0</v>
      </c>
      <c r="J1276" s="169">
        <v>0.0</v>
      </c>
      <c r="K1276" s="169">
        <v>2.0</v>
      </c>
      <c r="L1276" s="169">
        <v>0.0</v>
      </c>
    </row>
    <row r="1277" ht="14.25" customHeight="1">
      <c r="A1277" s="169" t="s">
        <v>12839</v>
      </c>
      <c r="B1277" s="169" t="s">
        <v>12839</v>
      </c>
      <c r="C1277" s="169" t="s">
        <v>17253</v>
      </c>
      <c r="D1277" s="169" t="str">
        <f t="shared" ref="D1277:E1277" si="795">"SD06000030621"</f>
        <v>SD06000030621</v>
      </c>
      <c r="E1277" s="169" t="str">
        <f t="shared" si="795"/>
        <v>SD06000030621</v>
      </c>
      <c r="F1277" s="169" t="s">
        <v>18811</v>
      </c>
      <c r="G1277" s="169">
        <v>4.0</v>
      </c>
      <c r="H1277" s="169">
        <v>7400.0</v>
      </c>
      <c r="I1277" s="169">
        <v>29600.0</v>
      </c>
      <c r="J1277" s="169">
        <v>0.0</v>
      </c>
      <c r="K1277" s="169">
        <v>4.0</v>
      </c>
      <c r="L1277" s="169">
        <v>0.0</v>
      </c>
    </row>
    <row r="1278" ht="14.25" customHeight="1">
      <c r="A1278" s="169" t="s">
        <v>12839</v>
      </c>
      <c r="B1278" s="169" t="s">
        <v>12839</v>
      </c>
      <c r="C1278" s="169" t="s">
        <v>17252</v>
      </c>
      <c r="D1278" s="169" t="str">
        <f t="shared" ref="D1278:E1278" si="796">"SD06000030612"</f>
        <v>SD06000030612</v>
      </c>
      <c r="E1278" s="169" t="str">
        <f t="shared" si="796"/>
        <v>SD06000030612</v>
      </c>
      <c r="F1278" s="169" t="s">
        <v>18811</v>
      </c>
      <c r="G1278" s="169">
        <v>3.0</v>
      </c>
      <c r="H1278" s="169">
        <v>7400.0</v>
      </c>
      <c r="I1278" s="169">
        <v>22200.0</v>
      </c>
      <c r="J1278" s="169">
        <v>0.0</v>
      </c>
      <c r="K1278" s="169">
        <v>3.0</v>
      </c>
      <c r="L1278" s="169">
        <v>0.0</v>
      </c>
    </row>
    <row r="1279" ht="14.25" customHeight="1">
      <c r="A1279" s="169" t="s">
        <v>12839</v>
      </c>
      <c r="B1279" s="169" t="s">
        <v>12839</v>
      </c>
      <c r="C1279" s="169" t="s">
        <v>17251</v>
      </c>
      <c r="D1279" s="169" t="str">
        <f t="shared" ref="D1279:E1279" si="797">"SD06000030608"</f>
        <v>SD06000030608</v>
      </c>
      <c r="E1279" s="169" t="str">
        <f t="shared" si="797"/>
        <v>SD06000030608</v>
      </c>
      <c r="F1279" s="169" t="s">
        <v>18811</v>
      </c>
      <c r="G1279" s="169">
        <v>5.0</v>
      </c>
      <c r="H1279" s="169">
        <v>7000.0</v>
      </c>
      <c r="I1279" s="169">
        <v>35000.0</v>
      </c>
      <c r="J1279" s="169">
        <v>0.0</v>
      </c>
      <c r="K1279" s="169">
        <v>5.0</v>
      </c>
      <c r="L1279" s="169">
        <v>0.0</v>
      </c>
    </row>
    <row r="1280" ht="14.25" customHeight="1">
      <c r="A1280" s="169" t="s">
        <v>12839</v>
      </c>
      <c r="B1280" s="169" t="s">
        <v>12839</v>
      </c>
      <c r="C1280" s="169" t="s">
        <v>17250</v>
      </c>
      <c r="D1280" s="169" t="str">
        <f t="shared" ref="D1280:E1280" si="798">"SD06000080801"</f>
        <v>SD06000080801</v>
      </c>
      <c r="E1280" s="169" t="str">
        <f t="shared" si="798"/>
        <v>SD06000080801</v>
      </c>
      <c r="F1280" s="169" t="s">
        <v>18811</v>
      </c>
      <c r="G1280" s="169">
        <v>2.0</v>
      </c>
      <c r="H1280" s="169">
        <v>9600.0</v>
      </c>
      <c r="I1280" s="169">
        <v>19200.0</v>
      </c>
      <c r="J1280" s="169">
        <v>0.0</v>
      </c>
      <c r="K1280" s="169">
        <v>2.0</v>
      </c>
      <c r="L1280" s="169">
        <v>0.0</v>
      </c>
    </row>
    <row r="1281" ht="14.25" customHeight="1">
      <c r="A1281" s="169" t="s">
        <v>12839</v>
      </c>
      <c r="B1281" s="169" t="s">
        <v>12839</v>
      </c>
      <c r="C1281" s="169" t="s">
        <v>17249</v>
      </c>
      <c r="D1281" s="169" t="str">
        <f t="shared" ref="D1281:E1281" si="799">"SD06000080701"</f>
        <v>SD06000080701</v>
      </c>
      <c r="E1281" s="169" t="str">
        <f t="shared" si="799"/>
        <v>SD06000080701</v>
      </c>
      <c r="F1281" s="169" t="s">
        <v>18811</v>
      </c>
      <c r="G1281" s="169">
        <v>3.0</v>
      </c>
      <c r="H1281" s="169">
        <v>7400.0</v>
      </c>
      <c r="I1281" s="169">
        <v>22200.0</v>
      </c>
      <c r="J1281" s="169">
        <v>0.0</v>
      </c>
      <c r="K1281" s="169">
        <v>3.0</v>
      </c>
      <c r="L1281" s="169">
        <v>0.0</v>
      </c>
    </row>
    <row r="1282" ht="14.25" customHeight="1">
      <c r="A1282" s="169" t="s">
        <v>12839</v>
      </c>
      <c r="B1282" s="169" t="s">
        <v>12839</v>
      </c>
      <c r="C1282" s="169" t="s">
        <v>17248</v>
      </c>
      <c r="D1282" s="169" t="str">
        <f t="shared" ref="D1282:E1282" si="800">"SD06000080601"</f>
        <v>SD06000080601</v>
      </c>
      <c r="E1282" s="169" t="str">
        <f t="shared" si="800"/>
        <v>SD06000080601</v>
      </c>
      <c r="F1282" s="169" t="s">
        <v>18811</v>
      </c>
      <c r="G1282" s="169">
        <v>3.0</v>
      </c>
      <c r="H1282" s="169">
        <v>5000.0</v>
      </c>
      <c r="I1282" s="169">
        <v>15000.0</v>
      </c>
      <c r="J1282" s="169">
        <v>0.0</v>
      </c>
      <c r="K1282" s="169">
        <v>3.0</v>
      </c>
      <c r="L1282" s="169">
        <v>0.0</v>
      </c>
    </row>
    <row r="1283" ht="14.25" customHeight="1">
      <c r="A1283" s="169" t="s">
        <v>12839</v>
      </c>
      <c r="B1283" s="169" t="s">
        <v>12839</v>
      </c>
      <c r="C1283" s="169" t="s">
        <v>17247</v>
      </c>
      <c r="D1283" s="169" t="str">
        <f t="shared" ref="D1283:E1283" si="801">"SD06000080830"</f>
        <v>SD06000080830</v>
      </c>
      <c r="E1283" s="169" t="str">
        <f t="shared" si="801"/>
        <v>SD06000080830</v>
      </c>
      <c r="F1283" s="169" t="s">
        <v>18811</v>
      </c>
      <c r="G1283" s="169">
        <v>3.0</v>
      </c>
      <c r="H1283" s="169">
        <v>9600.0</v>
      </c>
      <c r="I1283" s="169">
        <v>28800.0</v>
      </c>
      <c r="J1283" s="169">
        <v>0.0</v>
      </c>
      <c r="K1283" s="169">
        <v>3.0</v>
      </c>
      <c r="L1283" s="169">
        <v>0.0</v>
      </c>
    </row>
    <row r="1284" ht="14.25" customHeight="1">
      <c r="A1284" s="169" t="s">
        <v>12839</v>
      </c>
      <c r="B1284" s="169" t="s">
        <v>12839</v>
      </c>
      <c r="C1284" s="169" t="s">
        <v>17246</v>
      </c>
      <c r="D1284" s="169" t="str">
        <f t="shared" ref="D1284:E1284" si="802">"SD06000080812"</f>
        <v>SD06000080812</v>
      </c>
      <c r="E1284" s="169" t="str">
        <f t="shared" si="802"/>
        <v>SD06000080812</v>
      </c>
      <c r="F1284" s="169" t="s">
        <v>18811</v>
      </c>
      <c r="G1284" s="169">
        <v>3.0</v>
      </c>
      <c r="H1284" s="169">
        <v>9233.3</v>
      </c>
      <c r="I1284" s="169">
        <v>27700.0</v>
      </c>
      <c r="J1284" s="169">
        <v>0.0</v>
      </c>
      <c r="K1284" s="169">
        <v>3.0</v>
      </c>
      <c r="L1284" s="169">
        <v>0.0</v>
      </c>
    </row>
    <row r="1285" ht="14.25" customHeight="1">
      <c r="A1285" s="169" t="s">
        <v>12839</v>
      </c>
      <c r="B1285" s="169" t="s">
        <v>12839</v>
      </c>
      <c r="C1285" s="169" t="s">
        <v>17245</v>
      </c>
      <c r="D1285" s="169" t="str">
        <f t="shared" ref="D1285:E1285" si="803">"SD06000080712"</f>
        <v>SD06000080712</v>
      </c>
      <c r="E1285" s="169" t="str">
        <f t="shared" si="803"/>
        <v>SD06000080712</v>
      </c>
      <c r="F1285" s="169" t="s">
        <v>18811</v>
      </c>
      <c r="G1285" s="169">
        <v>5.0</v>
      </c>
      <c r="H1285" s="169">
        <v>6950.0</v>
      </c>
      <c r="I1285" s="169">
        <v>34750.0</v>
      </c>
      <c r="J1285" s="169">
        <v>0.0</v>
      </c>
      <c r="K1285" s="169">
        <v>5.0</v>
      </c>
      <c r="L1285" s="169">
        <v>0.0</v>
      </c>
    </row>
    <row r="1286" ht="14.25" customHeight="1">
      <c r="A1286" s="169" t="s">
        <v>12839</v>
      </c>
      <c r="B1286" s="169" t="s">
        <v>12839</v>
      </c>
      <c r="C1286" s="169" t="s">
        <v>17244</v>
      </c>
      <c r="D1286" s="169" t="str">
        <f t="shared" ref="D1286:E1286" si="804">"SD06000080809"</f>
        <v>SD06000080809</v>
      </c>
      <c r="E1286" s="169" t="str">
        <f t="shared" si="804"/>
        <v>SD06000080809</v>
      </c>
      <c r="F1286" s="169" t="s">
        <v>18811</v>
      </c>
      <c r="G1286" s="169">
        <v>4.0</v>
      </c>
      <c r="H1286" s="169">
        <v>9360.0</v>
      </c>
      <c r="I1286" s="169">
        <v>37440.0</v>
      </c>
      <c r="J1286" s="169">
        <v>0.0</v>
      </c>
      <c r="K1286" s="169">
        <v>4.0</v>
      </c>
      <c r="L1286" s="169">
        <v>0.0</v>
      </c>
    </row>
    <row r="1287" ht="14.25" customHeight="1">
      <c r="A1287" s="169" t="s">
        <v>12839</v>
      </c>
      <c r="B1287" s="169" t="s">
        <v>12839</v>
      </c>
      <c r="C1287" s="169" t="s">
        <v>17243</v>
      </c>
      <c r="D1287" s="169" t="str">
        <f t="shared" ref="D1287:E1287" si="805">"SD06000080709"</f>
        <v>SD06000080709</v>
      </c>
      <c r="E1287" s="169" t="str">
        <f t="shared" si="805"/>
        <v>SD06000080709</v>
      </c>
      <c r="F1287" s="169" t="s">
        <v>18811</v>
      </c>
      <c r="G1287" s="169">
        <v>3.0</v>
      </c>
      <c r="H1287" s="169">
        <v>7400.0</v>
      </c>
      <c r="I1287" s="169">
        <v>22200.0</v>
      </c>
      <c r="J1287" s="169">
        <v>0.0</v>
      </c>
      <c r="K1287" s="169">
        <v>3.0</v>
      </c>
      <c r="L1287" s="169">
        <v>0.0</v>
      </c>
    </row>
    <row r="1288" ht="14.25" customHeight="1">
      <c r="A1288" s="169" t="s">
        <v>12839</v>
      </c>
      <c r="B1288" s="169" t="s">
        <v>12839</v>
      </c>
      <c r="C1288" s="169" t="s">
        <v>17242</v>
      </c>
      <c r="D1288" s="169" t="str">
        <f t="shared" ref="D1288:E1288" si="806">"SD06000080609"</f>
        <v>SD06000080609</v>
      </c>
      <c r="E1288" s="169" t="str">
        <f t="shared" si="806"/>
        <v>SD06000080609</v>
      </c>
      <c r="F1288" s="169" t="s">
        <v>18811</v>
      </c>
      <c r="G1288" s="169">
        <v>5.0</v>
      </c>
      <c r="H1288" s="169">
        <v>4800.0</v>
      </c>
      <c r="I1288" s="169">
        <v>24000.0</v>
      </c>
      <c r="J1288" s="169">
        <v>0.0</v>
      </c>
      <c r="K1288" s="169">
        <v>5.0</v>
      </c>
      <c r="L1288" s="169">
        <v>0.0</v>
      </c>
    </row>
    <row r="1289" ht="14.25" customHeight="1">
      <c r="A1289" s="169" t="s">
        <v>12839</v>
      </c>
      <c r="B1289" s="169" t="s">
        <v>12839</v>
      </c>
      <c r="C1289" s="169" t="s">
        <v>17241</v>
      </c>
      <c r="D1289" s="169" t="str">
        <f t="shared" ref="D1289:E1289" si="807">"SD06000080730"</f>
        <v>SD06000080730</v>
      </c>
      <c r="E1289" s="169" t="str">
        <f t="shared" si="807"/>
        <v>SD06000080730</v>
      </c>
      <c r="F1289" s="169" t="s">
        <v>18811</v>
      </c>
      <c r="G1289" s="169">
        <v>3.0</v>
      </c>
      <c r="H1289" s="169">
        <v>7400.0</v>
      </c>
      <c r="I1289" s="169">
        <v>22200.0</v>
      </c>
      <c r="J1289" s="169">
        <v>0.0</v>
      </c>
      <c r="K1289" s="169">
        <v>3.0</v>
      </c>
      <c r="L1289" s="169">
        <v>0.0</v>
      </c>
    </row>
    <row r="1290" ht="14.25" customHeight="1">
      <c r="A1290" s="169" t="s">
        <v>12839</v>
      </c>
      <c r="B1290" s="169" t="s">
        <v>12839</v>
      </c>
      <c r="C1290" s="169" t="s">
        <v>17240</v>
      </c>
      <c r="D1290" s="169" t="str">
        <f t="shared" ref="D1290:E1290" si="808">"SD06000080630"</f>
        <v>SD06000080630</v>
      </c>
      <c r="E1290" s="169" t="str">
        <f t="shared" si="808"/>
        <v>SD06000080630</v>
      </c>
      <c r="F1290" s="169" t="s">
        <v>18811</v>
      </c>
      <c r="G1290" s="169">
        <v>4.0</v>
      </c>
      <c r="H1290" s="169">
        <v>5000.0</v>
      </c>
      <c r="I1290" s="169">
        <v>20000.0</v>
      </c>
      <c r="J1290" s="169">
        <v>0.0</v>
      </c>
      <c r="K1290" s="169">
        <v>4.0</v>
      </c>
      <c r="L1290" s="169">
        <v>0.0</v>
      </c>
    </row>
    <row r="1291" ht="14.25" customHeight="1">
      <c r="A1291" s="169" t="s">
        <v>12839</v>
      </c>
      <c r="B1291" s="169" t="s">
        <v>12839</v>
      </c>
      <c r="C1291" s="169" t="s">
        <v>17239</v>
      </c>
      <c r="D1291" s="169" t="str">
        <f t="shared" ref="D1291:E1291" si="809">"SD06000080612"</f>
        <v>SD06000080612</v>
      </c>
      <c r="E1291" s="169" t="str">
        <f t="shared" si="809"/>
        <v>SD06000080612</v>
      </c>
      <c r="F1291" s="169" t="s">
        <v>18811</v>
      </c>
      <c r="G1291" s="169">
        <v>3.0</v>
      </c>
      <c r="H1291" s="169">
        <v>4653.3</v>
      </c>
      <c r="I1291" s="169">
        <v>13960.0</v>
      </c>
      <c r="J1291" s="169">
        <v>0.0</v>
      </c>
      <c r="K1291" s="169">
        <v>3.0</v>
      </c>
      <c r="L1291" s="169">
        <v>0.0</v>
      </c>
    </row>
    <row r="1292" ht="14.25" customHeight="1">
      <c r="A1292" s="169" t="s">
        <v>12839</v>
      </c>
      <c r="B1292" s="169" t="s">
        <v>12839</v>
      </c>
      <c r="C1292" s="169" t="s">
        <v>17238</v>
      </c>
      <c r="D1292" s="169" t="str">
        <f t="shared" ref="D1292:E1292" si="810">"SD06000060802"</f>
        <v>SD06000060802</v>
      </c>
      <c r="E1292" s="169" t="str">
        <f t="shared" si="810"/>
        <v>SD06000060802</v>
      </c>
      <c r="F1292" s="169" t="s">
        <v>18811</v>
      </c>
      <c r="G1292" s="169">
        <v>3.0</v>
      </c>
      <c r="H1292" s="169">
        <v>8300.0</v>
      </c>
      <c r="I1292" s="169">
        <v>24900.0</v>
      </c>
      <c r="J1292" s="169">
        <v>0.0</v>
      </c>
      <c r="K1292" s="169">
        <v>3.0</v>
      </c>
      <c r="L1292" s="169">
        <v>0.0</v>
      </c>
    </row>
    <row r="1293" ht="14.25" customHeight="1">
      <c r="A1293" s="169" t="s">
        <v>12839</v>
      </c>
      <c r="B1293" s="169" t="s">
        <v>12839</v>
      </c>
      <c r="C1293" s="169" t="s">
        <v>17237</v>
      </c>
      <c r="D1293" s="169" t="str">
        <f t="shared" ref="D1293:E1293" si="811">"SD06000060702"</f>
        <v>SD06000060702</v>
      </c>
      <c r="E1293" s="169" t="str">
        <f t="shared" si="811"/>
        <v>SD06000060702</v>
      </c>
      <c r="F1293" s="169" t="s">
        <v>18811</v>
      </c>
      <c r="G1293" s="169">
        <v>2.0</v>
      </c>
      <c r="H1293" s="169">
        <v>6400.0</v>
      </c>
      <c r="I1293" s="169">
        <v>12800.0</v>
      </c>
      <c r="J1293" s="169">
        <v>0.0</v>
      </c>
      <c r="K1293" s="169">
        <v>2.0</v>
      </c>
      <c r="L1293" s="169">
        <v>0.0</v>
      </c>
    </row>
    <row r="1294" ht="14.25" customHeight="1">
      <c r="A1294" s="169" t="s">
        <v>12839</v>
      </c>
      <c r="B1294" s="169" t="s">
        <v>12839</v>
      </c>
      <c r="C1294" s="169" t="s">
        <v>17236</v>
      </c>
      <c r="D1294" s="169" t="str">
        <f t="shared" ref="D1294:E1294" si="812">"SD06000060602"</f>
        <v>SD06000060602</v>
      </c>
      <c r="E1294" s="169" t="str">
        <f t="shared" si="812"/>
        <v>SD06000060602</v>
      </c>
      <c r="F1294" s="169" t="s">
        <v>18811</v>
      </c>
      <c r="G1294" s="169">
        <v>5.0</v>
      </c>
      <c r="H1294" s="169">
        <v>3924.0</v>
      </c>
      <c r="I1294" s="169">
        <v>19620.0</v>
      </c>
      <c r="J1294" s="169">
        <v>0.0</v>
      </c>
      <c r="K1294" s="169">
        <v>5.0</v>
      </c>
      <c r="L1294" s="169">
        <v>0.0</v>
      </c>
    </row>
    <row r="1295" ht="14.25" customHeight="1">
      <c r="A1295" s="169" t="s">
        <v>12839</v>
      </c>
      <c r="B1295" s="169" t="s">
        <v>12839</v>
      </c>
      <c r="C1295" s="169" t="s">
        <v>17235</v>
      </c>
      <c r="D1295" s="169" t="str">
        <f t="shared" ref="D1295:E1295" si="813">"SD06000060902"</f>
        <v>SD06000060902</v>
      </c>
      <c r="E1295" s="169" t="str">
        <f t="shared" si="813"/>
        <v>SD06000060902</v>
      </c>
      <c r="F1295" s="169" t="s">
        <v>18811</v>
      </c>
      <c r="G1295" s="169">
        <v>5.0</v>
      </c>
      <c r="H1295" s="169">
        <v>10053.3</v>
      </c>
      <c r="I1295" s="169">
        <v>50267.0</v>
      </c>
      <c r="J1295" s="169">
        <v>0.0</v>
      </c>
      <c r="K1295" s="169">
        <v>5.0</v>
      </c>
      <c r="L1295" s="169">
        <v>0.0</v>
      </c>
    </row>
    <row r="1296" ht="14.25" customHeight="1">
      <c r="A1296" s="169" t="s">
        <v>12839</v>
      </c>
      <c r="B1296" s="169" t="s">
        <v>12839</v>
      </c>
      <c r="C1296" s="169" t="s">
        <v>17234</v>
      </c>
      <c r="D1296" s="169" t="str">
        <f t="shared" ref="D1296:E1296" si="814">"SD06000060721"</f>
        <v>SD06000060721</v>
      </c>
      <c r="E1296" s="169" t="str">
        <f t="shared" si="814"/>
        <v>SD06000060721</v>
      </c>
      <c r="F1296" s="169" t="s">
        <v>18811</v>
      </c>
      <c r="G1296" s="169">
        <v>5.0</v>
      </c>
      <c r="H1296" s="169">
        <v>6400.0</v>
      </c>
      <c r="I1296" s="169">
        <v>32000.0</v>
      </c>
      <c r="J1296" s="169">
        <v>0.0</v>
      </c>
      <c r="K1296" s="169">
        <v>5.0</v>
      </c>
      <c r="L1296" s="169">
        <v>0.0</v>
      </c>
    </row>
    <row r="1297" ht="14.25" customHeight="1">
      <c r="A1297" s="169" t="s">
        <v>12839</v>
      </c>
      <c r="B1297" s="169" t="s">
        <v>12839</v>
      </c>
      <c r="C1297" s="169" t="s">
        <v>17233</v>
      </c>
      <c r="D1297" s="169" t="str">
        <f t="shared" ref="D1297:E1297" si="815">"SD06000060621"</f>
        <v>SD06000060621</v>
      </c>
      <c r="E1297" s="169" t="str">
        <f t="shared" si="815"/>
        <v>SD06000060621</v>
      </c>
      <c r="F1297" s="169" t="s">
        <v>18811</v>
      </c>
      <c r="G1297" s="169">
        <v>1.0</v>
      </c>
      <c r="H1297" s="169">
        <v>4200.0</v>
      </c>
      <c r="I1297" s="169">
        <v>4200.0</v>
      </c>
      <c r="J1297" s="169">
        <v>0.0</v>
      </c>
      <c r="K1297" s="169">
        <v>1.0</v>
      </c>
      <c r="L1297" s="169">
        <v>0.0</v>
      </c>
    </row>
    <row r="1298" ht="14.25" customHeight="1">
      <c r="A1298" s="169" t="s">
        <v>12839</v>
      </c>
      <c r="B1298" s="169" t="s">
        <v>12839</v>
      </c>
      <c r="C1298" s="169" t="s">
        <v>17232</v>
      </c>
      <c r="D1298" s="169" t="str">
        <f t="shared" ref="D1298:E1298" si="816">"SD06000060921"</f>
        <v>SD06000060921</v>
      </c>
      <c r="E1298" s="169" t="str">
        <f t="shared" si="816"/>
        <v>SD06000060921</v>
      </c>
      <c r="F1298" s="169" t="s">
        <v>18811</v>
      </c>
      <c r="G1298" s="169">
        <v>3.0</v>
      </c>
      <c r="H1298" s="169">
        <v>10400.0</v>
      </c>
      <c r="I1298" s="169">
        <v>31200.0</v>
      </c>
      <c r="J1298" s="169">
        <v>0.0</v>
      </c>
      <c r="K1298" s="169">
        <v>3.0</v>
      </c>
      <c r="L1298" s="169">
        <v>0.0</v>
      </c>
    </row>
    <row r="1299" ht="14.25" customHeight="1">
      <c r="A1299" s="169" t="s">
        <v>12839</v>
      </c>
      <c r="B1299" s="169" t="s">
        <v>12839</v>
      </c>
      <c r="C1299" s="169" t="s">
        <v>17231</v>
      </c>
      <c r="D1299" s="169" t="str">
        <f t="shared" ref="D1299:E1299" si="817">"SD06000060812"</f>
        <v>SD06000060812</v>
      </c>
      <c r="E1299" s="169" t="str">
        <f t="shared" si="817"/>
        <v>SD06000060812</v>
      </c>
      <c r="F1299" s="169" t="s">
        <v>18811</v>
      </c>
      <c r="G1299" s="169">
        <v>3.0</v>
      </c>
      <c r="H1299" s="169">
        <v>8300.0</v>
      </c>
      <c r="I1299" s="169">
        <v>24900.0</v>
      </c>
      <c r="J1299" s="169">
        <v>0.0</v>
      </c>
      <c r="K1299" s="169">
        <v>3.0</v>
      </c>
      <c r="L1299" s="169">
        <v>0.0</v>
      </c>
    </row>
    <row r="1300" ht="14.25" customHeight="1">
      <c r="A1300" s="169" t="s">
        <v>12839</v>
      </c>
      <c r="B1300" s="169" t="s">
        <v>12839</v>
      </c>
      <c r="C1300" s="169" t="s">
        <v>17230</v>
      </c>
      <c r="D1300" s="169" t="str">
        <f t="shared" ref="D1300:E1300" si="818">"SD06000060712"</f>
        <v>SD06000060712</v>
      </c>
      <c r="E1300" s="169" t="str">
        <f t="shared" si="818"/>
        <v>SD06000060712</v>
      </c>
      <c r="F1300" s="169" t="s">
        <v>18811</v>
      </c>
      <c r="G1300" s="169">
        <v>3.0</v>
      </c>
      <c r="H1300" s="169">
        <v>6400.0</v>
      </c>
      <c r="I1300" s="169">
        <v>19200.0</v>
      </c>
      <c r="J1300" s="169">
        <v>0.0</v>
      </c>
      <c r="K1300" s="169">
        <v>3.0</v>
      </c>
      <c r="L1300" s="169">
        <v>0.0</v>
      </c>
    </row>
    <row r="1301" ht="14.25" customHeight="1">
      <c r="A1301" s="169" t="s">
        <v>12839</v>
      </c>
      <c r="B1301" s="169" t="s">
        <v>12839</v>
      </c>
      <c r="C1301" s="169" t="s">
        <v>17229</v>
      </c>
      <c r="D1301" s="169" t="str">
        <f t="shared" ref="D1301:E1301" si="819">"SD06000060612"</f>
        <v>SD06000060612</v>
      </c>
      <c r="E1301" s="169" t="str">
        <f t="shared" si="819"/>
        <v>SD06000060612</v>
      </c>
      <c r="F1301" s="169" t="s">
        <v>18811</v>
      </c>
      <c r="G1301" s="169">
        <v>5.0</v>
      </c>
      <c r="H1301" s="169">
        <v>4200.0</v>
      </c>
      <c r="I1301" s="169">
        <v>21000.0</v>
      </c>
      <c r="J1301" s="169">
        <v>0.0</v>
      </c>
      <c r="K1301" s="169">
        <v>5.0</v>
      </c>
      <c r="L1301" s="169">
        <v>0.0</v>
      </c>
    </row>
    <row r="1302" ht="14.25" customHeight="1">
      <c r="A1302" s="169" t="s">
        <v>12839</v>
      </c>
      <c r="B1302" s="169" t="s">
        <v>12839</v>
      </c>
      <c r="C1302" s="169" t="s">
        <v>17228</v>
      </c>
      <c r="D1302" s="169" t="str">
        <f t="shared" ref="D1302:E1302" si="820">"SD06000060808"</f>
        <v>SD06000060808</v>
      </c>
      <c r="E1302" s="169" t="str">
        <f t="shared" si="820"/>
        <v>SD06000060808</v>
      </c>
      <c r="F1302" s="169" t="s">
        <v>18811</v>
      </c>
      <c r="G1302" s="169">
        <v>2.0</v>
      </c>
      <c r="H1302" s="169">
        <v>8300.0</v>
      </c>
      <c r="I1302" s="169">
        <v>16600.0</v>
      </c>
      <c r="J1302" s="169">
        <v>0.0</v>
      </c>
      <c r="K1302" s="169">
        <v>2.0</v>
      </c>
      <c r="L1302" s="169">
        <v>0.0</v>
      </c>
    </row>
    <row r="1303" ht="14.25" customHeight="1">
      <c r="A1303" s="169" t="s">
        <v>12839</v>
      </c>
      <c r="B1303" s="169" t="s">
        <v>12839</v>
      </c>
      <c r="C1303" s="169" t="s">
        <v>17227</v>
      </c>
      <c r="D1303" s="169" t="str">
        <f t="shared" ref="D1303:E1303" si="821">"SD06000060708"</f>
        <v>SD06000060708</v>
      </c>
      <c r="E1303" s="169" t="str">
        <f t="shared" si="821"/>
        <v>SD06000060708</v>
      </c>
      <c r="F1303" s="169" t="s">
        <v>18811</v>
      </c>
      <c r="G1303" s="169">
        <v>3.0</v>
      </c>
      <c r="H1303" s="169">
        <v>6400.0</v>
      </c>
      <c r="I1303" s="169">
        <v>19200.0</v>
      </c>
      <c r="J1303" s="169">
        <v>0.0</v>
      </c>
      <c r="K1303" s="169">
        <v>3.0</v>
      </c>
      <c r="L1303" s="169">
        <v>0.0</v>
      </c>
    </row>
    <row r="1304" ht="14.25" customHeight="1">
      <c r="A1304" s="169" t="s">
        <v>12839</v>
      </c>
      <c r="B1304" s="169" t="s">
        <v>12839</v>
      </c>
      <c r="C1304" s="169" t="s">
        <v>17226</v>
      </c>
      <c r="D1304" s="169" t="str">
        <f t="shared" ref="D1304:E1304" si="822">"SD06000060608"</f>
        <v>SD06000060608</v>
      </c>
      <c r="E1304" s="169" t="str">
        <f t="shared" si="822"/>
        <v>SD06000060608</v>
      </c>
      <c r="F1304" s="169" t="s">
        <v>18811</v>
      </c>
      <c r="G1304" s="169">
        <v>3.0</v>
      </c>
      <c r="H1304" s="169">
        <v>4200.0</v>
      </c>
      <c r="I1304" s="169">
        <v>12600.0</v>
      </c>
      <c r="J1304" s="169">
        <v>0.0</v>
      </c>
      <c r="K1304" s="169">
        <v>3.0</v>
      </c>
      <c r="L1304" s="169">
        <v>0.0</v>
      </c>
    </row>
    <row r="1305" ht="14.25" customHeight="1">
      <c r="A1305" s="169" t="s">
        <v>12839</v>
      </c>
      <c r="B1305" s="169" t="s">
        <v>12839</v>
      </c>
      <c r="C1305" s="169" t="s">
        <v>17225</v>
      </c>
      <c r="D1305" s="169" t="str">
        <f t="shared" ref="D1305:E1305" si="823">"SD06000060908"</f>
        <v>SD06000060908</v>
      </c>
      <c r="E1305" s="169" t="str">
        <f t="shared" si="823"/>
        <v>SD06000060908</v>
      </c>
      <c r="F1305" s="169" t="s">
        <v>18811</v>
      </c>
      <c r="G1305" s="169">
        <v>4.0</v>
      </c>
      <c r="H1305" s="169">
        <v>10400.0</v>
      </c>
      <c r="I1305" s="169">
        <v>41600.0</v>
      </c>
      <c r="J1305" s="169">
        <v>0.0</v>
      </c>
      <c r="K1305" s="169">
        <v>4.0</v>
      </c>
      <c r="L1305" s="169">
        <v>0.0</v>
      </c>
    </row>
    <row r="1306" ht="14.25" customHeight="1">
      <c r="A1306" s="169" t="s">
        <v>12839</v>
      </c>
      <c r="B1306" s="169" t="s">
        <v>12839</v>
      </c>
      <c r="C1306" s="169" t="s">
        <v>17224</v>
      </c>
      <c r="D1306" s="169" t="str">
        <f t="shared" ref="D1306:E1306" si="824">"SD06000060912"</f>
        <v>SD06000060912</v>
      </c>
      <c r="E1306" s="169" t="str">
        <f t="shared" si="824"/>
        <v>SD06000060912</v>
      </c>
      <c r="F1306" s="169" t="s">
        <v>18811</v>
      </c>
      <c r="G1306" s="169">
        <v>3.0</v>
      </c>
      <c r="H1306" s="169">
        <v>10400.0</v>
      </c>
      <c r="I1306" s="169">
        <v>31200.0</v>
      </c>
      <c r="J1306" s="169">
        <v>0.0</v>
      </c>
      <c r="K1306" s="169">
        <v>3.0</v>
      </c>
      <c r="L1306" s="169">
        <v>0.0</v>
      </c>
    </row>
    <row r="1307" ht="14.25" customHeight="1">
      <c r="A1307" s="169" t="s">
        <v>12839</v>
      </c>
      <c r="B1307" s="169" t="s">
        <v>12839</v>
      </c>
      <c r="C1307" s="169" t="s">
        <v>17223</v>
      </c>
      <c r="D1307" s="169" t="str">
        <f t="shared" ref="D1307:E1307" si="825">"SD06000030602"</f>
        <v>SD06000030602</v>
      </c>
      <c r="E1307" s="169" t="str">
        <f t="shared" si="825"/>
        <v>SD06000030602</v>
      </c>
      <c r="F1307" s="169" t="s">
        <v>18811</v>
      </c>
      <c r="G1307" s="169">
        <v>4.0</v>
      </c>
      <c r="H1307" s="169">
        <v>7102.5</v>
      </c>
      <c r="I1307" s="169">
        <v>28410.0</v>
      </c>
      <c r="J1307" s="169">
        <v>0.0</v>
      </c>
      <c r="K1307" s="169">
        <v>4.0</v>
      </c>
      <c r="L1307" s="169">
        <v>0.0</v>
      </c>
    </row>
    <row r="1308" ht="14.25" customHeight="1">
      <c r="A1308" s="169" t="s">
        <v>12839</v>
      </c>
      <c r="B1308" s="169" t="s">
        <v>12839</v>
      </c>
      <c r="C1308" s="169" t="s">
        <v>17222</v>
      </c>
      <c r="D1308" s="169" t="str">
        <f t="shared" ref="D1308:E1308" si="826">"SD06000100707"</f>
        <v>SD06000100707</v>
      </c>
      <c r="E1308" s="169" t="str">
        <f t="shared" si="826"/>
        <v>SD06000100707</v>
      </c>
      <c r="F1308" s="169" t="s">
        <v>18811</v>
      </c>
      <c r="G1308" s="169">
        <v>2.0</v>
      </c>
      <c r="H1308" s="169">
        <v>4800.0</v>
      </c>
      <c r="I1308" s="169">
        <v>9600.0</v>
      </c>
      <c r="J1308" s="169">
        <v>0.0</v>
      </c>
      <c r="K1308" s="169">
        <v>2.0</v>
      </c>
      <c r="L1308" s="169">
        <v>0.0</v>
      </c>
    </row>
    <row r="1309" ht="14.25" customHeight="1">
      <c r="A1309" s="169" t="s">
        <v>12839</v>
      </c>
      <c r="B1309" s="169" t="s">
        <v>12839</v>
      </c>
      <c r="C1309" s="169" t="s">
        <v>17221</v>
      </c>
      <c r="D1309" s="169" t="str">
        <f t="shared" ref="D1309:E1309" si="827">"SD06000100710"</f>
        <v>SD06000100710</v>
      </c>
      <c r="E1309" s="169" t="str">
        <f t="shared" si="827"/>
        <v>SD06000100710</v>
      </c>
      <c r="F1309" s="169" t="s">
        <v>18811</v>
      </c>
      <c r="G1309" s="169">
        <v>7.0</v>
      </c>
      <c r="H1309" s="169">
        <v>4800.0</v>
      </c>
      <c r="I1309" s="169">
        <v>33600.0</v>
      </c>
      <c r="J1309" s="169">
        <v>0.0</v>
      </c>
      <c r="K1309" s="169">
        <v>7.0</v>
      </c>
      <c r="L1309" s="169">
        <v>0.0</v>
      </c>
    </row>
    <row r="1310" ht="14.25" customHeight="1">
      <c r="A1310" s="169" t="s">
        <v>12839</v>
      </c>
      <c r="B1310" s="169" t="s">
        <v>12839</v>
      </c>
      <c r="C1310" s="169" t="s">
        <v>17220</v>
      </c>
      <c r="D1310" s="169" t="str">
        <f t="shared" ref="D1310:E1310" si="828">"sc12"</f>
        <v>sc12</v>
      </c>
      <c r="E1310" s="169" t="str">
        <f t="shared" si="828"/>
        <v>sc12</v>
      </c>
      <c r="F1310" s="169" t="s">
        <v>18811</v>
      </c>
      <c r="G1310" s="169">
        <v>3.0</v>
      </c>
      <c r="H1310" s="169">
        <v>2300.0</v>
      </c>
      <c r="I1310" s="169">
        <v>6900.0</v>
      </c>
      <c r="J1310" s="169">
        <v>0.0</v>
      </c>
      <c r="K1310" s="169">
        <v>3.0</v>
      </c>
      <c r="L1310" s="169">
        <v>0.0</v>
      </c>
    </row>
    <row r="1311" ht="14.25" customHeight="1">
      <c r="A1311" s="169" t="s">
        <v>12839</v>
      </c>
      <c r="B1311" s="169" t="s">
        <v>12839</v>
      </c>
      <c r="C1311" s="169" t="s">
        <v>17219</v>
      </c>
      <c r="D1311" s="169" t="str">
        <f t="shared" ref="D1311:E1311" si="829">"SD06000110707"</f>
        <v>SD06000110707</v>
      </c>
      <c r="E1311" s="169" t="str">
        <f t="shared" si="829"/>
        <v>SD06000110707</v>
      </c>
      <c r="F1311" s="169" t="s">
        <v>18811</v>
      </c>
      <c r="G1311" s="169">
        <v>3.0</v>
      </c>
      <c r="H1311" s="169">
        <v>9404.0</v>
      </c>
      <c r="I1311" s="169">
        <v>28212.0</v>
      </c>
      <c r="J1311" s="169">
        <v>0.0</v>
      </c>
      <c r="K1311" s="169">
        <v>3.0</v>
      </c>
      <c r="L1311" s="169">
        <v>0.0</v>
      </c>
    </row>
    <row r="1312" ht="14.25" customHeight="1">
      <c r="A1312" s="169" t="s">
        <v>12839</v>
      </c>
      <c r="B1312" s="169" t="s">
        <v>12839</v>
      </c>
      <c r="C1312" s="169" t="s">
        <v>17218</v>
      </c>
      <c r="D1312" s="169" t="str">
        <f t="shared" ref="D1312:E1312" si="830">"SD06000110607"</f>
        <v>SD06000110607</v>
      </c>
      <c r="E1312" s="169" t="str">
        <f t="shared" si="830"/>
        <v>SD06000110607</v>
      </c>
      <c r="F1312" s="169" t="s">
        <v>18811</v>
      </c>
      <c r="G1312" s="169">
        <v>3.0</v>
      </c>
      <c r="H1312" s="169">
        <v>8200.0</v>
      </c>
      <c r="I1312" s="169">
        <v>24600.0</v>
      </c>
      <c r="J1312" s="169">
        <v>0.0</v>
      </c>
      <c r="K1312" s="169">
        <v>3.0</v>
      </c>
      <c r="L1312" s="169">
        <v>0.0</v>
      </c>
    </row>
    <row r="1313" ht="14.25" customHeight="1">
      <c r="A1313" s="169" t="s">
        <v>12839</v>
      </c>
      <c r="B1313" s="169" t="s">
        <v>12839</v>
      </c>
      <c r="C1313" s="169" t="s">
        <v>17217</v>
      </c>
      <c r="D1313" s="169" t="str">
        <f t="shared" ref="D1313:E1313" si="831">"SD06000110710"</f>
        <v>SD06000110710</v>
      </c>
      <c r="E1313" s="169" t="str">
        <f t="shared" si="831"/>
        <v>SD06000110710</v>
      </c>
      <c r="F1313" s="169" t="s">
        <v>18811</v>
      </c>
      <c r="G1313" s="169">
        <v>2.0</v>
      </c>
      <c r="H1313" s="169">
        <v>10100.0</v>
      </c>
      <c r="I1313" s="169">
        <v>20200.0</v>
      </c>
      <c r="J1313" s="169">
        <v>0.0</v>
      </c>
      <c r="K1313" s="169">
        <v>2.0</v>
      </c>
      <c r="L1313" s="169">
        <v>0.0</v>
      </c>
    </row>
    <row r="1314" ht="14.25" customHeight="1">
      <c r="A1314" s="169" t="s">
        <v>12839</v>
      </c>
      <c r="B1314" s="169" t="s">
        <v>12839</v>
      </c>
      <c r="C1314" s="169" t="s">
        <v>17216</v>
      </c>
      <c r="D1314" s="169" t="str">
        <f t="shared" ref="D1314:E1314" si="832">"SD06000110610"</f>
        <v>SD06000110610</v>
      </c>
      <c r="E1314" s="169" t="str">
        <f t="shared" si="832"/>
        <v>SD06000110610</v>
      </c>
      <c r="F1314" s="169" t="s">
        <v>18811</v>
      </c>
      <c r="G1314" s="169">
        <v>2.0</v>
      </c>
      <c r="H1314" s="169">
        <v>8200.0</v>
      </c>
      <c r="I1314" s="169">
        <v>16400.0</v>
      </c>
      <c r="J1314" s="169">
        <v>0.0</v>
      </c>
      <c r="K1314" s="169">
        <v>2.0</v>
      </c>
      <c r="L1314" s="169">
        <v>0.0</v>
      </c>
    </row>
    <row r="1315" ht="14.25" customHeight="1">
      <c r="A1315" s="169" t="s">
        <v>12839</v>
      </c>
      <c r="B1315" s="169" t="s">
        <v>12839</v>
      </c>
      <c r="C1315" s="169" t="s">
        <v>17215</v>
      </c>
      <c r="D1315" s="169" t="str">
        <f t="shared" ref="D1315:E1315" si="833">"SD06000100807"</f>
        <v>SD06000100807</v>
      </c>
      <c r="E1315" s="169" t="str">
        <f t="shared" si="833"/>
        <v>SD06000100807</v>
      </c>
      <c r="F1315" s="169" t="s">
        <v>18811</v>
      </c>
      <c r="G1315" s="169">
        <v>5.0</v>
      </c>
      <c r="H1315" s="169">
        <v>5600.0</v>
      </c>
      <c r="I1315" s="169">
        <v>28000.0</v>
      </c>
      <c r="J1315" s="169">
        <v>0.0</v>
      </c>
      <c r="K1315" s="169">
        <v>5.0</v>
      </c>
      <c r="L1315" s="169">
        <v>0.0</v>
      </c>
    </row>
    <row r="1316" ht="14.25" customHeight="1">
      <c r="A1316" s="169" t="s">
        <v>12839</v>
      </c>
      <c r="B1316" s="169" t="s">
        <v>12839</v>
      </c>
      <c r="C1316" s="169" t="s">
        <v>17214</v>
      </c>
      <c r="D1316" s="169" t="str">
        <f t="shared" ref="D1316:E1316" si="834">"SD06000100810"</f>
        <v>SD06000100810</v>
      </c>
      <c r="E1316" s="169" t="str">
        <f t="shared" si="834"/>
        <v>SD06000100810</v>
      </c>
      <c r="F1316" s="169" t="s">
        <v>18811</v>
      </c>
      <c r="G1316" s="169">
        <v>2.0</v>
      </c>
      <c r="H1316" s="169">
        <v>5600.0</v>
      </c>
      <c r="I1316" s="169">
        <v>11200.0</v>
      </c>
      <c r="J1316" s="169">
        <v>0.0</v>
      </c>
      <c r="K1316" s="169">
        <v>2.0</v>
      </c>
      <c r="L1316" s="169">
        <v>0.0</v>
      </c>
    </row>
    <row r="1317" ht="14.25" customHeight="1">
      <c r="A1317" s="169" t="s">
        <v>12839</v>
      </c>
      <c r="B1317" s="169" t="s">
        <v>12839</v>
      </c>
      <c r="C1317" s="169" t="s">
        <v>17213</v>
      </c>
      <c r="D1317" s="169" t="str">
        <f t="shared" ref="D1317:E1317" si="835">"SD09000031507"</f>
        <v>SD09000031507</v>
      </c>
      <c r="E1317" s="169" t="str">
        <f t="shared" si="835"/>
        <v>SD09000031507</v>
      </c>
      <c r="F1317" s="169" t="s">
        <v>18811</v>
      </c>
      <c r="G1317" s="169">
        <v>2.0</v>
      </c>
      <c r="H1317" s="169">
        <v>3100.0</v>
      </c>
      <c r="I1317" s="169">
        <v>6200.0</v>
      </c>
      <c r="J1317" s="169">
        <v>0.0</v>
      </c>
      <c r="K1317" s="169">
        <v>2.0</v>
      </c>
      <c r="L1317" s="169">
        <v>0.0</v>
      </c>
    </row>
    <row r="1318" ht="14.25" customHeight="1">
      <c r="A1318" s="169" t="s">
        <v>12839</v>
      </c>
      <c r="B1318" s="169" t="s">
        <v>12839</v>
      </c>
      <c r="C1318" s="169" t="s">
        <v>17212</v>
      </c>
      <c r="D1318" s="169" t="str">
        <f t="shared" ref="D1318:E1318" si="836">"SD09000031510"</f>
        <v>SD09000031510</v>
      </c>
      <c r="E1318" s="169" t="str">
        <f t="shared" si="836"/>
        <v>SD09000031510</v>
      </c>
      <c r="F1318" s="169" t="s">
        <v>18811</v>
      </c>
      <c r="G1318" s="169">
        <v>6.0</v>
      </c>
      <c r="H1318" s="169">
        <v>3100.0</v>
      </c>
      <c r="I1318" s="169">
        <v>18600.0</v>
      </c>
      <c r="J1318" s="169">
        <v>0.0</v>
      </c>
      <c r="K1318" s="169">
        <v>6.0</v>
      </c>
      <c r="L1318" s="169">
        <v>0.0</v>
      </c>
    </row>
    <row r="1319" ht="14.25" customHeight="1">
      <c r="A1319" s="169" t="s">
        <v>12839</v>
      </c>
      <c r="B1319" s="169" t="s">
        <v>12839</v>
      </c>
      <c r="C1319" s="169" t="s">
        <v>17211</v>
      </c>
      <c r="D1319" s="169" t="str">
        <f t="shared" ref="D1319:E1319" si="837">"SD09000041508"</f>
        <v>SD09000041508</v>
      </c>
      <c r="E1319" s="169" t="str">
        <f t="shared" si="837"/>
        <v>SD09000041508</v>
      </c>
      <c r="F1319" s="169" t="s">
        <v>18811</v>
      </c>
      <c r="G1319" s="169">
        <v>6.0</v>
      </c>
      <c r="H1319" s="169">
        <v>2893.3</v>
      </c>
      <c r="I1319" s="169">
        <v>17360.0</v>
      </c>
      <c r="J1319" s="169">
        <v>0.0</v>
      </c>
      <c r="K1319" s="169">
        <v>6.0</v>
      </c>
      <c r="L1319" s="169">
        <v>0.0</v>
      </c>
    </row>
    <row r="1320" ht="14.25" customHeight="1">
      <c r="A1320" s="169" t="s">
        <v>12839</v>
      </c>
      <c r="B1320" s="169" t="s">
        <v>12839</v>
      </c>
      <c r="C1320" s="169" t="s">
        <v>17210</v>
      </c>
      <c r="D1320" s="169" t="str">
        <f t="shared" ref="D1320:E1320" si="838">"SD09000041521"</f>
        <v>SD09000041521</v>
      </c>
      <c r="E1320" s="169" t="str">
        <f t="shared" si="838"/>
        <v>SD09000041521</v>
      </c>
      <c r="F1320" s="169" t="s">
        <v>18811</v>
      </c>
      <c r="G1320" s="169">
        <v>2.0</v>
      </c>
      <c r="H1320" s="169">
        <v>3100.0</v>
      </c>
      <c r="I1320" s="169">
        <v>6200.0</v>
      </c>
      <c r="J1320" s="169">
        <v>0.0</v>
      </c>
      <c r="K1320" s="169">
        <v>2.0</v>
      </c>
      <c r="L1320" s="169">
        <v>0.0</v>
      </c>
    </row>
    <row r="1321" ht="14.25" customHeight="1">
      <c r="A1321" s="169" t="s">
        <v>12839</v>
      </c>
      <c r="B1321" s="169" t="s">
        <v>12839</v>
      </c>
      <c r="C1321" s="169" t="s">
        <v>17209</v>
      </c>
      <c r="D1321" s="169" t="str">
        <f t="shared" ref="D1321:E1321" si="839">"MF07000220715"</f>
        <v>MF07000220715</v>
      </c>
      <c r="E1321" s="169" t="str">
        <f t="shared" si="839"/>
        <v>MF07000220715</v>
      </c>
      <c r="F1321" s="169" t="s">
        <v>18811</v>
      </c>
      <c r="G1321" s="169">
        <v>2.0</v>
      </c>
      <c r="H1321" s="169">
        <v>2497.5</v>
      </c>
      <c r="I1321" s="169">
        <v>4995.0</v>
      </c>
      <c r="J1321" s="169">
        <v>0.0</v>
      </c>
      <c r="K1321" s="169">
        <v>2.0</v>
      </c>
      <c r="L1321" s="169">
        <v>0.0</v>
      </c>
    </row>
    <row r="1322" ht="14.25" customHeight="1">
      <c r="A1322" s="169" t="s">
        <v>12839</v>
      </c>
      <c r="B1322" s="169" t="s">
        <v>12839</v>
      </c>
      <c r="C1322" s="169" t="s">
        <v>17208</v>
      </c>
      <c r="D1322" s="169" t="str">
        <f t="shared" ref="D1322:E1322" si="840">"MF07000220615"</f>
        <v>MF07000220615</v>
      </c>
      <c r="E1322" s="169" t="str">
        <f t="shared" si="840"/>
        <v>MF07000220615</v>
      </c>
      <c r="F1322" s="169" t="s">
        <v>18811</v>
      </c>
      <c r="G1322" s="169">
        <v>10.0</v>
      </c>
      <c r="H1322" s="169">
        <v>1980.0</v>
      </c>
      <c r="I1322" s="169">
        <v>19800.0</v>
      </c>
      <c r="J1322" s="169">
        <v>0.0</v>
      </c>
      <c r="K1322" s="169">
        <v>10.0</v>
      </c>
      <c r="L1322" s="169">
        <v>0.0</v>
      </c>
    </row>
    <row r="1323" ht="14.25" customHeight="1">
      <c r="A1323" s="169" t="s">
        <v>12839</v>
      </c>
      <c r="B1323" s="169" t="s">
        <v>12839</v>
      </c>
      <c r="C1323" s="169" t="s">
        <v>17207</v>
      </c>
      <c r="D1323" s="169" t="str">
        <f t="shared" ref="D1323:E1323" si="841">"MF07000200715"</f>
        <v>MF07000200715</v>
      </c>
      <c r="E1323" s="169" t="str">
        <f t="shared" si="841"/>
        <v>MF07000200715</v>
      </c>
      <c r="F1323" s="169" t="s">
        <v>18811</v>
      </c>
      <c r="G1323" s="169">
        <v>2.0</v>
      </c>
      <c r="H1323" s="169">
        <v>2880.0</v>
      </c>
      <c r="I1323" s="169">
        <v>5760.0</v>
      </c>
      <c r="J1323" s="169">
        <v>0.0</v>
      </c>
      <c r="K1323" s="169">
        <v>2.0</v>
      </c>
      <c r="L1323" s="169">
        <v>0.0</v>
      </c>
    </row>
    <row r="1324" ht="14.25" customHeight="1">
      <c r="A1324" s="169" t="s">
        <v>12839</v>
      </c>
      <c r="B1324" s="169" t="s">
        <v>12839</v>
      </c>
      <c r="C1324" s="169" t="s">
        <v>17206</v>
      </c>
      <c r="D1324" s="169" t="str">
        <f t="shared" ref="D1324:E1324" si="842">"SD00000051502"</f>
        <v>SD00000051502</v>
      </c>
      <c r="E1324" s="169" t="str">
        <f t="shared" si="842"/>
        <v>SD00000051502</v>
      </c>
      <c r="F1324" s="169" t="s">
        <v>18811</v>
      </c>
      <c r="G1324" s="169">
        <v>3.0</v>
      </c>
      <c r="H1324" s="169">
        <v>1200.0</v>
      </c>
      <c r="I1324" s="169">
        <v>3600.0</v>
      </c>
      <c r="J1324" s="169">
        <v>0.0</v>
      </c>
      <c r="K1324" s="169">
        <v>3.0</v>
      </c>
      <c r="L1324" s="169">
        <v>0.0</v>
      </c>
    </row>
    <row r="1325" ht="14.25" customHeight="1">
      <c r="A1325" s="169" t="s">
        <v>12839</v>
      </c>
      <c r="B1325" s="169" t="s">
        <v>12839</v>
      </c>
      <c r="C1325" s="169" t="s">
        <v>17205</v>
      </c>
      <c r="D1325" s="169" t="str">
        <f t="shared" ref="D1325:E1325" si="843">"SD00000051521"</f>
        <v>SD00000051521</v>
      </c>
      <c r="E1325" s="169" t="str">
        <f t="shared" si="843"/>
        <v>SD00000051521</v>
      </c>
      <c r="F1325" s="169" t="s">
        <v>18811</v>
      </c>
      <c r="G1325" s="169">
        <v>8.0</v>
      </c>
      <c r="H1325" s="169">
        <v>1110.0</v>
      </c>
      <c r="I1325" s="169">
        <v>8880.0</v>
      </c>
      <c r="J1325" s="169">
        <v>0.0</v>
      </c>
      <c r="K1325" s="169">
        <v>8.0</v>
      </c>
      <c r="L1325" s="169">
        <v>0.0</v>
      </c>
    </row>
    <row r="1326" ht="14.25" customHeight="1">
      <c r="A1326" s="169" t="s">
        <v>12839</v>
      </c>
      <c r="B1326" s="169" t="s">
        <v>12839</v>
      </c>
      <c r="C1326" s="169" t="s">
        <v>17204</v>
      </c>
      <c r="D1326" s="169" t="str">
        <f t="shared" ref="D1326:E1326" si="844">"SD00000051507"</f>
        <v>SD00000051507</v>
      </c>
      <c r="E1326" s="169" t="str">
        <f t="shared" si="844"/>
        <v>SD00000051507</v>
      </c>
      <c r="F1326" s="169" t="s">
        <v>18811</v>
      </c>
      <c r="G1326" s="169">
        <v>3.0</v>
      </c>
      <c r="H1326" s="169">
        <v>1200.0</v>
      </c>
      <c r="I1326" s="169">
        <v>3600.0</v>
      </c>
      <c r="J1326" s="169">
        <v>0.0</v>
      </c>
      <c r="K1326" s="169">
        <v>3.0</v>
      </c>
      <c r="L1326" s="169">
        <v>0.0</v>
      </c>
    </row>
    <row r="1327" ht="14.25" customHeight="1">
      <c r="A1327" s="169" t="s">
        <v>12839</v>
      </c>
      <c r="B1327" s="169" t="s">
        <v>12839</v>
      </c>
      <c r="C1327" s="169" t="s">
        <v>17202</v>
      </c>
      <c r="D1327" s="169" t="str">
        <f t="shared" ref="D1327:E1327" si="845">"7500021502"</f>
        <v>7500021502</v>
      </c>
      <c r="E1327" s="169" t="str">
        <f t="shared" si="845"/>
        <v>7500021502</v>
      </c>
      <c r="F1327" s="169" t="s">
        <v>18811</v>
      </c>
      <c r="G1327" s="169">
        <v>1.0</v>
      </c>
      <c r="H1327" s="169">
        <v>2900.0</v>
      </c>
      <c r="I1327" s="169">
        <v>2900.0</v>
      </c>
      <c r="J1327" s="169">
        <v>0.0</v>
      </c>
      <c r="K1327" s="169">
        <v>1.0</v>
      </c>
      <c r="L1327" s="169">
        <v>0.0</v>
      </c>
    </row>
    <row r="1328" ht="14.25" customHeight="1">
      <c r="A1328" s="169" t="s">
        <v>12839</v>
      </c>
      <c r="B1328" s="169" t="s">
        <v>12839</v>
      </c>
      <c r="C1328" s="169" t="s">
        <v>17200</v>
      </c>
      <c r="D1328" s="169" t="str">
        <f t="shared" ref="D1328:E1328" si="846">"7500021521"</f>
        <v>7500021521</v>
      </c>
      <c r="E1328" s="169" t="str">
        <f t="shared" si="846"/>
        <v>7500021521</v>
      </c>
      <c r="F1328" s="169" t="s">
        <v>18811</v>
      </c>
      <c r="G1328" s="169">
        <v>11.0</v>
      </c>
      <c r="H1328" s="169">
        <v>2900.0</v>
      </c>
      <c r="I1328" s="169">
        <v>31900.0</v>
      </c>
      <c r="J1328" s="169">
        <v>0.0</v>
      </c>
      <c r="K1328" s="169">
        <v>11.0</v>
      </c>
      <c r="L1328" s="169">
        <v>0.0</v>
      </c>
    </row>
    <row r="1329" ht="14.25" customHeight="1">
      <c r="A1329" s="169" t="s">
        <v>18816</v>
      </c>
      <c r="B1329" s="169" t="s">
        <v>13171</v>
      </c>
      <c r="C1329" s="169" t="s">
        <v>18230</v>
      </c>
      <c r="D1329" s="169" t="str">
        <f t="shared" ref="D1329:E1329" si="847">"1-MA-M"</f>
        <v>1-MA-M</v>
      </c>
      <c r="E1329" s="169" t="str">
        <f t="shared" si="847"/>
        <v>1-MA-M</v>
      </c>
      <c r="F1329" s="169" t="s">
        <v>18811</v>
      </c>
      <c r="G1329" s="169">
        <v>69.0</v>
      </c>
      <c r="H1329" s="169">
        <v>22280.0</v>
      </c>
      <c r="I1329" s="169">
        <v>1537320.0</v>
      </c>
      <c r="J1329" s="169">
        <v>0.0</v>
      </c>
      <c r="K1329" s="169">
        <v>69.0</v>
      </c>
      <c r="L1329" s="169">
        <v>0.0</v>
      </c>
    </row>
    <row r="1330" ht="14.25" customHeight="1">
      <c r="A1330" s="169" t="s">
        <v>18817</v>
      </c>
      <c r="B1330" s="169" t="s">
        <v>18714</v>
      </c>
      <c r="C1330" s="169" t="s">
        <v>18718</v>
      </c>
      <c r="D1330" s="169" t="str">
        <f t="shared" ref="D1330:E1330" si="848">"1627065421669"</f>
        <v>1627065421669</v>
      </c>
      <c r="E1330" s="169" t="str">
        <f t="shared" si="848"/>
        <v>1627065421669</v>
      </c>
      <c r="F1330" s="169" t="s">
        <v>18811</v>
      </c>
      <c r="G1330" s="169">
        <v>24.0</v>
      </c>
      <c r="H1330" s="169">
        <v>1069.0</v>
      </c>
      <c r="I1330" s="169">
        <v>25656.0</v>
      </c>
      <c r="J1330" s="169">
        <v>0.0</v>
      </c>
      <c r="K1330" s="169">
        <v>24.0</v>
      </c>
      <c r="L1330" s="169">
        <v>0.0</v>
      </c>
    </row>
    <row r="1331" ht="14.25" customHeight="1">
      <c r="A1331" s="169" t="s">
        <v>18714</v>
      </c>
      <c r="B1331" s="169" t="s">
        <v>18714</v>
      </c>
      <c r="C1331" s="169" t="s">
        <v>11037</v>
      </c>
      <c r="D1331" s="169" t="str">
        <f t="shared" ref="D1331:E1331" si="849">"1648494506836"</f>
        <v>1648494506836</v>
      </c>
      <c r="E1331" s="169" t="str">
        <f t="shared" si="849"/>
        <v>1648494506836</v>
      </c>
      <c r="F1331" s="169" t="s">
        <v>18811</v>
      </c>
      <c r="G1331" s="169">
        <v>2.0</v>
      </c>
      <c r="H1331" s="169">
        <v>0.0</v>
      </c>
      <c r="I1331" s="169">
        <v>0.0</v>
      </c>
      <c r="J1331" s="169">
        <v>0.0</v>
      </c>
      <c r="K1331" s="169">
        <v>2.0</v>
      </c>
      <c r="L1331" s="169">
        <v>0.0</v>
      </c>
    </row>
    <row r="1332" ht="14.25" customHeight="1">
      <c r="A1332" s="169" t="s">
        <v>18817</v>
      </c>
      <c r="B1332" s="169" t="s">
        <v>18714</v>
      </c>
      <c r="C1332" s="169" t="s">
        <v>18715</v>
      </c>
      <c r="D1332" s="169" t="str">
        <f t="shared" ref="D1332:E1332" si="850">"67414820120443"</f>
        <v>67414820120443</v>
      </c>
      <c r="E1332" s="169" t="str">
        <f t="shared" si="850"/>
        <v>67414820120443</v>
      </c>
      <c r="F1332" s="169" t="s">
        <v>18811</v>
      </c>
      <c r="G1332" s="169">
        <v>1.0</v>
      </c>
      <c r="H1332" s="169">
        <v>82550.0</v>
      </c>
      <c r="I1332" s="169">
        <v>82550.0</v>
      </c>
      <c r="J1332" s="169">
        <v>0.0</v>
      </c>
      <c r="K1332" s="169">
        <v>1.0</v>
      </c>
      <c r="L1332" s="169">
        <v>0.0</v>
      </c>
    </row>
    <row r="1333" ht="14.25" customHeight="1">
      <c r="A1333" s="169" t="s">
        <v>18714</v>
      </c>
      <c r="B1333" s="169" t="s">
        <v>18091</v>
      </c>
      <c r="C1333" s="169" t="s">
        <v>18099</v>
      </c>
      <c r="D1333" s="169" t="str">
        <f t="shared" ref="D1333:E1333" si="851">"1595007331468"</f>
        <v>1595007331468</v>
      </c>
      <c r="E1333" s="169" t="str">
        <f t="shared" si="851"/>
        <v>1595007331468</v>
      </c>
      <c r="F1333" s="169" t="s">
        <v>18811</v>
      </c>
      <c r="G1333" s="169">
        <v>20.0</v>
      </c>
      <c r="H1333" s="169">
        <v>2500.0</v>
      </c>
      <c r="I1333" s="169">
        <v>50000.0</v>
      </c>
      <c r="J1333" s="169">
        <v>0.0</v>
      </c>
      <c r="K1333" s="169">
        <v>20.0</v>
      </c>
      <c r="L1333" s="169">
        <v>0.0</v>
      </c>
    </row>
    <row r="1334" ht="14.25" customHeight="1">
      <c r="A1334" s="169" t="s">
        <v>18714</v>
      </c>
      <c r="B1334" s="169" t="s">
        <v>18091</v>
      </c>
      <c r="C1334" s="169" t="s">
        <v>18097</v>
      </c>
      <c r="D1334" s="169" t="str">
        <f t="shared" ref="D1334:E1334" si="852">"1595007277212"</f>
        <v>1595007277212</v>
      </c>
      <c r="E1334" s="169" t="str">
        <f t="shared" si="852"/>
        <v>1595007277212</v>
      </c>
      <c r="F1334" s="169" t="s">
        <v>18811</v>
      </c>
      <c r="G1334" s="169">
        <v>177.0</v>
      </c>
      <c r="H1334" s="169">
        <v>6033.0</v>
      </c>
      <c r="I1334" s="169">
        <v>1067841.0</v>
      </c>
      <c r="J1334" s="169">
        <v>0.0</v>
      </c>
      <c r="K1334" s="169">
        <v>177.0</v>
      </c>
      <c r="L1334" s="169">
        <v>0.0</v>
      </c>
    </row>
    <row r="1335" ht="14.25" customHeight="1">
      <c r="A1335" s="169" t="s">
        <v>18714</v>
      </c>
      <c r="B1335" s="169" t="s">
        <v>18091</v>
      </c>
      <c r="C1335" s="169" t="s">
        <v>11146</v>
      </c>
      <c r="D1335" s="169" t="str">
        <f t="shared" ref="D1335:E1335" si="853">"1616011311193"</f>
        <v>1616011311193</v>
      </c>
      <c r="E1335" s="169" t="str">
        <f t="shared" si="853"/>
        <v>1616011311193</v>
      </c>
      <c r="F1335" s="169" t="s">
        <v>18811</v>
      </c>
      <c r="G1335" s="169">
        <v>7.0</v>
      </c>
      <c r="H1335" s="169">
        <v>985.7</v>
      </c>
      <c r="I1335" s="169">
        <v>6900.0</v>
      </c>
      <c r="J1335" s="169">
        <v>0.0</v>
      </c>
      <c r="K1335" s="169">
        <v>7.0</v>
      </c>
      <c r="L1335" s="169">
        <v>0.0</v>
      </c>
    </row>
    <row r="1336" ht="14.25" customHeight="1">
      <c r="A1336" s="169" t="s">
        <v>18714</v>
      </c>
      <c r="B1336" s="169" t="s">
        <v>18091</v>
      </c>
      <c r="C1336" s="169" t="s">
        <v>11147</v>
      </c>
      <c r="D1336" s="169" t="str">
        <f t="shared" ref="D1336:E1336" si="854">"1616011328526"</f>
        <v>1616011328526</v>
      </c>
      <c r="E1336" s="169" t="str">
        <f t="shared" si="854"/>
        <v>1616011328526</v>
      </c>
      <c r="F1336" s="169" t="s">
        <v>18811</v>
      </c>
      <c r="G1336" s="169">
        <v>16.0</v>
      </c>
      <c r="H1336" s="169">
        <v>6900.0</v>
      </c>
      <c r="I1336" s="169">
        <v>110400.0</v>
      </c>
      <c r="J1336" s="169">
        <v>0.0</v>
      </c>
      <c r="K1336" s="169">
        <v>16.0</v>
      </c>
      <c r="L1336" s="169">
        <v>0.0</v>
      </c>
    </row>
    <row r="1337" ht="14.25" customHeight="1">
      <c r="A1337" s="169" t="s">
        <v>18714</v>
      </c>
      <c r="B1337" s="169" t="s">
        <v>18091</v>
      </c>
      <c r="C1337" s="169" t="s">
        <v>18093</v>
      </c>
      <c r="D1337" s="169" t="str">
        <f t="shared" ref="D1337:E1337" si="855">"1586964198052"</f>
        <v>1586964198052</v>
      </c>
      <c r="E1337" s="169" t="str">
        <f t="shared" si="855"/>
        <v>1586964198052</v>
      </c>
      <c r="F1337" s="169" t="s">
        <v>18811</v>
      </c>
      <c r="G1337" s="169">
        <v>374.0</v>
      </c>
      <c r="H1337" s="169">
        <v>840.0</v>
      </c>
      <c r="I1337" s="169">
        <v>314160.0</v>
      </c>
      <c r="J1337" s="169">
        <v>0.0</v>
      </c>
      <c r="K1337" s="169">
        <v>374.0</v>
      </c>
      <c r="L1337" s="169">
        <v>0.0</v>
      </c>
    </row>
    <row r="1338" ht="14.25" customHeight="1">
      <c r="A1338" s="169" t="s">
        <v>18714</v>
      </c>
      <c r="B1338" s="169" t="s">
        <v>18091</v>
      </c>
      <c r="C1338" s="169" t="s">
        <v>11153</v>
      </c>
      <c r="D1338" s="169" t="str">
        <f t="shared" ref="D1338:E1338" si="856">"1593115256999"</f>
        <v>1593115256999</v>
      </c>
      <c r="E1338" s="169" t="str">
        <f t="shared" si="856"/>
        <v>1593115256999</v>
      </c>
      <c r="F1338" s="169" t="s">
        <v>18811</v>
      </c>
      <c r="G1338" s="169">
        <v>86.0</v>
      </c>
      <c r="H1338" s="169">
        <v>2353.4</v>
      </c>
      <c r="I1338" s="169">
        <v>202390.0</v>
      </c>
      <c r="J1338" s="169">
        <v>0.0</v>
      </c>
      <c r="K1338" s="169">
        <v>86.0</v>
      </c>
      <c r="L1338" s="169">
        <v>0.0</v>
      </c>
    </row>
    <row r="1339" ht="14.25" customHeight="1">
      <c r="A1339" s="169" t="s">
        <v>18810</v>
      </c>
      <c r="B1339" s="169" t="s">
        <v>13297</v>
      </c>
      <c r="C1339" s="169" t="s">
        <v>18415</v>
      </c>
      <c r="D1339" s="169" t="str">
        <f t="shared" ref="D1339:E1339" si="857">"MD1082"</f>
        <v>MD1082</v>
      </c>
      <c r="E1339" s="169" t="str">
        <f t="shared" si="857"/>
        <v>MD1082</v>
      </c>
      <c r="F1339" s="169" t="s">
        <v>18811</v>
      </c>
      <c r="G1339" s="169">
        <v>3.0</v>
      </c>
      <c r="H1339" s="169">
        <v>5950.0</v>
      </c>
      <c r="I1339" s="169">
        <v>17850.0</v>
      </c>
      <c r="J1339" s="169">
        <v>0.0</v>
      </c>
      <c r="K1339" s="169">
        <v>3.0</v>
      </c>
      <c r="L1339" s="169">
        <v>0.0</v>
      </c>
    </row>
    <row r="1340" ht="14.25" customHeight="1">
      <c r="A1340" s="169" t="s">
        <v>18810</v>
      </c>
      <c r="B1340" s="169" t="s">
        <v>13297</v>
      </c>
      <c r="C1340" s="169" t="s">
        <v>18414</v>
      </c>
      <c r="D1340" s="169" t="str">
        <f t="shared" ref="D1340:E1340" si="858">"MD2086"</f>
        <v>MD2086</v>
      </c>
      <c r="E1340" s="169" t="str">
        <f t="shared" si="858"/>
        <v>MD2086</v>
      </c>
      <c r="F1340" s="169" t="s">
        <v>18811</v>
      </c>
      <c r="G1340" s="169">
        <v>4.0</v>
      </c>
      <c r="H1340" s="169">
        <v>8750.0</v>
      </c>
      <c r="I1340" s="169">
        <v>35000.0</v>
      </c>
      <c r="J1340" s="169">
        <v>0.0</v>
      </c>
      <c r="K1340" s="169">
        <v>4.0</v>
      </c>
      <c r="L1340" s="169">
        <v>0.0</v>
      </c>
    </row>
    <row r="1341" ht="14.25" customHeight="1">
      <c r="A1341" s="169" t="s">
        <v>18810</v>
      </c>
      <c r="B1341" s="169" t="s">
        <v>13297</v>
      </c>
      <c r="C1341" s="169" t="s">
        <v>18413</v>
      </c>
      <c r="D1341" s="169" t="str">
        <f t="shared" ref="D1341:E1341" si="859">"CT2151"</f>
        <v>CT2151</v>
      </c>
      <c r="E1341" s="169" t="str">
        <f t="shared" si="859"/>
        <v>CT2151</v>
      </c>
      <c r="F1341" s="169" t="s">
        <v>18811</v>
      </c>
      <c r="G1341" s="169">
        <v>3.0</v>
      </c>
      <c r="H1341" s="169">
        <v>5050.0</v>
      </c>
      <c r="I1341" s="169">
        <v>15150.0</v>
      </c>
      <c r="J1341" s="169">
        <v>0.0</v>
      </c>
      <c r="K1341" s="169">
        <v>3.0</v>
      </c>
      <c r="L1341" s="169">
        <v>0.0</v>
      </c>
    </row>
    <row r="1342" ht="14.25" customHeight="1">
      <c r="A1342" s="169" t="s">
        <v>18810</v>
      </c>
      <c r="B1342" s="169" t="s">
        <v>13297</v>
      </c>
      <c r="C1342" s="169" t="s">
        <v>18412</v>
      </c>
      <c r="D1342" s="169" t="str">
        <f t="shared" ref="D1342:E1342" si="860">"MD2076"</f>
        <v>MD2076</v>
      </c>
      <c r="E1342" s="169" t="str">
        <f t="shared" si="860"/>
        <v>MD2076</v>
      </c>
      <c r="F1342" s="169" t="s">
        <v>18811</v>
      </c>
      <c r="G1342" s="169">
        <v>4.0</v>
      </c>
      <c r="H1342" s="169">
        <v>9000.0</v>
      </c>
      <c r="I1342" s="169">
        <v>36000.0</v>
      </c>
      <c r="J1342" s="169">
        <v>0.0</v>
      </c>
      <c r="K1342" s="169">
        <v>4.0</v>
      </c>
      <c r="L1342" s="169">
        <v>0.0</v>
      </c>
    </row>
    <row r="1343" ht="14.25" customHeight="1">
      <c r="A1343" s="169" t="s">
        <v>18810</v>
      </c>
      <c r="B1343" s="169" t="s">
        <v>13297</v>
      </c>
      <c r="C1343" s="169" t="s">
        <v>18411</v>
      </c>
      <c r="D1343" s="169" t="str">
        <f t="shared" ref="D1343:E1343" si="861">"MD3021"</f>
        <v>MD3021</v>
      </c>
      <c r="E1343" s="169" t="str">
        <f t="shared" si="861"/>
        <v>MD3021</v>
      </c>
      <c r="F1343" s="169" t="s">
        <v>18811</v>
      </c>
      <c r="G1343" s="169">
        <v>3.0</v>
      </c>
      <c r="H1343" s="169">
        <v>6000.0</v>
      </c>
      <c r="I1343" s="169">
        <v>18000.0</v>
      </c>
      <c r="J1343" s="169">
        <v>0.0</v>
      </c>
      <c r="K1343" s="169">
        <v>3.0</v>
      </c>
      <c r="L1343" s="169">
        <v>0.0</v>
      </c>
    </row>
    <row r="1344" ht="14.25" customHeight="1">
      <c r="A1344" s="169" t="s">
        <v>18810</v>
      </c>
      <c r="B1344" s="169" t="s">
        <v>13297</v>
      </c>
      <c r="C1344" s="169" t="s">
        <v>18410</v>
      </c>
      <c r="D1344" s="169" t="str">
        <f t="shared" ref="D1344:E1344" si="862">"MD2087"</f>
        <v>MD2087</v>
      </c>
      <c r="E1344" s="169" t="str">
        <f t="shared" si="862"/>
        <v>MD2087</v>
      </c>
      <c r="F1344" s="169" t="s">
        <v>18811</v>
      </c>
      <c r="G1344" s="169">
        <v>2.0</v>
      </c>
      <c r="H1344" s="169">
        <v>7650.0</v>
      </c>
      <c r="I1344" s="169">
        <v>15300.0</v>
      </c>
      <c r="J1344" s="169">
        <v>0.0</v>
      </c>
      <c r="K1344" s="169">
        <v>2.0</v>
      </c>
      <c r="L1344" s="169">
        <v>0.0</v>
      </c>
    </row>
    <row r="1345" ht="14.25" customHeight="1">
      <c r="A1345" s="169" t="s">
        <v>18810</v>
      </c>
      <c r="B1345" s="169" t="s">
        <v>13297</v>
      </c>
      <c r="C1345" s="169" t="s">
        <v>18409</v>
      </c>
      <c r="D1345" s="169" t="str">
        <f t="shared" ref="D1345:E1345" si="863">"MD1041"</f>
        <v>MD1041</v>
      </c>
      <c r="E1345" s="169" t="str">
        <f t="shared" si="863"/>
        <v>MD1041</v>
      </c>
      <c r="F1345" s="169" t="s">
        <v>18811</v>
      </c>
      <c r="G1345" s="169">
        <v>4.0</v>
      </c>
      <c r="H1345" s="169">
        <v>7900.0</v>
      </c>
      <c r="I1345" s="169">
        <v>31600.0</v>
      </c>
      <c r="J1345" s="169">
        <v>0.0</v>
      </c>
      <c r="K1345" s="169">
        <v>4.0</v>
      </c>
      <c r="L1345" s="169">
        <v>0.0</v>
      </c>
    </row>
    <row r="1346" ht="14.25" customHeight="1">
      <c r="A1346" s="169" t="s">
        <v>18810</v>
      </c>
      <c r="B1346" s="169" t="s">
        <v>13297</v>
      </c>
      <c r="C1346" s="169" t="s">
        <v>18408</v>
      </c>
      <c r="D1346" s="169" t="str">
        <f t="shared" ref="D1346:E1346" si="864">"MD1040"</f>
        <v>MD1040</v>
      </c>
      <c r="E1346" s="169" t="str">
        <f t="shared" si="864"/>
        <v>MD1040</v>
      </c>
      <c r="F1346" s="169" t="s">
        <v>18811</v>
      </c>
      <c r="G1346" s="169">
        <v>5.0</v>
      </c>
      <c r="H1346" s="169">
        <v>7900.0</v>
      </c>
      <c r="I1346" s="169">
        <v>39500.0</v>
      </c>
      <c r="J1346" s="169">
        <v>0.0</v>
      </c>
      <c r="K1346" s="169">
        <v>5.0</v>
      </c>
      <c r="L1346" s="169">
        <v>0.0</v>
      </c>
    </row>
    <row r="1347" ht="14.25" customHeight="1">
      <c r="A1347" s="169" t="s">
        <v>18810</v>
      </c>
      <c r="B1347" s="169" t="s">
        <v>13297</v>
      </c>
      <c r="C1347" s="169" t="s">
        <v>18407</v>
      </c>
      <c r="D1347" s="169" t="str">
        <f t="shared" ref="D1347:E1347" si="865">"CT7018"</f>
        <v>CT7018</v>
      </c>
      <c r="E1347" s="169" t="str">
        <f t="shared" si="865"/>
        <v>CT7018</v>
      </c>
      <c r="F1347" s="169" t="s">
        <v>18811</v>
      </c>
      <c r="G1347" s="169">
        <v>5.0</v>
      </c>
      <c r="H1347" s="169">
        <v>8566.0</v>
      </c>
      <c r="I1347" s="169">
        <v>42830.0</v>
      </c>
      <c r="J1347" s="169">
        <v>0.0</v>
      </c>
      <c r="K1347" s="169">
        <v>5.0</v>
      </c>
      <c r="L1347" s="169">
        <v>0.0</v>
      </c>
    </row>
    <row r="1348" ht="14.25" customHeight="1">
      <c r="A1348" s="169" t="s">
        <v>18810</v>
      </c>
      <c r="B1348" s="169" t="s">
        <v>13297</v>
      </c>
      <c r="C1348" s="169" t="s">
        <v>18406</v>
      </c>
      <c r="D1348" s="169" t="str">
        <f t="shared" ref="D1348:E1348" si="866">"CT7019"</f>
        <v>CT7019</v>
      </c>
      <c r="E1348" s="169" t="str">
        <f t="shared" si="866"/>
        <v>CT7019</v>
      </c>
      <c r="F1348" s="169" t="s">
        <v>18811</v>
      </c>
      <c r="G1348" s="169">
        <v>4.0</v>
      </c>
      <c r="H1348" s="169">
        <v>6890.0</v>
      </c>
      <c r="I1348" s="169">
        <v>27560.0</v>
      </c>
      <c r="J1348" s="169">
        <v>0.0</v>
      </c>
      <c r="K1348" s="169">
        <v>4.0</v>
      </c>
      <c r="L1348" s="169">
        <v>0.0</v>
      </c>
    </row>
    <row r="1349" ht="14.25" customHeight="1">
      <c r="A1349" s="169" t="s">
        <v>18810</v>
      </c>
      <c r="B1349" s="169" t="s">
        <v>13297</v>
      </c>
      <c r="C1349" s="169" t="s">
        <v>18405</v>
      </c>
      <c r="D1349" s="169" t="str">
        <f t="shared" ref="D1349:E1349" si="867">"CT7021"</f>
        <v>CT7021</v>
      </c>
      <c r="E1349" s="169" t="str">
        <f t="shared" si="867"/>
        <v>CT7021</v>
      </c>
      <c r="F1349" s="169" t="s">
        <v>18811</v>
      </c>
      <c r="G1349" s="169">
        <v>3.0</v>
      </c>
      <c r="H1349" s="169">
        <v>8566.0</v>
      </c>
      <c r="I1349" s="169">
        <v>25698.0</v>
      </c>
      <c r="J1349" s="169">
        <v>0.0</v>
      </c>
      <c r="K1349" s="169">
        <v>3.0</v>
      </c>
      <c r="L1349" s="169">
        <v>0.0</v>
      </c>
    </row>
    <row r="1350" ht="14.25" customHeight="1">
      <c r="A1350" s="169" t="s">
        <v>18810</v>
      </c>
      <c r="B1350" s="169" t="s">
        <v>13297</v>
      </c>
      <c r="C1350" s="169" t="s">
        <v>18404</v>
      </c>
      <c r="D1350" s="169" t="str">
        <f t="shared" ref="D1350:E1350" si="868">"CT7022"</f>
        <v>CT7022</v>
      </c>
      <c r="E1350" s="169" t="str">
        <f t="shared" si="868"/>
        <v>CT7022</v>
      </c>
      <c r="F1350" s="169" t="s">
        <v>18811</v>
      </c>
      <c r="G1350" s="169">
        <v>4.0</v>
      </c>
      <c r="H1350" s="169">
        <v>6890.0</v>
      </c>
      <c r="I1350" s="169">
        <v>27560.0</v>
      </c>
      <c r="J1350" s="169">
        <v>0.0</v>
      </c>
      <c r="K1350" s="169">
        <v>4.0</v>
      </c>
      <c r="L1350" s="169">
        <v>0.0</v>
      </c>
    </row>
    <row r="1351" ht="14.25" customHeight="1">
      <c r="A1351" s="169" t="s">
        <v>18810</v>
      </c>
      <c r="B1351" s="169" t="s">
        <v>13297</v>
      </c>
      <c r="C1351" s="169" t="s">
        <v>18403</v>
      </c>
      <c r="D1351" s="169" t="str">
        <f t="shared" ref="D1351:E1351" si="869">"MD3106"</f>
        <v>MD3106</v>
      </c>
      <c r="E1351" s="169" t="str">
        <f t="shared" si="869"/>
        <v>MD3106</v>
      </c>
      <c r="F1351" s="169" t="s">
        <v>18811</v>
      </c>
      <c r="G1351" s="169">
        <v>3.0</v>
      </c>
      <c r="H1351" s="169">
        <v>9000.0</v>
      </c>
      <c r="I1351" s="169">
        <v>27000.0</v>
      </c>
      <c r="J1351" s="169">
        <v>0.0</v>
      </c>
      <c r="K1351" s="169">
        <v>3.0</v>
      </c>
      <c r="L1351" s="169">
        <v>0.0</v>
      </c>
    </row>
    <row r="1352" ht="14.25" customHeight="1">
      <c r="A1352" s="169" t="s">
        <v>18810</v>
      </c>
      <c r="B1352" s="169" t="s">
        <v>13297</v>
      </c>
      <c r="C1352" s="169" t="s">
        <v>18402</v>
      </c>
      <c r="D1352" s="169" t="str">
        <f t="shared" ref="D1352:E1352" si="870">"CT7024"</f>
        <v>CT7024</v>
      </c>
      <c r="E1352" s="169" t="str">
        <f t="shared" si="870"/>
        <v>CT7024</v>
      </c>
      <c r="F1352" s="169" t="s">
        <v>18811</v>
      </c>
      <c r="G1352" s="169">
        <v>4.0</v>
      </c>
      <c r="H1352" s="169">
        <v>9000.0</v>
      </c>
      <c r="I1352" s="169">
        <v>36000.0</v>
      </c>
      <c r="J1352" s="169">
        <v>0.0</v>
      </c>
      <c r="K1352" s="169">
        <v>4.0</v>
      </c>
      <c r="L1352" s="169">
        <v>0.0</v>
      </c>
    </row>
    <row r="1353" ht="14.25" customHeight="1">
      <c r="A1353" s="169" t="s">
        <v>18810</v>
      </c>
      <c r="B1353" s="169" t="s">
        <v>13297</v>
      </c>
      <c r="C1353" s="169" t="s">
        <v>18401</v>
      </c>
      <c r="D1353" s="169" t="str">
        <f t="shared" ref="D1353:E1353" si="871">"CT7025"</f>
        <v>CT7025</v>
      </c>
      <c r="E1353" s="169" t="str">
        <f t="shared" si="871"/>
        <v>CT7025</v>
      </c>
      <c r="F1353" s="169" t="s">
        <v>18811</v>
      </c>
      <c r="G1353" s="169">
        <v>4.0</v>
      </c>
      <c r="H1353" s="169">
        <v>9000.0</v>
      </c>
      <c r="I1353" s="169">
        <v>36000.0</v>
      </c>
      <c r="J1353" s="169">
        <v>0.0</v>
      </c>
      <c r="K1353" s="169">
        <v>4.0</v>
      </c>
      <c r="L1353" s="169">
        <v>0.0</v>
      </c>
    </row>
    <row r="1354" ht="14.25" customHeight="1">
      <c r="A1354" s="169" t="s">
        <v>18810</v>
      </c>
      <c r="B1354" s="169" t="s">
        <v>13297</v>
      </c>
      <c r="C1354" s="169" t="s">
        <v>18400</v>
      </c>
      <c r="D1354" s="169" t="str">
        <f t="shared" ref="D1354:E1354" si="872">"CT7026"</f>
        <v>CT7026</v>
      </c>
      <c r="E1354" s="169" t="str">
        <f t="shared" si="872"/>
        <v>CT7026</v>
      </c>
      <c r="F1354" s="169" t="s">
        <v>18811</v>
      </c>
      <c r="G1354" s="169">
        <v>12.0</v>
      </c>
      <c r="H1354" s="169">
        <v>10900.0</v>
      </c>
      <c r="I1354" s="169">
        <v>130800.0</v>
      </c>
      <c r="J1354" s="169">
        <v>0.0</v>
      </c>
      <c r="K1354" s="169">
        <v>12.0</v>
      </c>
      <c r="L1354" s="169">
        <v>0.0</v>
      </c>
    </row>
    <row r="1355" ht="14.25" customHeight="1">
      <c r="A1355" s="169" t="s">
        <v>18810</v>
      </c>
      <c r="B1355" s="169" t="s">
        <v>13297</v>
      </c>
      <c r="C1355" s="169" t="s">
        <v>18399</v>
      </c>
      <c r="D1355" s="169" t="str">
        <f t="shared" ref="D1355:E1355" si="873">"MD1024"</f>
        <v>MD1024</v>
      </c>
      <c r="E1355" s="169" t="str">
        <f t="shared" si="873"/>
        <v>MD1024</v>
      </c>
      <c r="F1355" s="169" t="s">
        <v>18811</v>
      </c>
      <c r="G1355" s="169">
        <v>12.0</v>
      </c>
      <c r="H1355" s="169">
        <v>6500.0</v>
      </c>
      <c r="I1355" s="169">
        <v>78000.0</v>
      </c>
      <c r="J1355" s="169">
        <v>0.0</v>
      </c>
      <c r="K1355" s="169">
        <v>12.0</v>
      </c>
      <c r="L1355" s="169">
        <v>0.0</v>
      </c>
    </row>
    <row r="1356" ht="14.25" customHeight="1">
      <c r="A1356" s="169" t="s">
        <v>18810</v>
      </c>
      <c r="B1356" s="169" t="s">
        <v>13297</v>
      </c>
      <c r="C1356" s="169" t="s">
        <v>18398</v>
      </c>
      <c r="D1356" s="169" t="str">
        <f t="shared" ref="D1356:E1356" si="874">"MD3098"</f>
        <v>MD3098</v>
      </c>
      <c r="E1356" s="169" t="str">
        <f t="shared" si="874"/>
        <v>MD3098</v>
      </c>
      <c r="F1356" s="169" t="s">
        <v>18811</v>
      </c>
      <c r="G1356" s="169">
        <v>4.0</v>
      </c>
      <c r="H1356" s="169">
        <v>8750.0</v>
      </c>
      <c r="I1356" s="169">
        <v>35000.0</v>
      </c>
      <c r="J1356" s="169">
        <v>0.0</v>
      </c>
      <c r="K1356" s="169">
        <v>4.0</v>
      </c>
      <c r="L1356" s="169">
        <v>0.0</v>
      </c>
    </row>
    <row r="1357" ht="14.25" customHeight="1">
      <c r="A1357" s="169" t="s">
        <v>18810</v>
      </c>
      <c r="B1357" s="169" t="s">
        <v>13297</v>
      </c>
      <c r="C1357" s="169" t="s">
        <v>18397</v>
      </c>
      <c r="D1357" s="169" t="str">
        <f t="shared" ref="D1357:E1357" si="875">"MD3026"</f>
        <v>MD3026</v>
      </c>
      <c r="E1357" s="169" t="str">
        <f t="shared" si="875"/>
        <v>MD3026</v>
      </c>
      <c r="F1357" s="169" t="s">
        <v>18811</v>
      </c>
      <c r="G1357" s="169">
        <v>4.0</v>
      </c>
      <c r="H1357" s="169">
        <v>8750.0</v>
      </c>
      <c r="I1357" s="169">
        <v>35000.0</v>
      </c>
      <c r="J1357" s="169">
        <v>0.0</v>
      </c>
      <c r="K1357" s="169">
        <v>4.0</v>
      </c>
      <c r="L1357" s="169">
        <v>0.0</v>
      </c>
    </row>
    <row r="1358" ht="14.25" customHeight="1">
      <c r="A1358" s="169" t="s">
        <v>18810</v>
      </c>
      <c r="B1358" s="169" t="s">
        <v>13297</v>
      </c>
      <c r="C1358" s="169" t="s">
        <v>18396</v>
      </c>
      <c r="D1358" s="169" t="str">
        <f t="shared" ref="D1358:E1358" si="876">"CT7016"</f>
        <v>CT7016</v>
      </c>
      <c r="E1358" s="169" t="str">
        <f t="shared" si="876"/>
        <v>CT7016</v>
      </c>
      <c r="F1358" s="169" t="s">
        <v>18811</v>
      </c>
      <c r="G1358" s="169">
        <v>4.0</v>
      </c>
      <c r="H1358" s="169">
        <v>8500.0</v>
      </c>
      <c r="I1358" s="169">
        <v>34000.0</v>
      </c>
      <c r="J1358" s="169">
        <v>0.0</v>
      </c>
      <c r="K1358" s="169">
        <v>4.0</v>
      </c>
      <c r="L1358" s="169">
        <v>0.0</v>
      </c>
    </row>
    <row r="1359" ht="14.25" customHeight="1">
      <c r="A1359" s="169" t="s">
        <v>18810</v>
      </c>
      <c r="B1359" s="169" t="s">
        <v>13297</v>
      </c>
      <c r="C1359" s="169" t="s">
        <v>18395</v>
      </c>
      <c r="D1359" s="169" t="str">
        <f t="shared" ref="D1359:E1359" si="877">"CT7014"</f>
        <v>CT7014</v>
      </c>
      <c r="E1359" s="169" t="str">
        <f t="shared" si="877"/>
        <v>CT7014</v>
      </c>
      <c r="F1359" s="169" t="s">
        <v>18811</v>
      </c>
      <c r="G1359" s="169">
        <v>4.0</v>
      </c>
      <c r="H1359" s="169">
        <v>8500.0</v>
      </c>
      <c r="I1359" s="169">
        <v>34000.0</v>
      </c>
      <c r="J1359" s="169">
        <v>0.0</v>
      </c>
      <c r="K1359" s="169">
        <v>4.0</v>
      </c>
      <c r="L1359" s="169">
        <v>0.0</v>
      </c>
    </row>
    <row r="1360" ht="14.25" customHeight="1">
      <c r="A1360" s="169" t="s">
        <v>18810</v>
      </c>
      <c r="B1360" s="169" t="s">
        <v>13297</v>
      </c>
      <c r="C1360" s="169" t="s">
        <v>18394</v>
      </c>
      <c r="D1360" s="169" t="str">
        <f t="shared" ref="D1360:E1360" si="878">"CT7015"</f>
        <v>CT7015</v>
      </c>
      <c r="E1360" s="169" t="str">
        <f t="shared" si="878"/>
        <v>CT7015</v>
      </c>
      <c r="F1360" s="169" t="s">
        <v>18811</v>
      </c>
      <c r="G1360" s="169">
        <v>3.0</v>
      </c>
      <c r="H1360" s="169">
        <v>8500.0</v>
      </c>
      <c r="I1360" s="169">
        <v>25500.0</v>
      </c>
      <c r="J1360" s="169">
        <v>0.0</v>
      </c>
      <c r="K1360" s="169">
        <v>3.0</v>
      </c>
      <c r="L1360" s="169">
        <v>0.0</v>
      </c>
    </row>
    <row r="1361" ht="14.25" customHeight="1">
      <c r="A1361" s="169" t="s">
        <v>18810</v>
      </c>
      <c r="B1361" s="169" t="s">
        <v>13297</v>
      </c>
      <c r="C1361" s="169" t="s">
        <v>18393</v>
      </c>
      <c r="D1361" s="169" t="str">
        <f t="shared" ref="D1361:E1361" si="879">"MD0078-1"</f>
        <v>MD0078-1</v>
      </c>
      <c r="E1361" s="169" t="str">
        <f t="shared" si="879"/>
        <v>MD0078-1</v>
      </c>
      <c r="F1361" s="169" t="s">
        <v>18811</v>
      </c>
      <c r="G1361" s="169">
        <v>4.0</v>
      </c>
      <c r="H1361" s="169">
        <v>6000.0</v>
      </c>
      <c r="I1361" s="169">
        <v>24000.0</v>
      </c>
      <c r="J1361" s="169">
        <v>0.0</v>
      </c>
      <c r="K1361" s="169">
        <v>4.0</v>
      </c>
      <c r="L1361" s="169">
        <v>0.0</v>
      </c>
    </row>
    <row r="1362" ht="14.25" customHeight="1">
      <c r="A1362" s="169" t="s">
        <v>18810</v>
      </c>
      <c r="B1362" s="169" t="s">
        <v>13297</v>
      </c>
      <c r="C1362" s="169" t="s">
        <v>18392</v>
      </c>
      <c r="D1362" s="169" t="str">
        <f t="shared" ref="D1362:E1362" si="880">"MD0077-1"</f>
        <v>MD0077-1</v>
      </c>
      <c r="E1362" s="169" t="str">
        <f t="shared" si="880"/>
        <v>MD0077-1</v>
      </c>
      <c r="F1362" s="169" t="s">
        <v>18811</v>
      </c>
      <c r="G1362" s="169">
        <v>5.0</v>
      </c>
      <c r="H1362" s="169">
        <v>6000.0</v>
      </c>
      <c r="I1362" s="169">
        <v>30000.0</v>
      </c>
      <c r="J1362" s="169">
        <v>0.0</v>
      </c>
      <c r="K1362" s="169">
        <v>5.0</v>
      </c>
      <c r="L1362" s="169">
        <v>0.0</v>
      </c>
    </row>
    <row r="1363" ht="14.25" customHeight="1">
      <c r="A1363" s="169" t="s">
        <v>18810</v>
      </c>
      <c r="B1363" s="169" t="s">
        <v>13297</v>
      </c>
      <c r="C1363" s="169" t="s">
        <v>18391</v>
      </c>
      <c r="D1363" s="169" t="str">
        <f t="shared" ref="D1363:E1363" si="881">"MD3083"</f>
        <v>MD3083</v>
      </c>
      <c r="E1363" s="169" t="str">
        <f t="shared" si="881"/>
        <v>MD3083</v>
      </c>
      <c r="F1363" s="169" t="s">
        <v>18811</v>
      </c>
      <c r="G1363" s="169">
        <v>4.0</v>
      </c>
      <c r="H1363" s="169">
        <v>8000.0</v>
      </c>
      <c r="I1363" s="169">
        <v>32000.0</v>
      </c>
      <c r="J1363" s="169">
        <v>0.0</v>
      </c>
      <c r="K1363" s="169">
        <v>4.0</v>
      </c>
      <c r="L1363" s="169">
        <v>0.0</v>
      </c>
    </row>
    <row r="1364" ht="14.25" customHeight="1">
      <c r="A1364" s="169" t="s">
        <v>18810</v>
      </c>
      <c r="B1364" s="169" t="s">
        <v>13297</v>
      </c>
      <c r="C1364" s="169" t="s">
        <v>18390</v>
      </c>
      <c r="D1364" s="169" t="str">
        <f t="shared" ref="D1364:E1364" si="882">"MD3084"</f>
        <v>MD3084</v>
      </c>
      <c r="E1364" s="169" t="str">
        <f t="shared" si="882"/>
        <v>MD3084</v>
      </c>
      <c r="F1364" s="169" t="s">
        <v>18811</v>
      </c>
      <c r="G1364" s="169">
        <v>4.0</v>
      </c>
      <c r="H1364" s="169">
        <v>8000.0</v>
      </c>
      <c r="I1364" s="169">
        <v>32000.0</v>
      </c>
      <c r="J1364" s="169">
        <v>0.0</v>
      </c>
      <c r="K1364" s="169">
        <v>4.0</v>
      </c>
      <c r="L1364" s="169">
        <v>0.0</v>
      </c>
    </row>
    <row r="1365" ht="14.25" customHeight="1">
      <c r="A1365" s="169" t="s">
        <v>18810</v>
      </c>
      <c r="B1365" s="169" t="s">
        <v>13297</v>
      </c>
      <c r="C1365" s="169" t="s">
        <v>18389</v>
      </c>
      <c r="D1365" s="169" t="str">
        <f t="shared" ref="D1365:E1365" si="883">"MD3035"</f>
        <v>MD3035</v>
      </c>
      <c r="E1365" s="169" t="str">
        <f t="shared" si="883"/>
        <v>MD3035</v>
      </c>
      <c r="F1365" s="169" t="s">
        <v>18811</v>
      </c>
      <c r="G1365" s="169">
        <v>3.0</v>
      </c>
      <c r="H1365" s="169">
        <v>6500.0</v>
      </c>
      <c r="I1365" s="169">
        <v>19500.0</v>
      </c>
      <c r="J1365" s="169">
        <v>0.0</v>
      </c>
      <c r="K1365" s="169">
        <v>3.0</v>
      </c>
      <c r="L1365" s="169">
        <v>0.0</v>
      </c>
    </row>
    <row r="1366" ht="14.25" customHeight="1">
      <c r="A1366" s="169" t="s">
        <v>18810</v>
      </c>
      <c r="B1366" s="169" t="s">
        <v>13297</v>
      </c>
      <c r="C1366" s="169" t="s">
        <v>18388</v>
      </c>
      <c r="D1366" s="169" t="str">
        <f t="shared" ref="D1366:E1366" si="884">"MD3095"</f>
        <v>MD3095</v>
      </c>
      <c r="E1366" s="169" t="str">
        <f t="shared" si="884"/>
        <v>MD3095</v>
      </c>
      <c r="F1366" s="169" t="s">
        <v>18811</v>
      </c>
      <c r="G1366" s="169">
        <v>1.0</v>
      </c>
      <c r="H1366" s="169">
        <v>8000.0</v>
      </c>
      <c r="I1366" s="169">
        <v>8000.0</v>
      </c>
      <c r="J1366" s="169">
        <v>0.0</v>
      </c>
      <c r="K1366" s="169">
        <v>1.0</v>
      </c>
      <c r="L1366" s="169">
        <v>0.0</v>
      </c>
    </row>
    <row r="1367" ht="14.25" customHeight="1">
      <c r="A1367" s="169" t="s">
        <v>18810</v>
      </c>
      <c r="B1367" s="169" t="s">
        <v>13297</v>
      </c>
      <c r="C1367" s="169" t="s">
        <v>18387</v>
      </c>
      <c r="D1367" s="169" t="str">
        <f t="shared" ref="D1367:E1367" si="885">"MD3125"</f>
        <v>MD3125</v>
      </c>
      <c r="E1367" s="169" t="str">
        <f t="shared" si="885"/>
        <v>MD3125</v>
      </c>
      <c r="F1367" s="169" t="s">
        <v>18811</v>
      </c>
      <c r="G1367" s="169">
        <v>4.0</v>
      </c>
      <c r="H1367" s="169">
        <v>8000.0</v>
      </c>
      <c r="I1367" s="169">
        <v>32000.0</v>
      </c>
      <c r="J1367" s="169">
        <v>0.0</v>
      </c>
      <c r="K1367" s="169">
        <v>4.0</v>
      </c>
      <c r="L1367" s="169">
        <v>0.0</v>
      </c>
    </row>
    <row r="1368" ht="14.25" customHeight="1">
      <c r="A1368" s="169" t="s">
        <v>18810</v>
      </c>
      <c r="B1368" s="169" t="s">
        <v>13297</v>
      </c>
      <c r="C1368" s="169" t="s">
        <v>18386</v>
      </c>
      <c r="D1368" s="169" t="str">
        <f t="shared" ref="D1368:E1368" si="886">"MD3170"</f>
        <v>MD3170</v>
      </c>
      <c r="E1368" s="169" t="str">
        <f t="shared" si="886"/>
        <v>MD3170</v>
      </c>
      <c r="F1368" s="169" t="s">
        <v>18811</v>
      </c>
      <c r="G1368" s="169">
        <v>2.0</v>
      </c>
      <c r="H1368" s="169">
        <v>8500.0</v>
      </c>
      <c r="I1368" s="169">
        <v>17000.0</v>
      </c>
      <c r="J1368" s="169">
        <v>0.0</v>
      </c>
      <c r="K1368" s="169">
        <v>2.0</v>
      </c>
      <c r="L1368" s="169">
        <v>0.0</v>
      </c>
    </row>
    <row r="1369" ht="14.25" customHeight="1">
      <c r="A1369" s="169" t="s">
        <v>18810</v>
      </c>
      <c r="B1369" s="169" t="s">
        <v>13297</v>
      </c>
      <c r="C1369" s="169" t="s">
        <v>18385</v>
      </c>
      <c r="D1369" s="169" t="str">
        <f t="shared" ref="D1369:E1369" si="887">"MD3169"</f>
        <v>MD3169</v>
      </c>
      <c r="E1369" s="169" t="str">
        <f t="shared" si="887"/>
        <v>MD3169</v>
      </c>
      <c r="F1369" s="169" t="s">
        <v>18811</v>
      </c>
      <c r="G1369" s="169">
        <v>1.0</v>
      </c>
      <c r="H1369" s="169">
        <v>8500.0</v>
      </c>
      <c r="I1369" s="169">
        <v>8500.0</v>
      </c>
      <c r="J1369" s="169">
        <v>0.0</v>
      </c>
      <c r="K1369" s="169">
        <v>1.0</v>
      </c>
      <c r="L1369" s="169">
        <v>0.0</v>
      </c>
    </row>
    <row r="1370" ht="14.25" customHeight="1">
      <c r="A1370" s="169" t="s">
        <v>18810</v>
      </c>
      <c r="B1370" s="169" t="s">
        <v>13297</v>
      </c>
      <c r="C1370" s="169" t="s">
        <v>18384</v>
      </c>
      <c r="D1370" s="169" t="str">
        <f t="shared" ref="D1370:E1370" si="888">"MD3078"</f>
        <v>MD3078</v>
      </c>
      <c r="E1370" s="169" t="str">
        <f t="shared" si="888"/>
        <v>MD3078</v>
      </c>
      <c r="F1370" s="169" t="s">
        <v>18811</v>
      </c>
      <c r="G1370" s="169">
        <v>4.0</v>
      </c>
      <c r="H1370" s="169">
        <v>8750.0</v>
      </c>
      <c r="I1370" s="169">
        <v>35000.0</v>
      </c>
      <c r="J1370" s="169">
        <v>0.0</v>
      </c>
      <c r="K1370" s="169">
        <v>4.0</v>
      </c>
      <c r="L1370" s="169">
        <v>0.0</v>
      </c>
    </row>
    <row r="1371" ht="14.25" customHeight="1">
      <c r="A1371" s="169" t="s">
        <v>18810</v>
      </c>
      <c r="B1371" s="169" t="s">
        <v>13297</v>
      </c>
      <c r="C1371" s="169" t="s">
        <v>18383</v>
      </c>
      <c r="D1371" s="169" t="str">
        <f t="shared" ref="D1371:E1371" si="889">"MD3027"</f>
        <v>MD3027</v>
      </c>
      <c r="E1371" s="169" t="str">
        <f t="shared" si="889"/>
        <v>MD3027</v>
      </c>
      <c r="F1371" s="169" t="s">
        <v>18811</v>
      </c>
      <c r="G1371" s="169">
        <v>1.0</v>
      </c>
      <c r="H1371" s="169">
        <v>8750.0</v>
      </c>
      <c r="I1371" s="169">
        <v>8750.0</v>
      </c>
      <c r="J1371" s="169">
        <v>0.0</v>
      </c>
      <c r="K1371" s="169">
        <v>1.0</v>
      </c>
      <c r="L1371" s="169">
        <v>0.0</v>
      </c>
    </row>
    <row r="1372" ht="14.25" customHeight="1">
      <c r="A1372" s="169" t="s">
        <v>18810</v>
      </c>
      <c r="B1372" s="169" t="s">
        <v>13297</v>
      </c>
      <c r="C1372" s="169" t="s">
        <v>18382</v>
      </c>
      <c r="D1372" s="169" t="str">
        <f t="shared" ref="D1372:E1372" si="890">"MD3110"</f>
        <v>MD3110</v>
      </c>
      <c r="E1372" s="169" t="str">
        <f t="shared" si="890"/>
        <v>MD3110</v>
      </c>
      <c r="F1372" s="169" t="s">
        <v>18811</v>
      </c>
      <c r="G1372" s="169">
        <v>4.0</v>
      </c>
      <c r="H1372" s="169">
        <v>8750.0</v>
      </c>
      <c r="I1372" s="169">
        <v>35000.0</v>
      </c>
      <c r="J1372" s="169">
        <v>0.0</v>
      </c>
      <c r="K1372" s="169">
        <v>4.0</v>
      </c>
      <c r="L1372" s="169">
        <v>0.0</v>
      </c>
    </row>
    <row r="1373" ht="14.25" customHeight="1">
      <c r="A1373" s="169" t="s">
        <v>18810</v>
      </c>
      <c r="B1373" s="169" t="s">
        <v>13297</v>
      </c>
      <c r="C1373" s="169" t="s">
        <v>18381</v>
      </c>
      <c r="D1373" s="169" t="str">
        <f t="shared" ref="D1373:E1373" si="891">"MD3020"</f>
        <v>MD3020</v>
      </c>
      <c r="E1373" s="169" t="str">
        <f t="shared" si="891"/>
        <v>MD3020</v>
      </c>
      <c r="F1373" s="169" t="s">
        <v>18811</v>
      </c>
      <c r="G1373" s="169">
        <v>4.0</v>
      </c>
      <c r="H1373" s="169">
        <v>7200.0</v>
      </c>
      <c r="I1373" s="169">
        <v>28800.0</v>
      </c>
      <c r="J1373" s="169">
        <v>0.0</v>
      </c>
      <c r="K1373" s="169">
        <v>4.0</v>
      </c>
      <c r="L1373" s="169">
        <v>0.0</v>
      </c>
    </row>
    <row r="1374" ht="14.25" customHeight="1">
      <c r="A1374" s="169" t="s">
        <v>18810</v>
      </c>
      <c r="B1374" s="169" t="s">
        <v>13297</v>
      </c>
      <c r="C1374" s="169" t="s">
        <v>18380</v>
      </c>
      <c r="D1374" s="169" t="str">
        <f t="shared" ref="D1374:E1374" si="892">"MD4140"</f>
        <v>MD4140</v>
      </c>
      <c r="E1374" s="169" t="str">
        <f t="shared" si="892"/>
        <v>MD4140</v>
      </c>
      <c r="F1374" s="169" t="s">
        <v>18811</v>
      </c>
      <c r="G1374" s="169">
        <v>4.0</v>
      </c>
      <c r="H1374" s="169">
        <v>3300.0</v>
      </c>
      <c r="I1374" s="169">
        <v>13200.0</v>
      </c>
      <c r="J1374" s="169">
        <v>0.0</v>
      </c>
      <c r="K1374" s="169">
        <v>4.0</v>
      </c>
      <c r="L1374" s="169">
        <v>0.0</v>
      </c>
    </row>
    <row r="1375" ht="14.25" customHeight="1">
      <c r="A1375" s="169" t="s">
        <v>18810</v>
      </c>
      <c r="B1375" s="169" t="s">
        <v>13297</v>
      </c>
      <c r="C1375" s="169" t="s">
        <v>18379</v>
      </c>
      <c r="D1375" s="169" t="str">
        <f t="shared" ref="D1375:E1375" si="893">"MD4127"</f>
        <v>MD4127</v>
      </c>
      <c r="E1375" s="169" t="str">
        <f t="shared" si="893"/>
        <v>MD4127</v>
      </c>
      <c r="F1375" s="169" t="s">
        <v>18811</v>
      </c>
      <c r="G1375" s="169">
        <v>4.0</v>
      </c>
      <c r="H1375" s="169">
        <v>4200.0</v>
      </c>
      <c r="I1375" s="169">
        <v>16800.0</v>
      </c>
      <c r="J1375" s="169">
        <v>0.0</v>
      </c>
      <c r="K1375" s="169">
        <v>4.0</v>
      </c>
      <c r="L1375" s="169">
        <v>0.0</v>
      </c>
    </row>
    <row r="1376" ht="14.25" customHeight="1">
      <c r="A1376" s="169" t="s">
        <v>18810</v>
      </c>
      <c r="B1376" s="169" t="s">
        <v>13297</v>
      </c>
      <c r="C1376" s="169" t="s">
        <v>18378</v>
      </c>
      <c r="D1376" s="169" t="str">
        <f t="shared" ref="D1376:E1376" si="894">"MD1015"</f>
        <v>MD1015</v>
      </c>
      <c r="E1376" s="169" t="str">
        <f t="shared" si="894"/>
        <v>MD1015</v>
      </c>
      <c r="F1376" s="169" t="s">
        <v>18811</v>
      </c>
      <c r="G1376" s="169">
        <v>11.0</v>
      </c>
      <c r="H1376" s="169">
        <v>3300.0</v>
      </c>
      <c r="I1376" s="169">
        <v>36300.0</v>
      </c>
      <c r="J1376" s="169">
        <v>0.0</v>
      </c>
      <c r="K1376" s="169">
        <v>11.0</v>
      </c>
      <c r="L1376" s="169">
        <v>0.0</v>
      </c>
    </row>
    <row r="1377" ht="14.25" customHeight="1">
      <c r="A1377" s="169" t="s">
        <v>18810</v>
      </c>
      <c r="B1377" s="169" t="s">
        <v>13297</v>
      </c>
      <c r="C1377" s="169" t="s">
        <v>18377</v>
      </c>
      <c r="D1377" s="169" t="str">
        <f t="shared" ref="D1377:E1377" si="895">"MD1014"</f>
        <v>MD1014</v>
      </c>
      <c r="E1377" s="169" t="str">
        <f t="shared" si="895"/>
        <v>MD1014</v>
      </c>
      <c r="F1377" s="169" t="s">
        <v>18811</v>
      </c>
      <c r="G1377" s="169">
        <v>6.0</v>
      </c>
      <c r="H1377" s="169">
        <v>3300.0</v>
      </c>
      <c r="I1377" s="169">
        <v>19800.0</v>
      </c>
      <c r="J1377" s="169">
        <v>0.0</v>
      </c>
      <c r="K1377" s="169">
        <v>6.0</v>
      </c>
      <c r="L1377" s="169">
        <v>0.0</v>
      </c>
    </row>
    <row r="1378" ht="14.25" customHeight="1">
      <c r="A1378" s="169" t="s">
        <v>18810</v>
      </c>
      <c r="B1378" s="169" t="s">
        <v>13297</v>
      </c>
      <c r="C1378" s="169" t="s">
        <v>18376</v>
      </c>
      <c r="D1378" s="169" t="str">
        <f t="shared" ref="D1378:E1378" si="896">"MD1016"</f>
        <v>MD1016</v>
      </c>
      <c r="E1378" s="169" t="str">
        <f t="shared" si="896"/>
        <v>MD1016</v>
      </c>
      <c r="F1378" s="169" t="s">
        <v>18811</v>
      </c>
      <c r="G1378" s="169">
        <v>3.0</v>
      </c>
      <c r="H1378" s="169">
        <v>3300.0</v>
      </c>
      <c r="I1378" s="169">
        <v>9900.0</v>
      </c>
      <c r="J1378" s="169">
        <v>0.0</v>
      </c>
      <c r="K1378" s="169">
        <v>3.0</v>
      </c>
      <c r="L1378" s="169">
        <v>0.0</v>
      </c>
    </row>
    <row r="1379" ht="14.25" customHeight="1">
      <c r="A1379" s="169" t="s">
        <v>18810</v>
      </c>
      <c r="B1379" s="169" t="s">
        <v>13297</v>
      </c>
      <c r="C1379" s="169" t="s">
        <v>18375</v>
      </c>
      <c r="D1379" s="169" t="str">
        <f t="shared" ref="D1379:E1379" si="897">"MD4062"</f>
        <v>MD4062</v>
      </c>
      <c r="E1379" s="169" t="str">
        <f t="shared" si="897"/>
        <v>MD4062</v>
      </c>
      <c r="F1379" s="169" t="s">
        <v>18811</v>
      </c>
      <c r="G1379" s="169">
        <v>4.0</v>
      </c>
      <c r="H1379" s="169">
        <v>3300.0</v>
      </c>
      <c r="I1379" s="169">
        <v>13200.0</v>
      </c>
      <c r="J1379" s="169">
        <v>0.0</v>
      </c>
      <c r="K1379" s="169">
        <v>4.0</v>
      </c>
      <c r="L1379" s="169">
        <v>0.0</v>
      </c>
    </row>
    <row r="1380" ht="14.25" customHeight="1">
      <c r="A1380" s="169" t="s">
        <v>18810</v>
      </c>
      <c r="B1380" s="169" t="s">
        <v>13297</v>
      </c>
      <c r="C1380" s="169" t="s">
        <v>18374</v>
      </c>
      <c r="D1380" s="169" t="str">
        <f t="shared" ref="D1380:E1380" si="898">"MD4063"</f>
        <v>MD4063</v>
      </c>
      <c r="E1380" s="169" t="str">
        <f t="shared" si="898"/>
        <v>MD4063</v>
      </c>
      <c r="F1380" s="169" t="s">
        <v>18811</v>
      </c>
      <c r="G1380" s="169">
        <v>3.0</v>
      </c>
      <c r="H1380" s="169">
        <v>3300.0</v>
      </c>
      <c r="I1380" s="169">
        <v>9900.0</v>
      </c>
      <c r="J1380" s="169">
        <v>0.0</v>
      </c>
      <c r="K1380" s="169">
        <v>3.0</v>
      </c>
      <c r="L1380" s="169">
        <v>0.0</v>
      </c>
    </row>
    <row r="1381" ht="14.25" customHeight="1">
      <c r="A1381" s="169" t="s">
        <v>18810</v>
      </c>
      <c r="B1381" s="169" t="s">
        <v>13297</v>
      </c>
      <c r="C1381" s="169" t="s">
        <v>18373</v>
      </c>
      <c r="D1381" s="169" t="str">
        <f t="shared" ref="D1381:E1381" si="899">"MD1032"</f>
        <v>MD1032</v>
      </c>
      <c r="E1381" s="169" t="str">
        <f t="shared" si="899"/>
        <v>MD1032</v>
      </c>
      <c r="F1381" s="169" t="s">
        <v>18811</v>
      </c>
      <c r="G1381" s="169">
        <v>5.0</v>
      </c>
      <c r="H1381" s="169">
        <v>5000.0</v>
      </c>
      <c r="I1381" s="169">
        <v>25000.0</v>
      </c>
      <c r="J1381" s="169">
        <v>0.0</v>
      </c>
      <c r="K1381" s="169">
        <v>5.0</v>
      </c>
      <c r="L1381" s="169">
        <v>0.0</v>
      </c>
    </row>
    <row r="1382" ht="14.25" customHeight="1">
      <c r="A1382" s="169" t="s">
        <v>18810</v>
      </c>
      <c r="B1382" s="169" t="s">
        <v>13297</v>
      </c>
      <c r="C1382" s="169" t="s">
        <v>18372</v>
      </c>
      <c r="D1382" s="169" t="str">
        <f t="shared" ref="D1382:E1382" si="900">"MD1031"</f>
        <v>MD1031</v>
      </c>
      <c r="E1382" s="169" t="str">
        <f t="shared" si="900"/>
        <v>MD1031</v>
      </c>
      <c r="F1382" s="169" t="s">
        <v>18811</v>
      </c>
      <c r="G1382" s="169">
        <v>3.0</v>
      </c>
      <c r="H1382" s="169">
        <v>5000.0</v>
      </c>
      <c r="I1382" s="169">
        <v>15000.0</v>
      </c>
      <c r="J1382" s="169">
        <v>0.0</v>
      </c>
      <c r="K1382" s="169">
        <v>3.0</v>
      </c>
      <c r="L1382" s="169">
        <v>0.0</v>
      </c>
    </row>
    <row r="1383" ht="14.25" customHeight="1">
      <c r="A1383" s="169" t="s">
        <v>18810</v>
      </c>
      <c r="B1383" s="169" t="s">
        <v>13297</v>
      </c>
      <c r="C1383" s="169" t="s">
        <v>18371</v>
      </c>
      <c r="D1383" s="169" t="str">
        <f t="shared" ref="D1383:E1383" si="901">"MD1034"</f>
        <v>MD1034</v>
      </c>
      <c r="E1383" s="169" t="str">
        <f t="shared" si="901"/>
        <v>MD1034</v>
      </c>
      <c r="F1383" s="169" t="s">
        <v>18811</v>
      </c>
      <c r="G1383" s="169">
        <v>3.0</v>
      </c>
      <c r="H1383" s="169">
        <v>5000.0</v>
      </c>
      <c r="I1383" s="169">
        <v>15000.0</v>
      </c>
      <c r="J1383" s="169">
        <v>0.0</v>
      </c>
      <c r="K1383" s="169">
        <v>3.0</v>
      </c>
      <c r="L1383" s="169">
        <v>0.0</v>
      </c>
    </row>
    <row r="1384" ht="14.25" customHeight="1">
      <c r="A1384" s="169" t="s">
        <v>18558</v>
      </c>
      <c r="B1384" s="169" t="s">
        <v>18558</v>
      </c>
      <c r="C1384" s="169" t="s">
        <v>18603</v>
      </c>
      <c r="D1384" s="169" t="str">
        <f>"69703369633745"</f>
        <v>69703369633745</v>
      </c>
      <c r="E1384" s="169" t="str">
        <f>"MLLAUD2"</f>
        <v>MLLAUD2</v>
      </c>
      <c r="F1384" s="169" t="s">
        <v>18811</v>
      </c>
      <c r="G1384" s="169">
        <v>1.0</v>
      </c>
      <c r="H1384" s="169">
        <v>5405.0</v>
      </c>
      <c r="I1384" s="169">
        <v>5405.0</v>
      </c>
      <c r="J1384" s="169">
        <v>0.0</v>
      </c>
      <c r="K1384" s="169">
        <v>1.0</v>
      </c>
      <c r="L1384" s="169">
        <v>0.0</v>
      </c>
    </row>
    <row r="1385" ht="14.25" customHeight="1">
      <c r="A1385" s="169" t="s">
        <v>18814</v>
      </c>
      <c r="B1385" s="169" t="s">
        <v>18558</v>
      </c>
      <c r="C1385" s="169" t="s">
        <v>18601</v>
      </c>
      <c r="D1385" s="169" t="str">
        <f t="shared" ref="D1385:E1385" si="902">"68617983132574"</f>
        <v>68617983132574</v>
      </c>
      <c r="E1385" s="169" t="str">
        <f t="shared" si="902"/>
        <v>68617983132574</v>
      </c>
      <c r="F1385" s="169" t="s">
        <v>18811</v>
      </c>
      <c r="G1385" s="169">
        <v>1.0</v>
      </c>
      <c r="H1385" s="169">
        <v>22058.0</v>
      </c>
      <c r="I1385" s="169">
        <v>22058.0</v>
      </c>
      <c r="J1385" s="169">
        <v>0.0</v>
      </c>
      <c r="K1385" s="169">
        <v>1.0</v>
      </c>
      <c r="L1385" s="169">
        <v>0.0</v>
      </c>
    </row>
    <row r="1386" ht="14.25" customHeight="1">
      <c r="A1386" s="169" t="s">
        <v>18558</v>
      </c>
      <c r="B1386" s="169" t="s">
        <v>18558</v>
      </c>
      <c r="C1386" s="169" t="s">
        <v>18600</v>
      </c>
      <c r="D1386" s="169" t="str">
        <f>"69349195910520"</f>
        <v>69349195910520</v>
      </c>
      <c r="E1386" s="169" t="str">
        <f>"MLLVIN10"</f>
        <v>MLLVIN10</v>
      </c>
      <c r="F1386" s="169" t="s">
        <v>18811</v>
      </c>
      <c r="G1386" s="169">
        <v>2.0</v>
      </c>
      <c r="H1386" s="169">
        <v>559.0</v>
      </c>
      <c r="I1386" s="169">
        <v>1118.0</v>
      </c>
      <c r="J1386" s="169">
        <v>0.0</v>
      </c>
      <c r="K1386" s="169">
        <v>2.0</v>
      </c>
      <c r="L1386" s="169">
        <v>0.0</v>
      </c>
    </row>
    <row r="1387" ht="14.25" customHeight="1">
      <c r="A1387" s="169" t="s">
        <v>18714</v>
      </c>
      <c r="B1387" s="169" t="s">
        <v>18695</v>
      </c>
      <c r="C1387" s="170"/>
      <c r="D1387" s="169" t="str">
        <f t="shared" ref="D1387:E1387" si="903">"67545214667077"</f>
        <v>67545214667077</v>
      </c>
      <c r="E1387" s="169" t="str">
        <f t="shared" si="903"/>
        <v>67545214667077</v>
      </c>
      <c r="F1387" s="169" t="s">
        <v>18811</v>
      </c>
      <c r="G1387" s="169">
        <v>1.0</v>
      </c>
      <c r="H1387" s="169">
        <v>154781.0</v>
      </c>
      <c r="I1387" s="169">
        <v>154781.0</v>
      </c>
      <c r="J1387" s="169">
        <v>0.0</v>
      </c>
      <c r="K1387" s="169">
        <v>1.0</v>
      </c>
      <c r="L1387" s="169">
        <v>0.0</v>
      </c>
    </row>
    <row r="1388" ht="14.25" customHeight="1">
      <c r="A1388" s="169" t="s">
        <v>18558</v>
      </c>
      <c r="B1388" s="169" t="s">
        <v>18558</v>
      </c>
      <c r="C1388" s="169" t="s">
        <v>18598</v>
      </c>
      <c r="D1388" s="169" t="str">
        <f t="shared" ref="D1388:E1388" si="904">"69348994953762"</f>
        <v>69348994953762</v>
      </c>
      <c r="E1388" s="169" t="str">
        <f t="shared" si="904"/>
        <v>69348994953762</v>
      </c>
      <c r="F1388" s="169" t="s">
        <v>18811</v>
      </c>
      <c r="G1388" s="169">
        <v>1.0</v>
      </c>
      <c r="H1388" s="169">
        <v>154196.0</v>
      </c>
      <c r="I1388" s="169">
        <v>154196.0</v>
      </c>
      <c r="J1388" s="169">
        <v>0.0</v>
      </c>
      <c r="K1388" s="169">
        <v>1.0</v>
      </c>
      <c r="L1388" s="169">
        <v>0.0</v>
      </c>
    </row>
    <row r="1389" ht="14.25" customHeight="1">
      <c r="A1389" s="169" t="s">
        <v>18558</v>
      </c>
      <c r="B1389" s="169" t="s">
        <v>18558</v>
      </c>
      <c r="C1389" s="169" t="s">
        <v>18597</v>
      </c>
      <c r="D1389" s="169" t="str">
        <f>"69349189349956"</f>
        <v>69349189349956</v>
      </c>
      <c r="E1389" s="169" t="str">
        <f>"MLLCARFILT"</f>
        <v>MLLCARFILT</v>
      </c>
      <c r="F1389" s="169" t="s">
        <v>18811</v>
      </c>
      <c r="G1389" s="169">
        <v>1.0</v>
      </c>
      <c r="H1389" s="169">
        <v>39136.0</v>
      </c>
      <c r="I1389" s="169">
        <v>39136.0</v>
      </c>
      <c r="J1389" s="169">
        <v>0.0</v>
      </c>
      <c r="K1389" s="169">
        <v>1.0</v>
      </c>
      <c r="L1389" s="169">
        <v>0.0</v>
      </c>
    </row>
    <row r="1390" ht="14.25" customHeight="1">
      <c r="A1390" s="169" t="s">
        <v>18814</v>
      </c>
      <c r="B1390" s="169" t="s">
        <v>18558</v>
      </c>
      <c r="C1390" s="169" t="s">
        <v>18595</v>
      </c>
      <c r="D1390" s="169" t="str">
        <f t="shared" ref="D1390:E1390" si="905">"68617982138107"</f>
        <v>68617982138107</v>
      </c>
      <c r="E1390" s="169" t="str">
        <f t="shared" si="905"/>
        <v>68617982138107</v>
      </c>
      <c r="F1390" s="169" t="s">
        <v>18811</v>
      </c>
      <c r="G1390" s="169">
        <v>1.0</v>
      </c>
      <c r="H1390" s="169">
        <v>24603.0</v>
      </c>
      <c r="I1390" s="169">
        <v>24603.0</v>
      </c>
      <c r="J1390" s="169">
        <v>0.0</v>
      </c>
      <c r="K1390" s="169">
        <v>1.0</v>
      </c>
      <c r="L1390" s="169">
        <v>0.0</v>
      </c>
    </row>
    <row r="1391" ht="14.25" customHeight="1">
      <c r="A1391" s="169" t="s">
        <v>18814</v>
      </c>
      <c r="B1391" s="169" t="s">
        <v>18558</v>
      </c>
      <c r="C1391" s="169" t="s">
        <v>18593</v>
      </c>
      <c r="D1391" s="169" t="str">
        <f t="shared" ref="D1391:E1391" si="906">"68617980049160"</f>
        <v>68617980049160</v>
      </c>
      <c r="E1391" s="169" t="str">
        <f t="shared" si="906"/>
        <v>68617980049160</v>
      </c>
      <c r="F1391" s="169" t="s">
        <v>18811</v>
      </c>
      <c r="G1391" s="169">
        <v>1.0</v>
      </c>
      <c r="H1391" s="169">
        <v>25452.0</v>
      </c>
      <c r="I1391" s="169">
        <v>25452.0</v>
      </c>
      <c r="J1391" s="169">
        <v>0.0</v>
      </c>
      <c r="K1391" s="169">
        <v>1.0</v>
      </c>
      <c r="L1391" s="169">
        <v>0.0</v>
      </c>
    </row>
    <row r="1392" ht="14.25" customHeight="1">
      <c r="A1392" s="169" t="s">
        <v>18814</v>
      </c>
      <c r="B1392" s="169" t="s">
        <v>18558</v>
      </c>
      <c r="C1392" s="169" t="s">
        <v>18591</v>
      </c>
      <c r="D1392" s="169" t="str">
        <f t="shared" ref="D1392:E1392" si="907">"68617981173073"</f>
        <v>68617981173073</v>
      </c>
      <c r="E1392" s="169" t="str">
        <f t="shared" si="907"/>
        <v>68617981173073</v>
      </c>
      <c r="F1392" s="169" t="s">
        <v>18811</v>
      </c>
      <c r="G1392" s="169">
        <v>1.0</v>
      </c>
      <c r="H1392" s="169">
        <v>35632.0</v>
      </c>
      <c r="I1392" s="169">
        <v>35632.0</v>
      </c>
      <c r="J1392" s="169">
        <v>0.0</v>
      </c>
      <c r="K1392" s="169">
        <v>1.0</v>
      </c>
      <c r="L1392" s="169">
        <v>0.0</v>
      </c>
    </row>
    <row r="1393" ht="14.25" customHeight="1">
      <c r="A1393" s="169" t="s">
        <v>18558</v>
      </c>
      <c r="B1393" s="169" t="s">
        <v>18558</v>
      </c>
      <c r="C1393" s="169" t="s">
        <v>18589</v>
      </c>
      <c r="D1393" s="169" t="str">
        <f t="shared" ref="D1393:E1393" si="908">"69348994231884"</f>
        <v>69348994231884</v>
      </c>
      <c r="E1393" s="169" t="str">
        <f t="shared" si="908"/>
        <v>69348994231884</v>
      </c>
      <c r="F1393" s="169" t="s">
        <v>18811</v>
      </c>
      <c r="G1393" s="169">
        <v>1.0</v>
      </c>
      <c r="H1393" s="169">
        <v>43538.0</v>
      </c>
      <c r="I1393" s="169">
        <v>43538.0</v>
      </c>
      <c r="J1393" s="169">
        <v>0.0</v>
      </c>
      <c r="K1393" s="169">
        <v>1.0</v>
      </c>
      <c r="L1393" s="169">
        <v>0.0</v>
      </c>
    </row>
    <row r="1394" ht="14.25" customHeight="1">
      <c r="A1394" s="169" t="s">
        <v>18558</v>
      </c>
      <c r="B1394" s="169" t="s">
        <v>18558</v>
      </c>
      <c r="C1394" s="169" t="s">
        <v>18588</v>
      </c>
      <c r="D1394" s="169" t="str">
        <f>"69349196922242"</f>
        <v>69349196922242</v>
      </c>
      <c r="E1394" s="169" t="str">
        <f>"MLLVIN11"</f>
        <v>MLLVIN11</v>
      </c>
      <c r="F1394" s="169" t="s">
        <v>18811</v>
      </c>
      <c r="G1394" s="169">
        <v>2.0</v>
      </c>
      <c r="H1394" s="169">
        <v>5591.0</v>
      </c>
      <c r="I1394" s="169">
        <v>11182.0</v>
      </c>
      <c r="J1394" s="169">
        <v>0.0</v>
      </c>
      <c r="K1394" s="169">
        <v>2.0</v>
      </c>
      <c r="L1394" s="169">
        <v>0.0</v>
      </c>
    </row>
    <row r="1395" ht="14.25" customHeight="1">
      <c r="A1395" s="169" t="s">
        <v>18814</v>
      </c>
      <c r="B1395" s="169" t="s">
        <v>18558</v>
      </c>
      <c r="C1395" s="169" t="s">
        <v>18586</v>
      </c>
      <c r="D1395" s="169" t="str">
        <f t="shared" ref="D1395:E1395" si="909">"68911626126569"</f>
        <v>68911626126569</v>
      </c>
      <c r="E1395" s="169" t="str">
        <f t="shared" si="909"/>
        <v>68911626126569</v>
      </c>
      <c r="F1395" s="169" t="s">
        <v>18811</v>
      </c>
      <c r="G1395" s="169">
        <v>2.0</v>
      </c>
      <c r="H1395" s="169">
        <v>461.0</v>
      </c>
      <c r="I1395" s="169">
        <v>922.0</v>
      </c>
      <c r="J1395" s="169">
        <v>0.0</v>
      </c>
      <c r="K1395" s="169">
        <v>2.0</v>
      </c>
      <c r="L1395" s="169">
        <v>0.0</v>
      </c>
    </row>
    <row r="1396" ht="14.25" customHeight="1">
      <c r="A1396" s="169" t="s">
        <v>18558</v>
      </c>
      <c r="B1396" s="169" t="s">
        <v>18558</v>
      </c>
      <c r="C1396" s="169" t="s">
        <v>18584</v>
      </c>
      <c r="D1396" s="169" t="str">
        <f t="shared" ref="D1396:E1396" si="910">"70197505407304"</f>
        <v>70197505407304</v>
      </c>
      <c r="E1396" s="169" t="str">
        <f t="shared" si="910"/>
        <v>70197505407304</v>
      </c>
      <c r="F1396" s="169" t="s">
        <v>18811</v>
      </c>
      <c r="G1396" s="169">
        <v>1.0</v>
      </c>
      <c r="H1396" s="169">
        <v>26843.0</v>
      </c>
      <c r="I1396" s="169">
        <v>26843.0</v>
      </c>
      <c r="J1396" s="169">
        <v>0.0</v>
      </c>
      <c r="K1396" s="169">
        <v>1.0</v>
      </c>
      <c r="L1396" s="169">
        <v>0.0</v>
      </c>
    </row>
    <row r="1397" ht="14.25" customHeight="1">
      <c r="A1397" s="169" t="s">
        <v>18814</v>
      </c>
      <c r="B1397" s="169" t="s">
        <v>18558</v>
      </c>
      <c r="C1397" s="169" t="s">
        <v>18583</v>
      </c>
      <c r="D1397" s="169" t="str">
        <f t="shared" ref="D1397:E1397" si="911">"MLLXR001"</f>
        <v>MLLXR001</v>
      </c>
      <c r="E1397" s="169" t="str">
        <f t="shared" si="911"/>
        <v>MLLXR001</v>
      </c>
      <c r="F1397" s="169" t="s">
        <v>18811</v>
      </c>
      <c r="G1397" s="169">
        <v>2.0</v>
      </c>
      <c r="H1397" s="169">
        <v>49309.0</v>
      </c>
      <c r="I1397" s="169">
        <v>98618.0</v>
      </c>
      <c r="J1397" s="169">
        <v>0.0</v>
      </c>
      <c r="K1397" s="169">
        <v>2.0</v>
      </c>
      <c r="L1397" s="169">
        <v>0.0</v>
      </c>
    </row>
    <row r="1398" ht="14.25" customHeight="1">
      <c r="A1398" s="169" t="s">
        <v>18558</v>
      </c>
      <c r="B1398" s="169" t="s">
        <v>18558</v>
      </c>
      <c r="C1398" s="169" t="s">
        <v>18581</v>
      </c>
      <c r="D1398" s="169" t="str">
        <f t="shared" ref="D1398:E1398" si="912">"69875994809889"</f>
        <v>69875994809889</v>
      </c>
      <c r="E1398" s="169" t="str">
        <f t="shared" si="912"/>
        <v>69875994809889</v>
      </c>
      <c r="F1398" s="169" t="s">
        <v>18811</v>
      </c>
      <c r="G1398" s="169">
        <v>1.0</v>
      </c>
      <c r="H1398" s="169">
        <v>16290.0</v>
      </c>
      <c r="I1398" s="169">
        <v>16290.0</v>
      </c>
      <c r="J1398" s="169">
        <v>0.0</v>
      </c>
      <c r="K1398" s="169">
        <v>1.0</v>
      </c>
      <c r="L1398" s="169">
        <v>0.0</v>
      </c>
    </row>
    <row r="1399" ht="14.25" customHeight="1">
      <c r="A1399" s="169" t="s">
        <v>18558</v>
      </c>
      <c r="B1399" s="169" t="s">
        <v>18558</v>
      </c>
      <c r="C1399" s="169" t="s">
        <v>18579</v>
      </c>
      <c r="D1399" s="169" t="str">
        <f t="shared" ref="D1399:E1399" si="913">"69875997006865"</f>
        <v>69875997006865</v>
      </c>
      <c r="E1399" s="169" t="str">
        <f t="shared" si="913"/>
        <v>69875997006865</v>
      </c>
      <c r="F1399" s="169" t="s">
        <v>18811</v>
      </c>
      <c r="G1399" s="169">
        <v>1.0</v>
      </c>
      <c r="H1399" s="169">
        <v>4127.0</v>
      </c>
      <c r="I1399" s="169">
        <v>4127.0</v>
      </c>
      <c r="J1399" s="169">
        <v>0.0</v>
      </c>
      <c r="K1399" s="169">
        <v>1.0</v>
      </c>
      <c r="L1399" s="169">
        <v>0.0</v>
      </c>
    </row>
    <row r="1400" ht="14.25" customHeight="1">
      <c r="A1400" s="169" t="s">
        <v>18814</v>
      </c>
      <c r="B1400" s="169" t="s">
        <v>18558</v>
      </c>
      <c r="C1400" s="169" t="s">
        <v>18577</v>
      </c>
      <c r="D1400" s="169" t="str">
        <f t="shared" ref="D1400:E1400" si="914">"68617984529773"</f>
        <v>68617984529773</v>
      </c>
      <c r="E1400" s="169" t="str">
        <f t="shared" si="914"/>
        <v>68617984529773</v>
      </c>
      <c r="F1400" s="169" t="s">
        <v>18811</v>
      </c>
      <c r="G1400" s="169">
        <v>4.0</v>
      </c>
      <c r="H1400" s="169">
        <v>2545.0</v>
      </c>
      <c r="I1400" s="169">
        <v>10180.0</v>
      </c>
      <c r="J1400" s="169">
        <v>0.0</v>
      </c>
      <c r="K1400" s="169">
        <v>4.0</v>
      </c>
      <c r="L1400" s="169">
        <v>0.0</v>
      </c>
    </row>
    <row r="1401" ht="14.25" customHeight="1">
      <c r="A1401" s="169" t="s">
        <v>18814</v>
      </c>
      <c r="B1401" s="169" t="s">
        <v>18558</v>
      </c>
      <c r="C1401" s="169" t="s">
        <v>18575</v>
      </c>
      <c r="D1401" s="169" t="str">
        <f t="shared" ref="D1401:E1401" si="915">"68617985384626"</f>
        <v>68617985384626</v>
      </c>
      <c r="E1401" s="169" t="str">
        <f t="shared" si="915"/>
        <v>68617985384626</v>
      </c>
      <c r="F1401" s="169" t="s">
        <v>18811</v>
      </c>
      <c r="G1401" s="169">
        <v>1.0</v>
      </c>
      <c r="H1401" s="169">
        <v>3394.0</v>
      </c>
      <c r="I1401" s="169">
        <v>3394.0</v>
      </c>
      <c r="J1401" s="169">
        <v>0.0</v>
      </c>
      <c r="K1401" s="169">
        <v>1.0</v>
      </c>
      <c r="L1401" s="169">
        <v>0.0</v>
      </c>
    </row>
    <row r="1402" ht="14.25" customHeight="1">
      <c r="A1402" s="169" t="s">
        <v>18814</v>
      </c>
      <c r="B1402" s="169" t="s">
        <v>18558</v>
      </c>
      <c r="C1402" s="169" t="s">
        <v>18573</v>
      </c>
      <c r="D1402" s="169" t="str">
        <f t="shared" ref="D1402:E1402" si="916">"68911622143156"</f>
        <v>68911622143156</v>
      </c>
      <c r="E1402" s="169" t="str">
        <f t="shared" si="916"/>
        <v>68911622143156</v>
      </c>
      <c r="F1402" s="169" t="s">
        <v>18811</v>
      </c>
      <c r="G1402" s="169">
        <v>1.0</v>
      </c>
      <c r="H1402" s="169">
        <v>3226.0</v>
      </c>
      <c r="I1402" s="169">
        <v>3226.0</v>
      </c>
      <c r="J1402" s="169">
        <v>0.0</v>
      </c>
      <c r="K1402" s="169">
        <v>1.0</v>
      </c>
      <c r="L1402" s="169">
        <v>0.0</v>
      </c>
    </row>
    <row r="1403" ht="14.25" customHeight="1">
      <c r="A1403" s="169" t="s">
        <v>18814</v>
      </c>
      <c r="B1403" s="169" t="s">
        <v>18558</v>
      </c>
      <c r="C1403" s="169" t="s">
        <v>18571</v>
      </c>
      <c r="D1403" s="169" t="str">
        <f t="shared" ref="D1403:E1403" si="917">"68911624368184"</f>
        <v>68911624368184</v>
      </c>
      <c r="E1403" s="169" t="str">
        <f t="shared" si="917"/>
        <v>68911624368184</v>
      </c>
      <c r="F1403" s="169" t="s">
        <v>18811</v>
      </c>
      <c r="G1403" s="169">
        <v>1.0</v>
      </c>
      <c r="H1403" s="169">
        <v>6175.0</v>
      </c>
      <c r="I1403" s="169">
        <v>6175.0</v>
      </c>
      <c r="J1403" s="169">
        <v>0.0</v>
      </c>
      <c r="K1403" s="169">
        <v>1.0</v>
      </c>
      <c r="L1403" s="169">
        <v>0.0</v>
      </c>
    </row>
    <row r="1404" ht="14.25" customHeight="1">
      <c r="A1404" s="169" t="s">
        <v>18814</v>
      </c>
      <c r="B1404" s="169" t="s">
        <v>18558</v>
      </c>
      <c r="C1404" s="169" t="s">
        <v>18569</v>
      </c>
      <c r="D1404" s="169" t="str">
        <f t="shared" ref="D1404:E1404" si="918">"68433359013019"</f>
        <v>68433359013019</v>
      </c>
      <c r="E1404" s="169" t="str">
        <f t="shared" si="918"/>
        <v>68433359013019</v>
      </c>
      <c r="F1404" s="169" t="s">
        <v>18811</v>
      </c>
      <c r="G1404" s="169">
        <v>1.0</v>
      </c>
      <c r="H1404" s="169">
        <v>6043.0</v>
      </c>
      <c r="I1404" s="169">
        <v>6043.0</v>
      </c>
      <c r="J1404" s="169">
        <v>0.0</v>
      </c>
      <c r="K1404" s="169">
        <v>1.0</v>
      </c>
      <c r="L1404" s="169">
        <v>0.0</v>
      </c>
    </row>
    <row r="1405" ht="14.25" customHeight="1">
      <c r="A1405" s="169" t="s">
        <v>18814</v>
      </c>
      <c r="B1405" s="169" t="s">
        <v>18558</v>
      </c>
      <c r="C1405" s="169" t="s">
        <v>18567</v>
      </c>
      <c r="D1405" s="169" t="str">
        <f t="shared" ref="D1405:E1405" si="919">"68433360148837"</f>
        <v>68433360148837</v>
      </c>
      <c r="E1405" s="169" t="str">
        <f t="shared" si="919"/>
        <v>68433360148837</v>
      </c>
      <c r="F1405" s="169" t="s">
        <v>18811</v>
      </c>
      <c r="G1405" s="169">
        <v>1.0</v>
      </c>
      <c r="H1405" s="169">
        <v>3021.0</v>
      </c>
      <c r="I1405" s="169">
        <v>3021.0</v>
      </c>
      <c r="J1405" s="169">
        <v>0.0</v>
      </c>
      <c r="K1405" s="169">
        <v>1.0</v>
      </c>
      <c r="L1405" s="169">
        <v>0.0</v>
      </c>
    </row>
    <row r="1406" ht="14.25" customHeight="1">
      <c r="A1406" s="169" t="s">
        <v>18814</v>
      </c>
      <c r="B1406" s="169" t="s">
        <v>18558</v>
      </c>
      <c r="C1406" s="169" t="s">
        <v>18565</v>
      </c>
      <c r="D1406" s="169" t="str">
        <f t="shared" ref="D1406:E1406" si="920">"68433340544078"</f>
        <v>68433340544078</v>
      </c>
      <c r="E1406" s="169" t="str">
        <f t="shared" si="920"/>
        <v>68433340544078</v>
      </c>
      <c r="F1406" s="169" t="s">
        <v>18811</v>
      </c>
      <c r="G1406" s="169">
        <v>1.0</v>
      </c>
      <c r="H1406" s="169">
        <v>16114.0</v>
      </c>
      <c r="I1406" s="169">
        <v>16114.0</v>
      </c>
      <c r="J1406" s="169">
        <v>0.0</v>
      </c>
      <c r="K1406" s="169">
        <v>1.0</v>
      </c>
      <c r="L1406" s="169">
        <v>0.0</v>
      </c>
    </row>
    <row r="1407" ht="14.25" customHeight="1">
      <c r="A1407" s="169" t="s">
        <v>18558</v>
      </c>
      <c r="B1407" s="169" t="s">
        <v>18558</v>
      </c>
      <c r="C1407" s="169" t="s">
        <v>18564</v>
      </c>
      <c r="D1407" s="169" t="str">
        <f>"69349185370418"</f>
        <v>69349185370418</v>
      </c>
      <c r="E1407" s="169" t="str">
        <f>"MLLPANT004"</f>
        <v>MLLPANT004</v>
      </c>
      <c r="F1407" s="169" t="s">
        <v>18811</v>
      </c>
      <c r="G1407" s="169">
        <v>3.0</v>
      </c>
      <c r="H1407" s="169">
        <v>2572.0</v>
      </c>
      <c r="I1407" s="169">
        <v>7716.0</v>
      </c>
      <c r="J1407" s="169">
        <v>0.0</v>
      </c>
      <c r="K1407" s="169">
        <v>3.0</v>
      </c>
      <c r="L1407" s="169">
        <v>0.0</v>
      </c>
    </row>
    <row r="1408" ht="14.25" customHeight="1">
      <c r="A1408" s="169" t="s">
        <v>18558</v>
      </c>
      <c r="B1408" s="169" t="s">
        <v>18558</v>
      </c>
      <c r="C1408" s="169" t="s">
        <v>18562</v>
      </c>
      <c r="D1408" s="169" t="str">
        <f t="shared" ref="D1408:E1408" si="921">"70921709583422"</f>
        <v>70921709583422</v>
      </c>
      <c r="E1408" s="169" t="str">
        <f t="shared" si="921"/>
        <v>70921709583422</v>
      </c>
      <c r="F1408" s="169" t="s">
        <v>18811</v>
      </c>
      <c r="G1408" s="169">
        <v>1.0</v>
      </c>
      <c r="H1408" s="169">
        <v>24721.0</v>
      </c>
      <c r="I1408" s="169">
        <v>24721.0</v>
      </c>
      <c r="J1408" s="169">
        <v>0.0</v>
      </c>
      <c r="K1408" s="169">
        <v>1.0</v>
      </c>
      <c r="L1408" s="169">
        <v>0.0</v>
      </c>
    </row>
    <row r="1409" ht="14.25" customHeight="1">
      <c r="A1409" s="169" t="s">
        <v>18558</v>
      </c>
      <c r="B1409" s="169" t="s">
        <v>18558</v>
      </c>
      <c r="C1409" s="169" t="s">
        <v>18561</v>
      </c>
      <c r="D1409" s="169" t="str">
        <f>"69349197812069"</f>
        <v>69349197812069</v>
      </c>
      <c r="E1409" s="169" t="str">
        <f>"MLLVIN12"</f>
        <v>MLLVIN12</v>
      </c>
      <c r="F1409" s="169" t="s">
        <v>18811</v>
      </c>
      <c r="G1409" s="169">
        <v>2.0</v>
      </c>
      <c r="H1409" s="169">
        <v>5591.0</v>
      </c>
      <c r="I1409" s="169">
        <v>11182.0</v>
      </c>
      <c r="J1409" s="169">
        <v>0.0</v>
      </c>
      <c r="K1409" s="169">
        <v>2.0</v>
      </c>
      <c r="L1409" s="169">
        <v>0.0</v>
      </c>
    </row>
    <row r="1410" ht="14.25" customHeight="1">
      <c r="A1410" s="169" t="s">
        <v>18814</v>
      </c>
      <c r="B1410" s="169" t="s">
        <v>18558</v>
      </c>
      <c r="C1410" s="169" t="s">
        <v>18559</v>
      </c>
      <c r="D1410" s="169" t="str">
        <f t="shared" ref="D1410:E1410" si="922">"68617986250710"</f>
        <v>68617986250710</v>
      </c>
      <c r="E1410" s="169" t="str">
        <f t="shared" si="922"/>
        <v>68617986250710</v>
      </c>
      <c r="F1410" s="169" t="s">
        <v>18811</v>
      </c>
      <c r="G1410" s="169">
        <v>1.0</v>
      </c>
      <c r="H1410" s="169">
        <v>6787.0</v>
      </c>
      <c r="I1410" s="169">
        <v>6787.0</v>
      </c>
      <c r="J1410" s="169">
        <v>0.0</v>
      </c>
      <c r="K1410" s="169">
        <v>1.0</v>
      </c>
      <c r="L1410" s="169">
        <v>0.0</v>
      </c>
    </row>
    <row r="1411" ht="14.25" customHeight="1">
      <c r="A1411" s="169" t="s">
        <v>18810</v>
      </c>
      <c r="B1411" s="169" t="s">
        <v>13400</v>
      </c>
      <c r="C1411" s="169" t="s">
        <v>18700</v>
      </c>
      <c r="D1411" s="169" t="str">
        <f t="shared" ref="D1411:E1411" si="923">"MGI2"</f>
        <v>MGI2</v>
      </c>
      <c r="E1411" s="169" t="str">
        <f t="shared" si="923"/>
        <v>MGI2</v>
      </c>
      <c r="F1411" s="169" t="s">
        <v>18811</v>
      </c>
      <c r="G1411" s="169">
        <v>3.0</v>
      </c>
      <c r="H1411" s="169">
        <v>9000.0</v>
      </c>
      <c r="I1411" s="169">
        <v>27000.0</v>
      </c>
      <c r="J1411" s="169">
        <v>0.0</v>
      </c>
      <c r="K1411" s="169">
        <v>3.0</v>
      </c>
      <c r="L1411" s="169">
        <v>0.0</v>
      </c>
    </row>
    <row r="1412" ht="14.25" customHeight="1">
      <c r="A1412" s="169" t="s">
        <v>18810</v>
      </c>
      <c r="B1412" s="169" t="s">
        <v>13400</v>
      </c>
      <c r="C1412" s="169" t="s">
        <v>18699</v>
      </c>
      <c r="D1412" s="169" t="str">
        <f t="shared" ref="D1412:E1412" si="924">"STEL1"</f>
        <v>STEL1</v>
      </c>
      <c r="E1412" s="169" t="str">
        <f t="shared" si="924"/>
        <v>STEL1</v>
      </c>
      <c r="F1412" s="169" t="s">
        <v>18811</v>
      </c>
      <c r="G1412" s="169">
        <v>2.0</v>
      </c>
      <c r="H1412" s="169">
        <v>13400.0</v>
      </c>
      <c r="I1412" s="169">
        <v>26800.0</v>
      </c>
      <c r="J1412" s="169">
        <v>0.0</v>
      </c>
      <c r="K1412" s="169">
        <v>2.0</v>
      </c>
      <c r="L1412" s="169">
        <v>0.0</v>
      </c>
    </row>
    <row r="1413" ht="14.25" customHeight="1">
      <c r="A1413" s="169" t="s">
        <v>18810</v>
      </c>
      <c r="B1413" s="169" t="s">
        <v>13400</v>
      </c>
      <c r="C1413" s="169" t="s">
        <v>18698</v>
      </c>
      <c r="D1413" s="169" t="str">
        <f t="shared" ref="D1413:E1413" si="925">"WIG1"</f>
        <v>WIG1</v>
      </c>
      <c r="E1413" s="169" t="str">
        <f t="shared" si="925"/>
        <v>WIG1</v>
      </c>
      <c r="F1413" s="169" t="s">
        <v>18811</v>
      </c>
      <c r="G1413" s="169">
        <v>4.0</v>
      </c>
      <c r="H1413" s="169">
        <v>10250.0</v>
      </c>
      <c r="I1413" s="169">
        <v>41000.0</v>
      </c>
      <c r="J1413" s="169">
        <v>0.0</v>
      </c>
      <c r="K1413" s="169">
        <v>4.0</v>
      </c>
      <c r="L1413" s="169">
        <v>0.0</v>
      </c>
    </row>
    <row r="1414" ht="14.25" customHeight="1">
      <c r="A1414" s="169" t="s">
        <v>18810</v>
      </c>
      <c r="B1414" s="169" t="s">
        <v>13400</v>
      </c>
      <c r="C1414" s="169" t="s">
        <v>18697</v>
      </c>
      <c r="D1414" s="169" t="str">
        <f t="shared" ref="D1414:E1414" si="926">"ZIP1"</f>
        <v>ZIP1</v>
      </c>
      <c r="E1414" s="169" t="str">
        <f t="shared" si="926"/>
        <v>ZIP1</v>
      </c>
      <c r="F1414" s="169" t="s">
        <v>18811</v>
      </c>
      <c r="G1414" s="169">
        <v>5.0</v>
      </c>
      <c r="H1414" s="169">
        <v>10250.0</v>
      </c>
      <c r="I1414" s="169">
        <v>51250.0</v>
      </c>
      <c r="J1414" s="169">
        <v>0.0</v>
      </c>
      <c r="K1414" s="169">
        <v>5.0</v>
      </c>
      <c r="L1414" s="169">
        <v>0.0</v>
      </c>
    </row>
    <row r="1415" ht="14.25" customHeight="1">
      <c r="A1415" s="169" t="s">
        <v>18714</v>
      </c>
      <c r="B1415" s="169" t="s">
        <v>11568</v>
      </c>
      <c r="C1415" s="170"/>
      <c r="D1415" s="169" t="str">
        <f t="shared" ref="D1415:E1415" si="927">"66915272060031"</f>
        <v>66915272060031</v>
      </c>
      <c r="E1415" s="169" t="str">
        <f t="shared" si="927"/>
        <v>66915272060031</v>
      </c>
      <c r="F1415" s="169" t="s">
        <v>18811</v>
      </c>
      <c r="G1415" s="169">
        <v>41.0</v>
      </c>
      <c r="H1415" s="169">
        <v>11585.0</v>
      </c>
      <c r="I1415" s="169">
        <v>474985.0</v>
      </c>
      <c r="J1415" s="169">
        <v>0.0</v>
      </c>
      <c r="K1415" s="169">
        <v>41.0</v>
      </c>
      <c r="L1415" s="169">
        <v>0.0</v>
      </c>
    </row>
    <row r="1416" ht="14.25" customHeight="1">
      <c r="A1416" s="169" t="s">
        <v>18810</v>
      </c>
      <c r="B1416" s="169" t="s">
        <v>13422</v>
      </c>
      <c r="C1416" s="169" t="s">
        <v>18362</v>
      </c>
      <c r="D1416" s="169" t="str">
        <f t="shared" ref="D1416:E1416" si="928">"60136"</f>
        <v>60136</v>
      </c>
      <c r="E1416" s="169" t="str">
        <f t="shared" si="928"/>
        <v>60136</v>
      </c>
      <c r="F1416" s="169" t="s">
        <v>18811</v>
      </c>
      <c r="G1416" s="169">
        <v>3.0</v>
      </c>
      <c r="H1416" s="169">
        <v>10800.0</v>
      </c>
      <c r="I1416" s="169">
        <v>32400.0</v>
      </c>
      <c r="J1416" s="169">
        <v>0.0</v>
      </c>
      <c r="K1416" s="169">
        <v>3.0</v>
      </c>
      <c r="L1416" s="169">
        <v>0.0</v>
      </c>
    </row>
    <row r="1417" ht="14.25" customHeight="1">
      <c r="A1417" s="169" t="s">
        <v>18810</v>
      </c>
      <c r="B1417" s="169" t="s">
        <v>13422</v>
      </c>
      <c r="C1417" s="169" t="s">
        <v>18360</v>
      </c>
      <c r="D1417" s="169" t="str">
        <f t="shared" ref="D1417:E1417" si="929">"64080"</f>
        <v>64080</v>
      </c>
      <c r="E1417" s="169" t="str">
        <f t="shared" si="929"/>
        <v>64080</v>
      </c>
      <c r="F1417" s="169" t="s">
        <v>18811</v>
      </c>
      <c r="G1417" s="169">
        <v>2.0</v>
      </c>
      <c r="H1417" s="169">
        <v>12000.0</v>
      </c>
      <c r="I1417" s="169">
        <v>24000.0</v>
      </c>
      <c r="J1417" s="169">
        <v>0.0</v>
      </c>
      <c r="K1417" s="169">
        <v>2.0</v>
      </c>
      <c r="L1417" s="169">
        <v>0.0</v>
      </c>
    </row>
    <row r="1418" ht="14.25" customHeight="1">
      <c r="A1418" s="169" t="s">
        <v>18810</v>
      </c>
      <c r="B1418" s="169" t="s">
        <v>13422</v>
      </c>
      <c r="C1418" s="169" t="s">
        <v>18358</v>
      </c>
      <c r="D1418" s="169" t="str">
        <f t="shared" ref="D1418:E1418" si="930">"70296"</f>
        <v>70296</v>
      </c>
      <c r="E1418" s="169" t="str">
        <f t="shared" si="930"/>
        <v>70296</v>
      </c>
      <c r="F1418" s="169" t="s">
        <v>18811</v>
      </c>
      <c r="G1418" s="169">
        <v>3.0</v>
      </c>
      <c r="H1418" s="169">
        <v>9000.0</v>
      </c>
      <c r="I1418" s="169">
        <v>27000.0</v>
      </c>
      <c r="J1418" s="169">
        <v>0.0</v>
      </c>
      <c r="K1418" s="169">
        <v>3.0</v>
      </c>
      <c r="L1418" s="169">
        <v>0.0</v>
      </c>
    </row>
    <row r="1419" ht="14.25" customHeight="1">
      <c r="A1419" s="169" t="s">
        <v>18810</v>
      </c>
      <c r="B1419" s="169" t="s">
        <v>13422</v>
      </c>
      <c r="C1419" s="169" t="s">
        <v>18356</v>
      </c>
      <c r="D1419" s="169" t="str">
        <f t="shared" ref="D1419:E1419" si="931">"67784"</f>
        <v>67784</v>
      </c>
      <c r="E1419" s="169" t="str">
        <f t="shared" si="931"/>
        <v>67784</v>
      </c>
      <c r="F1419" s="169" t="s">
        <v>18811</v>
      </c>
      <c r="G1419" s="169">
        <v>3.0</v>
      </c>
      <c r="H1419" s="169">
        <v>8500.0</v>
      </c>
      <c r="I1419" s="169">
        <v>25500.0</v>
      </c>
      <c r="J1419" s="169">
        <v>0.0</v>
      </c>
      <c r="K1419" s="169">
        <v>3.0</v>
      </c>
      <c r="L1419" s="169">
        <v>0.0</v>
      </c>
    </row>
    <row r="1420" ht="14.25" customHeight="1">
      <c r="A1420" s="169" t="s">
        <v>18810</v>
      </c>
      <c r="B1420" s="169" t="s">
        <v>13422</v>
      </c>
      <c r="C1420" s="169" t="s">
        <v>18354</v>
      </c>
      <c r="D1420" s="169" t="str">
        <f t="shared" ref="D1420:E1420" si="932">"70326"</f>
        <v>70326</v>
      </c>
      <c r="E1420" s="169" t="str">
        <f t="shared" si="932"/>
        <v>70326</v>
      </c>
      <c r="F1420" s="169" t="s">
        <v>18811</v>
      </c>
      <c r="G1420" s="169">
        <v>3.0</v>
      </c>
      <c r="H1420" s="169">
        <v>8500.0</v>
      </c>
      <c r="I1420" s="169">
        <v>25500.0</v>
      </c>
      <c r="J1420" s="169">
        <v>0.0</v>
      </c>
      <c r="K1420" s="169">
        <v>3.0</v>
      </c>
      <c r="L1420" s="169">
        <v>0.0</v>
      </c>
    </row>
    <row r="1421" ht="14.25" customHeight="1">
      <c r="A1421" s="169" t="s">
        <v>18810</v>
      </c>
      <c r="B1421" s="169" t="s">
        <v>13422</v>
      </c>
      <c r="C1421" s="169" t="s">
        <v>18352</v>
      </c>
      <c r="D1421" s="169" t="str">
        <f t="shared" ref="D1421:E1421" si="933">"72191"</f>
        <v>72191</v>
      </c>
      <c r="E1421" s="169" t="str">
        <f t="shared" si="933"/>
        <v>72191</v>
      </c>
      <c r="F1421" s="169" t="s">
        <v>18811</v>
      </c>
      <c r="G1421" s="169">
        <v>3.0</v>
      </c>
      <c r="H1421" s="169">
        <v>9000.0</v>
      </c>
      <c r="I1421" s="169">
        <v>27000.0</v>
      </c>
      <c r="J1421" s="169">
        <v>0.0</v>
      </c>
      <c r="K1421" s="169">
        <v>3.0</v>
      </c>
      <c r="L1421" s="169">
        <v>0.0</v>
      </c>
    </row>
    <row r="1422" ht="14.25" customHeight="1">
      <c r="A1422" s="169" t="s">
        <v>18810</v>
      </c>
      <c r="B1422" s="169" t="s">
        <v>13422</v>
      </c>
      <c r="C1422" s="169" t="s">
        <v>18350</v>
      </c>
      <c r="D1422" s="169" t="str">
        <f t="shared" ref="D1422:E1422" si="934">"70302"</f>
        <v>70302</v>
      </c>
      <c r="E1422" s="169" t="str">
        <f t="shared" si="934"/>
        <v>70302</v>
      </c>
      <c r="F1422" s="169" t="s">
        <v>18811</v>
      </c>
      <c r="G1422" s="169">
        <v>3.0</v>
      </c>
      <c r="H1422" s="169">
        <v>9000.0</v>
      </c>
      <c r="I1422" s="169">
        <v>27000.0</v>
      </c>
      <c r="J1422" s="169">
        <v>0.0</v>
      </c>
      <c r="K1422" s="169">
        <v>3.0</v>
      </c>
      <c r="L1422" s="169">
        <v>0.0</v>
      </c>
    </row>
    <row r="1423" ht="14.25" customHeight="1">
      <c r="A1423" s="169" t="s">
        <v>18810</v>
      </c>
      <c r="B1423" s="169" t="s">
        <v>13422</v>
      </c>
      <c r="C1423" s="169" t="s">
        <v>18348</v>
      </c>
      <c r="D1423" s="169" t="str">
        <f t="shared" ref="D1423:E1423" si="935">"36860"</f>
        <v>36860</v>
      </c>
      <c r="E1423" s="169" t="str">
        <f t="shared" si="935"/>
        <v>36860</v>
      </c>
      <c r="F1423" s="169" t="s">
        <v>18811</v>
      </c>
      <c r="G1423" s="169">
        <v>3.0</v>
      </c>
      <c r="H1423" s="169">
        <v>8750.0</v>
      </c>
      <c r="I1423" s="169">
        <v>26250.0</v>
      </c>
      <c r="J1423" s="169">
        <v>0.0</v>
      </c>
      <c r="K1423" s="169">
        <v>3.0</v>
      </c>
      <c r="L1423" s="169">
        <v>0.0</v>
      </c>
    </row>
    <row r="1424" ht="14.25" customHeight="1">
      <c r="A1424" s="169" t="s">
        <v>18810</v>
      </c>
      <c r="B1424" s="169" t="s">
        <v>13422</v>
      </c>
      <c r="C1424" s="169" t="s">
        <v>18346</v>
      </c>
      <c r="D1424" s="169" t="str">
        <f t="shared" ref="D1424:E1424" si="936">"57501"</f>
        <v>57501</v>
      </c>
      <c r="E1424" s="169" t="str">
        <f t="shared" si="936"/>
        <v>57501</v>
      </c>
      <c r="F1424" s="169" t="s">
        <v>18811</v>
      </c>
      <c r="G1424" s="169">
        <v>3.0</v>
      </c>
      <c r="H1424" s="169">
        <v>8750.0</v>
      </c>
      <c r="I1424" s="169">
        <v>26250.0</v>
      </c>
      <c r="J1424" s="169">
        <v>0.0</v>
      </c>
      <c r="K1424" s="169">
        <v>3.0</v>
      </c>
      <c r="L1424" s="169">
        <v>0.0</v>
      </c>
    </row>
    <row r="1425" ht="14.25" customHeight="1">
      <c r="A1425" s="169" t="s">
        <v>18810</v>
      </c>
      <c r="B1425" s="169" t="s">
        <v>13422</v>
      </c>
      <c r="C1425" s="169" t="s">
        <v>18344</v>
      </c>
      <c r="D1425" s="169" t="str">
        <f t="shared" ref="D1425:E1425" si="937">"62628"</f>
        <v>62628</v>
      </c>
      <c r="E1425" s="169" t="str">
        <f t="shared" si="937"/>
        <v>62628</v>
      </c>
      <c r="F1425" s="169" t="s">
        <v>18811</v>
      </c>
      <c r="G1425" s="169">
        <v>3.0</v>
      </c>
      <c r="H1425" s="169">
        <v>8750.0</v>
      </c>
      <c r="I1425" s="169">
        <v>26250.0</v>
      </c>
      <c r="J1425" s="169">
        <v>0.0</v>
      </c>
      <c r="K1425" s="169">
        <v>3.0</v>
      </c>
      <c r="L1425" s="169">
        <v>0.0</v>
      </c>
    </row>
    <row r="1426" ht="14.25" customHeight="1">
      <c r="A1426" s="169" t="s">
        <v>18810</v>
      </c>
      <c r="B1426" s="169" t="s">
        <v>13422</v>
      </c>
      <c r="C1426" s="169" t="s">
        <v>18342</v>
      </c>
      <c r="D1426" s="169" t="str">
        <f t="shared" ref="D1426:E1426" si="938">"59611"</f>
        <v>59611</v>
      </c>
      <c r="E1426" s="169" t="str">
        <f t="shared" si="938"/>
        <v>59611</v>
      </c>
      <c r="F1426" s="169" t="s">
        <v>18811</v>
      </c>
      <c r="G1426" s="169">
        <v>2.0</v>
      </c>
      <c r="H1426" s="169">
        <v>8750.0</v>
      </c>
      <c r="I1426" s="169">
        <v>17500.0</v>
      </c>
      <c r="J1426" s="169">
        <v>0.0</v>
      </c>
      <c r="K1426" s="169">
        <v>2.0</v>
      </c>
      <c r="L1426" s="169">
        <v>0.0</v>
      </c>
    </row>
    <row r="1427" ht="14.25" customHeight="1">
      <c r="A1427" s="169" t="s">
        <v>18810</v>
      </c>
      <c r="B1427" s="169" t="s">
        <v>13422</v>
      </c>
      <c r="C1427" s="169" t="s">
        <v>18340</v>
      </c>
      <c r="D1427" s="169" t="str">
        <f t="shared" ref="D1427:E1427" si="939">"57518"</f>
        <v>57518</v>
      </c>
      <c r="E1427" s="169" t="str">
        <f t="shared" si="939"/>
        <v>57518</v>
      </c>
      <c r="F1427" s="169" t="s">
        <v>18811</v>
      </c>
      <c r="G1427" s="169">
        <v>2.0</v>
      </c>
      <c r="H1427" s="169">
        <v>8750.0</v>
      </c>
      <c r="I1427" s="169">
        <v>17500.0</v>
      </c>
      <c r="J1427" s="169">
        <v>0.0</v>
      </c>
      <c r="K1427" s="169">
        <v>2.0</v>
      </c>
      <c r="L1427" s="169">
        <v>0.0</v>
      </c>
    </row>
    <row r="1428" ht="14.25" customHeight="1">
      <c r="A1428" s="169" t="s">
        <v>18810</v>
      </c>
      <c r="B1428" s="169" t="s">
        <v>13422</v>
      </c>
      <c r="C1428" s="169" t="s">
        <v>18338</v>
      </c>
      <c r="D1428" s="169" t="str">
        <f t="shared" ref="D1428:E1428" si="940">"68460"</f>
        <v>68460</v>
      </c>
      <c r="E1428" s="169" t="str">
        <f t="shared" si="940"/>
        <v>68460</v>
      </c>
      <c r="F1428" s="169" t="s">
        <v>18811</v>
      </c>
      <c r="G1428" s="169">
        <v>3.0</v>
      </c>
      <c r="H1428" s="169">
        <v>8750.0</v>
      </c>
      <c r="I1428" s="169">
        <v>26250.0</v>
      </c>
      <c r="J1428" s="169">
        <v>0.0</v>
      </c>
      <c r="K1428" s="169">
        <v>3.0</v>
      </c>
      <c r="L1428" s="169">
        <v>0.0</v>
      </c>
    </row>
    <row r="1429" ht="14.25" customHeight="1">
      <c r="A1429" s="169" t="s">
        <v>18810</v>
      </c>
      <c r="B1429" s="169" t="s">
        <v>13422</v>
      </c>
      <c r="C1429" s="169" t="s">
        <v>18336</v>
      </c>
      <c r="D1429" s="169" t="str">
        <f t="shared" ref="D1429:E1429" si="941">"53251"</f>
        <v>53251</v>
      </c>
      <c r="E1429" s="169" t="str">
        <f t="shared" si="941"/>
        <v>53251</v>
      </c>
      <c r="F1429" s="169" t="s">
        <v>18811</v>
      </c>
      <c r="G1429" s="169">
        <v>2.0</v>
      </c>
      <c r="H1429" s="169">
        <v>8750.0</v>
      </c>
      <c r="I1429" s="169">
        <v>17500.0</v>
      </c>
      <c r="J1429" s="169">
        <v>0.0</v>
      </c>
      <c r="K1429" s="169">
        <v>2.0</v>
      </c>
      <c r="L1429" s="169">
        <v>0.0</v>
      </c>
    </row>
    <row r="1430" ht="14.25" customHeight="1">
      <c r="A1430" s="169" t="s">
        <v>18810</v>
      </c>
      <c r="B1430" s="169" t="s">
        <v>13422</v>
      </c>
      <c r="C1430" s="169" t="s">
        <v>18334</v>
      </c>
      <c r="D1430" s="169" t="str">
        <f t="shared" ref="D1430:E1430" si="942">"62512"</f>
        <v>62512</v>
      </c>
      <c r="E1430" s="169" t="str">
        <f t="shared" si="942"/>
        <v>62512</v>
      </c>
      <c r="F1430" s="169" t="s">
        <v>18811</v>
      </c>
      <c r="G1430" s="169">
        <v>2.0</v>
      </c>
      <c r="H1430" s="169">
        <v>11200.0</v>
      </c>
      <c r="I1430" s="169">
        <v>22400.0</v>
      </c>
      <c r="J1430" s="169">
        <v>0.0</v>
      </c>
      <c r="K1430" s="169">
        <v>2.0</v>
      </c>
      <c r="L1430" s="169">
        <v>0.0</v>
      </c>
    </row>
    <row r="1431" ht="14.25" customHeight="1">
      <c r="A1431" s="169" t="s">
        <v>18810</v>
      </c>
      <c r="B1431" s="169" t="s">
        <v>13422</v>
      </c>
      <c r="C1431" s="169" t="s">
        <v>18332</v>
      </c>
      <c r="D1431" s="169" t="str">
        <f t="shared" ref="D1431:E1431" si="943">"62352"</f>
        <v>62352</v>
      </c>
      <c r="E1431" s="169" t="str">
        <f t="shared" si="943"/>
        <v>62352</v>
      </c>
      <c r="F1431" s="169" t="s">
        <v>18811</v>
      </c>
      <c r="G1431" s="169">
        <v>3.0</v>
      </c>
      <c r="H1431" s="169">
        <v>8750.0</v>
      </c>
      <c r="I1431" s="169">
        <v>26250.0</v>
      </c>
      <c r="J1431" s="169">
        <v>0.0</v>
      </c>
      <c r="K1431" s="169">
        <v>3.0</v>
      </c>
      <c r="L1431" s="169">
        <v>0.0</v>
      </c>
    </row>
    <row r="1432" ht="14.25" customHeight="1">
      <c r="A1432" s="169" t="s">
        <v>18810</v>
      </c>
      <c r="B1432" s="169" t="s">
        <v>13422</v>
      </c>
      <c r="C1432" s="169" t="s">
        <v>18330</v>
      </c>
      <c r="D1432" s="169" t="str">
        <f t="shared" ref="D1432:E1432" si="944">"49063"</f>
        <v>49063</v>
      </c>
      <c r="E1432" s="169" t="str">
        <f t="shared" si="944"/>
        <v>49063</v>
      </c>
      <c r="F1432" s="169" t="s">
        <v>18811</v>
      </c>
      <c r="G1432" s="169">
        <v>3.0</v>
      </c>
      <c r="H1432" s="169">
        <v>8750.0</v>
      </c>
      <c r="I1432" s="169">
        <v>26250.0</v>
      </c>
      <c r="J1432" s="169">
        <v>0.0</v>
      </c>
      <c r="K1432" s="169">
        <v>3.0</v>
      </c>
      <c r="L1432" s="169">
        <v>0.0</v>
      </c>
    </row>
    <row r="1433" ht="14.25" customHeight="1">
      <c r="A1433" s="169" t="s">
        <v>18810</v>
      </c>
      <c r="B1433" s="169" t="s">
        <v>13422</v>
      </c>
      <c r="C1433" s="169" t="s">
        <v>18328</v>
      </c>
      <c r="D1433" s="169" t="str">
        <f t="shared" ref="D1433:E1433" si="945">"49070"</f>
        <v>49070</v>
      </c>
      <c r="E1433" s="169" t="str">
        <f t="shared" si="945"/>
        <v>49070</v>
      </c>
      <c r="F1433" s="169" t="s">
        <v>18811</v>
      </c>
      <c r="G1433" s="169">
        <v>3.0</v>
      </c>
      <c r="H1433" s="169">
        <v>8750.0</v>
      </c>
      <c r="I1433" s="169">
        <v>26250.0</v>
      </c>
      <c r="J1433" s="169">
        <v>0.0</v>
      </c>
      <c r="K1433" s="169">
        <v>3.0</v>
      </c>
      <c r="L1433" s="169">
        <v>0.0</v>
      </c>
    </row>
    <row r="1434" ht="14.25" customHeight="1">
      <c r="A1434" s="169" t="s">
        <v>18810</v>
      </c>
      <c r="B1434" s="169" t="s">
        <v>13422</v>
      </c>
      <c r="C1434" s="169" t="s">
        <v>18326</v>
      </c>
      <c r="D1434" s="169" t="str">
        <f t="shared" ref="D1434:E1434" si="946">"45720"</f>
        <v>45720</v>
      </c>
      <c r="E1434" s="169" t="str">
        <f t="shared" si="946"/>
        <v>45720</v>
      </c>
      <c r="F1434" s="169" t="s">
        <v>18811</v>
      </c>
      <c r="G1434" s="169">
        <v>3.0</v>
      </c>
      <c r="H1434" s="169">
        <v>6650.0</v>
      </c>
      <c r="I1434" s="169">
        <v>19950.0</v>
      </c>
      <c r="J1434" s="169">
        <v>0.0</v>
      </c>
      <c r="K1434" s="169">
        <v>3.0</v>
      </c>
      <c r="L1434" s="169">
        <v>0.0</v>
      </c>
    </row>
    <row r="1435" ht="14.25" customHeight="1">
      <c r="A1435" s="169" t="s">
        <v>18810</v>
      </c>
      <c r="B1435" s="169" t="s">
        <v>13422</v>
      </c>
      <c r="C1435" s="169" t="s">
        <v>18324</v>
      </c>
      <c r="D1435" s="169" t="str">
        <f t="shared" ref="D1435:E1435" si="947">"57303"</f>
        <v>57303</v>
      </c>
      <c r="E1435" s="169" t="str">
        <f t="shared" si="947"/>
        <v>57303</v>
      </c>
      <c r="F1435" s="169" t="s">
        <v>18811</v>
      </c>
      <c r="G1435" s="169">
        <v>2.0</v>
      </c>
      <c r="H1435" s="169">
        <v>6650.0</v>
      </c>
      <c r="I1435" s="169">
        <v>13300.0</v>
      </c>
      <c r="J1435" s="169">
        <v>0.0</v>
      </c>
      <c r="K1435" s="169">
        <v>2.0</v>
      </c>
      <c r="L1435" s="169">
        <v>0.0</v>
      </c>
    </row>
    <row r="1436" ht="14.25" customHeight="1">
      <c r="A1436" s="169" t="s">
        <v>18810</v>
      </c>
      <c r="B1436" s="169" t="s">
        <v>13422</v>
      </c>
      <c r="C1436" s="169" t="s">
        <v>18322</v>
      </c>
      <c r="D1436" s="169" t="str">
        <f t="shared" ref="D1436:E1436" si="948">"63731"</f>
        <v>63731</v>
      </c>
      <c r="E1436" s="169" t="str">
        <f t="shared" si="948"/>
        <v>63731</v>
      </c>
      <c r="F1436" s="169" t="s">
        <v>18811</v>
      </c>
      <c r="G1436" s="169">
        <v>2.0</v>
      </c>
      <c r="H1436" s="169">
        <v>9000.0</v>
      </c>
      <c r="I1436" s="169">
        <v>18000.0</v>
      </c>
      <c r="J1436" s="169">
        <v>0.0</v>
      </c>
      <c r="K1436" s="169">
        <v>2.0</v>
      </c>
      <c r="L1436" s="169">
        <v>0.0</v>
      </c>
    </row>
    <row r="1437" ht="14.25" customHeight="1">
      <c r="A1437" s="169" t="s">
        <v>18810</v>
      </c>
      <c r="B1437" s="169" t="s">
        <v>13422</v>
      </c>
      <c r="C1437" s="169" t="s">
        <v>18320</v>
      </c>
      <c r="D1437" s="169" t="str">
        <f t="shared" ref="D1437:E1437" si="949">"60464"</f>
        <v>60464</v>
      </c>
      <c r="E1437" s="169" t="str">
        <f t="shared" si="949"/>
        <v>60464</v>
      </c>
      <c r="F1437" s="169" t="s">
        <v>18811</v>
      </c>
      <c r="G1437" s="169">
        <v>3.0</v>
      </c>
      <c r="H1437" s="169">
        <v>9000.0</v>
      </c>
      <c r="I1437" s="169">
        <v>27000.0</v>
      </c>
      <c r="J1437" s="169">
        <v>0.0</v>
      </c>
      <c r="K1437" s="169">
        <v>3.0</v>
      </c>
      <c r="L1437" s="169">
        <v>0.0</v>
      </c>
    </row>
    <row r="1438" ht="14.25" customHeight="1">
      <c r="A1438" s="169" t="s">
        <v>18810</v>
      </c>
      <c r="B1438" s="169" t="s">
        <v>13422</v>
      </c>
      <c r="C1438" s="169" t="s">
        <v>18318</v>
      </c>
      <c r="D1438" s="169" t="str">
        <f t="shared" ref="D1438:E1438" si="950">"60730"</f>
        <v>60730</v>
      </c>
      <c r="E1438" s="169" t="str">
        <f t="shared" si="950"/>
        <v>60730</v>
      </c>
      <c r="F1438" s="169" t="s">
        <v>18811</v>
      </c>
      <c r="G1438" s="169">
        <v>2.0</v>
      </c>
      <c r="H1438" s="169">
        <v>9000.0</v>
      </c>
      <c r="I1438" s="169">
        <v>18000.0</v>
      </c>
      <c r="J1438" s="169">
        <v>0.0</v>
      </c>
      <c r="K1438" s="169">
        <v>2.0</v>
      </c>
      <c r="L1438" s="169">
        <v>0.0</v>
      </c>
    </row>
    <row r="1439" ht="14.25" customHeight="1">
      <c r="A1439" s="169" t="s">
        <v>18810</v>
      </c>
      <c r="B1439" s="169" t="s">
        <v>13422</v>
      </c>
      <c r="C1439" s="169" t="s">
        <v>18316</v>
      </c>
      <c r="D1439" s="169" t="str">
        <f t="shared" ref="D1439:E1439" si="951">"57297"</f>
        <v>57297</v>
      </c>
      <c r="E1439" s="169" t="str">
        <f t="shared" si="951"/>
        <v>57297</v>
      </c>
      <c r="F1439" s="169" t="s">
        <v>18811</v>
      </c>
      <c r="G1439" s="169">
        <v>3.0</v>
      </c>
      <c r="H1439" s="169">
        <v>6650.0</v>
      </c>
      <c r="I1439" s="169">
        <v>19950.0</v>
      </c>
      <c r="J1439" s="169">
        <v>0.0</v>
      </c>
      <c r="K1439" s="169">
        <v>3.0</v>
      </c>
      <c r="L1439" s="169">
        <v>0.0</v>
      </c>
    </row>
    <row r="1440" ht="14.25" customHeight="1">
      <c r="A1440" s="169" t="s">
        <v>18810</v>
      </c>
      <c r="B1440" s="169" t="s">
        <v>13422</v>
      </c>
      <c r="C1440" s="169" t="s">
        <v>18314</v>
      </c>
      <c r="D1440" s="169" t="str">
        <f t="shared" ref="D1440:E1440" si="952">"45744"</f>
        <v>45744</v>
      </c>
      <c r="E1440" s="169" t="str">
        <f t="shared" si="952"/>
        <v>45744</v>
      </c>
      <c r="F1440" s="169" t="s">
        <v>18811</v>
      </c>
      <c r="G1440" s="169">
        <v>2.0</v>
      </c>
      <c r="H1440" s="169">
        <v>6650.0</v>
      </c>
      <c r="I1440" s="169">
        <v>13300.0</v>
      </c>
      <c r="J1440" s="169">
        <v>0.0</v>
      </c>
      <c r="K1440" s="169">
        <v>2.0</v>
      </c>
      <c r="L1440" s="169">
        <v>0.0</v>
      </c>
    </row>
    <row r="1441" ht="14.25" customHeight="1">
      <c r="A1441" s="169" t="s">
        <v>18810</v>
      </c>
      <c r="B1441" s="169" t="s">
        <v>13422</v>
      </c>
      <c r="C1441" s="169" t="s">
        <v>18312</v>
      </c>
      <c r="D1441" s="169" t="str">
        <f t="shared" ref="D1441:E1441" si="953">"47465"</f>
        <v>47465</v>
      </c>
      <c r="E1441" s="169" t="str">
        <f t="shared" si="953"/>
        <v>47465</v>
      </c>
      <c r="F1441" s="169" t="s">
        <v>18811</v>
      </c>
      <c r="G1441" s="169">
        <v>6.0</v>
      </c>
      <c r="H1441" s="169">
        <v>6650.0</v>
      </c>
      <c r="I1441" s="169">
        <v>39900.0</v>
      </c>
      <c r="J1441" s="169">
        <v>0.0</v>
      </c>
      <c r="K1441" s="169">
        <v>6.0</v>
      </c>
      <c r="L1441" s="169">
        <v>0.0</v>
      </c>
    </row>
    <row r="1442" ht="14.25" customHeight="1">
      <c r="A1442" s="169" t="s">
        <v>18810</v>
      </c>
      <c r="B1442" s="169" t="s">
        <v>13422</v>
      </c>
      <c r="C1442" s="169" t="s">
        <v>18310</v>
      </c>
      <c r="D1442" s="169" t="str">
        <f t="shared" ref="D1442:E1442" si="954">"49360"</f>
        <v>49360</v>
      </c>
      <c r="E1442" s="169" t="str">
        <f t="shared" si="954"/>
        <v>49360</v>
      </c>
      <c r="F1442" s="169" t="s">
        <v>18811</v>
      </c>
      <c r="G1442" s="169">
        <v>2.0</v>
      </c>
      <c r="H1442" s="169">
        <v>6400.0</v>
      </c>
      <c r="I1442" s="169">
        <v>12800.0</v>
      </c>
      <c r="J1442" s="169">
        <v>0.0</v>
      </c>
      <c r="K1442" s="169">
        <v>2.0</v>
      </c>
      <c r="L1442" s="169">
        <v>0.0</v>
      </c>
    </row>
    <row r="1443" ht="14.25" customHeight="1">
      <c r="A1443" s="169" t="s">
        <v>18810</v>
      </c>
      <c r="B1443" s="169" t="s">
        <v>13422</v>
      </c>
      <c r="C1443" s="169" t="s">
        <v>18308</v>
      </c>
      <c r="D1443" s="169" t="str">
        <f t="shared" ref="D1443:E1443" si="955">"39279"</f>
        <v>39279</v>
      </c>
      <c r="E1443" s="169" t="str">
        <f t="shared" si="955"/>
        <v>39279</v>
      </c>
      <c r="F1443" s="169" t="s">
        <v>18811</v>
      </c>
      <c r="G1443" s="169">
        <v>2.0</v>
      </c>
      <c r="H1443" s="169">
        <v>6400.0</v>
      </c>
      <c r="I1443" s="169">
        <v>12800.0</v>
      </c>
      <c r="J1443" s="169">
        <v>0.0</v>
      </c>
      <c r="K1443" s="169">
        <v>2.0</v>
      </c>
      <c r="L1443" s="169">
        <v>0.0</v>
      </c>
    </row>
    <row r="1444" ht="14.25" customHeight="1">
      <c r="A1444" s="169" t="s">
        <v>18810</v>
      </c>
      <c r="B1444" s="169" t="s">
        <v>13422</v>
      </c>
      <c r="C1444" s="169" t="s">
        <v>18306</v>
      </c>
      <c r="D1444" s="169" t="str">
        <f t="shared" ref="D1444:E1444" si="956">"31129"</f>
        <v>31129</v>
      </c>
      <c r="E1444" s="169" t="str">
        <f t="shared" si="956"/>
        <v>31129</v>
      </c>
      <c r="F1444" s="169" t="s">
        <v>18811</v>
      </c>
      <c r="G1444" s="169">
        <v>2.0</v>
      </c>
      <c r="H1444" s="169">
        <v>6400.0</v>
      </c>
      <c r="I1444" s="169">
        <v>12800.0</v>
      </c>
      <c r="J1444" s="169">
        <v>0.0</v>
      </c>
      <c r="K1444" s="169">
        <v>2.0</v>
      </c>
      <c r="L1444" s="169">
        <v>0.0</v>
      </c>
    </row>
    <row r="1445" ht="14.25" customHeight="1">
      <c r="A1445" s="169" t="s">
        <v>18810</v>
      </c>
      <c r="B1445" s="169" t="s">
        <v>13422</v>
      </c>
      <c r="C1445" s="169" t="s">
        <v>18304</v>
      </c>
      <c r="D1445" s="169" t="str">
        <f t="shared" ref="D1445:E1445" si="957">"45935"</f>
        <v>45935</v>
      </c>
      <c r="E1445" s="169" t="str">
        <f t="shared" si="957"/>
        <v>45935</v>
      </c>
      <c r="F1445" s="169" t="s">
        <v>18811</v>
      </c>
      <c r="G1445" s="169">
        <v>2.0</v>
      </c>
      <c r="H1445" s="169">
        <v>7200.0</v>
      </c>
      <c r="I1445" s="169">
        <v>14400.0</v>
      </c>
      <c r="J1445" s="169">
        <v>0.0</v>
      </c>
      <c r="K1445" s="169">
        <v>2.0</v>
      </c>
      <c r="L1445" s="169">
        <v>0.0</v>
      </c>
    </row>
    <row r="1446" ht="14.25" customHeight="1">
      <c r="A1446" s="169" t="s">
        <v>18810</v>
      </c>
      <c r="B1446" s="169" t="s">
        <v>13422</v>
      </c>
      <c r="C1446" s="169" t="s">
        <v>18302</v>
      </c>
      <c r="D1446" s="169" t="str">
        <f t="shared" ref="D1446:E1446" si="958">"52063"</f>
        <v>52063</v>
      </c>
      <c r="E1446" s="169" t="str">
        <f t="shared" si="958"/>
        <v>52063</v>
      </c>
      <c r="F1446" s="169" t="s">
        <v>18811</v>
      </c>
      <c r="G1446" s="169">
        <v>2.0</v>
      </c>
      <c r="H1446" s="169">
        <v>6400.0</v>
      </c>
      <c r="I1446" s="169">
        <v>12800.0</v>
      </c>
      <c r="J1446" s="169">
        <v>0.0</v>
      </c>
      <c r="K1446" s="169">
        <v>2.0</v>
      </c>
      <c r="L1446" s="169">
        <v>0.0</v>
      </c>
    </row>
    <row r="1447" ht="14.25" customHeight="1">
      <c r="A1447" s="169" t="s">
        <v>18810</v>
      </c>
      <c r="B1447" s="169" t="s">
        <v>13422</v>
      </c>
      <c r="C1447" s="169" t="s">
        <v>18300</v>
      </c>
      <c r="D1447" s="169" t="str">
        <f t="shared" ref="D1447:E1447" si="959">"52056"</f>
        <v>52056</v>
      </c>
      <c r="E1447" s="169" t="str">
        <f t="shared" si="959"/>
        <v>52056</v>
      </c>
      <c r="F1447" s="169" t="s">
        <v>18811</v>
      </c>
      <c r="G1447" s="169">
        <v>2.0</v>
      </c>
      <c r="H1447" s="169">
        <v>6400.0</v>
      </c>
      <c r="I1447" s="169">
        <v>12800.0</v>
      </c>
      <c r="J1447" s="169">
        <v>0.0</v>
      </c>
      <c r="K1447" s="169">
        <v>2.0</v>
      </c>
      <c r="L1447" s="169">
        <v>0.0</v>
      </c>
    </row>
    <row r="1448" ht="14.25" customHeight="1">
      <c r="A1448" s="169" t="s">
        <v>18810</v>
      </c>
      <c r="B1448" s="169" t="s">
        <v>13422</v>
      </c>
      <c r="C1448" s="169" t="s">
        <v>18298</v>
      </c>
      <c r="D1448" s="169" t="str">
        <f t="shared" ref="D1448:E1448" si="960">"63724"</f>
        <v>63724</v>
      </c>
      <c r="E1448" s="169" t="str">
        <f t="shared" si="960"/>
        <v>63724</v>
      </c>
      <c r="F1448" s="169" t="s">
        <v>18811</v>
      </c>
      <c r="G1448" s="169">
        <v>2.0</v>
      </c>
      <c r="H1448" s="169">
        <v>9000.0</v>
      </c>
      <c r="I1448" s="169">
        <v>18000.0</v>
      </c>
      <c r="J1448" s="169">
        <v>0.0</v>
      </c>
      <c r="K1448" s="169">
        <v>2.0</v>
      </c>
      <c r="L1448" s="169">
        <v>0.0</v>
      </c>
    </row>
    <row r="1449" ht="14.25" customHeight="1">
      <c r="A1449" s="169" t="s">
        <v>18810</v>
      </c>
      <c r="B1449" s="169" t="s">
        <v>13422</v>
      </c>
      <c r="C1449" s="169" t="s">
        <v>18296</v>
      </c>
      <c r="D1449" s="169" t="str">
        <f t="shared" ref="D1449:E1449" si="961">"57280"</f>
        <v>57280</v>
      </c>
      <c r="E1449" s="169" t="str">
        <f t="shared" si="961"/>
        <v>57280</v>
      </c>
      <c r="F1449" s="169" t="s">
        <v>18811</v>
      </c>
      <c r="G1449" s="169">
        <v>2.0</v>
      </c>
      <c r="H1449" s="169">
        <v>9000.0</v>
      </c>
      <c r="I1449" s="169">
        <v>18000.0</v>
      </c>
      <c r="J1449" s="169">
        <v>0.0</v>
      </c>
      <c r="K1449" s="169">
        <v>2.0</v>
      </c>
      <c r="L1449" s="169">
        <v>0.0</v>
      </c>
    </row>
    <row r="1450" ht="14.25" customHeight="1">
      <c r="A1450" s="169" t="s">
        <v>18810</v>
      </c>
      <c r="B1450" s="169" t="s">
        <v>13422</v>
      </c>
      <c r="C1450" s="169" t="s">
        <v>18294</v>
      </c>
      <c r="D1450" s="169" t="str">
        <f t="shared" ref="D1450:E1450" si="962">"63717"</f>
        <v>63717</v>
      </c>
      <c r="E1450" s="169" t="str">
        <f t="shared" si="962"/>
        <v>63717</v>
      </c>
      <c r="F1450" s="169" t="s">
        <v>18811</v>
      </c>
      <c r="G1450" s="169">
        <v>3.0</v>
      </c>
      <c r="H1450" s="169">
        <v>9000.0</v>
      </c>
      <c r="I1450" s="169">
        <v>27000.0</v>
      </c>
      <c r="J1450" s="169">
        <v>0.0</v>
      </c>
      <c r="K1450" s="169">
        <v>3.0</v>
      </c>
      <c r="L1450" s="169">
        <v>0.0</v>
      </c>
    </row>
    <row r="1451" ht="14.25" customHeight="1">
      <c r="A1451" s="169" t="s">
        <v>18810</v>
      </c>
      <c r="B1451" s="169" t="s">
        <v>13422</v>
      </c>
      <c r="C1451" s="169" t="s">
        <v>18292</v>
      </c>
      <c r="D1451" s="169" t="str">
        <f t="shared" ref="D1451:E1451" si="963">"57273"</f>
        <v>57273</v>
      </c>
      <c r="E1451" s="169" t="str">
        <f t="shared" si="963"/>
        <v>57273</v>
      </c>
      <c r="F1451" s="169" t="s">
        <v>18811</v>
      </c>
      <c r="G1451" s="169">
        <v>3.0</v>
      </c>
      <c r="H1451" s="169">
        <v>9000.0</v>
      </c>
      <c r="I1451" s="169">
        <v>27000.0</v>
      </c>
      <c r="J1451" s="169">
        <v>0.0</v>
      </c>
      <c r="K1451" s="169">
        <v>3.0</v>
      </c>
      <c r="L1451" s="169">
        <v>0.0</v>
      </c>
    </row>
    <row r="1452" ht="14.25" customHeight="1">
      <c r="A1452" s="169" t="s">
        <v>18810</v>
      </c>
      <c r="B1452" s="169" t="s">
        <v>13422</v>
      </c>
      <c r="C1452" s="169" t="s">
        <v>18290</v>
      </c>
      <c r="D1452" s="169" t="str">
        <f t="shared" ref="D1452:E1452" si="964">"66633"</f>
        <v>66633</v>
      </c>
      <c r="E1452" s="169" t="str">
        <f t="shared" si="964"/>
        <v>66633</v>
      </c>
      <c r="F1452" s="169" t="s">
        <v>18811</v>
      </c>
      <c r="G1452" s="169">
        <v>1.0</v>
      </c>
      <c r="H1452" s="169">
        <v>9000.0</v>
      </c>
      <c r="I1452" s="169">
        <v>9000.0</v>
      </c>
      <c r="J1452" s="169">
        <v>0.0</v>
      </c>
      <c r="K1452" s="169">
        <v>1.0</v>
      </c>
      <c r="L1452" s="169">
        <v>0.0</v>
      </c>
    </row>
    <row r="1453" ht="14.25" customHeight="1">
      <c r="A1453" s="169" t="s">
        <v>18810</v>
      </c>
      <c r="B1453" s="169" t="s">
        <v>13422</v>
      </c>
      <c r="C1453" s="169" t="s">
        <v>18288</v>
      </c>
      <c r="D1453" s="169" t="str">
        <f t="shared" ref="D1453:E1453" si="965">"57266"</f>
        <v>57266</v>
      </c>
      <c r="E1453" s="169" t="str">
        <f t="shared" si="965"/>
        <v>57266</v>
      </c>
      <c r="F1453" s="169" t="s">
        <v>18811</v>
      </c>
      <c r="G1453" s="169">
        <v>3.0</v>
      </c>
      <c r="H1453" s="169">
        <v>9000.0</v>
      </c>
      <c r="I1453" s="169">
        <v>27000.0</v>
      </c>
      <c r="J1453" s="169">
        <v>0.0</v>
      </c>
      <c r="K1453" s="169">
        <v>3.0</v>
      </c>
      <c r="L1453" s="169">
        <v>0.0</v>
      </c>
    </row>
    <row r="1454" ht="14.25" customHeight="1">
      <c r="A1454" s="169" t="s">
        <v>18810</v>
      </c>
      <c r="B1454" s="169" t="s">
        <v>13422</v>
      </c>
      <c r="C1454" s="169" t="s">
        <v>18286</v>
      </c>
      <c r="D1454" s="169" t="str">
        <f t="shared" ref="D1454:E1454" si="966">"67142"</f>
        <v>67142</v>
      </c>
      <c r="E1454" s="169" t="str">
        <f t="shared" si="966"/>
        <v>67142</v>
      </c>
      <c r="F1454" s="169" t="s">
        <v>18811</v>
      </c>
      <c r="G1454" s="169">
        <v>3.0</v>
      </c>
      <c r="H1454" s="169">
        <v>7650.0</v>
      </c>
      <c r="I1454" s="169">
        <v>22950.0</v>
      </c>
      <c r="J1454" s="169">
        <v>0.0</v>
      </c>
      <c r="K1454" s="169">
        <v>3.0</v>
      </c>
      <c r="L1454" s="169">
        <v>0.0</v>
      </c>
    </row>
    <row r="1455" ht="14.25" customHeight="1">
      <c r="A1455" s="169" t="s">
        <v>18810</v>
      </c>
      <c r="B1455" s="169" t="s">
        <v>13422</v>
      </c>
      <c r="C1455" s="169" t="s">
        <v>18284</v>
      </c>
      <c r="D1455" s="169" t="str">
        <f t="shared" ref="D1455:E1455" si="967">"67135"</f>
        <v>67135</v>
      </c>
      <c r="E1455" s="169" t="str">
        <f t="shared" si="967"/>
        <v>67135</v>
      </c>
      <c r="F1455" s="169" t="s">
        <v>18811</v>
      </c>
      <c r="G1455" s="169">
        <v>3.0</v>
      </c>
      <c r="H1455" s="169">
        <v>7650.0</v>
      </c>
      <c r="I1455" s="169">
        <v>22950.0</v>
      </c>
      <c r="J1455" s="169">
        <v>0.0</v>
      </c>
      <c r="K1455" s="169">
        <v>3.0</v>
      </c>
      <c r="L1455" s="169">
        <v>0.0</v>
      </c>
    </row>
    <row r="1456" ht="14.25" customHeight="1">
      <c r="A1456" s="169" t="s">
        <v>18810</v>
      </c>
      <c r="B1456" s="169" t="s">
        <v>13422</v>
      </c>
      <c r="C1456" s="169" t="s">
        <v>18282</v>
      </c>
      <c r="D1456" s="169" t="str">
        <f t="shared" ref="D1456:E1456" si="968">"56948"</f>
        <v>56948</v>
      </c>
      <c r="E1456" s="169" t="str">
        <f t="shared" si="968"/>
        <v>56948</v>
      </c>
      <c r="F1456" s="169" t="s">
        <v>18811</v>
      </c>
      <c r="G1456" s="169">
        <v>3.0</v>
      </c>
      <c r="H1456" s="169">
        <v>7983.3</v>
      </c>
      <c r="I1456" s="169">
        <v>23950.0</v>
      </c>
      <c r="J1456" s="169">
        <v>0.0</v>
      </c>
      <c r="K1456" s="169">
        <v>3.0</v>
      </c>
      <c r="L1456" s="169">
        <v>0.0</v>
      </c>
    </row>
    <row r="1457" ht="14.25" customHeight="1">
      <c r="A1457" s="169" t="s">
        <v>18810</v>
      </c>
      <c r="B1457" s="169" t="s">
        <v>13422</v>
      </c>
      <c r="C1457" s="169" t="s">
        <v>18280</v>
      </c>
      <c r="D1457" s="169" t="str">
        <f t="shared" ref="D1457:E1457" si="969">"57556"</f>
        <v>57556</v>
      </c>
      <c r="E1457" s="169" t="str">
        <f t="shared" si="969"/>
        <v>57556</v>
      </c>
      <c r="F1457" s="169" t="s">
        <v>18811</v>
      </c>
      <c r="G1457" s="169">
        <v>3.0</v>
      </c>
      <c r="H1457" s="169">
        <v>8350.0</v>
      </c>
      <c r="I1457" s="169">
        <v>25050.0</v>
      </c>
      <c r="J1457" s="169">
        <v>0.0</v>
      </c>
      <c r="K1457" s="169">
        <v>3.0</v>
      </c>
      <c r="L1457" s="169">
        <v>0.0</v>
      </c>
    </row>
    <row r="1458" ht="14.25" customHeight="1">
      <c r="A1458" s="169" t="s">
        <v>18810</v>
      </c>
      <c r="B1458" s="169" t="s">
        <v>13422</v>
      </c>
      <c r="C1458" s="169" t="s">
        <v>18278</v>
      </c>
      <c r="D1458" s="169" t="str">
        <f t="shared" ref="D1458:E1458" si="970">"57563"</f>
        <v>57563</v>
      </c>
      <c r="E1458" s="169" t="str">
        <f t="shared" si="970"/>
        <v>57563</v>
      </c>
      <c r="F1458" s="169" t="s">
        <v>18811</v>
      </c>
      <c r="G1458" s="169">
        <v>3.0</v>
      </c>
      <c r="H1458" s="169">
        <v>8350.0</v>
      </c>
      <c r="I1458" s="169">
        <v>25050.0</v>
      </c>
      <c r="J1458" s="169">
        <v>0.0</v>
      </c>
      <c r="K1458" s="169">
        <v>3.0</v>
      </c>
      <c r="L1458" s="169">
        <v>0.0</v>
      </c>
    </row>
    <row r="1459" ht="14.25" customHeight="1">
      <c r="A1459" s="169" t="s">
        <v>18810</v>
      </c>
      <c r="B1459" s="169" t="s">
        <v>13422</v>
      </c>
      <c r="C1459" s="169" t="s">
        <v>18276</v>
      </c>
      <c r="D1459" s="169" t="str">
        <f t="shared" ref="D1459:E1459" si="971">"57792"</f>
        <v>57792</v>
      </c>
      <c r="E1459" s="169" t="str">
        <f t="shared" si="971"/>
        <v>57792</v>
      </c>
      <c r="F1459" s="169" t="s">
        <v>18811</v>
      </c>
      <c r="G1459" s="169">
        <v>2.0</v>
      </c>
      <c r="H1459" s="169">
        <v>7300.0</v>
      </c>
      <c r="I1459" s="169">
        <v>14600.0</v>
      </c>
      <c r="J1459" s="169">
        <v>0.0</v>
      </c>
      <c r="K1459" s="169">
        <v>2.0</v>
      </c>
      <c r="L1459" s="169">
        <v>0.0</v>
      </c>
    </row>
    <row r="1460" ht="14.25" customHeight="1">
      <c r="A1460" s="169" t="s">
        <v>18810</v>
      </c>
      <c r="B1460" s="169" t="s">
        <v>13422</v>
      </c>
      <c r="C1460" s="169" t="s">
        <v>18274</v>
      </c>
      <c r="D1460" s="169" t="str">
        <f t="shared" ref="D1460:E1460" si="972">"57631"</f>
        <v>57631</v>
      </c>
      <c r="E1460" s="169" t="str">
        <f t="shared" si="972"/>
        <v>57631</v>
      </c>
      <c r="F1460" s="169" t="s">
        <v>18811</v>
      </c>
      <c r="G1460" s="169">
        <v>3.0</v>
      </c>
      <c r="H1460" s="169">
        <v>7300.0</v>
      </c>
      <c r="I1460" s="169">
        <v>21900.0</v>
      </c>
      <c r="J1460" s="169">
        <v>0.0</v>
      </c>
      <c r="K1460" s="169">
        <v>3.0</v>
      </c>
      <c r="L1460" s="169">
        <v>0.0</v>
      </c>
    </row>
    <row r="1461" ht="14.25" customHeight="1">
      <c r="A1461" s="169" t="s">
        <v>18810</v>
      </c>
      <c r="B1461" s="169" t="s">
        <v>13422</v>
      </c>
      <c r="C1461" s="169" t="s">
        <v>18272</v>
      </c>
      <c r="D1461" s="169" t="str">
        <f t="shared" ref="D1461:E1461" si="973">"58133"</f>
        <v>58133</v>
      </c>
      <c r="E1461" s="169" t="str">
        <f t="shared" si="973"/>
        <v>58133</v>
      </c>
      <c r="F1461" s="169" t="s">
        <v>18811</v>
      </c>
      <c r="G1461" s="169">
        <v>2.0</v>
      </c>
      <c r="H1461" s="169">
        <v>7300.0</v>
      </c>
      <c r="I1461" s="169">
        <v>14600.0</v>
      </c>
      <c r="J1461" s="169">
        <v>0.0</v>
      </c>
      <c r="K1461" s="169">
        <v>2.0</v>
      </c>
      <c r="L1461" s="169">
        <v>0.0</v>
      </c>
    </row>
    <row r="1462" ht="14.25" customHeight="1">
      <c r="A1462" s="169" t="s">
        <v>18810</v>
      </c>
      <c r="B1462" s="169" t="s">
        <v>13422</v>
      </c>
      <c r="C1462" s="169" t="s">
        <v>18270</v>
      </c>
      <c r="D1462" s="169" t="str">
        <f t="shared" ref="D1462:E1462" si="974">"62338"</f>
        <v>62338</v>
      </c>
      <c r="E1462" s="169" t="str">
        <f t="shared" si="974"/>
        <v>62338</v>
      </c>
      <c r="F1462" s="169" t="s">
        <v>18811</v>
      </c>
      <c r="G1462" s="169">
        <v>2.0</v>
      </c>
      <c r="H1462" s="169">
        <v>7300.0</v>
      </c>
      <c r="I1462" s="169">
        <v>14600.0</v>
      </c>
      <c r="J1462" s="169">
        <v>0.0</v>
      </c>
      <c r="K1462" s="169">
        <v>2.0</v>
      </c>
      <c r="L1462" s="169">
        <v>0.0</v>
      </c>
    </row>
    <row r="1463" ht="14.25" customHeight="1">
      <c r="A1463" s="169" t="s">
        <v>18810</v>
      </c>
      <c r="B1463" s="169" t="s">
        <v>13422</v>
      </c>
      <c r="C1463" s="169" t="s">
        <v>18268</v>
      </c>
      <c r="D1463" s="169" t="str">
        <f t="shared" ref="D1463:E1463" si="975">"57839"</f>
        <v>57839</v>
      </c>
      <c r="E1463" s="169" t="str">
        <f t="shared" si="975"/>
        <v>57839</v>
      </c>
      <c r="F1463" s="169" t="s">
        <v>18811</v>
      </c>
      <c r="G1463" s="169">
        <v>3.0</v>
      </c>
      <c r="H1463" s="169">
        <v>7300.0</v>
      </c>
      <c r="I1463" s="169">
        <v>21900.0</v>
      </c>
      <c r="J1463" s="169">
        <v>0.0</v>
      </c>
      <c r="K1463" s="169">
        <v>3.0</v>
      </c>
      <c r="L1463" s="169">
        <v>0.0</v>
      </c>
    </row>
    <row r="1464" ht="14.25" customHeight="1">
      <c r="A1464" s="169" t="s">
        <v>18810</v>
      </c>
      <c r="B1464" s="169" t="s">
        <v>13422</v>
      </c>
      <c r="C1464" s="169" t="s">
        <v>18266</v>
      </c>
      <c r="D1464" s="169" t="str">
        <f t="shared" ref="D1464:E1464" si="976">"53824"</f>
        <v>53824</v>
      </c>
      <c r="E1464" s="169" t="str">
        <f t="shared" si="976"/>
        <v>53824</v>
      </c>
      <c r="F1464" s="169" t="s">
        <v>18811</v>
      </c>
      <c r="G1464" s="169">
        <v>3.0</v>
      </c>
      <c r="H1464" s="169">
        <v>7300.0</v>
      </c>
      <c r="I1464" s="169">
        <v>21900.0</v>
      </c>
      <c r="J1464" s="169">
        <v>0.0</v>
      </c>
      <c r="K1464" s="169">
        <v>3.0</v>
      </c>
      <c r="L1464" s="169">
        <v>0.0</v>
      </c>
    </row>
    <row r="1465" ht="14.25" customHeight="1">
      <c r="A1465" s="169" t="s">
        <v>18810</v>
      </c>
      <c r="B1465" s="169" t="s">
        <v>13422</v>
      </c>
      <c r="C1465" s="169" t="s">
        <v>18264</v>
      </c>
      <c r="D1465" s="169" t="str">
        <f t="shared" ref="D1465:E1465" si="977">"62345"</f>
        <v>62345</v>
      </c>
      <c r="E1465" s="169" t="str">
        <f t="shared" si="977"/>
        <v>62345</v>
      </c>
      <c r="F1465" s="169" t="s">
        <v>18811</v>
      </c>
      <c r="G1465" s="169">
        <v>3.0</v>
      </c>
      <c r="H1465" s="169">
        <v>7300.0</v>
      </c>
      <c r="I1465" s="169">
        <v>21900.0</v>
      </c>
      <c r="J1465" s="169">
        <v>0.0</v>
      </c>
      <c r="K1465" s="169">
        <v>3.0</v>
      </c>
      <c r="L1465" s="169">
        <v>0.0</v>
      </c>
    </row>
    <row r="1466" ht="14.25" customHeight="1">
      <c r="A1466" s="169" t="s">
        <v>18810</v>
      </c>
      <c r="B1466" s="169" t="s">
        <v>13422</v>
      </c>
      <c r="C1466" s="169" t="s">
        <v>18262</v>
      </c>
      <c r="D1466" s="169" t="str">
        <f t="shared" ref="D1466:E1466" si="978">"62598"</f>
        <v>62598</v>
      </c>
      <c r="E1466" s="169" t="str">
        <f t="shared" si="978"/>
        <v>62598</v>
      </c>
      <c r="F1466" s="169" t="s">
        <v>18811</v>
      </c>
      <c r="G1466" s="169">
        <v>3.0</v>
      </c>
      <c r="H1466" s="169">
        <v>7300.0</v>
      </c>
      <c r="I1466" s="169">
        <v>21900.0</v>
      </c>
      <c r="J1466" s="169">
        <v>0.0</v>
      </c>
      <c r="K1466" s="169">
        <v>3.0</v>
      </c>
      <c r="L1466" s="169">
        <v>0.0</v>
      </c>
    </row>
    <row r="1467" ht="14.25" customHeight="1">
      <c r="A1467" s="169" t="s">
        <v>18810</v>
      </c>
      <c r="B1467" s="169" t="s">
        <v>13422</v>
      </c>
      <c r="C1467" s="169" t="s">
        <v>18260</v>
      </c>
      <c r="D1467" s="169" t="str">
        <f t="shared" ref="D1467:E1467" si="979">"57648"</f>
        <v>57648</v>
      </c>
      <c r="E1467" s="169" t="str">
        <f t="shared" si="979"/>
        <v>57648</v>
      </c>
      <c r="F1467" s="169" t="s">
        <v>18811</v>
      </c>
      <c r="G1467" s="169">
        <v>3.0</v>
      </c>
      <c r="H1467" s="169">
        <v>7300.0</v>
      </c>
      <c r="I1467" s="169">
        <v>21900.0</v>
      </c>
      <c r="J1467" s="169">
        <v>0.0</v>
      </c>
      <c r="K1467" s="169">
        <v>3.0</v>
      </c>
      <c r="L1467" s="169">
        <v>0.0</v>
      </c>
    </row>
    <row r="1468" ht="14.25" customHeight="1">
      <c r="A1468" s="169" t="s">
        <v>18810</v>
      </c>
      <c r="B1468" s="169" t="s">
        <v>13422</v>
      </c>
      <c r="C1468" s="169" t="s">
        <v>18258</v>
      </c>
      <c r="D1468" s="169" t="str">
        <f t="shared" ref="D1468:E1468" si="980">"62611"</f>
        <v>62611</v>
      </c>
      <c r="E1468" s="169" t="str">
        <f t="shared" si="980"/>
        <v>62611</v>
      </c>
      <c r="F1468" s="169" t="s">
        <v>18811</v>
      </c>
      <c r="G1468" s="169">
        <v>2.0</v>
      </c>
      <c r="H1468" s="169">
        <v>7300.0</v>
      </c>
      <c r="I1468" s="169">
        <v>14600.0</v>
      </c>
      <c r="J1468" s="169">
        <v>0.0</v>
      </c>
      <c r="K1468" s="169">
        <v>2.0</v>
      </c>
      <c r="L1468" s="169">
        <v>0.0</v>
      </c>
    </row>
    <row r="1469" ht="14.25" customHeight="1">
      <c r="A1469" s="169" t="s">
        <v>18810</v>
      </c>
      <c r="B1469" s="169" t="s">
        <v>13422</v>
      </c>
      <c r="C1469" s="169" t="s">
        <v>18256</v>
      </c>
      <c r="D1469" s="169" t="str">
        <f t="shared" ref="D1469:E1469" si="981">"60754"</f>
        <v>60754</v>
      </c>
      <c r="E1469" s="169" t="str">
        <f t="shared" si="981"/>
        <v>60754</v>
      </c>
      <c r="F1469" s="169" t="s">
        <v>18811</v>
      </c>
      <c r="G1469" s="169">
        <v>2.0</v>
      </c>
      <c r="H1469" s="169">
        <v>8850.0</v>
      </c>
      <c r="I1469" s="169">
        <v>17700.0</v>
      </c>
      <c r="J1469" s="169">
        <v>0.0</v>
      </c>
      <c r="K1469" s="169">
        <v>2.0</v>
      </c>
      <c r="L1469" s="169">
        <v>0.0</v>
      </c>
    </row>
    <row r="1470" ht="14.25" customHeight="1">
      <c r="A1470" s="169" t="s">
        <v>18810</v>
      </c>
      <c r="B1470" s="169" t="s">
        <v>13422</v>
      </c>
      <c r="C1470" s="169" t="s">
        <v>18254</v>
      </c>
      <c r="D1470" s="169" t="str">
        <f t="shared" ref="D1470:E1470" si="982">"60761"</f>
        <v>60761</v>
      </c>
      <c r="E1470" s="169" t="str">
        <f t="shared" si="982"/>
        <v>60761</v>
      </c>
      <c r="F1470" s="169" t="s">
        <v>18811</v>
      </c>
      <c r="G1470" s="169">
        <v>2.0</v>
      </c>
      <c r="H1470" s="169">
        <v>8850.0</v>
      </c>
      <c r="I1470" s="169">
        <v>17700.0</v>
      </c>
      <c r="J1470" s="169">
        <v>0.0</v>
      </c>
      <c r="K1470" s="169">
        <v>2.0</v>
      </c>
      <c r="L1470" s="169">
        <v>0.0</v>
      </c>
    </row>
    <row r="1471" ht="14.25" customHeight="1">
      <c r="A1471" s="169" t="s">
        <v>18810</v>
      </c>
      <c r="B1471" s="169" t="s">
        <v>13422</v>
      </c>
      <c r="C1471" s="169" t="s">
        <v>18252</v>
      </c>
      <c r="D1471" s="169" t="str">
        <f t="shared" ref="D1471:E1471" si="983">"66671"</f>
        <v>66671</v>
      </c>
      <c r="E1471" s="169" t="str">
        <f t="shared" si="983"/>
        <v>66671</v>
      </c>
      <c r="F1471" s="169" t="s">
        <v>18811</v>
      </c>
      <c r="G1471" s="169">
        <v>3.0</v>
      </c>
      <c r="H1471" s="169">
        <v>7300.0</v>
      </c>
      <c r="I1471" s="169">
        <v>21900.0</v>
      </c>
      <c r="J1471" s="169">
        <v>0.0</v>
      </c>
      <c r="K1471" s="169">
        <v>3.0</v>
      </c>
      <c r="L1471" s="169">
        <v>0.0</v>
      </c>
    </row>
    <row r="1472" ht="14.25" customHeight="1">
      <c r="A1472" s="169" t="s">
        <v>18810</v>
      </c>
      <c r="B1472" s="169" t="s">
        <v>13422</v>
      </c>
      <c r="C1472" s="169" t="s">
        <v>18250</v>
      </c>
      <c r="D1472" s="169" t="str">
        <f t="shared" ref="D1472:E1472" si="984">"57914"</f>
        <v>57914</v>
      </c>
      <c r="E1472" s="169" t="str">
        <f t="shared" si="984"/>
        <v>57914</v>
      </c>
      <c r="F1472" s="169" t="s">
        <v>18811</v>
      </c>
      <c r="G1472" s="169">
        <v>3.0</v>
      </c>
      <c r="H1472" s="169">
        <v>7300.0</v>
      </c>
      <c r="I1472" s="169">
        <v>21900.0</v>
      </c>
      <c r="J1472" s="169">
        <v>0.0</v>
      </c>
      <c r="K1472" s="169">
        <v>3.0</v>
      </c>
      <c r="L1472" s="169">
        <v>0.0</v>
      </c>
    </row>
    <row r="1473" ht="14.25" customHeight="1">
      <c r="A1473" s="169" t="s">
        <v>18810</v>
      </c>
      <c r="B1473" s="169" t="s">
        <v>13422</v>
      </c>
      <c r="C1473" s="169" t="s">
        <v>18248</v>
      </c>
      <c r="D1473" s="169" t="str">
        <f t="shared" ref="D1473:E1473" si="985">"70135"</f>
        <v>70135</v>
      </c>
      <c r="E1473" s="169" t="str">
        <f t="shared" si="985"/>
        <v>70135</v>
      </c>
      <c r="F1473" s="169" t="s">
        <v>18811</v>
      </c>
      <c r="G1473" s="169">
        <v>2.0</v>
      </c>
      <c r="H1473" s="169">
        <v>7258.0</v>
      </c>
      <c r="I1473" s="169">
        <v>14516.0</v>
      </c>
      <c r="J1473" s="169">
        <v>0.0</v>
      </c>
      <c r="K1473" s="169">
        <v>2.0</v>
      </c>
      <c r="L1473" s="169">
        <v>0.0</v>
      </c>
    </row>
    <row r="1474" ht="14.25" customHeight="1">
      <c r="A1474" s="169" t="s">
        <v>18810</v>
      </c>
      <c r="B1474" s="169" t="s">
        <v>13422</v>
      </c>
      <c r="C1474" s="169" t="s">
        <v>18246</v>
      </c>
      <c r="D1474" s="169" t="str">
        <f t="shared" ref="D1474:E1474" si="986">"51950"</f>
        <v>51950</v>
      </c>
      <c r="E1474" s="169" t="str">
        <f t="shared" si="986"/>
        <v>51950</v>
      </c>
      <c r="F1474" s="169" t="s">
        <v>18811</v>
      </c>
      <c r="G1474" s="169">
        <v>2.0</v>
      </c>
      <c r="H1474" s="169">
        <v>9000.0</v>
      </c>
      <c r="I1474" s="169">
        <v>18000.0</v>
      </c>
      <c r="J1474" s="169">
        <v>0.0</v>
      </c>
      <c r="K1474" s="169">
        <v>2.0</v>
      </c>
      <c r="L1474" s="169">
        <v>0.0</v>
      </c>
    </row>
    <row r="1475" ht="14.25" customHeight="1">
      <c r="A1475" s="169" t="s">
        <v>18810</v>
      </c>
      <c r="B1475" s="169" t="s">
        <v>13422</v>
      </c>
      <c r="C1475" s="169" t="s">
        <v>18244</v>
      </c>
      <c r="D1475" s="169" t="str">
        <f t="shared" ref="D1475:E1475" si="987">"67739"</f>
        <v>67739</v>
      </c>
      <c r="E1475" s="169" t="str">
        <f t="shared" si="987"/>
        <v>67739</v>
      </c>
      <c r="F1475" s="169" t="s">
        <v>18811</v>
      </c>
      <c r="G1475" s="169">
        <v>3.0</v>
      </c>
      <c r="H1475" s="169">
        <v>9300.0</v>
      </c>
      <c r="I1475" s="169">
        <v>27900.0</v>
      </c>
      <c r="J1475" s="169">
        <v>0.0</v>
      </c>
      <c r="K1475" s="169">
        <v>3.0</v>
      </c>
      <c r="L1475" s="169">
        <v>0.0</v>
      </c>
    </row>
    <row r="1476" ht="14.25" customHeight="1">
      <c r="A1476" s="169" t="s">
        <v>18810</v>
      </c>
      <c r="B1476" s="169" t="s">
        <v>13422</v>
      </c>
      <c r="C1476" s="169" t="s">
        <v>18242</v>
      </c>
      <c r="D1476" s="169" t="str">
        <f t="shared" ref="D1476:E1476" si="988">"67722"</f>
        <v>67722</v>
      </c>
      <c r="E1476" s="169" t="str">
        <f t="shared" si="988"/>
        <v>67722</v>
      </c>
      <c r="F1476" s="169" t="s">
        <v>18811</v>
      </c>
      <c r="G1476" s="169">
        <v>2.0</v>
      </c>
      <c r="H1476" s="169">
        <v>9300.0</v>
      </c>
      <c r="I1476" s="169">
        <v>18600.0</v>
      </c>
      <c r="J1476" s="169">
        <v>0.0</v>
      </c>
      <c r="K1476" s="169">
        <v>2.0</v>
      </c>
      <c r="L1476" s="169">
        <v>0.0</v>
      </c>
    </row>
    <row r="1477" ht="14.25" customHeight="1">
      <c r="A1477" s="169" t="s">
        <v>18810</v>
      </c>
      <c r="B1477" s="169" t="s">
        <v>13422</v>
      </c>
      <c r="C1477" s="169" t="s">
        <v>18240</v>
      </c>
      <c r="D1477" s="169" t="str">
        <f t="shared" ref="D1477:E1477" si="989">"60846"</f>
        <v>60846</v>
      </c>
      <c r="E1477" s="169" t="str">
        <f t="shared" si="989"/>
        <v>60846</v>
      </c>
      <c r="F1477" s="169" t="s">
        <v>18811</v>
      </c>
      <c r="G1477" s="169">
        <v>3.0</v>
      </c>
      <c r="H1477" s="169">
        <v>9000.0</v>
      </c>
      <c r="I1477" s="169">
        <v>27000.0</v>
      </c>
      <c r="J1477" s="169">
        <v>0.0</v>
      </c>
      <c r="K1477" s="169">
        <v>3.0</v>
      </c>
      <c r="L1477" s="169">
        <v>0.0</v>
      </c>
    </row>
    <row r="1478" ht="14.25" customHeight="1">
      <c r="A1478" s="169" t="s">
        <v>18810</v>
      </c>
      <c r="B1478" s="169" t="s">
        <v>13422</v>
      </c>
      <c r="C1478" s="169" t="s">
        <v>18238</v>
      </c>
      <c r="D1478" s="169" t="str">
        <f t="shared" ref="D1478:E1478" si="990">"67906"</f>
        <v>67906</v>
      </c>
      <c r="E1478" s="169" t="str">
        <f t="shared" si="990"/>
        <v>67906</v>
      </c>
      <c r="F1478" s="169" t="s">
        <v>18811</v>
      </c>
      <c r="G1478" s="169">
        <v>2.0</v>
      </c>
      <c r="H1478" s="169">
        <v>9000.0</v>
      </c>
      <c r="I1478" s="169">
        <v>18000.0</v>
      </c>
      <c r="J1478" s="169">
        <v>0.0</v>
      </c>
      <c r="K1478" s="169">
        <v>2.0</v>
      </c>
      <c r="L1478" s="169">
        <v>0.0</v>
      </c>
    </row>
    <row r="1479" ht="14.25" customHeight="1">
      <c r="A1479" s="169" t="s">
        <v>18810</v>
      </c>
      <c r="B1479" s="169" t="s">
        <v>13422</v>
      </c>
      <c r="C1479" s="169" t="s">
        <v>18236</v>
      </c>
      <c r="D1479" s="169" t="str">
        <f t="shared" ref="D1479:E1479" si="991">"60204"</f>
        <v>60204</v>
      </c>
      <c r="E1479" s="169" t="str">
        <f t="shared" si="991"/>
        <v>60204</v>
      </c>
      <c r="F1479" s="169" t="s">
        <v>18811</v>
      </c>
      <c r="G1479" s="169">
        <v>2.0</v>
      </c>
      <c r="H1479" s="169">
        <v>5100.0</v>
      </c>
      <c r="I1479" s="169">
        <v>10200.0</v>
      </c>
      <c r="J1479" s="169">
        <v>0.0</v>
      </c>
      <c r="K1479" s="169">
        <v>2.0</v>
      </c>
      <c r="L1479" s="169">
        <v>0.0</v>
      </c>
    </row>
    <row r="1480" ht="14.25" customHeight="1">
      <c r="A1480" s="169" t="s">
        <v>18810</v>
      </c>
      <c r="B1480" s="169" t="s">
        <v>13422</v>
      </c>
      <c r="C1480" s="169" t="s">
        <v>18234</v>
      </c>
      <c r="D1480" s="169" t="str">
        <f t="shared" ref="D1480:E1480" si="992">"53893"</f>
        <v>53893</v>
      </c>
      <c r="E1480" s="169" t="str">
        <f t="shared" si="992"/>
        <v>53893</v>
      </c>
      <c r="F1480" s="169" t="s">
        <v>18811</v>
      </c>
      <c r="G1480" s="169">
        <v>3.0</v>
      </c>
      <c r="H1480" s="169">
        <v>5100.0</v>
      </c>
      <c r="I1480" s="169">
        <v>15300.0</v>
      </c>
      <c r="J1480" s="169">
        <v>0.0</v>
      </c>
      <c r="K1480" s="169">
        <v>3.0</v>
      </c>
      <c r="L1480" s="169">
        <v>0.0</v>
      </c>
    </row>
    <row r="1481" ht="14.25" customHeight="1">
      <c r="A1481" s="169" t="s">
        <v>18810</v>
      </c>
      <c r="B1481" s="169" t="s">
        <v>13422</v>
      </c>
      <c r="C1481" s="169" t="s">
        <v>18232</v>
      </c>
      <c r="D1481" s="169" t="str">
        <f t="shared" ref="D1481:E1481" si="993">"36712"</f>
        <v>36712</v>
      </c>
      <c r="E1481" s="169" t="str">
        <f t="shared" si="993"/>
        <v>36712</v>
      </c>
      <c r="F1481" s="169" t="s">
        <v>18811</v>
      </c>
      <c r="G1481" s="169">
        <v>2.0</v>
      </c>
      <c r="H1481" s="169">
        <v>7650.0</v>
      </c>
      <c r="I1481" s="169">
        <v>15300.0</v>
      </c>
      <c r="J1481" s="169">
        <v>0.0</v>
      </c>
      <c r="K1481" s="169">
        <v>2.0</v>
      </c>
      <c r="L1481" s="169">
        <v>0.0</v>
      </c>
    </row>
    <row r="1482" ht="14.25" customHeight="1">
      <c r="A1482" s="169" t="s">
        <v>8996</v>
      </c>
      <c r="B1482" s="169" t="s">
        <v>13495</v>
      </c>
      <c r="C1482" s="169" t="s">
        <v>18735</v>
      </c>
      <c r="D1482" s="169" t="str">
        <f t="shared" ref="D1482:E1482" si="994">"NX5sBB"</f>
        <v>NX5sBB</v>
      </c>
      <c r="E1482" s="169" t="str">
        <f t="shared" si="994"/>
        <v>NX5sBB</v>
      </c>
      <c r="F1482" s="169" t="s">
        <v>18811</v>
      </c>
      <c r="G1482" s="169">
        <v>2.0</v>
      </c>
      <c r="H1482" s="169">
        <v>9561.5</v>
      </c>
      <c r="I1482" s="169">
        <v>19123.0</v>
      </c>
      <c r="J1482" s="169">
        <v>0.0</v>
      </c>
      <c r="K1482" s="169">
        <v>2.0</v>
      </c>
      <c r="L1482" s="169">
        <v>0.0</v>
      </c>
    </row>
    <row r="1483" ht="14.25" customHeight="1">
      <c r="A1483" s="169" t="s">
        <v>8996</v>
      </c>
      <c r="B1483" s="169" t="s">
        <v>13495</v>
      </c>
      <c r="C1483" s="169" t="s">
        <v>13523</v>
      </c>
      <c r="D1483" s="169" t="str">
        <f t="shared" ref="D1483:E1483" si="995">"NFU+COPPER-S"</f>
        <v>NFU+COPPER-S</v>
      </c>
      <c r="E1483" s="169" t="str">
        <f t="shared" si="995"/>
        <v>NFU+COPPER-S</v>
      </c>
      <c r="F1483" s="169" t="s">
        <v>18811</v>
      </c>
      <c r="G1483" s="169">
        <v>1.0</v>
      </c>
      <c r="H1483" s="169">
        <v>17577.0</v>
      </c>
      <c r="I1483" s="169">
        <v>17577.0</v>
      </c>
      <c r="J1483" s="169">
        <v>0.0</v>
      </c>
      <c r="K1483" s="169">
        <v>1.0</v>
      </c>
      <c r="L1483" s="169">
        <v>0.0</v>
      </c>
    </row>
    <row r="1484" ht="14.25" customHeight="1">
      <c r="A1484" s="169" t="s">
        <v>13656</v>
      </c>
      <c r="B1484" s="169" t="s">
        <v>13656</v>
      </c>
      <c r="C1484" s="169" t="s">
        <v>13727</v>
      </c>
      <c r="D1484" s="169" t="str">
        <f t="shared" ref="D1484:E1484" si="996">"1123001"</f>
        <v>1123001</v>
      </c>
      <c r="E1484" s="169" t="str">
        <f t="shared" si="996"/>
        <v>1123001</v>
      </c>
      <c r="F1484" s="169" t="s">
        <v>18811</v>
      </c>
      <c r="G1484" s="169">
        <v>2.0</v>
      </c>
      <c r="H1484" s="169">
        <v>55490.0</v>
      </c>
      <c r="I1484" s="169">
        <v>110980.0</v>
      </c>
      <c r="J1484" s="169">
        <v>0.0</v>
      </c>
      <c r="K1484" s="169">
        <v>2.0</v>
      </c>
      <c r="L1484" s="169">
        <v>0.0</v>
      </c>
    </row>
    <row r="1485" ht="14.25" customHeight="1">
      <c r="A1485" s="169" t="s">
        <v>8996</v>
      </c>
      <c r="B1485" s="169" t="s">
        <v>13746</v>
      </c>
      <c r="C1485" s="169" t="s">
        <v>18744</v>
      </c>
      <c r="D1485" s="169" t="str">
        <f t="shared" ref="D1485:E1485" si="997">"10001374"</f>
        <v>10001374</v>
      </c>
      <c r="E1485" s="169" t="str">
        <f t="shared" si="997"/>
        <v>10001374</v>
      </c>
      <c r="F1485" s="169" t="s">
        <v>18811</v>
      </c>
      <c r="G1485" s="169">
        <v>1.0</v>
      </c>
      <c r="H1485" s="169">
        <v>6490.0</v>
      </c>
      <c r="I1485" s="169">
        <v>6490.0</v>
      </c>
      <c r="J1485" s="169">
        <v>0.0</v>
      </c>
      <c r="K1485" s="169">
        <v>1.0</v>
      </c>
      <c r="L1485" s="169">
        <v>0.0</v>
      </c>
    </row>
    <row r="1486" ht="14.25" customHeight="1">
      <c r="A1486" s="169" t="s">
        <v>10437</v>
      </c>
      <c r="B1486" s="169" t="s">
        <v>13796</v>
      </c>
      <c r="C1486" s="169" t="s">
        <v>18370</v>
      </c>
      <c r="D1486" s="169" t="str">
        <f>"7804677990120"</f>
        <v>7804677990120</v>
      </c>
      <c r="E1486" s="169" t="str">
        <f>"TCKOZESE"</f>
        <v>TCKOZESE</v>
      </c>
      <c r="F1486" s="169" t="s">
        <v>18811</v>
      </c>
      <c r="G1486" s="169">
        <v>1.0</v>
      </c>
      <c r="H1486" s="169">
        <v>75622.0</v>
      </c>
      <c r="I1486" s="169">
        <v>75622.0</v>
      </c>
      <c r="J1486" s="169">
        <v>0.0</v>
      </c>
      <c r="K1486" s="169">
        <v>1.0</v>
      </c>
      <c r="L1486" s="169">
        <v>0.0</v>
      </c>
    </row>
    <row r="1487" ht="14.25" customHeight="1">
      <c r="A1487" s="169" t="s">
        <v>10437</v>
      </c>
      <c r="B1487" s="169" t="s">
        <v>13796</v>
      </c>
      <c r="C1487" s="169" t="s">
        <v>18369</v>
      </c>
      <c r="D1487" s="169" t="str">
        <f>"7804677990076"</f>
        <v>7804677990076</v>
      </c>
      <c r="E1487" s="169" t="str">
        <f>"TCONSONH5"</f>
        <v>TCONSONH5</v>
      </c>
      <c r="F1487" s="169" t="s">
        <v>18811</v>
      </c>
      <c r="G1487" s="169">
        <v>14.0</v>
      </c>
      <c r="H1487" s="169">
        <v>88227.0</v>
      </c>
      <c r="I1487" s="169">
        <v>1235178.0</v>
      </c>
      <c r="J1487" s="169">
        <v>0.0</v>
      </c>
      <c r="K1487" s="169">
        <v>14.0</v>
      </c>
      <c r="L1487" s="169">
        <v>0.0</v>
      </c>
    </row>
    <row r="1488" ht="14.25" customHeight="1">
      <c r="A1488" s="169" t="s">
        <v>8996</v>
      </c>
      <c r="B1488" s="169" t="s">
        <v>13806</v>
      </c>
      <c r="C1488" s="169" t="s">
        <v>18730</v>
      </c>
      <c r="D1488" s="169" t="str">
        <f t="shared" ref="D1488:E1488" si="998">"OW-013"</f>
        <v>OW-013</v>
      </c>
      <c r="E1488" s="169" t="str">
        <f t="shared" si="998"/>
        <v>OW-013</v>
      </c>
      <c r="F1488" s="169" t="s">
        <v>18811</v>
      </c>
      <c r="G1488" s="169">
        <v>2.0</v>
      </c>
      <c r="H1488" s="169">
        <v>29900.0</v>
      </c>
      <c r="I1488" s="169">
        <v>59800.0</v>
      </c>
      <c r="J1488" s="169">
        <v>0.0</v>
      </c>
      <c r="K1488" s="169">
        <v>2.0</v>
      </c>
      <c r="L1488" s="169">
        <v>0.0</v>
      </c>
    </row>
    <row r="1489" ht="14.25" customHeight="1">
      <c r="A1489" s="169" t="s">
        <v>8996</v>
      </c>
      <c r="B1489" s="169" t="s">
        <v>13806</v>
      </c>
      <c r="C1489" s="169" t="s">
        <v>18729</v>
      </c>
      <c r="D1489" s="169" t="str">
        <f>"1612889746748"</f>
        <v>1612889746748</v>
      </c>
      <c r="E1489" s="169" t="str">
        <f>"OW-933-CPK-M"</f>
        <v>OW-933-CPK-M</v>
      </c>
      <c r="F1489" s="169" t="s">
        <v>18811</v>
      </c>
      <c r="G1489" s="169">
        <v>1.0</v>
      </c>
      <c r="H1489" s="169">
        <v>12900.0</v>
      </c>
      <c r="I1489" s="169">
        <v>12900.0</v>
      </c>
      <c r="J1489" s="169">
        <v>0.0</v>
      </c>
      <c r="K1489" s="169">
        <v>1.0</v>
      </c>
      <c r="L1489" s="169">
        <v>0.0</v>
      </c>
    </row>
    <row r="1490" ht="14.25" customHeight="1">
      <c r="A1490" s="169" t="s">
        <v>8996</v>
      </c>
      <c r="B1490" s="169" t="s">
        <v>13806</v>
      </c>
      <c r="C1490" s="169" t="s">
        <v>18728</v>
      </c>
      <c r="D1490" s="169" t="str">
        <f t="shared" ref="D1490:E1490" si="999">"OW-902G-M"</f>
        <v>OW-902G-M</v>
      </c>
      <c r="E1490" s="169" t="str">
        <f t="shared" si="999"/>
        <v>OW-902G-M</v>
      </c>
      <c r="F1490" s="169" t="s">
        <v>18811</v>
      </c>
      <c r="G1490" s="169">
        <v>1.0</v>
      </c>
      <c r="H1490" s="169">
        <v>9900.0</v>
      </c>
      <c r="I1490" s="169">
        <v>9900.0</v>
      </c>
      <c r="J1490" s="169">
        <v>0.0</v>
      </c>
      <c r="K1490" s="169">
        <v>1.0</v>
      </c>
      <c r="L1490" s="169">
        <v>0.0</v>
      </c>
    </row>
    <row r="1491" ht="14.25" customHeight="1">
      <c r="A1491" s="169" t="s">
        <v>6603</v>
      </c>
      <c r="B1491" s="169" t="s">
        <v>13919</v>
      </c>
      <c r="C1491" s="169" t="s">
        <v>13927</v>
      </c>
      <c r="D1491" s="169" t="str">
        <f t="shared" ref="D1491:E1491" si="1000">"UC4026"</f>
        <v>UC4026</v>
      </c>
      <c r="E1491" s="169" t="str">
        <f t="shared" si="1000"/>
        <v>UC4026</v>
      </c>
      <c r="F1491" s="169" t="s">
        <v>18811</v>
      </c>
      <c r="G1491" s="169">
        <v>10.0</v>
      </c>
      <c r="H1491" s="169">
        <v>3500.0</v>
      </c>
      <c r="I1491" s="169">
        <v>35000.0</v>
      </c>
      <c r="J1491" s="169">
        <v>0.0</v>
      </c>
      <c r="K1491" s="169">
        <v>10.0</v>
      </c>
      <c r="L1491" s="169">
        <v>0.0</v>
      </c>
    </row>
    <row r="1492" ht="14.25" customHeight="1">
      <c r="A1492" s="169" t="s">
        <v>6603</v>
      </c>
      <c r="B1492" s="169" t="s">
        <v>13919</v>
      </c>
      <c r="C1492" s="169" t="s">
        <v>13923</v>
      </c>
      <c r="D1492" s="169" t="str">
        <f t="shared" ref="D1492:E1492" si="1001">"UC3968"</f>
        <v>UC3968</v>
      </c>
      <c r="E1492" s="169" t="str">
        <f t="shared" si="1001"/>
        <v>UC3968</v>
      </c>
      <c r="F1492" s="169" t="s">
        <v>18811</v>
      </c>
      <c r="G1492" s="169">
        <v>9.0</v>
      </c>
      <c r="H1492" s="169">
        <v>10100.0</v>
      </c>
      <c r="I1492" s="169">
        <v>90900.0</v>
      </c>
      <c r="J1492" s="169">
        <v>0.0</v>
      </c>
      <c r="K1492" s="169">
        <v>9.0</v>
      </c>
      <c r="L1492" s="169">
        <v>0.0</v>
      </c>
    </row>
    <row r="1493" ht="14.25" customHeight="1">
      <c r="A1493" s="169" t="s">
        <v>6603</v>
      </c>
      <c r="B1493" s="169" t="s">
        <v>13919</v>
      </c>
      <c r="C1493" s="169" t="s">
        <v>18635</v>
      </c>
      <c r="D1493" s="169" t="str">
        <f t="shared" ref="D1493:E1493" si="1002">"UC4242"</f>
        <v>UC4242</v>
      </c>
      <c r="E1493" s="169" t="str">
        <f t="shared" si="1002"/>
        <v>UC4242</v>
      </c>
      <c r="F1493" s="169" t="s">
        <v>18811</v>
      </c>
      <c r="G1493" s="169">
        <v>6.0</v>
      </c>
      <c r="H1493" s="169">
        <v>48065.8</v>
      </c>
      <c r="I1493" s="169">
        <v>288395.0</v>
      </c>
      <c r="J1493" s="169">
        <v>0.0</v>
      </c>
      <c r="K1493" s="169">
        <v>6.0</v>
      </c>
      <c r="L1493" s="169">
        <v>0.0</v>
      </c>
    </row>
    <row r="1494" ht="14.25" customHeight="1">
      <c r="A1494" s="169" t="s">
        <v>18818</v>
      </c>
      <c r="B1494" s="169" t="s">
        <v>13941</v>
      </c>
      <c r="C1494" s="169" t="s">
        <v>18726</v>
      </c>
      <c r="D1494" s="169" t="str">
        <f>"1637090439301"</f>
        <v>1637090439301</v>
      </c>
      <c r="E1494" s="169" t="str">
        <f>"1637090439300"</f>
        <v>1637090439300</v>
      </c>
      <c r="F1494" s="169" t="s">
        <v>18811</v>
      </c>
      <c r="G1494" s="169">
        <v>2.0</v>
      </c>
      <c r="H1494" s="169">
        <v>10084.0</v>
      </c>
      <c r="I1494" s="169">
        <v>20168.0</v>
      </c>
      <c r="J1494" s="169">
        <v>0.0</v>
      </c>
      <c r="K1494" s="169">
        <v>2.0</v>
      </c>
      <c r="L1494" s="169">
        <v>0.0</v>
      </c>
    </row>
    <row r="1495" ht="14.25" customHeight="1">
      <c r="A1495" s="169" t="s">
        <v>18818</v>
      </c>
      <c r="B1495" s="169" t="s">
        <v>13941</v>
      </c>
      <c r="C1495" s="169" t="s">
        <v>18724</v>
      </c>
      <c r="D1495" s="169" t="str">
        <f t="shared" ref="D1495:E1495" si="1003">"1637090501146"</f>
        <v>1637090501146</v>
      </c>
      <c r="E1495" s="169" t="str">
        <f t="shared" si="1003"/>
        <v>1637090501146</v>
      </c>
      <c r="F1495" s="169" t="s">
        <v>18811</v>
      </c>
      <c r="G1495" s="169">
        <v>6.0</v>
      </c>
      <c r="H1495" s="169">
        <v>8319.0</v>
      </c>
      <c r="I1495" s="169">
        <v>49914.0</v>
      </c>
      <c r="J1495" s="169">
        <v>0.0</v>
      </c>
      <c r="K1495" s="169">
        <v>6.0</v>
      </c>
      <c r="L1495" s="169">
        <v>0.0</v>
      </c>
    </row>
    <row r="1496" ht="14.25" customHeight="1">
      <c r="A1496" s="169" t="s">
        <v>18818</v>
      </c>
      <c r="B1496" s="169" t="s">
        <v>13941</v>
      </c>
      <c r="C1496" s="169" t="s">
        <v>18722</v>
      </c>
      <c r="D1496" s="169" t="str">
        <f t="shared" ref="D1496:E1496" si="1004">"1632149054121"</f>
        <v>1632149054121</v>
      </c>
      <c r="E1496" s="169" t="str">
        <f t="shared" si="1004"/>
        <v>1632149054121</v>
      </c>
      <c r="F1496" s="169" t="s">
        <v>18811</v>
      </c>
      <c r="G1496" s="169">
        <v>2.0</v>
      </c>
      <c r="H1496" s="169">
        <v>6303.0</v>
      </c>
      <c r="I1496" s="169">
        <v>12606.0</v>
      </c>
      <c r="J1496" s="169">
        <v>0.0</v>
      </c>
      <c r="K1496" s="169">
        <v>2.0</v>
      </c>
      <c r="L1496" s="169">
        <v>0.0</v>
      </c>
    </row>
    <row r="1497" ht="14.25" customHeight="1">
      <c r="A1497" s="169" t="s">
        <v>18818</v>
      </c>
      <c r="B1497" s="169" t="s">
        <v>13941</v>
      </c>
      <c r="C1497" s="169" t="s">
        <v>18720</v>
      </c>
      <c r="D1497" s="169" t="str">
        <f t="shared" ref="D1497:E1497" si="1005">"1632149131003"</f>
        <v>1632149131003</v>
      </c>
      <c r="E1497" s="169" t="str">
        <f t="shared" si="1005"/>
        <v>1632149131003</v>
      </c>
      <c r="F1497" s="169" t="s">
        <v>18811</v>
      </c>
      <c r="G1497" s="169">
        <v>1.0</v>
      </c>
      <c r="H1497" s="169">
        <v>9076.0</v>
      </c>
      <c r="I1497" s="169">
        <v>9076.0</v>
      </c>
      <c r="J1497" s="169">
        <v>0.0</v>
      </c>
      <c r="K1497" s="169">
        <v>1.0</v>
      </c>
      <c r="L1497" s="169">
        <v>0.0</v>
      </c>
    </row>
    <row r="1498" ht="14.25" customHeight="1">
      <c r="A1498" s="169" t="s">
        <v>18714</v>
      </c>
      <c r="B1498" s="169" t="s">
        <v>18774</v>
      </c>
      <c r="C1498" s="169" t="s">
        <v>18774</v>
      </c>
      <c r="D1498" s="169" t="str">
        <f t="shared" ref="D1498:E1498" si="1006">"69521507764787"</f>
        <v>69521507764787</v>
      </c>
      <c r="E1498" s="169" t="str">
        <f t="shared" si="1006"/>
        <v>69521507764787</v>
      </c>
      <c r="F1498" s="169" t="s">
        <v>18811</v>
      </c>
      <c r="G1498" s="169">
        <v>4.0</v>
      </c>
      <c r="H1498" s="169">
        <v>0.0</v>
      </c>
      <c r="I1498" s="169">
        <v>0.0</v>
      </c>
      <c r="J1498" s="169">
        <v>0.0</v>
      </c>
      <c r="K1498" s="169">
        <v>4.0</v>
      </c>
      <c r="L1498" s="169">
        <v>0.0</v>
      </c>
    </row>
    <row r="1499" ht="14.25" customHeight="1">
      <c r="A1499" s="169" t="s">
        <v>13996</v>
      </c>
      <c r="B1499" s="169" t="s">
        <v>13996</v>
      </c>
      <c r="C1499" s="169" t="s">
        <v>18614</v>
      </c>
      <c r="D1499" s="169" t="str">
        <f>"606110858250"</f>
        <v>606110858250</v>
      </c>
      <c r="E1499" s="169" t="str">
        <f>"RPOSSA03"</f>
        <v>RPOSSA03</v>
      </c>
      <c r="F1499" s="169" t="s">
        <v>18811</v>
      </c>
      <c r="G1499" s="169">
        <v>1.0</v>
      </c>
      <c r="H1499" s="169">
        <v>85714.0</v>
      </c>
      <c r="I1499" s="169">
        <v>85714.0</v>
      </c>
      <c r="J1499" s="169">
        <v>0.0</v>
      </c>
      <c r="K1499" s="169">
        <v>1.0</v>
      </c>
      <c r="L1499" s="169">
        <v>0.0</v>
      </c>
    </row>
    <row r="1500" ht="14.25" customHeight="1">
      <c r="A1500" s="169" t="s">
        <v>13996</v>
      </c>
      <c r="B1500" s="169" t="s">
        <v>13996</v>
      </c>
      <c r="C1500" s="169" t="s">
        <v>18613</v>
      </c>
      <c r="D1500" s="169" t="str">
        <f>"606110858267"</f>
        <v>606110858267</v>
      </c>
      <c r="E1500" s="169" t="str">
        <f>"RPOSSA04"</f>
        <v>RPOSSA04</v>
      </c>
      <c r="F1500" s="169" t="s">
        <v>18811</v>
      </c>
      <c r="G1500" s="169">
        <v>2.0</v>
      </c>
      <c r="H1500" s="169">
        <v>85714.0</v>
      </c>
      <c r="I1500" s="169">
        <v>171428.0</v>
      </c>
      <c r="J1500" s="169">
        <v>0.0</v>
      </c>
      <c r="K1500" s="169">
        <v>2.0</v>
      </c>
      <c r="L1500" s="169">
        <v>0.0</v>
      </c>
    </row>
    <row r="1501" ht="14.25" customHeight="1">
      <c r="A1501" s="169" t="s">
        <v>13996</v>
      </c>
      <c r="B1501" s="169" t="s">
        <v>13996</v>
      </c>
      <c r="C1501" s="169" t="s">
        <v>14007</v>
      </c>
      <c r="D1501" s="169" t="str">
        <f>"606110858236"</f>
        <v>606110858236</v>
      </c>
      <c r="E1501" s="169" t="str">
        <f>"RPOSSA01"</f>
        <v>RPOSSA01</v>
      </c>
      <c r="F1501" s="169" t="s">
        <v>18811</v>
      </c>
      <c r="G1501" s="169">
        <v>8.0</v>
      </c>
      <c r="H1501" s="169">
        <v>22689.0</v>
      </c>
      <c r="I1501" s="169">
        <v>181512.0</v>
      </c>
      <c r="J1501" s="169">
        <v>0.0</v>
      </c>
      <c r="K1501" s="169">
        <v>8.0</v>
      </c>
      <c r="L1501" s="169">
        <v>0.0</v>
      </c>
    </row>
    <row r="1502" ht="14.25" customHeight="1">
      <c r="A1502" s="169" t="s">
        <v>9648</v>
      </c>
      <c r="B1502" s="169" t="s">
        <v>14008</v>
      </c>
      <c r="C1502" s="169" t="s">
        <v>14011</v>
      </c>
      <c r="D1502" s="169" t="str">
        <f>"15888900372076"</f>
        <v>15888900372076</v>
      </c>
      <c r="E1502" s="169" t="str">
        <f>"7330033906530"</f>
        <v>7330033906530</v>
      </c>
      <c r="F1502" s="169" t="s">
        <v>18811</v>
      </c>
      <c r="G1502" s="169">
        <v>1.0</v>
      </c>
      <c r="H1502" s="169">
        <v>4647.0</v>
      </c>
      <c r="I1502" s="169">
        <v>4647.0</v>
      </c>
      <c r="J1502" s="169">
        <v>0.0</v>
      </c>
      <c r="K1502" s="169">
        <v>1.0</v>
      </c>
      <c r="L1502" s="169">
        <v>0.0</v>
      </c>
    </row>
    <row r="1503" ht="14.25" customHeight="1">
      <c r="A1503" s="169" t="s">
        <v>14021</v>
      </c>
      <c r="B1503" s="169" t="s">
        <v>14021</v>
      </c>
      <c r="C1503" s="169" t="s">
        <v>18090</v>
      </c>
      <c r="D1503" s="169" t="str">
        <f>"1604005043327"</f>
        <v>1604005043327</v>
      </c>
      <c r="E1503" s="169" t="str">
        <f>"RC-BIL11"</f>
        <v>RC-BIL11</v>
      </c>
      <c r="F1503" s="169" t="s">
        <v>18811</v>
      </c>
      <c r="G1503" s="169">
        <v>5.0</v>
      </c>
      <c r="H1503" s="169">
        <v>11592.0</v>
      </c>
      <c r="I1503" s="169">
        <v>57960.0</v>
      </c>
      <c r="J1503" s="169">
        <v>0.0</v>
      </c>
      <c r="K1503" s="169">
        <v>5.0</v>
      </c>
      <c r="L1503" s="169">
        <v>0.0</v>
      </c>
    </row>
    <row r="1504" ht="14.25" customHeight="1">
      <c r="A1504" s="169" t="s">
        <v>14021</v>
      </c>
      <c r="B1504" s="169" t="s">
        <v>14021</v>
      </c>
      <c r="C1504" s="169" t="s">
        <v>18089</v>
      </c>
      <c r="D1504" s="169" t="str">
        <f>"1655323097937"</f>
        <v>1655323097937</v>
      </c>
      <c r="E1504" s="169" t="str">
        <f>"RC-BIL32"</f>
        <v>RC-BIL32</v>
      </c>
      <c r="F1504" s="169" t="s">
        <v>18811</v>
      </c>
      <c r="G1504" s="169">
        <v>3.0</v>
      </c>
      <c r="H1504" s="169">
        <v>11592.0</v>
      </c>
      <c r="I1504" s="169">
        <v>34776.0</v>
      </c>
      <c r="J1504" s="169">
        <v>0.0</v>
      </c>
      <c r="K1504" s="169">
        <v>3.0</v>
      </c>
      <c r="L1504" s="169">
        <v>0.0</v>
      </c>
    </row>
    <row r="1505" ht="14.25" customHeight="1">
      <c r="A1505" s="169" t="s">
        <v>14021</v>
      </c>
      <c r="B1505" s="169" t="s">
        <v>14021</v>
      </c>
      <c r="C1505" s="169" t="s">
        <v>14076</v>
      </c>
      <c r="D1505" s="169" t="str">
        <f t="shared" ref="D1505:E1505" si="1007">"RC-BIL22"</f>
        <v>RC-BIL22</v>
      </c>
      <c r="E1505" s="169" t="str">
        <f t="shared" si="1007"/>
        <v>RC-BIL22</v>
      </c>
      <c r="F1505" s="169" t="s">
        <v>18811</v>
      </c>
      <c r="G1505" s="169">
        <v>2.0</v>
      </c>
      <c r="H1505" s="169">
        <v>11592.0</v>
      </c>
      <c r="I1505" s="169">
        <v>23184.0</v>
      </c>
      <c r="J1505" s="169">
        <v>0.0</v>
      </c>
      <c r="K1505" s="169">
        <v>2.0</v>
      </c>
      <c r="L1505" s="169">
        <v>0.0</v>
      </c>
    </row>
    <row r="1506" ht="14.25" customHeight="1">
      <c r="A1506" s="169" t="s">
        <v>14021</v>
      </c>
      <c r="B1506" s="169" t="s">
        <v>14021</v>
      </c>
      <c r="C1506" s="169" t="s">
        <v>18088</v>
      </c>
      <c r="D1506" s="169" t="str">
        <f>"1655323143387"</f>
        <v>1655323143387</v>
      </c>
      <c r="E1506" s="169" t="str">
        <f>"RC-BIL44"</f>
        <v>RC-BIL44</v>
      </c>
      <c r="F1506" s="169" t="s">
        <v>18811</v>
      </c>
      <c r="G1506" s="169">
        <v>7.0</v>
      </c>
      <c r="H1506" s="169">
        <v>7558.0</v>
      </c>
      <c r="I1506" s="169">
        <v>52906.0</v>
      </c>
      <c r="J1506" s="169">
        <v>0.0</v>
      </c>
      <c r="K1506" s="169">
        <v>7.0</v>
      </c>
      <c r="L1506" s="169">
        <v>0.0</v>
      </c>
    </row>
    <row r="1507" ht="14.25" customHeight="1">
      <c r="A1507" s="169" t="s">
        <v>14021</v>
      </c>
      <c r="B1507" s="169" t="s">
        <v>14021</v>
      </c>
      <c r="C1507" s="169" t="s">
        <v>18087</v>
      </c>
      <c r="D1507" s="169" t="str">
        <f>"1655323185133"</f>
        <v>1655323185133</v>
      </c>
      <c r="E1507" s="169" t="str">
        <f>"RC-CAR11"</f>
        <v>RC-CAR11</v>
      </c>
      <c r="F1507" s="169" t="s">
        <v>18811</v>
      </c>
      <c r="G1507" s="169">
        <v>6.0</v>
      </c>
      <c r="H1507" s="169">
        <v>20163.0</v>
      </c>
      <c r="I1507" s="169">
        <v>120978.0</v>
      </c>
      <c r="J1507" s="169">
        <v>0.0</v>
      </c>
      <c r="K1507" s="169">
        <v>6.0</v>
      </c>
      <c r="L1507" s="169">
        <v>0.0</v>
      </c>
    </row>
    <row r="1508" ht="14.25" customHeight="1">
      <c r="A1508" s="169" t="s">
        <v>14021</v>
      </c>
      <c r="B1508" s="169" t="s">
        <v>14021</v>
      </c>
      <c r="C1508" s="169" t="s">
        <v>18086</v>
      </c>
      <c r="D1508" s="169" t="str">
        <f t="shared" ref="D1508:E1508" si="1008">"RC-CBL11"</f>
        <v>RC-CBL11</v>
      </c>
      <c r="E1508" s="169" t="str">
        <f t="shared" si="1008"/>
        <v>RC-CBL11</v>
      </c>
      <c r="F1508" s="169" t="s">
        <v>18811</v>
      </c>
      <c r="G1508" s="169">
        <v>1.0</v>
      </c>
      <c r="H1508" s="169">
        <v>15121.0</v>
      </c>
      <c r="I1508" s="169">
        <v>15121.0</v>
      </c>
      <c r="J1508" s="169">
        <v>0.0</v>
      </c>
      <c r="K1508" s="169">
        <v>1.0</v>
      </c>
      <c r="L1508" s="169">
        <v>0.0</v>
      </c>
    </row>
    <row r="1509" ht="14.25" customHeight="1">
      <c r="A1509" s="169" t="s">
        <v>14021</v>
      </c>
      <c r="B1509" s="169" t="s">
        <v>14021</v>
      </c>
      <c r="C1509" s="169" t="s">
        <v>18085</v>
      </c>
      <c r="D1509" s="169" t="str">
        <f t="shared" ref="D1509:E1509" si="1009">"RC-CBM11"</f>
        <v>RC-CBM11</v>
      </c>
      <c r="E1509" s="169" t="str">
        <f t="shared" si="1009"/>
        <v>RC-CBM11</v>
      </c>
      <c r="F1509" s="169" t="s">
        <v>18811</v>
      </c>
      <c r="G1509" s="169">
        <v>5.0</v>
      </c>
      <c r="H1509" s="169">
        <v>15121.0</v>
      </c>
      <c r="I1509" s="169">
        <v>75605.0</v>
      </c>
      <c r="J1509" s="169">
        <v>0.0</v>
      </c>
      <c r="K1509" s="169">
        <v>5.0</v>
      </c>
      <c r="L1509" s="169">
        <v>0.0</v>
      </c>
    </row>
    <row r="1510" ht="14.25" customHeight="1">
      <c r="A1510" s="169" t="s">
        <v>14021</v>
      </c>
      <c r="B1510" s="169" t="s">
        <v>14021</v>
      </c>
      <c r="C1510" s="169" t="s">
        <v>18084</v>
      </c>
      <c r="D1510" s="169" t="str">
        <f t="shared" ref="D1510:E1510" si="1010">"RC-CBS11"</f>
        <v>RC-CBS11</v>
      </c>
      <c r="E1510" s="169" t="str">
        <f t="shared" si="1010"/>
        <v>RC-CBS11</v>
      </c>
      <c r="F1510" s="169" t="s">
        <v>18811</v>
      </c>
      <c r="G1510" s="169">
        <v>4.0</v>
      </c>
      <c r="H1510" s="169">
        <v>15121.0</v>
      </c>
      <c r="I1510" s="169">
        <v>60484.0</v>
      </c>
      <c r="J1510" s="169">
        <v>0.0</v>
      </c>
      <c r="K1510" s="169">
        <v>4.0</v>
      </c>
      <c r="L1510" s="169">
        <v>0.0</v>
      </c>
    </row>
    <row r="1511" ht="14.25" customHeight="1">
      <c r="A1511" s="169" t="s">
        <v>14021</v>
      </c>
      <c r="B1511" s="169" t="s">
        <v>14021</v>
      </c>
      <c r="C1511" s="169" t="s">
        <v>18083</v>
      </c>
      <c r="D1511" s="169" t="str">
        <f t="shared" ref="D1511:E1511" si="1011">"RC-CBL22"</f>
        <v>RC-CBL22</v>
      </c>
      <c r="E1511" s="169" t="str">
        <f t="shared" si="1011"/>
        <v>RC-CBL22</v>
      </c>
      <c r="F1511" s="169" t="s">
        <v>18811</v>
      </c>
      <c r="G1511" s="169">
        <v>2.0</v>
      </c>
      <c r="H1511" s="169">
        <v>15121.0</v>
      </c>
      <c r="I1511" s="169">
        <v>30242.0</v>
      </c>
      <c r="J1511" s="169">
        <v>0.0</v>
      </c>
      <c r="K1511" s="169">
        <v>2.0</v>
      </c>
      <c r="L1511" s="169">
        <v>0.0</v>
      </c>
    </row>
    <row r="1512" ht="14.25" customHeight="1">
      <c r="A1512" s="169" t="s">
        <v>14021</v>
      </c>
      <c r="B1512" s="169" t="s">
        <v>14021</v>
      </c>
      <c r="C1512" s="169" t="s">
        <v>18083</v>
      </c>
      <c r="D1512" s="169" t="str">
        <f t="shared" ref="D1512:E1512" si="1012">"RC-CBM22"</f>
        <v>RC-CBM22</v>
      </c>
      <c r="E1512" s="169" t="str">
        <f t="shared" si="1012"/>
        <v>RC-CBM22</v>
      </c>
      <c r="F1512" s="169" t="s">
        <v>18811</v>
      </c>
      <c r="G1512" s="169">
        <v>6.0</v>
      </c>
      <c r="H1512" s="169">
        <v>15121.0</v>
      </c>
      <c r="I1512" s="169">
        <v>90726.0</v>
      </c>
      <c r="J1512" s="169">
        <v>0.0</v>
      </c>
      <c r="K1512" s="169">
        <v>6.0</v>
      </c>
      <c r="L1512" s="169">
        <v>0.0</v>
      </c>
    </row>
    <row r="1513" ht="14.25" customHeight="1">
      <c r="A1513" s="169" t="s">
        <v>14021</v>
      </c>
      <c r="B1513" s="169" t="s">
        <v>14021</v>
      </c>
      <c r="C1513" s="169" t="s">
        <v>18083</v>
      </c>
      <c r="D1513" s="169" t="str">
        <f t="shared" ref="D1513:E1513" si="1013">"RC-CBXL22"</f>
        <v>RC-CBXL22</v>
      </c>
      <c r="E1513" s="169" t="str">
        <f t="shared" si="1013"/>
        <v>RC-CBXL22</v>
      </c>
      <c r="F1513" s="169" t="s">
        <v>18811</v>
      </c>
      <c r="G1513" s="169">
        <v>2.0</v>
      </c>
      <c r="H1513" s="169">
        <v>15121.0</v>
      </c>
      <c r="I1513" s="169">
        <v>30242.0</v>
      </c>
      <c r="J1513" s="169">
        <v>0.0</v>
      </c>
      <c r="K1513" s="169">
        <v>2.0</v>
      </c>
      <c r="L1513" s="169">
        <v>0.0</v>
      </c>
    </row>
    <row r="1514" ht="14.25" customHeight="1">
      <c r="A1514" s="169" t="s">
        <v>14021</v>
      </c>
      <c r="B1514" s="169" t="s">
        <v>14021</v>
      </c>
      <c r="C1514" s="169" t="s">
        <v>18082</v>
      </c>
      <c r="D1514" s="169" t="str">
        <f t="shared" ref="D1514:E1514" si="1014">"RC-CBS22"</f>
        <v>RC-CBS22</v>
      </c>
      <c r="E1514" s="169" t="str">
        <f t="shared" si="1014"/>
        <v>RC-CBS22</v>
      </c>
      <c r="F1514" s="169" t="s">
        <v>18811</v>
      </c>
      <c r="G1514" s="169">
        <v>1.0</v>
      </c>
      <c r="H1514" s="169">
        <v>15121.0</v>
      </c>
      <c r="I1514" s="169">
        <v>15121.0</v>
      </c>
      <c r="J1514" s="169">
        <v>0.0</v>
      </c>
      <c r="K1514" s="169">
        <v>1.0</v>
      </c>
      <c r="L1514" s="169">
        <v>0.0</v>
      </c>
    </row>
    <row r="1515" ht="14.25" customHeight="1">
      <c r="A1515" s="169" t="s">
        <v>14021</v>
      </c>
      <c r="B1515" s="169" t="s">
        <v>14021</v>
      </c>
      <c r="C1515" s="169" t="s">
        <v>18081</v>
      </c>
      <c r="D1515" s="169" t="str">
        <f t="shared" ref="D1515:E1515" si="1015">"RC-CCL11"</f>
        <v>RC-CCL11</v>
      </c>
      <c r="E1515" s="169" t="str">
        <f t="shared" si="1015"/>
        <v>RC-CCL11</v>
      </c>
      <c r="F1515" s="169" t="s">
        <v>18811</v>
      </c>
      <c r="G1515" s="169">
        <v>7.0</v>
      </c>
      <c r="H1515" s="169">
        <v>12600.0</v>
      </c>
      <c r="I1515" s="169">
        <v>88200.0</v>
      </c>
      <c r="J1515" s="169">
        <v>0.0</v>
      </c>
      <c r="K1515" s="169">
        <v>7.0</v>
      </c>
      <c r="L1515" s="169">
        <v>0.0</v>
      </c>
    </row>
    <row r="1516" ht="14.25" customHeight="1">
      <c r="A1516" s="169" t="s">
        <v>14021</v>
      </c>
      <c r="B1516" s="169" t="s">
        <v>14021</v>
      </c>
      <c r="C1516" s="169" t="s">
        <v>18080</v>
      </c>
      <c r="D1516" s="169" t="str">
        <f t="shared" ref="D1516:E1516" si="1016">"RC-CCM11"</f>
        <v>RC-CCM11</v>
      </c>
      <c r="E1516" s="169" t="str">
        <f t="shared" si="1016"/>
        <v>RC-CCM11</v>
      </c>
      <c r="F1516" s="169" t="s">
        <v>18811</v>
      </c>
      <c r="G1516" s="169">
        <v>2.0</v>
      </c>
      <c r="H1516" s="169">
        <v>12600.0</v>
      </c>
      <c r="I1516" s="169">
        <v>25200.0</v>
      </c>
      <c r="J1516" s="169">
        <v>0.0</v>
      </c>
      <c r="K1516" s="169">
        <v>2.0</v>
      </c>
      <c r="L1516" s="169">
        <v>0.0</v>
      </c>
    </row>
    <row r="1517" ht="14.25" customHeight="1">
      <c r="A1517" s="169" t="s">
        <v>14021</v>
      </c>
      <c r="B1517" s="169" t="s">
        <v>14021</v>
      </c>
      <c r="C1517" s="169" t="s">
        <v>18079</v>
      </c>
      <c r="D1517" s="169" t="str">
        <f t="shared" ref="D1517:E1517" si="1017">"RC-CCS11"</f>
        <v>RC-CCS11</v>
      </c>
      <c r="E1517" s="169" t="str">
        <f t="shared" si="1017"/>
        <v>RC-CCS11</v>
      </c>
      <c r="F1517" s="169" t="s">
        <v>18811</v>
      </c>
      <c r="G1517" s="169">
        <v>1.0</v>
      </c>
      <c r="H1517" s="169">
        <v>12600.0</v>
      </c>
      <c r="I1517" s="169">
        <v>12600.0</v>
      </c>
      <c r="J1517" s="169">
        <v>0.0</v>
      </c>
      <c r="K1517" s="169">
        <v>1.0</v>
      </c>
      <c r="L1517" s="169">
        <v>0.0</v>
      </c>
    </row>
    <row r="1518" ht="14.25" customHeight="1">
      <c r="A1518" s="169" t="s">
        <v>14021</v>
      </c>
      <c r="B1518" s="169" t="s">
        <v>14021</v>
      </c>
      <c r="C1518" s="169" t="s">
        <v>18078</v>
      </c>
      <c r="D1518" s="169" t="str">
        <f t="shared" ref="D1518:E1518" si="1018">"RC-CCX11"</f>
        <v>RC-CCX11</v>
      </c>
      <c r="E1518" s="169" t="str">
        <f t="shared" si="1018"/>
        <v>RC-CCX11</v>
      </c>
      <c r="F1518" s="169" t="s">
        <v>18811</v>
      </c>
      <c r="G1518" s="169">
        <v>5.0</v>
      </c>
      <c r="H1518" s="169">
        <v>12600.0</v>
      </c>
      <c r="I1518" s="169">
        <v>63000.0</v>
      </c>
      <c r="J1518" s="169">
        <v>0.0</v>
      </c>
      <c r="K1518" s="169">
        <v>5.0</v>
      </c>
      <c r="L1518" s="169">
        <v>0.0</v>
      </c>
    </row>
    <row r="1519" ht="14.25" customHeight="1">
      <c r="A1519" s="169" t="s">
        <v>14021</v>
      </c>
      <c r="B1519" s="169" t="s">
        <v>14021</v>
      </c>
      <c r="C1519" s="169" t="s">
        <v>18077</v>
      </c>
      <c r="D1519" s="169" t="str">
        <f t="shared" ref="D1519:E1519" si="1019">"RC-CON55"</f>
        <v>RC-CON55</v>
      </c>
      <c r="E1519" s="169" t="str">
        <f t="shared" si="1019"/>
        <v>RC-CON55</v>
      </c>
      <c r="F1519" s="169" t="s">
        <v>18811</v>
      </c>
      <c r="G1519" s="169">
        <v>1.0</v>
      </c>
      <c r="H1519" s="169">
        <v>35244.0</v>
      </c>
      <c r="I1519" s="169">
        <v>35244.0</v>
      </c>
      <c r="J1519" s="169">
        <v>0.0</v>
      </c>
      <c r="K1519" s="169">
        <v>1.0</v>
      </c>
      <c r="L1519" s="169">
        <v>0.0</v>
      </c>
    </row>
    <row r="1520" ht="14.25" customHeight="1">
      <c r="A1520" s="169" t="s">
        <v>14021</v>
      </c>
      <c r="B1520" s="169" t="s">
        <v>14021</v>
      </c>
      <c r="C1520" s="169" t="s">
        <v>18076</v>
      </c>
      <c r="D1520" s="169" t="str">
        <f t="shared" ref="D1520:E1520" si="1020">"RC-MAR55"</f>
        <v>RC-MAR55</v>
      </c>
      <c r="E1520" s="169" t="str">
        <f t="shared" si="1020"/>
        <v>RC-MAR55</v>
      </c>
      <c r="F1520" s="169" t="s">
        <v>18811</v>
      </c>
      <c r="G1520" s="169">
        <v>2.0</v>
      </c>
      <c r="H1520" s="169">
        <v>35244.0</v>
      </c>
      <c r="I1520" s="169">
        <v>70488.0</v>
      </c>
      <c r="J1520" s="169">
        <v>0.0</v>
      </c>
      <c r="K1520" s="169">
        <v>2.0</v>
      </c>
      <c r="L1520" s="169">
        <v>0.0</v>
      </c>
    </row>
    <row r="1521" ht="14.25" customHeight="1">
      <c r="A1521" s="169" t="s">
        <v>14021</v>
      </c>
      <c r="B1521" s="169" t="s">
        <v>14021</v>
      </c>
      <c r="C1521" s="169" t="s">
        <v>18075</v>
      </c>
      <c r="D1521" s="169" t="str">
        <f t="shared" ref="D1521:E1521" si="1021">"RC-PAI55"</f>
        <v>RC-PAI55</v>
      </c>
      <c r="E1521" s="169" t="str">
        <f t="shared" si="1021"/>
        <v>RC-PAI55</v>
      </c>
      <c r="F1521" s="169" t="s">
        <v>18811</v>
      </c>
      <c r="G1521" s="169">
        <v>2.0</v>
      </c>
      <c r="H1521" s="169">
        <v>35244.0</v>
      </c>
      <c r="I1521" s="169">
        <v>70488.0</v>
      </c>
      <c r="J1521" s="169">
        <v>0.0</v>
      </c>
      <c r="K1521" s="169">
        <v>2.0</v>
      </c>
      <c r="L1521" s="169">
        <v>0.0</v>
      </c>
    </row>
    <row r="1522" ht="14.25" customHeight="1">
      <c r="A1522" s="169" t="s">
        <v>14021</v>
      </c>
      <c r="B1522" s="169" t="s">
        <v>14021</v>
      </c>
      <c r="C1522" s="169" t="s">
        <v>18074</v>
      </c>
      <c r="D1522" s="169" t="str">
        <f t="shared" ref="D1522:E1522" si="1022">"RC-PIG55"</f>
        <v>RC-PIG55</v>
      </c>
      <c r="E1522" s="169" t="str">
        <f t="shared" si="1022"/>
        <v>RC-PIG55</v>
      </c>
      <c r="F1522" s="169" t="s">
        <v>18811</v>
      </c>
      <c r="G1522" s="169">
        <v>1.0</v>
      </c>
      <c r="H1522" s="169">
        <v>35244.0</v>
      </c>
      <c r="I1522" s="169">
        <v>35244.0</v>
      </c>
      <c r="J1522" s="169">
        <v>0.0</v>
      </c>
      <c r="K1522" s="169">
        <v>1.0</v>
      </c>
      <c r="L1522" s="169">
        <v>0.0</v>
      </c>
    </row>
    <row r="1523" ht="14.25" customHeight="1">
      <c r="A1523" s="169" t="s">
        <v>14021</v>
      </c>
      <c r="B1523" s="169" t="s">
        <v>14021</v>
      </c>
      <c r="C1523" s="169" t="s">
        <v>14082</v>
      </c>
      <c r="D1523" s="169" t="str">
        <f t="shared" ref="D1523:E1523" si="1023">"RC-EST11"</f>
        <v>RC-EST11</v>
      </c>
      <c r="E1523" s="169" t="str">
        <f t="shared" si="1023"/>
        <v>RC-EST11</v>
      </c>
      <c r="F1523" s="169" t="s">
        <v>18811</v>
      </c>
      <c r="G1523" s="169">
        <v>3.0</v>
      </c>
      <c r="H1523" s="169">
        <v>6045.0</v>
      </c>
      <c r="I1523" s="169">
        <v>18135.0</v>
      </c>
      <c r="J1523" s="169">
        <v>0.0</v>
      </c>
      <c r="K1523" s="169">
        <v>3.0</v>
      </c>
      <c r="L1523" s="169">
        <v>0.0</v>
      </c>
    </row>
    <row r="1524" ht="14.25" customHeight="1">
      <c r="A1524" s="169" t="s">
        <v>14021</v>
      </c>
      <c r="B1524" s="169" t="s">
        <v>14021</v>
      </c>
      <c r="C1524" s="169" t="s">
        <v>14097</v>
      </c>
      <c r="D1524" s="169" t="str">
        <f t="shared" ref="D1524:E1524" si="1024">"RC-GUA11"</f>
        <v>RC-GUA11</v>
      </c>
      <c r="E1524" s="169" t="str">
        <f t="shared" si="1024"/>
        <v>RC-GUA11</v>
      </c>
      <c r="F1524" s="169" t="s">
        <v>18811</v>
      </c>
      <c r="G1524" s="169">
        <v>7.0</v>
      </c>
      <c r="H1524" s="169">
        <v>7558.0</v>
      </c>
      <c r="I1524" s="169">
        <v>52906.0</v>
      </c>
      <c r="J1524" s="169">
        <v>0.0</v>
      </c>
      <c r="K1524" s="169">
        <v>7.0</v>
      </c>
      <c r="L1524" s="169">
        <v>0.0</v>
      </c>
    </row>
    <row r="1525" ht="14.25" customHeight="1">
      <c r="A1525" s="169" t="s">
        <v>14021</v>
      </c>
      <c r="B1525" s="169" t="s">
        <v>14021</v>
      </c>
      <c r="C1525" s="169" t="s">
        <v>18073</v>
      </c>
      <c r="D1525" s="169" t="str">
        <f>"1658589996618"</f>
        <v>1658589996618</v>
      </c>
      <c r="E1525" s="169" t="str">
        <f>"RC-IDE11"</f>
        <v>RC-IDE11</v>
      </c>
      <c r="F1525" s="169" t="s">
        <v>18811</v>
      </c>
      <c r="G1525" s="169">
        <v>4.0</v>
      </c>
      <c r="H1525" s="169">
        <v>4533.0</v>
      </c>
      <c r="I1525" s="169">
        <v>18132.0</v>
      </c>
      <c r="J1525" s="169">
        <v>0.0</v>
      </c>
      <c r="K1525" s="169">
        <v>4.0</v>
      </c>
      <c r="L1525" s="169">
        <v>0.0</v>
      </c>
    </row>
    <row r="1526" ht="14.25" customHeight="1">
      <c r="A1526" s="169" t="s">
        <v>14021</v>
      </c>
      <c r="B1526" s="169" t="s">
        <v>14021</v>
      </c>
      <c r="C1526" s="169" t="s">
        <v>14095</v>
      </c>
      <c r="D1526" s="169" t="str">
        <f t="shared" ref="D1526:E1526" si="1025">"RC-CAC22"</f>
        <v>RC-CAC22</v>
      </c>
      <c r="E1526" s="169" t="str">
        <f t="shared" si="1025"/>
        <v>RC-CAC22</v>
      </c>
      <c r="F1526" s="169" t="s">
        <v>18811</v>
      </c>
      <c r="G1526" s="169">
        <v>5.0</v>
      </c>
      <c r="H1526" s="169">
        <v>23288.8</v>
      </c>
      <c r="I1526" s="169">
        <v>116444.0</v>
      </c>
      <c r="J1526" s="169">
        <v>1.0</v>
      </c>
      <c r="K1526" s="169">
        <v>4.0</v>
      </c>
      <c r="L1526" s="169">
        <v>0.0</v>
      </c>
    </row>
    <row r="1527" ht="14.25" customHeight="1">
      <c r="A1527" s="169" t="s">
        <v>14021</v>
      </c>
      <c r="B1527" s="169" t="s">
        <v>14021</v>
      </c>
      <c r="C1527" s="169" t="s">
        <v>18072</v>
      </c>
      <c r="D1527" s="169" t="str">
        <f t="shared" ref="D1527:E1527" si="1026">"RC-CAC11"</f>
        <v>RC-CAC11</v>
      </c>
      <c r="E1527" s="169" t="str">
        <f t="shared" si="1026"/>
        <v>RC-CAC11</v>
      </c>
      <c r="F1527" s="169" t="s">
        <v>18811</v>
      </c>
      <c r="G1527" s="169">
        <v>6.0</v>
      </c>
      <c r="H1527" s="169">
        <v>22684.0</v>
      </c>
      <c r="I1527" s="169">
        <v>136104.0</v>
      </c>
      <c r="J1527" s="169">
        <v>0.0</v>
      </c>
      <c r="K1527" s="169">
        <v>6.0</v>
      </c>
      <c r="L1527" s="169">
        <v>0.0</v>
      </c>
    </row>
    <row r="1528" ht="14.25" customHeight="1">
      <c r="A1528" s="169" t="s">
        <v>14021</v>
      </c>
      <c r="B1528" s="169" t="s">
        <v>14021</v>
      </c>
      <c r="C1528" s="169" t="s">
        <v>18071</v>
      </c>
      <c r="D1528" s="169" t="str">
        <f t="shared" ref="D1528:E1528" si="1027">"RC-NAI11"</f>
        <v>RC-NAI11</v>
      </c>
      <c r="E1528" s="169" t="str">
        <f t="shared" si="1027"/>
        <v>RC-NAI11</v>
      </c>
      <c r="F1528" s="169" t="s">
        <v>18811</v>
      </c>
      <c r="G1528" s="169">
        <v>3.0</v>
      </c>
      <c r="H1528" s="169">
        <v>7558.0</v>
      </c>
      <c r="I1528" s="169">
        <v>22674.0</v>
      </c>
      <c r="J1528" s="169">
        <v>0.0</v>
      </c>
      <c r="K1528" s="169">
        <v>3.0</v>
      </c>
      <c r="L1528" s="169">
        <v>0.0</v>
      </c>
    </row>
    <row r="1529" ht="14.25" customHeight="1">
      <c r="A1529" s="169" t="s">
        <v>14021</v>
      </c>
      <c r="B1529" s="169" t="s">
        <v>14021</v>
      </c>
      <c r="C1529" s="169" t="s">
        <v>18070</v>
      </c>
      <c r="D1529" s="169" t="str">
        <f t="shared" ref="D1529:E1529" si="1028">"RC-VER11"</f>
        <v>RC-VER11</v>
      </c>
      <c r="E1529" s="169" t="str">
        <f t="shared" si="1028"/>
        <v>RC-VER11</v>
      </c>
      <c r="F1529" s="169" t="s">
        <v>18811</v>
      </c>
      <c r="G1529" s="169">
        <v>2.0</v>
      </c>
      <c r="H1529" s="169">
        <v>5037.0</v>
      </c>
      <c r="I1529" s="169">
        <v>10074.0</v>
      </c>
      <c r="J1529" s="169">
        <v>0.0</v>
      </c>
      <c r="K1529" s="169">
        <v>2.0</v>
      </c>
      <c r="L1529" s="169">
        <v>0.0</v>
      </c>
    </row>
    <row r="1530" ht="14.25" customHeight="1">
      <c r="A1530" s="169" t="s">
        <v>14021</v>
      </c>
      <c r="B1530" s="169" t="s">
        <v>14021</v>
      </c>
      <c r="C1530" s="169" t="s">
        <v>18069</v>
      </c>
      <c r="D1530" s="169" t="str">
        <f t="shared" ref="D1530:E1530" si="1029">"RC-PAD11"</f>
        <v>RC-PAD11</v>
      </c>
      <c r="E1530" s="169" t="str">
        <f t="shared" si="1029"/>
        <v>RC-PAD11</v>
      </c>
      <c r="F1530" s="169" t="s">
        <v>18811</v>
      </c>
      <c r="G1530" s="169">
        <v>2.0</v>
      </c>
      <c r="H1530" s="169">
        <v>6550.0</v>
      </c>
      <c r="I1530" s="169">
        <v>13100.0</v>
      </c>
      <c r="J1530" s="169">
        <v>0.0</v>
      </c>
      <c r="K1530" s="169">
        <v>2.0</v>
      </c>
      <c r="L1530" s="169">
        <v>0.0</v>
      </c>
    </row>
    <row r="1531" ht="14.25" customHeight="1">
      <c r="A1531" s="169" t="s">
        <v>14021</v>
      </c>
      <c r="B1531" s="169" t="s">
        <v>14021</v>
      </c>
      <c r="C1531" s="169" t="s">
        <v>18068</v>
      </c>
      <c r="D1531" s="169" t="str">
        <f t="shared" ref="D1531:E1531" si="1030">"RC-NEC33"</f>
        <v>RC-NEC33</v>
      </c>
      <c r="E1531" s="169" t="str">
        <f t="shared" si="1030"/>
        <v>RC-NEC33</v>
      </c>
      <c r="F1531" s="169" t="s">
        <v>18811</v>
      </c>
      <c r="G1531" s="169">
        <v>4.0</v>
      </c>
      <c r="H1531" s="169">
        <v>17642.0</v>
      </c>
      <c r="I1531" s="169">
        <v>70568.0</v>
      </c>
      <c r="J1531" s="169">
        <v>0.0</v>
      </c>
      <c r="K1531" s="169">
        <v>4.0</v>
      </c>
      <c r="L1531" s="169">
        <v>0.0</v>
      </c>
    </row>
    <row r="1532" ht="14.25" customHeight="1">
      <c r="A1532" s="169" t="s">
        <v>14021</v>
      </c>
      <c r="B1532" s="169" t="s">
        <v>14021</v>
      </c>
      <c r="C1532" s="169" t="s">
        <v>18067</v>
      </c>
      <c r="D1532" s="169" t="str">
        <f t="shared" ref="D1532:E1532" si="1031">"RC-NEC22"</f>
        <v>RC-NEC22</v>
      </c>
      <c r="E1532" s="169" t="str">
        <f t="shared" si="1031"/>
        <v>RC-NEC22</v>
      </c>
      <c r="F1532" s="169" t="s">
        <v>18811</v>
      </c>
      <c r="G1532" s="169">
        <v>4.0</v>
      </c>
      <c r="H1532" s="169">
        <v>22684.0</v>
      </c>
      <c r="I1532" s="169">
        <v>90736.0</v>
      </c>
      <c r="J1532" s="169">
        <v>0.0</v>
      </c>
      <c r="K1532" s="169">
        <v>4.0</v>
      </c>
      <c r="L1532" s="169">
        <v>0.0</v>
      </c>
    </row>
    <row r="1533" ht="14.25" customHeight="1">
      <c r="A1533" s="169" t="s">
        <v>14021</v>
      </c>
      <c r="B1533" s="169" t="s">
        <v>14021</v>
      </c>
      <c r="C1533" s="169" t="s">
        <v>14089</v>
      </c>
      <c r="D1533" s="169" t="str">
        <f t="shared" ref="D1533:E1533" si="1032">"RC-NEC44"</f>
        <v>RC-NEC44</v>
      </c>
      <c r="E1533" s="169" t="str">
        <f t="shared" si="1032"/>
        <v>RC-NEC44</v>
      </c>
      <c r="F1533" s="169" t="s">
        <v>18811</v>
      </c>
      <c r="G1533" s="169">
        <v>4.0</v>
      </c>
      <c r="H1533" s="169">
        <v>15121.0</v>
      </c>
      <c r="I1533" s="169">
        <v>60484.0</v>
      </c>
      <c r="J1533" s="169">
        <v>0.0</v>
      </c>
      <c r="K1533" s="169">
        <v>4.0</v>
      </c>
      <c r="L1533" s="169">
        <v>0.0</v>
      </c>
    </row>
    <row r="1534" ht="14.25" customHeight="1">
      <c r="A1534" s="169" t="s">
        <v>14021</v>
      </c>
      <c r="B1534" s="169" t="s">
        <v>14021</v>
      </c>
      <c r="C1534" s="169" t="s">
        <v>14107</v>
      </c>
      <c r="D1534" s="169" t="str">
        <f t="shared" ref="D1534:E1534" si="1033">"RC-PEC33"</f>
        <v>RC-PEC33</v>
      </c>
      <c r="E1534" s="169" t="str">
        <f t="shared" si="1033"/>
        <v>RC-PEC33</v>
      </c>
      <c r="F1534" s="169" t="s">
        <v>18811</v>
      </c>
      <c r="G1534" s="169">
        <v>1.0</v>
      </c>
      <c r="H1534" s="169">
        <v>13608.0</v>
      </c>
      <c r="I1534" s="169">
        <v>13608.0</v>
      </c>
      <c r="J1534" s="169">
        <v>0.0</v>
      </c>
      <c r="K1534" s="169">
        <v>1.0</v>
      </c>
      <c r="L1534" s="169">
        <v>0.0</v>
      </c>
    </row>
    <row r="1535" ht="14.25" customHeight="1">
      <c r="A1535" s="169" t="s">
        <v>14021</v>
      </c>
      <c r="B1535" s="169" t="s">
        <v>14021</v>
      </c>
      <c r="C1535" s="169" t="s">
        <v>18066</v>
      </c>
      <c r="D1535" s="169" t="str">
        <f t="shared" ref="D1535:E1535" si="1034">"RC-PEC22"</f>
        <v>RC-PEC22</v>
      </c>
      <c r="E1535" s="169" t="str">
        <f t="shared" si="1034"/>
        <v>RC-PEC22</v>
      </c>
      <c r="F1535" s="169" t="s">
        <v>18811</v>
      </c>
      <c r="G1535" s="169">
        <v>7.0</v>
      </c>
      <c r="H1535" s="169">
        <v>13104.0</v>
      </c>
      <c r="I1535" s="169">
        <v>91728.0</v>
      </c>
      <c r="J1535" s="169">
        <v>0.0</v>
      </c>
      <c r="K1535" s="169">
        <v>7.0</v>
      </c>
      <c r="L1535" s="169">
        <v>0.0</v>
      </c>
    </row>
    <row r="1536" ht="14.25" customHeight="1">
      <c r="A1536" s="169" t="s">
        <v>14021</v>
      </c>
      <c r="B1536" s="169" t="s">
        <v>14021</v>
      </c>
      <c r="C1536" s="169" t="s">
        <v>14070</v>
      </c>
      <c r="D1536" s="169" t="str">
        <f t="shared" ref="D1536:E1536" si="1035">"RC-MOS11"</f>
        <v>RC-MOS11</v>
      </c>
      <c r="E1536" s="169" t="str">
        <f t="shared" si="1035"/>
        <v>RC-MOS11</v>
      </c>
      <c r="F1536" s="169" t="s">
        <v>18811</v>
      </c>
      <c r="G1536" s="169">
        <v>6.0</v>
      </c>
      <c r="H1536" s="169">
        <v>10079.0</v>
      </c>
      <c r="I1536" s="169">
        <v>60474.0</v>
      </c>
      <c r="J1536" s="169">
        <v>0.0</v>
      </c>
      <c r="K1536" s="169">
        <v>6.0</v>
      </c>
      <c r="L1536" s="169">
        <v>0.0</v>
      </c>
    </row>
    <row r="1537" ht="14.25" customHeight="1">
      <c r="A1537" s="169" t="s">
        <v>14021</v>
      </c>
      <c r="B1537" s="169" t="s">
        <v>14021</v>
      </c>
      <c r="C1537" s="169" t="s">
        <v>14081</v>
      </c>
      <c r="D1537" s="169" t="str">
        <f t="shared" ref="D1537:E1537" si="1036">"RC-PAS11"</f>
        <v>RC-PAS11</v>
      </c>
      <c r="E1537" s="169" t="str">
        <f t="shared" si="1036"/>
        <v>RC-PAS11</v>
      </c>
      <c r="F1537" s="169" t="s">
        <v>18811</v>
      </c>
      <c r="G1537" s="169">
        <v>1.0</v>
      </c>
      <c r="H1537" s="169">
        <v>11087.0</v>
      </c>
      <c r="I1537" s="169">
        <v>11087.0</v>
      </c>
      <c r="J1537" s="169">
        <v>0.0</v>
      </c>
      <c r="K1537" s="169">
        <v>1.0</v>
      </c>
      <c r="L1537" s="169">
        <v>0.0</v>
      </c>
    </row>
    <row r="1538" ht="14.25" customHeight="1">
      <c r="A1538" s="169" t="s">
        <v>14021</v>
      </c>
      <c r="B1538" s="169" t="s">
        <v>14021</v>
      </c>
      <c r="C1538" s="169" t="s">
        <v>14093</v>
      </c>
      <c r="D1538" s="169" t="str">
        <f t="shared" ref="D1538:E1538" si="1037">"RC-COW22"</f>
        <v>RC-COW22</v>
      </c>
      <c r="E1538" s="169" t="str">
        <f t="shared" si="1037"/>
        <v>RC-COW22</v>
      </c>
      <c r="F1538" s="169" t="s">
        <v>18811</v>
      </c>
      <c r="G1538" s="169">
        <v>4.0</v>
      </c>
      <c r="H1538" s="169">
        <v>7558.0</v>
      </c>
      <c r="I1538" s="169">
        <v>30232.0</v>
      </c>
      <c r="J1538" s="169">
        <v>0.0</v>
      </c>
      <c r="K1538" s="169">
        <v>4.0</v>
      </c>
      <c r="L1538" s="169">
        <v>0.0</v>
      </c>
    </row>
    <row r="1539" ht="14.25" customHeight="1">
      <c r="A1539" s="169" t="s">
        <v>7023</v>
      </c>
      <c r="B1539" s="169" t="s">
        <v>14134</v>
      </c>
      <c r="C1539" s="169" t="s">
        <v>18743</v>
      </c>
      <c r="D1539" s="169" t="str">
        <f>"610840291089"</f>
        <v>610840291089</v>
      </c>
      <c r="E1539" s="169" t="str">
        <f>"ST001"</f>
        <v>ST001</v>
      </c>
      <c r="F1539" s="169" t="s">
        <v>18811</v>
      </c>
      <c r="G1539" s="169">
        <v>1.0</v>
      </c>
      <c r="H1539" s="169">
        <v>6714.0</v>
      </c>
      <c r="I1539" s="169">
        <v>6714.0</v>
      </c>
      <c r="J1539" s="169">
        <v>0.0</v>
      </c>
      <c r="K1539" s="169">
        <v>1.0</v>
      </c>
      <c r="L1539" s="169">
        <v>0.0</v>
      </c>
    </row>
    <row r="1540" ht="14.25" customHeight="1">
      <c r="A1540" s="169" t="s">
        <v>16884</v>
      </c>
      <c r="B1540" s="169" t="s">
        <v>18709</v>
      </c>
      <c r="C1540" s="170"/>
      <c r="D1540" s="169" t="str">
        <f t="shared" ref="D1540:E1540" si="1038">"66782882621304"</f>
        <v>66782882621304</v>
      </c>
      <c r="E1540" s="169" t="str">
        <f t="shared" si="1038"/>
        <v>66782882621304</v>
      </c>
      <c r="F1540" s="169" t="s">
        <v>18811</v>
      </c>
      <c r="G1540" s="169">
        <v>5.0</v>
      </c>
      <c r="H1540" s="169">
        <v>23048.0</v>
      </c>
      <c r="I1540" s="169">
        <v>115240.0</v>
      </c>
      <c r="J1540" s="169">
        <v>0.0</v>
      </c>
      <c r="K1540" s="169">
        <v>5.0</v>
      </c>
      <c r="L1540" s="169">
        <v>0.0</v>
      </c>
    </row>
    <row r="1541" ht="14.25" customHeight="1">
      <c r="A1541" s="169" t="s">
        <v>18810</v>
      </c>
      <c r="B1541" s="169" t="s">
        <v>14254</v>
      </c>
      <c r="C1541" s="169" t="s">
        <v>18556</v>
      </c>
      <c r="D1541" s="169" t="str">
        <f t="shared" ref="D1541:E1541" si="1039">"6182252"</f>
        <v>6182252</v>
      </c>
      <c r="E1541" s="169" t="str">
        <f t="shared" si="1039"/>
        <v>6182252</v>
      </c>
      <c r="F1541" s="169" t="s">
        <v>18811</v>
      </c>
      <c r="G1541" s="169">
        <v>3.0</v>
      </c>
      <c r="H1541" s="169">
        <v>8000.0</v>
      </c>
      <c r="I1541" s="169">
        <v>24000.0</v>
      </c>
      <c r="J1541" s="169">
        <v>0.0</v>
      </c>
      <c r="K1541" s="169">
        <v>3.0</v>
      </c>
      <c r="L1541" s="169">
        <v>0.0</v>
      </c>
    </row>
    <row r="1542" ht="14.25" customHeight="1">
      <c r="A1542" s="169" t="s">
        <v>18810</v>
      </c>
      <c r="B1542" s="169" t="s">
        <v>14254</v>
      </c>
      <c r="C1542" s="169" t="s">
        <v>18554</v>
      </c>
      <c r="D1542" s="169" t="str">
        <f t="shared" ref="D1542:E1542" si="1040">"6181104"</f>
        <v>6181104</v>
      </c>
      <c r="E1542" s="169" t="str">
        <f t="shared" si="1040"/>
        <v>6181104</v>
      </c>
      <c r="F1542" s="169" t="s">
        <v>18811</v>
      </c>
      <c r="G1542" s="169">
        <v>3.0</v>
      </c>
      <c r="H1542" s="169">
        <v>4800.0</v>
      </c>
      <c r="I1542" s="169">
        <v>14400.0</v>
      </c>
      <c r="J1542" s="169">
        <v>0.0</v>
      </c>
      <c r="K1542" s="169">
        <v>3.0</v>
      </c>
      <c r="L1542" s="169">
        <v>0.0</v>
      </c>
    </row>
    <row r="1543" ht="14.25" customHeight="1">
      <c r="A1543" s="169" t="s">
        <v>18810</v>
      </c>
      <c r="B1543" s="169" t="s">
        <v>14254</v>
      </c>
      <c r="C1543" s="169" t="s">
        <v>18552</v>
      </c>
      <c r="D1543" s="169" t="str">
        <f t="shared" ref="D1543:E1543" si="1041">"6181105"</f>
        <v>6181105</v>
      </c>
      <c r="E1543" s="169" t="str">
        <f t="shared" si="1041"/>
        <v>6181105</v>
      </c>
      <c r="F1543" s="169" t="s">
        <v>18811</v>
      </c>
      <c r="G1543" s="169">
        <v>3.0</v>
      </c>
      <c r="H1543" s="169">
        <v>4800.0</v>
      </c>
      <c r="I1543" s="169">
        <v>14400.0</v>
      </c>
      <c r="J1543" s="169">
        <v>0.0</v>
      </c>
      <c r="K1543" s="169">
        <v>3.0</v>
      </c>
      <c r="L1543" s="169">
        <v>0.0</v>
      </c>
    </row>
    <row r="1544" ht="14.25" customHeight="1">
      <c r="A1544" s="169" t="s">
        <v>18810</v>
      </c>
      <c r="B1544" s="169" t="s">
        <v>14254</v>
      </c>
      <c r="C1544" s="169" t="s">
        <v>18550</v>
      </c>
      <c r="D1544" s="169" t="str">
        <f t="shared" ref="D1544:E1544" si="1042">"6181103"</f>
        <v>6181103</v>
      </c>
      <c r="E1544" s="169" t="str">
        <f t="shared" si="1042"/>
        <v>6181103</v>
      </c>
      <c r="F1544" s="169" t="s">
        <v>18811</v>
      </c>
      <c r="G1544" s="169">
        <v>3.0</v>
      </c>
      <c r="H1544" s="169">
        <v>4800.0</v>
      </c>
      <c r="I1544" s="169">
        <v>14400.0</v>
      </c>
      <c r="J1544" s="169">
        <v>0.0</v>
      </c>
      <c r="K1544" s="169">
        <v>3.0</v>
      </c>
      <c r="L1544" s="169">
        <v>0.0</v>
      </c>
    </row>
    <row r="1545" ht="14.25" customHeight="1">
      <c r="A1545" s="169" t="s">
        <v>18810</v>
      </c>
      <c r="B1545" s="169" t="s">
        <v>14254</v>
      </c>
      <c r="C1545" s="169" t="s">
        <v>18548</v>
      </c>
      <c r="D1545" s="169" t="str">
        <f t="shared" ref="D1545:E1545" si="1043">"6181096"</f>
        <v>6181096</v>
      </c>
      <c r="E1545" s="169" t="str">
        <f t="shared" si="1043"/>
        <v>6181096</v>
      </c>
      <c r="F1545" s="169" t="s">
        <v>18811</v>
      </c>
      <c r="G1545" s="169">
        <v>2.0</v>
      </c>
      <c r="H1545" s="169">
        <v>8000.0</v>
      </c>
      <c r="I1545" s="169">
        <v>16000.0</v>
      </c>
      <c r="J1545" s="169">
        <v>0.0</v>
      </c>
      <c r="K1545" s="169">
        <v>2.0</v>
      </c>
      <c r="L1545" s="169">
        <v>0.0</v>
      </c>
    </row>
    <row r="1546" ht="14.25" customHeight="1">
      <c r="A1546" s="169" t="s">
        <v>18810</v>
      </c>
      <c r="B1546" s="169" t="s">
        <v>14254</v>
      </c>
      <c r="C1546" s="169" t="s">
        <v>18546</v>
      </c>
      <c r="D1546" s="169" t="str">
        <f t="shared" ref="D1546:E1546" si="1044">"6181088"</f>
        <v>6181088</v>
      </c>
      <c r="E1546" s="169" t="str">
        <f t="shared" si="1044"/>
        <v>6181088</v>
      </c>
      <c r="F1546" s="169" t="s">
        <v>18811</v>
      </c>
      <c r="G1546" s="169">
        <v>4.0</v>
      </c>
      <c r="H1546" s="169">
        <v>10600.0</v>
      </c>
      <c r="I1546" s="169">
        <v>42400.0</v>
      </c>
      <c r="J1546" s="169">
        <v>0.0</v>
      </c>
      <c r="K1546" s="169">
        <v>4.0</v>
      </c>
      <c r="L1546" s="169">
        <v>0.0</v>
      </c>
    </row>
    <row r="1547" ht="14.25" customHeight="1">
      <c r="A1547" s="169" t="s">
        <v>18810</v>
      </c>
      <c r="B1547" s="169" t="s">
        <v>14254</v>
      </c>
      <c r="C1547" s="169" t="s">
        <v>18544</v>
      </c>
      <c r="D1547" s="169" t="str">
        <f t="shared" ref="D1547:E1547" si="1045">"6181097"</f>
        <v>6181097</v>
      </c>
      <c r="E1547" s="169" t="str">
        <f t="shared" si="1045"/>
        <v>6181097</v>
      </c>
      <c r="F1547" s="169" t="s">
        <v>18811</v>
      </c>
      <c r="G1547" s="169">
        <v>4.0</v>
      </c>
      <c r="H1547" s="169">
        <v>7800.0</v>
      </c>
      <c r="I1547" s="169">
        <v>31200.0</v>
      </c>
      <c r="J1547" s="169">
        <v>0.0</v>
      </c>
      <c r="K1547" s="169">
        <v>4.0</v>
      </c>
      <c r="L1547" s="169">
        <v>0.0</v>
      </c>
    </row>
    <row r="1548" ht="14.25" customHeight="1">
      <c r="A1548" s="169" t="s">
        <v>18810</v>
      </c>
      <c r="B1548" s="169" t="s">
        <v>14254</v>
      </c>
      <c r="C1548" s="169" t="s">
        <v>18542</v>
      </c>
      <c r="D1548" s="169" t="str">
        <f t="shared" ref="D1548:E1548" si="1046">"6181072"</f>
        <v>6181072</v>
      </c>
      <c r="E1548" s="169" t="str">
        <f t="shared" si="1046"/>
        <v>6181072</v>
      </c>
      <c r="F1548" s="169" t="s">
        <v>18811</v>
      </c>
      <c r="G1548" s="169">
        <v>2.0</v>
      </c>
      <c r="H1548" s="169">
        <v>7200.0</v>
      </c>
      <c r="I1548" s="169">
        <v>14400.0</v>
      </c>
      <c r="J1548" s="169">
        <v>0.0</v>
      </c>
      <c r="K1548" s="169">
        <v>2.0</v>
      </c>
      <c r="L1548" s="169">
        <v>0.0</v>
      </c>
    </row>
    <row r="1549" ht="14.25" customHeight="1">
      <c r="A1549" s="169" t="s">
        <v>18810</v>
      </c>
      <c r="B1549" s="169" t="s">
        <v>14254</v>
      </c>
      <c r="C1549" s="169" t="s">
        <v>18540</v>
      </c>
      <c r="D1549" s="169" t="str">
        <f t="shared" ref="D1549:E1549" si="1047">"6182205"</f>
        <v>6182205</v>
      </c>
      <c r="E1549" s="169" t="str">
        <f t="shared" si="1047"/>
        <v>6182205</v>
      </c>
      <c r="F1549" s="169" t="s">
        <v>18811</v>
      </c>
      <c r="G1549" s="169">
        <v>2.0</v>
      </c>
      <c r="H1549" s="169">
        <v>10000.0</v>
      </c>
      <c r="I1549" s="169">
        <v>20000.0</v>
      </c>
      <c r="J1549" s="169">
        <v>0.0</v>
      </c>
      <c r="K1549" s="169">
        <v>2.0</v>
      </c>
      <c r="L1549" s="169">
        <v>0.0</v>
      </c>
    </row>
    <row r="1550" ht="14.25" customHeight="1">
      <c r="A1550" s="169" t="s">
        <v>18810</v>
      </c>
      <c r="B1550" s="169" t="s">
        <v>14254</v>
      </c>
      <c r="C1550" s="169" t="s">
        <v>18538</v>
      </c>
      <c r="D1550" s="169" t="str">
        <f t="shared" ref="D1550:E1550" si="1048">"6182204"</f>
        <v>6182204</v>
      </c>
      <c r="E1550" s="169" t="str">
        <f t="shared" si="1048"/>
        <v>6182204</v>
      </c>
      <c r="F1550" s="169" t="s">
        <v>18811</v>
      </c>
      <c r="G1550" s="169">
        <v>4.0</v>
      </c>
      <c r="H1550" s="169">
        <v>10000.0</v>
      </c>
      <c r="I1550" s="169">
        <v>40000.0</v>
      </c>
      <c r="J1550" s="169">
        <v>0.0</v>
      </c>
      <c r="K1550" s="169">
        <v>4.0</v>
      </c>
      <c r="L1550" s="169">
        <v>0.0</v>
      </c>
    </row>
    <row r="1551" ht="14.25" customHeight="1">
      <c r="A1551" s="169" t="s">
        <v>18810</v>
      </c>
      <c r="B1551" s="169" t="s">
        <v>14254</v>
      </c>
      <c r="C1551" s="169" t="s">
        <v>18536</v>
      </c>
      <c r="D1551" s="169" t="str">
        <f t="shared" ref="D1551:E1551" si="1049">"6182251"</f>
        <v>6182251</v>
      </c>
      <c r="E1551" s="169" t="str">
        <f t="shared" si="1049"/>
        <v>6182251</v>
      </c>
      <c r="F1551" s="169" t="s">
        <v>18811</v>
      </c>
      <c r="G1551" s="169">
        <v>4.0</v>
      </c>
      <c r="H1551" s="169">
        <v>7250.0</v>
      </c>
      <c r="I1551" s="169">
        <v>29000.0</v>
      </c>
      <c r="J1551" s="169">
        <v>0.0</v>
      </c>
      <c r="K1551" s="169">
        <v>4.0</v>
      </c>
      <c r="L1551" s="169">
        <v>0.0</v>
      </c>
    </row>
    <row r="1552" ht="14.25" customHeight="1">
      <c r="A1552" s="169" t="s">
        <v>18810</v>
      </c>
      <c r="B1552" s="169" t="s">
        <v>14254</v>
      </c>
      <c r="C1552" s="169" t="s">
        <v>18534</v>
      </c>
      <c r="D1552" s="169" t="str">
        <f t="shared" ref="D1552:E1552" si="1050">"6182254"</f>
        <v>6182254</v>
      </c>
      <c r="E1552" s="169" t="str">
        <f t="shared" si="1050"/>
        <v>6182254</v>
      </c>
      <c r="F1552" s="169" t="s">
        <v>18811</v>
      </c>
      <c r="G1552" s="169">
        <v>4.0</v>
      </c>
      <c r="H1552" s="169">
        <v>7250.0</v>
      </c>
      <c r="I1552" s="169">
        <v>29000.0</v>
      </c>
      <c r="J1552" s="169">
        <v>0.0</v>
      </c>
      <c r="K1552" s="169">
        <v>4.0</v>
      </c>
      <c r="L1552" s="169">
        <v>0.0</v>
      </c>
    </row>
    <row r="1553" ht="14.25" customHeight="1">
      <c r="A1553" s="169" t="s">
        <v>18810</v>
      </c>
      <c r="B1553" s="169" t="s">
        <v>14254</v>
      </c>
      <c r="C1553" s="169" t="s">
        <v>18532</v>
      </c>
      <c r="D1553" s="169" t="str">
        <f t="shared" ref="D1553:E1553" si="1051">"6181109"</f>
        <v>6181109</v>
      </c>
      <c r="E1553" s="169" t="str">
        <f t="shared" si="1051"/>
        <v>6181109</v>
      </c>
      <c r="F1553" s="169" t="s">
        <v>18811</v>
      </c>
      <c r="G1553" s="169">
        <v>3.0</v>
      </c>
      <c r="H1553" s="169">
        <v>8100.0</v>
      </c>
      <c r="I1553" s="169">
        <v>24300.0</v>
      </c>
      <c r="J1553" s="169">
        <v>0.0</v>
      </c>
      <c r="K1553" s="169">
        <v>3.0</v>
      </c>
      <c r="L1553" s="169">
        <v>0.0</v>
      </c>
    </row>
    <row r="1554" ht="14.25" customHeight="1">
      <c r="A1554" s="169" t="s">
        <v>18810</v>
      </c>
      <c r="B1554" s="169" t="s">
        <v>14254</v>
      </c>
      <c r="C1554" s="169" t="s">
        <v>18530</v>
      </c>
      <c r="D1554" s="169" t="str">
        <f t="shared" ref="D1554:E1554" si="1052">"6181076"</f>
        <v>6181076</v>
      </c>
      <c r="E1554" s="169" t="str">
        <f t="shared" si="1052"/>
        <v>6181076</v>
      </c>
      <c r="F1554" s="169" t="s">
        <v>18811</v>
      </c>
      <c r="G1554" s="169">
        <v>4.0</v>
      </c>
      <c r="H1554" s="169">
        <v>7950.0</v>
      </c>
      <c r="I1554" s="169">
        <v>31800.0</v>
      </c>
      <c r="J1554" s="169">
        <v>0.0</v>
      </c>
      <c r="K1554" s="169">
        <v>4.0</v>
      </c>
      <c r="L1554" s="169">
        <v>0.0</v>
      </c>
    </row>
    <row r="1555" ht="14.25" customHeight="1">
      <c r="A1555" s="169" t="s">
        <v>18810</v>
      </c>
      <c r="B1555" s="169" t="s">
        <v>14254</v>
      </c>
      <c r="C1555" s="169" t="s">
        <v>18528</v>
      </c>
      <c r="D1555" s="169" t="str">
        <f t="shared" ref="D1555:E1555" si="1053">"6181094"</f>
        <v>6181094</v>
      </c>
      <c r="E1555" s="169" t="str">
        <f t="shared" si="1053"/>
        <v>6181094</v>
      </c>
      <c r="F1555" s="169" t="s">
        <v>18811</v>
      </c>
      <c r="G1555" s="169">
        <v>3.0</v>
      </c>
      <c r="H1555" s="169">
        <v>6400.0</v>
      </c>
      <c r="I1555" s="169">
        <v>19200.0</v>
      </c>
      <c r="J1555" s="169">
        <v>0.0</v>
      </c>
      <c r="K1555" s="169">
        <v>3.0</v>
      </c>
      <c r="L1555" s="169">
        <v>0.0</v>
      </c>
    </row>
    <row r="1556" ht="14.25" customHeight="1">
      <c r="A1556" s="169" t="s">
        <v>18810</v>
      </c>
      <c r="B1556" s="169" t="s">
        <v>14254</v>
      </c>
      <c r="C1556" s="169" t="s">
        <v>18526</v>
      </c>
      <c r="D1556" s="169" t="str">
        <f t="shared" ref="D1556:E1556" si="1054">"6181095"</f>
        <v>6181095</v>
      </c>
      <c r="E1556" s="169" t="str">
        <f t="shared" si="1054"/>
        <v>6181095</v>
      </c>
      <c r="F1556" s="169" t="s">
        <v>18811</v>
      </c>
      <c r="G1556" s="169">
        <v>4.0</v>
      </c>
      <c r="H1556" s="169">
        <v>6400.0</v>
      </c>
      <c r="I1556" s="169">
        <v>25600.0</v>
      </c>
      <c r="J1556" s="169">
        <v>0.0</v>
      </c>
      <c r="K1556" s="169">
        <v>4.0</v>
      </c>
      <c r="L1556" s="169">
        <v>0.0</v>
      </c>
    </row>
    <row r="1557" ht="14.25" customHeight="1">
      <c r="A1557" s="169" t="s">
        <v>18810</v>
      </c>
      <c r="B1557" s="169" t="s">
        <v>14254</v>
      </c>
      <c r="C1557" s="169" t="s">
        <v>18524</v>
      </c>
      <c r="D1557" s="169" t="str">
        <f t="shared" ref="D1557:E1557" si="1055">"6181195"</f>
        <v>6181195</v>
      </c>
      <c r="E1557" s="169" t="str">
        <f t="shared" si="1055"/>
        <v>6181195</v>
      </c>
      <c r="F1557" s="169" t="s">
        <v>18811</v>
      </c>
      <c r="G1557" s="169">
        <v>3.0</v>
      </c>
      <c r="H1557" s="169">
        <v>4900.0</v>
      </c>
      <c r="I1557" s="169">
        <v>14700.0</v>
      </c>
      <c r="J1557" s="169">
        <v>0.0</v>
      </c>
      <c r="K1557" s="169">
        <v>3.0</v>
      </c>
      <c r="L1557" s="169">
        <v>0.0</v>
      </c>
    </row>
    <row r="1558" ht="14.25" customHeight="1">
      <c r="A1558" s="169" t="s">
        <v>18810</v>
      </c>
      <c r="B1558" s="169" t="s">
        <v>14254</v>
      </c>
      <c r="C1558" s="169" t="s">
        <v>18522</v>
      </c>
      <c r="D1558" s="169" t="str">
        <f t="shared" ref="D1558:E1558" si="1056">"6181194"</f>
        <v>6181194</v>
      </c>
      <c r="E1558" s="169" t="str">
        <f t="shared" si="1056"/>
        <v>6181194</v>
      </c>
      <c r="F1558" s="169" t="s">
        <v>18811</v>
      </c>
      <c r="G1558" s="169">
        <v>3.0</v>
      </c>
      <c r="H1558" s="169">
        <v>4900.0</v>
      </c>
      <c r="I1558" s="169">
        <v>14700.0</v>
      </c>
      <c r="J1558" s="169">
        <v>0.0</v>
      </c>
      <c r="K1558" s="169">
        <v>3.0</v>
      </c>
      <c r="L1558" s="169">
        <v>0.0</v>
      </c>
    </row>
    <row r="1559" ht="14.25" customHeight="1">
      <c r="A1559" s="169" t="s">
        <v>18810</v>
      </c>
      <c r="B1559" s="169" t="s">
        <v>14254</v>
      </c>
      <c r="C1559" s="169" t="s">
        <v>18520</v>
      </c>
      <c r="D1559" s="169" t="str">
        <f t="shared" ref="D1559:E1559" si="1057">"6181111"</f>
        <v>6181111</v>
      </c>
      <c r="E1559" s="169" t="str">
        <f t="shared" si="1057"/>
        <v>6181111</v>
      </c>
      <c r="F1559" s="169" t="s">
        <v>18811</v>
      </c>
      <c r="G1559" s="169">
        <v>4.0</v>
      </c>
      <c r="H1559" s="169">
        <v>8500.0</v>
      </c>
      <c r="I1559" s="169">
        <v>34000.0</v>
      </c>
      <c r="J1559" s="169">
        <v>0.0</v>
      </c>
      <c r="K1559" s="169">
        <v>4.0</v>
      </c>
      <c r="L1559" s="169">
        <v>0.0</v>
      </c>
    </row>
    <row r="1560" ht="14.25" customHeight="1">
      <c r="A1560" s="169" t="s">
        <v>18810</v>
      </c>
      <c r="B1560" s="169" t="s">
        <v>14254</v>
      </c>
      <c r="C1560" s="169" t="s">
        <v>18518</v>
      </c>
      <c r="D1560" s="169" t="str">
        <f t="shared" ref="D1560:E1560" si="1058">"6181110"</f>
        <v>6181110</v>
      </c>
      <c r="E1560" s="169" t="str">
        <f t="shared" si="1058"/>
        <v>6181110</v>
      </c>
      <c r="F1560" s="169" t="s">
        <v>18811</v>
      </c>
      <c r="G1560" s="169">
        <v>4.0</v>
      </c>
      <c r="H1560" s="169">
        <v>8100.0</v>
      </c>
      <c r="I1560" s="169">
        <v>32400.0</v>
      </c>
      <c r="J1560" s="169">
        <v>0.0</v>
      </c>
      <c r="K1560" s="169">
        <v>4.0</v>
      </c>
      <c r="L1560" s="169">
        <v>0.0</v>
      </c>
    </row>
    <row r="1561" ht="14.25" customHeight="1">
      <c r="A1561" s="169" t="s">
        <v>18810</v>
      </c>
      <c r="B1561" s="169" t="s">
        <v>14254</v>
      </c>
      <c r="C1561" s="169" t="s">
        <v>18516</v>
      </c>
      <c r="D1561" s="169" t="str">
        <f t="shared" ref="D1561:E1561" si="1059">"6181140"</f>
        <v>6181140</v>
      </c>
      <c r="E1561" s="169" t="str">
        <f t="shared" si="1059"/>
        <v>6181140</v>
      </c>
      <c r="F1561" s="169" t="s">
        <v>18811</v>
      </c>
      <c r="G1561" s="169">
        <v>4.0</v>
      </c>
      <c r="H1561" s="169">
        <v>9000.0</v>
      </c>
      <c r="I1561" s="169">
        <v>36000.0</v>
      </c>
      <c r="J1561" s="169">
        <v>0.0</v>
      </c>
      <c r="K1561" s="169">
        <v>4.0</v>
      </c>
      <c r="L1561" s="169">
        <v>0.0</v>
      </c>
    </row>
    <row r="1562" ht="14.25" customHeight="1">
      <c r="A1562" s="169" t="s">
        <v>18810</v>
      </c>
      <c r="B1562" s="169" t="s">
        <v>14254</v>
      </c>
      <c r="C1562" s="169" t="s">
        <v>18514</v>
      </c>
      <c r="D1562" s="169" t="str">
        <f t="shared" ref="D1562:E1562" si="1060">"6181135"</f>
        <v>6181135</v>
      </c>
      <c r="E1562" s="169" t="str">
        <f t="shared" si="1060"/>
        <v>6181135</v>
      </c>
      <c r="F1562" s="169" t="s">
        <v>18811</v>
      </c>
      <c r="G1562" s="169">
        <v>4.0</v>
      </c>
      <c r="H1562" s="169">
        <v>8500.0</v>
      </c>
      <c r="I1562" s="169">
        <v>34000.0</v>
      </c>
      <c r="J1562" s="169">
        <v>0.0</v>
      </c>
      <c r="K1562" s="169">
        <v>4.0</v>
      </c>
      <c r="L1562" s="169">
        <v>0.0</v>
      </c>
    </row>
    <row r="1563" ht="14.25" customHeight="1">
      <c r="A1563" s="169" t="s">
        <v>18810</v>
      </c>
      <c r="B1563" s="169" t="s">
        <v>14254</v>
      </c>
      <c r="C1563" s="169" t="s">
        <v>18512</v>
      </c>
      <c r="D1563" s="169" t="str">
        <f t="shared" ref="D1563:E1563" si="1061">"6181091"</f>
        <v>6181091</v>
      </c>
      <c r="E1563" s="169" t="str">
        <f t="shared" si="1061"/>
        <v>6181091</v>
      </c>
      <c r="F1563" s="169" t="s">
        <v>18811</v>
      </c>
      <c r="G1563" s="169">
        <v>4.0</v>
      </c>
      <c r="H1563" s="169">
        <v>6750.0</v>
      </c>
      <c r="I1563" s="169">
        <v>27000.0</v>
      </c>
      <c r="J1563" s="169">
        <v>0.0</v>
      </c>
      <c r="K1563" s="169">
        <v>4.0</v>
      </c>
      <c r="L1563" s="169">
        <v>0.0</v>
      </c>
    </row>
    <row r="1564" ht="14.25" customHeight="1">
      <c r="A1564" s="169" t="s">
        <v>18810</v>
      </c>
      <c r="B1564" s="169" t="s">
        <v>14254</v>
      </c>
      <c r="C1564" s="169" t="s">
        <v>18510</v>
      </c>
      <c r="D1564" s="169" t="str">
        <f t="shared" ref="D1564:E1564" si="1062">"6181196"</f>
        <v>6181196</v>
      </c>
      <c r="E1564" s="169" t="str">
        <f t="shared" si="1062"/>
        <v>6181196</v>
      </c>
      <c r="F1564" s="169" t="s">
        <v>18811</v>
      </c>
      <c r="G1564" s="169">
        <v>3.0</v>
      </c>
      <c r="H1564" s="169">
        <v>4900.0</v>
      </c>
      <c r="I1564" s="169">
        <v>14700.0</v>
      </c>
      <c r="J1564" s="169">
        <v>0.0</v>
      </c>
      <c r="K1564" s="169">
        <v>3.0</v>
      </c>
      <c r="L1564" s="169">
        <v>0.0</v>
      </c>
    </row>
    <row r="1565" ht="14.25" customHeight="1">
      <c r="A1565" s="169" t="s">
        <v>18810</v>
      </c>
      <c r="B1565" s="169" t="s">
        <v>14254</v>
      </c>
      <c r="C1565" s="169" t="s">
        <v>18508</v>
      </c>
      <c r="D1565" s="169" t="str">
        <f t="shared" ref="D1565:E1565" si="1063">"6181136"</f>
        <v>6181136</v>
      </c>
      <c r="E1565" s="169" t="str">
        <f t="shared" si="1063"/>
        <v>6181136</v>
      </c>
      <c r="F1565" s="169" t="s">
        <v>18811</v>
      </c>
      <c r="G1565" s="169">
        <v>4.0</v>
      </c>
      <c r="H1565" s="169">
        <v>8500.0</v>
      </c>
      <c r="I1565" s="169">
        <v>34000.0</v>
      </c>
      <c r="J1565" s="169">
        <v>0.0</v>
      </c>
      <c r="K1565" s="169">
        <v>4.0</v>
      </c>
      <c r="L1565" s="169">
        <v>0.0</v>
      </c>
    </row>
    <row r="1566" ht="14.25" customHeight="1">
      <c r="A1566" s="169" t="s">
        <v>18810</v>
      </c>
      <c r="B1566" s="169" t="s">
        <v>14254</v>
      </c>
      <c r="C1566" s="169" t="s">
        <v>18506</v>
      </c>
      <c r="D1566" s="169" t="str">
        <f t="shared" ref="D1566:E1566" si="1064">"6181075"</f>
        <v>6181075</v>
      </c>
      <c r="E1566" s="169" t="str">
        <f t="shared" si="1064"/>
        <v>6181075</v>
      </c>
      <c r="F1566" s="169" t="s">
        <v>18811</v>
      </c>
      <c r="G1566" s="169">
        <v>4.0</v>
      </c>
      <c r="H1566" s="169">
        <v>6750.0</v>
      </c>
      <c r="I1566" s="169">
        <v>27000.0</v>
      </c>
      <c r="J1566" s="169">
        <v>0.0</v>
      </c>
      <c r="K1566" s="169">
        <v>4.0</v>
      </c>
      <c r="L1566" s="169">
        <v>0.0</v>
      </c>
    </row>
    <row r="1567" ht="14.25" customHeight="1">
      <c r="A1567" s="169" t="s">
        <v>18810</v>
      </c>
      <c r="B1567" s="169" t="s">
        <v>14254</v>
      </c>
      <c r="C1567" s="169" t="s">
        <v>18504</v>
      </c>
      <c r="D1567" s="169" t="str">
        <f t="shared" ref="D1567:E1567" si="1065">"6181130"</f>
        <v>6181130</v>
      </c>
      <c r="E1567" s="169" t="str">
        <f t="shared" si="1065"/>
        <v>6181130</v>
      </c>
      <c r="F1567" s="169" t="s">
        <v>18811</v>
      </c>
      <c r="G1567" s="169">
        <v>4.0</v>
      </c>
      <c r="H1567" s="169">
        <v>8500.0</v>
      </c>
      <c r="I1567" s="169">
        <v>34000.0</v>
      </c>
      <c r="J1567" s="169">
        <v>0.0</v>
      </c>
      <c r="K1567" s="169">
        <v>4.0</v>
      </c>
      <c r="L1567" s="169">
        <v>0.0</v>
      </c>
    </row>
    <row r="1568" ht="14.25" customHeight="1">
      <c r="A1568" s="169" t="s">
        <v>18810</v>
      </c>
      <c r="B1568" s="169" t="s">
        <v>14254</v>
      </c>
      <c r="C1568" s="169" t="s">
        <v>18502</v>
      </c>
      <c r="D1568" s="169" t="str">
        <f t="shared" ref="D1568:E1568" si="1066">"6181090"</f>
        <v>6181090</v>
      </c>
      <c r="E1568" s="169" t="str">
        <f t="shared" si="1066"/>
        <v>6181090</v>
      </c>
      <c r="F1568" s="169" t="s">
        <v>18811</v>
      </c>
      <c r="G1568" s="169">
        <v>4.0</v>
      </c>
      <c r="H1568" s="169">
        <v>7000.0</v>
      </c>
      <c r="I1568" s="169">
        <v>28000.0</v>
      </c>
      <c r="J1568" s="169">
        <v>0.0</v>
      </c>
      <c r="K1568" s="169">
        <v>4.0</v>
      </c>
      <c r="L1568" s="169">
        <v>0.0</v>
      </c>
    </row>
    <row r="1569" ht="14.25" customHeight="1">
      <c r="A1569" s="169" t="s">
        <v>18810</v>
      </c>
      <c r="B1569" s="169" t="s">
        <v>14254</v>
      </c>
      <c r="C1569" s="169" t="s">
        <v>18500</v>
      </c>
      <c r="D1569" s="169" t="str">
        <f t="shared" ref="D1569:E1569" si="1067">"6181222"</f>
        <v>6181222</v>
      </c>
      <c r="E1569" s="169" t="str">
        <f t="shared" si="1067"/>
        <v>6181222</v>
      </c>
      <c r="F1569" s="169" t="s">
        <v>18811</v>
      </c>
      <c r="G1569" s="169">
        <v>4.0</v>
      </c>
      <c r="H1569" s="169">
        <v>6500.0</v>
      </c>
      <c r="I1569" s="169">
        <v>26000.0</v>
      </c>
      <c r="J1569" s="169">
        <v>0.0</v>
      </c>
      <c r="K1569" s="169">
        <v>4.0</v>
      </c>
      <c r="L1569" s="169">
        <v>0.0</v>
      </c>
    </row>
    <row r="1570" ht="14.25" customHeight="1">
      <c r="A1570" s="169" t="s">
        <v>18810</v>
      </c>
      <c r="B1570" s="169" t="s">
        <v>14254</v>
      </c>
      <c r="C1570" s="169" t="s">
        <v>18498</v>
      </c>
      <c r="D1570" s="169" t="str">
        <f t="shared" ref="D1570:E1570" si="1068">"6181220"</f>
        <v>6181220</v>
      </c>
      <c r="E1570" s="169" t="str">
        <f t="shared" si="1068"/>
        <v>6181220</v>
      </c>
      <c r="F1570" s="169" t="s">
        <v>18811</v>
      </c>
      <c r="G1570" s="169">
        <v>4.0</v>
      </c>
      <c r="H1570" s="169">
        <v>6500.0</v>
      </c>
      <c r="I1570" s="169">
        <v>26000.0</v>
      </c>
      <c r="J1570" s="169">
        <v>0.0</v>
      </c>
      <c r="K1570" s="169">
        <v>4.0</v>
      </c>
      <c r="L1570" s="169">
        <v>0.0</v>
      </c>
    </row>
    <row r="1571" ht="14.25" customHeight="1">
      <c r="A1571" s="169" t="s">
        <v>14328</v>
      </c>
      <c r="B1571" s="169" t="s">
        <v>14326</v>
      </c>
      <c r="C1571" s="169" t="s">
        <v>18654</v>
      </c>
      <c r="D1571" s="169" t="str">
        <f t="shared" ref="D1571:E1571" si="1069">"121312926717"</f>
        <v>121312926717</v>
      </c>
      <c r="E1571" s="169" t="str">
        <f t="shared" si="1069"/>
        <v>121312926717</v>
      </c>
      <c r="F1571" s="169" t="s">
        <v>18811</v>
      </c>
      <c r="G1571" s="169">
        <v>1.0</v>
      </c>
      <c r="H1571" s="169">
        <v>17971.0</v>
      </c>
      <c r="I1571" s="169">
        <v>17971.0</v>
      </c>
      <c r="J1571" s="169">
        <v>0.0</v>
      </c>
      <c r="K1571" s="169">
        <v>1.0</v>
      </c>
      <c r="L1571" s="169">
        <v>0.0</v>
      </c>
    </row>
    <row r="1572" ht="14.25" customHeight="1">
      <c r="A1572" s="169" t="s">
        <v>14328</v>
      </c>
      <c r="B1572" s="169" t="s">
        <v>14326</v>
      </c>
      <c r="C1572" s="169" t="s">
        <v>18652</v>
      </c>
      <c r="D1572" s="169" t="str">
        <f t="shared" ref="D1572:E1572" si="1070">"121312926721"</f>
        <v>121312926721</v>
      </c>
      <c r="E1572" s="169" t="str">
        <f t="shared" si="1070"/>
        <v>121312926721</v>
      </c>
      <c r="F1572" s="169" t="s">
        <v>18811</v>
      </c>
      <c r="G1572" s="169">
        <v>8.0</v>
      </c>
      <c r="H1572" s="169">
        <v>17971.0</v>
      </c>
      <c r="I1572" s="169">
        <v>143768.0</v>
      </c>
      <c r="J1572" s="169">
        <v>0.0</v>
      </c>
      <c r="K1572" s="169">
        <v>8.0</v>
      </c>
      <c r="L1572" s="169">
        <v>0.0</v>
      </c>
    </row>
    <row r="1573" ht="14.25" customHeight="1">
      <c r="A1573" s="169" t="s">
        <v>14328</v>
      </c>
      <c r="B1573" s="169" t="s">
        <v>14326</v>
      </c>
      <c r="C1573" s="169" t="s">
        <v>18650</v>
      </c>
      <c r="D1573" s="169" t="str">
        <f t="shared" ref="D1573:E1573" si="1071">"211312923506"</f>
        <v>211312923506</v>
      </c>
      <c r="E1573" s="169" t="str">
        <f t="shared" si="1071"/>
        <v>211312923506</v>
      </c>
      <c r="F1573" s="169" t="s">
        <v>18811</v>
      </c>
      <c r="G1573" s="169">
        <v>1.0</v>
      </c>
      <c r="H1573" s="169">
        <v>8187.0</v>
      </c>
      <c r="I1573" s="169">
        <v>8187.0</v>
      </c>
      <c r="J1573" s="169">
        <v>0.0</v>
      </c>
      <c r="K1573" s="169">
        <v>1.0</v>
      </c>
      <c r="L1573" s="169">
        <v>0.0</v>
      </c>
    </row>
    <row r="1574" ht="14.25" customHeight="1">
      <c r="A1574" s="169" t="s">
        <v>14328</v>
      </c>
      <c r="B1574" s="169" t="s">
        <v>14326</v>
      </c>
      <c r="C1574" s="169" t="s">
        <v>18648</v>
      </c>
      <c r="D1574" s="169" t="str">
        <f t="shared" ref="D1574:E1574" si="1072">"121312919278"</f>
        <v>121312919278</v>
      </c>
      <c r="E1574" s="169" t="str">
        <f t="shared" si="1072"/>
        <v>121312919278</v>
      </c>
      <c r="F1574" s="169" t="s">
        <v>18811</v>
      </c>
      <c r="G1574" s="169">
        <v>2.0</v>
      </c>
      <c r="H1574" s="169">
        <v>20155.0</v>
      </c>
      <c r="I1574" s="169">
        <v>40310.0</v>
      </c>
      <c r="J1574" s="169">
        <v>0.0</v>
      </c>
      <c r="K1574" s="169">
        <v>2.0</v>
      </c>
      <c r="L1574" s="169">
        <v>0.0</v>
      </c>
    </row>
    <row r="1575" ht="14.25" customHeight="1">
      <c r="A1575" s="169" t="s">
        <v>14328</v>
      </c>
      <c r="B1575" s="169" t="s">
        <v>14326</v>
      </c>
      <c r="C1575" s="169" t="s">
        <v>18646</v>
      </c>
      <c r="D1575" s="169" t="str">
        <f t="shared" ref="D1575:E1575" si="1073">"121312919419"</f>
        <v>121312919419</v>
      </c>
      <c r="E1575" s="169" t="str">
        <f t="shared" si="1073"/>
        <v>121312919419</v>
      </c>
      <c r="F1575" s="169" t="s">
        <v>18811</v>
      </c>
      <c r="G1575" s="169">
        <v>2.0</v>
      </c>
      <c r="H1575" s="169">
        <v>19063.0</v>
      </c>
      <c r="I1575" s="169">
        <v>38126.0</v>
      </c>
      <c r="J1575" s="169">
        <v>0.0</v>
      </c>
      <c r="K1575" s="169">
        <v>2.0</v>
      </c>
      <c r="L1575" s="169">
        <v>0.0</v>
      </c>
    </row>
    <row r="1576" ht="14.25" customHeight="1">
      <c r="A1576" s="169" t="s">
        <v>14328</v>
      </c>
      <c r="B1576" s="169" t="s">
        <v>14326</v>
      </c>
      <c r="C1576" s="169" t="s">
        <v>18644</v>
      </c>
      <c r="D1576" s="169" t="str">
        <f t="shared" ref="D1576:E1576" si="1074">"121312954217"</f>
        <v>121312954217</v>
      </c>
      <c r="E1576" s="169" t="str">
        <f t="shared" si="1074"/>
        <v>121312954217</v>
      </c>
      <c r="F1576" s="169" t="s">
        <v>18811</v>
      </c>
      <c r="G1576" s="169">
        <v>1.0</v>
      </c>
      <c r="H1576" s="169">
        <v>19063.0</v>
      </c>
      <c r="I1576" s="169">
        <v>19063.0</v>
      </c>
      <c r="J1576" s="169">
        <v>0.0</v>
      </c>
      <c r="K1576" s="169">
        <v>1.0</v>
      </c>
      <c r="L1576" s="169">
        <v>0.0</v>
      </c>
    </row>
    <row r="1577" ht="14.25" customHeight="1">
      <c r="A1577" s="169" t="s">
        <v>14328</v>
      </c>
      <c r="B1577" s="169" t="s">
        <v>14326</v>
      </c>
      <c r="C1577" s="169" t="s">
        <v>18642</v>
      </c>
      <c r="D1577" s="169" t="str">
        <f t="shared" ref="D1577:E1577" si="1075">"120312744419"</f>
        <v>120312744419</v>
      </c>
      <c r="E1577" s="169" t="str">
        <f t="shared" si="1075"/>
        <v>120312744419</v>
      </c>
      <c r="F1577" s="169" t="s">
        <v>18811</v>
      </c>
      <c r="G1577" s="169">
        <v>1.0</v>
      </c>
      <c r="H1577" s="169">
        <v>19063.0</v>
      </c>
      <c r="I1577" s="169">
        <v>19063.0</v>
      </c>
      <c r="J1577" s="169">
        <v>0.0</v>
      </c>
      <c r="K1577" s="169">
        <v>1.0</v>
      </c>
      <c r="L1577" s="169">
        <v>0.0</v>
      </c>
    </row>
    <row r="1578" ht="14.25" customHeight="1">
      <c r="A1578" s="169" t="s">
        <v>14328</v>
      </c>
      <c r="B1578" s="169" t="s">
        <v>14326</v>
      </c>
      <c r="C1578" s="169" t="s">
        <v>18640</v>
      </c>
      <c r="D1578" s="169" t="str">
        <f t="shared" ref="D1578:E1578" si="1076">"120312743019"</f>
        <v>120312743019</v>
      </c>
      <c r="E1578" s="169" t="str">
        <f t="shared" si="1076"/>
        <v>120312743019</v>
      </c>
      <c r="F1578" s="169" t="s">
        <v>18811</v>
      </c>
      <c r="G1578" s="169">
        <v>3.0</v>
      </c>
      <c r="H1578" s="169">
        <v>17971.0</v>
      </c>
      <c r="I1578" s="169">
        <v>53913.0</v>
      </c>
      <c r="J1578" s="169">
        <v>0.0</v>
      </c>
      <c r="K1578" s="169">
        <v>3.0</v>
      </c>
      <c r="L1578" s="169">
        <v>0.0</v>
      </c>
    </row>
    <row r="1579" ht="14.25" customHeight="1">
      <c r="A1579" s="169" t="s">
        <v>14328</v>
      </c>
      <c r="B1579" s="169" t="s">
        <v>14326</v>
      </c>
      <c r="C1579" s="169" t="s">
        <v>18638</v>
      </c>
      <c r="D1579" s="169" t="str">
        <f t="shared" ref="D1579:E1579" si="1077">"121312914584"</f>
        <v>121312914584</v>
      </c>
      <c r="E1579" s="169" t="str">
        <f t="shared" si="1077"/>
        <v>121312914584</v>
      </c>
      <c r="F1579" s="169" t="s">
        <v>18811</v>
      </c>
      <c r="G1579" s="169">
        <v>3.0</v>
      </c>
      <c r="H1579" s="169">
        <v>17971.0</v>
      </c>
      <c r="I1579" s="169">
        <v>53913.0</v>
      </c>
      <c r="J1579" s="169">
        <v>0.0</v>
      </c>
      <c r="K1579" s="169">
        <v>3.0</v>
      </c>
      <c r="L1579" s="169">
        <v>0.0</v>
      </c>
    </row>
    <row r="1580" ht="14.25" customHeight="1">
      <c r="A1580" s="169" t="s">
        <v>14422</v>
      </c>
      <c r="B1580" s="169" t="s">
        <v>14422</v>
      </c>
      <c r="C1580" s="169" t="s">
        <v>17918</v>
      </c>
      <c r="D1580" s="169" t="str">
        <f t="shared" ref="D1580:E1580" si="1078">"757450527860"</f>
        <v>757450527860</v>
      </c>
      <c r="E1580" s="169" t="str">
        <f t="shared" si="1078"/>
        <v>757450527860</v>
      </c>
      <c r="F1580" s="169" t="s">
        <v>18811</v>
      </c>
      <c r="G1580" s="169">
        <v>39.0</v>
      </c>
      <c r="H1580" s="169">
        <v>6872.0</v>
      </c>
      <c r="I1580" s="169">
        <v>268008.0</v>
      </c>
      <c r="J1580" s="169">
        <v>0.0</v>
      </c>
      <c r="K1580" s="169">
        <v>39.0</v>
      </c>
      <c r="L1580" s="169">
        <v>0.0</v>
      </c>
    </row>
    <row r="1581" ht="14.25" customHeight="1">
      <c r="A1581" s="169" t="s">
        <v>14422</v>
      </c>
      <c r="B1581" s="169" t="s">
        <v>14422</v>
      </c>
      <c r="C1581" s="169" t="s">
        <v>17916</v>
      </c>
      <c r="D1581" s="169" t="str">
        <f t="shared" ref="D1581:E1581" si="1079">"757450527853"</f>
        <v>757450527853</v>
      </c>
      <c r="E1581" s="169" t="str">
        <f t="shared" si="1079"/>
        <v>757450527853</v>
      </c>
      <c r="F1581" s="169" t="s">
        <v>18811</v>
      </c>
      <c r="G1581" s="169">
        <v>7.0</v>
      </c>
      <c r="H1581" s="169">
        <v>5765.0</v>
      </c>
      <c r="I1581" s="169">
        <v>40355.0</v>
      </c>
      <c r="J1581" s="169">
        <v>0.0</v>
      </c>
      <c r="K1581" s="169">
        <v>7.0</v>
      </c>
      <c r="L1581" s="169">
        <v>0.0</v>
      </c>
    </row>
    <row r="1582" ht="14.25" customHeight="1">
      <c r="A1582" s="169" t="s">
        <v>14422</v>
      </c>
      <c r="B1582" s="169" t="s">
        <v>14422</v>
      </c>
      <c r="C1582" s="169" t="s">
        <v>17914</v>
      </c>
      <c r="D1582" s="169" t="str">
        <f t="shared" ref="D1582:E1582" si="1080">"757450527594"</f>
        <v>757450527594</v>
      </c>
      <c r="E1582" s="169" t="str">
        <f t="shared" si="1080"/>
        <v>757450527594</v>
      </c>
      <c r="F1582" s="169" t="s">
        <v>18811</v>
      </c>
      <c r="G1582" s="169">
        <v>13.0</v>
      </c>
      <c r="H1582" s="169">
        <v>5818.0</v>
      </c>
      <c r="I1582" s="169">
        <v>75634.0</v>
      </c>
      <c r="J1582" s="169">
        <v>0.0</v>
      </c>
      <c r="K1582" s="169">
        <v>13.0</v>
      </c>
      <c r="L1582" s="169">
        <v>0.0</v>
      </c>
    </row>
    <row r="1583" ht="14.25" customHeight="1">
      <c r="A1583" s="169" t="s">
        <v>14422</v>
      </c>
      <c r="B1583" s="169" t="s">
        <v>14422</v>
      </c>
      <c r="C1583" s="169" t="s">
        <v>17912</v>
      </c>
      <c r="D1583" s="169" t="str">
        <f t="shared" ref="D1583:E1583" si="1081">"757450527600"</f>
        <v>757450527600</v>
      </c>
      <c r="E1583" s="169" t="str">
        <f t="shared" si="1081"/>
        <v>757450527600</v>
      </c>
      <c r="F1583" s="169" t="s">
        <v>18811</v>
      </c>
      <c r="G1583" s="169">
        <v>23.0</v>
      </c>
      <c r="H1583" s="169">
        <v>6348.0</v>
      </c>
      <c r="I1583" s="169">
        <v>146004.0</v>
      </c>
      <c r="J1583" s="169">
        <v>0.0</v>
      </c>
      <c r="K1583" s="169">
        <v>23.0</v>
      </c>
      <c r="L1583" s="169">
        <v>0.0</v>
      </c>
    </row>
    <row r="1584" ht="14.25" customHeight="1">
      <c r="A1584" s="169" t="s">
        <v>14422</v>
      </c>
      <c r="B1584" s="169" t="s">
        <v>14422</v>
      </c>
      <c r="C1584" s="169" t="s">
        <v>17910</v>
      </c>
      <c r="D1584" s="169" t="str">
        <f t="shared" ref="D1584:E1584" si="1082">"757450527877"</f>
        <v>757450527877</v>
      </c>
      <c r="E1584" s="169" t="str">
        <f t="shared" si="1082"/>
        <v>757450527877</v>
      </c>
      <c r="F1584" s="169" t="s">
        <v>18811</v>
      </c>
      <c r="G1584" s="169">
        <v>5.0</v>
      </c>
      <c r="H1584" s="169">
        <v>3695.0</v>
      </c>
      <c r="I1584" s="169">
        <v>18475.0</v>
      </c>
      <c r="J1584" s="169">
        <v>0.0</v>
      </c>
      <c r="K1584" s="169">
        <v>5.0</v>
      </c>
      <c r="L1584" s="169">
        <v>0.0</v>
      </c>
    </row>
    <row r="1585" ht="14.25" customHeight="1">
      <c r="A1585" s="169" t="s">
        <v>14422</v>
      </c>
      <c r="B1585" s="169" t="s">
        <v>14422</v>
      </c>
      <c r="C1585" s="169" t="s">
        <v>17908</v>
      </c>
      <c r="D1585" s="169" t="str">
        <f t="shared" ref="D1585:E1585" si="1083">"757450527907"</f>
        <v>757450527907</v>
      </c>
      <c r="E1585" s="169" t="str">
        <f t="shared" si="1083"/>
        <v>757450527907</v>
      </c>
      <c r="F1585" s="169" t="s">
        <v>18811</v>
      </c>
      <c r="G1585" s="169">
        <v>12.0</v>
      </c>
      <c r="H1585" s="169">
        <v>1535.0</v>
      </c>
      <c r="I1585" s="169">
        <v>18420.0</v>
      </c>
      <c r="J1585" s="169">
        <v>0.0</v>
      </c>
      <c r="K1585" s="169">
        <v>12.0</v>
      </c>
      <c r="L1585" s="169">
        <v>0.0</v>
      </c>
    </row>
    <row r="1586" ht="14.25" customHeight="1">
      <c r="A1586" s="169" t="s">
        <v>14422</v>
      </c>
      <c r="B1586" s="169" t="s">
        <v>14422</v>
      </c>
      <c r="C1586" s="169" t="s">
        <v>17906</v>
      </c>
      <c r="D1586" s="169" t="str">
        <f t="shared" ref="D1586:E1586" si="1084">"757450527655"</f>
        <v>757450527655</v>
      </c>
      <c r="E1586" s="169" t="str">
        <f t="shared" si="1084"/>
        <v>757450527655</v>
      </c>
      <c r="F1586" s="169" t="s">
        <v>18811</v>
      </c>
      <c r="G1586" s="169">
        <v>8.0</v>
      </c>
      <c r="H1586" s="169">
        <v>6348.0</v>
      </c>
      <c r="I1586" s="169">
        <v>50784.0</v>
      </c>
      <c r="J1586" s="169">
        <v>0.0</v>
      </c>
      <c r="K1586" s="169">
        <v>8.0</v>
      </c>
      <c r="L1586" s="169">
        <v>0.0</v>
      </c>
    </row>
    <row r="1587" ht="14.25" customHeight="1">
      <c r="A1587" s="169" t="s">
        <v>14422</v>
      </c>
      <c r="B1587" s="169" t="s">
        <v>14422</v>
      </c>
      <c r="C1587" s="169" t="s">
        <v>17904</v>
      </c>
      <c r="D1587" s="169" t="str">
        <f t="shared" ref="D1587:E1587" si="1085">"757450527822"</f>
        <v>757450527822</v>
      </c>
      <c r="E1587" s="169" t="str">
        <f t="shared" si="1085"/>
        <v>757450527822</v>
      </c>
      <c r="F1587" s="169" t="s">
        <v>18811</v>
      </c>
      <c r="G1587" s="169">
        <v>1.0</v>
      </c>
      <c r="H1587" s="169">
        <v>1006.0</v>
      </c>
      <c r="I1587" s="169">
        <v>1006.0</v>
      </c>
      <c r="J1587" s="169">
        <v>0.0</v>
      </c>
      <c r="K1587" s="169">
        <v>1.0</v>
      </c>
      <c r="L1587" s="169">
        <v>0.0</v>
      </c>
    </row>
    <row r="1588" ht="14.25" customHeight="1">
      <c r="A1588" s="169" t="s">
        <v>14422</v>
      </c>
      <c r="B1588" s="169" t="s">
        <v>14422</v>
      </c>
      <c r="C1588" s="169" t="s">
        <v>17902</v>
      </c>
      <c r="D1588" s="169" t="str">
        <f t="shared" ref="D1588:E1588" si="1086">"757450527839"</f>
        <v>757450527839</v>
      </c>
      <c r="E1588" s="169" t="str">
        <f t="shared" si="1086"/>
        <v>757450527839</v>
      </c>
      <c r="F1588" s="169" t="s">
        <v>18811</v>
      </c>
      <c r="G1588" s="169">
        <v>30.0</v>
      </c>
      <c r="H1588" s="169">
        <v>1006.0</v>
      </c>
      <c r="I1588" s="169">
        <v>30180.0</v>
      </c>
      <c r="J1588" s="169">
        <v>0.0</v>
      </c>
      <c r="K1588" s="169">
        <v>30.0</v>
      </c>
      <c r="L1588" s="169">
        <v>0.0</v>
      </c>
    </row>
    <row r="1589" ht="14.25" customHeight="1">
      <c r="A1589" s="169" t="s">
        <v>14422</v>
      </c>
      <c r="B1589" s="169" t="s">
        <v>14422</v>
      </c>
      <c r="C1589" s="169" t="s">
        <v>17900</v>
      </c>
      <c r="D1589" s="169" t="str">
        <f t="shared" ref="D1589:E1589" si="1087">"757450527815"</f>
        <v>757450527815</v>
      </c>
      <c r="E1589" s="169" t="str">
        <f t="shared" si="1087"/>
        <v>757450527815</v>
      </c>
      <c r="F1589" s="169" t="s">
        <v>18811</v>
      </c>
      <c r="G1589" s="169">
        <v>17.0</v>
      </c>
      <c r="H1589" s="169">
        <v>1006.0</v>
      </c>
      <c r="I1589" s="169">
        <v>17102.0</v>
      </c>
      <c r="J1589" s="169">
        <v>0.0</v>
      </c>
      <c r="K1589" s="169">
        <v>17.0</v>
      </c>
      <c r="L1589" s="169">
        <v>0.0</v>
      </c>
    </row>
    <row r="1590" ht="14.25" customHeight="1">
      <c r="A1590" s="169" t="s">
        <v>14422</v>
      </c>
      <c r="B1590" s="169" t="s">
        <v>14422</v>
      </c>
      <c r="C1590" s="169" t="s">
        <v>17898</v>
      </c>
      <c r="D1590" s="169" t="str">
        <f t="shared" ref="D1590:E1590" si="1088">"757450527808"</f>
        <v>757450527808</v>
      </c>
      <c r="E1590" s="169" t="str">
        <f t="shared" si="1088"/>
        <v>757450527808</v>
      </c>
      <c r="F1590" s="169" t="s">
        <v>18811</v>
      </c>
      <c r="G1590" s="169">
        <v>13.0</v>
      </c>
      <c r="H1590" s="169">
        <v>12965.0</v>
      </c>
      <c r="I1590" s="169">
        <v>168545.0</v>
      </c>
      <c r="J1590" s="169">
        <v>0.0</v>
      </c>
      <c r="K1590" s="169">
        <v>13.0</v>
      </c>
      <c r="L1590" s="169">
        <v>0.0</v>
      </c>
    </row>
    <row r="1591" ht="14.25" customHeight="1">
      <c r="A1591" s="169" t="s">
        <v>14422</v>
      </c>
      <c r="B1591" s="169" t="s">
        <v>14422</v>
      </c>
      <c r="C1591" s="169" t="s">
        <v>17896</v>
      </c>
      <c r="D1591" s="169" t="str">
        <f t="shared" ref="D1591:E1591" si="1089">"757450527945"</f>
        <v>757450527945</v>
      </c>
      <c r="E1591" s="169" t="str">
        <f t="shared" si="1089"/>
        <v>757450527945</v>
      </c>
      <c r="F1591" s="169" t="s">
        <v>18811</v>
      </c>
      <c r="G1591" s="169">
        <v>6.0</v>
      </c>
      <c r="H1591" s="169">
        <v>6348.0</v>
      </c>
      <c r="I1591" s="169">
        <v>38088.0</v>
      </c>
      <c r="J1591" s="169">
        <v>0.0</v>
      </c>
      <c r="K1591" s="169">
        <v>6.0</v>
      </c>
      <c r="L1591" s="169">
        <v>0.0</v>
      </c>
    </row>
    <row r="1592" ht="14.25" customHeight="1">
      <c r="A1592" s="169" t="s">
        <v>14422</v>
      </c>
      <c r="B1592" s="169" t="s">
        <v>14422</v>
      </c>
      <c r="C1592" s="169" t="s">
        <v>17894</v>
      </c>
      <c r="D1592" s="169" t="str">
        <f t="shared" ref="D1592:E1592" si="1090">"757450528058"</f>
        <v>757450528058</v>
      </c>
      <c r="E1592" s="169" t="str">
        <f t="shared" si="1090"/>
        <v>757450528058</v>
      </c>
      <c r="F1592" s="169" t="s">
        <v>18811</v>
      </c>
      <c r="G1592" s="169">
        <v>3.0</v>
      </c>
      <c r="H1592" s="169">
        <v>22225.0</v>
      </c>
      <c r="I1592" s="169">
        <v>66675.0</v>
      </c>
      <c r="J1592" s="169">
        <v>0.0</v>
      </c>
      <c r="K1592" s="169">
        <v>3.0</v>
      </c>
      <c r="L1592" s="169">
        <v>0.0</v>
      </c>
    </row>
    <row r="1593" ht="14.25" customHeight="1">
      <c r="A1593" s="169" t="s">
        <v>14422</v>
      </c>
      <c r="B1593" s="169" t="s">
        <v>14422</v>
      </c>
      <c r="C1593" s="169" t="s">
        <v>17892</v>
      </c>
      <c r="D1593" s="169" t="str">
        <f t="shared" ref="D1593:E1593" si="1091">"757450527921"</f>
        <v>757450527921</v>
      </c>
      <c r="E1593" s="169" t="str">
        <f t="shared" si="1091"/>
        <v>757450527921</v>
      </c>
      <c r="F1593" s="169" t="s">
        <v>18811</v>
      </c>
      <c r="G1593" s="169">
        <v>4.0</v>
      </c>
      <c r="H1593" s="169">
        <v>6348.0</v>
      </c>
      <c r="I1593" s="169">
        <v>25392.0</v>
      </c>
      <c r="J1593" s="169">
        <v>0.0</v>
      </c>
      <c r="K1593" s="169">
        <v>4.0</v>
      </c>
      <c r="L1593" s="169">
        <v>0.0</v>
      </c>
    </row>
    <row r="1594" ht="14.25" customHeight="1">
      <c r="A1594" s="169" t="s">
        <v>14422</v>
      </c>
      <c r="B1594" s="169" t="s">
        <v>14422</v>
      </c>
      <c r="C1594" s="169" t="s">
        <v>17890</v>
      </c>
      <c r="D1594" s="169" t="str">
        <f t="shared" ref="D1594:E1594" si="1092">"757450527846"</f>
        <v>757450527846</v>
      </c>
      <c r="E1594" s="169" t="str">
        <f t="shared" si="1092"/>
        <v>757450527846</v>
      </c>
      <c r="F1594" s="169" t="s">
        <v>18811</v>
      </c>
      <c r="G1594" s="169">
        <v>7.0</v>
      </c>
      <c r="H1594" s="169">
        <v>5765.0</v>
      </c>
      <c r="I1594" s="169">
        <v>40355.0</v>
      </c>
      <c r="J1594" s="169">
        <v>0.0</v>
      </c>
      <c r="K1594" s="169">
        <v>7.0</v>
      </c>
      <c r="L1594" s="169">
        <v>0.0</v>
      </c>
    </row>
    <row r="1595" ht="14.25" customHeight="1">
      <c r="A1595" s="169" t="s">
        <v>14422</v>
      </c>
      <c r="B1595" s="169" t="s">
        <v>14422</v>
      </c>
      <c r="C1595" s="169" t="s">
        <v>17888</v>
      </c>
      <c r="D1595" s="169" t="str">
        <f t="shared" ref="D1595:E1595" si="1093">"757450527587"</f>
        <v>757450527587</v>
      </c>
      <c r="E1595" s="169" t="str">
        <f t="shared" si="1093"/>
        <v>757450527587</v>
      </c>
      <c r="F1595" s="169" t="s">
        <v>18811</v>
      </c>
      <c r="G1595" s="169">
        <v>15.0</v>
      </c>
      <c r="H1595" s="169">
        <v>5818.0</v>
      </c>
      <c r="I1595" s="169">
        <v>87270.0</v>
      </c>
      <c r="J1595" s="169">
        <v>0.0</v>
      </c>
      <c r="K1595" s="169">
        <v>15.0</v>
      </c>
      <c r="L1595" s="169">
        <v>1.0</v>
      </c>
    </row>
    <row r="1596" ht="14.25" customHeight="1">
      <c r="A1596" s="169" t="s">
        <v>14422</v>
      </c>
      <c r="B1596" s="169" t="s">
        <v>14422</v>
      </c>
      <c r="C1596" s="169" t="s">
        <v>17886</v>
      </c>
      <c r="D1596" s="169" t="str">
        <f t="shared" ref="D1596:E1596" si="1094">"757450527884"</f>
        <v>757450527884</v>
      </c>
      <c r="E1596" s="169" t="str">
        <f t="shared" si="1094"/>
        <v>757450527884</v>
      </c>
      <c r="F1596" s="169" t="s">
        <v>18811</v>
      </c>
      <c r="G1596" s="169">
        <v>64.0</v>
      </c>
      <c r="H1596" s="169">
        <v>7936.0</v>
      </c>
      <c r="I1596" s="169">
        <v>507904.0</v>
      </c>
      <c r="J1596" s="169">
        <v>0.0</v>
      </c>
      <c r="K1596" s="169">
        <v>64.0</v>
      </c>
      <c r="L1596" s="169">
        <v>0.0</v>
      </c>
    </row>
    <row r="1597" ht="14.25" customHeight="1">
      <c r="A1597" s="169" t="s">
        <v>14422</v>
      </c>
      <c r="B1597" s="169" t="s">
        <v>14422</v>
      </c>
      <c r="C1597" s="169" t="s">
        <v>17884</v>
      </c>
      <c r="D1597" s="169" t="str">
        <f t="shared" ref="D1597:E1597" si="1095">"757450527891"</f>
        <v>757450527891</v>
      </c>
      <c r="E1597" s="169" t="str">
        <f t="shared" si="1095"/>
        <v>757450527891</v>
      </c>
      <c r="F1597" s="169" t="s">
        <v>18811</v>
      </c>
      <c r="G1597" s="169">
        <v>8.0</v>
      </c>
      <c r="H1597" s="169">
        <v>7936.0</v>
      </c>
      <c r="I1597" s="169">
        <v>63488.0</v>
      </c>
      <c r="J1597" s="169">
        <v>0.0</v>
      </c>
      <c r="K1597" s="169">
        <v>8.0</v>
      </c>
      <c r="L1597" s="169">
        <v>0.0</v>
      </c>
    </row>
    <row r="1598" ht="14.25" customHeight="1">
      <c r="A1598" s="169" t="s">
        <v>14422</v>
      </c>
      <c r="B1598" s="169" t="s">
        <v>14422</v>
      </c>
      <c r="C1598" s="169" t="s">
        <v>17882</v>
      </c>
      <c r="D1598" s="169" t="str">
        <f t="shared" ref="D1598:E1598" si="1096">"757450527792"</f>
        <v>757450527792</v>
      </c>
      <c r="E1598" s="169" t="str">
        <f t="shared" si="1096"/>
        <v>757450527792</v>
      </c>
      <c r="F1598" s="169" t="s">
        <v>18811</v>
      </c>
      <c r="G1598" s="169">
        <v>88.0</v>
      </c>
      <c r="H1598" s="169">
        <v>11642.0</v>
      </c>
      <c r="I1598" s="169">
        <v>1024496.0</v>
      </c>
      <c r="J1598" s="169">
        <v>0.0</v>
      </c>
      <c r="K1598" s="169">
        <v>88.0</v>
      </c>
      <c r="L1598" s="169">
        <v>2.0</v>
      </c>
    </row>
    <row r="1599" ht="14.25" customHeight="1">
      <c r="A1599" s="169" t="s">
        <v>18714</v>
      </c>
      <c r="B1599" s="169" t="s">
        <v>1179</v>
      </c>
      <c r="C1599" s="169" t="s">
        <v>16837</v>
      </c>
      <c r="D1599" s="169" t="str">
        <f>"0788070729280"</f>
        <v>0788070729280</v>
      </c>
      <c r="E1599" s="169" t="str">
        <f>"1634845754276"</f>
        <v>1634845754276</v>
      </c>
      <c r="F1599" s="169" t="s">
        <v>18811</v>
      </c>
      <c r="G1599" s="169">
        <v>337.0</v>
      </c>
      <c r="H1599" s="169">
        <v>40633.3</v>
      </c>
      <c r="I1599" s="169">
        <v>1.3693419E7</v>
      </c>
      <c r="J1599" s="169">
        <v>1.0</v>
      </c>
      <c r="K1599" s="169">
        <v>336.0</v>
      </c>
      <c r="L1599" s="169">
        <v>0.0</v>
      </c>
    </row>
    <row r="1600" ht="14.25" customHeight="1">
      <c r="A1600" s="169" t="s">
        <v>18714</v>
      </c>
      <c r="B1600" s="169" t="s">
        <v>1179</v>
      </c>
      <c r="C1600" s="169" t="s">
        <v>1227</v>
      </c>
      <c r="D1600" s="169" t="str">
        <f>"0736372918819"</f>
        <v>0736372918819</v>
      </c>
      <c r="E1600" s="169" t="str">
        <f>"SIMBATORG-BK"</f>
        <v>SIMBATORG-BK</v>
      </c>
      <c r="F1600" s="169" t="s">
        <v>18811</v>
      </c>
      <c r="G1600" s="169">
        <v>376.0</v>
      </c>
      <c r="H1600" s="169">
        <v>15452.0</v>
      </c>
      <c r="I1600" s="169">
        <v>5809952.0</v>
      </c>
      <c r="J1600" s="169">
        <v>1.0</v>
      </c>
      <c r="K1600" s="169">
        <v>375.0</v>
      </c>
      <c r="L1600" s="169">
        <v>0.0</v>
      </c>
    </row>
    <row r="1601" ht="14.25" customHeight="1">
      <c r="A1601" s="169" t="s">
        <v>18714</v>
      </c>
      <c r="B1601" s="169" t="s">
        <v>1179</v>
      </c>
      <c r="C1601" s="169" t="s">
        <v>16835</v>
      </c>
      <c r="D1601" s="169" t="str">
        <f>"0788070729242"</f>
        <v>0788070729242</v>
      </c>
      <c r="E1601" s="169" t="str">
        <f>"1635956574926"</f>
        <v>1635956574926</v>
      </c>
      <c r="F1601" s="169" t="s">
        <v>18811</v>
      </c>
      <c r="G1601" s="169">
        <v>104.0</v>
      </c>
      <c r="H1601" s="169">
        <v>24518.2</v>
      </c>
      <c r="I1601" s="169">
        <v>2549896.0</v>
      </c>
      <c r="J1601" s="169">
        <v>1.0</v>
      </c>
      <c r="K1601" s="169">
        <v>103.0</v>
      </c>
      <c r="L1601" s="169">
        <v>1.0</v>
      </c>
    </row>
    <row r="1602" ht="14.25" customHeight="1">
      <c r="A1602" s="169" t="s">
        <v>18714</v>
      </c>
      <c r="B1602" s="169" t="s">
        <v>1179</v>
      </c>
      <c r="C1602" s="169" t="s">
        <v>1303</v>
      </c>
      <c r="D1602" s="169" t="str">
        <f>"0788070729198"</f>
        <v>0788070729198</v>
      </c>
      <c r="E1602" s="169" t="str">
        <f>"1630369674271"</f>
        <v>1630369674271</v>
      </c>
      <c r="F1602" s="169" t="s">
        <v>18811</v>
      </c>
      <c r="G1602" s="169">
        <v>951.0</v>
      </c>
      <c r="H1602" s="169">
        <v>3699.1</v>
      </c>
      <c r="I1602" s="169">
        <v>3517820.0</v>
      </c>
      <c r="J1602" s="169">
        <v>3.0</v>
      </c>
      <c r="K1602" s="169">
        <v>948.0</v>
      </c>
      <c r="L1602" s="169">
        <v>0.0</v>
      </c>
    </row>
    <row r="1603" ht="14.25" customHeight="1">
      <c r="A1603" s="169" t="s">
        <v>18714</v>
      </c>
      <c r="B1603" s="169" t="s">
        <v>1179</v>
      </c>
      <c r="C1603" s="169" t="s">
        <v>1304</v>
      </c>
      <c r="D1603" s="169" t="str">
        <f t="shared" ref="D1603:E1603" si="1097">"1629726159155"</f>
        <v>1629726159155</v>
      </c>
      <c r="E1603" s="169" t="str">
        <f t="shared" si="1097"/>
        <v>1629726159155</v>
      </c>
      <c r="F1603" s="169" t="s">
        <v>18811</v>
      </c>
      <c r="G1603" s="169">
        <v>778.0</v>
      </c>
      <c r="H1603" s="169">
        <v>6671.5</v>
      </c>
      <c r="I1603" s="169">
        <v>5190409.0</v>
      </c>
      <c r="J1603" s="169">
        <v>3.0</v>
      </c>
      <c r="K1603" s="169">
        <v>775.0</v>
      </c>
      <c r="L1603" s="169">
        <v>0.0</v>
      </c>
    </row>
    <row r="1604" ht="14.25" customHeight="1">
      <c r="A1604" s="169" t="s">
        <v>18714</v>
      </c>
      <c r="B1604" s="169" t="s">
        <v>1179</v>
      </c>
      <c r="C1604" s="169" t="s">
        <v>1305</v>
      </c>
      <c r="D1604" s="169" t="str">
        <f>"0788070731726"</f>
        <v>0788070731726</v>
      </c>
      <c r="E1604" s="169" t="str">
        <f>"1652825295706"</f>
        <v>1652825295706</v>
      </c>
      <c r="F1604" s="169" t="s">
        <v>18811</v>
      </c>
      <c r="G1604" s="169">
        <v>732.0</v>
      </c>
      <c r="H1604" s="169">
        <v>8332.4</v>
      </c>
      <c r="I1604" s="169">
        <v>6099308.0</v>
      </c>
      <c r="J1604" s="169">
        <v>0.0</v>
      </c>
      <c r="K1604" s="169">
        <v>732.0</v>
      </c>
      <c r="L1604" s="169">
        <v>1.0</v>
      </c>
    </row>
    <row r="1605" ht="14.25" customHeight="1">
      <c r="A1605" s="169" t="s">
        <v>18714</v>
      </c>
      <c r="B1605" s="169" t="s">
        <v>1179</v>
      </c>
      <c r="C1605" s="169" t="s">
        <v>1306</v>
      </c>
      <c r="D1605" s="169" t="str">
        <f>"0736372919588"</f>
        <v>0736372919588</v>
      </c>
      <c r="E1605" s="169" t="str">
        <f>"SIMCAFFRCO"</f>
        <v>SIMCAFFRCO</v>
      </c>
      <c r="F1605" s="169" t="s">
        <v>18811</v>
      </c>
      <c r="G1605" s="169">
        <v>200.0</v>
      </c>
      <c r="H1605" s="169">
        <v>4807.0</v>
      </c>
      <c r="I1605" s="169">
        <v>961400.0</v>
      </c>
      <c r="J1605" s="169">
        <v>0.0</v>
      </c>
      <c r="K1605" s="169">
        <v>200.0</v>
      </c>
      <c r="L1605" s="169">
        <v>0.0</v>
      </c>
    </row>
    <row r="1606" ht="14.25" customHeight="1">
      <c r="A1606" s="169" t="s">
        <v>18714</v>
      </c>
      <c r="B1606" s="169" t="s">
        <v>1179</v>
      </c>
      <c r="C1606" s="169" t="s">
        <v>1341</v>
      </c>
      <c r="D1606" s="169" t="str">
        <f>"0788070732136"</f>
        <v>0788070732136</v>
      </c>
      <c r="E1606" s="169" t="str">
        <f>"1660858844449"</f>
        <v>1660858844449</v>
      </c>
      <c r="F1606" s="169" t="s">
        <v>18811</v>
      </c>
      <c r="G1606" s="169">
        <v>227.0</v>
      </c>
      <c r="H1606" s="169">
        <v>3607.7</v>
      </c>
      <c r="I1606" s="169">
        <v>818953.0</v>
      </c>
      <c r="J1606" s="169">
        <v>0.0</v>
      </c>
      <c r="K1606" s="169">
        <v>227.0</v>
      </c>
      <c r="L1606" s="169">
        <v>0.0</v>
      </c>
    </row>
    <row r="1607" ht="14.25" customHeight="1">
      <c r="A1607" s="169" t="s">
        <v>18714</v>
      </c>
      <c r="B1607" s="169" t="s">
        <v>1179</v>
      </c>
      <c r="C1607" s="169" t="s">
        <v>1342</v>
      </c>
      <c r="D1607" s="169" t="str">
        <f>"0788070732105"</f>
        <v>0788070732105</v>
      </c>
      <c r="E1607" s="169" t="str">
        <f>"1660858793429"</f>
        <v>1660858793429</v>
      </c>
      <c r="F1607" s="169" t="s">
        <v>18811</v>
      </c>
      <c r="G1607" s="169">
        <v>137.0</v>
      </c>
      <c r="H1607" s="169">
        <v>3538.7</v>
      </c>
      <c r="I1607" s="169">
        <v>484801.0</v>
      </c>
      <c r="J1607" s="169">
        <v>2.0</v>
      </c>
      <c r="K1607" s="169">
        <v>135.0</v>
      </c>
      <c r="L1607" s="169">
        <v>0.0</v>
      </c>
    </row>
    <row r="1608" ht="14.25" customHeight="1">
      <c r="A1608" s="169" t="s">
        <v>18714</v>
      </c>
      <c r="B1608" s="169" t="s">
        <v>1179</v>
      </c>
      <c r="C1608" s="169" t="s">
        <v>1343</v>
      </c>
      <c r="D1608" s="169" t="str">
        <f>"0788070732129"</f>
        <v>0788070732129</v>
      </c>
      <c r="E1608" s="169" t="str">
        <f>"1660858828618"</f>
        <v>1660858828618</v>
      </c>
      <c r="F1608" s="169" t="s">
        <v>18811</v>
      </c>
      <c r="G1608" s="169">
        <v>180.0</v>
      </c>
      <c r="H1608" s="169">
        <v>3004.5</v>
      </c>
      <c r="I1608" s="169">
        <v>540817.0</v>
      </c>
      <c r="J1608" s="169">
        <v>0.0</v>
      </c>
      <c r="K1608" s="169">
        <v>180.0</v>
      </c>
      <c r="L1608" s="169">
        <v>0.0</v>
      </c>
    </row>
    <row r="1609" ht="14.25" customHeight="1">
      <c r="A1609" s="169" t="s">
        <v>18714</v>
      </c>
      <c r="B1609" s="169" t="s">
        <v>1179</v>
      </c>
      <c r="C1609" s="169" t="s">
        <v>1344</v>
      </c>
      <c r="D1609" s="169" t="str">
        <f>"0788070732099"</f>
        <v>0788070732099</v>
      </c>
      <c r="E1609" s="169" t="str">
        <f>"1660858776726"</f>
        <v>1660858776726</v>
      </c>
      <c r="F1609" s="169" t="s">
        <v>18811</v>
      </c>
      <c r="G1609" s="169">
        <v>207.0</v>
      </c>
      <c r="H1609" s="169">
        <v>2895.6</v>
      </c>
      <c r="I1609" s="169">
        <v>599391.0</v>
      </c>
      <c r="J1609" s="169">
        <v>0.0</v>
      </c>
      <c r="K1609" s="169">
        <v>207.0</v>
      </c>
      <c r="L1609" s="169">
        <v>0.0</v>
      </c>
    </row>
    <row r="1610" ht="14.25" customHeight="1">
      <c r="A1610" s="169" t="s">
        <v>18714</v>
      </c>
      <c r="B1610" s="169" t="s">
        <v>1179</v>
      </c>
      <c r="C1610" s="169" t="s">
        <v>1345</v>
      </c>
      <c r="D1610" s="169" t="str">
        <f>"0788070732112"</f>
        <v>0788070732112</v>
      </c>
      <c r="E1610" s="169" t="str">
        <f>"1660858812938"</f>
        <v>1660858812938</v>
      </c>
      <c r="F1610" s="169" t="s">
        <v>18811</v>
      </c>
      <c r="G1610" s="169">
        <v>206.0</v>
      </c>
      <c r="H1610" s="169">
        <v>2009.3</v>
      </c>
      <c r="I1610" s="169">
        <v>413924.0</v>
      </c>
      <c r="J1610" s="169">
        <v>1.0</v>
      </c>
      <c r="K1610" s="169">
        <v>205.0</v>
      </c>
      <c r="L1610" s="169">
        <v>0.0</v>
      </c>
    </row>
    <row r="1611" ht="14.25" customHeight="1">
      <c r="A1611" s="169" t="s">
        <v>18714</v>
      </c>
      <c r="B1611" s="169" t="s">
        <v>1179</v>
      </c>
      <c r="C1611" s="169" t="s">
        <v>1346</v>
      </c>
      <c r="D1611" s="169" t="str">
        <f>"0788070732082"</f>
        <v>0788070732082</v>
      </c>
      <c r="E1611" s="169" t="str">
        <f>"1660858756233"</f>
        <v>1660858756233</v>
      </c>
      <c r="F1611" s="169" t="s">
        <v>18811</v>
      </c>
      <c r="G1611" s="169">
        <v>210.0</v>
      </c>
      <c r="H1611" s="169">
        <v>1947.7</v>
      </c>
      <c r="I1611" s="169">
        <v>409009.0</v>
      </c>
      <c r="J1611" s="169">
        <v>0.0</v>
      </c>
      <c r="K1611" s="169">
        <v>210.0</v>
      </c>
      <c r="L1611" s="169">
        <v>0.0</v>
      </c>
    </row>
    <row r="1612" ht="14.25" customHeight="1">
      <c r="A1612" s="169" t="s">
        <v>18714</v>
      </c>
      <c r="B1612" s="169" t="s">
        <v>1179</v>
      </c>
      <c r="C1612" s="169" t="s">
        <v>1294</v>
      </c>
      <c r="D1612" s="169" t="str">
        <f>"0788070732181"</f>
        <v>0788070732181</v>
      </c>
      <c r="E1612" s="169" t="str">
        <f>"1660858025311"</f>
        <v>1660858025311</v>
      </c>
      <c r="F1612" s="169" t="s">
        <v>18811</v>
      </c>
      <c r="G1612" s="169">
        <v>400.0</v>
      </c>
      <c r="H1612" s="169">
        <v>2767.1</v>
      </c>
      <c r="I1612" s="169">
        <v>1106848.0</v>
      </c>
      <c r="J1612" s="169">
        <v>0.0</v>
      </c>
      <c r="K1612" s="169">
        <v>400.0</v>
      </c>
      <c r="L1612" s="169">
        <v>0.0</v>
      </c>
    </row>
    <row r="1613" ht="14.25" customHeight="1">
      <c r="A1613" s="169" t="s">
        <v>18714</v>
      </c>
      <c r="B1613" s="169" t="s">
        <v>1179</v>
      </c>
      <c r="C1613" s="169" t="s">
        <v>16823</v>
      </c>
      <c r="D1613" s="169" t="str">
        <f>"0788070733157"</f>
        <v>0788070733157</v>
      </c>
      <c r="E1613" s="169" t="str">
        <f>"66800510263382"</f>
        <v>66800510263382</v>
      </c>
      <c r="F1613" s="169" t="s">
        <v>18811</v>
      </c>
      <c r="G1613" s="169">
        <v>10.0</v>
      </c>
      <c r="H1613" s="169">
        <v>1107.0</v>
      </c>
      <c r="I1613" s="169">
        <v>11070.0</v>
      </c>
      <c r="J1613" s="169">
        <v>2.0</v>
      </c>
      <c r="K1613" s="169">
        <v>8.0</v>
      </c>
      <c r="L1613" s="169">
        <v>0.0</v>
      </c>
    </row>
    <row r="1614" ht="14.25" customHeight="1">
      <c r="A1614" s="169" t="s">
        <v>18714</v>
      </c>
      <c r="B1614" s="169" t="s">
        <v>1179</v>
      </c>
      <c r="C1614" s="169" t="s">
        <v>1192</v>
      </c>
      <c r="D1614" s="169" t="str">
        <f>"0788070733126"</f>
        <v>0788070733126</v>
      </c>
      <c r="E1614" s="169" t="str">
        <f>"66800506435054"</f>
        <v>66800506435054</v>
      </c>
      <c r="F1614" s="169" t="s">
        <v>18811</v>
      </c>
      <c r="G1614" s="169">
        <v>406.0</v>
      </c>
      <c r="H1614" s="169">
        <v>613.8</v>
      </c>
      <c r="I1614" s="169">
        <v>249194.0</v>
      </c>
      <c r="J1614" s="169">
        <v>0.0</v>
      </c>
      <c r="K1614" s="169">
        <v>406.0</v>
      </c>
      <c r="L1614" s="169">
        <v>5.0</v>
      </c>
    </row>
    <row r="1615" ht="14.25" customHeight="1">
      <c r="A1615" s="169" t="s">
        <v>18714</v>
      </c>
      <c r="B1615" s="169" t="s">
        <v>1179</v>
      </c>
      <c r="C1615" s="169" t="s">
        <v>1193</v>
      </c>
      <c r="D1615" s="169" t="str">
        <f>"0788070733140"</f>
        <v>0788070733140</v>
      </c>
      <c r="E1615" s="169" t="str">
        <f>"66800509015029"</f>
        <v>66800509015029</v>
      </c>
      <c r="F1615" s="169" t="s">
        <v>18811</v>
      </c>
      <c r="G1615" s="169">
        <v>113.0</v>
      </c>
      <c r="H1615" s="169">
        <v>1400.8</v>
      </c>
      <c r="I1615" s="169">
        <v>158294.0</v>
      </c>
      <c r="J1615" s="169">
        <v>6.0</v>
      </c>
      <c r="K1615" s="169">
        <v>107.0</v>
      </c>
      <c r="L1615" s="169">
        <v>0.0</v>
      </c>
    </row>
    <row r="1616" ht="14.25" customHeight="1">
      <c r="A1616" s="169" t="s">
        <v>18714</v>
      </c>
      <c r="B1616" s="169" t="s">
        <v>1179</v>
      </c>
      <c r="C1616" s="169" t="s">
        <v>1194</v>
      </c>
      <c r="D1616" s="169" t="str">
        <f>"0788070733133"</f>
        <v>0788070733133</v>
      </c>
      <c r="E1616" s="169" t="str">
        <f>"66800507665930"</f>
        <v>66800507665930</v>
      </c>
      <c r="F1616" s="169" t="s">
        <v>18811</v>
      </c>
      <c r="G1616" s="169">
        <v>83.0</v>
      </c>
      <c r="H1616" s="169">
        <v>1304.9</v>
      </c>
      <c r="I1616" s="169">
        <v>108305.0</v>
      </c>
      <c r="J1616" s="169">
        <v>7.0</v>
      </c>
      <c r="K1616" s="169">
        <v>76.0</v>
      </c>
      <c r="L1616" s="169">
        <v>2.0</v>
      </c>
    </row>
    <row r="1617" ht="14.25" customHeight="1">
      <c r="A1617" s="169" t="s">
        <v>18714</v>
      </c>
      <c r="B1617" s="169" t="s">
        <v>1179</v>
      </c>
      <c r="C1617" s="169" t="s">
        <v>1372</v>
      </c>
      <c r="D1617" s="169" t="str">
        <f>"0788070731948"</f>
        <v>0788070731948</v>
      </c>
      <c r="E1617" s="169" t="str">
        <f>"1660857800718"</f>
        <v>1660857800718</v>
      </c>
      <c r="F1617" s="169" t="s">
        <v>18811</v>
      </c>
      <c r="G1617" s="169">
        <v>383.0</v>
      </c>
      <c r="H1617" s="169">
        <v>5589.4</v>
      </c>
      <c r="I1617" s="169">
        <v>2140725.0</v>
      </c>
      <c r="J1617" s="169">
        <v>0.0</v>
      </c>
      <c r="K1617" s="169">
        <v>383.0</v>
      </c>
      <c r="L1617" s="169">
        <v>0.0</v>
      </c>
    </row>
    <row r="1618" ht="14.25" customHeight="1">
      <c r="A1618" s="169" t="s">
        <v>18714</v>
      </c>
      <c r="B1618" s="169" t="s">
        <v>1179</v>
      </c>
      <c r="C1618" s="169" t="s">
        <v>1221</v>
      </c>
      <c r="D1618" s="169" t="str">
        <f>"0736372918475"</f>
        <v>0736372918475</v>
      </c>
      <c r="E1618" s="169" t="str">
        <f>"68432930518995"</f>
        <v>68432930518995</v>
      </c>
      <c r="F1618" s="169" t="s">
        <v>18811</v>
      </c>
      <c r="G1618" s="169">
        <v>393.0</v>
      </c>
      <c r="H1618" s="169">
        <v>14860.2</v>
      </c>
      <c r="I1618" s="169">
        <v>5840040.0</v>
      </c>
      <c r="J1618" s="169">
        <v>0.0</v>
      </c>
      <c r="K1618" s="169">
        <v>393.0</v>
      </c>
      <c r="L1618" s="169">
        <v>0.0</v>
      </c>
    </row>
    <row r="1619" ht="14.25" customHeight="1">
      <c r="A1619" s="169" t="s">
        <v>18714</v>
      </c>
      <c r="B1619" s="169" t="s">
        <v>1179</v>
      </c>
      <c r="C1619" s="169" t="s">
        <v>1222</v>
      </c>
      <c r="D1619" s="169" t="str">
        <f>"0788070732167"</f>
        <v>0788070732167</v>
      </c>
      <c r="E1619" s="169" t="str">
        <f>"1660859171584"</f>
        <v>1660859171584</v>
      </c>
      <c r="F1619" s="169" t="s">
        <v>18811</v>
      </c>
      <c r="G1619" s="169">
        <v>1156.0</v>
      </c>
      <c r="H1619" s="169">
        <v>14919.6</v>
      </c>
      <c r="I1619" s="169">
        <v>1.7247074E7</v>
      </c>
      <c r="J1619" s="169">
        <v>4.0</v>
      </c>
      <c r="K1619" s="169">
        <v>1152.0</v>
      </c>
      <c r="L1619" s="169">
        <v>1.0</v>
      </c>
    </row>
    <row r="1620" ht="14.25" customHeight="1">
      <c r="A1620" s="169" t="s">
        <v>18714</v>
      </c>
      <c r="B1620" s="169" t="s">
        <v>1179</v>
      </c>
      <c r="C1620" s="169" t="s">
        <v>1406</v>
      </c>
      <c r="D1620" s="169" t="str">
        <f>"0788070732297"</f>
        <v>0788070732297</v>
      </c>
      <c r="E1620" s="169" t="str">
        <f>"1659991481176"</f>
        <v>1659991481176</v>
      </c>
      <c r="F1620" s="169" t="s">
        <v>18811</v>
      </c>
      <c r="G1620" s="169">
        <v>326.0</v>
      </c>
      <c r="H1620" s="169">
        <v>3771.7</v>
      </c>
      <c r="I1620" s="169">
        <v>1229588.0</v>
      </c>
      <c r="J1620" s="169">
        <v>0.0</v>
      </c>
      <c r="K1620" s="169">
        <v>326.0</v>
      </c>
      <c r="L1620" s="169">
        <v>0.0</v>
      </c>
    </row>
    <row r="1621" ht="14.25" customHeight="1">
      <c r="A1621" s="169" t="s">
        <v>18714</v>
      </c>
      <c r="B1621" s="169" t="s">
        <v>1179</v>
      </c>
      <c r="C1621" s="169" t="s">
        <v>1224</v>
      </c>
      <c r="D1621" s="169" t="str">
        <f t="shared" ref="D1621:E1621" si="1098">"1628018206370"</f>
        <v>1628018206370</v>
      </c>
      <c r="E1621" s="169" t="str">
        <f t="shared" si="1098"/>
        <v>1628018206370</v>
      </c>
      <c r="F1621" s="169" t="s">
        <v>18811</v>
      </c>
      <c r="G1621" s="169">
        <v>524.0</v>
      </c>
      <c r="H1621" s="169">
        <v>4581.6</v>
      </c>
      <c r="I1621" s="169">
        <v>2400749.0</v>
      </c>
      <c r="J1621" s="169">
        <v>0.0</v>
      </c>
      <c r="K1621" s="169">
        <v>524.0</v>
      </c>
      <c r="L1621" s="169">
        <v>0.0</v>
      </c>
    </row>
    <row r="1622" ht="14.25" customHeight="1">
      <c r="A1622" s="169" t="s">
        <v>18714</v>
      </c>
      <c r="B1622" s="169" t="s">
        <v>1179</v>
      </c>
      <c r="C1622" s="169" t="s">
        <v>1271</v>
      </c>
      <c r="D1622" s="169" t="str">
        <f>"0788070732044"</f>
        <v>0788070732044</v>
      </c>
      <c r="E1622" s="169" t="str">
        <f>"1660858101318"</f>
        <v>1660858101318</v>
      </c>
      <c r="F1622" s="169" t="s">
        <v>18811</v>
      </c>
      <c r="G1622" s="169">
        <v>598.0</v>
      </c>
      <c r="H1622" s="169">
        <v>3084.5</v>
      </c>
      <c r="I1622" s="169">
        <v>1844509.0</v>
      </c>
      <c r="J1622" s="169">
        <v>1.0</v>
      </c>
      <c r="K1622" s="169">
        <v>597.0</v>
      </c>
      <c r="L1622" s="169">
        <v>0.0</v>
      </c>
    </row>
    <row r="1623" ht="14.25" customHeight="1">
      <c r="A1623" s="169" t="s">
        <v>18714</v>
      </c>
      <c r="B1623" s="169" t="s">
        <v>1179</v>
      </c>
      <c r="C1623" s="169" t="s">
        <v>1272</v>
      </c>
      <c r="D1623" s="169" t="str">
        <f>"0788070732051"</f>
        <v>0788070732051</v>
      </c>
      <c r="E1623" s="169" t="str">
        <f>"1660858118518"</f>
        <v>1660858118518</v>
      </c>
      <c r="F1623" s="169" t="s">
        <v>18811</v>
      </c>
      <c r="G1623" s="169">
        <v>818.0</v>
      </c>
      <c r="H1623" s="169">
        <v>3501.2</v>
      </c>
      <c r="I1623" s="169">
        <v>2863943.0</v>
      </c>
      <c r="J1623" s="169">
        <v>2.0</v>
      </c>
      <c r="K1623" s="169">
        <v>816.0</v>
      </c>
      <c r="L1623" s="169">
        <v>0.0</v>
      </c>
    </row>
    <row r="1624" ht="14.25" customHeight="1">
      <c r="A1624" s="169" t="s">
        <v>18714</v>
      </c>
      <c r="B1624" s="169" t="s">
        <v>1179</v>
      </c>
      <c r="C1624" s="169" t="s">
        <v>1373</v>
      </c>
      <c r="D1624" s="169" t="str">
        <f>"0788070732143"</f>
        <v>0788070732143</v>
      </c>
      <c r="E1624" s="169" t="str">
        <f>"1660858702400"</f>
        <v>1660858702400</v>
      </c>
      <c r="F1624" s="169" t="s">
        <v>18811</v>
      </c>
      <c r="G1624" s="169">
        <v>355.0</v>
      </c>
      <c r="H1624" s="169">
        <v>3280.7</v>
      </c>
      <c r="I1624" s="169">
        <v>1164641.0</v>
      </c>
      <c r="J1624" s="169">
        <v>2.0</v>
      </c>
      <c r="K1624" s="169">
        <v>353.0</v>
      </c>
      <c r="L1624" s="169">
        <v>0.0</v>
      </c>
    </row>
    <row r="1625" ht="14.25" customHeight="1">
      <c r="A1625" s="169" t="s">
        <v>18714</v>
      </c>
      <c r="B1625" s="169" t="s">
        <v>1179</v>
      </c>
      <c r="C1625" s="169" t="s">
        <v>16810</v>
      </c>
      <c r="D1625" s="169" t="str">
        <f t="shared" ref="D1625:E1625" si="1099">"67414812797526"</f>
        <v>67414812797526</v>
      </c>
      <c r="E1625" s="169" t="str">
        <f t="shared" si="1099"/>
        <v>67414812797526</v>
      </c>
      <c r="F1625" s="169" t="s">
        <v>18811</v>
      </c>
      <c r="G1625" s="169">
        <v>3.0</v>
      </c>
      <c r="H1625" s="169">
        <v>6883.0</v>
      </c>
      <c r="I1625" s="169">
        <v>20649.0</v>
      </c>
      <c r="J1625" s="169">
        <v>0.0</v>
      </c>
      <c r="K1625" s="169">
        <v>3.0</v>
      </c>
      <c r="L1625" s="169">
        <v>0.0</v>
      </c>
    </row>
    <row r="1626" ht="14.25" customHeight="1">
      <c r="A1626" s="169" t="s">
        <v>18714</v>
      </c>
      <c r="B1626" s="169" t="s">
        <v>1179</v>
      </c>
      <c r="C1626" s="169" t="s">
        <v>1347</v>
      </c>
      <c r="D1626" s="169" t="str">
        <f>"0788070731986"</f>
        <v>0788070731986</v>
      </c>
      <c r="E1626" s="169" t="str">
        <f>"1650295282448"</f>
        <v>1650295282448</v>
      </c>
      <c r="F1626" s="169" t="s">
        <v>18811</v>
      </c>
      <c r="G1626" s="169">
        <v>587.0</v>
      </c>
      <c r="H1626" s="169">
        <v>3357.6</v>
      </c>
      <c r="I1626" s="169">
        <v>1970933.0</v>
      </c>
      <c r="J1626" s="169">
        <v>2.0</v>
      </c>
      <c r="K1626" s="169">
        <v>585.0</v>
      </c>
      <c r="L1626" s="169">
        <v>0.0</v>
      </c>
    </row>
    <row r="1627" ht="14.25" customHeight="1">
      <c r="A1627" s="169" t="s">
        <v>18714</v>
      </c>
      <c r="B1627" s="169" t="s">
        <v>1179</v>
      </c>
      <c r="C1627" s="169" t="s">
        <v>1348</v>
      </c>
      <c r="D1627" s="169" t="str">
        <f>"0788070731979"</f>
        <v>0788070731979</v>
      </c>
      <c r="E1627" s="169" t="str">
        <f>"1650295261109"</f>
        <v>1650295261109</v>
      </c>
      <c r="F1627" s="169" t="s">
        <v>18811</v>
      </c>
      <c r="G1627" s="169">
        <v>854.0</v>
      </c>
      <c r="H1627" s="169">
        <v>2300.5</v>
      </c>
      <c r="I1627" s="169">
        <v>1964665.0</v>
      </c>
      <c r="J1627" s="169">
        <v>2.0</v>
      </c>
      <c r="K1627" s="169">
        <v>852.0</v>
      </c>
      <c r="L1627" s="169">
        <v>0.0</v>
      </c>
    </row>
    <row r="1628" ht="14.25" customHeight="1">
      <c r="A1628" s="169" t="s">
        <v>18714</v>
      </c>
      <c r="B1628" s="169" t="s">
        <v>1179</v>
      </c>
      <c r="C1628" s="169" t="s">
        <v>1349</v>
      </c>
      <c r="D1628" s="169" t="str">
        <f>"0788070732228"</f>
        <v>0788070732228</v>
      </c>
      <c r="E1628" s="169" t="str">
        <f>"1654189204021"</f>
        <v>1654189204021</v>
      </c>
      <c r="F1628" s="169" t="s">
        <v>18811</v>
      </c>
      <c r="G1628" s="169">
        <v>559.0</v>
      </c>
      <c r="H1628" s="169">
        <v>3878.9</v>
      </c>
      <c r="I1628" s="169">
        <v>2168308.0</v>
      </c>
      <c r="J1628" s="169">
        <v>1.0</v>
      </c>
      <c r="K1628" s="169">
        <v>558.0</v>
      </c>
      <c r="L1628" s="169">
        <v>0.0</v>
      </c>
    </row>
    <row r="1629" ht="14.25" customHeight="1">
      <c r="A1629" s="169" t="s">
        <v>18714</v>
      </c>
      <c r="B1629" s="169" t="s">
        <v>1179</v>
      </c>
      <c r="C1629" s="169" t="s">
        <v>1350</v>
      </c>
      <c r="D1629" s="169" t="str">
        <f>"0788070732211"</f>
        <v>0788070732211</v>
      </c>
      <c r="E1629" s="169" t="str">
        <f>"1654189048611"</f>
        <v>1654189048611</v>
      </c>
      <c r="F1629" s="169" t="s">
        <v>18811</v>
      </c>
      <c r="G1629" s="169">
        <v>410.0</v>
      </c>
      <c r="H1629" s="169">
        <v>2999.6</v>
      </c>
      <c r="I1629" s="169">
        <v>1229817.0</v>
      </c>
      <c r="J1629" s="169">
        <v>0.0</v>
      </c>
      <c r="K1629" s="169">
        <v>410.0</v>
      </c>
      <c r="L1629" s="169">
        <v>0.0</v>
      </c>
    </row>
    <row r="1630" ht="14.25" customHeight="1">
      <c r="A1630" s="169" t="s">
        <v>18714</v>
      </c>
      <c r="B1630" s="169" t="s">
        <v>1179</v>
      </c>
      <c r="C1630" s="169" t="s">
        <v>16773</v>
      </c>
      <c r="D1630" s="169" t="str">
        <f>"0788070732426"</f>
        <v>0788070732426</v>
      </c>
      <c r="E1630" s="169" t="str">
        <f>"1657222641841"</f>
        <v>1657222641841</v>
      </c>
      <c r="F1630" s="169" t="s">
        <v>18811</v>
      </c>
      <c r="G1630" s="169">
        <v>84.0</v>
      </c>
      <c r="H1630" s="169">
        <v>5748.6</v>
      </c>
      <c r="I1630" s="169">
        <v>482882.0</v>
      </c>
      <c r="J1630" s="169">
        <v>3.0</v>
      </c>
      <c r="K1630" s="169">
        <v>81.0</v>
      </c>
      <c r="L1630" s="169">
        <v>0.0</v>
      </c>
    </row>
    <row r="1631" ht="14.25" customHeight="1">
      <c r="A1631" s="169" t="s">
        <v>18714</v>
      </c>
      <c r="B1631" s="169" t="s">
        <v>1179</v>
      </c>
      <c r="C1631" s="169" t="s">
        <v>16775</v>
      </c>
      <c r="D1631" s="169" t="str">
        <f>"0788070732488"</f>
        <v>0788070732488</v>
      </c>
      <c r="E1631" s="169" t="str">
        <f>"1659987577541"</f>
        <v>1659987577541</v>
      </c>
      <c r="F1631" s="169" t="s">
        <v>18811</v>
      </c>
      <c r="G1631" s="169">
        <v>19.0</v>
      </c>
      <c r="H1631" s="169">
        <v>3752.0</v>
      </c>
      <c r="I1631" s="169">
        <v>71288.0</v>
      </c>
      <c r="J1631" s="169">
        <v>0.0</v>
      </c>
      <c r="K1631" s="169">
        <v>19.0</v>
      </c>
      <c r="L1631" s="169">
        <v>0.0</v>
      </c>
    </row>
    <row r="1632" ht="14.25" customHeight="1">
      <c r="A1632" s="169" t="s">
        <v>18714</v>
      </c>
      <c r="B1632" s="169" t="s">
        <v>1179</v>
      </c>
      <c r="C1632" s="169" t="s">
        <v>16777</v>
      </c>
      <c r="D1632" s="169" t="str">
        <f>"0788070732471"</f>
        <v>0788070732471</v>
      </c>
      <c r="E1632" s="169" t="str">
        <f>"1659987555067"</f>
        <v>1659987555067</v>
      </c>
      <c r="F1632" s="169" t="s">
        <v>18811</v>
      </c>
      <c r="G1632" s="169">
        <v>14.0</v>
      </c>
      <c r="H1632" s="169">
        <v>3776.0</v>
      </c>
      <c r="I1632" s="169">
        <v>52864.0</v>
      </c>
      <c r="J1632" s="169">
        <v>0.0</v>
      </c>
      <c r="K1632" s="169">
        <v>14.0</v>
      </c>
      <c r="L1632" s="169">
        <v>0.0</v>
      </c>
    </row>
    <row r="1633" ht="14.25" customHeight="1">
      <c r="A1633" s="169" t="s">
        <v>18714</v>
      </c>
      <c r="B1633" s="169" t="s">
        <v>1179</v>
      </c>
      <c r="C1633" s="169" t="s">
        <v>16779</v>
      </c>
      <c r="D1633" s="169" t="str">
        <f>"0788070732457"</f>
        <v>0788070732457</v>
      </c>
      <c r="E1633" s="169" t="str">
        <f>"1658525816907"</f>
        <v>1658525816907</v>
      </c>
      <c r="F1633" s="169" t="s">
        <v>18811</v>
      </c>
      <c r="G1633" s="169">
        <v>5.0</v>
      </c>
      <c r="H1633" s="169">
        <v>6598.0</v>
      </c>
      <c r="I1633" s="169">
        <v>32990.0</v>
      </c>
      <c r="J1633" s="169">
        <v>1.0</v>
      </c>
      <c r="K1633" s="169">
        <v>4.0</v>
      </c>
      <c r="L1633" s="169">
        <v>0.0</v>
      </c>
    </row>
    <row r="1634" ht="14.25" customHeight="1">
      <c r="A1634" s="169" t="s">
        <v>18714</v>
      </c>
      <c r="B1634" s="169" t="s">
        <v>1179</v>
      </c>
      <c r="C1634" s="169" t="s">
        <v>1351</v>
      </c>
      <c r="D1634" s="169" t="str">
        <f>"0788070732235"</f>
        <v>0788070732235</v>
      </c>
      <c r="E1634" s="169" t="str">
        <f>"1660858416606"</f>
        <v>1660858416606</v>
      </c>
      <c r="F1634" s="169" t="s">
        <v>18811</v>
      </c>
      <c r="G1634" s="169">
        <v>317.0</v>
      </c>
      <c r="H1634" s="169">
        <v>6119.3</v>
      </c>
      <c r="I1634" s="169">
        <v>1939828.0</v>
      </c>
      <c r="J1634" s="169">
        <v>0.0</v>
      </c>
      <c r="K1634" s="169">
        <v>317.0</v>
      </c>
      <c r="L1634" s="169">
        <v>0.0</v>
      </c>
    </row>
    <row r="1635" ht="14.25" customHeight="1">
      <c r="A1635" s="169" t="s">
        <v>18714</v>
      </c>
      <c r="B1635" s="169" t="s">
        <v>1179</v>
      </c>
      <c r="C1635" s="169" t="s">
        <v>16798</v>
      </c>
      <c r="D1635" s="169" t="str">
        <f>"0788070732723"</f>
        <v>0788070732723</v>
      </c>
      <c r="E1635" s="169" t="str">
        <f>"1661892870974"</f>
        <v>1661892870974</v>
      </c>
      <c r="F1635" s="169" t="s">
        <v>18811</v>
      </c>
      <c r="G1635" s="169">
        <v>9.0</v>
      </c>
      <c r="H1635" s="169">
        <v>15694.2</v>
      </c>
      <c r="I1635" s="169">
        <v>141248.0</v>
      </c>
      <c r="J1635" s="169">
        <v>0.0</v>
      </c>
      <c r="K1635" s="169">
        <v>9.0</v>
      </c>
      <c r="L1635" s="169">
        <v>0.0</v>
      </c>
    </row>
    <row r="1636" ht="14.25" customHeight="1">
      <c r="A1636" s="169" t="s">
        <v>18714</v>
      </c>
      <c r="B1636" s="169" t="s">
        <v>1179</v>
      </c>
      <c r="C1636" s="169" t="s">
        <v>1394</v>
      </c>
      <c r="D1636" s="169" t="str">
        <f t="shared" ref="D1636:E1636" si="1100">"1535543463599"</f>
        <v>1535543463599</v>
      </c>
      <c r="E1636" s="169" t="str">
        <f t="shared" si="1100"/>
        <v>1535543463599</v>
      </c>
      <c r="F1636" s="169" t="s">
        <v>18811</v>
      </c>
      <c r="G1636" s="169">
        <v>15.0</v>
      </c>
      <c r="H1636" s="169">
        <v>17356.4</v>
      </c>
      <c r="I1636" s="169">
        <v>260345.0</v>
      </c>
      <c r="J1636" s="169">
        <v>0.0</v>
      </c>
      <c r="K1636" s="169">
        <v>15.0</v>
      </c>
      <c r="L1636" s="169">
        <v>0.0</v>
      </c>
    </row>
    <row r="1637" ht="14.25" customHeight="1">
      <c r="A1637" s="169" t="s">
        <v>18714</v>
      </c>
      <c r="B1637" s="169" t="s">
        <v>1179</v>
      </c>
      <c r="C1637" s="169" t="s">
        <v>16795</v>
      </c>
      <c r="D1637" s="169" t="str">
        <f>"0788070732716"</f>
        <v>0788070732716</v>
      </c>
      <c r="E1637" s="169" t="str">
        <f>"1661892847912"</f>
        <v>1661892847912</v>
      </c>
      <c r="F1637" s="169" t="s">
        <v>18811</v>
      </c>
      <c r="G1637" s="169">
        <v>16.0</v>
      </c>
      <c r="H1637" s="169">
        <v>17761.3</v>
      </c>
      <c r="I1637" s="169">
        <v>284181.0</v>
      </c>
      <c r="J1637" s="169">
        <v>0.0</v>
      </c>
      <c r="K1637" s="169">
        <v>16.0</v>
      </c>
      <c r="L1637" s="169">
        <v>0.0</v>
      </c>
    </row>
    <row r="1638" ht="14.25" customHeight="1">
      <c r="A1638" s="169" t="s">
        <v>18714</v>
      </c>
      <c r="B1638" s="169" t="s">
        <v>1179</v>
      </c>
      <c r="C1638" s="169" t="s">
        <v>1295</v>
      </c>
      <c r="D1638" s="169" t="str">
        <f>"0788070729334"</f>
        <v>0788070729334</v>
      </c>
      <c r="E1638" s="169" t="str">
        <f>"1639488921197"</f>
        <v>1639488921197</v>
      </c>
      <c r="F1638" s="169" t="s">
        <v>18811</v>
      </c>
      <c r="G1638" s="169">
        <v>606.0</v>
      </c>
      <c r="H1638" s="169">
        <v>2740.0</v>
      </c>
      <c r="I1638" s="169">
        <v>1660410.0</v>
      </c>
      <c r="J1638" s="169">
        <v>2.0</v>
      </c>
      <c r="K1638" s="169">
        <v>604.0</v>
      </c>
      <c r="L1638" s="169">
        <v>1.0</v>
      </c>
    </row>
    <row r="1639" ht="14.25" customHeight="1">
      <c r="A1639" s="169" t="s">
        <v>18714</v>
      </c>
      <c r="B1639" s="169" t="s">
        <v>1179</v>
      </c>
      <c r="C1639" s="169" t="s">
        <v>1282</v>
      </c>
      <c r="D1639" s="169" t="str">
        <f>"0788070729266"</f>
        <v>0788070729266</v>
      </c>
      <c r="E1639" s="169" t="str">
        <f>"1635956597983"</f>
        <v>1635956597983</v>
      </c>
      <c r="F1639" s="169" t="s">
        <v>18811</v>
      </c>
      <c r="G1639" s="169">
        <v>458.0</v>
      </c>
      <c r="H1639" s="169">
        <v>5276.6</v>
      </c>
      <c r="I1639" s="169">
        <v>2416686.0</v>
      </c>
      <c r="J1639" s="169">
        <v>5.0</v>
      </c>
      <c r="K1639" s="169">
        <v>453.0</v>
      </c>
      <c r="L1639" s="169">
        <v>0.0</v>
      </c>
    </row>
    <row r="1640" ht="14.25" customHeight="1">
      <c r="A1640" s="169" t="s">
        <v>18714</v>
      </c>
      <c r="B1640" s="169" t="s">
        <v>1179</v>
      </c>
      <c r="C1640" s="169" t="s">
        <v>1378</v>
      </c>
      <c r="D1640" s="169" t="str">
        <f>"0736372918604"</f>
        <v>0736372918604</v>
      </c>
      <c r="E1640" s="169" t="str">
        <f>"68540051413139"</f>
        <v>68540051413139</v>
      </c>
      <c r="F1640" s="169" t="s">
        <v>18811</v>
      </c>
      <c r="G1640" s="169">
        <v>1158.0</v>
      </c>
      <c r="H1640" s="169">
        <v>4753.1</v>
      </c>
      <c r="I1640" s="169">
        <v>5504073.0</v>
      </c>
      <c r="J1640" s="169">
        <v>0.0</v>
      </c>
      <c r="K1640" s="169">
        <v>1158.0</v>
      </c>
      <c r="L1640" s="169">
        <v>2.0</v>
      </c>
    </row>
    <row r="1641" ht="14.25" customHeight="1">
      <c r="A1641" s="169" t="s">
        <v>18714</v>
      </c>
      <c r="B1641" s="169" t="s">
        <v>1179</v>
      </c>
      <c r="C1641" s="169" t="s">
        <v>1379</v>
      </c>
      <c r="D1641" s="169" t="str">
        <f>"0736372918598"</f>
        <v>0736372918598</v>
      </c>
      <c r="E1641" s="169" t="str">
        <f>"68540048936286"</f>
        <v>68540048936286</v>
      </c>
      <c r="F1641" s="169" t="s">
        <v>18811</v>
      </c>
      <c r="G1641" s="169">
        <v>940.0</v>
      </c>
      <c r="H1641" s="169">
        <v>4680.5</v>
      </c>
      <c r="I1641" s="169">
        <v>4399656.0</v>
      </c>
      <c r="J1641" s="169">
        <v>0.0</v>
      </c>
      <c r="K1641" s="169">
        <v>940.0</v>
      </c>
      <c r="L1641" s="169">
        <v>0.0</v>
      </c>
    </row>
    <row r="1642" ht="14.25" customHeight="1">
      <c r="A1642" s="169" t="s">
        <v>18714</v>
      </c>
      <c r="B1642" s="169" t="s">
        <v>1179</v>
      </c>
      <c r="C1642" s="169" t="s">
        <v>1380</v>
      </c>
      <c r="D1642" s="169" t="str">
        <f>"0788070732303"</f>
        <v>0788070732303</v>
      </c>
      <c r="E1642" s="169" t="str">
        <f>"1659991379695"</f>
        <v>1659991379695</v>
      </c>
      <c r="F1642" s="169" t="s">
        <v>18811</v>
      </c>
      <c r="G1642" s="169">
        <v>2001.0</v>
      </c>
      <c r="H1642" s="169">
        <v>5796.2</v>
      </c>
      <c r="I1642" s="169">
        <v>1.1598227E7</v>
      </c>
      <c r="J1642" s="169">
        <v>6.0</v>
      </c>
      <c r="K1642" s="169">
        <v>1995.0</v>
      </c>
      <c r="L1642" s="169">
        <v>0.0</v>
      </c>
    </row>
    <row r="1643" ht="14.25" customHeight="1">
      <c r="A1643" s="169" t="s">
        <v>18714</v>
      </c>
      <c r="B1643" s="169" t="s">
        <v>1179</v>
      </c>
      <c r="C1643" s="169" t="s">
        <v>1381</v>
      </c>
      <c r="D1643" s="169" t="str">
        <f>"0788070732204"</f>
        <v>0788070732204</v>
      </c>
      <c r="E1643" s="169" t="str">
        <f>"1660858356962"</f>
        <v>1660858356962</v>
      </c>
      <c r="F1643" s="169" t="s">
        <v>18811</v>
      </c>
      <c r="G1643" s="169">
        <v>2082.0</v>
      </c>
      <c r="H1643" s="169">
        <v>5671.6</v>
      </c>
      <c r="I1643" s="169">
        <v>1.180821E7</v>
      </c>
      <c r="J1643" s="169">
        <v>1.0</v>
      </c>
      <c r="K1643" s="169">
        <v>2081.0</v>
      </c>
      <c r="L1643" s="169">
        <v>0.0</v>
      </c>
    </row>
    <row r="1644" ht="14.25" customHeight="1">
      <c r="A1644" s="169" t="s">
        <v>18714</v>
      </c>
      <c r="B1644" s="169" t="s">
        <v>1179</v>
      </c>
      <c r="C1644" s="169" t="s">
        <v>1382</v>
      </c>
      <c r="D1644" s="169" t="str">
        <f>"0788070732198"</f>
        <v>0788070732198</v>
      </c>
      <c r="E1644" s="169" t="str">
        <f>"1660858341796"</f>
        <v>1660858341796</v>
      </c>
      <c r="F1644" s="169" t="s">
        <v>18811</v>
      </c>
      <c r="G1644" s="169">
        <v>2153.0</v>
      </c>
      <c r="H1644" s="169">
        <v>5848.6</v>
      </c>
      <c r="I1644" s="169">
        <v>1.2592015E7</v>
      </c>
      <c r="J1644" s="169">
        <v>1.0</v>
      </c>
      <c r="K1644" s="169">
        <v>2152.0</v>
      </c>
      <c r="L1644" s="169">
        <v>4.0</v>
      </c>
    </row>
    <row r="1645" ht="14.25" customHeight="1">
      <c r="A1645" s="169" t="s">
        <v>18714</v>
      </c>
      <c r="B1645" s="169" t="s">
        <v>1179</v>
      </c>
      <c r="C1645" s="169" t="s">
        <v>1397</v>
      </c>
      <c r="D1645" s="169" t="str">
        <f>"0788070732259"</f>
        <v>0788070732259</v>
      </c>
      <c r="E1645" s="169" t="str">
        <f>"1659989549286"</f>
        <v>1659989549286</v>
      </c>
      <c r="F1645" s="169" t="s">
        <v>18811</v>
      </c>
      <c r="G1645" s="169">
        <v>433.0</v>
      </c>
      <c r="H1645" s="169">
        <v>3712.1</v>
      </c>
      <c r="I1645" s="169">
        <v>1607339.0</v>
      </c>
      <c r="J1645" s="169">
        <v>0.0</v>
      </c>
      <c r="K1645" s="169">
        <v>433.0</v>
      </c>
      <c r="L1645" s="169">
        <v>1.0</v>
      </c>
    </row>
    <row r="1646" ht="14.25" customHeight="1">
      <c r="A1646" s="169" t="s">
        <v>18714</v>
      </c>
      <c r="B1646" s="169" t="s">
        <v>1179</v>
      </c>
      <c r="C1646" s="169" t="s">
        <v>1398</v>
      </c>
      <c r="D1646" s="169" t="str">
        <f>"0788070732273"</f>
        <v>0788070732273</v>
      </c>
      <c r="E1646" s="169" t="str">
        <f>"1661872713289"</f>
        <v>1661872713289</v>
      </c>
      <c r="F1646" s="169" t="s">
        <v>18811</v>
      </c>
      <c r="G1646" s="169">
        <v>331.0</v>
      </c>
      <c r="H1646" s="169">
        <v>4420.4</v>
      </c>
      <c r="I1646" s="169">
        <v>1463154.0</v>
      </c>
      <c r="J1646" s="169">
        <v>1.0</v>
      </c>
      <c r="K1646" s="169">
        <v>330.0</v>
      </c>
      <c r="L1646" s="169">
        <v>0.0</v>
      </c>
    </row>
    <row r="1647" ht="14.25" customHeight="1">
      <c r="A1647" s="169" t="s">
        <v>18714</v>
      </c>
      <c r="B1647" s="169" t="s">
        <v>1179</v>
      </c>
      <c r="C1647" s="169" t="s">
        <v>1196</v>
      </c>
      <c r="D1647" s="169" t="str">
        <f>"0788070731733"</f>
        <v>0788070731733</v>
      </c>
      <c r="E1647" s="169" t="str">
        <f>"1650298908518"</f>
        <v>1650298908518</v>
      </c>
      <c r="F1647" s="169" t="s">
        <v>18811</v>
      </c>
      <c r="G1647" s="169">
        <v>3309.0</v>
      </c>
      <c r="H1647" s="169">
        <v>5367.5</v>
      </c>
      <c r="I1647" s="169">
        <v>1.776098E7</v>
      </c>
      <c r="J1647" s="169">
        <v>0.0</v>
      </c>
      <c r="K1647" s="169">
        <v>3309.0</v>
      </c>
      <c r="L1647" s="169">
        <v>0.0</v>
      </c>
    </row>
    <row r="1648" ht="14.25" customHeight="1">
      <c r="A1648" s="169" t="s">
        <v>18714</v>
      </c>
      <c r="B1648" s="169" t="s">
        <v>1179</v>
      </c>
      <c r="C1648" s="169" t="s">
        <v>1309</v>
      </c>
      <c r="D1648" s="169" t="str">
        <f>"0788070731894"</f>
        <v>0788070731894</v>
      </c>
      <c r="E1648" s="169" t="str">
        <f>"1654207295633"</f>
        <v>1654207295633</v>
      </c>
      <c r="F1648" s="169" t="s">
        <v>18811</v>
      </c>
      <c r="G1648" s="169">
        <v>2966.0</v>
      </c>
      <c r="H1648" s="169">
        <v>1444.8</v>
      </c>
      <c r="I1648" s="169">
        <v>4285352.0</v>
      </c>
      <c r="J1648" s="169">
        <v>4.0</v>
      </c>
      <c r="K1648" s="169">
        <v>2962.0</v>
      </c>
      <c r="L1648" s="169">
        <v>0.0</v>
      </c>
    </row>
    <row r="1649" ht="14.25" customHeight="1">
      <c r="A1649" s="169" t="s">
        <v>18714</v>
      </c>
      <c r="B1649" s="169" t="s">
        <v>1179</v>
      </c>
      <c r="C1649" s="169" t="s">
        <v>1197</v>
      </c>
      <c r="D1649" s="169" t="str">
        <f>"0788070731962"</f>
        <v>0788070731962</v>
      </c>
      <c r="E1649" s="169" t="str">
        <f>"1660857914743"</f>
        <v>1660857914743</v>
      </c>
      <c r="F1649" s="169" t="s">
        <v>18811</v>
      </c>
      <c r="G1649" s="169">
        <v>464.0</v>
      </c>
      <c r="H1649" s="169">
        <v>1412.3</v>
      </c>
      <c r="I1649" s="169">
        <v>655321.0</v>
      </c>
      <c r="J1649" s="169">
        <v>2.0</v>
      </c>
      <c r="K1649" s="169">
        <v>462.0</v>
      </c>
      <c r="L1649" s="169">
        <v>0.0</v>
      </c>
    </row>
    <row r="1650" ht="14.25" customHeight="1">
      <c r="A1650" s="169" t="s">
        <v>18714</v>
      </c>
      <c r="B1650" s="169" t="s">
        <v>1179</v>
      </c>
      <c r="C1650" s="169" t="s">
        <v>1198</v>
      </c>
      <c r="D1650" s="169" t="str">
        <f>"0788070731610"</f>
        <v>0788070731610</v>
      </c>
      <c r="E1650" s="169" t="str">
        <f>"67933854599885"</f>
        <v>67933854599885</v>
      </c>
      <c r="F1650" s="169" t="s">
        <v>18811</v>
      </c>
      <c r="G1650" s="169">
        <v>559.0</v>
      </c>
      <c r="H1650" s="169">
        <v>5989.0</v>
      </c>
      <c r="I1650" s="169">
        <v>3347863.0</v>
      </c>
      <c r="J1650" s="169">
        <v>0.0</v>
      </c>
      <c r="K1650" s="169">
        <v>559.0</v>
      </c>
      <c r="L1650" s="169">
        <v>0.0</v>
      </c>
    </row>
    <row r="1651" ht="14.25" customHeight="1">
      <c r="A1651" s="169" t="s">
        <v>18714</v>
      </c>
      <c r="B1651" s="169" t="s">
        <v>1179</v>
      </c>
      <c r="C1651" s="169" t="s">
        <v>1199</v>
      </c>
      <c r="D1651" s="169" t="str">
        <f>"0788070731931"</f>
        <v>0788070731931</v>
      </c>
      <c r="E1651" s="169" t="str">
        <f>"1654207372101"</f>
        <v>1654207372101</v>
      </c>
      <c r="F1651" s="169" t="s">
        <v>18811</v>
      </c>
      <c r="G1651" s="169">
        <v>823.0</v>
      </c>
      <c r="H1651" s="169">
        <v>1880.0</v>
      </c>
      <c r="I1651" s="169">
        <v>1547246.0</v>
      </c>
      <c r="J1651" s="169">
        <v>2.0</v>
      </c>
      <c r="K1651" s="169">
        <v>821.0</v>
      </c>
      <c r="L1651" s="169">
        <v>2.0</v>
      </c>
    </row>
    <row r="1652" ht="14.25" customHeight="1">
      <c r="A1652" s="169" t="s">
        <v>18714</v>
      </c>
      <c r="B1652" s="169" t="s">
        <v>1179</v>
      </c>
      <c r="C1652" s="169" t="s">
        <v>1200</v>
      </c>
      <c r="D1652" s="169" t="str">
        <f>"0788070731924"</f>
        <v>0788070731924</v>
      </c>
      <c r="E1652" s="169" t="str">
        <f>"1654207352499"</f>
        <v>1654207352499</v>
      </c>
      <c r="F1652" s="169" t="s">
        <v>18811</v>
      </c>
      <c r="G1652" s="169">
        <v>635.0</v>
      </c>
      <c r="H1652" s="169">
        <v>3427.0</v>
      </c>
      <c r="I1652" s="169">
        <v>2176157.0</v>
      </c>
      <c r="J1652" s="169">
        <v>0.0</v>
      </c>
      <c r="K1652" s="169">
        <v>635.0</v>
      </c>
      <c r="L1652" s="169">
        <v>0.0</v>
      </c>
    </row>
    <row r="1653" ht="14.25" customHeight="1">
      <c r="A1653" s="169" t="s">
        <v>18714</v>
      </c>
      <c r="B1653" s="169" t="s">
        <v>1179</v>
      </c>
      <c r="C1653" s="169" t="s">
        <v>1352</v>
      </c>
      <c r="D1653" s="169" t="str">
        <f>"0788070731955"</f>
        <v>0788070731955</v>
      </c>
      <c r="E1653" s="169" t="str">
        <f>"1654207748340"</f>
        <v>1654207748340</v>
      </c>
      <c r="F1653" s="169" t="s">
        <v>18811</v>
      </c>
      <c r="G1653" s="169">
        <v>304.0</v>
      </c>
      <c r="H1653" s="169">
        <v>7372.0</v>
      </c>
      <c r="I1653" s="169">
        <v>2241088.0</v>
      </c>
      <c r="J1653" s="169">
        <v>0.0</v>
      </c>
      <c r="K1653" s="169">
        <v>304.0</v>
      </c>
      <c r="L1653" s="169">
        <v>0.0</v>
      </c>
    </row>
    <row r="1654" ht="14.25" customHeight="1">
      <c r="A1654" s="169" t="s">
        <v>18714</v>
      </c>
      <c r="B1654" s="169" t="s">
        <v>1179</v>
      </c>
      <c r="C1654" s="169" t="s">
        <v>14797</v>
      </c>
      <c r="D1654" s="169" t="str">
        <f>"0788070732952"</f>
        <v>0788070732952</v>
      </c>
      <c r="E1654" s="169" t="str">
        <f>"1662389376894"</f>
        <v>1662389376894</v>
      </c>
      <c r="F1654" s="169" t="s">
        <v>18811</v>
      </c>
      <c r="G1654" s="169">
        <v>9.0</v>
      </c>
      <c r="H1654" s="169">
        <v>8514.9</v>
      </c>
      <c r="I1654" s="169">
        <v>76634.0</v>
      </c>
      <c r="J1654" s="169">
        <v>0.0</v>
      </c>
      <c r="K1654" s="169">
        <v>9.0</v>
      </c>
      <c r="L1654" s="169">
        <v>0.0</v>
      </c>
    </row>
    <row r="1655" ht="14.25" customHeight="1">
      <c r="A1655" s="169" t="s">
        <v>18714</v>
      </c>
      <c r="B1655" s="169" t="s">
        <v>1179</v>
      </c>
      <c r="C1655" s="169" t="s">
        <v>14798</v>
      </c>
      <c r="D1655" s="169" t="str">
        <f>"0788070732969"</f>
        <v>0788070732969</v>
      </c>
      <c r="E1655" s="169" t="str">
        <f>"1662389430959"</f>
        <v>1662389430959</v>
      </c>
      <c r="F1655" s="169" t="s">
        <v>18811</v>
      </c>
      <c r="G1655" s="169">
        <v>30.0</v>
      </c>
      <c r="H1655" s="169">
        <v>8044.6</v>
      </c>
      <c r="I1655" s="169">
        <v>241338.0</v>
      </c>
      <c r="J1655" s="169">
        <v>0.0</v>
      </c>
      <c r="K1655" s="169">
        <v>30.0</v>
      </c>
      <c r="L1655" s="169">
        <v>0.0</v>
      </c>
    </row>
    <row r="1656" ht="14.25" customHeight="1">
      <c r="A1656" s="169" t="s">
        <v>18714</v>
      </c>
      <c r="B1656" s="169" t="s">
        <v>1179</v>
      </c>
      <c r="C1656" s="169" t="s">
        <v>1353</v>
      </c>
      <c r="D1656" s="169" t="str">
        <f>"0788070731467"</f>
        <v>0788070731467</v>
      </c>
      <c r="E1656" s="169" t="str">
        <f>"1645629782262"</f>
        <v>1645629782262</v>
      </c>
      <c r="F1656" s="169" t="s">
        <v>18811</v>
      </c>
      <c r="G1656" s="169">
        <v>425.0</v>
      </c>
      <c r="H1656" s="169">
        <v>4128.7</v>
      </c>
      <c r="I1656" s="169">
        <v>1754686.0</v>
      </c>
      <c r="J1656" s="169">
        <v>1.0</v>
      </c>
      <c r="K1656" s="169">
        <v>424.0</v>
      </c>
      <c r="L1656" s="169">
        <v>1.0</v>
      </c>
    </row>
    <row r="1657" ht="14.25" customHeight="1">
      <c r="A1657" s="169" t="s">
        <v>18714</v>
      </c>
      <c r="B1657" s="169" t="s">
        <v>1179</v>
      </c>
      <c r="C1657" s="169" t="s">
        <v>1407</v>
      </c>
      <c r="D1657" s="169" t="str">
        <f>"0788070732280"</f>
        <v>0788070732280</v>
      </c>
      <c r="E1657" s="169" t="str">
        <f>"1661872956577"</f>
        <v>1661872956577</v>
      </c>
      <c r="F1657" s="169" t="s">
        <v>18811</v>
      </c>
      <c r="G1657" s="169">
        <v>195.0</v>
      </c>
      <c r="H1657" s="169">
        <v>11461.7</v>
      </c>
      <c r="I1657" s="169">
        <v>2235024.0</v>
      </c>
      <c r="J1657" s="169">
        <v>2.0</v>
      </c>
      <c r="K1657" s="169">
        <v>193.0</v>
      </c>
      <c r="L1657" s="169">
        <v>0.0</v>
      </c>
    </row>
    <row r="1658" ht="14.25" customHeight="1">
      <c r="A1658" s="169" t="s">
        <v>18714</v>
      </c>
      <c r="B1658" s="169" t="s">
        <v>1179</v>
      </c>
      <c r="C1658" s="169" t="s">
        <v>1354</v>
      </c>
      <c r="D1658" s="169" t="str">
        <f>"0736372919571"</f>
        <v>0736372919571</v>
      </c>
      <c r="E1658" s="169" t="str">
        <f>"SIMCONRED"</f>
        <v>SIMCONRED</v>
      </c>
      <c r="F1658" s="169" t="s">
        <v>18811</v>
      </c>
      <c r="G1658" s="169">
        <v>299.0</v>
      </c>
      <c r="H1658" s="169">
        <v>5126.0</v>
      </c>
      <c r="I1658" s="169">
        <v>1532674.0</v>
      </c>
      <c r="J1658" s="169">
        <v>0.0</v>
      </c>
      <c r="K1658" s="169">
        <v>299.0</v>
      </c>
      <c r="L1658" s="169">
        <v>0.0</v>
      </c>
    </row>
    <row r="1659" ht="14.25" customHeight="1">
      <c r="A1659" s="169" t="s">
        <v>18714</v>
      </c>
      <c r="B1659" s="169" t="s">
        <v>1179</v>
      </c>
      <c r="C1659" s="169" t="s">
        <v>16768</v>
      </c>
      <c r="D1659" s="169" t="str">
        <f>"0788070732433"</f>
        <v>0788070732433</v>
      </c>
      <c r="E1659" s="169" t="str">
        <f>"1658269683485"</f>
        <v>1658269683485</v>
      </c>
      <c r="F1659" s="169" t="s">
        <v>18811</v>
      </c>
      <c r="G1659" s="169">
        <v>88.0</v>
      </c>
      <c r="H1659" s="169">
        <v>10616.0</v>
      </c>
      <c r="I1659" s="169">
        <v>934208.0</v>
      </c>
      <c r="J1659" s="169">
        <v>0.0</v>
      </c>
      <c r="K1659" s="169">
        <v>88.0</v>
      </c>
      <c r="L1659" s="169">
        <v>0.0</v>
      </c>
    </row>
    <row r="1660" ht="14.25" customHeight="1">
      <c r="A1660" s="169" t="s">
        <v>18714</v>
      </c>
      <c r="B1660" s="169" t="s">
        <v>1179</v>
      </c>
      <c r="C1660" s="169" t="s">
        <v>1356</v>
      </c>
      <c r="D1660" s="169" t="str">
        <f>"0788070732068"</f>
        <v>0788070732068</v>
      </c>
      <c r="E1660" s="169" t="str">
        <f>"1660859287583"</f>
        <v>1660859287583</v>
      </c>
      <c r="F1660" s="169" t="s">
        <v>18811</v>
      </c>
      <c r="G1660" s="169">
        <v>780.0</v>
      </c>
      <c r="H1660" s="169">
        <v>8273.9</v>
      </c>
      <c r="I1660" s="169">
        <v>6453612.0</v>
      </c>
      <c r="J1660" s="169">
        <v>0.0</v>
      </c>
      <c r="K1660" s="169">
        <v>780.0</v>
      </c>
      <c r="L1660" s="169">
        <v>0.0</v>
      </c>
    </row>
    <row r="1661" ht="14.25" customHeight="1">
      <c r="A1661" s="169" t="s">
        <v>18714</v>
      </c>
      <c r="B1661" s="169" t="s">
        <v>1179</v>
      </c>
      <c r="C1661" s="169" t="s">
        <v>1201</v>
      </c>
      <c r="D1661" s="169" t="str">
        <f>"0736372918321"</f>
        <v>0736372918321</v>
      </c>
      <c r="E1661" s="169" t="str">
        <f>"67933863068841"</f>
        <v>67933863068841</v>
      </c>
      <c r="F1661" s="169" t="s">
        <v>18811</v>
      </c>
      <c r="G1661" s="169">
        <v>219.0</v>
      </c>
      <c r="H1661" s="169">
        <v>4077.0</v>
      </c>
      <c r="I1661" s="169">
        <v>892872.0</v>
      </c>
      <c r="J1661" s="169">
        <v>1.0</v>
      </c>
      <c r="K1661" s="169">
        <v>218.0</v>
      </c>
      <c r="L1661" s="169">
        <v>1.0</v>
      </c>
    </row>
    <row r="1662" ht="14.25" customHeight="1">
      <c r="A1662" s="169" t="s">
        <v>18714</v>
      </c>
      <c r="B1662" s="169" t="s">
        <v>1179</v>
      </c>
      <c r="C1662" s="169" t="s">
        <v>1202</v>
      </c>
      <c r="D1662" s="169" t="str">
        <f>"0736372918314"</f>
        <v>0736372918314</v>
      </c>
      <c r="E1662" s="169" t="str">
        <f>"67933861722733"</f>
        <v>67933861722733</v>
      </c>
      <c r="F1662" s="169" t="s">
        <v>18811</v>
      </c>
      <c r="G1662" s="169">
        <v>447.0</v>
      </c>
      <c r="H1662" s="169">
        <v>3333.5</v>
      </c>
      <c r="I1662" s="169">
        <v>1490059.0</v>
      </c>
      <c r="J1662" s="169">
        <v>0.0</v>
      </c>
      <c r="K1662" s="169">
        <v>447.0</v>
      </c>
      <c r="L1662" s="169">
        <v>0.0</v>
      </c>
    </row>
    <row r="1663" ht="14.25" customHeight="1">
      <c r="A1663" s="169" t="s">
        <v>18714</v>
      </c>
      <c r="B1663" s="169" t="s">
        <v>1179</v>
      </c>
      <c r="C1663" s="169" t="s">
        <v>1203</v>
      </c>
      <c r="D1663" s="169" t="str">
        <f>"0736372918291"</f>
        <v>0736372918291</v>
      </c>
      <c r="E1663" s="169" t="str">
        <f>"67933859111971"</f>
        <v>67933859111971</v>
      </c>
      <c r="F1663" s="169" t="s">
        <v>18811</v>
      </c>
      <c r="G1663" s="169">
        <v>357.0</v>
      </c>
      <c r="H1663" s="169">
        <v>3685.8</v>
      </c>
      <c r="I1663" s="169">
        <v>1315826.0</v>
      </c>
      <c r="J1663" s="169">
        <v>7.0</v>
      </c>
      <c r="K1663" s="169">
        <v>350.0</v>
      </c>
      <c r="L1663" s="169">
        <v>0.0</v>
      </c>
    </row>
    <row r="1664" ht="14.25" customHeight="1">
      <c r="A1664" s="169" t="s">
        <v>18714</v>
      </c>
      <c r="B1664" s="169" t="s">
        <v>1179</v>
      </c>
      <c r="C1664" s="169" t="s">
        <v>1204</v>
      </c>
      <c r="D1664" s="169" t="str">
        <f>"0736372918277"</f>
        <v>0736372918277</v>
      </c>
      <c r="E1664" s="169" t="str">
        <f>"67933856404072"</f>
        <v>67933856404072</v>
      </c>
      <c r="F1664" s="169" t="s">
        <v>18811</v>
      </c>
      <c r="G1664" s="169">
        <v>240.0</v>
      </c>
      <c r="H1664" s="169">
        <v>3649.0</v>
      </c>
      <c r="I1664" s="169">
        <v>875765.0</v>
      </c>
      <c r="J1664" s="169">
        <v>1.0</v>
      </c>
      <c r="K1664" s="169">
        <v>239.0</v>
      </c>
      <c r="L1664" s="169">
        <v>1.0</v>
      </c>
    </row>
    <row r="1665" ht="14.25" customHeight="1">
      <c r="A1665" s="169" t="s">
        <v>18714</v>
      </c>
      <c r="B1665" s="169" t="s">
        <v>1179</v>
      </c>
      <c r="C1665" s="169" t="s">
        <v>1205</v>
      </c>
      <c r="D1665" s="169" t="str">
        <f>"0736372918284"</f>
        <v>0736372918284</v>
      </c>
      <c r="E1665" s="169" t="str">
        <f>"67933857637909"</f>
        <v>67933857637909</v>
      </c>
      <c r="F1665" s="169" t="s">
        <v>18811</v>
      </c>
      <c r="G1665" s="169">
        <v>290.0</v>
      </c>
      <c r="H1665" s="169">
        <v>4495.1</v>
      </c>
      <c r="I1665" s="169">
        <v>1303586.0</v>
      </c>
      <c r="J1665" s="169">
        <v>3.0</v>
      </c>
      <c r="K1665" s="169">
        <v>287.0</v>
      </c>
      <c r="L1665" s="169">
        <v>0.0</v>
      </c>
    </row>
    <row r="1666" ht="14.25" customHeight="1">
      <c r="A1666" s="169" t="s">
        <v>18714</v>
      </c>
      <c r="B1666" s="169" t="s">
        <v>1179</v>
      </c>
      <c r="C1666" s="169" t="s">
        <v>1206</v>
      </c>
      <c r="D1666" s="169" t="str">
        <f>"0736372918307"</f>
        <v>0736372918307</v>
      </c>
      <c r="E1666" s="169" t="str">
        <f>"67933860407346"</f>
        <v>67933860407346</v>
      </c>
      <c r="F1666" s="169" t="s">
        <v>18811</v>
      </c>
      <c r="G1666" s="169">
        <v>408.0</v>
      </c>
      <c r="H1666" s="169">
        <v>3034.9</v>
      </c>
      <c r="I1666" s="169">
        <v>1238222.0</v>
      </c>
      <c r="J1666" s="169">
        <v>4.0</v>
      </c>
      <c r="K1666" s="169">
        <v>404.0</v>
      </c>
      <c r="L1666" s="169">
        <v>0.0</v>
      </c>
    </row>
    <row r="1667" ht="14.25" customHeight="1">
      <c r="A1667" s="169" t="s">
        <v>18714</v>
      </c>
      <c r="B1667" s="169" t="s">
        <v>1179</v>
      </c>
      <c r="C1667" s="169" t="s">
        <v>1357</v>
      </c>
      <c r="D1667" s="169" t="str">
        <f t="shared" ref="D1667:E1667" si="1101">"1627418212924"</f>
        <v>1627418212924</v>
      </c>
      <c r="E1667" s="169" t="str">
        <f t="shared" si="1101"/>
        <v>1627418212924</v>
      </c>
      <c r="F1667" s="169" t="s">
        <v>18811</v>
      </c>
      <c r="G1667" s="169">
        <v>3431.0</v>
      </c>
      <c r="H1667" s="169">
        <v>7239.7</v>
      </c>
      <c r="I1667" s="169">
        <v>2.4839418E7</v>
      </c>
      <c r="J1667" s="169">
        <v>0.0</v>
      </c>
      <c r="K1667" s="169">
        <v>3431.0</v>
      </c>
      <c r="L1667" s="169">
        <v>1.0</v>
      </c>
    </row>
    <row r="1668" ht="14.25" customHeight="1">
      <c r="A1668" s="169" t="s">
        <v>18714</v>
      </c>
      <c r="B1668" s="169" t="s">
        <v>1179</v>
      </c>
      <c r="C1668" s="169" t="s">
        <v>1358</v>
      </c>
      <c r="D1668" s="169" t="str">
        <f t="shared" ref="D1668:E1668" si="1102">"67327712330533"</f>
        <v>67327712330533</v>
      </c>
      <c r="E1668" s="169" t="str">
        <f t="shared" si="1102"/>
        <v>67327712330533</v>
      </c>
      <c r="F1668" s="169" t="s">
        <v>18811</v>
      </c>
      <c r="G1668" s="169">
        <v>2344.0</v>
      </c>
      <c r="H1668" s="169">
        <v>7308.0</v>
      </c>
      <c r="I1668" s="169">
        <v>1.712989E7</v>
      </c>
      <c r="J1668" s="169">
        <v>3.0</v>
      </c>
      <c r="K1668" s="169">
        <v>2341.0</v>
      </c>
      <c r="L1668" s="169">
        <v>0.0</v>
      </c>
    </row>
    <row r="1669" ht="14.25" customHeight="1">
      <c r="A1669" s="169" t="s">
        <v>18714</v>
      </c>
      <c r="B1669" s="169" t="s">
        <v>1179</v>
      </c>
      <c r="C1669" s="169" t="s">
        <v>1374</v>
      </c>
      <c r="D1669" s="169" t="str">
        <f t="shared" ref="D1669:E1669" si="1103">"1627418180602"</f>
        <v>1627418180602</v>
      </c>
      <c r="E1669" s="169" t="str">
        <f t="shared" si="1103"/>
        <v>1627418180602</v>
      </c>
      <c r="F1669" s="169" t="s">
        <v>18811</v>
      </c>
      <c r="G1669" s="169">
        <v>622.0</v>
      </c>
      <c r="H1669" s="169">
        <v>5544.5</v>
      </c>
      <c r="I1669" s="169">
        <v>3448659.0</v>
      </c>
      <c r="J1669" s="169">
        <v>6.0</v>
      </c>
      <c r="K1669" s="169">
        <v>616.0</v>
      </c>
      <c r="L1669" s="169">
        <v>1.0</v>
      </c>
    </row>
    <row r="1670" ht="14.25" customHeight="1">
      <c r="A1670" s="169" t="s">
        <v>18714</v>
      </c>
      <c r="B1670" s="169" t="s">
        <v>1179</v>
      </c>
      <c r="C1670" s="169" t="s">
        <v>16755</v>
      </c>
      <c r="D1670" s="169" t="str">
        <f>"0788070732747"</f>
        <v>0788070732747</v>
      </c>
      <c r="E1670" s="169" t="str">
        <f>"1661894977439"</f>
        <v>1661894977439</v>
      </c>
      <c r="F1670" s="169" t="s">
        <v>18811</v>
      </c>
      <c r="G1670" s="169">
        <v>4.0</v>
      </c>
      <c r="H1670" s="169">
        <v>6510.9</v>
      </c>
      <c r="I1670" s="169">
        <v>26044.0</v>
      </c>
      <c r="J1670" s="169">
        <v>0.0</v>
      </c>
      <c r="K1670" s="169">
        <v>4.0</v>
      </c>
      <c r="L1670" s="169">
        <v>0.0</v>
      </c>
    </row>
    <row r="1671" ht="14.25" customHeight="1">
      <c r="A1671" s="169" t="s">
        <v>18714</v>
      </c>
      <c r="B1671" s="169" t="s">
        <v>1179</v>
      </c>
      <c r="C1671" s="169" t="s">
        <v>1296</v>
      </c>
      <c r="D1671" s="169" t="str">
        <f t="shared" ref="D1671:E1671" si="1104">"1629726091782"</f>
        <v>1629726091782</v>
      </c>
      <c r="E1671" s="169" t="str">
        <f t="shared" si="1104"/>
        <v>1629726091782</v>
      </c>
      <c r="F1671" s="169" t="s">
        <v>18811</v>
      </c>
      <c r="G1671" s="169">
        <v>100.0</v>
      </c>
      <c r="H1671" s="169">
        <v>6175.7</v>
      </c>
      <c r="I1671" s="169">
        <v>617572.0</v>
      </c>
      <c r="J1671" s="169">
        <v>0.0</v>
      </c>
      <c r="K1671" s="169">
        <v>100.0</v>
      </c>
      <c r="L1671" s="169">
        <v>0.0</v>
      </c>
    </row>
    <row r="1672" ht="14.25" customHeight="1">
      <c r="A1672" s="169" t="s">
        <v>18714</v>
      </c>
      <c r="B1672" s="169" t="s">
        <v>1179</v>
      </c>
      <c r="C1672" s="169" t="s">
        <v>1297</v>
      </c>
      <c r="D1672" s="169" t="str">
        <f t="shared" ref="D1672:E1672" si="1105">"1629726117626"</f>
        <v>1629726117626</v>
      </c>
      <c r="E1672" s="169" t="str">
        <f t="shared" si="1105"/>
        <v>1629726117626</v>
      </c>
      <c r="F1672" s="169" t="s">
        <v>18811</v>
      </c>
      <c r="G1672" s="169">
        <v>676.0</v>
      </c>
      <c r="H1672" s="169">
        <v>6175.5</v>
      </c>
      <c r="I1672" s="169">
        <v>4174671.0</v>
      </c>
      <c r="J1672" s="169">
        <v>2.0</v>
      </c>
      <c r="K1672" s="169">
        <v>674.0</v>
      </c>
      <c r="L1672" s="169">
        <v>0.0</v>
      </c>
    </row>
    <row r="1673" ht="14.25" customHeight="1">
      <c r="A1673" s="169" t="s">
        <v>18714</v>
      </c>
      <c r="B1673" s="169" t="s">
        <v>1179</v>
      </c>
      <c r="C1673" s="169" t="s">
        <v>16751</v>
      </c>
      <c r="D1673" s="169" t="str">
        <f>"0788070732730"</f>
        <v>0788070732730</v>
      </c>
      <c r="E1673" s="169" t="str">
        <f>"1661894945281"</f>
        <v>1661894945281</v>
      </c>
      <c r="F1673" s="169" t="s">
        <v>18811</v>
      </c>
      <c r="G1673" s="169">
        <v>10.0</v>
      </c>
      <c r="H1673" s="169">
        <v>6142.0</v>
      </c>
      <c r="I1673" s="169">
        <v>61420.0</v>
      </c>
      <c r="J1673" s="169">
        <v>0.0</v>
      </c>
      <c r="K1673" s="169">
        <v>10.0</v>
      </c>
      <c r="L1673" s="169">
        <v>0.0</v>
      </c>
    </row>
    <row r="1674" ht="14.25" customHeight="1">
      <c r="A1674" s="169" t="s">
        <v>18714</v>
      </c>
      <c r="B1674" s="169" t="s">
        <v>1179</v>
      </c>
      <c r="C1674" s="169" t="s">
        <v>1298</v>
      </c>
      <c r="D1674" s="169" t="str">
        <f>"0788070732242"</f>
        <v>0788070732242</v>
      </c>
      <c r="E1674" s="169" t="str">
        <f>"1660857963520"</f>
        <v>1660857963520</v>
      </c>
      <c r="F1674" s="169" t="s">
        <v>18811</v>
      </c>
      <c r="G1674" s="169">
        <v>252.0</v>
      </c>
      <c r="H1674" s="169">
        <v>3321.5</v>
      </c>
      <c r="I1674" s="169">
        <v>837014.0</v>
      </c>
      <c r="J1674" s="169">
        <v>2.0</v>
      </c>
      <c r="K1674" s="169">
        <v>250.0</v>
      </c>
      <c r="L1674" s="169">
        <v>0.0</v>
      </c>
    </row>
    <row r="1675" ht="14.25" customHeight="1">
      <c r="A1675" s="169" t="s">
        <v>18714</v>
      </c>
      <c r="B1675" s="169" t="s">
        <v>1179</v>
      </c>
      <c r="C1675" s="169" t="s">
        <v>1310</v>
      </c>
      <c r="D1675" s="169" t="str">
        <f>"0788070731917"</f>
        <v>0788070731917</v>
      </c>
      <c r="E1675" s="169" t="str">
        <f>"1654207333519"</f>
        <v>1654207333519</v>
      </c>
      <c r="F1675" s="169" t="s">
        <v>18811</v>
      </c>
      <c r="G1675" s="169">
        <v>55.0</v>
      </c>
      <c r="H1675" s="169">
        <v>1876.0</v>
      </c>
      <c r="I1675" s="169">
        <v>103180.0</v>
      </c>
      <c r="J1675" s="169">
        <v>0.0</v>
      </c>
      <c r="K1675" s="169">
        <v>55.0</v>
      </c>
      <c r="L1675" s="169">
        <v>0.0</v>
      </c>
    </row>
    <row r="1676" ht="14.25" customHeight="1">
      <c r="A1676" s="169" t="s">
        <v>18714</v>
      </c>
      <c r="B1676" s="169" t="s">
        <v>1179</v>
      </c>
      <c r="C1676" s="169" t="s">
        <v>1311</v>
      </c>
      <c r="D1676" s="169" t="str">
        <f>"0788070731900"</f>
        <v>0788070731900</v>
      </c>
      <c r="E1676" s="169" t="str">
        <f>"1654207307551"</f>
        <v>1654207307551</v>
      </c>
      <c r="F1676" s="169" t="s">
        <v>18811</v>
      </c>
      <c r="G1676" s="169">
        <v>69.0</v>
      </c>
      <c r="H1676" s="169">
        <v>1898.0</v>
      </c>
      <c r="I1676" s="169">
        <v>130962.0</v>
      </c>
      <c r="J1676" s="169">
        <v>0.0</v>
      </c>
      <c r="K1676" s="169">
        <v>69.0</v>
      </c>
      <c r="L1676" s="169">
        <v>0.0</v>
      </c>
    </row>
    <row r="1677" ht="14.25" customHeight="1">
      <c r="A1677" s="169" t="s">
        <v>18714</v>
      </c>
      <c r="B1677" s="169" t="s">
        <v>1179</v>
      </c>
      <c r="C1677" s="169" t="s">
        <v>1287</v>
      </c>
      <c r="D1677" s="169" t="str">
        <f>"0736372918420"</f>
        <v>0736372918420</v>
      </c>
      <c r="E1677" s="169" t="str">
        <f>"68142278578308"</f>
        <v>68142278578308</v>
      </c>
      <c r="F1677" s="169" t="s">
        <v>18811</v>
      </c>
      <c r="G1677" s="169">
        <v>867.0</v>
      </c>
      <c r="H1677" s="169">
        <v>4048.7</v>
      </c>
      <c r="I1677" s="169">
        <v>3510215.0</v>
      </c>
      <c r="J1677" s="169">
        <v>3.0</v>
      </c>
      <c r="K1677" s="169">
        <v>864.0</v>
      </c>
      <c r="L1677" s="169">
        <v>0.0</v>
      </c>
    </row>
    <row r="1678" ht="14.25" customHeight="1">
      <c r="A1678" s="169" t="s">
        <v>18714</v>
      </c>
      <c r="B1678" s="169" t="s">
        <v>1179</v>
      </c>
      <c r="C1678" s="169" t="s">
        <v>1288</v>
      </c>
      <c r="D1678" s="169" t="str">
        <f>"0736372918437"</f>
        <v>0736372918437</v>
      </c>
      <c r="E1678" s="169" t="str">
        <f>"68142280732690"</f>
        <v>68142280732690</v>
      </c>
      <c r="F1678" s="169" t="s">
        <v>18811</v>
      </c>
      <c r="G1678" s="169">
        <v>875.0</v>
      </c>
      <c r="H1678" s="169">
        <v>3818.9</v>
      </c>
      <c r="I1678" s="169">
        <v>3341556.0</v>
      </c>
      <c r="J1678" s="169">
        <v>0.0</v>
      </c>
      <c r="K1678" s="169">
        <v>875.0</v>
      </c>
      <c r="L1678" s="169">
        <v>0.0</v>
      </c>
    </row>
    <row r="1679" ht="14.25" customHeight="1">
      <c r="A1679" s="169" t="s">
        <v>18714</v>
      </c>
      <c r="B1679" s="169" t="s">
        <v>1179</v>
      </c>
      <c r="C1679" s="169" t="s">
        <v>1289</v>
      </c>
      <c r="D1679" s="169" t="str">
        <f>"0736372918413"</f>
        <v>0736372918413</v>
      </c>
      <c r="E1679" s="169" t="str">
        <f>"68142275737629"</f>
        <v>68142275737629</v>
      </c>
      <c r="F1679" s="169" t="s">
        <v>18811</v>
      </c>
      <c r="G1679" s="169">
        <v>851.0</v>
      </c>
      <c r="H1679" s="169">
        <v>3888.4</v>
      </c>
      <c r="I1679" s="169">
        <v>3309053.0</v>
      </c>
      <c r="J1679" s="169">
        <v>2.0</v>
      </c>
      <c r="K1679" s="169">
        <v>849.0</v>
      </c>
      <c r="L1679" s="169">
        <v>0.0</v>
      </c>
    </row>
    <row r="1680" ht="14.25" customHeight="1">
      <c r="A1680" s="169" t="s">
        <v>18714</v>
      </c>
      <c r="B1680" s="169" t="s">
        <v>1179</v>
      </c>
      <c r="C1680" s="169" t="s">
        <v>1290</v>
      </c>
      <c r="D1680" s="169" t="str">
        <f>"0788070732631"</f>
        <v>0788070732631</v>
      </c>
      <c r="E1680" s="169" t="str">
        <f>"66800472805184"</f>
        <v>66800472805184</v>
      </c>
      <c r="F1680" s="169" t="s">
        <v>18811</v>
      </c>
      <c r="G1680" s="169">
        <v>564.0</v>
      </c>
      <c r="H1680" s="169">
        <v>6115.8</v>
      </c>
      <c r="I1680" s="169">
        <v>3449327.0</v>
      </c>
      <c r="J1680" s="169">
        <v>0.0</v>
      </c>
      <c r="K1680" s="169">
        <v>564.0</v>
      </c>
      <c r="L1680" s="169">
        <v>0.0</v>
      </c>
    </row>
    <row r="1681" ht="14.25" customHeight="1">
      <c r="A1681" s="169" t="s">
        <v>18714</v>
      </c>
      <c r="B1681" s="169" t="s">
        <v>1179</v>
      </c>
      <c r="C1681" s="169" t="s">
        <v>1291</v>
      </c>
      <c r="D1681" s="169" t="str">
        <f>"0788070732624"</f>
        <v>0788070732624</v>
      </c>
      <c r="E1681" s="169" t="str">
        <f>"66800471275549"</f>
        <v>66800471275549</v>
      </c>
      <c r="F1681" s="169" t="s">
        <v>18811</v>
      </c>
      <c r="G1681" s="169">
        <v>972.0</v>
      </c>
      <c r="H1681" s="169">
        <v>6284.6</v>
      </c>
      <c r="I1681" s="169">
        <v>6108594.0</v>
      </c>
      <c r="J1681" s="169">
        <v>1.0</v>
      </c>
      <c r="K1681" s="169">
        <v>971.0</v>
      </c>
      <c r="L1681" s="169">
        <v>0.0</v>
      </c>
    </row>
    <row r="1682" ht="14.25" customHeight="1">
      <c r="A1682" s="169" t="s">
        <v>18714</v>
      </c>
      <c r="B1682" s="169" t="s">
        <v>1179</v>
      </c>
      <c r="C1682" s="169" t="s">
        <v>1292</v>
      </c>
      <c r="D1682" s="169" t="str">
        <f>"0788070732617"</f>
        <v>0788070732617</v>
      </c>
      <c r="E1682" s="169" t="str">
        <f>"66800469437952"</f>
        <v>66800469437952</v>
      </c>
      <c r="F1682" s="169" t="s">
        <v>18811</v>
      </c>
      <c r="G1682" s="169">
        <v>950.0</v>
      </c>
      <c r="H1682" s="169">
        <v>6072.7</v>
      </c>
      <c r="I1682" s="169">
        <v>5769056.0</v>
      </c>
      <c r="J1682" s="169">
        <v>2.0</v>
      </c>
      <c r="K1682" s="169">
        <v>948.0</v>
      </c>
      <c r="L1682" s="169">
        <v>0.0</v>
      </c>
    </row>
    <row r="1683" ht="14.25" customHeight="1">
      <c r="A1683" s="169" t="s">
        <v>18714</v>
      </c>
      <c r="B1683" s="169" t="s">
        <v>1179</v>
      </c>
      <c r="C1683" s="169" t="s">
        <v>1312</v>
      </c>
      <c r="D1683" s="169" t="str">
        <f>"0788070732037"</f>
        <v>0788070732037</v>
      </c>
      <c r="E1683" s="169" t="str">
        <f>"1660858266475"</f>
        <v>1660858266475</v>
      </c>
      <c r="F1683" s="169" t="s">
        <v>18811</v>
      </c>
      <c r="G1683" s="169">
        <v>55.0</v>
      </c>
      <c r="H1683" s="169">
        <v>8359.0</v>
      </c>
      <c r="I1683" s="169">
        <v>459745.0</v>
      </c>
      <c r="J1683" s="169">
        <v>0.0</v>
      </c>
      <c r="K1683" s="169">
        <v>55.0</v>
      </c>
      <c r="L1683" s="169">
        <v>0.0</v>
      </c>
    </row>
    <row r="1684" ht="14.25" customHeight="1">
      <c r="A1684" s="169" t="s">
        <v>18714</v>
      </c>
      <c r="B1684" s="169" t="s">
        <v>1179</v>
      </c>
      <c r="C1684" s="169" t="s">
        <v>1313</v>
      </c>
      <c r="D1684" s="169" t="str">
        <f>"0788070732020"</f>
        <v>0788070732020</v>
      </c>
      <c r="E1684" s="169" t="str">
        <f>"1660858235219"</f>
        <v>1660858235219</v>
      </c>
      <c r="F1684" s="169" t="s">
        <v>18811</v>
      </c>
      <c r="G1684" s="169">
        <v>138.0</v>
      </c>
      <c r="H1684" s="169">
        <v>8367.0</v>
      </c>
      <c r="I1684" s="169">
        <v>1154645.0</v>
      </c>
      <c r="J1684" s="169">
        <v>1.0</v>
      </c>
      <c r="K1684" s="169">
        <v>137.0</v>
      </c>
      <c r="L1684" s="169">
        <v>0.0</v>
      </c>
    </row>
    <row r="1685" ht="14.25" customHeight="1">
      <c r="A1685" s="169" t="s">
        <v>18714</v>
      </c>
      <c r="B1685" s="169" t="s">
        <v>1179</v>
      </c>
      <c r="C1685" s="169" t="s">
        <v>1359</v>
      </c>
      <c r="D1685" s="169" t="str">
        <f>"0788070732075"</f>
        <v>0788070732075</v>
      </c>
      <c r="E1685" s="169" t="str">
        <f>"1660859102915"</f>
        <v>1660859102915</v>
      </c>
      <c r="F1685" s="169" t="s">
        <v>18811</v>
      </c>
      <c r="G1685" s="169">
        <v>285.0</v>
      </c>
      <c r="H1685" s="169">
        <v>5255.5</v>
      </c>
      <c r="I1685" s="169">
        <v>1497831.0</v>
      </c>
      <c r="J1685" s="169">
        <v>0.0</v>
      </c>
      <c r="K1685" s="169">
        <v>285.0</v>
      </c>
      <c r="L1685" s="169">
        <v>0.0</v>
      </c>
    </row>
    <row r="1686" ht="14.25" customHeight="1">
      <c r="A1686" s="169" t="s">
        <v>18714</v>
      </c>
      <c r="B1686" s="169" t="s">
        <v>1179</v>
      </c>
      <c r="C1686" s="169" t="s">
        <v>1314</v>
      </c>
      <c r="D1686" s="169" t="str">
        <f>"0736372918345"</f>
        <v>0736372918345</v>
      </c>
      <c r="E1686" s="169" t="str">
        <f>"67951423489593"</f>
        <v>67951423489593</v>
      </c>
      <c r="F1686" s="169" t="s">
        <v>18811</v>
      </c>
      <c r="G1686" s="169">
        <v>154.0</v>
      </c>
      <c r="H1686" s="169">
        <v>3357.6</v>
      </c>
      <c r="I1686" s="169">
        <v>517066.0</v>
      </c>
      <c r="J1686" s="169">
        <v>0.0</v>
      </c>
      <c r="K1686" s="169">
        <v>154.0</v>
      </c>
      <c r="L1686" s="169">
        <v>0.0</v>
      </c>
    </row>
    <row r="1687" ht="14.25" customHeight="1">
      <c r="A1687" s="169" t="s">
        <v>18714</v>
      </c>
      <c r="B1687" s="169" t="s">
        <v>1179</v>
      </c>
      <c r="C1687" s="169" t="s">
        <v>1315</v>
      </c>
      <c r="D1687" s="169" t="str">
        <f>"0736372918352"</f>
        <v>0736372918352</v>
      </c>
      <c r="E1687" s="169" t="str">
        <f>"67951425161311"</f>
        <v>67951425161311</v>
      </c>
      <c r="F1687" s="169" t="s">
        <v>18811</v>
      </c>
      <c r="G1687" s="169">
        <v>181.0</v>
      </c>
      <c r="H1687" s="169">
        <v>3342.2</v>
      </c>
      <c r="I1687" s="169">
        <v>604937.0</v>
      </c>
      <c r="J1687" s="169">
        <v>0.0</v>
      </c>
      <c r="K1687" s="169">
        <v>181.0</v>
      </c>
      <c r="L1687" s="169">
        <v>0.0</v>
      </c>
    </row>
    <row r="1688" ht="14.25" customHeight="1">
      <c r="A1688" s="169" t="s">
        <v>18714</v>
      </c>
      <c r="B1688" s="169" t="s">
        <v>1179</v>
      </c>
      <c r="C1688" s="169" t="s">
        <v>1316</v>
      </c>
      <c r="D1688" s="169" t="str">
        <f>"0736372918338"</f>
        <v>0736372918338</v>
      </c>
      <c r="E1688" s="169" t="str">
        <f>"67951421434761"</f>
        <v>67951421434761</v>
      </c>
      <c r="F1688" s="169" t="s">
        <v>18811</v>
      </c>
      <c r="G1688" s="169">
        <v>115.0</v>
      </c>
      <c r="H1688" s="169">
        <v>3377.7</v>
      </c>
      <c r="I1688" s="169">
        <v>388434.0</v>
      </c>
      <c r="J1688" s="169">
        <v>0.0</v>
      </c>
      <c r="K1688" s="169">
        <v>115.0</v>
      </c>
      <c r="L1688" s="169">
        <v>0.0</v>
      </c>
    </row>
    <row r="1689" ht="14.25" customHeight="1">
      <c r="A1689" s="169" t="s">
        <v>14851</v>
      </c>
      <c r="B1689" s="169" t="s">
        <v>14851</v>
      </c>
      <c r="C1689" s="169" t="s">
        <v>14852</v>
      </c>
      <c r="D1689" s="169" t="str">
        <f t="shared" ref="D1689:E1689" si="1106">"1651603020408"</f>
        <v>1651603020408</v>
      </c>
      <c r="E1689" s="169" t="str">
        <f t="shared" si="1106"/>
        <v>1651603020408</v>
      </c>
      <c r="F1689" s="169" t="s">
        <v>18811</v>
      </c>
      <c r="G1689" s="169">
        <v>100.0</v>
      </c>
      <c r="H1689" s="169">
        <v>654.6</v>
      </c>
      <c r="I1689" s="169">
        <v>65460.0</v>
      </c>
      <c r="J1689" s="169">
        <v>0.0</v>
      </c>
      <c r="K1689" s="169">
        <v>100.0</v>
      </c>
      <c r="L1689" s="169">
        <v>0.0</v>
      </c>
    </row>
    <row r="1690" ht="14.25" customHeight="1">
      <c r="A1690" s="169" t="s">
        <v>14851</v>
      </c>
      <c r="B1690" s="169" t="s">
        <v>14851</v>
      </c>
      <c r="C1690" s="169" t="s">
        <v>14857</v>
      </c>
      <c r="D1690" s="169" t="str">
        <f t="shared" ref="D1690:E1690" si="1107">"1651602983648"</f>
        <v>1651602983648</v>
      </c>
      <c r="E1690" s="169" t="str">
        <f t="shared" si="1107"/>
        <v>1651602983648</v>
      </c>
      <c r="F1690" s="169" t="s">
        <v>18811</v>
      </c>
      <c r="G1690" s="169">
        <v>28.0</v>
      </c>
      <c r="H1690" s="169">
        <v>3273.0</v>
      </c>
      <c r="I1690" s="169">
        <v>91644.0</v>
      </c>
      <c r="J1690" s="169">
        <v>0.0</v>
      </c>
      <c r="K1690" s="169">
        <v>28.0</v>
      </c>
      <c r="L1690" s="169">
        <v>0.0</v>
      </c>
    </row>
    <row r="1691" ht="14.25" customHeight="1">
      <c r="A1691" s="169" t="s">
        <v>7023</v>
      </c>
      <c r="B1691" s="169" t="s">
        <v>14975</v>
      </c>
      <c r="C1691" s="169" t="s">
        <v>18707</v>
      </c>
      <c r="D1691" s="169" t="str">
        <f>"7040351001359"</f>
        <v>7040351001359</v>
      </c>
      <c r="E1691" s="169" t="str">
        <f>"100135"</f>
        <v>100135</v>
      </c>
      <c r="F1691" s="169" t="s">
        <v>18811</v>
      </c>
      <c r="G1691" s="169">
        <v>1.0</v>
      </c>
      <c r="H1691" s="169">
        <v>120163.0</v>
      </c>
      <c r="I1691" s="169">
        <v>120163.0</v>
      </c>
      <c r="J1691" s="169">
        <v>0.0</v>
      </c>
      <c r="K1691" s="169">
        <v>1.0</v>
      </c>
      <c r="L1691" s="169">
        <v>0.0</v>
      </c>
    </row>
    <row r="1692" ht="14.25" customHeight="1">
      <c r="A1692" s="169" t="s">
        <v>15037</v>
      </c>
      <c r="B1692" s="169" t="s">
        <v>15035</v>
      </c>
      <c r="C1692" s="169" t="s">
        <v>15036</v>
      </c>
      <c r="D1692" s="169" t="str">
        <f>"871760001817"</f>
        <v>871760001817</v>
      </c>
      <c r="E1692" s="169" t="str">
        <f>"80-41045"</f>
        <v>80-41045</v>
      </c>
      <c r="F1692" s="169" t="s">
        <v>18811</v>
      </c>
      <c r="G1692" s="169">
        <v>41.0</v>
      </c>
      <c r="H1692" s="169">
        <v>11591.0</v>
      </c>
      <c r="I1692" s="169">
        <v>475231.0</v>
      </c>
      <c r="J1692" s="169">
        <v>0.0</v>
      </c>
      <c r="K1692" s="169">
        <v>41.0</v>
      </c>
      <c r="L1692" s="169">
        <v>2.0</v>
      </c>
    </row>
    <row r="1693" ht="14.25" customHeight="1">
      <c r="A1693" s="169" t="s">
        <v>15037</v>
      </c>
      <c r="B1693" s="169" t="s">
        <v>15035</v>
      </c>
      <c r="C1693" s="169" t="s">
        <v>17844</v>
      </c>
      <c r="D1693" s="169" t="str">
        <f t="shared" ref="D1693:E1693" si="1108">"80-41117"</f>
        <v>80-41117</v>
      </c>
      <c r="E1693" s="169" t="str">
        <f t="shared" si="1108"/>
        <v>80-41117</v>
      </c>
      <c r="F1693" s="169" t="s">
        <v>18811</v>
      </c>
      <c r="G1693" s="169">
        <v>15.0</v>
      </c>
      <c r="H1693" s="169">
        <v>7557.0</v>
      </c>
      <c r="I1693" s="169">
        <v>113355.0</v>
      </c>
      <c r="J1693" s="169">
        <v>0.0</v>
      </c>
      <c r="K1693" s="169">
        <v>15.0</v>
      </c>
      <c r="L1693" s="169">
        <v>2.0</v>
      </c>
    </row>
    <row r="1694" ht="14.25" customHeight="1">
      <c r="A1694" s="169" t="s">
        <v>15037</v>
      </c>
      <c r="B1694" s="169" t="s">
        <v>15035</v>
      </c>
      <c r="C1694" s="169" t="s">
        <v>15040</v>
      </c>
      <c r="D1694" s="169" t="str">
        <f>"871760000513"</f>
        <v>871760000513</v>
      </c>
      <c r="E1694" s="169" t="str">
        <f>"80-41015"</f>
        <v>80-41015</v>
      </c>
      <c r="F1694" s="169" t="s">
        <v>18811</v>
      </c>
      <c r="G1694" s="169">
        <v>11.0</v>
      </c>
      <c r="H1694" s="169">
        <v>7557.0</v>
      </c>
      <c r="I1694" s="169">
        <v>83127.0</v>
      </c>
      <c r="J1694" s="169">
        <v>0.0</v>
      </c>
      <c r="K1694" s="169">
        <v>11.0</v>
      </c>
      <c r="L1694" s="169">
        <v>0.0</v>
      </c>
    </row>
    <row r="1695" ht="14.25" customHeight="1">
      <c r="A1695" s="169" t="s">
        <v>15037</v>
      </c>
      <c r="B1695" s="169" t="s">
        <v>15035</v>
      </c>
      <c r="C1695" s="169" t="s">
        <v>15052</v>
      </c>
      <c r="D1695" s="169" t="str">
        <f>"871760002005"</f>
        <v>871760002005</v>
      </c>
      <c r="E1695" s="169" t="str">
        <f>"20-45080"</f>
        <v>20-45080</v>
      </c>
      <c r="F1695" s="169" t="s">
        <v>18811</v>
      </c>
      <c r="G1695" s="169">
        <v>20.0</v>
      </c>
      <c r="H1695" s="169">
        <v>7557.0</v>
      </c>
      <c r="I1695" s="169">
        <v>151140.0</v>
      </c>
      <c r="J1695" s="169">
        <v>0.0</v>
      </c>
      <c r="K1695" s="169">
        <v>20.0</v>
      </c>
      <c r="L1695" s="169">
        <v>0.0</v>
      </c>
    </row>
    <row r="1696" ht="14.25" customHeight="1">
      <c r="A1696" s="169" t="s">
        <v>15037</v>
      </c>
      <c r="B1696" s="169" t="s">
        <v>15035</v>
      </c>
      <c r="C1696" s="169" t="s">
        <v>15054</v>
      </c>
      <c r="D1696" s="169" t="str">
        <f>"871760002012"</f>
        <v>871760002012</v>
      </c>
      <c r="E1696" s="169" t="str">
        <f>"20-45085"</f>
        <v>20-45085</v>
      </c>
      <c r="F1696" s="169" t="s">
        <v>18811</v>
      </c>
      <c r="G1696" s="169">
        <v>16.0</v>
      </c>
      <c r="H1696" s="169">
        <v>7315.7</v>
      </c>
      <c r="I1696" s="169">
        <v>117051.0</v>
      </c>
      <c r="J1696" s="169">
        <v>0.0</v>
      </c>
      <c r="K1696" s="169">
        <v>16.0</v>
      </c>
      <c r="L1696" s="169">
        <v>1.0</v>
      </c>
    </row>
    <row r="1697" ht="14.25" customHeight="1">
      <c r="A1697" s="169" t="s">
        <v>15037</v>
      </c>
      <c r="B1697" s="169" t="s">
        <v>15035</v>
      </c>
      <c r="C1697" s="169" t="s">
        <v>15056</v>
      </c>
      <c r="D1697" s="169" t="str">
        <f>"871760004320"</f>
        <v>871760004320</v>
      </c>
      <c r="E1697" s="169" t="str">
        <f>"20-48051"</f>
        <v>20-48051</v>
      </c>
      <c r="F1697" s="169" t="s">
        <v>18811</v>
      </c>
      <c r="G1697" s="169">
        <v>5.0</v>
      </c>
      <c r="H1697" s="169">
        <v>3775.0</v>
      </c>
      <c r="I1697" s="169">
        <v>18875.0</v>
      </c>
      <c r="J1697" s="169">
        <v>0.0</v>
      </c>
      <c r="K1697" s="169">
        <v>5.0</v>
      </c>
      <c r="L1697" s="169">
        <v>0.0</v>
      </c>
    </row>
    <row r="1698" ht="14.25" customHeight="1">
      <c r="A1698" s="169" t="s">
        <v>15037</v>
      </c>
      <c r="B1698" s="169" t="s">
        <v>15035</v>
      </c>
      <c r="C1698" s="169" t="s">
        <v>15058</v>
      </c>
      <c r="D1698" s="169" t="str">
        <f>"871760004337"</f>
        <v>871760004337</v>
      </c>
      <c r="E1698" s="169" t="str">
        <f>"20-48052"</f>
        <v>20-48052</v>
      </c>
      <c r="F1698" s="169" t="s">
        <v>18811</v>
      </c>
      <c r="G1698" s="169">
        <v>2.0</v>
      </c>
      <c r="H1698" s="169">
        <v>3775.0</v>
      </c>
      <c r="I1698" s="169">
        <v>7550.0</v>
      </c>
      <c r="J1698" s="169">
        <v>0.0</v>
      </c>
      <c r="K1698" s="169">
        <v>2.0</v>
      </c>
      <c r="L1698" s="169">
        <v>1.0</v>
      </c>
    </row>
    <row r="1699" ht="14.25" customHeight="1">
      <c r="A1699" s="169" t="s">
        <v>15037</v>
      </c>
      <c r="B1699" s="169" t="s">
        <v>15035</v>
      </c>
      <c r="C1699" s="169" t="s">
        <v>15059</v>
      </c>
      <c r="D1699" s="169" t="str">
        <f>"871760007062"</f>
        <v>871760007062</v>
      </c>
      <c r="E1699" s="169" t="str">
        <f>"20-48050"</f>
        <v>20-48050</v>
      </c>
      <c r="F1699" s="169" t="s">
        <v>18811</v>
      </c>
      <c r="G1699" s="169">
        <v>5.0</v>
      </c>
      <c r="H1699" s="169">
        <v>3775.0</v>
      </c>
      <c r="I1699" s="169">
        <v>18875.0</v>
      </c>
      <c r="J1699" s="169">
        <v>0.0</v>
      </c>
      <c r="K1699" s="169">
        <v>5.0</v>
      </c>
      <c r="L1699" s="169">
        <v>0.0</v>
      </c>
    </row>
    <row r="1700" ht="14.25" customHeight="1">
      <c r="A1700" s="169" t="s">
        <v>15037</v>
      </c>
      <c r="B1700" s="169" t="s">
        <v>15035</v>
      </c>
      <c r="C1700" s="169" t="s">
        <v>15061</v>
      </c>
      <c r="D1700" s="169" t="str">
        <f>"871760004351"</f>
        <v>871760004351</v>
      </c>
      <c r="E1700" s="169" t="str">
        <f>"20-48054"</f>
        <v>20-48054</v>
      </c>
      <c r="F1700" s="169" t="s">
        <v>18811</v>
      </c>
      <c r="G1700" s="169">
        <v>5.0</v>
      </c>
      <c r="H1700" s="169">
        <v>3775.0</v>
      </c>
      <c r="I1700" s="169">
        <v>18875.0</v>
      </c>
      <c r="J1700" s="169">
        <v>0.0</v>
      </c>
      <c r="K1700" s="169">
        <v>5.0</v>
      </c>
      <c r="L1700" s="169">
        <v>0.0</v>
      </c>
    </row>
    <row r="1701" ht="14.25" customHeight="1">
      <c r="A1701" s="169" t="s">
        <v>15037</v>
      </c>
      <c r="B1701" s="169" t="s">
        <v>15035</v>
      </c>
      <c r="C1701" s="169" t="s">
        <v>17843</v>
      </c>
      <c r="D1701" s="169" t="str">
        <f>"871760004344"</f>
        <v>871760004344</v>
      </c>
      <c r="E1701" s="169" t="str">
        <f>"20-48053"</f>
        <v>20-48053</v>
      </c>
      <c r="F1701" s="169" t="s">
        <v>18811</v>
      </c>
      <c r="G1701" s="169">
        <v>16.0</v>
      </c>
      <c r="H1701" s="169">
        <v>3775.0</v>
      </c>
      <c r="I1701" s="169">
        <v>60400.0</v>
      </c>
      <c r="J1701" s="169">
        <v>0.0</v>
      </c>
      <c r="K1701" s="169">
        <v>16.0</v>
      </c>
      <c r="L1701" s="169">
        <v>1.0</v>
      </c>
    </row>
    <row r="1702" ht="14.25" customHeight="1">
      <c r="A1702" s="169" t="s">
        <v>15037</v>
      </c>
      <c r="B1702" s="169" t="s">
        <v>15035</v>
      </c>
      <c r="C1702" s="169" t="s">
        <v>17842</v>
      </c>
      <c r="D1702" s="169" t="str">
        <f>"871760003620"</f>
        <v>871760003620</v>
      </c>
      <c r="E1702" s="169" t="str">
        <f>"20-46028"</f>
        <v>20-46028</v>
      </c>
      <c r="F1702" s="169" t="s">
        <v>18811</v>
      </c>
      <c r="G1702" s="169">
        <v>22.0</v>
      </c>
      <c r="H1702" s="169">
        <v>2307.0</v>
      </c>
      <c r="I1702" s="169">
        <v>50754.0</v>
      </c>
      <c r="J1702" s="169">
        <v>0.0</v>
      </c>
      <c r="K1702" s="169">
        <v>22.0</v>
      </c>
      <c r="L1702" s="169">
        <v>0.0</v>
      </c>
    </row>
    <row r="1703" ht="14.25" customHeight="1">
      <c r="A1703" s="169" t="s">
        <v>15037</v>
      </c>
      <c r="B1703" s="169" t="s">
        <v>15035</v>
      </c>
      <c r="C1703" s="169" t="s">
        <v>15063</v>
      </c>
      <c r="D1703" s="169" t="str">
        <f>"871760001985"</f>
        <v>871760001985</v>
      </c>
      <c r="E1703" s="169" t="str">
        <f>"20-45095"</f>
        <v>20-45095</v>
      </c>
      <c r="F1703" s="169" t="s">
        <v>18811</v>
      </c>
      <c r="G1703" s="169">
        <v>5.0</v>
      </c>
      <c r="H1703" s="169">
        <v>2581.8</v>
      </c>
      <c r="I1703" s="169">
        <v>12909.0</v>
      </c>
      <c r="J1703" s="169">
        <v>0.0</v>
      </c>
      <c r="K1703" s="169">
        <v>5.0</v>
      </c>
      <c r="L1703" s="169">
        <v>0.0</v>
      </c>
    </row>
    <row r="1704" ht="14.25" customHeight="1">
      <c r="A1704" s="169" t="s">
        <v>15037</v>
      </c>
      <c r="B1704" s="169" t="s">
        <v>15035</v>
      </c>
      <c r="C1704" s="169" t="s">
        <v>17841</v>
      </c>
      <c r="D1704" s="169" t="str">
        <f>"871760003590"</f>
        <v>871760003590</v>
      </c>
      <c r="E1704" s="169" t="str">
        <f>"20-46025"</f>
        <v>20-46025</v>
      </c>
      <c r="F1704" s="169" t="s">
        <v>18811</v>
      </c>
      <c r="G1704" s="169">
        <v>6.0</v>
      </c>
      <c r="H1704" s="169">
        <v>2307.0</v>
      </c>
      <c r="I1704" s="169">
        <v>13842.0</v>
      </c>
      <c r="J1704" s="169">
        <v>0.0</v>
      </c>
      <c r="K1704" s="169">
        <v>6.0</v>
      </c>
      <c r="L1704" s="169">
        <v>0.0</v>
      </c>
    </row>
    <row r="1705" ht="14.25" customHeight="1">
      <c r="A1705" s="169" t="s">
        <v>15037</v>
      </c>
      <c r="B1705" s="169" t="s">
        <v>15035</v>
      </c>
      <c r="C1705" s="169" t="s">
        <v>17840</v>
      </c>
      <c r="D1705" s="169" t="str">
        <f>"871760003606"</f>
        <v>871760003606</v>
      </c>
      <c r="E1705" s="169" t="str">
        <f>"20-46026"</f>
        <v>20-46026</v>
      </c>
      <c r="F1705" s="169" t="s">
        <v>18811</v>
      </c>
      <c r="G1705" s="169">
        <v>4.0</v>
      </c>
      <c r="H1705" s="169">
        <v>2765.0</v>
      </c>
      <c r="I1705" s="169">
        <v>11060.0</v>
      </c>
      <c r="J1705" s="169">
        <v>0.0</v>
      </c>
      <c r="K1705" s="169">
        <v>4.0</v>
      </c>
      <c r="L1705" s="169">
        <v>0.0</v>
      </c>
    </row>
    <row r="1706" ht="14.25" customHeight="1">
      <c r="A1706" s="169" t="s">
        <v>15037</v>
      </c>
      <c r="B1706" s="169" t="s">
        <v>15035</v>
      </c>
      <c r="C1706" s="169" t="s">
        <v>17839</v>
      </c>
      <c r="D1706" s="169" t="str">
        <f>"871760002326"</f>
        <v>871760002326</v>
      </c>
      <c r="E1706" s="169" t="str">
        <f>"20-46022"</f>
        <v>20-46022</v>
      </c>
      <c r="F1706" s="169" t="s">
        <v>18811</v>
      </c>
      <c r="G1706" s="169">
        <v>9.0</v>
      </c>
      <c r="H1706" s="169">
        <v>2358.2</v>
      </c>
      <c r="I1706" s="169">
        <v>21224.0</v>
      </c>
      <c r="J1706" s="169">
        <v>0.0</v>
      </c>
      <c r="K1706" s="169">
        <v>9.0</v>
      </c>
      <c r="L1706" s="169">
        <v>0.0</v>
      </c>
    </row>
    <row r="1707" ht="14.25" customHeight="1">
      <c r="A1707" s="169" t="s">
        <v>15037</v>
      </c>
      <c r="B1707" s="169" t="s">
        <v>15035</v>
      </c>
      <c r="C1707" s="169" t="s">
        <v>17838</v>
      </c>
      <c r="D1707" s="169" t="str">
        <f>"871760002180"</f>
        <v>871760002180</v>
      </c>
      <c r="E1707" s="169" t="str">
        <f>"20-46023"</f>
        <v>20-46023</v>
      </c>
      <c r="F1707" s="169" t="s">
        <v>18811</v>
      </c>
      <c r="G1707" s="169">
        <v>3.0</v>
      </c>
      <c r="H1707" s="169">
        <v>2307.0</v>
      </c>
      <c r="I1707" s="169">
        <v>6921.0</v>
      </c>
      <c r="J1707" s="169">
        <v>0.0</v>
      </c>
      <c r="K1707" s="169">
        <v>3.0</v>
      </c>
      <c r="L1707" s="169">
        <v>1.0</v>
      </c>
    </row>
    <row r="1708" ht="14.25" customHeight="1">
      <c r="A1708" s="169" t="s">
        <v>15037</v>
      </c>
      <c r="B1708" s="169" t="s">
        <v>15035</v>
      </c>
      <c r="C1708" s="169" t="s">
        <v>15075</v>
      </c>
      <c r="D1708" s="169" t="str">
        <f>"871760001831"</f>
        <v>871760001831</v>
      </c>
      <c r="E1708" s="169" t="str">
        <f>"20-50105"</f>
        <v>20-50105</v>
      </c>
      <c r="F1708" s="169" t="s">
        <v>18811</v>
      </c>
      <c r="G1708" s="169">
        <v>15.0</v>
      </c>
      <c r="H1708" s="169">
        <v>12600.0</v>
      </c>
      <c r="I1708" s="169">
        <v>189000.0</v>
      </c>
      <c r="J1708" s="169">
        <v>0.0</v>
      </c>
      <c r="K1708" s="169">
        <v>15.0</v>
      </c>
      <c r="L1708" s="169">
        <v>0.0</v>
      </c>
    </row>
    <row r="1709" ht="14.25" customHeight="1">
      <c r="A1709" s="169" t="s">
        <v>15037</v>
      </c>
      <c r="B1709" s="169" t="s">
        <v>15035</v>
      </c>
      <c r="C1709" s="169" t="s">
        <v>15077</v>
      </c>
      <c r="D1709" s="169" t="str">
        <f>"871760001992"</f>
        <v>871760001992</v>
      </c>
      <c r="E1709" s="169" t="str">
        <f>"20-45090"</f>
        <v>20-45090</v>
      </c>
      <c r="F1709" s="169" t="s">
        <v>18811</v>
      </c>
      <c r="G1709" s="169">
        <v>25.0</v>
      </c>
      <c r="H1709" s="169">
        <v>7810.0</v>
      </c>
      <c r="I1709" s="169">
        <v>195250.0</v>
      </c>
      <c r="J1709" s="169">
        <v>0.0</v>
      </c>
      <c r="K1709" s="169">
        <v>25.0</v>
      </c>
      <c r="L1709" s="169">
        <v>2.0</v>
      </c>
    </row>
    <row r="1710" ht="14.25" customHeight="1">
      <c r="A1710" s="169" t="s">
        <v>15037</v>
      </c>
      <c r="B1710" s="169" t="s">
        <v>15035</v>
      </c>
      <c r="C1710" s="169" t="s">
        <v>15078</v>
      </c>
      <c r="D1710" s="169" t="str">
        <f>"871760001923"</f>
        <v>871760001923</v>
      </c>
      <c r="E1710" s="169" t="str">
        <f>"20-40015"</f>
        <v>20-40015</v>
      </c>
      <c r="F1710" s="169" t="s">
        <v>18811</v>
      </c>
      <c r="G1710" s="169">
        <v>17.0</v>
      </c>
      <c r="H1710" s="169">
        <v>8399.0</v>
      </c>
      <c r="I1710" s="169">
        <v>142783.0</v>
      </c>
      <c r="J1710" s="169">
        <v>0.0</v>
      </c>
      <c r="K1710" s="169">
        <v>17.0</v>
      </c>
      <c r="L1710" s="169">
        <v>0.0</v>
      </c>
    </row>
    <row r="1711" ht="14.25" customHeight="1">
      <c r="A1711" s="169" t="s">
        <v>15037</v>
      </c>
      <c r="B1711" s="169" t="s">
        <v>15035</v>
      </c>
      <c r="C1711" s="169" t="s">
        <v>15079</v>
      </c>
      <c r="D1711" s="169" t="str">
        <f>"871760000421"</f>
        <v>871760000421</v>
      </c>
      <c r="E1711" s="169" t="str">
        <f>"23-40030"</f>
        <v>23-40030</v>
      </c>
      <c r="F1711" s="169" t="s">
        <v>18811</v>
      </c>
      <c r="G1711" s="169">
        <v>13.0</v>
      </c>
      <c r="H1711" s="169">
        <v>10000.5</v>
      </c>
      <c r="I1711" s="169">
        <v>130006.0</v>
      </c>
      <c r="J1711" s="169">
        <v>0.0</v>
      </c>
      <c r="K1711" s="169">
        <v>13.0</v>
      </c>
      <c r="L1711" s="169">
        <v>1.0</v>
      </c>
    </row>
    <row r="1712" ht="14.25" customHeight="1">
      <c r="A1712" s="169" t="s">
        <v>15037</v>
      </c>
      <c r="B1712" s="169" t="s">
        <v>15035</v>
      </c>
      <c r="C1712" s="169" t="s">
        <v>15080</v>
      </c>
      <c r="D1712" s="169" t="str">
        <f>"871760008311"</f>
        <v>871760008311</v>
      </c>
      <c r="E1712" s="169" t="str">
        <f>"23-40050"</f>
        <v>23-40050</v>
      </c>
      <c r="F1712" s="169" t="s">
        <v>18811</v>
      </c>
      <c r="G1712" s="169">
        <v>18.0</v>
      </c>
      <c r="H1712" s="169">
        <v>11591.0</v>
      </c>
      <c r="I1712" s="169">
        <v>208638.0</v>
      </c>
      <c r="J1712" s="169">
        <v>0.0</v>
      </c>
      <c r="K1712" s="169">
        <v>18.0</v>
      </c>
      <c r="L1712" s="169">
        <v>0.0</v>
      </c>
    </row>
    <row r="1713" ht="14.25" customHeight="1">
      <c r="A1713" s="169" t="s">
        <v>15037</v>
      </c>
      <c r="B1713" s="169" t="s">
        <v>15035</v>
      </c>
      <c r="C1713" s="169" t="s">
        <v>17837</v>
      </c>
      <c r="D1713" s="169" t="str">
        <f t="shared" ref="D1713:E1713" si="1109">"80-41055"</f>
        <v>80-41055</v>
      </c>
      <c r="E1713" s="169" t="str">
        <f t="shared" si="1109"/>
        <v>80-41055</v>
      </c>
      <c r="F1713" s="169" t="s">
        <v>18811</v>
      </c>
      <c r="G1713" s="169">
        <v>3.0</v>
      </c>
      <c r="H1713" s="169">
        <v>11591.0</v>
      </c>
      <c r="I1713" s="169">
        <v>34773.0</v>
      </c>
      <c r="J1713" s="169">
        <v>0.0</v>
      </c>
      <c r="K1713" s="169">
        <v>3.0</v>
      </c>
      <c r="L1713" s="169">
        <v>0.0</v>
      </c>
    </row>
    <row r="1714" ht="14.25" customHeight="1">
      <c r="A1714" s="169" t="s">
        <v>15037</v>
      </c>
      <c r="B1714" s="169" t="s">
        <v>15035</v>
      </c>
      <c r="C1714" s="169" t="s">
        <v>15044</v>
      </c>
      <c r="D1714" s="169" t="str">
        <f>"871760005341"</f>
        <v>871760005341</v>
      </c>
      <c r="E1714" s="169" t="str">
        <f>"80-41120"</f>
        <v>80-41120</v>
      </c>
      <c r="F1714" s="169" t="s">
        <v>18811</v>
      </c>
      <c r="G1714" s="169">
        <v>23.0</v>
      </c>
      <c r="H1714" s="169">
        <v>11591.0</v>
      </c>
      <c r="I1714" s="169">
        <v>266593.0</v>
      </c>
      <c r="J1714" s="169">
        <v>0.0</v>
      </c>
      <c r="K1714" s="169">
        <v>23.0</v>
      </c>
      <c r="L1714" s="169">
        <v>1.0</v>
      </c>
    </row>
    <row r="1715" ht="14.25" customHeight="1">
      <c r="A1715" s="169" t="s">
        <v>15037</v>
      </c>
      <c r="B1715" s="169" t="s">
        <v>15035</v>
      </c>
      <c r="C1715" s="169" t="s">
        <v>15082</v>
      </c>
      <c r="D1715" s="169" t="str">
        <f>"871760003095"</f>
        <v>871760003095</v>
      </c>
      <c r="E1715" s="169" t="str">
        <f>"20-45030"</f>
        <v>20-45030</v>
      </c>
      <c r="F1715" s="169" t="s">
        <v>18811</v>
      </c>
      <c r="G1715" s="169">
        <v>10.0</v>
      </c>
      <c r="H1715" s="169">
        <v>7810.0</v>
      </c>
      <c r="I1715" s="169">
        <v>78100.0</v>
      </c>
      <c r="J1715" s="169">
        <v>0.0</v>
      </c>
      <c r="K1715" s="169">
        <v>10.0</v>
      </c>
      <c r="L1715" s="169">
        <v>2.0</v>
      </c>
    </row>
    <row r="1716" ht="14.25" customHeight="1">
      <c r="A1716" s="169" t="s">
        <v>15037</v>
      </c>
      <c r="B1716" s="169" t="s">
        <v>15035</v>
      </c>
      <c r="C1716" s="169" t="s">
        <v>15084</v>
      </c>
      <c r="D1716" s="169" t="str">
        <f>"871760002975"</f>
        <v>871760002975</v>
      </c>
      <c r="E1716" s="169" t="str">
        <f>"20-45092"</f>
        <v>20-45092</v>
      </c>
      <c r="F1716" s="169" t="s">
        <v>18811</v>
      </c>
      <c r="G1716" s="169">
        <v>17.0</v>
      </c>
      <c r="H1716" s="169">
        <v>8022.4</v>
      </c>
      <c r="I1716" s="169">
        <v>136380.0</v>
      </c>
      <c r="J1716" s="169">
        <v>0.0</v>
      </c>
      <c r="K1716" s="169">
        <v>17.0</v>
      </c>
      <c r="L1716" s="169">
        <v>0.0</v>
      </c>
    </row>
    <row r="1717" ht="14.25" customHeight="1">
      <c r="A1717" s="169" t="s">
        <v>15037</v>
      </c>
      <c r="B1717" s="169" t="s">
        <v>15035</v>
      </c>
      <c r="C1717" s="169" t="s">
        <v>15085</v>
      </c>
      <c r="D1717" s="169" t="str">
        <f>"871760002791"</f>
        <v>871760002791</v>
      </c>
      <c r="E1717" s="169" t="str">
        <f>"30-55050"</f>
        <v>30-55050</v>
      </c>
      <c r="F1717" s="169" t="s">
        <v>18811</v>
      </c>
      <c r="G1717" s="169">
        <v>33.0</v>
      </c>
      <c r="H1717" s="169">
        <v>8314.0</v>
      </c>
      <c r="I1717" s="169">
        <v>274362.0</v>
      </c>
      <c r="J1717" s="169">
        <v>0.0</v>
      </c>
      <c r="K1717" s="169">
        <v>33.0</v>
      </c>
      <c r="L1717" s="169">
        <v>1.0</v>
      </c>
    </row>
    <row r="1718" ht="14.25" customHeight="1">
      <c r="A1718" s="169" t="s">
        <v>15037</v>
      </c>
      <c r="B1718" s="169" t="s">
        <v>15035</v>
      </c>
      <c r="C1718" s="169" t="s">
        <v>15072</v>
      </c>
      <c r="D1718" s="169" t="str">
        <f>"871760003583"</f>
        <v>871760003583</v>
      </c>
      <c r="E1718" s="169" t="str">
        <f>"20-46024"</f>
        <v>20-46024</v>
      </c>
      <c r="F1718" s="169" t="s">
        <v>18811</v>
      </c>
      <c r="G1718" s="169">
        <v>13.0</v>
      </c>
      <c r="H1718" s="169">
        <v>2765.0</v>
      </c>
      <c r="I1718" s="169">
        <v>35945.0</v>
      </c>
      <c r="J1718" s="169">
        <v>0.0</v>
      </c>
      <c r="K1718" s="169">
        <v>13.0</v>
      </c>
      <c r="L1718" s="169">
        <v>1.0</v>
      </c>
    </row>
    <row r="1719" ht="14.25" customHeight="1">
      <c r="A1719" s="169" t="s">
        <v>15037</v>
      </c>
      <c r="B1719" s="169" t="s">
        <v>15035</v>
      </c>
      <c r="C1719" s="169" t="s">
        <v>17836</v>
      </c>
      <c r="D1719" s="169" t="str">
        <f t="shared" ref="D1719:E1719" si="1110">"80-41107"</f>
        <v>80-41107</v>
      </c>
      <c r="E1719" s="169" t="str">
        <f t="shared" si="1110"/>
        <v>80-41107</v>
      </c>
      <c r="F1719" s="169" t="s">
        <v>18811</v>
      </c>
      <c r="G1719" s="169">
        <v>15.0</v>
      </c>
      <c r="H1719" s="169">
        <v>5878.0</v>
      </c>
      <c r="I1719" s="169">
        <v>88170.0</v>
      </c>
      <c r="J1719" s="169">
        <v>0.0</v>
      </c>
      <c r="K1719" s="169">
        <v>15.0</v>
      </c>
      <c r="L1719" s="169">
        <v>1.0</v>
      </c>
    </row>
    <row r="1720" ht="14.25" customHeight="1">
      <c r="A1720" s="169" t="s">
        <v>15037</v>
      </c>
      <c r="B1720" s="169" t="s">
        <v>15035</v>
      </c>
      <c r="C1720" s="169" t="s">
        <v>15046</v>
      </c>
      <c r="D1720" s="169" t="str">
        <f>"871760000506"</f>
        <v>871760000506</v>
      </c>
      <c r="E1720" s="169" t="str">
        <f>"80-41006"</f>
        <v>80-41006</v>
      </c>
      <c r="F1720" s="169" t="s">
        <v>18811</v>
      </c>
      <c r="G1720" s="169">
        <v>25.0</v>
      </c>
      <c r="H1720" s="169">
        <v>7557.0</v>
      </c>
      <c r="I1720" s="169">
        <v>188925.0</v>
      </c>
      <c r="J1720" s="169">
        <v>0.0</v>
      </c>
      <c r="K1720" s="169">
        <v>25.0</v>
      </c>
      <c r="L1720" s="169">
        <v>0.0</v>
      </c>
    </row>
    <row r="1721" ht="14.25" customHeight="1">
      <c r="A1721" s="169" t="s">
        <v>15037</v>
      </c>
      <c r="B1721" s="169" t="s">
        <v>15035</v>
      </c>
      <c r="C1721" s="169" t="s">
        <v>15074</v>
      </c>
      <c r="D1721" s="169" t="str">
        <f>"871760001855"</f>
        <v>871760001855</v>
      </c>
      <c r="E1721" s="169" t="str">
        <f>"20-65032"</f>
        <v>20-65032</v>
      </c>
      <c r="F1721" s="169" t="s">
        <v>18811</v>
      </c>
      <c r="G1721" s="169">
        <v>10.0</v>
      </c>
      <c r="H1721" s="169">
        <v>12600.0</v>
      </c>
      <c r="I1721" s="169">
        <v>126000.0</v>
      </c>
      <c r="J1721" s="169">
        <v>0.0</v>
      </c>
      <c r="K1721" s="169">
        <v>10.0</v>
      </c>
      <c r="L1721" s="169">
        <v>0.0</v>
      </c>
    </row>
    <row r="1722" ht="14.25" customHeight="1">
      <c r="A1722" s="169" t="s">
        <v>6880</v>
      </c>
      <c r="B1722" s="169" t="s">
        <v>15144</v>
      </c>
      <c r="C1722" s="169" t="s">
        <v>15197</v>
      </c>
      <c r="D1722" s="169" t="str">
        <f t="shared" ref="D1722:E1722" si="1111">"THV2000"</f>
        <v>THV2000</v>
      </c>
      <c r="E1722" s="169" t="str">
        <f t="shared" si="1111"/>
        <v>THV2000</v>
      </c>
      <c r="F1722" s="169" t="s">
        <v>18811</v>
      </c>
      <c r="G1722" s="169">
        <v>4.0</v>
      </c>
      <c r="H1722" s="169">
        <v>22104.0</v>
      </c>
      <c r="I1722" s="169">
        <v>88416.0</v>
      </c>
      <c r="J1722" s="169">
        <v>0.0</v>
      </c>
      <c r="K1722" s="169">
        <v>4.0</v>
      </c>
      <c r="L1722" s="169">
        <v>0.0</v>
      </c>
    </row>
    <row r="1723" ht="14.25" customHeight="1">
      <c r="A1723" s="169" t="s">
        <v>6880</v>
      </c>
      <c r="B1723" s="169" t="s">
        <v>15144</v>
      </c>
      <c r="C1723" s="169" t="s">
        <v>17198</v>
      </c>
      <c r="D1723" s="169" t="str">
        <f t="shared" ref="D1723:E1723" si="1112">"715"</f>
        <v>715</v>
      </c>
      <c r="E1723" s="169" t="str">
        <f t="shared" si="1112"/>
        <v>715</v>
      </c>
      <c r="F1723" s="169" t="s">
        <v>18811</v>
      </c>
      <c r="G1723" s="169">
        <v>21.0</v>
      </c>
      <c r="H1723" s="169">
        <v>11007.0</v>
      </c>
      <c r="I1723" s="169">
        <v>231147.0</v>
      </c>
      <c r="J1723" s="169">
        <v>0.0</v>
      </c>
      <c r="K1723" s="169">
        <v>21.0</v>
      </c>
      <c r="L1723" s="169">
        <v>0.0</v>
      </c>
    </row>
    <row r="1724" ht="14.25" customHeight="1">
      <c r="A1724" s="169" t="s">
        <v>6880</v>
      </c>
      <c r="B1724" s="169" t="s">
        <v>15144</v>
      </c>
      <c r="C1724" s="169" t="s">
        <v>15203</v>
      </c>
      <c r="D1724" s="169" t="str">
        <f>"1559153969505"</f>
        <v>1559153969505</v>
      </c>
      <c r="E1724" s="169" t="str">
        <f>"76636"</f>
        <v>76636</v>
      </c>
      <c r="F1724" s="169" t="s">
        <v>18811</v>
      </c>
      <c r="G1724" s="169">
        <v>15.0</v>
      </c>
      <c r="H1724" s="169">
        <v>8250.0</v>
      </c>
      <c r="I1724" s="169">
        <v>123750.0</v>
      </c>
      <c r="J1724" s="169">
        <v>0.0</v>
      </c>
      <c r="K1724" s="169">
        <v>15.0</v>
      </c>
      <c r="L1724" s="169">
        <v>0.0</v>
      </c>
    </row>
    <row r="1725" ht="14.25" customHeight="1">
      <c r="A1725" s="169" t="s">
        <v>6880</v>
      </c>
      <c r="B1725" s="169" t="s">
        <v>15144</v>
      </c>
      <c r="C1725" s="169" t="s">
        <v>15224</v>
      </c>
      <c r="D1725" s="169" t="str">
        <f>"15888899245327"</f>
        <v>15888899245327</v>
      </c>
      <c r="E1725" s="169" t="str">
        <f>"DF2001-BL"</f>
        <v>DF2001-BL</v>
      </c>
      <c r="F1725" s="169" t="s">
        <v>18811</v>
      </c>
      <c r="G1725" s="169">
        <v>1.0</v>
      </c>
      <c r="H1725" s="169">
        <v>2583.0</v>
      </c>
      <c r="I1725" s="169">
        <v>2583.0</v>
      </c>
      <c r="J1725" s="169">
        <v>0.0</v>
      </c>
      <c r="K1725" s="169">
        <v>1.0</v>
      </c>
      <c r="L1725" s="169">
        <v>0.0</v>
      </c>
    </row>
    <row r="1726" ht="14.25" customHeight="1">
      <c r="A1726" s="169" t="s">
        <v>6880</v>
      </c>
      <c r="B1726" s="169" t="s">
        <v>15144</v>
      </c>
      <c r="C1726" s="169" t="s">
        <v>15225</v>
      </c>
      <c r="D1726" s="169" t="str">
        <f t="shared" ref="D1726:E1726" si="1113">"DF2001-TL"</f>
        <v>DF2001-TL</v>
      </c>
      <c r="E1726" s="169" t="str">
        <f t="shared" si="1113"/>
        <v>DF2001-TL</v>
      </c>
      <c r="F1726" s="169" t="s">
        <v>18811</v>
      </c>
      <c r="G1726" s="169">
        <v>31.0</v>
      </c>
      <c r="H1726" s="169">
        <v>2583.0</v>
      </c>
      <c r="I1726" s="169">
        <v>80073.0</v>
      </c>
      <c r="J1726" s="169">
        <v>0.0</v>
      </c>
      <c r="K1726" s="169">
        <v>31.0</v>
      </c>
      <c r="L1726" s="169">
        <v>0.0</v>
      </c>
    </row>
    <row r="1727" ht="14.25" customHeight="1">
      <c r="A1727" s="169" t="s">
        <v>6880</v>
      </c>
      <c r="B1727" s="169" t="s">
        <v>15144</v>
      </c>
      <c r="C1727" s="169" t="s">
        <v>15226</v>
      </c>
      <c r="D1727" s="169" t="str">
        <f>"15888899245866"</f>
        <v>15888899245866</v>
      </c>
      <c r="E1727" s="169" t="str">
        <f>"DF2001-RD"</f>
        <v>DF2001-RD</v>
      </c>
      <c r="F1727" s="169" t="s">
        <v>18811</v>
      </c>
      <c r="G1727" s="169">
        <v>16.0</v>
      </c>
      <c r="H1727" s="169">
        <v>2583.0</v>
      </c>
      <c r="I1727" s="169">
        <v>41328.0</v>
      </c>
      <c r="J1727" s="169">
        <v>0.0</v>
      </c>
      <c r="K1727" s="169">
        <v>16.0</v>
      </c>
      <c r="L1727" s="169">
        <v>0.0</v>
      </c>
    </row>
    <row r="1728" ht="14.25" customHeight="1">
      <c r="A1728" s="169" t="s">
        <v>6880</v>
      </c>
      <c r="B1728" s="169" t="s">
        <v>15144</v>
      </c>
      <c r="C1728" s="169" t="s">
        <v>17196</v>
      </c>
      <c r="D1728" s="169" t="str">
        <f t="shared" ref="D1728:E1728" si="1114">"SK3020BK"</f>
        <v>SK3020BK</v>
      </c>
      <c r="E1728" s="169" t="str">
        <f t="shared" si="1114"/>
        <v>SK3020BK</v>
      </c>
      <c r="F1728" s="169" t="s">
        <v>18811</v>
      </c>
      <c r="G1728" s="169">
        <v>121.0</v>
      </c>
      <c r="H1728" s="169">
        <v>16702.6</v>
      </c>
      <c r="I1728" s="169">
        <v>2021019.0</v>
      </c>
      <c r="J1728" s="169">
        <v>0.0</v>
      </c>
      <c r="K1728" s="169">
        <v>121.0</v>
      </c>
      <c r="L1728" s="169">
        <v>0.0</v>
      </c>
    </row>
    <row r="1729" ht="14.25" customHeight="1">
      <c r="A1729" s="169" t="s">
        <v>6880</v>
      </c>
      <c r="B1729" s="169" t="s">
        <v>15144</v>
      </c>
      <c r="C1729" s="169" t="s">
        <v>15188</v>
      </c>
      <c r="D1729" s="169" t="str">
        <f t="shared" ref="D1729:E1729" si="1115">"SK3000BK"</f>
        <v>SK3000BK</v>
      </c>
      <c r="E1729" s="169" t="str">
        <f t="shared" si="1115"/>
        <v>SK3000BK</v>
      </c>
      <c r="F1729" s="169" t="s">
        <v>18811</v>
      </c>
      <c r="G1729" s="169">
        <v>137.0</v>
      </c>
      <c r="H1729" s="169">
        <v>14796.0</v>
      </c>
      <c r="I1729" s="169">
        <v>2027052.0</v>
      </c>
      <c r="J1729" s="169">
        <v>1.0</v>
      </c>
      <c r="K1729" s="169">
        <v>136.0</v>
      </c>
      <c r="L1729" s="169">
        <v>0.0</v>
      </c>
    </row>
    <row r="1730" ht="14.25" customHeight="1">
      <c r="A1730" s="169" t="s">
        <v>6880</v>
      </c>
      <c r="B1730" s="169" t="s">
        <v>15144</v>
      </c>
      <c r="C1730" s="169" t="s">
        <v>15269</v>
      </c>
      <c r="D1730" s="169" t="str">
        <f t="shared" ref="D1730:E1730" si="1116">"SK2010BK"</f>
        <v>SK2010BK</v>
      </c>
      <c r="E1730" s="169" t="str">
        <f t="shared" si="1116"/>
        <v>SK2010BK</v>
      </c>
      <c r="F1730" s="169" t="s">
        <v>18811</v>
      </c>
      <c r="G1730" s="169">
        <v>19.0</v>
      </c>
      <c r="H1730" s="169">
        <v>18198.0</v>
      </c>
      <c r="I1730" s="169">
        <v>345762.0</v>
      </c>
      <c r="J1730" s="169">
        <v>0.0</v>
      </c>
      <c r="K1730" s="169">
        <v>19.0</v>
      </c>
      <c r="L1730" s="169">
        <v>0.0</v>
      </c>
    </row>
    <row r="1731" ht="14.25" customHeight="1">
      <c r="A1731" s="169" t="s">
        <v>6880</v>
      </c>
      <c r="B1731" s="169" t="s">
        <v>15144</v>
      </c>
      <c r="C1731" s="169" t="s">
        <v>15270</v>
      </c>
      <c r="D1731" s="169" t="str">
        <f>"1588624200594"</f>
        <v>1588624200594</v>
      </c>
      <c r="E1731" s="169" t="str">
        <f>"SK2020BK"</f>
        <v>SK2020BK</v>
      </c>
      <c r="F1731" s="169" t="s">
        <v>18811</v>
      </c>
      <c r="G1731" s="169">
        <v>11.0</v>
      </c>
      <c r="H1731" s="169">
        <v>24381.0</v>
      </c>
      <c r="I1731" s="169">
        <v>268191.0</v>
      </c>
      <c r="J1731" s="169">
        <v>0.0</v>
      </c>
      <c r="K1731" s="169">
        <v>11.0</v>
      </c>
      <c r="L1731" s="169">
        <v>0.0</v>
      </c>
    </row>
    <row r="1732" ht="14.25" customHeight="1">
      <c r="A1732" s="169" t="s">
        <v>6880</v>
      </c>
      <c r="B1732" s="169" t="s">
        <v>15144</v>
      </c>
      <c r="C1732" s="169" t="s">
        <v>15271</v>
      </c>
      <c r="D1732" s="169" t="str">
        <f t="shared" ref="D1732:E1732" si="1117">"SK2000BK"</f>
        <v>SK2000BK</v>
      </c>
      <c r="E1732" s="169" t="str">
        <f t="shared" si="1117"/>
        <v>SK2000BK</v>
      </c>
      <c r="F1732" s="169" t="s">
        <v>18811</v>
      </c>
      <c r="G1732" s="169">
        <v>18.0</v>
      </c>
      <c r="H1732" s="169">
        <v>12933.0</v>
      </c>
      <c r="I1732" s="169">
        <v>232794.0</v>
      </c>
      <c r="J1732" s="169">
        <v>0.0</v>
      </c>
      <c r="K1732" s="169">
        <v>18.0</v>
      </c>
      <c r="L1732" s="169">
        <v>0.0</v>
      </c>
    </row>
    <row r="1733" ht="14.25" customHeight="1">
      <c r="A1733" s="169" t="s">
        <v>6880</v>
      </c>
      <c r="B1733" s="169" t="s">
        <v>15144</v>
      </c>
      <c r="C1733" s="169" t="s">
        <v>15272</v>
      </c>
      <c r="D1733" s="169" t="str">
        <f t="shared" ref="D1733:E1733" si="1118">"SK2000RD"</f>
        <v>SK2000RD</v>
      </c>
      <c r="E1733" s="169" t="str">
        <f t="shared" si="1118"/>
        <v>SK2000RD</v>
      </c>
      <c r="F1733" s="169" t="s">
        <v>18811</v>
      </c>
      <c r="G1733" s="169">
        <v>21.0</v>
      </c>
      <c r="H1733" s="169">
        <v>12933.0</v>
      </c>
      <c r="I1733" s="169">
        <v>271593.0</v>
      </c>
      <c r="J1733" s="169">
        <v>2.0</v>
      </c>
      <c r="K1733" s="169">
        <v>19.0</v>
      </c>
      <c r="L1733" s="169">
        <v>0.0</v>
      </c>
    </row>
    <row r="1734" ht="14.25" customHeight="1">
      <c r="A1734" s="169" t="s">
        <v>6880</v>
      </c>
      <c r="B1734" s="169" t="s">
        <v>15144</v>
      </c>
      <c r="C1734" s="169" t="s">
        <v>15274</v>
      </c>
      <c r="D1734" s="169" t="str">
        <f>"15888899248031"</f>
        <v>15888899248031</v>
      </c>
      <c r="E1734" s="169" t="str">
        <f>"32-100-C3"</f>
        <v>32-100-C3</v>
      </c>
      <c r="F1734" s="169" t="s">
        <v>18811</v>
      </c>
      <c r="G1734" s="169">
        <v>10.0</v>
      </c>
      <c r="H1734" s="169">
        <v>7614.0</v>
      </c>
      <c r="I1734" s="169">
        <v>76140.0</v>
      </c>
      <c r="J1734" s="169">
        <v>0.0</v>
      </c>
      <c r="K1734" s="169">
        <v>10.0</v>
      </c>
      <c r="L1734" s="169">
        <v>0.0</v>
      </c>
    </row>
    <row r="1735" ht="14.25" customHeight="1">
      <c r="A1735" s="169" t="s">
        <v>6880</v>
      </c>
      <c r="B1735" s="169" t="s">
        <v>15144</v>
      </c>
      <c r="C1735" s="169" t="s">
        <v>15279</v>
      </c>
      <c r="D1735" s="169" t="str">
        <f>"15888899247428"</f>
        <v>15888899247428</v>
      </c>
      <c r="E1735" s="169" t="str">
        <f>"32-100-C1"</f>
        <v>32-100-C1</v>
      </c>
      <c r="F1735" s="169" t="s">
        <v>18811</v>
      </c>
      <c r="G1735" s="169">
        <v>4.0</v>
      </c>
      <c r="H1735" s="169">
        <v>7614.0</v>
      </c>
      <c r="I1735" s="169">
        <v>30456.0</v>
      </c>
      <c r="J1735" s="169">
        <v>0.0</v>
      </c>
      <c r="K1735" s="169">
        <v>4.0</v>
      </c>
      <c r="L1735" s="169">
        <v>0.0</v>
      </c>
    </row>
    <row r="1736" ht="14.25" customHeight="1">
      <c r="A1736" s="169" t="s">
        <v>6880</v>
      </c>
      <c r="B1736" s="169" t="s">
        <v>15144</v>
      </c>
      <c r="C1736" s="169" t="s">
        <v>15281</v>
      </c>
      <c r="D1736" s="169" t="str">
        <f t="shared" ref="D1736:E1736" si="1119">"34-100-C3"</f>
        <v>34-100-C3</v>
      </c>
      <c r="E1736" s="169" t="str">
        <f t="shared" si="1119"/>
        <v>34-100-C3</v>
      </c>
      <c r="F1736" s="169" t="s">
        <v>18811</v>
      </c>
      <c r="G1736" s="169">
        <v>2.0</v>
      </c>
      <c r="H1736" s="169">
        <v>8649.0</v>
      </c>
      <c r="I1736" s="169">
        <v>17298.0</v>
      </c>
      <c r="J1736" s="169">
        <v>0.0</v>
      </c>
      <c r="K1736" s="169">
        <v>2.0</v>
      </c>
      <c r="L1736" s="169">
        <v>0.0</v>
      </c>
    </row>
    <row r="1737" ht="14.25" customHeight="1">
      <c r="A1737" s="169" t="s">
        <v>6880</v>
      </c>
      <c r="B1737" s="169" t="s">
        <v>15144</v>
      </c>
      <c r="C1737" s="169" t="s">
        <v>17195</v>
      </c>
      <c r="D1737" s="169" t="str">
        <f t="shared" ref="D1737:E1737" si="1120">"34-180-C3"</f>
        <v>34-180-C3</v>
      </c>
      <c r="E1737" s="169" t="str">
        <f t="shared" si="1120"/>
        <v>34-180-C3</v>
      </c>
      <c r="F1737" s="169" t="s">
        <v>18811</v>
      </c>
      <c r="G1737" s="169">
        <v>1.0</v>
      </c>
      <c r="H1737" s="169">
        <v>10557.0</v>
      </c>
      <c r="I1737" s="169">
        <v>10557.0</v>
      </c>
      <c r="J1737" s="169">
        <v>0.0</v>
      </c>
      <c r="K1737" s="169">
        <v>1.0</v>
      </c>
      <c r="L1737" s="169">
        <v>0.0</v>
      </c>
    </row>
    <row r="1738" ht="14.25" customHeight="1">
      <c r="A1738" s="169" t="s">
        <v>6880</v>
      </c>
      <c r="B1738" s="169" t="s">
        <v>15144</v>
      </c>
      <c r="C1738" s="169" t="s">
        <v>17194</v>
      </c>
      <c r="D1738" s="169" t="str">
        <f t="shared" ref="D1738:E1738" si="1121">"EN-1000-BL"</f>
        <v>EN-1000-BL</v>
      </c>
      <c r="E1738" s="169" t="str">
        <f t="shared" si="1121"/>
        <v>EN-1000-BL</v>
      </c>
      <c r="F1738" s="169" t="s">
        <v>18811</v>
      </c>
      <c r="G1738" s="169">
        <v>47.0</v>
      </c>
      <c r="H1738" s="169">
        <v>11223.0</v>
      </c>
      <c r="I1738" s="169">
        <v>527481.0</v>
      </c>
      <c r="J1738" s="169">
        <v>0.0</v>
      </c>
      <c r="K1738" s="169">
        <v>47.0</v>
      </c>
      <c r="L1738" s="169">
        <v>0.0</v>
      </c>
    </row>
    <row r="1739" ht="14.25" customHeight="1">
      <c r="A1739" s="169" t="s">
        <v>6880</v>
      </c>
      <c r="B1739" s="169" t="s">
        <v>15144</v>
      </c>
      <c r="C1739" s="169" t="s">
        <v>17193</v>
      </c>
      <c r="D1739" s="169" t="str">
        <f t="shared" ref="D1739:E1739" si="1122">"EN-1000-RD"</f>
        <v>EN-1000-RD</v>
      </c>
      <c r="E1739" s="169" t="str">
        <f t="shared" si="1122"/>
        <v>EN-1000-RD</v>
      </c>
      <c r="F1739" s="169" t="s">
        <v>18811</v>
      </c>
      <c r="G1739" s="169">
        <v>41.0</v>
      </c>
      <c r="H1739" s="169">
        <v>11223.0</v>
      </c>
      <c r="I1739" s="169">
        <v>460143.0</v>
      </c>
      <c r="J1739" s="169">
        <v>0.0</v>
      </c>
      <c r="K1739" s="169">
        <v>41.0</v>
      </c>
      <c r="L1739" s="169">
        <v>0.0</v>
      </c>
    </row>
    <row r="1740" ht="14.25" customHeight="1">
      <c r="A1740" s="169" t="s">
        <v>6880</v>
      </c>
      <c r="B1740" s="169" t="s">
        <v>15144</v>
      </c>
      <c r="C1740" s="169" t="s">
        <v>15294</v>
      </c>
      <c r="D1740" s="169" t="str">
        <f t="shared" ref="D1740:E1740" si="1123">"SK1005RD"</f>
        <v>SK1005RD</v>
      </c>
      <c r="E1740" s="169" t="str">
        <f t="shared" si="1123"/>
        <v>SK1005RD</v>
      </c>
      <c r="F1740" s="169" t="s">
        <v>18811</v>
      </c>
      <c r="G1740" s="169">
        <v>26.0</v>
      </c>
      <c r="H1740" s="169">
        <v>14292.0</v>
      </c>
      <c r="I1740" s="169">
        <v>371592.0</v>
      </c>
      <c r="J1740" s="169">
        <v>0.0</v>
      </c>
      <c r="K1740" s="169">
        <v>26.0</v>
      </c>
      <c r="L1740" s="169">
        <v>0.0</v>
      </c>
    </row>
    <row r="1741" ht="14.25" customHeight="1">
      <c r="A1741" s="169" t="s">
        <v>6880</v>
      </c>
      <c r="B1741" s="169" t="s">
        <v>15144</v>
      </c>
      <c r="C1741" s="169" t="s">
        <v>17192</v>
      </c>
      <c r="D1741" s="169" t="str">
        <f t="shared" ref="D1741:E1741" si="1124">"SK1005BK"</f>
        <v>SK1005BK</v>
      </c>
      <c r="E1741" s="169" t="str">
        <f t="shared" si="1124"/>
        <v>SK1005BK</v>
      </c>
      <c r="F1741" s="169" t="s">
        <v>18811</v>
      </c>
      <c r="G1741" s="169">
        <v>19.0</v>
      </c>
      <c r="H1741" s="169">
        <v>14292.0</v>
      </c>
      <c r="I1741" s="169">
        <v>271548.0</v>
      </c>
      <c r="J1741" s="169">
        <v>0.0</v>
      </c>
      <c r="K1741" s="169">
        <v>19.0</v>
      </c>
      <c r="L1741" s="169">
        <v>0.0</v>
      </c>
    </row>
    <row r="1742" ht="14.25" customHeight="1">
      <c r="A1742" s="169" t="s">
        <v>6880</v>
      </c>
      <c r="B1742" s="169" t="s">
        <v>15144</v>
      </c>
      <c r="C1742" s="169" t="s">
        <v>15195</v>
      </c>
      <c r="D1742" s="169" t="str">
        <f t="shared" ref="D1742:E1742" si="1125">"MP075"</f>
        <v>MP075</v>
      </c>
      <c r="E1742" s="169" t="str">
        <f t="shared" si="1125"/>
        <v>MP075</v>
      </c>
      <c r="F1742" s="169" t="s">
        <v>18811</v>
      </c>
      <c r="G1742" s="169">
        <v>72.0</v>
      </c>
      <c r="H1742" s="169">
        <v>12139.0</v>
      </c>
      <c r="I1742" s="169">
        <v>874009.0</v>
      </c>
      <c r="J1742" s="169">
        <v>2.0</v>
      </c>
      <c r="K1742" s="169">
        <v>70.0</v>
      </c>
      <c r="L1742" s="169">
        <v>0.0</v>
      </c>
    </row>
    <row r="1743" ht="14.25" customHeight="1">
      <c r="A1743" s="169" t="s">
        <v>6880</v>
      </c>
      <c r="B1743" s="169" t="s">
        <v>15144</v>
      </c>
      <c r="C1743" s="169" t="s">
        <v>15196</v>
      </c>
      <c r="D1743" s="169" t="str">
        <f>"1558987136902"</f>
        <v>1558987136902</v>
      </c>
      <c r="E1743" s="169" t="str">
        <f>"186296"</f>
        <v>186296</v>
      </c>
      <c r="F1743" s="169" t="s">
        <v>18811</v>
      </c>
      <c r="G1743" s="169">
        <v>11.0</v>
      </c>
      <c r="H1743" s="169">
        <v>13329.0</v>
      </c>
      <c r="I1743" s="169">
        <v>146619.0</v>
      </c>
      <c r="J1743" s="169">
        <v>1.0</v>
      </c>
      <c r="K1743" s="169">
        <v>10.0</v>
      </c>
      <c r="L1743" s="169">
        <v>0.0</v>
      </c>
    </row>
    <row r="1744" ht="14.25" customHeight="1">
      <c r="A1744" s="169" t="s">
        <v>6880</v>
      </c>
      <c r="B1744" s="169" t="s">
        <v>15144</v>
      </c>
      <c r="C1744" s="169" t="s">
        <v>17190</v>
      </c>
      <c r="D1744" s="169" t="str">
        <f t="shared" ref="D1744:E1744" si="1126">"CLN-15METALICO"</f>
        <v>CLN-15METALICO</v>
      </c>
      <c r="E1744" s="169" t="str">
        <f t="shared" si="1126"/>
        <v>CLN-15METALICO</v>
      </c>
      <c r="F1744" s="169" t="s">
        <v>18811</v>
      </c>
      <c r="G1744" s="169">
        <v>4.0</v>
      </c>
      <c r="H1744" s="169">
        <v>8397.0</v>
      </c>
      <c r="I1744" s="169">
        <v>33588.0</v>
      </c>
      <c r="J1744" s="169">
        <v>3.0</v>
      </c>
      <c r="K1744" s="169">
        <v>1.0</v>
      </c>
      <c r="L1744" s="169">
        <v>1.0</v>
      </c>
    </row>
    <row r="1745" ht="14.25" customHeight="1">
      <c r="A1745" s="169" t="s">
        <v>6880</v>
      </c>
      <c r="B1745" s="169" t="s">
        <v>15144</v>
      </c>
      <c r="C1745" s="169" t="s">
        <v>15324</v>
      </c>
      <c r="D1745" s="169" t="str">
        <f t="shared" ref="D1745:E1745" si="1127">"TPP1900M"</f>
        <v>TPP1900M</v>
      </c>
      <c r="E1745" s="169" t="str">
        <f t="shared" si="1127"/>
        <v>TPP1900M</v>
      </c>
      <c r="F1745" s="169" t="s">
        <v>18811</v>
      </c>
      <c r="G1745" s="169">
        <v>3.0</v>
      </c>
      <c r="H1745" s="169">
        <v>16500.0</v>
      </c>
      <c r="I1745" s="169">
        <v>49500.0</v>
      </c>
      <c r="J1745" s="169">
        <v>2.0</v>
      </c>
      <c r="K1745" s="169">
        <v>1.0</v>
      </c>
      <c r="L1745" s="169">
        <v>0.0</v>
      </c>
    </row>
    <row r="1746" ht="14.25" customHeight="1">
      <c r="A1746" s="169" t="s">
        <v>6880</v>
      </c>
      <c r="B1746" s="169" t="s">
        <v>15144</v>
      </c>
      <c r="C1746" s="169" t="s">
        <v>17188</v>
      </c>
      <c r="D1746" s="169" t="str">
        <f t="shared" ref="D1746:E1746" si="1128">"184957"</f>
        <v>184957</v>
      </c>
      <c r="E1746" s="169" t="str">
        <f t="shared" si="1128"/>
        <v>184957</v>
      </c>
      <c r="F1746" s="169" t="s">
        <v>18811</v>
      </c>
      <c r="G1746" s="169">
        <v>15.0</v>
      </c>
      <c r="H1746" s="169">
        <v>22320.0</v>
      </c>
      <c r="I1746" s="169">
        <v>334800.0</v>
      </c>
      <c r="J1746" s="169">
        <v>0.0</v>
      </c>
      <c r="K1746" s="169">
        <v>15.0</v>
      </c>
      <c r="L1746" s="169">
        <v>0.0</v>
      </c>
    </row>
    <row r="1747" ht="14.25" customHeight="1">
      <c r="A1747" s="169" t="s">
        <v>15144</v>
      </c>
      <c r="B1747" s="169" t="s">
        <v>15144</v>
      </c>
      <c r="C1747" s="169" t="s">
        <v>17187</v>
      </c>
      <c r="D1747" s="169" t="str">
        <f>"68736488596102"</f>
        <v>68736488596102</v>
      </c>
      <c r="E1747" s="169" t="str">
        <f>"34-100-C4"</f>
        <v>34-100-C4</v>
      </c>
      <c r="F1747" s="169" t="s">
        <v>18811</v>
      </c>
      <c r="G1747" s="169">
        <v>4.0</v>
      </c>
      <c r="H1747" s="169">
        <v>8649.0</v>
      </c>
      <c r="I1747" s="169">
        <v>34596.0</v>
      </c>
      <c r="J1747" s="169">
        <v>0.0</v>
      </c>
      <c r="K1747" s="169">
        <v>4.0</v>
      </c>
      <c r="L1747" s="169">
        <v>0.0</v>
      </c>
    </row>
    <row r="1748" ht="14.25" customHeight="1">
      <c r="A1748" s="169" t="s">
        <v>6880</v>
      </c>
      <c r="B1748" s="169" t="s">
        <v>15144</v>
      </c>
      <c r="C1748" s="169" t="s">
        <v>17186</v>
      </c>
      <c r="D1748" s="169" t="str">
        <f t="shared" ref="D1748:E1748" si="1129">"32-180-C3"</f>
        <v>32-180-C3</v>
      </c>
      <c r="E1748" s="169" t="str">
        <f t="shared" si="1129"/>
        <v>32-180-C3</v>
      </c>
      <c r="F1748" s="169" t="s">
        <v>18811</v>
      </c>
      <c r="G1748" s="169">
        <v>3.0</v>
      </c>
      <c r="H1748" s="169">
        <v>9252.0</v>
      </c>
      <c r="I1748" s="169">
        <v>27756.0</v>
      </c>
      <c r="J1748" s="169">
        <v>0.0</v>
      </c>
      <c r="K1748" s="169">
        <v>3.0</v>
      </c>
      <c r="L1748" s="169">
        <v>0.0</v>
      </c>
    </row>
    <row r="1749" ht="14.25" customHeight="1">
      <c r="A1749" s="169" t="s">
        <v>6880</v>
      </c>
      <c r="B1749" s="169" t="s">
        <v>15144</v>
      </c>
      <c r="C1749" s="169" t="s">
        <v>17185</v>
      </c>
      <c r="D1749" s="169" t="str">
        <f t="shared" ref="D1749:E1749" si="1130">"EN-500-BL"</f>
        <v>EN-500-BL</v>
      </c>
      <c r="E1749" s="169" t="str">
        <f t="shared" si="1130"/>
        <v>EN-500-BL</v>
      </c>
      <c r="F1749" s="169" t="s">
        <v>18811</v>
      </c>
      <c r="G1749" s="169">
        <v>13.0</v>
      </c>
      <c r="H1749" s="169">
        <v>7461.0</v>
      </c>
      <c r="I1749" s="169">
        <v>96993.0</v>
      </c>
      <c r="J1749" s="169">
        <v>0.0</v>
      </c>
      <c r="K1749" s="169">
        <v>13.0</v>
      </c>
      <c r="L1749" s="169">
        <v>0.0</v>
      </c>
    </row>
    <row r="1750" ht="14.25" customHeight="1">
      <c r="A1750" s="169" t="s">
        <v>6880</v>
      </c>
      <c r="B1750" s="169" t="s">
        <v>15144</v>
      </c>
      <c r="C1750" s="169" t="s">
        <v>17184</v>
      </c>
      <c r="D1750" s="169" t="str">
        <f t="shared" ref="D1750:E1750" si="1131">"EN-500-RD"</f>
        <v>EN-500-RD</v>
      </c>
      <c r="E1750" s="169" t="str">
        <f t="shared" si="1131"/>
        <v>EN-500-RD</v>
      </c>
      <c r="F1750" s="169" t="s">
        <v>18811</v>
      </c>
      <c r="G1750" s="169">
        <v>11.0</v>
      </c>
      <c r="H1750" s="169">
        <v>7461.0</v>
      </c>
      <c r="I1750" s="169">
        <v>82071.0</v>
      </c>
      <c r="J1750" s="169">
        <v>1.0</v>
      </c>
      <c r="K1750" s="169">
        <v>10.0</v>
      </c>
      <c r="L1750" s="169">
        <v>0.0</v>
      </c>
    </row>
    <row r="1751" ht="14.25" customHeight="1">
      <c r="A1751" s="169" t="s">
        <v>6880</v>
      </c>
      <c r="B1751" s="169" t="s">
        <v>15144</v>
      </c>
      <c r="C1751" s="169" t="s">
        <v>17183</v>
      </c>
      <c r="D1751" s="169" t="str">
        <f t="shared" ref="D1751:E1751" si="1132">"32-180-C1"</f>
        <v>32-180-C1</v>
      </c>
      <c r="E1751" s="169" t="str">
        <f t="shared" si="1132"/>
        <v>32-180-C1</v>
      </c>
      <c r="F1751" s="169" t="s">
        <v>18811</v>
      </c>
      <c r="G1751" s="169">
        <v>17.0</v>
      </c>
      <c r="H1751" s="169">
        <v>9252.0</v>
      </c>
      <c r="I1751" s="169">
        <v>157284.0</v>
      </c>
      <c r="J1751" s="169">
        <v>0.0</v>
      </c>
      <c r="K1751" s="169">
        <v>17.0</v>
      </c>
      <c r="L1751" s="169">
        <v>0.0</v>
      </c>
    </row>
    <row r="1752" ht="14.25" customHeight="1">
      <c r="A1752" s="169" t="s">
        <v>6880</v>
      </c>
      <c r="B1752" s="169" t="s">
        <v>15144</v>
      </c>
      <c r="C1752" s="169" t="s">
        <v>17182</v>
      </c>
      <c r="D1752" s="169" t="str">
        <f t="shared" ref="D1752:E1752" si="1133">"MATE-450MORADO"</f>
        <v>MATE-450MORADO</v>
      </c>
      <c r="E1752" s="169" t="str">
        <f t="shared" si="1133"/>
        <v>MATE-450MORADO</v>
      </c>
      <c r="F1752" s="169" t="s">
        <v>18811</v>
      </c>
      <c r="G1752" s="169">
        <v>7.0</v>
      </c>
      <c r="H1752" s="169">
        <v>4176.0</v>
      </c>
      <c r="I1752" s="169">
        <v>29232.0</v>
      </c>
      <c r="J1752" s="169">
        <v>0.0</v>
      </c>
      <c r="K1752" s="169">
        <v>7.0</v>
      </c>
      <c r="L1752" s="169">
        <v>0.0</v>
      </c>
    </row>
    <row r="1753" ht="14.25" customHeight="1">
      <c r="A1753" s="169" t="s">
        <v>6880</v>
      </c>
      <c r="B1753" s="169" t="s">
        <v>15144</v>
      </c>
      <c r="C1753" s="169" t="s">
        <v>17181</v>
      </c>
      <c r="D1753" s="169" t="str">
        <f t="shared" ref="D1753:E1753" si="1134">"MATE-450ROJO"</f>
        <v>MATE-450ROJO</v>
      </c>
      <c r="E1753" s="169" t="str">
        <f t="shared" si="1134"/>
        <v>MATE-450ROJO</v>
      </c>
      <c r="F1753" s="169" t="s">
        <v>18811</v>
      </c>
      <c r="G1753" s="169">
        <v>13.0</v>
      </c>
      <c r="H1753" s="169">
        <v>4176.0</v>
      </c>
      <c r="I1753" s="169">
        <v>54288.0</v>
      </c>
      <c r="J1753" s="169">
        <v>0.0</v>
      </c>
      <c r="K1753" s="169">
        <v>13.0</v>
      </c>
      <c r="L1753" s="169">
        <v>0.0</v>
      </c>
    </row>
    <row r="1754" ht="14.25" customHeight="1">
      <c r="A1754" s="169" t="s">
        <v>6880</v>
      </c>
      <c r="B1754" s="169" t="s">
        <v>15144</v>
      </c>
      <c r="C1754" s="169" t="s">
        <v>17180</v>
      </c>
      <c r="D1754" s="169" t="str">
        <f t="shared" ref="D1754:E1754" si="1135">"MATE-450VERDE"</f>
        <v>MATE-450VERDE</v>
      </c>
      <c r="E1754" s="169" t="str">
        <f t="shared" si="1135"/>
        <v>MATE-450VERDE</v>
      </c>
      <c r="F1754" s="169" t="s">
        <v>18811</v>
      </c>
      <c r="G1754" s="169">
        <v>12.0</v>
      </c>
      <c r="H1754" s="169">
        <v>4176.0</v>
      </c>
      <c r="I1754" s="169">
        <v>50112.0</v>
      </c>
      <c r="J1754" s="169">
        <v>0.0</v>
      </c>
      <c r="K1754" s="169">
        <v>12.0</v>
      </c>
      <c r="L1754" s="169">
        <v>0.0</v>
      </c>
    </row>
    <row r="1755" ht="14.25" customHeight="1">
      <c r="A1755" s="169" t="s">
        <v>15393</v>
      </c>
      <c r="B1755" s="169" t="s">
        <v>15390</v>
      </c>
      <c r="C1755" s="169" t="s">
        <v>18733</v>
      </c>
      <c r="D1755" s="169" t="str">
        <f t="shared" ref="D1755:E1755" si="1136">"MEMN001"</f>
        <v>MEMN001</v>
      </c>
      <c r="E1755" s="169" t="str">
        <f t="shared" si="1136"/>
        <v>MEMN001</v>
      </c>
      <c r="F1755" s="169" t="s">
        <v>18811</v>
      </c>
      <c r="G1755" s="169">
        <v>1.0</v>
      </c>
      <c r="H1755" s="169">
        <v>12600.0</v>
      </c>
      <c r="I1755" s="169">
        <v>12600.0</v>
      </c>
      <c r="J1755" s="169">
        <v>0.0</v>
      </c>
      <c r="K1755" s="169">
        <v>1.0</v>
      </c>
      <c r="L1755" s="169">
        <v>0.0</v>
      </c>
    </row>
    <row r="1756" ht="14.25" customHeight="1">
      <c r="A1756" s="169" t="s">
        <v>15393</v>
      </c>
      <c r="B1756" s="169" t="s">
        <v>15390</v>
      </c>
      <c r="C1756" s="169" t="s">
        <v>18732</v>
      </c>
      <c r="D1756" s="169" t="str">
        <f t="shared" ref="D1756:E1756" si="1137">"SOCA01"</f>
        <v>SOCA01</v>
      </c>
      <c r="E1756" s="169" t="str">
        <f t="shared" si="1137"/>
        <v>SOCA01</v>
      </c>
      <c r="F1756" s="169" t="s">
        <v>18811</v>
      </c>
      <c r="G1756" s="169">
        <v>3.0</v>
      </c>
      <c r="H1756" s="169">
        <v>3524.0</v>
      </c>
      <c r="I1756" s="169">
        <v>10572.0</v>
      </c>
      <c r="J1756" s="169">
        <v>0.0</v>
      </c>
      <c r="K1756" s="169">
        <v>3.0</v>
      </c>
      <c r="L1756" s="169">
        <v>0.0</v>
      </c>
    </row>
    <row r="1757" ht="14.25" customHeight="1">
      <c r="A1757" s="169" t="s">
        <v>15393</v>
      </c>
      <c r="B1757" s="169" t="s">
        <v>15390</v>
      </c>
      <c r="C1757" s="169" t="s">
        <v>15402</v>
      </c>
      <c r="D1757" s="169" t="str">
        <f t="shared" ref="D1757:E1757" si="1138">"SONA01"</f>
        <v>SONA01</v>
      </c>
      <c r="E1757" s="169" t="str">
        <f t="shared" si="1138"/>
        <v>SONA01</v>
      </c>
      <c r="F1757" s="169" t="s">
        <v>18811</v>
      </c>
      <c r="G1757" s="169">
        <v>3.0</v>
      </c>
      <c r="H1757" s="169">
        <v>15121.0</v>
      </c>
      <c r="I1757" s="169">
        <v>45363.0</v>
      </c>
      <c r="J1757" s="169">
        <v>0.0</v>
      </c>
      <c r="K1757" s="169">
        <v>3.0</v>
      </c>
      <c r="L1757" s="169">
        <v>0.0</v>
      </c>
    </row>
    <row r="1758" ht="14.25" customHeight="1">
      <c r="A1758" s="169" t="s">
        <v>15393</v>
      </c>
      <c r="B1758" s="169" t="s">
        <v>15390</v>
      </c>
      <c r="C1758" s="169" t="s">
        <v>18731</v>
      </c>
      <c r="D1758" s="169" t="str">
        <f>"1642191528006"</f>
        <v>1642191528006</v>
      </c>
      <c r="E1758" s="169" t="str">
        <f>"TML01"</f>
        <v>TML01</v>
      </c>
      <c r="F1758" s="169" t="s">
        <v>18811</v>
      </c>
      <c r="G1758" s="169">
        <v>1.0</v>
      </c>
      <c r="H1758" s="169">
        <v>12096.0</v>
      </c>
      <c r="I1758" s="169">
        <v>12096.0</v>
      </c>
      <c r="J1758" s="169">
        <v>0.0</v>
      </c>
      <c r="K1758" s="169">
        <v>1.0</v>
      </c>
      <c r="L1758" s="169">
        <v>0.0</v>
      </c>
    </row>
    <row r="1759" ht="14.25" customHeight="1">
      <c r="A1759" s="169" t="s">
        <v>9070</v>
      </c>
      <c r="B1759" s="169" t="s">
        <v>18746</v>
      </c>
      <c r="C1759" s="169" t="s">
        <v>18747</v>
      </c>
      <c r="D1759" s="169" t="str">
        <f t="shared" ref="D1759:E1759" si="1139">"P2348"</f>
        <v>P2348</v>
      </c>
      <c r="E1759" s="169" t="str">
        <f t="shared" si="1139"/>
        <v>P2348</v>
      </c>
      <c r="F1759" s="169" t="s">
        <v>18811</v>
      </c>
      <c r="G1759" s="169">
        <v>1.0</v>
      </c>
      <c r="H1759" s="169">
        <v>6210.0</v>
      </c>
      <c r="I1759" s="169">
        <v>6210.0</v>
      </c>
      <c r="J1759" s="169">
        <v>0.0</v>
      </c>
      <c r="K1759" s="169">
        <v>1.0</v>
      </c>
      <c r="L1759" s="169">
        <v>0.0</v>
      </c>
    </row>
    <row r="1760" ht="14.25" customHeight="1">
      <c r="A1760" s="169" t="s">
        <v>18714</v>
      </c>
      <c r="B1760" s="169" t="s">
        <v>18741</v>
      </c>
      <c r="C1760" s="170"/>
      <c r="D1760" s="169" t="str">
        <f t="shared" ref="D1760:E1760" si="1140">"66782906770403"</f>
        <v>66782906770403</v>
      </c>
      <c r="E1760" s="169" t="str">
        <f t="shared" si="1140"/>
        <v>66782906770403</v>
      </c>
      <c r="F1760" s="169" t="s">
        <v>18811</v>
      </c>
      <c r="G1760" s="169">
        <v>1.0</v>
      </c>
      <c r="H1760" s="169">
        <v>6914.0</v>
      </c>
      <c r="I1760" s="169">
        <v>6914.0</v>
      </c>
      <c r="J1760" s="169">
        <v>0.0</v>
      </c>
      <c r="K1760" s="169">
        <v>1.0</v>
      </c>
      <c r="L1760" s="169">
        <v>0.0</v>
      </c>
    </row>
    <row r="1761" ht="14.25" customHeight="1">
      <c r="A1761" s="169" t="s">
        <v>18714</v>
      </c>
      <c r="B1761" s="169" t="s">
        <v>18739</v>
      </c>
      <c r="C1761" s="170"/>
      <c r="D1761" s="169" t="str">
        <f t="shared" ref="D1761:E1761" si="1141">"66782909003418"</f>
        <v>66782909003418</v>
      </c>
      <c r="E1761" s="169" t="str">
        <f t="shared" si="1141"/>
        <v>66782909003418</v>
      </c>
      <c r="F1761" s="169" t="s">
        <v>18811</v>
      </c>
      <c r="G1761" s="169">
        <v>1.0</v>
      </c>
      <c r="H1761" s="169">
        <v>9219.0</v>
      </c>
      <c r="I1761" s="169">
        <v>9219.0</v>
      </c>
      <c r="J1761" s="169">
        <v>0.0</v>
      </c>
      <c r="K1761" s="169">
        <v>1.0</v>
      </c>
      <c r="L1761" s="169">
        <v>0.0</v>
      </c>
    </row>
    <row r="1762" ht="14.25" customHeight="1">
      <c r="A1762" s="169" t="s">
        <v>15445</v>
      </c>
      <c r="B1762" s="169" t="s">
        <v>15442</v>
      </c>
      <c r="C1762" s="169" t="s">
        <v>18664</v>
      </c>
      <c r="D1762" s="169" t="str">
        <f>"820909713197"</f>
        <v>820909713197</v>
      </c>
      <c r="E1762" s="169" t="str">
        <f>"W016009WE"</f>
        <v>W016009WE</v>
      </c>
      <c r="F1762" s="169" t="s">
        <v>18811</v>
      </c>
      <c r="G1762" s="169">
        <v>3.0</v>
      </c>
      <c r="H1762" s="169">
        <v>0.0</v>
      </c>
      <c r="I1762" s="169">
        <v>0.0</v>
      </c>
      <c r="J1762" s="169">
        <v>0.0</v>
      </c>
      <c r="K1762" s="169">
        <v>3.0</v>
      </c>
      <c r="L1762" s="169">
        <v>0.0</v>
      </c>
    </row>
    <row r="1763" ht="14.25" customHeight="1">
      <c r="A1763" s="169" t="s">
        <v>15445</v>
      </c>
      <c r="B1763" s="169" t="s">
        <v>15442</v>
      </c>
      <c r="C1763" s="169" t="s">
        <v>18663</v>
      </c>
      <c r="D1763" s="169" t="str">
        <f>"820909711506"</f>
        <v>820909711506</v>
      </c>
      <c r="E1763" s="169" t="str">
        <f>"W021174WE"</f>
        <v>W021174WE</v>
      </c>
      <c r="F1763" s="169" t="s">
        <v>18811</v>
      </c>
      <c r="G1763" s="169">
        <v>1.0</v>
      </c>
      <c r="H1763" s="169">
        <v>5634.0</v>
      </c>
      <c r="I1763" s="169">
        <v>5634.0</v>
      </c>
      <c r="J1763" s="169">
        <v>0.0</v>
      </c>
      <c r="K1763" s="169">
        <v>1.0</v>
      </c>
      <c r="L1763" s="169">
        <v>0.0</v>
      </c>
    </row>
    <row r="1764" ht="14.25" customHeight="1">
      <c r="A1764" s="169" t="s">
        <v>15445</v>
      </c>
      <c r="B1764" s="169" t="s">
        <v>15442</v>
      </c>
      <c r="C1764" s="169" t="s">
        <v>18662</v>
      </c>
      <c r="D1764" s="169" t="str">
        <f>"820909735335"</f>
        <v>820909735335</v>
      </c>
      <c r="E1764" s="169" t="str">
        <f>"W000828WE"</f>
        <v>W000828WE</v>
      </c>
      <c r="F1764" s="169" t="s">
        <v>18811</v>
      </c>
      <c r="G1764" s="169">
        <v>6.0</v>
      </c>
      <c r="H1764" s="169">
        <v>11583.0</v>
      </c>
      <c r="I1764" s="169">
        <v>69498.0</v>
      </c>
      <c r="J1764" s="169">
        <v>0.0</v>
      </c>
      <c r="K1764" s="169">
        <v>6.0</v>
      </c>
      <c r="L1764" s="169">
        <v>0.0</v>
      </c>
    </row>
    <row r="1765" ht="14.25" customHeight="1">
      <c r="A1765" s="169" t="s">
        <v>15445</v>
      </c>
      <c r="B1765" s="169" t="s">
        <v>15442</v>
      </c>
      <c r="C1765" s="169" t="s">
        <v>18661</v>
      </c>
      <c r="D1765" s="169" t="str">
        <f>"820909754626"</f>
        <v>820909754626</v>
      </c>
      <c r="E1765" s="169" t="str">
        <f>"W000848WE"</f>
        <v>W000848WE</v>
      </c>
      <c r="F1765" s="169" t="s">
        <v>18811</v>
      </c>
      <c r="G1765" s="169">
        <v>22.0</v>
      </c>
      <c r="H1765" s="169">
        <v>4244.0</v>
      </c>
      <c r="I1765" s="169">
        <v>93368.0</v>
      </c>
      <c r="J1765" s="169">
        <v>0.0</v>
      </c>
      <c r="K1765" s="169">
        <v>22.0</v>
      </c>
      <c r="L1765" s="169">
        <v>0.0</v>
      </c>
    </row>
    <row r="1766" ht="14.25" customHeight="1">
      <c r="A1766" s="169" t="s">
        <v>15445</v>
      </c>
      <c r="B1766" s="169" t="s">
        <v>15442</v>
      </c>
      <c r="C1766" s="169" t="s">
        <v>15493</v>
      </c>
      <c r="D1766" s="169" t="str">
        <f>"820909725527"</f>
        <v>820909725527</v>
      </c>
      <c r="E1766" s="169" t="str">
        <f>"W009034WE"</f>
        <v>W009034WE</v>
      </c>
      <c r="F1766" s="169" t="s">
        <v>18811</v>
      </c>
      <c r="G1766" s="169">
        <v>4.0</v>
      </c>
      <c r="H1766" s="169">
        <v>9375.0</v>
      </c>
      <c r="I1766" s="169">
        <v>37500.0</v>
      </c>
      <c r="J1766" s="169">
        <v>0.0</v>
      </c>
      <c r="K1766" s="169">
        <v>4.0</v>
      </c>
      <c r="L1766" s="169">
        <v>0.0</v>
      </c>
    </row>
    <row r="1767" ht="14.25" customHeight="1">
      <c r="A1767" s="169" t="s">
        <v>15445</v>
      </c>
      <c r="B1767" s="169" t="s">
        <v>15442</v>
      </c>
      <c r="C1767" s="169" t="s">
        <v>18660</v>
      </c>
      <c r="D1767" s="169" t="str">
        <f>"820909721147"</f>
        <v>820909721147</v>
      </c>
      <c r="E1767" s="169" t="str">
        <f>"W072016WE"</f>
        <v>W072016WE</v>
      </c>
      <c r="F1767" s="169" t="s">
        <v>18811</v>
      </c>
      <c r="G1767" s="169">
        <v>5.0</v>
      </c>
      <c r="H1767" s="169">
        <v>8616.0</v>
      </c>
      <c r="I1767" s="169">
        <v>43080.0</v>
      </c>
      <c r="J1767" s="169">
        <v>0.0</v>
      </c>
      <c r="K1767" s="169">
        <v>5.0</v>
      </c>
      <c r="L1767" s="169">
        <v>0.0</v>
      </c>
    </row>
    <row r="1768" ht="14.25" customHeight="1">
      <c r="A1768" s="169" t="s">
        <v>15445</v>
      </c>
      <c r="B1768" s="169" t="s">
        <v>15442</v>
      </c>
      <c r="C1768" s="169" t="s">
        <v>18659</v>
      </c>
      <c r="D1768" s="169" t="str">
        <f>"820909713500"</f>
        <v>820909713500</v>
      </c>
      <c r="E1768" s="169" t="str">
        <f>"W016040WE"</f>
        <v>W016040WE</v>
      </c>
      <c r="F1768" s="169" t="s">
        <v>18811</v>
      </c>
      <c r="G1768" s="169">
        <v>2.0</v>
      </c>
      <c r="H1768" s="169">
        <v>5429.0</v>
      </c>
      <c r="I1768" s="169">
        <v>10858.0</v>
      </c>
      <c r="J1768" s="169">
        <v>0.0</v>
      </c>
      <c r="K1768" s="169">
        <v>2.0</v>
      </c>
      <c r="L1768" s="169">
        <v>0.0</v>
      </c>
    </row>
    <row r="1769" ht="14.25" customHeight="1">
      <c r="A1769" s="169" t="s">
        <v>15445</v>
      </c>
      <c r="B1769" s="169" t="s">
        <v>15442</v>
      </c>
      <c r="C1769" s="169" t="s">
        <v>18658</v>
      </c>
      <c r="D1769" s="169" t="str">
        <f>"820909713418"</f>
        <v>820909713418</v>
      </c>
      <c r="E1769" s="169" t="str">
        <f>"W016031WE"</f>
        <v>W016031WE</v>
      </c>
      <c r="F1769" s="169" t="s">
        <v>18811</v>
      </c>
      <c r="G1769" s="169">
        <v>3.0</v>
      </c>
      <c r="H1769" s="169">
        <v>4939.0</v>
      </c>
      <c r="I1769" s="169">
        <v>14817.0</v>
      </c>
      <c r="J1769" s="169">
        <v>0.0</v>
      </c>
      <c r="K1769" s="169">
        <v>3.0</v>
      </c>
      <c r="L1769" s="169">
        <v>0.0</v>
      </c>
    </row>
    <row r="1770" ht="14.25" customHeight="1">
      <c r="A1770" s="169" t="s">
        <v>15445</v>
      </c>
      <c r="B1770" s="169" t="s">
        <v>15442</v>
      </c>
      <c r="C1770" s="169" t="s">
        <v>18657</v>
      </c>
      <c r="D1770" s="169" t="str">
        <f>"820909713463"</f>
        <v>820909713463</v>
      </c>
      <c r="E1770" s="169" t="str">
        <f>"W016036WE"</f>
        <v>W016036WE</v>
      </c>
      <c r="F1770" s="169" t="s">
        <v>18811</v>
      </c>
      <c r="G1770" s="169">
        <v>5.0</v>
      </c>
      <c r="H1770" s="169">
        <v>6517.0</v>
      </c>
      <c r="I1770" s="169">
        <v>32585.0</v>
      </c>
      <c r="J1770" s="169">
        <v>0.0</v>
      </c>
      <c r="K1770" s="169">
        <v>5.0</v>
      </c>
      <c r="L1770" s="169">
        <v>0.0</v>
      </c>
    </row>
    <row r="1771" ht="14.25" customHeight="1">
      <c r="A1771" s="169" t="s">
        <v>16884</v>
      </c>
      <c r="B1771" s="169" t="s">
        <v>16884</v>
      </c>
      <c r="C1771" s="169" t="s">
        <v>1451</v>
      </c>
      <c r="D1771" s="169" t="str">
        <f>"0788070731993"</f>
        <v>0788070731993</v>
      </c>
      <c r="E1771" s="169" t="str">
        <f>"1650301031879"</f>
        <v>1650301031879</v>
      </c>
      <c r="F1771" s="169" t="s">
        <v>18811</v>
      </c>
      <c r="G1771" s="169">
        <v>349.0</v>
      </c>
      <c r="H1771" s="169">
        <v>57760.1</v>
      </c>
      <c r="I1771" s="169">
        <v>2.0158275E7</v>
      </c>
      <c r="J1771" s="169">
        <v>0.0</v>
      </c>
      <c r="K1771" s="169">
        <v>349.0</v>
      </c>
      <c r="L1771" s="169">
        <v>0.0</v>
      </c>
    </row>
    <row r="1772" ht="14.25" customHeight="1">
      <c r="A1772" s="169" t="s">
        <v>16884</v>
      </c>
      <c r="B1772" s="169" t="s">
        <v>16884</v>
      </c>
      <c r="C1772" s="169" t="s">
        <v>1440</v>
      </c>
      <c r="D1772" s="169" t="str">
        <f>"0788070732174"</f>
        <v>0788070732174</v>
      </c>
      <c r="E1772" s="169" t="str">
        <f>"1660859424566"</f>
        <v>1660859424566</v>
      </c>
      <c r="F1772" s="169" t="s">
        <v>18811</v>
      </c>
      <c r="G1772" s="169">
        <v>204.0</v>
      </c>
      <c r="H1772" s="169">
        <v>4554.8</v>
      </c>
      <c r="I1772" s="169">
        <v>929188.0</v>
      </c>
      <c r="J1772" s="169">
        <v>0.0</v>
      </c>
      <c r="K1772" s="169">
        <v>204.0</v>
      </c>
      <c r="L1772" s="169">
        <v>0.0</v>
      </c>
    </row>
    <row r="1773" ht="14.25" customHeight="1">
      <c r="A1773" s="169" t="s">
        <v>16884</v>
      </c>
      <c r="B1773" s="169" t="s">
        <v>16884</v>
      </c>
      <c r="C1773" s="169" t="s">
        <v>1441</v>
      </c>
      <c r="D1773" s="169" t="str">
        <f>"0788070732389"</f>
        <v>0788070732389</v>
      </c>
      <c r="E1773" s="169" t="str">
        <f>"1656603353038"</f>
        <v>1656603353038</v>
      </c>
      <c r="F1773" s="169" t="s">
        <v>18811</v>
      </c>
      <c r="G1773" s="169">
        <v>269.0</v>
      </c>
      <c r="H1773" s="169">
        <v>8980.5</v>
      </c>
      <c r="I1773" s="169">
        <v>2415760.0</v>
      </c>
      <c r="J1773" s="169">
        <v>0.0</v>
      </c>
      <c r="K1773" s="169">
        <v>269.0</v>
      </c>
      <c r="L1773" s="169">
        <v>0.0</v>
      </c>
    </row>
    <row r="1774" ht="14.25" customHeight="1">
      <c r="A1774" s="169" t="s">
        <v>16884</v>
      </c>
      <c r="B1774" s="169" t="s">
        <v>16884</v>
      </c>
      <c r="C1774" s="169" t="s">
        <v>16888</v>
      </c>
      <c r="D1774" s="169" t="str">
        <f>"0788070732600"</f>
        <v>0788070732600</v>
      </c>
      <c r="E1774" s="169" t="str">
        <f>"1660858577510"</f>
        <v>1660858577510</v>
      </c>
      <c r="F1774" s="169" t="s">
        <v>18811</v>
      </c>
      <c r="G1774" s="169">
        <v>27.0</v>
      </c>
      <c r="H1774" s="169">
        <v>22640.6</v>
      </c>
      <c r="I1774" s="169">
        <v>611295.0</v>
      </c>
      <c r="J1774" s="169">
        <v>0.0</v>
      </c>
      <c r="K1774" s="169">
        <v>27.0</v>
      </c>
      <c r="L1774" s="169">
        <v>0.0</v>
      </c>
    </row>
    <row r="1775" ht="14.25" customHeight="1">
      <c r="A1775" s="169" t="s">
        <v>16884</v>
      </c>
      <c r="B1775" s="169" t="s">
        <v>16884</v>
      </c>
      <c r="C1775" s="169" t="s">
        <v>1442</v>
      </c>
      <c r="D1775" s="169" t="str">
        <f>"0788070733447"</f>
        <v>0788070733447</v>
      </c>
      <c r="E1775" s="169" t="str">
        <f>"67898258445967"</f>
        <v>67898258445967</v>
      </c>
      <c r="F1775" s="169" t="s">
        <v>18811</v>
      </c>
      <c r="G1775" s="169">
        <v>52.0</v>
      </c>
      <c r="H1775" s="169">
        <v>4157.0</v>
      </c>
      <c r="I1775" s="169">
        <v>216164.0</v>
      </c>
      <c r="J1775" s="169">
        <v>0.0</v>
      </c>
      <c r="K1775" s="169">
        <v>52.0</v>
      </c>
      <c r="L1775" s="169">
        <v>0.0</v>
      </c>
    </row>
    <row r="1776" ht="14.25" customHeight="1">
      <c r="A1776" s="169" t="s">
        <v>16884</v>
      </c>
      <c r="B1776" s="169" t="s">
        <v>16884</v>
      </c>
      <c r="C1776" s="169" t="s">
        <v>1454</v>
      </c>
      <c r="D1776" s="169" t="str">
        <f t="shared" ref="D1776:E1776" si="1142">"1650302273911"</f>
        <v>1650302273911</v>
      </c>
      <c r="E1776" s="169" t="str">
        <f t="shared" si="1142"/>
        <v>1650302273911</v>
      </c>
      <c r="F1776" s="169" t="s">
        <v>18811</v>
      </c>
      <c r="G1776" s="169">
        <v>30.0</v>
      </c>
      <c r="H1776" s="169">
        <v>36582.0</v>
      </c>
      <c r="I1776" s="169">
        <v>1097460.0</v>
      </c>
      <c r="J1776" s="169">
        <v>0.0</v>
      </c>
      <c r="K1776" s="169">
        <v>30.0</v>
      </c>
      <c r="L1776" s="169">
        <v>0.0</v>
      </c>
    </row>
    <row r="1777" ht="14.25" customHeight="1">
      <c r="A1777" s="169" t="s">
        <v>16884</v>
      </c>
      <c r="B1777" s="169" t="s">
        <v>16884</v>
      </c>
      <c r="C1777" s="169" t="s">
        <v>1458</v>
      </c>
      <c r="D1777" s="169" t="str">
        <f>"0788070732709"</f>
        <v>0788070732709</v>
      </c>
      <c r="E1777" s="169" t="str">
        <f>"1650302269777"</f>
        <v>1650302269777</v>
      </c>
      <c r="F1777" s="169" t="s">
        <v>18811</v>
      </c>
      <c r="G1777" s="169">
        <v>68.0</v>
      </c>
      <c r="H1777" s="169">
        <v>66744.9</v>
      </c>
      <c r="I1777" s="169">
        <v>4538656.0</v>
      </c>
      <c r="J1777" s="169">
        <v>0.0</v>
      </c>
      <c r="K1777" s="169">
        <v>68.0</v>
      </c>
      <c r="L1777" s="169">
        <v>0.0</v>
      </c>
    </row>
    <row r="1778" ht="14.25" customHeight="1">
      <c r="A1778" s="169" t="s">
        <v>15561</v>
      </c>
      <c r="B1778" s="169" t="s">
        <v>15561</v>
      </c>
      <c r="C1778" s="169" t="s">
        <v>17835</v>
      </c>
      <c r="D1778" s="169" t="str">
        <f>"764451438743"</f>
        <v>764451438743</v>
      </c>
      <c r="E1778" s="169" t="str">
        <f>"BMZ-1200"</f>
        <v>BMZ-1200</v>
      </c>
      <c r="F1778" s="169" t="s">
        <v>18811</v>
      </c>
      <c r="G1778" s="169">
        <v>4.0</v>
      </c>
      <c r="H1778" s="169">
        <v>15121.0</v>
      </c>
      <c r="I1778" s="169">
        <v>60484.0</v>
      </c>
      <c r="J1778" s="169">
        <v>0.0</v>
      </c>
      <c r="K1778" s="169">
        <v>4.0</v>
      </c>
      <c r="L1778" s="169">
        <v>0.0</v>
      </c>
    </row>
    <row r="1779" ht="14.25" customHeight="1">
      <c r="A1779" s="169" t="s">
        <v>15561</v>
      </c>
      <c r="B1779" s="169" t="s">
        <v>15561</v>
      </c>
      <c r="C1779" s="169" t="s">
        <v>17834</v>
      </c>
      <c r="D1779" s="169" t="str">
        <f>"764451438521"</f>
        <v>764451438521</v>
      </c>
      <c r="E1779" s="169" t="str">
        <f>"BTZYS750"</f>
        <v>BTZYS750</v>
      </c>
      <c r="F1779" s="169" t="s">
        <v>18811</v>
      </c>
      <c r="G1779" s="169">
        <v>6.0</v>
      </c>
      <c r="H1779" s="169">
        <v>12600.0</v>
      </c>
      <c r="I1779" s="169">
        <v>75600.0</v>
      </c>
      <c r="J1779" s="169">
        <v>0.0</v>
      </c>
      <c r="K1779" s="169">
        <v>6.0</v>
      </c>
      <c r="L1779" s="169">
        <v>0.0</v>
      </c>
    </row>
    <row r="1780" ht="14.25" customHeight="1">
      <c r="A1780" s="169" t="s">
        <v>15561</v>
      </c>
      <c r="B1780" s="169" t="s">
        <v>15561</v>
      </c>
      <c r="C1780" s="169" t="s">
        <v>17833</v>
      </c>
      <c r="D1780" s="169" t="str">
        <f>"764451438545"</f>
        <v>764451438545</v>
      </c>
      <c r="E1780" s="169" t="str">
        <f>"BTZBO752"</f>
        <v>BTZBO752</v>
      </c>
      <c r="F1780" s="169" t="s">
        <v>18811</v>
      </c>
      <c r="G1780" s="169">
        <v>21.0</v>
      </c>
      <c r="H1780" s="169">
        <v>12600.0</v>
      </c>
      <c r="I1780" s="169">
        <v>264600.0</v>
      </c>
      <c r="J1780" s="169">
        <v>0.0</v>
      </c>
      <c r="K1780" s="169">
        <v>21.0</v>
      </c>
      <c r="L1780" s="169">
        <v>0.0</v>
      </c>
    </row>
    <row r="1781" ht="14.25" customHeight="1">
      <c r="A1781" s="169" t="s">
        <v>15561</v>
      </c>
      <c r="B1781" s="169" t="s">
        <v>15561</v>
      </c>
      <c r="C1781" s="169" t="s">
        <v>17832</v>
      </c>
      <c r="D1781" s="169" t="str">
        <f>"764451438484"</f>
        <v>764451438484</v>
      </c>
      <c r="E1781" s="169" t="str">
        <f>"BTZWP750"</f>
        <v>BTZWP750</v>
      </c>
      <c r="F1781" s="169" t="s">
        <v>18811</v>
      </c>
      <c r="G1781" s="169">
        <v>21.0</v>
      </c>
      <c r="H1781" s="169">
        <v>12600.0</v>
      </c>
      <c r="I1781" s="169">
        <v>264600.0</v>
      </c>
      <c r="J1781" s="169">
        <v>0.0</v>
      </c>
      <c r="K1781" s="169">
        <v>21.0</v>
      </c>
      <c r="L1781" s="169">
        <v>0.0</v>
      </c>
    </row>
    <row r="1782" ht="14.25" customHeight="1">
      <c r="A1782" s="169" t="s">
        <v>15561</v>
      </c>
      <c r="B1782" s="169" t="s">
        <v>15561</v>
      </c>
      <c r="C1782" s="169" t="s">
        <v>17831</v>
      </c>
      <c r="D1782" s="169" t="str">
        <f>"764451438552"</f>
        <v>764451438552</v>
      </c>
      <c r="E1782" s="169" t="str">
        <f>"BTZCL750"</f>
        <v>BTZCL750</v>
      </c>
      <c r="F1782" s="169" t="s">
        <v>18811</v>
      </c>
      <c r="G1782" s="169">
        <v>19.0</v>
      </c>
      <c r="H1782" s="169">
        <v>12600.0</v>
      </c>
      <c r="I1782" s="169">
        <v>239400.0</v>
      </c>
      <c r="J1782" s="169">
        <v>0.0</v>
      </c>
      <c r="K1782" s="169">
        <v>19.0</v>
      </c>
      <c r="L1782" s="169">
        <v>0.0</v>
      </c>
    </row>
    <row r="1783" ht="14.25" customHeight="1">
      <c r="A1783" s="169" t="s">
        <v>15561</v>
      </c>
      <c r="B1783" s="169" t="s">
        <v>15561</v>
      </c>
      <c r="C1783" s="169" t="s">
        <v>17830</v>
      </c>
      <c r="D1783" s="169" t="str">
        <f>"764451438514"</f>
        <v>764451438514</v>
      </c>
      <c r="E1783" s="169" t="str">
        <f>"BTZGO750"</f>
        <v>BTZGO750</v>
      </c>
      <c r="F1783" s="169" t="s">
        <v>18811</v>
      </c>
      <c r="G1783" s="169">
        <v>18.0</v>
      </c>
      <c r="H1783" s="169">
        <v>12600.0</v>
      </c>
      <c r="I1783" s="169">
        <v>226800.0</v>
      </c>
      <c r="J1783" s="169">
        <v>0.0</v>
      </c>
      <c r="K1783" s="169">
        <v>18.0</v>
      </c>
      <c r="L1783" s="169">
        <v>0.0</v>
      </c>
    </row>
    <row r="1784" ht="14.25" customHeight="1">
      <c r="A1784" s="169" t="s">
        <v>15561</v>
      </c>
      <c r="B1784" s="169" t="s">
        <v>15561</v>
      </c>
      <c r="C1784" s="169" t="s">
        <v>17829</v>
      </c>
      <c r="D1784" s="169" t="str">
        <f>"764451438538"</f>
        <v>764451438538</v>
      </c>
      <c r="E1784" s="169" t="str">
        <f>"BTZGM750"</f>
        <v>BTZGM750</v>
      </c>
      <c r="F1784" s="169" t="s">
        <v>18811</v>
      </c>
      <c r="G1784" s="169">
        <v>23.0</v>
      </c>
      <c r="H1784" s="169">
        <v>12600.0</v>
      </c>
      <c r="I1784" s="169">
        <v>289800.0</v>
      </c>
      <c r="J1784" s="169">
        <v>0.0</v>
      </c>
      <c r="K1784" s="169">
        <v>23.0</v>
      </c>
      <c r="L1784" s="169">
        <v>0.0</v>
      </c>
    </row>
    <row r="1785" ht="14.25" customHeight="1">
      <c r="A1785" s="169" t="s">
        <v>15561</v>
      </c>
      <c r="B1785" s="169" t="s">
        <v>15561</v>
      </c>
      <c r="C1785" s="169" t="s">
        <v>17828</v>
      </c>
      <c r="D1785" s="169" t="str">
        <f>"69522173221800"</f>
        <v>69522173221800</v>
      </c>
      <c r="E1785" s="169" t="str">
        <f>"BTZBB750"</f>
        <v>BTZBB750</v>
      </c>
      <c r="F1785" s="169" t="s">
        <v>18811</v>
      </c>
      <c r="G1785" s="169">
        <v>13.0</v>
      </c>
      <c r="H1785" s="169">
        <v>12600.0</v>
      </c>
      <c r="I1785" s="169">
        <v>163800.0</v>
      </c>
      <c r="J1785" s="169">
        <v>0.0</v>
      </c>
      <c r="K1785" s="169">
        <v>13.0</v>
      </c>
      <c r="L1785" s="169">
        <v>0.0</v>
      </c>
    </row>
    <row r="1786" ht="14.25" customHeight="1">
      <c r="A1786" s="169" t="s">
        <v>15561</v>
      </c>
      <c r="B1786" s="169" t="s">
        <v>15561</v>
      </c>
      <c r="C1786" s="169" t="s">
        <v>17827</v>
      </c>
      <c r="D1786" s="169" t="str">
        <f>"764451438569"</f>
        <v>764451438569</v>
      </c>
      <c r="E1786" s="169" t="str">
        <f>"BTZPR750"</f>
        <v>BTZPR750</v>
      </c>
      <c r="F1786" s="169" t="s">
        <v>18811</v>
      </c>
      <c r="G1786" s="169">
        <v>21.0</v>
      </c>
      <c r="H1786" s="169">
        <v>12600.0</v>
      </c>
      <c r="I1786" s="169">
        <v>264600.0</v>
      </c>
      <c r="J1786" s="169">
        <v>0.0</v>
      </c>
      <c r="K1786" s="169">
        <v>21.0</v>
      </c>
      <c r="L1786" s="169">
        <v>0.0</v>
      </c>
    </row>
    <row r="1787" ht="14.25" customHeight="1">
      <c r="A1787" s="169" t="s">
        <v>15561</v>
      </c>
      <c r="B1787" s="169" t="s">
        <v>15561</v>
      </c>
      <c r="C1787" s="169" t="s">
        <v>17826</v>
      </c>
      <c r="D1787" s="169" t="str">
        <f>"69522175273057"</f>
        <v>69522175273057</v>
      </c>
      <c r="E1787" s="169" t="str">
        <f>"BTZGF750"</f>
        <v>BTZGF750</v>
      </c>
      <c r="F1787" s="169" t="s">
        <v>18811</v>
      </c>
      <c r="G1787" s="169">
        <v>16.0</v>
      </c>
      <c r="H1787" s="169">
        <v>12600.0</v>
      </c>
      <c r="I1787" s="169">
        <v>201600.0</v>
      </c>
      <c r="J1787" s="169">
        <v>0.0</v>
      </c>
      <c r="K1787" s="169">
        <v>16.0</v>
      </c>
      <c r="L1787" s="169">
        <v>0.0</v>
      </c>
    </row>
    <row r="1788" ht="14.25" customHeight="1">
      <c r="A1788" s="169" t="s">
        <v>15561</v>
      </c>
      <c r="B1788" s="169" t="s">
        <v>15561</v>
      </c>
      <c r="C1788" s="169" t="s">
        <v>17825</v>
      </c>
      <c r="D1788" s="169" t="str">
        <f>"764451438620"</f>
        <v>764451438620</v>
      </c>
      <c r="E1788" s="169" t="str">
        <f>"HBZ-963"</f>
        <v>HBZ-963</v>
      </c>
      <c r="F1788" s="169" t="s">
        <v>18811</v>
      </c>
      <c r="G1788" s="169">
        <v>9.0</v>
      </c>
      <c r="H1788" s="169">
        <v>15121.0</v>
      </c>
      <c r="I1788" s="169">
        <v>136089.0</v>
      </c>
      <c r="J1788" s="169">
        <v>0.0</v>
      </c>
      <c r="K1788" s="169">
        <v>9.0</v>
      </c>
      <c r="L1788" s="169">
        <v>0.0</v>
      </c>
    </row>
    <row r="1789" ht="14.25" customHeight="1">
      <c r="A1789" s="169" t="s">
        <v>15561</v>
      </c>
      <c r="B1789" s="169" t="s">
        <v>15561</v>
      </c>
      <c r="C1789" s="169" t="s">
        <v>17824</v>
      </c>
      <c r="D1789" s="169" t="str">
        <f>"764451438583"</f>
        <v>764451438583</v>
      </c>
      <c r="E1789" s="169" t="str">
        <f>"HBZ-961"</f>
        <v>HBZ-961</v>
      </c>
      <c r="F1789" s="169" t="s">
        <v>18811</v>
      </c>
      <c r="G1789" s="169">
        <v>9.0</v>
      </c>
      <c r="H1789" s="169">
        <v>15121.0</v>
      </c>
      <c r="I1789" s="169">
        <v>136089.0</v>
      </c>
      <c r="J1789" s="169">
        <v>0.0</v>
      </c>
      <c r="K1789" s="169">
        <v>9.0</v>
      </c>
      <c r="L1789" s="169">
        <v>0.0</v>
      </c>
    </row>
    <row r="1790" ht="14.25" customHeight="1">
      <c r="A1790" s="169" t="s">
        <v>15561</v>
      </c>
      <c r="B1790" s="169" t="s">
        <v>15561</v>
      </c>
      <c r="C1790" s="169" t="s">
        <v>17823</v>
      </c>
      <c r="D1790" s="169" t="str">
        <f>"764451438590"</f>
        <v>764451438590</v>
      </c>
      <c r="E1790" s="169" t="str">
        <f>"HBZ-960"</f>
        <v>HBZ-960</v>
      </c>
      <c r="F1790" s="169" t="s">
        <v>18811</v>
      </c>
      <c r="G1790" s="169">
        <v>5.0</v>
      </c>
      <c r="H1790" s="169">
        <v>15121.0</v>
      </c>
      <c r="I1790" s="169">
        <v>75605.0</v>
      </c>
      <c r="J1790" s="169">
        <v>0.0</v>
      </c>
      <c r="K1790" s="169">
        <v>5.0</v>
      </c>
      <c r="L1790" s="169">
        <v>0.0</v>
      </c>
    </row>
    <row r="1791" ht="14.25" customHeight="1">
      <c r="A1791" s="169" t="s">
        <v>15561</v>
      </c>
      <c r="B1791" s="169" t="s">
        <v>15561</v>
      </c>
      <c r="C1791" s="169" t="s">
        <v>17822</v>
      </c>
      <c r="D1791" s="169" t="str">
        <f>"764451438637"</f>
        <v>764451438637</v>
      </c>
      <c r="E1791" s="169" t="str">
        <f>"HBZ-962"</f>
        <v>HBZ-962</v>
      </c>
      <c r="F1791" s="169" t="s">
        <v>18811</v>
      </c>
      <c r="G1791" s="169">
        <v>7.0</v>
      </c>
      <c r="H1791" s="169">
        <v>15121.0</v>
      </c>
      <c r="I1791" s="169">
        <v>105847.0</v>
      </c>
      <c r="J1791" s="169">
        <v>0.0</v>
      </c>
      <c r="K1791" s="169">
        <v>7.0</v>
      </c>
      <c r="L1791" s="169">
        <v>0.0</v>
      </c>
    </row>
    <row r="1792" ht="14.25" customHeight="1">
      <c r="A1792" s="169" t="s">
        <v>15561</v>
      </c>
      <c r="B1792" s="169" t="s">
        <v>15561</v>
      </c>
      <c r="C1792" s="169" t="s">
        <v>17821</v>
      </c>
      <c r="D1792" s="169" t="str">
        <f>"764451438354"</f>
        <v>764451438354</v>
      </c>
      <c r="E1792" s="169" t="str">
        <f>"CIBB502"</f>
        <v>CIBB502</v>
      </c>
      <c r="F1792" s="169" t="s">
        <v>18811</v>
      </c>
      <c r="G1792" s="169">
        <v>10.0</v>
      </c>
      <c r="H1792" s="169">
        <v>9071.0</v>
      </c>
      <c r="I1792" s="169">
        <v>90710.0</v>
      </c>
      <c r="J1792" s="169">
        <v>0.0</v>
      </c>
      <c r="K1792" s="169">
        <v>10.0</v>
      </c>
      <c r="L1792" s="169">
        <v>0.0</v>
      </c>
    </row>
    <row r="1793" ht="14.25" customHeight="1">
      <c r="A1793" s="169" t="s">
        <v>15561</v>
      </c>
      <c r="B1793" s="169" t="s">
        <v>15561</v>
      </c>
      <c r="C1793" s="169" t="s">
        <v>17820</v>
      </c>
      <c r="D1793" s="169" t="str">
        <f>"764451438361"</f>
        <v>764451438361</v>
      </c>
      <c r="E1793" s="169" t="str">
        <f>"CIBB503"</f>
        <v>CIBB503</v>
      </c>
      <c r="F1793" s="169" t="s">
        <v>18811</v>
      </c>
      <c r="G1793" s="169">
        <v>9.0</v>
      </c>
      <c r="H1793" s="169">
        <v>9071.0</v>
      </c>
      <c r="I1793" s="169">
        <v>81639.0</v>
      </c>
      <c r="J1793" s="169">
        <v>0.0</v>
      </c>
      <c r="K1793" s="169">
        <v>9.0</v>
      </c>
      <c r="L1793" s="169">
        <v>0.0</v>
      </c>
    </row>
    <row r="1794" ht="14.25" customHeight="1">
      <c r="A1794" s="169" t="s">
        <v>15561</v>
      </c>
      <c r="B1794" s="169" t="s">
        <v>15561</v>
      </c>
      <c r="C1794" s="169" t="s">
        <v>17819</v>
      </c>
      <c r="D1794" s="169" t="str">
        <f>"764451438347"</f>
        <v>764451438347</v>
      </c>
      <c r="E1794" s="169" t="str">
        <f>"CIBB501"</f>
        <v>CIBB501</v>
      </c>
      <c r="F1794" s="169" t="s">
        <v>18811</v>
      </c>
      <c r="G1794" s="169">
        <v>10.0</v>
      </c>
      <c r="H1794" s="169">
        <v>9071.0</v>
      </c>
      <c r="I1794" s="169">
        <v>90710.0</v>
      </c>
      <c r="J1794" s="169">
        <v>0.0</v>
      </c>
      <c r="K1794" s="169">
        <v>10.0</v>
      </c>
      <c r="L1794" s="169">
        <v>0.0</v>
      </c>
    </row>
    <row r="1795" ht="14.25" customHeight="1">
      <c r="A1795" s="169" t="s">
        <v>15561</v>
      </c>
      <c r="B1795" s="169" t="s">
        <v>15561</v>
      </c>
      <c r="C1795" s="169" t="s">
        <v>17818</v>
      </c>
      <c r="D1795" s="169" t="str">
        <f>"764451438286"</f>
        <v>764451438286</v>
      </c>
      <c r="E1795" s="169" t="str">
        <f>"MCZ-196"</f>
        <v>MCZ-196</v>
      </c>
      <c r="F1795" s="169" t="s">
        <v>18811</v>
      </c>
      <c r="G1795" s="169">
        <v>9.0</v>
      </c>
      <c r="H1795" s="169">
        <v>7558.0</v>
      </c>
      <c r="I1795" s="169">
        <v>68022.0</v>
      </c>
      <c r="J1795" s="169">
        <v>0.0</v>
      </c>
      <c r="K1795" s="169">
        <v>9.0</v>
      </c>
      <c r="L1795" s="169">
        <v>0.0</v>
      </c>
    </row>
    <row r="1796" ht="14.25" customHeight="1">
      <c r="A1796" s="169" t="s">
        <v>15561</v>
      </c>
      <c r="B1796" s="169" t="s">
        <v>15561</v>
      </c>
      <c r="C1796" s="169" t="s">
        <v>17817</v>
      </c>
      <c r="D1796" s="169" t="str">
        <f>"764451438705"</f>
        <v>764451438705</v>
      </c>
      <c r="E1796" s="169" t="str">
        <f>"TMZBB590"</f>
        <v>TMZBB590</v>
      </c>
      <c r="F1796" s="169" t="s">
        <v>18811</v>
      </c>
      <c r="G1796" s="169">
        <v>11.0</v>
      </c>
      <c r="H1796" s="169">
        <v>11087.0</v>
      </c>
      <c r="I1796" s="169">
        <v>121957.0</v>
      </c>
      <c r="J1796" s="169">
        <v>0.0</v>
      </c>
      <c r="K1796" s="169">
        <v>11.0</v>
      </c>
      <c r="L1796" s="169">
        <v>0.0</v>
      </c>
    </row>
    <row r="1797" ht="14.25" customHeight="1">
      <c r="A1797" s="169" t="s">
        <v>15561</v>
      </c>
      <c r="B1797" s="169" t="s">
        <v>15561</v>
      </c>
      <c r="C1797" s="169" t="s">
        <v>17816</v>
      </c>
      <c r="D1797" s="169" t="str">
        <f>"764451438712"</f>
        <v>764451438712</v>
      </c>
      <c r="E1797" s="169" t="str">
        <f>"TMZCL590"</f>
        <v>TMZCL590</v>
      </c>
      <c r="F1797" s="169" t="s">
        <v>18811</v>
      </c>
      <c r="G1797" s="169">
        <v>12.0</v>
      </c>
      <c r="H1797" s="169">
        <v>11087.0</v>
      </c>
      <c r="I1797" s="169">
        <v>133044.0</v>
      </c>
      <c r="J1797" s="169">
        <v>0.0</v>
      </c>
      <c r="K1797" s="169">
        <v>12.0</v>
      </c>
      <c r="L1797" s="169">
        <v>0.0</v>
      </c>
    </row>
    <row r="1798" ht="14.25" customHeight="1">
      <c r="A1798" s="169" t="s">
        <v>15561</v>
      </c>
      <c r="B1798" s="169" t="s">
        <v>15561</v>
      </c>
      <c r="C1798" s="169" t="s">
        <v>17815</v>
      </c>
      <c r="D1798" s="169" t="str">
        <f>"764451438729"</f>
        <v>764451438729</v>
      </c>
      <c r="E1798" s="169" t="str">
        <f>"TMZGO590"</f>
        <v>TMZGO590</v>
      </c>
      <c r="F1798" s="169" t="s">
        <v>18811</v>
      </c>
      <c r="G1798" s="169">
        <v>11.0</v>
      </c>
      <c r="H1798" s="169">
        <v>11087.0</v>
      </c>
      <c r="I1798" s="169">
        <v>121957.0</v>
      </c>
      <c r="J1798" s="169">
        <v>0.0</v>
      </c>
      <c r="K1798" s="169">
        <v>11.0</v>
      </c>
      <c r="L1798" s="169">
        <v>0.0</v>
      </c>
    </row>
    <row r="1799" ht="14.25" customHeight="1">
      <c r="A1799" s="169" t="s">
        <v>15561</v>
      </c>
      <c r="B1799" s="169" t="s">
        <v>15561</v>
      </c>
      <c r="C1799" s="169" t="s">
        <v>17814</v>
      </c>
      <c r="D1799" s="169" t="str">
        <f>"764451438675"</f>
        <v>764451438675</v>
      </c>
      <c r="E1799" s="169" t="str">
        <f>"CMZ-351"</f>
        <v>CMZ-351</v>
      </c>
      <c r="F1799" s="169" t="s">
        <v>18811</v>
      </c>
      <c r="G1799" s="169">
        <v>13.0</v>
      </c>
      <c r="H1799" s="169">
        <v>8566.0</v>
      </c>
      <c r="I1799" s="169">
        <v>111358.0</v>
      </c>
      <c r="J1799" s="169">
        <v>0.0</v>
      </c>
      <c r="K1799" s="169">
        <v>13.0</v>
      </c>
      <c r="L1799" s="169">
        <v>0.0</v>
      </c>
    </row>
    <row r="1800" ht="14.25" customHeight="1">
      <c r="A1800" s="169" t="s">
        <v>15561</v>
      </c>
      <c r="B1800" s="169" t="s">
        <v>15561</v>
      </c>
      <c r="C1800" s="169" t="s">
        <v>17813</v>
      </c>
      <c r="D1800" s="169" t="str">
        <f>"764451438699"</f>
        <v>764451438699</v>
      </c>
      <c r="E1800" s="169" t="str">
        <f>"CMZ-353"</f>
        <v>CMZ-353</v>
      </c>
      <c r="F1800" s="169" t="s">
        <v>18811</v>
      </c>
      <c r="G1800" s="169">
        <v>12.0</v>
      </c>
      <c r="H1800" s="169">
        <v>8566.0</v>
      </c>
      <c r="I1800" s="169">
        <v>102792.0</v>
      </c>
      <c r="J1800" s="169">
        <v>0.0</v>
      </c>
      <c r="K1800" s="169">
        <v>12.0</v>
      </c>
      <c r="L1800" s="169">
        <v>0.0</v>
      </c>
    </row>
    <row r="1801" ht="14.25" customHeight="1">
      <c r="A1801" s="169" t="s">
        <v>15561</v>
      </c>
      <c r="B1801" s="169" t="s">
        <v>15561</v>
      </c>
      <c r="C1801" s="169" t="s">
        <v>17812</v>
      </c>
      <c r="D1801" s="169" t="str">
        <f>"764451438668"</f>
        <v>764451438668</v>
      </c>
      <c r="E1801" s="169" t="str">
        <f>"CMZ-350"</f>
        <v>CMZ-350</v>
      </c>
      <c r="F1801" s="169" t="s">
        <v>18811</v>
      </c>
      <c r="G1801" s="169">
        <v>11.0</v>
      </c>
      <c r="H1801" s="169">
        <v>8566.0</v>
      </c>
      <c r="I1801" s="169">
        <v>94226.0</v>
      </c>
      <c r="J1801" s="169">
        <v>0.0</v>
      </c>
      <c r="K1801" s="169">
        <v>11.0</v>
      </c>
      <c r="L1801" s="169">
        <v>0.0</v>
      </c>
    </row>
    <row r="1802" ht="14.25" customHeight="1">
      <c r="A1802" s="169" t="s">
        <v>15561</v>
      </c>
      <c r="B1802" s="169" t="s">
        <v>15561</v>
      </c>
      <c r="C1802" s="169" t="s">
        <v>17811</v>
      </c>
      <c r="D1802" s="169" t="str">
        <f>"764451438682"</f>
        <v>764451438682</v>
      </c>
      <c r="E1802" s="169" t="str">
        <f>"CMZ-352"</f>
        <v>CMZ-352</v>
      </c>
      <c r="F1802" s="169" t="s">
        <v>18811</v>
      </c>
      <c r="G1802" s="169">
        <v>13.0</v>
      </c>
      <c r="H1802" s="169">
        <v>8566.0</v>
      </c>
      <c r="I1802" s="169">
        <v>111358.0</v>
      </c>
      <c r="J1802" s="169">
        <v>0.0</v>
      </c>
      <c r="K1802" s="169">
        <v>13.0</v>
      </c>
      <c r="L1802" s="169">
        <v>0.0</v>
      </c>
    </row>
    <row r="1803" ht="14.25" customHeight="1">
      <c r="A1803" s="169" t="s">
        <v>15561</v>
      </c>
      <c r="B1803" s="169" t="s">
        <v>15561</v>
      </c>
      <c r="C1803" s="169" t="s">
        <v>17810</v>
      </c>
      <c r="D1803" s="169" t="str">
        <f>"764451438316"</f>
        <v>764451438316</v>
      </c>
      <c r="E1803" s="169" t="str">
        <f>"CTZ-961"</f>
        <v>CTZ-961</v>
      </c>
      <c r="F1803" s="169" t="s">
        <v>18811</v>
      </c>
      <c r="G1803" s="169">
        <v>10.0</v>
      </c>
      <c r="H1803" s="169">
        <v>16129.0</v>
      </c>
      <c r="I1803" s="169">
        <v>161290.0</v>
      </c>
      <c r="J1803" s="169">
        <v>0.0</v>
      </c>
      <c r="K1803" s="169">
        <v>10.0</v>
      </c>
      <c r="L1803" s="169">
        <v>0.0</v>
      </c>
    </row>
    <row r="1804" ht="14.25" customHeight="1">
      <c r="A1804" s="169" t="s">
        <v>15561</v>
      </c>
      <c r="B1804" s="169" t="s">
        <v>15561</v>
      </c>
      <c r="C1804" s="169" t="s">
        <v>17809</v>
      </c>
      <c r="D1804" s="169" t="str">
        <f>"764451438323"</f>
        <v>764451438323</v>
      </c>
      <c r="E1804" s="169" t="str">
        <f>"CTZ-960"</f>
        <v>CTZ-960</v>
      </c>
      <c r="F1804" s="169" t="s">
        <v>18811</v>
      </c>
      <c r="G1804" s="169">
        <v>10.0</v>
      </c>
      <c r="H1804" s="169">
        <v>16129.0</v>
      </c>
      <c r="I1804" s="169">
        <v>161290.0</v>
      </c>
      <c r="J1804" s="169">
        <v>0.0</v>
      </c>
      <c r="K1804" s="169">
        <v>10.0</v>
      </c>
      <c r="L1804" s="169">
        <v>0.0</v>
      </c>
    </row>
    <row r="1805" ht="14.25" customHeight="1">
      <c r="A1805" s="169" t="s">
        <v>18416</v>
      </c>
      <c r="B1805" s="169" t="s">
        <v>18416</v>
      </c>
      <c r="C1805" s="169" t="s">
        <v>11223</v>
      </c>
      <c r="D1805" s="169" t="str">
        <f t="shared" ref="D1805:E1805" si="1143">"68617959527128"</f>
        <v>68617959527128</v>
      </c>
      <c r="E1805" s="169" t="str">
        <f t="shared" si="1143"/>
        <v>68617959527128</v>
      </c>
      <c r="F1805" s="169" t="s">
        <v>18819</v>
      </c>
      <c r="G1805" s="169">
        <v>20.0</v>
      </c>
      <c r="H1805" s="169">
        <v>12471.0</v>
      </c>
      <c r="I1805" s="169">
        <v>249420.0</v>
      </c>
      <c r="J1805" s="169">
        <v>0.0</v>
      </c>
      <c r="K1805" s="169">
        <v>20.0</v>
      </c>
      <c r="L1805" s="169">
        <v>0.0</v>
      </c>
    </row>
    <row r="1806" ht="14.25" customHeight="1">
      <c r="A1806" s="169" t="s">
        <v>18416</v>
      </c>
      <c r="B1806" s="169" t="s">
        <v>18416</v>
      </c>
      <c r="C1806" s="169" t="s">
        <v>18428</v>
      </c>
      <c r="D1806" s="169" t="str">
        <f t="shared" ref="D1806:E1806" si="1144">"68433283717553"</f>
        <v>68433283717553</v>
      </c>
      <c r="E1806" s="169" t="str">
        <f t="shared" si="1144"/>
        <v>68433283717553</v>
      </c>
      <c r="F1806" s="169" t="s">
        <v>18819</v>
      </c>
      <c r="G1806" s="169">
        <v>18.0</v>
      </c>
      <c r="H1806" s="169">
        <v>13014.6</v>
      </c>
      <c r="I1806" s="169">
        <v>234262.0</v>
      </c>
      <c r="J1806" s="169">
        <v>0.0</v>
      </c>
      <c r="K1806" s="169">
        <v>18.0</v>
      </c>
      <c r="L1806" s="169">
        <v>0.0</v>
      </c>
    </row>
    <row r="1807" ht="14.25" customHeight="1">
      <c r="A1807" s="169" t="s">
        <v>18416</v>
      </c>
      <c r="B1807" s="169" t="s">
        <v>18416</v>
      </c>
      <c r="C1807" s="169" t="s">
        <v>18426</v>
      </c>
      <c r="D1807" s="169" t="str">
        <f t="shared" ref="D1807:E1807" si="1145">"68433285199445"</f>
        <v>68433285199445</v>
      </c>
      <c r="E1807" s="169" t="str">
        <f t="shared" si="1145"/>
        <v>68433285199445</v>
      </c>
      <c r="F1807" s="169" t="s">
        <v>18819</v>
      </c>
      <c r="G1807" s="169">
        <v>19.0</v>
      </c>
      <c r="H1807" s="169">
        <v>12862.3</v>
      </c>
      <c r="I1807" s="169">
        <v>244383.0</v>
      </c>
      <c r="J1807" s="169">
        <v>0.0</v>
      </c>
      <c r="K1807" s="169">
        <v>19.0</v>
      </c>
      <c r="L1807" s="169">
        <v>0.0</v>
      </c>
    </row>
    <row r="1808" ht="14.25" customHeight="1">
      <c r="A1808" s="169" t="s">
        <v>18416</v>
      </c>
      <c r="B1808" s="169" t="s">
        <v>18416</v>
      </c>
      <c r="C1808" s="169" t="s">
        <v>11238</v>
      </c>
      <c r="D1808" s="169" t="str">
        <f t="shared" ref="D1808:E1808" si="1146">"68433281942863"</f>
        <v>68433281942863</v>
      </c>
      <c r="E1808" s="169" t="str">
        <f t="shared" si="1146"/>
        <v>68433281942863</v>
      </c>
      <c r="F1808" s="169" t="s">
        <v>18819</v>
      </c>
      <c r="G1808" s="169">
        <v>18.0</v>
      </c>
      <c r="H1808" s="169">
        <v>13014.6</v>
      </c>
      <c r="I1808" s="169">
        <v>234262.0</v>
      </c>
      <c r="J1808" s="169">
        <v>0.0</v>
      </c>
      <c r="K1808" s="169">
        <v>18.0</v>
      </c>
      <c r="L1808" s="169">
        <v>0.0</v>
      </c>
    </row>
    <row r="1809" ht="14.25" customHeight="1">
      <c r="A1809" s="169" t="s">
        <v>18416</v>
      </c>
      <c r="B1809" s="169" t="s">
        <v>18416</v>
      </c>
      <c r="C1809" s="169" t="s">
        <v>18423</v>
      </c>
      <c r="D1809" s="169" t="str">
        <f t="shared" ref="D1809:E1809" si="1147">"68433275901113"</f>
        <v>68433275901113</v>
      </c>
      <c r="E1809" s="169" t="str">
        <f t="shared" si="1147"/>
        <v>68433275901113</v>
      </c>
      <c r="F1809" s="169" t="s">
        <v>18819</v>
      </c>
      <c r="G1809" s="169">
        <v>9.0</v>
      </c>
      <c r="H1809" s="169">
        <v>340.0</v>
      </c>
      <c r="I1809" s="169">
        <v>3060.0</v>
      </c>
      <c r="J1809" s="169">
        <v>0.0</v>
      </c>
      <c r="K1809" s="169">
        <v>9.0</v>
      </c>
      <c r="L1809" s="169">
        <v>0.0</v>
      </c>
    </row>
    <row r="1810" ht="14.25" customHeight="1">
      <c r="A1810" s="169" t="s">
        <v>18416</v>
      </c>
      <c r="B1810" s="169" t="s">
        <v>18416</v>
      </c>
      <c r="C1810" s="169" t="s">
        <v>18421</v>
      </c>
      <c r="D1810" s="169" t="str">
        <f t="shared" ref="D1810:E1810" si="1148">"68433278516107"</f>
        <v>68433278516107</v>
      </c>
      <c r="E1810" s="169" t="str">
        <f t="shared" si="1148"/>
        <v>68433278516107</v>
      </c>
      <c r="F1810" s="169" t="s">
        <v>18819</v>
      </c>
      <c r="G1810" s="169">
        <v>9.0</v>
      </c>
      <c r="H1810" s="169">
        <v>340.0</v>
      </c>
      <c r="I1810" s="169">
        <v>3060.0</v>
      </c>
      <c r="J1810" s="169">
        <v>0.0</v>
      </c>
      <c r="K1810" s="169">
        <v>9.0</v>
      </c>
      <c r="L1810" s="169">
        <v>0.0</v>
      </c>
    </row>
    <row r="1811" ht="14.25" customHeight="1">
      <c r="A1811" s="169" t="s">
        <v>18416</v>
      </c>
      <c r="B1811" s="169" t="s">
        <v>18416</v>
      </c>
      <c r="C1811" s="169" t="s">
        <v>18419</v>
      </c>
      <c r="D1811" s="169" t="str">
        <f t="shared" ref="D1811:E1811" si="1149">"68433276883711"</f>
        <v>68433276883711</v>
      </c>
      <c r="E1811" s="169" t="str">
        <f t="shared" si="1149"/>
        <v>68433276883711</v>
      </c>
      <c r="F1811" s="169" t="s">
        <v>18819</v>
      </c>
      <c r="G1811" s="169">
        <v>9.0</v>
      </c>
      <c r="H1811" s="169">
        <v>340.0</v>
      </c>
      <c r="I1811" s="169">
        <v>3060.0</v>
      </c>
      <c r="J1811" s="169">
        <v>0.0</v>
      </c>
      <c r="K1811" s="169">
        <v>9.0</v>
      </c>
      <c r="L1811" s="169">
        <v>0.0</v>
      </c>
    </row>
    <row r="1812" ht="14.25" customHeight="1">
      <c r="A1812" s="169" t="s">
        <v>18416</v>
      </c>
      <c r="B1812" s="169" t="s">
        <v>18416</v>
      </c>
      <c r="C1812" s="169" t="s">
        <v>18417</v>
      </c>
      <c r="D1812" s="169" t="str">
        <f t="shared" ref="D1812:E1812" si="1150">"68433280161720"</f>
        <v>68433280161720</v>
      </c>
      <c r="E1812" s="169" t="str">
        <f t="shared" si="1150"/>
        <v>68433280161720</v>
      </c>
      <c r="F1812" s="169" t="s">
        <v>18819</v>
      </c>
      <c r="G1812" s="169">
        <v>9.0</v>
      </c>
      <c r="H1812" s="169">
        <v>340.0</v>
      </c>
      <c r="I1812" s="169">
        <v>3060.0</v>
      </c>
      <c r="J1812" s="169">
        <v>0.0</v>
      </c>
      <c r="K1812" s="169">
        <v>9.0</v>
      </c>
      <c r="L1812" s="169">
        <v>0.0</v>
      </c>
    </row>
    <row r="1813" ht="14.25" customHeight="1">
      <c r="A1813" s="169" t="s">
        <v>18558</v>
      </c>
      <c r="B1813" s="169" t="s">
        <v>18192</v>
      </c>
      <c r="C1813" s="169" t="s">
        <v>18219</v>
      </c>
      <c r="D1813" s="169" t="str">
        <f t="shared" ref="D1813:E1813" si="1151">"69653484984761"</f>
        <v>69653484984761</v>
      </c>
      <c r="E1813" s="169" t="str">
        <f t="shared" si="1151"/>
        <v>69653484984761</v>
      </c>
      <c r="F1813" s="169" t="s">
        <v>18819</v>
      </c>
      <c r="G1813" s="169">
        <v>120.0</v>
      </c>
      <c r="H1813" s="169">
        <v>335.0</v>
      </c>
      <c r="I1813" s="169">
        <v>40200.0</v>
      </c>
      <c r="J1813" s="169">
        <v>0.0</v>
      </c>
      <c r="K1813" s="169">
        <v>120.0</v>
      </c>
      <c r="L1813" s="169">
        <v>0.0</v>
      </c>
    </row>
    <row r="1814" ht="14.25" customHeight="1">
      <c r="A1814" s="169" t="s">
        <v>18558</v>
      </c>
      <c r="B1814" s="169" t="s">
        <v>18192</v>
      </c>
      <c r="C1814" s="169" t="s">
        <v>18217</v>
      </c>
      <c r="D1814" s="169" t="str">
        <f t="shared" ref="D1814:E1814" si="1152">"69653487487038"</f>
        <v>69653487487038</v>
      </c>
      <c r="E1814" s="169" t="str">
        <f t="shared" si="1152"/>
        <v>69653487487038</v>
      </c>
      <c r="F1814" s="169" t="s">
        <v>18819</v>
      </c>
      <c r="G1814" s="169">
        <v>114.0</v>
      </c>
      <c r="H1814" s="169">
        <v>335.0</v>
      </c>
      <c r="I1814" s="169">
        <v>38190.0</v>
      </c>
      <c r="J1814" s="169">
        <v>0.0</v>
      </c>
      <c r="K1814" s="169">
        <v>114.0</v>
      </c>
      <c r="L1814" s="169">
        <v>0.0</v>
      </c>
    </row>
    <row r="1815" ht="14.25" customHeight="1">
      <c r="A1815" s="169" t="s">
        <v>18558</v>
      </c>
      <c r="B1815" s="169" t="s">
        <v>18192</v>
      </c>
      <c r="C1815" s="169" t="s">
        <v>18215</v>
      </c>
      <c r="D1815" s="169" t="str">
        <f t="shared" ref="D1815:E1815" si="1153">"69653491094344"</f>
        <v>69653491094344</v>
      </c>
      <c r="E1815" s="169" t="str">
        <f t="shared" si="1153"/>
        <v>69653491094344</v>
      </c>
      <c r="F1815" s="169" t="s">
        <v>18819</v>
      </c>
      <c r="G1815" s="169">
        <v>48.0</v>
      </c>
      <c r="H1815" s="169">
        <v>335.0</v>
      </c>
      <c r="I1815" s="169">
        <v>16080.0</v>
      </c>
      <c r="J1815" s="169">
        <v>0.0</v>
      </c>
      <c r="K1815" s="169">
        <v>48.0</v>
      </c>
      <c r="L1815" s="169">
        <v>0.0</v>
      </c>
    </row>
    <row r="1816" ht="14.25" customHeight="1">
      <c r="A1816" s="169" t="s">
        <v>18558</v>
      </c>
      <c r="B1816" s="169" t="s">
        <v>18192</v>
      </c>
      <c r="C1816" s="169" t="s">
        <v>18213</v>
      </c>
      <c r="D1816" s="169" t="str">
        <f t="shared" ref="D1816:E1816" si="1154">"69653492427642"</f>
        <v>69653492427642</v>
      </c>
      <c r="E1816" s="169" t="str">
        <f t="shared" si="1154"/>
        <v>69653492427642</v>
      </c>
      <c r="F1816" s="169" t="s">
        <v>18819</v>
      </c>
      <c r="G1816" s="169">
        <v>48.0</v>
      </c>
      <c r="H1816" s="169">
        <v>335.0</v>
      </c>
      <c r="I1816" s="169">
        <v>16080.0</v>
      </c>
      <c r="J1816" s="169">
        <v>0.0</v>
      </c>
      <c r="K1816" s="169">
        <v>48.0</v>
      </c>
      <c r="L1816" s="169">
        <v>0.0</v>
      </c>
    </row>
    <row r="1817" ht="14.25" customHeight="1">
      <c r="A1817" s="169" t="s">
        <v>18558</v>
      </c>
      <c r="B1817" s="169" t="s">
        <v>18192</v>
      </c>
      <c r="C1817" s="169" t="s">
        <v>18211</v>
      </c>
      <c r="D1817" s="169" t="str">
        <f t="shared" ref="D1817:E1817" si="1155">"69653495999708"</f>
        <v>69653495999708</v>
      </c>
      <c r="E1817" s="169" t="str">
        <f t="shared" si="1155"/>
        <v>69653495999708</v>
      </c>
      <c r="F1817" s="169" t="s">
        <v>18819</v>
      </c>
      <c r="G1817" s="169">
        <v>85.0</v>
      </c>
      <c r="H1817" s="169">
        <v>335.0</v>
      </c>
      <c r="I1817" s="169">
        <v>28475.0</v>
      </c>
      <c r="J1817" s="169">
        <v>0.0</v>
      </c>
      <c r="K1817" s="169">
        <v>85.0</v>
      </c>
      <c r="L1817" s="169">
        <v>0.0</v>
      </c>
    </row>
    <row r="1818" ht="14.25" customHeight="1">
      <c r="A1818" s="169" t="s">
        <v>18558</v>
      </c>
      <c r="B1818" s="169" t="s">
        <v>18192</v>
      </c>
      <c r="C1818" s="169" t="s">
        <v>18209</v>
      </c>
      <c r="D1818" s="169" t="str">
        <f t="shared" ref="D1818:E1818" si="1156">"69653497087357"</f>
        <v>69653497087357</v>
      </c>
      <c r="E1818" s="169" t="str">
        <f t="shared" si="1156"/>
        <v>69653497087357</v>
      </c>
      <c r="F1818" s="169" t="s">
        <v>18819</v>
      </c>
      <c r="G1818" s="169">
        <v>48.0</v>
      </c>
      <c r="H1818" s="169">
        <v>335.0</v>
      </c>
      <c r="I1818" s="169">
        <v>16080.0</v>
      </c>
      <c r="J1818" s="169">
        <v>0.0</v>
      </c>
      <c r="K1818" s="169">
        <v>48.0</v>
      </c>
      <c r="L1818" s="169">
        <v>0.0</v>
      </c>
    </row>
    <row r="1819" ht="14.25" customHeight="1">
      <c r="A1819" s="169" t="s">
        <v>18558</v>
      </c>
      <c r="B1819" s="169" t="s">
        <v>18192</v>
      </c>
      <c r="C1819" s="169" t="s">
        <v>18207</v>
      </c>
      <c r="D1819" s="169" t="str">
        <f t="shared" ref="D1819:E1819" si="1157">"69653493886110"</f>
        <v>69653493886110</v>
      </c>
      <c r="E1819" s="169" t="str">
        <f t="shared" si="1157"/>
        <v>69653493886110</v>
      </c>
      <c r="F1819" s="169" t="s">
        <v>18819</v>
      </c>
      <c r="G1819" s="169">
        <v>118.0</v>
      </c>
      <c r="H1819" s="169">
        <v>335.0</v>
      </c>
      <c r="I1819" s="169">
        <v>39530.0</v>
      </c>
      <c r="J1819" s="169">
        <v>0.0</v>
      </c>
      <c r="K1819" s="169">
        <v>118.0</v>
      </c>
      <c r="L1819" s="169">
        <v>0.0</v>
      </c>
    </row>
    <row r="1820" ht="14.25" customHeight="1">
      <c r="A1820" s="169" t="s">
        <v>18558</v>
      </c>
      <c r="B1820" s="169" t="s">
        <v>18192</v>
      </c>
      <c r="C1820" s="169" t="s">
        <v>18205</v>
      </c>
      <c r="D1820" s="169" t="str">
        <f t="shared" ref="D1820:E1820" si="1158">"69653486293127"</f>
        <v>69653486293127</v>
      </c>
      <c r="E1820" s="169" t="str">
        <f t="shared" si="1158"/>
        <v>69653486293127</v>
      </c>
      <c r="F1820" s="169" t="s">
        <v>18819</v>
      </c>
      <c r="G1820" s="169">
        <v>118.0</v>
      </c>
      <c r="H1820" s="169">
        <v>335.0</v>
      </c>
      <c r="I1820" s="169">
        <v>39530.0</v>
      </c>
      <c r="J1820" s="169">
        <v>0.0</v>
      </c>
      <c r="K1820" s="169">
        <v>118.0</v>
      </c>
      <c r="L1820" s="169">
        <v>0.0</v>
      </c>
    </row>
    <row r="1821" ht="14.25" customHeight="1">
      <c r="A1821" s="169" t="s">
        <v>18558</v>
      </c>
      <c r="B1821" s="169" t="s">
        <v>18192</v>
      </c>
      <c r="C1821" s="169" t="s">
        <v>18203</v>
      </c>
      <c r="D1821" s="169" t="str">
        <f t="shared" ref="D1821:E1821" si="1159">"69653602134992"</f>
        <v>69653602134992</v>
      </c>
      <c r="E1821" s="169" t="str">
        <f t="shared" si="1159"/>
        <v>69653602134992</v>
      </c>
      <c r="F1821" s="169" t="s">
        <v>18819</v>
      </c>
      <c r="G1821" s="169">
        <v>5100.0</v>
      </c>
      <c r="H1821" s="169">
        <v>25.0</v>
      </c>
      <c r="I1821" s="169">
        <v>127500.0</v>
      </c>
      <c r="J1821" s="169">
        <v>0.0</v>
      </c>
      <c r="K1821" s="169">
        <v>5100.0</v>
      </c>
      <c r="L1821" s="169">
        <v>0.0</v>
      </c>
    </row>
    <row r="1822" ht="14.25" customHeight="1">
      <c r="A1822" s="169" t="s">
        <v>18558</v>
      </c>
      <c r="B1822" s="169" t="s">
        <v>18192</v>
      </c>
      <c r="C1822" s="169" t="s">
        <v>18201</v>
      </c>
      <c r="D1822" s="169" t="str">
        <f t="shared" ref="D1822:E1822" si="1160">"69653598176576"</f>
        <v>69653598176576</v>
      </c>
      <c r="E1822" s="169" t="str">
        <f t="shared" si="1160"/>
        <v>69653598176576</v>
      </c>
      <c r="F1822" s="169" t="s">
        <v>18819</v>
      </c>
      <c r="G1822" s="169">
        <v>2400.0</v>
      </c>
      <c r="H1822" s="169">
        <v>50.0</v>
      </c>
      <c r="I1822" s="169">
        <v>120000.0</v>
      </c>
      <c r="J1822" s="169">
        <v>0.0</v>
      </c>
      <c r="K1822" s="169">
        <v>2400.0</v>
      </c>
      <c r="L1822" s="169">
        <v>0.0</v>
      </c>
    </row>
    <row r="1823" ht="14.25" customHeight="1">
      <c r="A1823" s="169" t="s">
        <v>18558</v>
      </c>
      <c r="B1823" s="169" t="s">
        <v>18192</v>
      </c>
      <c r="C1823" s="169" t="s">
        <v>18199</v>
      </c>
      <c r="D1823" s="169" t="str">
        <f t="shared" ref="D1823:E1823" si="1161">"69653600180380"</f>
        <v>69653600180380</v>
      </c>
      <c r="E1823" s="169" t="str">
        <f t="shared" si="1161"/>
        <v>69653600180380</v>
      </c>
      <c r="F1823" s="169" t="s">
        <v>18819</v>
      </c>
      <c r="G1823" s="169">
        <v>2500.0</v>
      </c>
      <c r="H1823" s="169">
        <v>75.0</v>
      </c>
      <c r="I1823" s="169">
        <v>187500.0</v>
      </c>
      <c r="J1823" s="169">
        <v>0.0</v>
      </c>
      <c r="K1823" s="169">
        <v>2500.0</v>
      </c>
      <c r="L1823" s="169">
        <v>0.0</v>
      </c>
    </row>
    <row r="1824" ht="14.25" customHeight="1">
      <c r="A1824" s="169" t="s">
        <v>18558</v>
      </c>
      <c r="B1824" s="169" t="s">
        <v>18192</v>
      </c>
      <c r="C1824" s="169" t="s">
        <v>18197</v>
      </c>
      <c r="D1824" s="169" t="str">
        <f t="shared" ref="D1824:E1824" si="1162">"69653601317354"</f>
        <v>69653601317354</v>
      </c>
      <c r="E1824" s="169" t="str">
        <f t="shared" si="1162"/>
        <v>69653601317354</v>
      </c>
      <c r="F1824" s="169" t="s">
        <v>18819</v>
      </c>
      <c r="G1824" s="169">
        <v>10300.0</v>
      </c>
      <c r="H1824" s="169">
        <v>25.0</v>
      </c>
      <c r="I1824" s="169">
        <v>257500.0</v>
      </c>
      <c r="J1824" s="169">
        <v>0.0</v>
      </c>
      <c r="K1824" s="169">
        <v>10300.0</v>
      </c>
      <c r="L1824" s="169">
        <v>0.0</v>
      </c>
    </row>
    <row r="1825" ht="14.25" customHeight="1">
      <c r="A1825" s="169" t="s">
        <v>18558</v>
      </c>
      <c r="B1825" s="169" t="s">
        <v>18192</v>
      </c>
      <c r="C1825" s="169" t="s">
        <v>18195</v>
      </c>
      <c r="D1825" s="169" t="str">
        <f t="shared" ref="D1825:E1825" si="1163">"69653596768424"</f>
        <v>69653596768424</v>
      </c>
      <c r="E1825" s="169" t="str">
        <f t="shared" si="1163"/>
        <v>69653596768424</v>
      </c>
      <c r="F1825" s="169" t="s">
        <v>18819</v>
      </c>
      <c r="G1825" s="169">
        <v>5000.0</v>
      </c>
      <c r="H1825" s="169">
        <v>50.0</v>
      </c>
      <c r="I1825" s="169">
        <v>250000.0</v>
      </c>
      <c r="J1825" s="169">
        <v>0.0</v>
      </c>
      <c r="K1825" s="169">
        <v>5000.0</v>
      </c>
      <c r="L1825" s="169">
        <v>0.0</v>
      </c>
    </row>
    <row r="1826" ht="14.25" customHeight="1">
      <c r="A1826" s="169" t="s">
        <v>18558</v>
      </c>
      <c r="B1826" s="169" t="s">
        <v>18192</v>
      </c>
      <c r="C1826" s="169" t="s">
        <v>18193</v>
      </c>
      <c r="D1826" s="169" t="str">
        <f t="shared" ref="D1826:E1826" si="1164">"69653599249811"</f>
        <v>69653599249811</v>
      </c>
      <c r="E1826" s="169" t="str">
        <f t="shared" si="1164"/>
        <v>69653599249811</v>
      </c>
      <c r="F1826" s="169" t="s">
        <v>18819</v>
      </c>
      <c r="G1826" s="169">
        <v>5300.0</v>
      </c>
      <c r="H1826" s="169">
        <v>75.0</v>
      </c>
      <c r="I1826" s="169">
        <v>397500.0</v>
      </c>
      <c r="J1826" s="169">
        <v>0.0</v>
      </c>
      <c r="K1826" s="169">
        <v>5300.0</v>
      </c>
      <c r="L1826" s="169">
        <v>0.0</v>
      </c>
    </row>
    <row r="1827" ht="14.25" customHeight="1">
      <c r="A1827" s="169" t="s">
        <v>18714</v>
      </c>
      <c r="B1827" s="169" t="s">
        <v>10223</v>
      </c>
      <c r="C1827" s="169" t="s">
        <v>16923</v>
      </c>
      <c r="D1827" s="169" t="str">
        <f t="shared" ref="D1827:E1827" si="1165">"1548358566329"</f>
        <v>1548358566329</v>
      </c>
      <c r="E1827" s="169" t="str">
        <f t="shared" si="1165"/>
        <v>1548358566329</v>
      </c>
      <c r="F1827" s="169" t="s">
        <v>18819</v>
      </c>
      <c r="G1827" s="169">
        <v>2.0</v>
      </c>
      <c r="H1827" s="169">
        <v>10022.0</v>
      </c>
      <c r="I1827" s="169">
        <v>20044.0</v>
      </c>
      <c r="J1827" s="169">
        <v>0.0</v>
      </c>
      <c r="K1827" s="169">
        <v>2.0</v>
      </c>
      <c r="L1827" s="169">
        <v>0.0</v>
      </c>
    </row>
    <row r="1828" ht="14.25" customHeight="1">
      <c r="A1828" s="169" t="s">
        <v>18714</v>
      </c>
      <c r="B1828" s="169" t="s">
        <v>18604</v>
      </c>
      <c r="C1828" s="170"/>
      <c r="D1828" s="169" t="str">
        <f t="shared" ref="D1828:E1828" si="1166">"69340337962010"</f>
        <v>69340337962010</v>
      </c>
      <c r="E1828" s="169" t="str">
        <f t="shared" si="1166"/>
        <v>69340337962010</v>
      </c>
      <c r="F1828" s="169" t="s">
        <v>18819</v>
      </c>
      <c r="G1828" s="169">
        <v>12.0</v>
      </c>
      <c r="H1828" s="169">
        <v>48840.0</v>
      </c>
      <c r="I1828" s="169">
        <v>586080.0</v>
      </c>
      <c r="J1828" s="169">
        <v>0.0</v>
      </c>
      <c r="K1828" s="169">
        <v>12.0</v>
      </c>
      <c r="L1828" s="169">
        <v>0.0</v>
      </c>
    </row>
    <row r="1829" ht="14.25" customHeight="1">
      <c r="A1829" s="169" t="s">
        <v>18714</v>
      </c>
      <c r="B1829" s="169" t="s">
        <v>18705</v>
      </c>
      <c r="C1829" s="170"/>
      <c r="D1829" s="169" t="str">
        <f t="shared" ref="D1829:E1829" si="1167">"67337648026851"</f>
        <v>67337648026851</v>
      </c>
      <c r="E1829" s="169" t="str">
        <f t="shared" si="1167"/>
        <v>67337648026851</v>
      </c>
      <c r="F1829" s="169" t="s">
        <v>18819</v>
      </c>
      <c r="G1829" s="169">
        <v>2.0</v>
      </c>
      <c r="H1829" s="169">
        <v>65000.0</v>
      </c>
      <c r="I1829" s="169">
        <v>130000.0</v>
      </c>
      <c r="J1829" s="169">
        <v>0.0</v>
      </c>
      <c r="K1829" s="169">
        <v>2.0</v>
      </c>
      <c r="L1829" s="169">
        <v>0.0</v>
      </c>
    </row>
  </sheetData>
  <mergeCells count="7">
    <mergeCell ref="A1:B1"/>
    <mergeCell ref="C1:I1"/>
    <mergeCell ref="A2:B2"/>
    <mergeCell ref="C2:I2"/>
    <mergeCell ref="A3:B3"/>
    <mergeCell ref="C3:I3"/>
    <mergeCell ref="A4:I4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6.38"/>
    <col customWidth="1" min="4" max="4" width="15.0"/>
    <col customWidth="1" min="5" max="5" width="18.5"/>
    <col customWidth="1" min="6" max="6" width="30.25"/>
    <col customWidth="1" min="7" max="7" width="9.25"/>
    <col customWidth="1" min="8" max="8" width="7.0"/>
    <col customWidth="1" min="9" max="9" width="13.13"/>
    <col customWidth="1" min="10" max="10" width="9.63"/>
    <col customWidth="1" min="11" max="12" width="7.25"/>
    <col customWidth="1" min="13" max="13" width="11.13"/>
    <col customWidth="1" min="14" max="14" width="10.63"/>
    <col customWidth="1" min="15" max="15" width="13.13"/>
    <col customWidth="1" min="16" max="26" width="10.63"/>
  </cols>
  <sheetData>
    <row r="1" ht="14.25" customHeight="1"/>
    <row r="2" ht="14.25" customHeight="1">
      <c r="C2" s="171" t="s">
        <v>4</v>
      </c>
      <c r="D2" s="172" t="s">
        <v>8</v>
      </c>
      <c r="E2" s="173" t="s">
        <v>1581</v>
      </c>
      <c r="F2" s="174" t="s">
        <v>7</v>
      </c>
      <c r="G2" s="159" t="s">
        <v>12</v>
      </c>
      <c r="H2" s="159" t="s">
        <v>1577</v>
      </c>
      <c r="I2" s="159" t="s">
        <v>1583</v>
      </c>
      <c r="J2" s="175" t="s">
        <v>1584</v>
      </c>
      <c r="K2" s="176" t="s">
        <v>16417</v>
      </c>
      <c r="L2" s="176" t="s">
        <v>1586</v>
      </c>
      <c r="M2" s="160" t="s">
        <v>11</v>
      </c>
    </row>
    <row r="3" ht="14.25" customHeight="1">
      <c r="C3" s="177" t="s">
        <v>302</v>
      </c>
      <c r="D3" s="178" t="str">
        <f>VLOOKUP(F3,'Resumen Stock'!$B$4:$C$559,2,0)</f>
        <v>1597086499840</v>
      </c>
      <c r="E3" s="179" t="s">
        <v>1844</v>
      </c>
      <c r="F3" s="178" t="s">
        <v>462</v>
      </c>
      <c r="G3" s="180">
        <v>5529.7</v>
      </c>
      <c r="H3" s="181">
        <f t="shared" ref="H3:H12" si="2">1-(G3/M3)</f>
        <v>0.3728825884</v>
      </c>
      <c r="I3" s="179">
        <f t="shared" ref="I3:I12" si="3">M3-G3</f>
        <v>3287.947059</v>
      </c>
      <c r="J3" s="179">
        <v>29990.0</v>
      </c>
      <c r="K3" s="179">
        <v>14990.0</v>
      </c>
      <c r="L3" s="179">
        <f t="shared" ref="L3:M3" si="1">J3/1.19*0.7</f>
        <v>17641.17647</v>
      </c>
      <c r="M3" s="182">
        <f t="shared" si="1"/>
        <v>8817.647059</v>
      </c>
    </row>
    <row r="4" ht="14.25" customHeight="1">
      <c r="C4" s="183" t="s">
        <v>302</v>
      </c>
      <c r="D4" s="184" t="str">
        <f>VLOOKUP(F4,'Resumen Stock'!$B$4:$C$559,2,0)</f>
        <v>1597098592591</v>
      </c>
      <c r="E4" s="165" t="s">
        <v>1844</v>
      </c>
      <c r="F4" s="184" t="s">
        <v>463</v>
      </c>
      <c r="G4" s="185">
        <v>6248.4</v>
      </c>
      <c r="H4" s="186">
        <f t="shared" si="2"/>
        <v>0.2913755837</v>
      </c>
      <c r="I4" s="165">
        <f t="shared" si="3"/>
        <v>2569.247059</v>
      </c>
      <c r="J4" s="165">
        <v>29990.0</v>
      </c>
      <c r="K4" s="165">
        <v>14990.0</v>
      </c>
      <c r="L4" s="165">
        <f t="shared" ref="L4:M4" si="4">J4/1.19*0.7</f>
        <v>17641.17647</v>
      </c>
      <c r="M4" s="187">
        <f t="shared" si="4"/>
        <v>8817.647059</v>
      </c>
    </row>
    <row r="5" ht="14.25" customHeight="1">
      <c r="C5" s="177" t="s">
        <v>302</v>
      </c>
      <c r="D5" s="178" t="str">
        <f>VLOOKUP(F5,'Resumen Stock'!$B$4:$C$559,2,0)</f>
        <v>67898461965813</v>
      </c>
      <c r="E5" s="178" t="s">
        <v>1849</v>
      </c>
      <c r="F5" s="178" t="s">
        <v>485</v>
      </c>
      <c r="G5" s="180">
        <v>4716.5</v>
      </c>
      <c r="H5" s="181">
        <f t="shared" si="2"/>
        <v>0.5543051695</v>
      </c>
      <c r="I5" s="179">
        <f t="shared" si="3"/>
        <v>5865.852941</v>
      </c>
      <c r="J5" s="179">
        <v>24990.0</v>
      </c>
      <c r="K5" s="179">
        <v>17990.0</v>
      </c>
      <c r="L5" s="179">
        <f t="shared" ref="L5:M5" si="5">J5/1.19*0.7</f>
        <v>14700</v>
      </c>
      <c r="M5" s="182">
        <f t="shared" si="5"/>
        <v>10582.35294</v>
      </c>
    </row>
    <row r="6" ht="14.25" customHeight="1">
      <c r="C6" s="188" t="s">
        <v>302</v>
      </c>
      <c r="D6" s="3" t="str">
        <f>VLOOKUP(F6,'Resumen Stock'!$B$4:$C$559,2,0)</f>
        <v>67898465380537</v>
      </c>
      <c r="E6" s="3" t="s">
        <v>1849</v>
      </c>
      <c r="F6" s="3" t="s">
        <v>486</v>
      </c>
      <c r="G6" s="124">
        <v>4710.0</v>
      </c>
      <c r="H6" s="117">
        <f t="shared" si="2"/>
        <v>0.5549193997</v>
      </c>
      <c r="I6" s="115">
        <f t="shared" si="3"/>
        <v>5872.352941</v>
      </c>
      <c r="J6" s="115">
        <v>24990.0</v>
      </c>
      <c r="K6" s="115">
        <v>17990.0</v>
      </c>
      <c r="L6" s="115">
        <f t="shared" ref="L6:M6" si="6">J6/1.19*0.7</f>
        <v>14700</v>
      </c>
      <c r="M6" s="189">
        <f t="shared" si="6"/>
        <v>10582.35294</v>
      </c>
    </row>
    <row r="7" ht="14.25" customHeight="1">
      <c r="C7" s="188" t="s">
        <v>302</v>
      </c>
      <c r="D7" s="3" t="str">
        <f>VLOOKUP(F7,'Resumen Stock'!$B$4:$C$559,2,0)</f>
        <v>67898466886403</v>
      </c>
      <c r="E7" s="3" t="s">
        <v>1849</v>
      </c>
      <c r="F7" s="3" t="s">
        <v>487</v>
      </c>
      <c r="G7" s="124">
        <v>4599.0</v>
      </c>
      <c r="H7" s="117">
        <f t="shared" si="2"/>
        <v>0.5654085603</v>
      </c>
      <c r="I7" s="115">
        <f t="shared" si="3"/>
        <v>5983.352941</v>
      </c>
      <c r="J7" s="115">
        <v>24990.0</v>
      </c>
      <c r="K7" s="115">
        <v>17990.0</v>
      </c>
      <c r="L7" s="115">
        <f t="shared" ref="L7:M7" si="7">J7/1.19*0.7</f>
        <v>14700</v>
      </c>
      <c r="M7" s="189">
        <f t="shared" si="7"/>
        <v>10582.35294</v>
      </c>
    </row>
    <row r="8" ht="14.25" customHeight="1">
      <c r="C8" s="183" t="s">
        <v>302</v>
      </c>
      <c r="D8" s="184" t="str">
        <f>VLOOKUP(F8,'Resumen Stock'!$B$4:$C$559,2,0)</f>
        <v>67898463643999</v>
      </c>
      <c r="E8" s="184" t="s">
        <v>1849</v>
      </c>
      <c r="F8" s="184" t="s">
        <v>488</v>
      </c>
      <c r="G8" s="185">
        <v>4490.1</v>
      </c>
      <c r="H8" s="186">
        <f t="shared" si="2"/>
        <v>0.5756992774</v>
      </c>
      <c r="I8" s="165">
        <f t="shared" si="3"/>
        <v>6092.252941</v>
      </c>
      <c r="J8" s="165">
        <v>24990.0</v>
      </c>
      <c r="K8" s="165">
        <v>17990.0</v>
      </c>
      <c r="L8" s="165">
        <f t="shared" ref="L8:M8" si="8">J8/1.19*0.7</f>
        <v>14700</v>
      </c>
      <c r="M8" s="187">
        <f t="shared" si="8"/>
        <v>10582.35294</v>
      </c>
    </row>
    <row r="9" ht="14.25" customHeight="1">
      <c r="C9" s="177" t="s">
        <v>302</v>
      </c>
      <c r="D9" s="178" t="str">
        <f>VLOOKUP(F9,'Resumen Stock'!$B$4:$C$559,2,0)</f>
        <v>67933835121467</v>
      </c>
      <c r="E9" s="178" t="s">
        <v>1863</v>
      </c>
      <c r="F9" s="178" t="s">
        <v>509</v>
      </c>
      <c r="G9" s="180">
        <v>4817.4</v>
      </c>
      <c r="H9" s="181">
        <f t="shared" si="2"/>
        <v>0.4536637759</v>
      </c>
      <c r="I9" s="179">
        <f t="shared" si="3"/>
        <v>4000.247059</v>
      </c>
      <c r="J9" s="179">
        <v>21990.0</v>
      </c>
      <c r="K9" s="179">
        <v>14990.0</v>
      </c>
      <c r="L9" s="179">
        <f t="shared" ref="L9:M9" si="9">J9/1.19*0.7</f>
        <v>12935.29412</v>
      </c>
      <c r="M9" s="182">
        <f t="shared" si="9"/>
        <v>8817.647059</v>
      </c>
    </row>
    <row r="10" ht="14.25" customHeight="1">
      <c r="C10" s="188" t="s">
        <v>302</v>
      </c>
      <c r="D10" s="3" t="str">
        <f>VLOOKUP(F10,'Resumen Stock'!$B$4:$C$559,2,0)</f>
        <v>67933831843970</v>
      </c>
      <c r="E10" s="3" t="s">
        <v>1863</v>
      </c>
      <c r="F10" s="3" t="s">
        <v>510</v>
      </c>
      <c r="G10" s="124">
        <v>4870.8</v>
      </c>
      <c r="H10" s="117">
        <f t="shared" si="2"/>
        <v>0.4476077385</v>
      </c>
      <c r="I10" s="115">
        <f t="shared" si="3"/>
        <v>3946.847059</v>
      </c>
      <c r="J10" s="115">
        <v>21990.0</v>
      </c>
      <c r="K10" s="115">
        <v>14990.0</v>
      </c>
      <c r="L10" s="115">
        <f t="shared" ref="L10:M10" si="10">J10/1.19*0.7</f>
        <v>12935.29412</v>
      </c>
      <c r="M10" s="189">
        <f t="shared" si="10"/>
        <v>8817.647059</v>
      </c>
    </row>
    <row r="11" ht="14.25" customHeight="1">
      <c r="C11" s="188" t="s">
        <v>302</v>
      </c>
      <c r="D11" s="3" t="str">
        <f>VLOOKUP(F11,'Resumen Stock'!$B$4:$C$559,2,0)</f>
        <v>67933833934278</v>
      </c>
      <c r="E11" s="3" t="s">
        <v>1863</v>
      </c>
      <c r="F11" s="3" t="s">
        <v>511</v>
      </c>
      <c r="G11" s="124">
        <v>4876.8</v>
      </c>
      <c r="H11" s="117">
        <f t="shared" si="2"/>
        <v>0.4469272849</v>
      </c>
      <c r="I11" s="115">
        <f t="shared" si="3"/>
        <v>3940.847059</v>
      </c>
      <c r="J11" s="115">
        <v>21990.0</v>
      </c>
      <c r="K11" s="115">
        <v>14990.0</v>
      </c>
      <c r="L11" s="115">
        <f t="shared" ref="L11:M11" si="11">J11/1.19*0.7</f>
        <v>12935.29412</v>
      </c>
      <c r="M11" s="189">
        <f t="shared" si="11"/>
        <v>8817.647059</v>
      </c>
    </row>
    <row r="12" ht="14.25" customHeight="1">
      <c r="C12" s="183" t="s">
        <v>302</v>
      </c>
      <c r="D12" s="184" t="str">
        <f>VLOOKUP(F12,'Resumen Stock'!$B$4:$C$559,2,0)</f>
        <v>67933835988925</v>
      </c>
      <c r="E12" s="184" t="s">
        <v>1863</v>
      </c>
      <c r="F12" s="184" t="s">
        <v>512</v>
      </c>
      <c r="G12" s="185">
        <v>4803.0</v>
      </c>
      <c r="H12" s="186">
        <f t="shared" si="2"/>
        <v>0.4552968646</v>
      </c>
      <c r="I12" s="165">
        <f t="shared" si="3"/>
        <v>4014.647059</v>
      </c>
      <c r="J12" s="165">
        <v>21990.0</v>
      </c>
      <c r="K12" s="165">
        <v>14990.0</v>
      </c>
      <c r="L12" s="165">
        <f t="shared" ref="L12:M12" si="12">J12/1.19*0.7</f>
        <v>12935.29412</v>
      </c>
      <c r="M12" s="187">
        <f t="shared" si="12"/>
        <v>8817.647059</v>
      </c>
    </row>
    <row r="13" ht="14.25" customHeight="1"/>
    <row r="14" ht="14.25" customHeight="1"/>
    <row r="15" ht="14.25" customHeight="1">
      <c r="C15" s="171" t="s">
        <v>4</v>
      </c>
      <c r="D15" s="172" t="s">
        <v>8</v>
      </c>
      <c r="E15" s="173" t="s">
        <v>1581</v>
      </c>
      <c r="F15" s="174" t="s">
        <v>7</v>
      </c>
      <c r="G15" s="159" t="s">
        <v>12</v>
      </c>
      <c r="H15" s="159" t="s">
        <v>1577</v>
      </c>
      <c r="I15" s="159" t="s">
        <v>1583</v>
      </c>
      <c r="J15" s="175" t="s">
        <v>1584</v>
      </c>
      <c r="K15" s="176" t="s">
        <v>16417</v>
      </c>
      <c r="L15" s="176" t="s">
        <v>1586</v>
      </c>
      <c r="M15" s="160" t="s">
        <v>11</v>
      </c>
      <c r="N15" s="160" t="s">
        <v>18820</v>
      </c>
      <c r="O15" s="160" t="s">
        <v>1583</v>
      </c>
    </row>
    <row r="16" ht="14.25" customHeight="1">
      <c r="C16" s="190" t="s">
        <v>302</v>
      </c>
      <c r="D16" s="174"/>
      <c r="E16" s="174" t="s">
        <v>18821</v>
      </c>
      <c r="F16" s="174" t="s">
        <v>18821</v>
      </c>
      <c r="G16" s="191">
        <f>G10+G4</f>
        <v>11119.2</v>
      </c>
      <c r="H16" s="192">
        <f t="shared" ref="H16:H17" si="14">1-(G16/M16)</f>
        <v>0.2996428307</v>
      </c>
      <c r="I16" s="176">
        <f t="shared" ref="I16:I17" si="15">M16-G16</f>
        <v>4757.270588</v>
      </c>
      <c r="J16" s="191">
        <f>J10+J4</f>
        <v>51980</v>
      </c>
      <c r="K16" s="176">
        <v>26990.0</v>
      </c>
      <c r="L16" s="176">
        <f t="shared" ref="L16:M16" si="13">J16/1.19*0.7</f>
        <v>30576.47059</v>
      </c>
      <c r="M16" s="193">
        <f t="shared" si="13"/>
        <v>15876.47059</v>
      </c>
      <c r="N16" s="193">
        <v>5000.0</v>
      </c>
      <c r="O16" s="193">
        <f t="shared" ref="O16:O17" si="17">N16*I16</f>
        <v>23786352.94</v>
      </c>
    </row>
    <row r="17" ht="14.25" customHeight="1">
      <c r="C17" s="190" t="s">
        <v>302</v>
      </c>
      <c r="D17" s="174"/>
      <c r="E17" s="174" t="s">
        <v>18822</v>
      </c>
      <c r="F17" s="174" t="s">
        <v>18822</v>
      </c>
      <c r="G17" s="191">
        <f>G5+G4</f>
        <v>10964.9</v>
      </c>
      <c r="H17" s="192">
        <f t="shared" si="14"/>
        <v>0.3093616154</v>
      </c>
      <c r="I17" s="176">
        <f t="shared" si="15"/>
        <v>4911.570588</v>
      </c>
      <c r="J17" s="191">
        <f>J5+J4</f>
        <v>54980</v>
      </c>
      <c r="K17" s="176">
        <v>26990.0</v>
      </c>
      <c r="L17" s="176">
        <f t="shared" ref="L17:M17" si="16">J17/1.19*0.7</f>
        <v>32341.17647</v>
      </c>
      <c r="M17" s="193">
        <f t="shared" si="16"/>
        <v>15876.47059</v>
      </c>
      <c r="N17" s="193">
        <v>5000.0</v>
      </c>
      <c r="O17" s="193">
        <f t="shared" si="17"/>
        <v>24557852.94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>
      <c r="N25" s="3">
        <v>299990.0</v>
      </c>
      <c r="O25" s="3">
        <v>299990.0</v>
      </c>
      <c r="P25" s="3">
        <v>299990.0</v>
      </c>
      <c r="Q25" s="3">
        <v>299990.0</v>
      </c>
      <c r="R25" s="3">
        <v>299990.0</v>
      </c>
      <c r="W25" s="3">
        <v>129990.0</v>
      </c>
      <c r="X25" s="3">
        <v>149990.0</v>
      </c>
      <c r="Y25" s="3">
        <v>149990.0</v>
      </c>
    </row>
    <row r="26" ht="14.25" customHeight="1">
      <c r="N26" s="3" t="s">
        <v>18823</v>
      </c>
      <c r="O26" s="3" t="s">
        <v>18824</v>
      </c>
      <c r="P26" s="3" t="s">
        <v>18825</v>
      </c>
      <c r="Q26" s="3" t="s">
        <v>18826</v>
      </c>
      <c r="R26" s="3" t="s">
        <v>18827</v>
      </c>
      <c r="S26" s="3" t="s">
        <v>18828</v>
      </c>
      <c r="T26" s="3" t="s">
        <v>18829</v>
      </c>
      <c r="U26" s="3" t="s">
        <v>18830</v>
      </c>
      <c r="V26" s="3" t="s">
        <v>18831</v>
      </c>
      <c r="W26" s="3" t="s">
        <v>18832</v>
      </c>
      <c r="X26" s="3" t="s">
        <v>18833</v>
      </c>
      <c r="Y26" s="3" t="s">
        <v>18834</v>
      </c>
    </row>
    <row r="27" ht="14.25" customHeight="1">
      <c r="L27" s="3" t="s">
        <v>18835</v>
      </c>
      <c r="M27" s="3" t="s">
        <v>18836</v>
      </c>
      <c r="N27" s="3" t="s">
        <v>18837</v>
      </c>
      <c r="O27" s="3" t="s">
        <v>18837</v>
      </c>
      <c r="P27" s="3" t="s">
        <v>18837</v>
      </c>
      <c r="Q27" s="3" t="s">
        <v>18837</v>
      </c>
      <c r="R27" s="3" t="s">
        <v>18837</v>
      </c>
      <c r="S27" s="3" t="s">
        <v>18837</v>
      </c>
      <c r="T27" s="3" t="s">
        <v>18837</v>
      </c>
      <c r="U27" s="3" t="s">
        <v>18837</v>
      </c>
      <c r="V27" s="3" t="s">
        <v>18837</v>
      </c>
      <c r="W27" s="3" t="s">
        <v>18837</v>
      </c>
      <c r="X27" s="3" t="s">
        <v>18837</v>
      </c>
      <c r="Y27" s="3" t="s">
        <v>18837</v>
      </c>
    </row>
    <row r="28" ht="14.25" customHeight="1">
      <c r="N28" s="3" t="s">
        <v>18837</v>
      </c>
      <c r="O28" s="3" t="s">
        <v>18837</v>
      </c>
      <c r="P28" s="3" t="s">
        <v>18837</v>
      </c>
      <c r="Q28" s="3" t="s">
        <v>18837</v>
      </c>
      <c r="R28" s="3">
        <v>99990.0</v>
      </c>
    </row>
    <row r="29" ht="14.25" customHeight="1"/>
    <row r="30" ht="14.25" customHeight="1">
      <c r="N30" s="177">
        <v>299990.0</v>
      </c>
      <c r="O30" s="178">
        <v>299990.0</v>
      </c>
      <c r="P30" s="178">
        <v>299990.0</v>
      </c>
      <c r="Q30" s="178">
        <v>299990.0</v>
      </c>
      <c r="R30" s="178">
        <v>199990.0</v>
      </c>
      <c r="S30" s="178"/>
      <c r="T30" s="178"/>
      <c r="U30" s="178"/>
      <c r="V30" s="178"/>
      <c r="W30" s="178">
        <v>129990.0</v>
      </c>
      <c r="X30" s="178">
        <v>149990.0</v>
      </c>
      <c r="Y30" s="194">
        <v>149990.0</v>
      </c>
    </row>
    <row r="31" ht="14.25" customHeight="1">
      <c r="M31" s="3" t="s">
        <v>6311</v>
      </c>
      <c r="N31" s="188" t="s">
        <v>18837</v>
      </c>
      <c r="O31" s="3" t="s">
        <v>18837</v>
      </c>
      <c r="P31" s="3" t="s">
        <v>18837</v>
      </c>
      <c r="Q31" s="3" t="s">
        <v>18837</v>
      </c>
      <c r="R31" s="3" t="s">
        <v>18837</v>
      </c>
      <c r="S31" s="3" t="s">
        <v>18837</v>
      </c>
      <c r="T31" s="3" t="s">
        <v>18837</v>
      </c>
      <c r="U31" s="3" t="s">
        <v>18837</v>
      </c>
      <c r="V31" s="3" t="s">
        <v>18837</v>
      </c>
      <c r="W31" s="3" t="s">
        <v>18837</v>
      </c>
      <c r="X31" s="3" t="s">
        <v>18837</v>
      </c>
      <c r="Y31" s="195" t="s">
        <v>18837</v>
      </c>
    </row>
    <row r="32" ht="14.25" customHeight="1">
      <c r="N32" s="183" t="s">
        <v>18837</v>
      </c>
      <c r="O32" s="184" t="s">
        <v>18837</v>
      </c>
      <c r="P32" s="184" t="s">
        <v>18837</v>
      </c>
      <c r="Q32" s="184" t="s">
        <v>18837</v>
      </c>
      <c r="R32" s="184" t="s">
        <v>18837</v>
      </c>
      <c r="S32" s="184"/>
      <c r="T32" s="184"/>
      <c r="U32" s="184"/>
      <c r="V32" s="184"/>
      <c r="W32" s="184"/>
      <c r="X32" s="184"/>
      <c r="Y32" s="166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2024-03-05T17:31:05Z</dcterms:created>
  <dc:creator>Nicolas Vasquez</dc:creator>
</cp:coreProperties>
</file>